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г. Кемерово\ОАО СКЭК подвоз\"/>
    </mc:Choice>
  </mc:AlternateContent>
  <bookViews>
    <workbookView xWindow="0" yWindow="0" windowWidth="28800" windowHeight="13020" tabRatio="927" firstSheet="1" activeTab="26"/>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state="hidden" r:id="rId10"/>
    <sheet name="Баланс" sheetId="11" r:id="rId11"/>
    <sheet name="Условные метры" sheetId="12" state="hidden" r:id="rId12"/>
    <sheet name="Сырье и материалы" sheetId="13" state="hidden" r:id="rId13"/>
    <sheet name="ЭЭ" sheetId="14" state="hidden" r:id="rId14"/>
    <sheet name="Амортизация" sheetId="15" state="hidden" r:id="rId15"/>
    <sheet name="Аренда" sheetId="16" state="hidden" r:id="rId16"/>
    <sheet name="Амортизация (аналог)" sheetId="17" state="hidden" r:id="rId17"/>
    <sheet name="Покупка" sheetId="18" r:id="rId18"/>
    <sheet name="ФОТ" sheetId="19" state="hidden" r:id="rId19"/>
    <sheet name="Административные" sheetId="20" state="hidden" r:id="rId20"/>
    <sheet name="Сбытовые расходы ГО" sheetId="21" state="hidden" r:id="rId21"/>
    <sheet name="Налоги" sheetId="22" state="hidden" r:id="rId22"/>
    <sheet name="ИП + источники" sheetId="23" state="hidden" r:id="rId23"/>
    <sheet name="Экономия_корр" sheetId="24" state="hidden" r:id="rId24"/>
    <sheet name="Плата за негативное возд" sheetId="25" state="hidden" r:id="rId25"/>
    <sheet name="Корректировка НВВ" sheetId="26" state="hidden" r:id="rId26"/>
    <sheet name="ТМ" sheetId="27" r:id="rId27"/>
    <sheet name="Калькуляция (МЭОР)" sheetId="28" r:id="rId28"/>
    <sheet name="Калькуляция (МИ)" sheetId="29" state="hidden" r:id="rId29"/>
    <sheet name="Калькуляция (МИ корр)" sheetId="30" state="hidden" r:id="rId30"/>
    <sheet name="ДПР" sheetId="31" state="hidden" r:id="rId31"/>
    <sheet name="ДПР (концессии)" sheetId="32" state="hidden" r:id="rId32"/>
    <sheet name="ГО" sheetId="33" state="hidden"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Административные!$AB$69</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Амортизация!$AB$129</definedName>
    <definedName name="Amortization_vis_flags">Амортизация!$AI$2:$BB$2</definedName>
    <definedName name="AUTHORIZED_PERSON_EMAIL">'Общие сведения'!$AE$213</definedName>
    <definedName name="AUTHORIZED_PERSON_FIO">'Общие сведения'!$AE$210</definedName>
    <definedName name="AUTHORIZED_PERSON_PHONE">'Общие сведения'!$AE$212</definedName>
    <definedName name="AUTHORIZED_PERSON_POSITION">'Общие сведения'!$AE$211</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(МИ)'!$AB$319</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ДПР!$AB$136</definedName>
    <definedName name="DPR_vis_flags">ДПР!$W$28:$W$28</definedName>
    <definedName name="DPR_vis_flags2">ДПР!$AG$2:$AK$2</definedName>
    <definedName name="DPRConcessions_LOAD_1">'ДПР (концессии)'!$AC$26:$AK$26</definedName>
    <definedName name="DPRConcessions_pIns_comm">'ДПР (концессии)'!$AB$138</definedName>
    <definedName name="DPRConcessions_vis_flags">'ДПР (концессии)'!$W$26:$W$26</definedName>
    <definedName name="DPRConcessions_vis_flags2">'ДПР (концессии)'!$AG$2:$AK$2</definedName>
    <definedName name="Electricity_LOAD_1">ЭЭ!$AE$25:$BB$67</definedName>
    <definedName name="Electricity_vis_flags">ЭЭ!$AI$2:$BB$2</definedName>
    <definedName name="entityName">'Общие сведения'!$AI$24</definedName>
    <definedName name="et_AdminExpenses_tariff">Административные!$32:$69</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сведения'!$222:$222</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ГО'!$57:$57</definedName>
    <definedName name="et_SalesExpensesGO_tariff">'Сбытовые расходы ГО'!$32:$55</definedName>
    <definedName name="et_SavingsCorrection_tariff">Экономия_корр!$32:$47</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Административные!$AL$70</definedName>
    <definedName name="flag_end_AmorAnalog">'Амортизация (аналог)'!$AG$46</definedName>
    <definedName name="flag_end_Amortization">Амортизация!$BD$130</definedName>
    <definedName name="flag_end_Balance">Баланс!$BD$214</definedName>
    <definedName name="flag_end_CalcMeor">'Калькуляция (МЭОР)'!$AP$204</definedName>
    <definedName name="flag_end_CalcMiCorr">'Калькуляция (МИ корр)'!$BQ$320</definedName>
    <definedName name="flag_end_Calculation">'Калькуляция (МИ)'!$BQ$320</definedName>
    <definedName name="flag_end_Comments">Комментарии!$AC$34</definedName>
    <definedName name="flag_end_DPR">ДПР!$AL$137</definedName>
    <definedName name="flag_end_DPRConcessions">'ДПР (концессии)'!$AL$139</definedName>
    <definedName name="flag_end_Electricity">ЭЭ!$BD$72</definedName>
    <definedName name="flag_end_Explanations">Пояснения!$AE$27</definedName>
    <definedName name="flag_end_GeneralInfo">'Общие сведения'!$AF$223</definedName>
    <definedName name="flag_end_GO">ГО!$AF$210</definedName>
    <definedName name="flag_end_iika">ИИКА!$BB$37</definedName>
    <definedName name="flag_end_InvestmentSources">'ИП + источники'!$BF$92</definedName>
    <definedName name="flag_end_NegativeImpactFee">'Плата за негативное возд'!$AM$37</definedName>
    <definedName name="flag_end_NVVCorrection">'Корректировка НВВ'!$AI$134</definedName>
    <definedName name="flag_end_ObjectList">'Список объектов'!$AI$34</definedName>
    <definedName name="flag_end_Objects">'Перечень объектов'!$AK$56</definedName>
    <definedName name="flag_end_Purchase">Покупка!$BD$95</definedName>
    <definedName name="flag_end_Reagents">'Сырье и материалы'!$BD$41</definedName>
    <definedName name="flag_end_Rent">Аренда!$BD$52</definedName>
    <definedName name="flag_end_SalesExpensesGO">'Сбытовые расходы ГО'!$AL$56</definedName>
    <definedName name="flag_end_SavingsCorrection">Экономия_корр!$AZ$48</definedName>
    <definedName name="flag_end_Scenarios">Сценарии!$BG$82</definedName>
    <definedName name="flag_end_SheetList">'Список листов'!$AE$54</definedName>
    <definedName name="flag_end_TariffCalcMsa">'Калькуляция (МСА)'!$AG$72</definedName>
    <definedName name="flag_end_Taxes">Налоги!$BD$60</definedName>
    <definedName name="flag_end_TerritoryList">'Список территорий'!$AH$33</definedName>
    <definedName name="flag_end_TM">ТМ!$FX$146</definedName>
    <definedName name="flag_end_uslmetr">'Условные метры'!$AQ$40</definedName>
    <definedName name="flag_end_WageFund">ФОТ!$AL$82</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сведения'!$AE$22:$AE$221</definedName>
    <definedName name="GeneralInfo_LOAD_1">'Общие сведения'!$AE$44:$AE$219</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сведения'!$AD$208</definedName>
    <definedName name="InvestmentSources_is_one_block">'ИП + источники'!$AD$24</definedName>
    <definedName name="InvestmentSources_LOAD_1">'ИП + источники'!$AE$27:$BD$87</definedName>
    <definedName name="InvestmentSources_LOAD_2">'ИП + источники'!$BE$26:$BE$87</definedName>
    <definedName name="InvestmentSources_pIns_comm">'ИП + источники'!$AB$91</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метры'!$AC$24:$AP$35</definedName>
    <definedName name="List04_pIns_comm">'Условные метры'!$AB$39</definedName>
    <definedName name="List05_LOAD_1">'Амортизация (аналог)'!$AE$25:$AF$41</definedName>
    <definedName name="List05_pIns_comm">'Амортизация (аналог)'!$AB$45</definedName>
    <definedName name="List06_LOAD_1">ГО!$AE$25:$AE$115</definedName>
    <definedName name="List06_pIns_comm">ГО!$AB$209</definedName>
    <definedName name="List07_LOAD_1">'Калькуляция (МСА)'!$AE$25:$AF$65</definedName>
    <definedName name="List07_pIns_comm">'Калькуляция (МСА)'!$AB$71</definedName>
    <definedName name="List15_LOAD_1">'Калькуляция (МЭОР)'!$AE$25:$AK$199</definedName>
    <definedName name="List15_LOAD_2">'Калькуляция (МЭОР)'!$AM$24:$AO$199</definedName>
    <definedName name="List15_pIns_comm">'Калькуляция (МЭОР)'!$AB$203</definedName>
    <definedName name="List15_vis_flags">'Калькуляция (МЭОР)'!$AE$17:$AL$17</definedName>
    <definedName name="List15_vis_flags2">'Калькуляция (МЭОР)'!$H$25:$H$199</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возд'!$AB$36</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НВВ'!$AB$133</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сведения'!$AE$222</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ЭЭ!$AB$67</definedName>
    <definedName name="pIns_Electricity_voltage">ЭЭ!$AC:$AC</definedName>
    <definedName name="pIns_Iika">ИИКА!$AB$37</definedName>
    <definedName name="pIns_InvestmentSources_tariff">'ИП + источники'!$AB$87</definedName>
    <definedName name="pIns_List04_tariff">'Условные метры'!$AB$35</definedName>
    <definedName name="pIns_List05_tariff">'Амортизация (аналог)'!$AB$41</definedName>
    <definedName name="pIns_List07_tariff">'Калькуляция (МСА)'!$AB$65</definedName>
    <definedName name="pIns_List15_1">'Калькуляция (МЭОР)'!$AC:$AC</definedName>
    <definedName name="pIns_List15_tariff">'Калькуляция (МЭОР)'!$AB$199</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материалы'!$AB$36</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Покупка!$AB$94</definedName>
    <definedName name="Purchase_vis_flags">Покупка!$AI$17:$BB$17</definedName>
    <definedName name="Reagents_LOAD_1">'Сырье и материалы'!$AE$25:$BB$36</definedName>
    <definedName name="Reagents_LOAD_2">'Сырье и материалы'!$BC$24:$BC$36</definedName>
    <definedName name="Reagents_pIns_comm">'Сырье и материалы'!$AB$40</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Аренда!$AB$51</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ГО'!$AB$55</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Экономия_корр!$AB$47</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сведения'!$AF$180:$AF$208</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Налоги!$AB$59</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ТМ!$AB$145</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ФОТ!$AB$81</definedName>
    <definedName name="WageFund_vis_flags">ФОТ!$AE$17:$AJ$17</definedName>
    <definedName name="wsAdmins_json_coms">Административные!$AC$67:$AC$69</definedName>
    <definedName name="wsAdmins_preload">Административные!$AE$28:$AH$65</definedName>
    <definedName name="wsAdmins_preload_coms">Административные!$AK$28:$AK$65</definedName>
    <definedName name="wsAdmins_preload_full">Административные!$AE$28:$AJ$65</definedName>
    <definedName name="wsAdmins_preload_json">Административные!$AE$28:$AK$65</definedName>
    <definedName name="wsAmor_json_coms">Амортизация!$AC$127:$AC$129</definedName>
    <definedName name="wsAmor_preload">Амортизация!$AE$28:$AH$125</definedName>
    <definedName name="wsAmor_preload_coms">Амортизация!$BC$28:$BC$125</definedName>
    <definedName name="wsAmor_preload_full">Амортизация!$AE$28:$BB$125</definedName>
    <definedName name="wsAmor_preload_json">Амортизация!$AE$28:$BC$125</definedName>
    <definedName name="wsAmorAnalog_json_coms">'Амортизация (аналог)'!$AC$43:$AC$45</definedName>
    <definedName name="wsAmorAnalog_preload">'Амортизация (аналог)'!$AE$28:$AF$41</definedName>
    <definedName name="wsAmorAnalog_preload_json">'Амортизация (аналог)'!$AE$28:$AF$41</definedName>
    <definedName name="wsBalance_json_coms">Баланс!$AC$211:$AC$213</definedName>
    <definedName name="wsBalance_preload">Баланс!$AE$28:$AH$209</definedName>
    <definedName name="wsBalance_preload_coms">Баланс!$BC$28:$BC$209</definedName>
    <definedName name="wsBalance_preload_full">Баланс!$AE$28:$BB$209</definedName>
    <definedName name="wsBalance_preload_json">Баланс!$AE$28:$BC$209</definedName>
    <definedName name="wsComments_json_coms">Комментарии!$AB$24:$AB$33</definedName>
    <definedName name="wsDPR_json_coms">ДПР!$AC$134:$AC$136</definedName>
    <definedName name="wsDPR_preload">ДПР!$AC$31:$AK$132</definedName>
    <definedName name="wsDPR_preload_json">ДПР!$AC$31:$AK$132</definedName>
    <definedName name="wsDPRconc_json_coms">'ДПР (концессии)'!$AC$136:$AC$138</definedName>
    <definedName name="wsDPRconc_preload">'ДПР (концессии)'!$AC$30:$AK$134</definedName>
    <definedName name="wsDPRconc_preload_json">'ДПР (концессии)'!$AC$30:$AK$134</definedName>
    <definedName name="wsEE_json_coms">ЭЭ!$AC$69:$AC$71</definedName>
    <definedName name="wsEe_preload">ЭЭ!$AE$28:$AH$67</definedName>
    <definedName name="wsEE_preload_coms">ЭЭ!$BC$28:$BC$67</definedName>
    <definedName name="wsEE_preload_full">ЭЭ!$AE$28:$BB$67</definedName>
    <definedName name="wsEE_preload_json">ЭЭ!$AE$28:$BC$67</definedName>
    <definedName name="wsGO_json_coms">ГО!$AC$207:$AC$209</definedName>
    <definedName name="wsGO_preload">ГО!$AE$28:$AE$205</definedName>
    <definedName name="wsGO_preload_json">ГО!$AE$28:$AE$205</definedName>
    <definedName name="wsIika_preload_json">ИИКА!$AE$28:$BA$37</definedName>
    <definedName name="wsIPSources_json_coms">'ИП + источники'!$AC$89:$AC$91</definedName>
    <definedName name="wsIPSources_preload">'ИП + источники'!$AE$30:$AJ$87</definedName>
    <definedName name="wsIPSources_preload_coms">'ИП + источники'!$BE$30:$BE$87</definedName>
    <definedName name="wsIPSources_preload_full">'ИП + источники'!$AE$30:$BD$87</definedName>
    <definedName name="wsIPSources_preload_json">'ИП + источники'!$AE$30:$BE$87</definedName>
    <definedName name="wsMeorCalc_json_coms">'Калькуляция (МЭОР)'!$AC$201:$AC$203</definedName>
    <definedName name="wsMeorCalc_preload">'Калькуляция (МЭОР)'!$AE$28:$AI$199</definedName>
    <definedName name="wsMeorCalc_preload_coms">'Калькуляция (МЭОР)'!$AM$28:$AO$199</definedName>
    <definedName name="wsMeorCalc_preload_full">'Калькуляция (МЭОР)'!$AE$28:$AL$199</definedName>
    <definedName name="wsMeorCalc_preload_json">'Калькуляция (МЭОР)'!$AE$28:$AO$199</definedName>
    <definedName name="wsMiCalc_json_coms">'Калькуляция (МИ)'!$AC$317:$AC$319</definedName>
    <definedName name="wsMiCalc_preload">'Калькуляция (МИ)'!$AE$28:$AI$315</definedName>
    <definedName name="wsMiCalc_preload_coms">'Калькуляция (МИ)'!$BN$28:$BP$315</definedName>
    <definedName name="wsMiCalc_preload_full">'Калькуляция (МИ)'!$AE$28:$BM$315</definedName>
    <definedName name="wsMiCalc_preload_json">'Калькуляция (МИ)'!$AE$28:$BP$315</definedName>
    <definedName name="wsMiCalcCorr_json_coms">'Калькуляция (МИ корр)'!$AC$317:$AC$319</definedName>
    <definedName name="wsMiCalcCorr_preload">'Калькуляция (МИ корр)'!$AE$28:$AI$315</definedName>
    <definedName name="wsMiCalcCorr_preload_coms">'Калькуляция (МИ корр)'!$BN$28:$BP$315</definedName>
    <definedName name="wsMiCalcCorr_preload_full">'Калькуляция (МИ корр)'!$AE$28:$BM$315</definedName>
    <definedName name="wsMiCalcCorr_preload_json">'Калькуляция (МИ корр)'!$AE$28:$BP$315</definedName>
    <definedName name="wsMsaCalc_json_coms">'Калькуляция (МСА)'!$AC$69:$AC$71</definedName>
    <definedName name="wsMsaCalc_preload">'Калькуляция (МСА)'!$AE$25</definedName>
    <definedName name="wsMsaCalc_preload_full">'Калькуляция (МСА)'!$AE$28:$AF$65</definedName>
    <definedName name="wsMsaCalc_preload_json">'Калькуляция (МСА)'!$AE$28:$AF$65</definedName>
    <definedName name="wsNegativePays_json_coms">'Плата за негативное возд'!$AC$34:$AC$36</definedName>
    <definedName name="wsNegativePays_preload">'Плата за негативное возд'!$AE$27:$AL$32</definedName>
    <definedName name="wsNegativePays_preload_json">'Плата за негативное возд'!$AE$27:$AL$32</definedName>
    <definedName name="wsNvvCorr_json_coms">'Корректировка НВВ'!$AC$131:$AC$133</definedName>
    <definedName name="wsNvvCorr_preload">'Корректировка НВВ'!$AF$28:$AG$129</definedName>
    <definedName name="wsNvvCorr_preload_coms">'Корректировка НВВ'!$AH$28:$AH$129</definedName>
    <definedName name="wsNvvCorr_preload_json">'Корректировка НВВ'!$AF$28:$AH$129</definedName>
    <definedName name="wsObjectList_preload_json">'Список объектов'!$AH$28:$AH$34</definedName>
    <definedName name="wsObjects_json_coms">'Перечень объектов'!$AC$53:$AC$55</definedName>
    <definedName name="wsObjects_preload">'Перечень объектов'!$AF$28:$AG$51</definedName>
    <definedName name="wsObjects_preload_full">'Перечень объектов'!$AF$28:$AJ$51</definedName>
    <definedName name="wsObjects_preload_json">'Перечень объектов'!$AF$28:$AJ$51</definedName>
    <definedName name="wsPurchase_json_coms">Покупка!$AC$92:$AC$94</definedName>
    <definedName name="wsPurchase_preload">Покупка!$AE$28:$AH$90</definedName>
    <definedName name="wsPurchase_preload_coms">Покупка!$BC$28:$BC$90</definedName>
    <definedName name="wsPurchase_preload_full">Покупка!$AE$28:$BB$90</definedName>
    <definedName name="wsPurchase_preload_json">Покупка!$AE$28:$BC$90</definedName>
    <definedName name="wsReagents_json_coms">'Сырье и материалы'!$AC$38:$AC$40</definedName>
    <definedName name="wsReagents_preload">'Сырье и материалы'!$AE$28:$AH$35</definedName>
    <definedName name="wsReagents_preload_coms">'Сырье и материалы'!$BC$28:$BC$35</definedName>
    <definedName name="wsReagents_preload_full">'Сырье и материалы'!$AE$28:$BB$35</definedName>
    <definedName name="wsReagents_preload_json">'Сырье и материалы'!$AE$28:$BC$35</definedName>
    <definedName name="wsRent_json_coms">Аренда!$AC$49:$AC$51</definedName>
    <definedName name="wsRent_preload">Аренда!$AE$28:$AH$47</definedName>
    <definedName name="wsRent_preload_coms">Аренда!$BC$28:$BC$47</definedName>
    <definedName name="wsRent_preload_full">Аренда!$AE$28:$BB$47</definedName>
    <definedName name="wsRent_preload_json">Аренда!$AE$28:$BC$47</definedName>
    <definedName name="wsSavingsCorr_json_coms">Экономия_корр!$AC$45:$AC$47</definedName>
    <definedName name="wsSavingsCorr_preload">Экономия_корр!$AE$25</definedName>
    <definedName name="wsSavingsCorr_preload_coms">Экономия_корр!$AY$28:$AY$43</definedName>
    <definedName name="wsSavingsCorr_preload_full">Экономия_корр!$AE$28:$AX$43</definedName>
    <definedName name="wsSavingsCorr_preload_json">Экономия_корр!$AE$28:$AY$43</definedName>
    <definedName name="wsScenarios_preload">Сценарии!$AE$29:$AI$82</definedName>
    <definedName name="wsScenarios_preload_coms">Сценарии!$AH$29:$AN$82</definedName>
    <definedName name="wsScenarios_preload_full">Сценарии!$AE$29:$BF$82</definedName>
    <definedName name="wsScenarios_preload_json">Сценарии!$AE$29:$BF$82</definedName>
    <definedName name="wsSellingCosts_json_coms">'Сбытовые расходы ГО'!$AC$53:$AC$55</definedName>
    <definedName name="wsSellingCosts_preload">'Сбытовые расходы ГО'!$AE$28:$AH$51</definedName>
    <definedName name="wsSellingCosts_preload_coms">'Сбытовые расходы ГО'!$AK$28:$AK$51</definedName>
    <definedName name="wsSellingCosts_preload_full">'Сбытовые расходы ГО'!$AE$28:$AJ$51</definedName>
    <definedName name="wsSellingCosts_preload_json">'Сбытовые расходы ГО'!$AE$28:$AK$51</definedName>
    <definedName name="wsTaxes_json_coms">Налоги!$AC$57:$AC$59</definedName>
    <definedName name="wsTaxes_preload">Налоги!$AE$28:$AH$55</definedName>
    <definedName name="wsTaxes_preload_coms">Налоги!$BC$28:$BC$55</definedName>
    <definedName name="wsTaxes_preload_full">Налоги!$AE$28:$BB$55</definedName>
    <definedName name="wsTaxes_preload_json">Налоги!$AE$28:$BC$55</definedName>
    <definedName name="wsTerritoryList_preload">'Список территорий'!$AC$27:$AG$33</definedName>
    <definedName name="wsTerritoryList_preload_json">'Список территорий'!$AF$27:$AG$33</definedName>
    <definedName name="wsTM_json_coms">ТМ!$AC$143:$AC$145</definedName>
    <definedName name="wsTM_preload">ТМ!$AD$26:$AD$26</definedName>
    <definedName name="wsTM_preload_full">ТМ!$AD$34:$FW$141</definedName>
    <definedName name="wsTM_preload_json">ТМ!$AD$34:$FW$141</definedName>
    <definedName name="wsUslMetr_json_coms">'Условные метры'!$AC$37:$AC$39</definedName>
    <definedName name="wsUslMetr_preload">'Условные метры'!$AC$30:$AP$35</definedName>
    <definedName name="wsUslMetr_preload_json">'Условные метры'!$AD$30:$AP$35</definedName>
    <definedName name="wsWageFund_json_coms">ФОТ!$AC$79:$AC$81</definedName>
    <definedName name="wsWageFund_preload">ФОТ!$AE$28:$AH$77</definedName>
    <definedName name="wsWageFund_preload_coms">ФОТ!$AK$28:$AK$77</definedName>
    <definedName name="wsWageFund_preload_full">ФОТ!$AE$28:$AJ$77</definedName>
    <definedName name="wsWageFund_preload_json">ФОТ!$AE$28:$AK$77</definedName>
    <definedName name="XML_MR_MO_OKTMO_LIST_TAG_NAMES">TEHSHEET!$K$5:$K$11</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M20" i="42" l="1"/>
  <c r="M12" i="42"/>
  <c r="M8" i="42" a="1"/>
  <c r="M8" i="42" s="1"/>
  <c r="W32" i="35"/>
  <c r="T70" i="34"/>
  <c r="AF64" i="34"/>
  <c r="AE64" i="34"/>
  <c r="AF57" i="34"/>
  <c r="AC52" i="34"/>
  <c r="AC51" i="34"/>
  <c r="AF48" i="34"/>
  <c r="AE48" i="34"/>
  <c r="AE57" i="34" s="1"/>
  <c r="M48" i="34" a="1"/>
  <c r="M48" i="34" s="1"/>
  <c r="L48" i="34" a="1"/>
  <c r="L48" i="34" s="1"/>
  <c r="K48" i="34"/>
  <c r="F47" i="34"/>
  <c r="F48" i="34" s="1" a="1"/>
  <c r="F48" i="34" s="1"/>
  <c r="F49" i="34" s="1" a="1"/>
  <c r="F49" i="34" s="1"/>
  <c r="T46" i="34"/>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F46" i="34" a="1"/>
  <c r="F46" i="34" s="1"/>
  <c r="F47" i="34" s="1" a="1"/>
  <c r="AF45" i="34"/>
  <c r="AE45" i="34"/>
  <c r="AC33" i="34"/>
  <c r="AC32" i="34"/>
  <c r="AF29" i="34"/>
  <c r="AF38" i="34" s="1"/>
  <c r="AE29" i="34"/>
  <c r="M29" i="34" a="1"/>
  <c r="M29" i="34"/>
  <c r="F29" i="34" a="1"/>
  <c r="F29" i="34" s="1"/>
  <c r="T28" i="34" a="1"/>
  <c r="T28" i="34" s="1"/>
  <c r="T29" i="34" s="1" a="1"/>
  <c r="T29" i="34" s="1"/>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27" i="34"/>
  <c r="F27" i="34" a="1"/>
  <c r="F27" i="34"/>
  <c r="F28" i="34" s="1" a="1"/>
  <c r="F28" i="34" s="1"/>
  <c r="AE24" i="34"/>
  <c r="AF9" i="34" a="1"/>
  <c r="AF9" i="34"/>
  <c r="AE9" i="34" a="1"/>
  <c r="AE9" i="34"/>
  <c r="AF7" i="34" a="1"/>
  <c r="AF7" i="34"/>
  <c r="AE7" i="34" a="1"/>
  <c r="AE7" i="34"/>
  <c r="AF6" i="34" a="1"/>
  <c r="AF6" i="34"/>
  <c r="AE6" i="34" a="1"/>
  <c r="AE6" i="34"/>
  <c r="T208" i="33"/>
  <c r="I203" i="33"/>
  <c r="AJ202" i="33" a="1"/>
  <c r="AJ202" i="33" s="1"/>
  <c r="AB202" i="33"/>
  <c r="I202" i="33" a="1"/>
  <c r="I202" i="33" s="1"/>
  <c r="AE201" i="33"/>
  <c r="AE193" i="33"/>
  <c r="AE181" i="33"/>
  <c r="AE168" i="33"/>
  <c r="AE167" i="33"/>
  <c r="I166" i="33"/>
  <c r="AJ165" i="33" a="1"/>
  <c r="AJ165" i="33"/>
  <c r="AB165" i="33"/>
  <c r="I165" i="33" a="1"/>
  <c r="I165" i="33"/>
  <c r="AE164" i="33"/>
  <c r="AE160" i="33"/>
  <c r="AE151" i="33"/>
  <c r="AE145" i="33"/>
  <c r="AE144" i="33"/>
  <c r="AE139" i="33"/>
  <c r="AE136" i="33"/>
  <c r="AE128" i="33"/>
  <c r="AE121" i="33"/>
  <c r="AE118" i="33" s="1"/>
  <c r="AE117" i="33" s="1"/>
  <c r="AE116" i="33" s="1"/>
  <c r="F118" i="33"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T116" i="33"/>
  <c r="T117" i="33" s="1"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F116" i="33" a="1"/>
  <c r="F116" i="33"/>
  <c r="F117" i="33" s="1" a="1"/>
  <c r="F117" i="33" s="1"/>
  <c r="I114" i="33"/>
  <c r="AJ113" i="33" a="1"/>
  <c r="AJ113" i="33"/>
  <c r="AB113" i="33"/>
  <c r="I113" i="33" a="1"/>
  <c r="I113" i="33"/>
  <c r="AE112" i="33"/>
  <c r="AE104" i="33"/>
  <c r="AE92" i="33"/>
  <c r="AE79" i="33"/>
  <c r="AE78" i="33" s="1"/>
  <c r="I77" i="33"/>
  <c r="AJ76" i="33" a="1"/>
  <c r="AJ76" i="33" s="1"/>
  <c r="AB76" i="33"/>
  <c r="I76" i="33" a="1"/>
  <c r="I76" i="33" s="1"/>
  <c r="AE75" i="33"/>
  <c r="AE71" i="33"/>
  <c r="AE62" i="33"/>
  <c r="AE56" i="33"/>
  <c r="AE55" i="33"/>
  <c r="AE50" i="33"/>
  <c r="AE47" i="33"/>
  <c r="AE39" i="33"/>
  <c r="AE32" i="33"/>
  <c r="AE29" i="33" s="1"/>
  <c r="T29" i="33" a="1"/>
  <c r="T29" i="33" s="1"/>
  <c r="T30" i="33" s="1" a="1"/>
  <c r="T30" i="33" s="1"/>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AE28" i="33"/>
  <c r="AE27" i="33" s="1"/>
  <c r="F28" i="33"/>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T27" i="33"/>
  <c r="T28" i="33" s="1" a="1"/>
  <c r="T28" i="33" s="1"/>
  <c r="F27" i="33" a="1"/>
  <c r="F27" i="33"/>
  <c r="F28" i="33" s="1" a="1"/>
  <c r="AE24" i="33"/>
  <c r="AE22" i="33"/>
  <c r="AD22" i="33"/>
  <c r="AC22" i="33"/>
  <c r="AB22" i="33"/>
  <c r="AE9" i="33" a="1"/>
  <c r="AE9" i="33" s="1"/>
  <c r="AE6" i="33"/>
  <c r="T137" i="32"/>
  <c r="G133" i="32"/>
  <c r="AN132" i="32" a="1"/>
  <c r="AN132" i="32" s="1"/>
  <c r="AB132" i="32"/>
  <c r="K132" i="32"/>
  <c r="B132" i="32"/>
  <c r="AN131" i="32" a="1"/>
  <c r="AN131" i="32" s="1"/>
  <c r="AB131" i="32"/>
  <c r="K131" i="32"/>
  <c r="B131" i="32"/>
  <c r="K130" i="32"/>
  <c r="AN129" i="32" a="1"/>
  <c r="AN129" i="32" s="1"/>
  <c r="AB129" i="32"/>
  <c r="K129" i="32"/>
  <c r="B129" i="32"/>
  <c r="K128" i="32"/>
  <c r="AN127" i="32" a="1"/>
  <c r="AN127" i="32" s="1"/>
  <c r="AB127" i="32"/>
  <c r="K127" i="32"/>
  <c r="B127" i="32"/>
  <c r="K126" i="32"/>
  <c r="AN125" i="32" a="1"/>
  <c r="AN125" i="32" s="1"/>
  <c r="AB125" i="32"/>
  <c r="K125" i="32"/>
  <c r="B125" i="32"/>
  <c r="K124" i="32"/>
  <c r="AN123" i="32" a="1"/>
  <c r="AN123" i="32" s="1"/>
  <c r="AB123" i="32"/>
  <c r="K123" i="32"/>
  <c r="B123" i="32"/>
  <c r="K122" i="32"/>
  <c r="AN121" i="32" a="1"/>
  <c r="AN121" i="32" s="1"/>
  <c r="AB121" i="32"/>
  <c r="K121" i="32"/>
  <c r="B121" i="32"/>
  <c r="K120" i="32"/>
  <c r="AN119" i="32" a="1"/>
  <c r="AN119" i="32" s="1"/>
  <c r="AB119" i="32"/>
  <c r="K119" i="32"/>
  <c r="B119" i="32"/>
  <c r="K118" i="32"/>
  <c r="AN117" i="32" a="1"/>
  <c r="AN117" i="32" s="1"/>
  <c r="AB117" i="32"/>
  <c r="K117" i="32"/>
  <c r="B117" i="32"/>
  <c r="K116" i="32"/>
  <c r="AN115" i="32" a="1"/>
  <c r="AN115" i="32" s="1"/>
  <c r="AB115" i="32"/>
  <c r="K115" i="32"/>
  <c r="B115" i="32"/>
  <c r="K114" i="32"/>
  <c r="AN113" i="32" a="1"/>
  <c r="AN113" i="32" s="1"/>
  <c r="AB113" i="32"/>
  <c r="K113" i="32"/>
  <c r="B113" i="32"/>
  <c r="K112" i="32"/>
  <c r="AN111" i="32" a="1"/>
  <c r="AN111" i="32" s="1"/>
  <c r="AB111" i="32"/>
  <c r="K111" i="32"/>
  <c r="B111" i="32"/>
  <c r="K110" i="32"/>
  <c r="AN109" i="32" a="1"/>
  <c r="AN109" i="32" s="1"/>
  <c r="AB109" i="32"/>
  <c r="K109" i="32"/>
  <c r="B109" i="32"/>
  <c r="K108" i="32"/>
  <c r="AN107" i="32" a="1"/>
  <c r="AN107" i="32" s="1"/>
  <c r="AB107" i="32"/>
  <c r="K107" i="32"/>
  <c r="B107" i="32"/>
  <c r="K106" i="32"/>
  <c r="AN105" i="32" a="1"/>
  <c r="AN105" i="32" s="1"/>
  <c r="AB105" i="32"/>
  <c r="K105" i="32"/>
  <c r="B105" i="32"/>
  <c r="K104" i="32"/>
  <c r="AN103" i="32" a="1"/>
  <c r="AN103" i="32" s="1"/>
  <c r="AB103" i="32"/>
  <c r="K103" i="32"/>
  <c r="B103" i="32"/>
  <c r="K102" i="32"/>
  <c r="AN101" i="32" a="1"/>
  <c r="AN101" i="32" s="1"/>
  <c r="AB101" i="32"/>
  <c r="K101" i="32"/>
  <c r="B101" i="32"/>
  <c r="K100" i="32"/>
  <c r="AN99" i="32" a="1"/>
  <c r="AN99" i="32" s="1"/>
  <c r="AB99" i="32"/>
  <c r="K99" i="32"/>
  <c r="B99" i="32"/>
  <c r="K98" i="32"/>
  <c r="AN97" i="32" a="1"/>
  <c r="AN97" i="32" s="1"/>
  <c r="AB97" i="32"/>
  <c r="K97" i="32"/>
  <c r="B97" i="32"/>
  <c r="K96" i="32"/>
  <c r="AN95" i="32" a="1"/>
  <c r="AN95" i="32" s="1"/>
  <c r="AB95" i="32"/>
  <c r="K95" i="32"/>
  <c r="B95" i="32"/>
  <c r="K94" i="32"/>
  <c r="AN93" i="32" a="1"/>
  <c r="AN93" i="32" s="1"/>
  <c r="AB93" i="32"/>
  <c r="K93" i="32"/>
  <c r="B93" i="32"/>
  <c r="K92" i="32"/>
  <c r="AN91" i="32" a="1"/>
  <c r="AN91" i="32" s="1"/>
  <c r="AB91" i="32"/>
  <c r="K91" i="32"/>
  <c r="B91" i="32"/>
  <c r="K90" i="32"/>
  <c r="AN89" i="32" a="1"/>
  <c r="AN89" i="32" s="1"/>
  <c r="AB89" i="32"/>
  <c r="K89" i="32"/>
  <c r="B89" i="32"/>
  <c r="K88" i="32"/>
  <c r="AN87" i="32" a="1"/>
  <c r="AN87" i="32" s="1"/>
  <c r="AB87" i="32"/>
  <c r="K87" i="32"/>
  <c r="B87" i="32"/>
  <c r="K86" i="32"/>
  <c r="AN85" i="32" a="1"/>
  <c r="AN85" i="32" s="1"/>
  <c r="AB85" i="32"/>
  <c r="K85" i="32"/>
  <c r="G85" i="32" a="1"/>
  <c r="G85" i="32" s="1"/>
  <c r="G86" i="32" s="1" a="1"/>
  <c r="G86" i="32" s="1"/>
  <c r="G87" i="32" s="1" a="1"/>
  <c r="G87" i="32" s="1"/>
  <c r="G88" i="32" s="1" a="1"/>
  <c r="G88" i="32" s="1"/>
  <c r="G89" i="32" s="1" a="1"/>
  <c r="G89" i="32" s="1"/>
  <c r="G90" i="32" s="1" a="1"/>
  <c r="G90" i="32" s="1"/>
  <c r="G91" i="32" s="1" a="1"/>
  <c r="G91" i="32" s="1"/>
  <c r="G92" i="32" s="1" a="1"/>
  <c r="G92" i="32" s="1"/>
  <c r="G93" i="32" s="1"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B85" i="32"/>
  <c r="K84" i="32"/>
  <c r="K83" i="32" a="1"/>
  <c r="K83" i="32"/>
  <c r="AP82" i="32" a="1"/>
  <c r="AP82" i="32" s="1"/>
  <c r="AP83" i="32" s="1" a="1"/>
  <c r="AP83" i="32" s="1"/>
  <c r="AP84" i="32" s="1" a="1"/>
  <c r="AP84" i="32" s="1"/>
  <c r="AP85" i="32" s="1" a="1"/>
  <c r="AP85" i="32" s="1"/>
  <c r="AP86" i="32" s="1" a="1"/>
  <c r="AP86" i="32" s="1"/>
  <c r="AP87" i="32" s="1" a="1"/>
  <c r="AP87" i="32" s="1"/>
  <c r="AP88" i="32" s="1" a="1"/>
  <c r="AP88" i="32" s="1"/>
  <c r="AP89" i="32" s="1" a="1"/>
  <c r="AP89" i="32" s="1"/>
  <c r="AP90" i="32" s="1" a="1"/>
  <c r="AP90" i="32" s="1"/>
  <c r="AP91" i="32" s="1" a="1"/>
  <c r="AP91" i="32" s="1"/>
  <c r="AP92" i="32" s="1" a="1"/>
  <c r="AP92" i="32" s="1"/>
  <c r="AP93" i="32" s="1"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P113" i="32" s="1"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G82" i="32" a="1"/>
  <c r="G82" i="32"/>
  <c r="G83" i="32" s="1" a="1"/>
  <c r="G83" i="32" s="1"/>
  <c r="G84" i="32" s="1" a="1"/>
  <c r="G84" i="32" s="1"/>
  <c r="T81" i="32"/>
  <c r="F81" i="32" a="1"/>
  <c r="F81" i="32" s="1"/>
  <c r="F82" i="32" s="1" a="1"/>
  <c r="F82" i="32" s="1"/>
  <c r="G80" i="32"/>
  <c r="AN79" i="32" a="1"/>
  <c r="AN79" i="32" s="1"/>
  <c r="AB79" i="32"/>
  <c r="K79" i="32"/>
  <c r="B79" i="32"/>
  <c r="K78" i="32"/>
  <c r="AN77" i="32" a="1"/>
  <c r="AN77" i="32" s="1"/>
  <c r="AB77" i="32"/>
  <c r="K77" i="32"/>
  <c r="B77" i="32"/>
  <c r="K76" i="32"/>
  <c r="AN75" i="32" a="1"/>
  <c r="AN75" i="32" s="1"/>
  <c r="AB75" i="32"/>
  <c r="K75" i="32"/>
  <c r="B75" i="32"/>
  <c r="K74" i="32"/>
  <c r="AN73" i="32" a="1"/>
  <c r="AN73" i="32" s="1"/>
  <c r="AB73" i="32"/>
  <c r="K73" i="32"/>
  <c r="B73" i="32"/>
  <c r="K72" i="32"/>
  <c r="AN71" i="32" a="1"/>
  <c r="AN71" i="32" s="1"/>
  <c r="AB71" i="32"/>
  <c r="K71" i="32"/>
  <c r="B71" i="32"/>
  <c r="K70" i="32"/>
  <c r="AN69" i="32" a="1"/>
  <c r="AN69" i="32" s="1"/>
  <c r="AB69" i="32"/>
  <c r="K69" i="32"/>
  <c r="B69" i="32"/>
  <c r="K68" i="32"/>
  <c r="AN67" i="32" a="1"/>
  <c r="AN67" i="32" s="1"/>
  <c r="AB67" i="32"/>
  <c r="K67" i="32"/>
  <c r="B67" i="32"/>
  <c r="K66" i="32"/>
  <c r="AN65" i="32" a="1"/>
  <c r="AN65" i="32" s="1"/>
  <c r="AB65" i="32"/>
  <c r="K65" i="32"/>
  <c r="B65" i="32"/>
  <c r="K64" i="32"/>
  <c r="AN63" i="32" a="1"/>
  <c r="AN63" i="32" s="1"/>
  <c r="AB63" i="32"/>
  <c r="K63" i="32"/>
  <c r="B63" i="32"/>
  <c r="K62" i="32"/>
  <c r="AN61" i="32" a="1"/>
  <c r="AN61" i="32" s="1"/>
  <c r="AB61" i="32"/>
  <c r="K61" i="32"/>
  <c r="B61" i="32"/>
  <c r="K60" i="32"/>
  <c r="AN59" i="32" a="1"/>
  <c r="AN59" i="32" s="1"/>
  <c r="AB59" i="32"/>
  <c r="K59" i="32"/>
  <c r="B59" i="32"/>
  <c r="K58" i="32"/>
  <c r="AN57" i="32" a="1"/>
  <c r="AN57" i="32" s="1"/>
  <c r="AB57" i="32"/>
  <c r="K57" i="32"/>
  <c r="B57" i="32"/>
  <c r="K56" i="32"/>
  <c r="AN55" i="32" a="1"/>
  <c r="AN55" i="32" s="1"/>
  <c r="AB55" i="32"/>
  <c r="K55" i="32"/>
  <c r="B55" i="32"/>
  <c r="K54" i="32"/>
  <c r="AN53" i="32" a="1"/>
  <c r="AN53" i="32" s="1"/>
  <c r="AB53" i="32"/>
  <c r="K53" i="32"/>
  <c r="B53" i="32"/>
  <c r="K52" i="32"/>
  <c r="AN51" i="32" a="1"/>
  <c r="AN51" i="32" s="1"/>
  <c r="AB51" i="32"/>
  <c r="K51" i="32"/>
  <c r="B51" i="32"/>
  <c r="K50" i="32"/>
  <c r="AN49" i="32" a="1"/>
  <c r="AN49" i="32" s="1"/>
  <c r="AB49" i="32"/>
  <c r="K49" i="32"/>
  <c r="B49" i="32"/>
  <c r="K48" i="32"/>
  <c r="AN47" i="32" a="1"/>
  <c r="AN47" i="32" s="1"/>
  <c r="AB47" i="32"/>
  <c r="K47" i="32"/>
  <c r="B47" i="32"/>
  <c r="K46" i="32"/>
  <c r="AN45" i="32" a="1"/>
  <c r="AN45" i="32" s="1"/>
  <c r="AB45" i="32"/>
  <c r="K45" i="32"/>
  <c r="B45" i="32"/>
  <c r="K44" i="32"/>
  <c r="AN43" i="32" a="1"/>
  <c r="AN43" i="32" s="1"/>
  <c r="AB43" i="32"/>
  <c r="K43" i="32"/>
  <c r="B43" i="32"/>
  <c r="K42" i="32"/>
  <c r="AN41" i="32" a="1"/>
  <c r="AN41" i="32" s="1"/>
  <c r="AB41" i="32"/>
  <c r="K41" i="32"/>
  <c r="B41" i="32"/>
  <c r="K40" i="32"/>
  <c r="AN39" i="32" a="1"/>
  <c r="AN39" i="32" s="1"/>
  <c r="AB39" i="32"/>
  <c r="K39" i="32"/>
  <c r="B39" i="32"/>
  <c r="K38" i="32"/>
  <c r="AN37" i="32" a="1"/>
  <c r="AN37" i="32" s="1"/>
  <c r="AB37" i="32"/>
  <c r="K37" i="32"/>
  <c r="B37" i="32"/>
  <c r="K36" i="32"/>
  <c r="AN35" i="32" a="1"/>
  <c r="AN35" i="32" s="1"/>
  <c r="AB35" i="32"/>
  <c r="K35" i="32"/>
  <c r="B35" i="32"/>
  <c r="K34" i="32"/>
  <c r="AN33" i="32" a="1"/>
  <c r="AN33" i="32" s="1"/>
  <c r="AB33" i="32"/>
  <c r="K33" i="32"/>
  <c r="B33" i="32"/>
  <c r="K32" i="32"/>
  <c r="AN31" i="32" a="1"/>
  <c r="AN31" i="32" s="1"/>
  <c r="AB31" i="32"/>
  <c r="K31" i="32"/>
  <c r="B31" i="32"/>
  <c r="K30" i="32" a="1"/>
  <c r="K30" i="32" s="1"/>
  <c r="AP29" i="32" a="1"/>
  <c r="AP29" i="32"/>
  <c r="AP30" i="32" s="1" a="1"/>
  <c r="AP30" i="32" s="1"/>
  <c r="AP31" i="32" s="1" a="1"/>
  <c r="AP31" i="32" s="1"/>
  <c r="AP32" i="32" s="1" a="1"/>
  <c r="AP32" i="32" s="1"/>
  <c r="AP33" i="32" s="1" a="1"/>
  <c r="AP33" i="32" s="1"/>
  <c r="AP34" i="32" s="1" a="1"/>
  <c r="AP34" i="32" s="1"/>
  <c r="AP35" i="32" s="1" a="1"/>
  <c r="AP35" i="32" s="1"/>
  <c r="AP36" i="32" s="1" a="1"/>
  <c r="AP36" i="32" s="1"/>
  <c r="AP37" i="32" s="1" a="1"/>
  <c r="AP37" i="32" s="1"/>
  <c r="AP38" i="32" s="1" a="1"/>
  <c r="AP38" i="32" s="1"/>
  <c r="AP39" i="32" s="1" a="1"/>
  <c r="AP39" i="32" s="1"/>
  <c r="AP40" i="32" s="1" a="1"/>
  <c r="AP40" i="32" s="1"/>
  <c r="AP41" i="32" s="1" a="1"/>
  <c r="AP41" i="32" s="1"/>
  <c r="AP42" i="32" s="1" a="1"/>
  <c r="AP42" i="32" s="1"/>
  <c r="AP43" i="32" s="1" a="1"/>
  <c r="AP43" i="32" s="1"/>
  <c r="AP44" i="32" s="1" a="1"/>
  <c r="AP44" i="32" s="1"/>
  <c r="AP45" i="32" s="1" a="1"/>
  <c r="AP45" i="32" s="1"/>
  <c r="AP46" i="32" s="1" a="1"/>
  <c r="AP46" i="32" s="1"/>
  <c r="AP47" i="32" s="1"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P58" i="32" s="1"/>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P70" i="32" s="1"/>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G29" i="32" a="1"/>
  <c r="G29" i="32" s="1"/>
  <c r="G30" i="32" s="1" a="1"/>
  <c r="G30" i="32" s="1"/>
  <c r="G31" i="32" s="1" a="1"/>
  <c r="G31" i="32" s="1"/>
  <c r="G32" i="32" s="1" a="1"/>
  <c r="G32" i="32" s="1"/>
  <c r="G33" i="32" s="1" a="1"/>
  <c r="G33" i="32" s="1"/>
  <c r="G34" i="32" s="1" a="1"/>
  <c r="G34" i="32" s="1"/>
  <c r="G35" i="32" s="1" a="1"/>
  <c r="G35" i="32" s="1"/>
  <c r="G36" i="32" s="1" a="1"/>
  <c r="G36" i="32" s="1"/>
  <c r="G37" i="32" s="1" a="1"/>
  <c r="G37" i="32" s="1"/>
  <c r="G38" i="32" s="1" a="1"/>
  <c r="G38" i="32" s="1"/>
  <c r="G39" i="32" s="1" a="1"/>
  <c r="G39" i="32" s="1"/>
  <c r="G40" i="32" s="1" a="1"/>
  <c r="G40" i="32" s="1"/>
  <c r="G41" i="32" s="1" a="1"/>
  <c r="G41" i="32" s="1"/>
  <c r="G42" i="32" s="1" a="1"/>
  <c r="G42" i="32" s="1"/>
  <c r="G43" i="32" s="1" a="1"/>
  <c r="G43" i="32" s="1"/>
  <c r="G44" i="32" s="1" a="1"/>
  <c r="G44" i="32" s="1"/>
  <c r="G45" i="32" s="1" a="1"/>
  <c r="G45" i="32" s="1"/>
  <c r="G46" i="32" s="1"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G55" i="32" s="1"/>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T28" i="32"/>
  <c r="F28" i="32" a="1"/>
  <c r="F28" i="32"/>
  <c r="F29" i="32" s="1" a="1"/>
  <c r="F29" i="32" s="1"/>
  <c r="T29" i="32" s="1"/>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AK2" i="32"/>
  <c r="AJ2" i="32"/>
  <c r="AI2" i="32"/>
  <c r="AH2" i="32"/>
  <c r="AG2" i="32"/>
  <c r="T135" i="31"/>
  <c r="K131" i="31"/>
  <c r="AO130" i="31" a="1"/>
  <c r="AO130" i="31" s="1"/>
  <c r="AB130" i="31"/>
  <c r="K130" i="31"/>
  <c r="B130" i="31"/>
  <c r="K129" i="31"/>
  <c r="AO128" i="31" a="1"/>
  <c r="AO128" i="31" s="1"/>
  <c r="AB128" i="31"/>
  <c r="K128" i="31"/>
  <c r="B128" i="31"/>
  <c r="K127" i="31"/>
  <c r="AO126" i="31" a="1"/>
  <c r="AO126" i="31" s="1"/>
  <c r="AB126" i="31"/>
  <c r="K126" i="31"/>
  <c r="B126" i="31"/>
  <c r="K125" i="31"/>
  <c r="AO124" i="31" a="1"/>
  <c r="AO124" i="31" s="1"/>
  <c r="AB124" i="31"/>
  <c r="K124" i="31"/>
  <c r="B124" i="31"/>
  <c r="K123" i="31"/>
  <c r="AO122" i="31" a="1"/>
  <c r="AO122" i="31" s="1"/>
  <c r="AB122" i="31"/>
  <c r="K122" i="31"/>
  <c r="B122" i="31"/>
  <c r="K121" i="31"/>
  <c r="AO120" i="31" a="1"/>
  <c r="AO120" i="31" s="1"/>
  <c r="AB120" i="31"/>
  <c r="K120" i="31"/>
  <c r="B120" i="31"/>
  <c r="K119" i="31"/>
  <c r="AO118" i="31" a="1"/>
  <c r="AO118" i="31" s="1"/>
  <c r="AB118" i="31"/>
  <c r="K118" i="31"/>
  <c r="B118" i="31"/>
  <c r="K117" i="31"/>
  <c r="AO116" i="31" a="1"/>
  <c r="AO116" i="31" s="1"/>
  <c r="AB116" i="31"/>
  <c r="K116" i="31"/>
  <c r="B116" i="31"/>
  <c r="K115" i="31"/>
  <c r="AO114" i="31" a="1"/>
  <c r="AO114" i="31" s="1"/>
  <c r="AB114" i="31"/>
  <c r="K114" i="31"/>
  <c r="B114" i="31"/>
  <c r="K113" i="31"/>
  <c r="AO112" i="31" a="1"/>
  <c r="AO112" i="31" s="1"/>
  <c r="AB112" i="31"/>
  <c r="K112" i="31"/>
  <c r="B112" i="31"/>
  <c r="K111" i="31"/>
  <c r="AO110" i="31" a="1"/>
  <c r="AO110" i="31" s="1"/>
  <c r="AB110" i="31"/>
  <c r="K110" i="31"/>
  <c r="B110" i="31"/>
  <c r="K109" i="31"/>
  <c r="AO108" i="31" a="1"/>
  <c r="AO108" i="31" s="1"/>
  <c r="AB108" i="31"/>
  <c r="K108" i="31"/>
  <c r="B108" i="31"/>
  <c r="K107" i="31"/>
  <c r="AO106" i="31" a="1"/>
  <c r="AO106" i="31" s="1"/>
  <c r="AB106" i="31"/>
  <c r="K106" i="31"/>
  <c r="B106" i="31"/>
  <c r="K105" i="31"/>
  <c r="AO104" i="31" a="1"/>
  <c r="AO104" i="31" s="1"/>
  <c r="AB104" i="31"/>
  <c r="K104" i="31"/>
  <c r="B104" i="31"/>
  <c r="K103" i="31"/>
  <c r="AO102" i="31" a="1"/>
  <c r="AO102" i="31" s="1"/>
  <c r="AB102" i="31"/>
  <c r="K102" i="31"/>
  <c r="B102" i="31"/>
  <c r="K101" i="31"/>
  <c r="AO100" i="31" a="1"/>
  <c r="AO100" i="31" s="1"/>
  <c r="AB100" i="31"/>
  <c r="K100" i="31"/>
  <c r="B100" i="31"/>
  <c r="K99" i="31"/>
  <c r="AO98" i="31" a="1"/>
  <c r="AO98" i="31" s="1"/>
  <c r="AB98" i="31"/>
  <c r="K98" i="31"/>
  <c r="B98" i="31"/>
  <c r="K97" i="31"/>
  <c r="AO96" i="31" a="1"/>
  <c r="AO96" i="31" s="1"/>
  <c r="AB96" i="31"/>
  <c r="K96" i="31"/>
  <c r="B96" i="31"/>
  <c r="K95" i="31"/>
  <c r="AO94" i="31" a="1"/>
  <c r="AO94" i="31" s="1"/>
  <c r="AB94" i="31"/>
  <c r="K94" i="31"/>
  <c r="B94" i="31"/>
  <c r="K93" i="31"/>
  <c r="AO92" i="31" a="1"/>
  <c r="AO92" i="31" s="1"/>
  <c r="AB92" i="31"/>
  <c r="K92" i="31"/>
  <c r="B92" i="31"/>
  <c r="AB91" i="31"/>
  <c r="K91" i="31"/>
  <c r="AO91" i="31" s="1" a="1"/>
  <c r="AO91" i="31" s="1"/>
  <c r="B91" i="31"/>
  <c r="AB90" i="31"/>
  <c r="K90" i="31"/>
  <c r="AO90" i="31" s="1" a="1"/>
  <c r="AO90" i="31" s="1"/>
  <c r="B90" i="31"/>
  <c r="AB89" i="31"/>
  <c r="K89" i="31"/>
  <c r="AO89" i="31" s="1" a="1"/>
  <c r="AO89" i="31" s="1"/>
  <c r="B89" i="31"/>
  <c r="AB88" i="31"/>
  <c r="K88" i="31"/>
  <c r="AO88" i="31" s="1" a="1"/>
  <c r="AO88" i="31" s="1"/>
  <c r="B88" i="31"/>
  <c r="AB87" i="31"/>
  <c r="K87" i="31"/>
  <c r="AO87" i="31" s="1" a="1"/>
  <c r="AO87" i="31" s="1"/>
  <c r="B87" i="31"/>
  <c r="AB86" i="31"/>
  <c r="K86" i="31"/>
  <c r="B86" i="31"/>
  <c r="AB85" i="31"/>
  <c r="K85" i="31"/>
  <c r="AO85" i="31" s="1" a="1"/>
  <c r="AO85" i="31" s="1"/>
  <c r="B85" i="31"/>
  <c r="AB84" i="31"/>
  <c r="K84" i="31"/>
  <c r="AO84" i="31" s="1" a="1"/>
  <c r="AO84" i="31" s="1"/>
  <c r="B84" i="31"/>
  <c r="AB83" i="31"/>
  <c r="K83" i="31"/>
  <c r="AO83" i="31" s="1" a="1"/>
  <c r="AO83" i="31" s="1"/>
  <c r="B83" i="31"/>
  <c r="T82" i="3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T100" i="31" s="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82" i="31" a="1"/>
  <c r="K82" i="31" s="1"/>
  <c r="T81" i="31"/>
  <c r="F81" i="31" a="1"/>
  <c r="F81" i="31" s="1"/>
  <c r="F82" i="31" s="1" a="1"/>
  <c r="F82" i="31" s="1"/>
  <c r="AO80" i="31" a="1"/>
  <c r="AO80" i="31" s="1"/>
  <c r="AB80" i="31"/>
  <c r="K80" i="31"/>
  <c r="B80" i="31"/>
  <c r="K79" i="31"/>
  <c r="AO79" i="31" s="1" a="1"/>
  <c r="AO79" i="31" s="1"/>
  <c r="AO78" i="31" a="1"/>
  <c r="AO78" i="31" s="1"/>
  <c r="AB78" i="31"/>
  <c r="K78" i="31"/>
  <c r="B78" i="31"/>
  <c r="K77" i="31"/>
  <c r="AO77" i="31" s="1" a="1"/>
  <c r="AO77" i="31" s="1"/>
  <c r="AO76" i="31" a="1"/>
  <c r="AO76" i="31" s="1"/>
  <c r="AB76" i="31"/>
  <c r="K76" i="31"/>
  <c r="B76" i="31"/>
  <c r="K75" i="31"/>
  <c r="AO75" i="31" s="1" a="1"/>
  <c r="AO75" i="31" s="1"/>
  <c r="AO74" i="31" a="1"/>
  <c r="AO74" i="31" s="1"/>
  <c r="AB74" i="31"/>
  <c r="K74" i="31"/>
  <c r="B74" i="31"/>
  <c r="K73" i="31"/>
  <c r="AO73" i="31" s="1" a="1"/>
  <c r="AO73" i="31" s="1"/>
  <c r="AO72" i="31" a="1"/>
  <c r="AO72" i="31" s="1"/>
  <c r="AB72" i="31"/>
  <c r="K72" i="31"/>
  <c r="B72" i="31"/>
  <c r="K71" i="31"/>
  <c r="AO71" i="31" s="1" a="1"/>
  <c r="AO71" i="31" s="1"/>
  <c r="AO70" i="31" a="1"/>
  <c r="AO70" i="31" s="1"/>
  <c r="AB70" i="31"/>
  <c r="K70" i="31"/>
  <c r="B70" i="31"/>
  <c r="K69" i="31"/>
  <c r="AO69" i="31" s="1" a="1"/>
  <c r="AO69" i="31" s="1"/>
  <c r="AO68" i="31" a="1"/>
  <c r="AO68" i="31" s="1"/>
  <c r="AB68" i="31"/>
  <c r="K68" i="31"/>
  <c r="B68" i="31"/>
  <c r="K67" i="31"/>
  <c r="AO67" i="31" s="1" a="1"/>
  <c r="AO67" i="31" s="1"/>
  <c r="AO66" i="31" a="1"/>
  <c r="AO66" i="31" s="1"/>
  <c r="AB66" i="31"/>
  <c r="K66" i="31"/>
  <c r="B66" i="31"/>
  <c r="K65" i="31"/>
  <c r="AO65" i="31" s="1" a="1"/>
  <c r="AO65" i="31" s="1"/>
  <c r="AO64" i="31" a="1"/>
  <c r="AO64" i="31" s="1"/>
  <c r="AB64" i="31"/>
  <c r="K64" i="31"/>
  <c r="B64" i="31"/>
  <c r="K63" i="31"/>
  <c r="AO63" i="31" s="1" a="1"/>
  <c r="AO63" i="31" s="1"/>
  <c r="AO62" i="31" a="1"/>
  <c r="AO62" i="31" s="1"/>
  <c r="AB62" i="31"/>
  <c r="K62" i="31"/>
  <c r="B62" i="31"/>
  <c r="K61" i="31"/>
  <c r="AO61" i="31" s="1" a="1"/>
  <c r="AO61" i="31" s="1"/>
  <c r="AO60" i="31" a="1"/>
  <c r="AO60" i="31" s="1"/>
  <c r="AB60" i="31"/>
  <c r="K60" i="31"/>
  <c r="B60" i="31"/>
  <c r="K59" i="31"/>
  <c r="AO59" i="31" s="1" a="1"/>
  <c r="AO59" i="31" s="1"/>
  <c r="AO58" i="31" a="1"/>
  <c r="AO58" i="31" s="1"/>
  <c r="AB58" i="31"/>
  <c r="K58" i="31"/>
  <c r="B58" i="31"/>
  <c r="K57" i="31"/>
  <c r="AO57" i="31" s="1" a="1"/>
  <c r="AO57" i="31" s="1"/>
  <c r="AO56" i="31" a="1"/>
  <c r="AO56" i="31" s="1"/>
  <c r="AB56" i="31"/>
  <c r="K56" i="31"/>
  <c r="B56" i="31"/>
  <c r="K55" i="31"/>
  <c r="AO55" i="31" s="1" a="1"/>
  <c r="AO55" i="31" s="1"/>
  <c r="AO54" i="31" a="1"/>
  <c r="AO54" i="31" s="1"/>
  <c r="AB54" i="31"/>
  <c r="K54" i="31"/>
  <c r="B54" i="31"/>
  <c r="K53" i="31"/>
  <c r="AO53" i="31" s="1" a="1"/>
  <c r="AO53" i="31" s="1"/>
  <c r="AO52" i="31" a="1"/>
  <c r="AO52" i="31" s="1"/>
  <c r="AB52" i="31"/>
  <c r="K52" i="31"/>
  <c r="B52" i="31"/>
  <c r="K51" i="31"/>
  <c r="AO51" i="31" s="1" a="1"/>
  <c r="AO51" i="31" s="1"/>
  <c r="AO50" i="31" a="1"/>
  <c r="AO50" i="31" s="1"/>
  <c r="AB50" i="31"/>
  <c r="K50" i="31"/>
  <c r="B50" i="31"/>
  <c r="K49" i="31"/>
  <c r="AO49" i="31" s="1" a="1"/>
  <c r="AO49" i="31" s="1"/>
  <c r="AO48" i="31" a="1"/>
  <c r="AO48" i="31" s="1"/>
  <c r="AB48" i="31"/>
  <c r="K48" i="31"/>
  <c r="B48" i="31"/>
  <c r="K47" i="31"/>
  <c r="AO47" i="31" s="1" a="1"/>
  <c r="AO47" i="31" s="1"/>
  <c r="AO46" i="31" a="1"/>
  <c r="AO46" i="31" s="1"/>
  <c r="AB46" i="31"/>
  <c r="K46" i="31"/>
  <c r="B46" i="31"/>
  <c r="K45" i="31"/>
  <c r="AO45" i="31" s="1" a="1"/>
  <c r="AO45" i="31" s="1"/>
  <c r="AO44" i="31" a="1"/>
  <c r="AO44" i="31" s="1"/>
  <c r="AB44" i="31"/>
  <c r="K44" i="31"/>
  <c r="B44" i="31"/>
  <c r="K43" i="31"/>
  <c r="AO43" i="31" s="1" a="1"/>
  <c r="AO43" i="31" s="1"/>
  <c r="AO42" i="31" a="1"/>
  <c r="AO42" i="31" s="1"/>
  <c r="AB42" i="31"/>
  <c r="K42" i="31"/>
  <c r="B42" i="31"/>
  <c r="K41" i="31"/>
  <c r="AO41" i="31" s="1" a="1"/>
  <c r="AO41" i="31" s="1"/>
  <c r="K40" i="31"/>
  <c r="AO40" i="31" s="1" a="1"/>
  <c r="AO40" i="31" s="1"/>
  <c r="K39" i="31"/>
  <c r="AO39" i="31" s="1" a="1"/>
  <c r="AO39" i="31" s="1"/>
  <c r="K38" i="31"/>
  <c r="AO38" i="31" s="1" a="1"/>
  <c r="AO38" i="31" s="1"/>
  <c r="K37" i="31"/>
  <c r="AO37" i="31" s="1" a="1"/>
  <c r="AO37" i="31" s="1"/>
  <c r="K36" i="31"/>
  <c r="AO36" i="31" s="1" a="1"/>
  <c r="AO36" i="31" s="1"/>
  <c r="K35" i="31"/>
  <c r="AO35" i="31" s="1" a="1"/>
  <c r="AO35" i="31" s="1"/>
  <c r="K34" i="31"/>
  <c r="AO34" i="31" s="1" a="1"/>
  <c r="AO34" i="31" s="1"/>
  <c r="K33" i="31"/>
  <c r="AO33" i="31" s="1" a="1"/>
  <c r="AO33" i="31" s="1"/>
  <c r="K32" i="31"/>
  <c r="AO32" i="31" s="1" a="1"/>
  <c r="AO32" i="31" s="1"/>
  <c r="K31" i="31" a="1"/>
  <c r="K31" i="31"/>
  <c r="AO31" i="31" s="1" a="1"/>
  <c r="AO31" i="31" s="1"/>
  <c r="T30" i="31"/>
  <c r="T31" i="31" s="1" a="1"/>
  <c r="T31" i="31" s="1"/>
  <c r="T32" i="31" s="1" a="1"/>
  <c r="T32" i="31" s="1"/>
  <c r="T33" i="31" s="1" a="1"/>
  <c r="T33" i="31" s="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F30" i="31" a="1"/>
  <c r="F30" i="31"/>
  <c r="F31" i="31" s="1" a="1"/>
  <c r="F31" i="31" s="1"/>
  <c r="AK2" i="31"/>
  <c r="AJ2" i="31"/>
  <c r="AI2" i="31"/>
  <c r="AH2" i="31"/>
  <c r="AG2" i="31"/>
  <c r="T318" i="30"/>
  <c r="AH314" i="30"/>
  <c r="AH313" i="30"/>
  <c r="AH312" i="30"/>
  <c r="AT303" i="30"/>
  <c r="AS303" i="30"/>
  <c r="AR303" i="30"/>
  <c r="AQ303" i="30"/>
  <c r="AP303" i="30"/>
  <c r="AO303" i="30"/>
  <c r="AN303" i="30"/>
  <c r="AM303" i="30"/>
  <c r="AL303" i="30"/>
  <c r="AK303" i="30"/>
  <c r="AJ303" i="30"/>
  <c r="AI303" i="30"/>
  <c r="AG303" i="30"/>
  <c r="AF303" i="30"/>
  <c r="AE303" i="30"/>
  <c r="AH300" i="30"/>
  <c r="AH297" i="30"/>
  <c r="B297" i="30"/>
  <c r="AH296" i="30"/>
  <c r="B296" i="30"/>
  <c r="AH292" i="30"/>
  <c r="AH291" i="30"/>
  <c r="AH290" i="30"/>
  <c r="AH289" i="30"/>
  <c r="AH288" i="30"/>
  <c r="BM287" i="30"/>
  <c r="BK287" i="30"/>
  <c r="BI287" i="30"/>
  <c r="BG287" i="30"/>
  <c r="BC287" i="30"/>
  <c r="BB287" i="30"/>
  <c r="BA287" i="30"/>
  <c r="BL287" i="30" s="1"/>
  <c r="AZ287" i="30"/>
  <c r="AY287" i="30"/>
  <c r="BJ287" i="30" s="1"/>
  <c r="AX287" i="30"/>
  <c r="AW287" i="30"/>
  <c r="BH287" i="30" s="1"/>
  <c r="AV287" i="30"/>
  <c r="AU287" i="30"/>
  <c r="BF287" i="30" s="1"/>
  <c r="AS287" i="30"/>
  <c r="AR287" i="30"/>
  <c r="AQ287" i="30"/>
  <c r="AP287" i="30"/>
  <c r="AO287" i="30"/>
  <c r="AN287" i="30"/>
  <c r="AM287" i="30"/>
  <c r="AL287" i="30"/>
  <c r="AK287" i="30"/>
  <c r="AI287" i="30"/>
  <c r="BD287" i="30" s="1"/>
  <c r="AG287" i="30"/>
  <c r="AH287" i="30" s="1"/>
  <c r="AF287" i="30"/>
  <c r="AE287" i="30"/>
  <c r="AH286" i="30"/>
  <c r="AH285" i="30"/>
  <c r="AH284" i="30"/>
  <c r="AH283" i="30"/>
  <c r="AH282" i="30"/>
  <c r="AH281" i="30"/>
  <c r="BM279" i="30"/>
  <c r="BL279" i="30"/>
  <c r="BK279" i="30"/>
  <c r="BJ279" i="30"/>
  <c r="BI279" i="30"/>
  <c r="BH279" i="30"/>
  <c r="BG279" i="30"/>
  <c r="BF279" i="30"/>
  <c r="BD279" i="30"/>
  <c r="AH279" i="30"/>
  <c r="BM270" i="30"/>
  <c r="BL270" i="30"/>
  <c r="BK270" i="30"/>
  <c r="BJ270" i="30"/>
  <c r="BI270" i="30"/>
  <c r="BH270" i="30"/>
  <c r="BG270" i="30"/>
  <c r="BF270" i="30"/>
  <c r="BE270" i="30"/>
  <c r="BD270" i="30"/>
  <c r="AH270" i="30"/>
  <c r="B269" i="30"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D279" i="30" s="1"/>
  <c r="B268" i="30" a="1"/>
  <c r="B268" i="30" s="1"/>
  <c r="BM267" i="30"/>
  <c r="BL267" i="30"/>
  <c r="BK267" i="30"/>
  <c r="BJ267" i="30"/>
  <c r="BI267" i="30"/>
  <c r="BH267" i="30"/>
  <c r="BG267" i="30"/>
  <c r="BF267" i="30"/>
  <c r="BE267" i="30"/>
  <c r="BD267" i="30"/>
  <c r="AH267" i="30"/>
  <c r="B267" i="30"/>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259" i="30"/>
  <c r="B260" i="30" s="1" a="1"/>
  <c r="B260" i="30" s="1"/>
  <c r="B261" i="30" s="1" a="1"/>
  <c r="B261" i="30" s="1"/>
  <c r="B262" i="30" s="1" a="1"/>
  <c r="B262" i="30" s="1"/>
  <c r="B263" i="30" s="1" a="1"/>
  <c r="B263" i="30" s="1"/>
  <c r="B264" i="30" s="1" a="1"/>
  <c r="B264" i="30" s="1"/>
  <c r="B265" i="30" s="1" a="1"/>
  <c r="B265" i="30" s="1"/>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M254" i="30"/>
  <c r="BK254" i="30"/>
  <c r="BI254" i="30"/>
  <c r="BG254" i="30"/>
  <c r="BE254" i="30"/>
  <c r="BC254" i="30"/>
  <c r="BB254" i="30"/>
  <c r="BA254" i="30"/>
  <c r="BL254" i="30" s="1"/>
  <c r="AZ254" i="30"/>
  <c r="AY254" i="30"/>
  <c r="BJ254" i="30" s="1"/>
  <c r="AX254" i="30"/>
  <c r="AW254" i="30"/>
  <c r="BH254" i="30" s="1"/>
  <c r="AV254" i="30"/>
  <c r="AU254" i="30"/>
  <c r="BF254" i="30" s="1"/>
  <c r="AT254" i="30"/>
  <c r="AS254" i="30"/>
  <c r="AR254" i="30"/>
  <c r="AQ254" i="30"/>
  <c r="AP254" i="30"/>
  <c r="AO254" i="30"/>
  <c r="AN254" i="30"/>
  <c r="AM254" i="30"/>
  <c r="AL254" i="30"/>
  <c r="AK254" i="30"/>
  <c r="AJ254" i="30"/>
  <c r="AI254" i="30"/>
  <c r="BD254" i="30" s="1"/>
  <c r="AG254" i="30"/>
  <c r="AH254" i="30" s="1"/>
  <c r="AF254" i="30"/>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c r="AH220" i="30"/>
  <c r="AB220" i="30"/>
  <c r="J220" i="30" a="1"/>
  <c r="J220" i="30" s="1"/>
  <c r="AI219" i="30"/>
  <c r="AG219" i="30"/>
  <c r="AH219" i="30" s="1"/>
  <c r="AF219" i="30"/>
  <c r="AE219" i="30"/>
  <c r="AH218" i="30"/>
  <c r="AH217" i="30"/>
  <c r="B217" i="30"/>
  <c r="AH216" i="30"/>
  <c r="AH215" i="30"/>
  <c r="AH214" i="30"/>
  <c r="AI213" i="30"/>
  <c r="AG213" i="30"/>
  <c r="AF213" i="30"/>
  <c r="AH213" i="30" s="1"/>
  <c r="AE213" i="30"/>
  <c r="AH212" i="30"/>
  <c r="AH211" i="30"/>
  <c r="AH210" i="30"/>
  <c r="AH209" i="30"/>
  <c r="AH207" i="30"/>
  <c r="AH205" i="30"/>
  <c r="AH204" i="30"/>
  <c r="AH203" i="30"/>
  <c r="AH202" i="30"/>
  <c r="AH201" i="30"/>
  <c r="AH200" i="30"/>
  <c r="AH199" i="30"/>
  <c r="AI198" i="30"/>
  <c r="AG198" i="30"/>
  <c r="AF198" i="30"/>
  <c r="AH198" i="30" s="1"/>
  <c r="AE198" i="30"/>
  <c r="AH195" i="30"/>
  <c r="AH194" i="30"/>
  <c r="AH193" i="30"/>
  <c r="AH192" i="30"/>
  <c r="AI191" i="30"/>
  <c r="AG191" i="30"/>
  <c r="AH191" i="30" s="1"/>
  <c r="AF191" i="30"/>
  <c r="AE191" i="30"/>
  <c r="AH190" i="30"/>
  <c r="AH189" i="30"/>
  <c r="AH188" i="30"/>
  <c r="AH187" i="30"/>
  <c r="AH186" i="30"/>
  <c r="AH185" i="30"/>
  <c r="AH184" i="30"/>
  <c r="AI183" i="30"/>
  <c r="AG183" i="30"/>
  <c r="AH183" i="30" s="1"/>
  <c r="AF183" i="30"/>
  <c r="AE183" i="30"/>
  <c r="AH182" i="30"/>
  <c r="AH180" i="30"/>
  <c r="AH178" i="30"/>
  <c r="AH177" i="30"/>
  <c r="AH176" i="30"/>
  <c r="AI175" i="30"/>
  <c r="AG175" i="30"/>
  <c r="AH175" i="30" s="1"/>
  <c r="AF175" i="30"/>
  <c r="AE175" i="30"/>
  <c r="AH173" i="30"/>
  <c r="T171" i="30"/>
  <c r="T172" i="30" s="1" a="1"/>
  <c r="T172" i="30" s="1"/>
  <c r="T173" i="30" s="1" a="1"/>
  <c r="T173" i="30" s="1"/>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S171" i="30" a="1"/>
  <c r="S171" i="30" s="1"/>
  <c r="B284" i="30" s="1"/>
  <c r="B285" i="30" s="1" a="1"/>
  <c r="B285" i="30" s="1"/>
  <c r="F171" i="30" a="1"/>
  <c r="F171" i="30" s="1"/>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L143" i="30"/>
  <c r="BJ143" i="30"/>
  <c r="BH143" i="30"/>
  <c r="BF143" i="30"/>
  <c r="BD143" i="30"/>
  <c r="BC143" i="30"/>
  <c r="BB143" i="30"/>
  <c r="BM143" i="30" s="1"/>
  <c r="BA143" i="30"/>
  <c r="AZ143" i="30"/>
  <c r="BK143" i="30" s="1"/>
  <c r="AY143" i="30"/>
  <c r="AX143" i="30"/>
  <c r="BI143" i="30" s="1"/>
  <c r="AW143" i="30"/>
  <c r="AV143" i="30"/>
  <c r="BG143" i="30" s="1"/>
  <c r="AU143" i="30"/>
  <c r="AS143" i="30"/>
  <c r="AR143" i="30"/>
  <c r="AQ143" i="30"/>
  <c r="AP143" i="30"/>
  <c r="AO143" i="30"/>
  <c r="AN143" i="30"/>
  <c r="AM143" i="30"/>
  <c r="AL143" i="30"/>
  <c r="AK143" i="30"/>
  <c r="AI143" i="30"/>
  <c r="AG143" i="30"/>
  <c r="AF143" i="30"/>
  <c r="AH143" i="30" s="1"/>
  <c r="AE143" i="30"/>
  <c r="AH142" i="30"/>
  <c r="AH141" i="30"/>
  <c r="AH140" i="30"/>
  <c r="AH139" i="30"/>
  <c r="AH138" i="30"/>
  <c r="AH137" i="30"/>
  <c r="BM135" i="30"/>
  <c r="BL135" i="30"/>
  <c r="BK135" i="30"/>
  <c r="BJ135" i="30"/>
  <c r="BI135" i="30"/>
  <c r="BH135" i="30"/>
  <c r="BG135" i="30"/>
  <c r="BF135" i="30"/>
  <c r="BD135" i="30"/>
  <c r="AH135" i="30"/>
  <c r="BM126" i="30"/>
  <c r="BL126" i="30"/>
  <c r="BK126" i="30"/>
  <c r="BJ126" i="30"/>
  <c r="BI126" i="30"/>
  <c r="BH126" i="30"/>
  <c r="BG126" i="30"/>
  <c r="BF126" i="30"/>
  <c r="BE126" i="30"/>
  <c r="BD126" i="30"/>
  <c r="AH126" i="30"/>
  <c r="BM123" i="30"/>
  <c r="BL123" i="30"/>
  <c r="BK123" i="30"/>
  <c r="BJ123" i="30"/>
  <c r="BI123" i="30"/>
  <c r="BH123" i="30"/>
  <c r="BG123" i="30"/>
  <c r="BF123" i="30"/>
  <c r="BE123" i="30"/>
  <c r="BD123" i="30"/>
  <c r="AH123" i="30"/>
  <c r="B123" i="30"/>
  <c r="B124" i="30" s="1" a="1"/>
  <c r="B124" i="30" s="1"/>
  <c r="B125" i="30" s="1" a="1"/>
  <c r="B125" i="30" s="1"/>
  <c r="B126" i="30" s="1" a="1"/>
  <c r="B126" i="30" s="1"/>
  <c r="B127" i="30" s="1" a="1"/>
  <c r="B127" i="30" s="1"/>
  <c r="B128" i="30" s="1" a="1"/>
  <c r="B128" i="30" s="1"/>
  <c r="B129" i="30" s="1" a="1"/>
  <c r="B129" i="30" s="1"/>
  <c r="B130" i="30" s="1" a="1"/>
  <c r="B130" i="30" s="1"/>
  <c r="B131" i="30" s="1" a="1"/>
  <c r="B131" i="30" s="1"/>
  <c r="B132" i="30" s="1" a="1"/>
  <c r="B132" i="30" s="1"/>
  <c r="B133" i="30" s="1" a="1"/>
  <c r="B133" i="30" s="1"/>
  <c r="B134" i="30" s="1" a="1"/>
  <c r="B134" i="30" s="1"/>
  <c r="D135"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5" i="30"/>
  <c r="B116" i="30" s="1" a="1"/>
  <c r="B116" i="30" s="1"/>
  <c r="B117" i="30" s="1" a="1"/>
  <c r="B117" i="30" s="1"/>
  <c r="B118" i="30" s="1" a="1"/>
  <c r="B118" i="30" s="1"/>
  <c r="B119" i="30" s="1" a="1"/>
  <c r="B119" i="30" s="1"/>
  <c r="B120" i="30" s="1" a="1"/>
  <c r="B120" i="30" s="1"/>
  <c r="B121" i="30" s="1" a="1"/>
  <c r="B121" i="30" s="1"/>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M110" i="30"/>
  <c r="BK110" i="30"/>
  <c r="BI110" i="30"/>
  <c r="BG110" i="30"/>
  <c r="BE110" i="30"/>
  <c r="BC110" i="30"/>
  <c r="BB110" i="30"/>
  <c r="BA110" i="30"/>
  <c r="BL110" i="30" s="1"/>
  <c r="AZ110" i="30"/>
  <c r="AY110" i="30"/>
  <c r="BJ110" i="30" s="1"/>
  <c r="AX110" i="30"/>
  <c r="AW110" i="30"/>
  <c r="BH110" i="30" s="1"/>
  <c r="AV110" i="30"/>
  <c r="AU110" i="30"/>
  <c r="BF110" i="30" s="1"/>
  <c r="AT110" i="30"/>
  <c r="AS110" i="30"/>
  <c r="AR110" i="30"/>
  <c r="AQ110" i="30"/>
  <c r="AP110" i="30"/>
  <c r="AO110" i="30"/>
  <c r="AN110" i="30"/>
  <c r="AM110" i="30"/>
  <c r="AL110" i="30"/>
  <c r="AK110" i="30"/>
  <c r="AJ110" i="30"/>
  <c r="AI110" i="30"/>
  <c r="BD110" i="30" s="1"/>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c r="AH76" i="30"/>
  <c r="AB76" i="30"/>
  <c r="J76" i="30" a="1"/>
  <c r="J76" i="30" s="1"/>
  <c r="AI75" i="30"/>
  <c r="AG75" i="30"/>
  <c r="AH75" i="30" s="1"/>
  <c r="AF75" i="30"/>
  <c r="AE75" i="30"/>
  <c r="AH74" i="30"/>
  <c r="AH73" i="30"/>
  <c r="B73" i="30"/>
  <c r="AH72" i="30"/>
  <c r="AH71" i="30"/>
  <c r="AH70" i="30"/>
  <c r="AI69" i="30"/>
  <c r="AG69" i="30"/>
  <c r="AF69" i="30"/>
  <c r="AH69" i="30" s="1"/>
  <c r="AE69" i="30"/>
  <c r="AH68" i="30"/>
  <c r="AH67" i="30"/>
  <c r="AH66" i="30"/>
  <c r="AH65" i="30"/>
  <c r="AH63" i="30"/>
  <c r="AH61" i="30"/>
  <c r="AH60" i="30"/>
  <c r="AH59" i="30"/>
  <c r="AH58" i="30"/>
  <c r="AH57" i="30"/>
  <c r="AH56" i="30"/>
  <c r="AH55" i="30"/>
  <c r="AI54" i="30"/>
  <c r="AG54" i="30"/>
  <c r="AF54" i="30"/>
  <c r="AE54" i="30"/>
  <c r="AH51" i="30"/>
  <c r="AH50" i="30"/>
  <c r="AH49" i="30"/>
  <c r="AH48" i="30"/>
  <c r="AI47" i="30"/>
  <c r="AG47" i="30"/>
  <c r="AF47" i="30"/>
  <c r="AH47" i="30" s="1"/>
  <c r="AE47" i="30"/>
  <c r="AH46" i="30"/>
  <c r="AH45" i="30"/>
  <c r="AH44" i="30"/>
  <c r="AH43" i="30"/>
  <c r="AH42" i="30"/>
  <c r="AH41" i="30"/>
  <c r="AH40" i="30"/>
  <c r="AI39" i="30"/>
  <c r="AG39" i="30"/>
  <c r="AF39" i="30"/>
  <c r="AH39" i="30" s="1"/>
  <c r="AE39" i="30"/>
  <c r="AH38" i="30"/>
  <c r="AH36" i="30"/>
  <c r="AH34" i="30"/>
  <c r="AH33" i="30"/>
  <c r="AH32" i="30"/>
  <c r="AI31" i="30"/>
  <c r="AG31" i="30"/>
  <c r="AH31" i="30" s="1"/>
  <c r="AF31" i="30"/>
  <c r="AE31" i="30"/>
  <c r="AH29" i="30"/>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S27" i="30" a="1"/>
  <c r="S27" i="30" s="1"/>
  <c r="B140" i="30" s="1"/>
  <c r="B141" i="30" s="1" a="1"/>
  <c r="B141" i="30" s="1"/>
  <c r="F27" i="30" a="1"/>
  <c r="F27" i="30" s="1"/>
  <c r="F28" i="30" s="1" a="1"/>
  <c r="F28" i="30" s="1"/>
  <c r="F29" i="30" s="1" a="1"/>
  <c r="F29" i="30" s="1"/>
  <c r="F30" i="30" s="1" a="1"/>
  <c r="F30" i="30" s="1"/>
  <c r="F31" i="30" s="1" a="1"/>
  <c r="F31" i="30" s="1"/>
  <c r="F32" i="30" s="1" a="1"/>
  <c r="F32" i="30" s="1"/>
  <c r="F33" i="30" s="1" a="1"/>
  <c r="F33" i="30" s="1"/>
  <c r="F34" i="30" s="1" a="1"/>
  <c r="F34" i="30" s="1"/>
  <c r="F35" i="30" s="1" a="1"/>
  <c r="F35" i="30" s="1"/>
  <c r="F36" i="30" s="1" a="1"/>
  <c r="F36"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c r="BO13" i="30" a="1"/>
  <c r="BO13" i="30"/>
  <c r="BN13" i="30" a="1"/>
  <c r="BN13" i="30"/>
  <c r="BP11" i="30" a="1"/>
  <c r="BP11" i="30"/>
  <c r="BO11" i="30" a="1"/>
  <c r="BO11" i="30"/>
  <c r="BN11" i="30" a="1"/>
  <c r="BN11" i="30"/>
  <c r="BM10" i="30" a="1"/>
  <c r="BM10" i="30"/>
  <c r="BL10" i="30" a="1"/>
  <c r="BL10" i="30"/>
  <c r="BK10" i="30" a="1"/>
  <c r="BK10" i="30"/>
  <c r="BJ10" i="30" a="1"/>
  <c r="BJ10" i="30"/>
  <c r="BI10" i="30" a="1"/>
  <c r="BI10" i="30"/>
  <c r="BH10" i="30" a="1"/>
  <c r="BH10" i="30"/>
  <c r="BG10" i="30" a="1"/>
  <c r="BG10" i="30"/>
  <c r="BF10" i="30" a="1"/>
  <c r="BF10" i="30"/>
  <c r="BE10" i="30" a="1"/>
  <c r="BE10" i="30"/>
  <c r="BD10" i="30" a="1"/>
  <c r="BD10" i="30"/>
  <c r="BC10" i="30" a="1"/>
  <c r="BC10" i="30"/>
  <c r="BB10" i="30" a="1"/>
  <c r="BB10" i="30"/>
  <c r="BA10" i="30" a="1"/>
  <c r="BA10" i="30"/>
  <c r="AZ10" i="30" a="1"/>
  <c r="AZ10" i="30"/>
  <c r="AY10" i="30" a="1"/>
  <c r="AY10" i="30"/>
  <c r="AX10" i="30" a="1"/>
  <c r="AX10" i="30"/>
  <c r="AW10" i="30" a="1"/>
  <c r="AW10" i="30"/>
  <c r="AV10" i="30" a="1"/>
  <c r="AV10" i="30"/>
  <c r="AU10" i="30" a="1"/>
  <c r="AU10" i="30"/>
  <c r="AT10" i="30" a="1"/>
  <c r="AT10" i="30"/>
  <c r="AS10" i="30" a="1"/>
  <c r="AS10" i="30"/>
  <c r="AR10" i="30" a="1"/>
  <c r="AR10" i="30"/>
  <c r="AQ10" i="30" a="1"/>
  <c r="AQ10" i="30"/>
  <c r="AP10" i="30" a="1"/>
  <c r="AP10" i="30"/>
  <c r="AO10" i="30" a="1"/>
  <c r="AO10" i="30"/>
  <c r="AN10" i="30" a="1"/>
  <c r="AN10" i="30"/>
  <c r="AM10" i="30" a="1"/>
  <c r="AM10" i="30"/>
  <c r="AL10" i="30" a="1"/>
  <c r="AL10" i="30"/>
  <c r="AK10" i="30" a="1"/>
  <c r="AK10" i="30"/>
  <c r="AJ10" i="30" a="1"/>
  <c r="AJ10" i="30"/>
  <c r="AI10" i="30" a="1"/>
  <c r="AI10" i="30"/>
  <c r="AH10" i="30" a="1"/>
  <c r="AH10" i="30"/>
  <c r="AG10" i="30" a="1"/>
  <c r="AG10" i="30"/>
  <c r="AF10" i="30" a="1"/>
  <c r="AF10" i="30"/>
  <c r="AE10" i="30" a="1"/>
  <c r="AE10" i="30"/>
  <c r="BC7" i="30" a="1"/>
  <c r="BC7" i="30" s="1"/>
  <c r="BB7" i="30" a="1"/>
  <c r="BB7" i="30" s="1"/>
  <c r="BA7" i="30" a="1"/>
  <c r="BA7" i="30" s="1"/>
  <c r="AZ7" i="30" a="1"/>
  <c r="AZ7" i="30" s="1"/>
  <c r="AY7" i="30" a="1"/>
  <c r="AY7" i="30" s="1"/>
  <c r="AX7" i="30" a="1"/>
  <c r="AX7" i="30" s="1"/>
  <c r="AW7" i="30" a="1"/>
  <c r="AW7" i="30" s="1"/>
  <c r="AV7" i="30" a="1"/>
  <c r="AV7" i="30" s="1"/>
  <c r="AU7" i="30" a="1"/>
  <c r="AU7" i="30" s="1"/>
  <c r="AT7" i="30" a="1"/>
  <c r="AT7" i="30" s="1"/>
  <c r="AS7" i="30" a="1"/>
  <c r="AS7" i="30" s="1"/>
  <c r="AR7" i="30" a="1"/>
  <c r="AR7" i="30" s="1"/>
  <c r="AR8" i="30" s="1"/>
  <c r="AQ7" i="30" a="1"/>
  <c r="AQ7" i="30" s="1"/>
  <c r="AP7" i="30" a="1"/>
  <c r="AP7" i="30" s="1"/>
  <c r="AP8" i="30" s="1"/>
  <c r="AO7" i="30" a="1"/>
  <c r="AO7" i="30" s="1"/>
  <c r="AN7" i="30" a="1"/>
  <c r="AN7" i="30" s="1"/>
  <c r="AN8" i="30" s="1"/>
  <c r="AM7" i="30" a="1"/>
  <c r="AM7" i="30" s="1"/>
  <c r="AL7" i="30" a="1"/>
  <c r="AL7" i="30" s="1"/>
  <c r="AL8" i="30" s="1"/>
  <c r="AK7" i="30" a="1"/>
  <c r="AK7" i="30" s="1"/>
  <c r="AJ7" i="30" a="1"/>
  <c r="AJ7" i="30" s="1"/>
  <c r="AI7" i="30" a="1"/>
  <c r="AI7" i="30" s="1"/>
  <c r="AH7" i="30" a="1"/>
  <c r="AH7" i="30" s="1"/>
  <c r="AG7" i="30" a="1"/>
  <c r="AG7" i="30" s="1"/>
  <c r="AF7" i="30" a="1"/>
  <c r="AF7" i="30" s="1"/>
  <c r="AE7" i="30" a="1"/>
  <c r="AE7" i="30" s="1"/>
  <c r="BM6" i="30"/>
  <c r="BM9" i="30" s="1" a="1"/>
  <c r="BM9" i="30" s="1"/>
  <c r="BL6" i="30"/>
  <c r="BL9" i="30" s="1" a="1"/>
  <c r="BL9" i="30" s="1"/>
  <c r="BK6" i="30"/>
  <c r="BK9" i="30" s="1" a="1"/>
  <c r="BK9" i="30" s="1"/>
  <c r="BJ6" i="30"/>
  <c r="BJ9" i="30" s="1" a="1"/>
  <c r="BJ9" i="30" s="1"/>
  <c r="BI6" i="30"/>
  <c r="BI9" i="30" s="1" a="1"/>
  <c r="BI9" i="30" s="1"/>
  <c r="BH6" i="30"/>
  <c r="BH9" i="30" s="1" a="1"/>
  <c r="BH9" i="30" s="1"/>
  <c r="BG6" i="30"/>
  <c r="BG9" i="30" s="1" a="1"/>
  <c r="BG9" i="30" s="1"/>
  <c r="BF6" i="30"/>
  <c r="BF9" i="30" s="1" a="1"/>
  <c r="BF9" i="30" s="1"/>
  <c r="BE6" i="30"/>
  <c r="BE9" i="30" s="1" a="1"/>
  <c r="BE9" i="30" s="1"/>
  <c r="BD6" i="30" a="1"/>
  <c r="BD6" i="30"/>
  <c r="BD9" i="30" s="1" a="1"/>
  <c r="BD9" i="30" s="1"/>
  <c r="BC6" i="30"/>
  <c r="BC9" i="30" s="1" a="1"/>
  <c r="BC9" i="30" s="1"/>
  <c r="BB6" i="30"/>
  <c r="BB8" i="30" s="1"/>
  <c r="BA6" i="30"/>
  <c r="BA9" i="30" s="1" a="1"/>
  <c r="BA9" i="30" s="1"/>
  <c r="AZ6" i="30"/>
  <c r="AZ8" i="30" s="1"/>
  <c r="AY6" i="30"/>
  <c r="AY9" i="30" s="1" a="1"/>
  <c r="AY9" i="30" s="1"/>
  <c r="AX6" i="30"/>
  <c r="AX8" i="30" s="1"/>
  <c r="AW6" i="30"/>
  <c r="AW9" i="30" s="1" a="1"/>
  <c r="AW9" i="30" s="1"/>
  <c r="AV6" i="30"/>
  <c r="AV8" i="30" s="1"/>
  <c r="AU6" i="30"/>
  <c r="AU9" i="30" s="1" a="1"/>
  <c r="AU9" i="30" s="1"/>
  <c r="AT6" i="30" a="1"/>
  <c r="AT6" i="30" s="1"/>
  <c r="AS6" i="30"/>
  <c r="AS9" i="30" s="1" a="1"/>
  <c r="AS9" i="30" s="1"/>
  <c r="AR6" i="30"/>
  <c r="AR9" i="30" s="1" a="1"/>
  <c r="AR9" i="30" s="1"/>
  <c r="AQ6" i="30"/>
  <c r="AQ9" i="30" s="1" a="1"/>
  <c r="AQ9" i="30" s="1"/>
  <c r="AP6" i="30"/>
  <c r="AP9" i="30" s="1" a="1"/>
  <c r="AP9" i="30" s="1"/>
  <c r="AO6" i="30"/>
  <c r="AO9" i="30" s="1" a="1"/>
  <c r="AO9" i="30" s="1"/>
  <c r="AN6" i="30"/>
  <c r="AN9" i="30" s="1" a="1"/>
  <c r="AN9" i="30" s="1"/>
  <c r="AM6" i="30"/>
  <c r="AM9" i="30" s="1" a="1"/>
  <c r="AM9" i="30" s="1"/>
  <c r="AL6" i="30"/>
  <c r="AL9" i="30" s="1" a="1"/>
  <c r="AL9" i="30" s="1"/>
  <c r="AK6" i="30"/>
  <c r="AK9" i="30" s="1" a="1"/>
  <c r="AK9" i="30" s="1"/>
  <c r="AJ6" i="30" a="1"/>
  <c r="AJ6" i="30"/>
  <c r="AJ8" i="30" s="1"/>
  <c r="AI6" i="30"/>
  <c r="AI9" i="30" s="1" a="1"/>
  <c r="AI9" i="30" s="1"/>
  <c r="AH6" i="30"/>
  <c r="AH8" i="30" s="1"/>
  <c r="AG6" i="30"/>
  <c r="AG9" i="30" s="1" a="1"/>
  <c r="AG9" i="30" s="1"/>
  <c r="AF6" i="30"/>
  <c r="AF8" i="30" s="1"/>
  <c r="AE6" i="30"/>
  <c r="AE9" i="30" s="1" a="1"/>
  <c r="AE9" i="30" s="1"/>
  <c r="T318" i="29"/>
  <c r="AH314" i="29"/>
  <c r="AH313" i="29"/>
  <c r="AH312" i="29"/>
  <c r="AH311" i="29"/>
  <c r="AT303" i="29"/>
  <c r="AS303" i="29"/>
  <c r="AR303" i="29"/>
  <c r="AQ303" i="29"/>
  <c r="AP303" i="29"/>
  <c r="AO303" i="29"/>
  <c r="AN303" i="29"/>
  <c r="AM303" i="29"/>
  <c r="AL303" i="29"/>
  <c r="AK303" i="29"/>
  <c r="AJ303" i="29"/>
  <c r="AI303" i="29"/>
  <c r="AG303" i="29"/>
  <c r="AF303" i="29"/>
  <c r="AE303" i="29"/>
  <c r="AH300" i="29"/>
  <c r="AH297" i="29"/>
  <c r="B297" i="29"/>
  <c r="AH296" i="29"/>
  <c r="B296" i="29"/>
  <c r="AH292" i="29"/>
  <c r="AH291" i="29"/>
  <c r="AH290" i="29"/>
  <c r="AH289" i="29"/>
  <c r="AH288" i="29"/>
  <c r="BM287" i="29"/>
  <c r="BK287" i="29"/>
  <c r="BI287" i="29"/>
  <c r="BG287" i="29"/>
  <c r="BC287" i="29"/>
  <c r="BB287" i="29"/>
  <c r="BA287" i="29"/>
  <c r="BL287" i="29" s="1"/>
  <c r="AZ287" i="29"/>
  <c r="AY287" i="29"/>
  <c r="BJ287" i="29" s="1"/>
  <c r="AX287" i="29"/>
  <c r="AW287" i="29"/>
  <c r="BH287" i="29" s="1"/>
  <c r="AV287" i="29"/>
  <c r="AU287" i="29"/>
  <c r="BF287" i="29" s="1"/>
  <c r="AS287" i="29"/>
  <c r="AR287" i="29"/>
  <c r="AQ287" i="29"/>
  <c r="AP287" i="29"/>
  <c r="AO287" i="29"/>
  <c r="AN287" i="29"/>
  <c r="AM287" i="29"/>
  <c r="AL287" i="29"/>
  <c r="AK287" i="29"/>
  <c r="AI287" i="29"/>
  <c r="BD287" i="29" s="1"/>
  <c r="AG287" i="29"/>
  <c r="AH287" i="29" s="1"/>
  <c r="AF287" i="29"/>
  <c r="AE287" i="29"/>
  <c r="AH286" i="29"/>
  <c r="AH285" i="29"/>
  <c r="AH284" i="29"/>
  <c r="AH283" i="29"/>
  <c r="AH282" i="29"/>
  <c r="AH281" i="29"/>
  <c r="BM279" i="29"/>
  <c r="BL279" i="29"/>
  <c r="BK279" i="29"/>
  <c r="BJ279" i="29"/>
  <c r="BI279" i="29"/>
  <c r="BH279" i="29"/>
  <c r="BG279" i="29"/>
  <c r="BF279" i="29"/>
  <c r="BD279" i="29"/>
  <c r="AH279" i="29"/>
  <c r="BM270" i="29"/>
  <c r="BL270" i="29"/>
  <c r="BK270" i="29"/>
  <c r="BJ270" i="29"/>
  <c r="BI270" i="29"/>
  <c r="BH270" i="29"/>
  <c r="BG270" i="29"/>
  <c r="BF270" i="29"/>
  <c r="BE270" i="29"/>
  <c r="BD270" i="29"/>
  <c r="AH270" i="29"/>
  <c r="B268" i="29" a="1"/>
  <c r="B268" i="29" s="1"/>
  <c r="B269" i="29" s="1" a="1"/>
  <c r="B269" i="29" s="1"/>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M267" i="29"/>
  <c r="BL267" i="29"/>
  <c r="BK267" i="29"/>
  <c r="BJ267" i="29"/>
  <c r="BI267" i="29"/>
  <c r="BH267" i="29"/>
  <c r="BG267" i="29"/>
  <c r="BF267" i="29"/>
  <c r="BE267" i="29"/>
  <c r="BD267" i="29"/>
  <c r="AH267" i="29"/>
  <c r="B267" i="29"/>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259" i="29"/>
  <c r="B260" i="29" s="1" a="1"/>
  <c r="B260" i="29" s="1"/>
  <c r="B261" i="29" s="1" a="1"/>
  <c r="B261" i="29" s="1"/>
  <c r="B262" i="29" s="1" a="1"/>
  <c r="B262" i="29" s="1"/>
  <c r="B263" i="29" s="1" a="1"/>
  <c r="B263" i="29" s="1"/>
  <c r="B264" i="29" s="1" a="1"/>
  <c r="B264" i="29" s="1"/>
  <c r="B265" i="29" s="1" a="1"/>
  <c r="B265" i="29" s="1"/>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L254" i="29"/>
  <c r="BJ254" i="29"/>
  <c r="BH254" i="29"/>
  <c r="BF254" i="29"/>
  <c r="BD254" i="29"/>
  <c r="BC254" i="29"/>
  <c r="BB254" i="29"/>
  <c r="BM254" i="29" s="1"/>
  <c r="BA254" i="29"/>
  <c r="AZ254" i="29"/>
  <c r="BK254" i="29" s="1"/>
  <c r="AY254" i="29"/>
  <c r="AX254" i="29"/>
  <c r="BI254" i="29" s="1"/>
  <c r="AW254" i="29"/>
  <c r="AV254" i="29"/>
  <c r="BG254" i="29" s="1"/>
  <c r="AU254" i="29"/>
  <c r="AT254" i="29"/>
  <c r="BE254" i="29" s="1"/>
  <c r="AS254" i="29"/>
  <c r="AR254" i="29"/>
  <c r="AQ254" i="29"/>
  <c r="AP254" i="29"/>
  <c r="AO254" i="29"/>
  <c r="AN254" i="29"/>
  <c r="AM254" i="29"/>
  <c r="AL254" i="29"/>
  <c r="AK254" i="29"/>
  <c r="AJ254" i="29"/>
  <c r="AI254" i="29"/>
  <c r="AG254" i="29"/>
  <c r="AF254" i="29"/>
  <c r="AH254" i="29" s="1"/>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C249" i="29" a="1"/>
  <c r="BC249" i="29" s="1"/>
  <c r="BB249" i="29" a="1"/>
  <c r="BB249" i="29" s="1"/>
  <c r="BM249" i="29" s="1"/>
  <c r="BA249" i="29" a="1"/>
  <c r="BA249" i="29" s="1"/>
  <c r="BL249" i="29" s="1"/>
  <c r="AZ249" i="29" a="1"/>
  <c r="AZ249" i="29" s="1"/>
  <c r="BK249" i="29" s="1"/>
  <c r="AY249" i="29" a="1"/>
  <c r="AY249" i="29" s="1"/>
  <c r="BJ249" i="29" s="1"/>
  <c r="AX249" i="29" a="1"/>
  <c r="AX249" i="29" s="1"/>
  <c r="BI249" i="29" s="1"/>
  <c r="AW249" i="29" a="1"/>
  <c r="AW249" i="29" s="1"/>
  <c r="BH249" i="29" s="1"/>
  <c r="AV249" i="29" a="1"/>
  <c r="AV249" i="29" s="1"/>
  <c r="BG249" i="29" s="1"/>
  <c r="AU249" i="29" a="1"/>
  <c r="AU249" i="29" s="1"/>
  <c r="BF249" i="29" s="1"/>
  <c r="AS249" i="29" a="1"/>
  <c r="AS249" i="29" s="1"/>
  <c r="AR249" i="29" a="1"/>
  <c r="AR249" i="29" s="1"/>
  <c r="AQ249" i="29" a="1"/>
  <c r="AQ249" i="29" s="1"/>
  <c r="AP249" i="29" a="1"/>
  <c r="AP249" i="29" s="1"/>
  <c r="AO249" i="29" a="1"/>
  <c r="AO249" i="29" s="1"/>
  <c r="AN249" i="29" a="1"/>
  <c r="AN249" i="29" s="1"/>
  <c r="AM249" i="29" a="1"/>
  <c r="AM249" i="29" s="1"/>
  <c r="AL249" i="29" a="1"/>
  <c r="AL249" i="29" s="1"/>
  <c r="AK249" i="29" a="1"/>
  <c r="AK249" i="29" s="1"/>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c r="BD220" i="29"/>
  <c r="AH220" i="29"/>
  <c r="AB220" i="29"/>
  <c r="J220" i="29" a="1"/>
  <c r="J220" i="29" s="1"/>
  <c r="B220" i="29"/>
  <c r="B221" i="29" s="1" a="1"/>
  <c r="B221" i="29" s="1"/>
  <c r="AT219" i="29"/>
  <c r="AJ219" i="29"/>
  <c r="AI219" i="29"/>
  <c r="BD219" i="29" s="1"/>
  <c r="AG219" i="29"/>
  <c r="AH219" i="29" s="1"/>
  <c r="AF219" i="29"/>
  <c r="AE219" i="29"/>
  <c r="BD218" i="29"/>
  <c r="AH218" i="29"/>
  <c r="B217" i="29"/>
  <c r="BD193" i="29"/>
  <c r="AH193" i="29"/>
  <c r="BD192" i="29"/>
  <c r="AH192" i="29"/>
  <c r="BD190" i="29"/>
  <c r="AH190" i="29"/>
  <c r="BD189" i="29"/>
  <c r="AH189" i="29"/>
  <c r="BD188" i="29"/>
  <c r="AH188" i="29"/>
  <c r="BD187" i="29"/>
  <c r="AH187" i="29"/>
  <c r="BD186" i="29"/>
  <c r="AH186" i="29"/>
  <c r="BD185" i="29"/>
  <c r="AH185" i="29"/>
  <c r="BD184" i="29"/>
  <c r="AH184" i="29"/>
  <c r="AT183" i="29"/>
  <c r="AJ183" i="29"/>
  <c r="AI183" i="29"/>
  <c r="BD183" i="29" s="1"/>
  <c r="AG183" i="29"/>
  <c r="AH183" i="29" s="1"/>
  <c r="AF183" i="29"/>
  <c r="AE183" i="29"/>
  <c r="BD182" i="29"/>
  <c r="AH182" i="29"/>
  <c r="BD178" i="29"/>
  <c r="AH178" i="29"/>
  <c r="BD177" i="29"/>
  <c r="AH177" i="29"/>
  <c r="BD176" i="29"/>
  <c r="AH176" i="29"/>
  <c r="AT175" i="29"/>
  <c r="AJ175" i="29"/>
  <c r="AI175" i="29"/>
  <c r="BD175" i="29" s="1"/>
  <c r="AG175" i="29"/>
  <c r="AH175" i="29" s="1"/>
  <c r="AF175" i="29"/>
  <c r="AE175" i="29"/>
  <c r="BD173" i="29"/>
  <c r="AH173"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c r="B284" i="29" s="1"/>
  <c r="B285" i="29" s="1" a="1"/>
  <c r="B285" i="29" s="1"/>
  <c r="F171" i="29" a="1"/>
  <c r="F171" i="29"/>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L143" i="29"/>
  <c r="BJ143" i="29"/>
  <c r="BH143" i="29"/>
  <c r="BF143" i="29"/>
  <c r="BD143" i="29"/>
  <c r="BC143" i="29"/>
  <c r="BB143" i="29"/>
  <c r="BM143" i="29" s="1"/>
  <c r="BA143" i="29"/>
  <c r="AZ143" i="29"/>
  <c r="BK143" i="29" s="1"/>
  <c r="AY143" i="29"/>
  <c r="AX143" i="29"/>
  <c r="BI143" i="29" s="1"/>
  <c r="AW143" i="29"/>
  <c r="AV143" i="29"/>
  <c r="BG143" i="29" s="1"/>
  <c r="AU143" i="29"/>
  <c r="AS143" i="29"/>
  <c r="AR143" i="29"/>
  <c r="AQ143" i="29"/>
  <c r="AP143" i="29"/>
  <c r="AO143" i="29"/>
  <c r="AN143" i="29"/>
  <c r="AM143" i="29"/>
  <c r="AL143" i="29"/>
  <c r="AK143" i="29"/>
  <c r="AI143" i="29"/>
  <c r="AG143" i="29"/>
  <c r="AF143" i="29"/>
  <c r="AH143" i="29" s="1"/>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M123" i="29"/>
  <c r="BL123" i="29"/>
  <c r="BK123" i="29"/>
  <c r="BJ123" i="29"/>
  <c r="BI123" i="29"/>
  <c r="BH123" i="29"/>
  <c r="BG123" i="29"/>
  <c r="BF123" i="29"/>
  <c r="BE123" i="29"/>
  <c r="BD123" i="29"/>
  <c r="AH123" i="29"/>
  <c r="B123" i="29"/>
  <c r="B124" i="29" s="1" a="1"/>
  <c r="B124" i="29" s="1"/>
  <c r="B125" i="29" s="1" a="1"/>
  <c r="B125" i="29" s="1"/>
  <c r="B126" i="29" s="1"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5" i="29"/>
  <c r="B116" i="29" s="1" a="1"/>
  <c r="B116" i="29" s="1"/>
  <c r="B117" i="29" s="1" a="1"/>
  <c r="B117" i="29" s="1"/>
  <c r="B118" i="29" s="1" a="1"/>
  <c r="B118" i="29" s="1"/>
  <c r="B119" i="29" s="1" a="1"/>
  <c r="B119" i="29" s="1"/>
  <c r="B120" i="29" s="1" a="1"/>
  <c r="B120" i="29" s="1"/>
  <c r="B121" i="29" s="1" a="1"/>
  <c r="B121" i="29" s="1"/>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M110" i="29"/>
  <c r="BK110" i="29"/>
  <c r="BI110" i="29"/>
  <c r="BG110" i="29"/>
  <c r="BE110" i="29"/>
  <c r="BC110" i="29"/>
  <c r="BB110" i="29"/>
  <c r="BA110" i="29"/>
  <c r="BL110" i="29" s="1"/>
  <c r="AZ110" i="29"/>
  <c r="AY110" i="29"/>
  <c r="BJ110" i="29" s="1"/>
  <c r="AX110" i="29"/>
  <c r="AW110" i="29"/>
  <c r="BH110" i="29" s="1"/>
  <c r="AV110" i="29"/>
  <c r="AU110" i="29"/>
  <c r="BF110" i="29" s="1"/>
  <c r="AT110" i="29"/>
  <c r="AS110" i="29"/>
  <c r="AR110" i="29"/>
  <c r="AQ110" i="29"/>
  <c r="AP110" i="29"/>
  <c r="AO110" i="29"/>
  <c r="AN110" i="29"/>
  <c r="AM110" i="29"/>
  <c r="AL110" i="29"/>
  <c r="AK110" i="29"/>
  <c r="AJ110" i="29"/>
  <c r="AI110" i="29"/>
  <c r="BD110" i="29" s="1"/>
  <c r="AG110" i="29"/>
  <c r="AH110" i="29" s="1"/>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C105" i="29" a="1"/>
  <c r="BC105" i="29"/>
  <c r="BB105" i="29" a="1"/>
  <c r="BB105" i="29"/>
  <c r="BM105" i="29" s="1"/>
  <c r="BA105" i="29" a="1"/>
  <c r="BA105" i="29"/>
  <c r="BL105" i="29" s="1"/>
  <c r="AZ105" i="29" a="1"/>
  <c r="AZ105" i="29"/>
  <c r="BK105" i="29" s="1"/>
  <c r="AY105" i="29" a="1"/>
  <c r="AY105" i="29"/>
  <c r="BJ105" i="29" s="1"/>
  <c r="AX105" i="29" a="1"/>
  <c r="AX105" i="29"/>
  <c r="BI105" i="29" s="1"/>
  <c r="AW105" i="29" a="1"/>
  <c r="AW105" i="29"/>
  <c r="BH105" i="29" s="1"/>
  <c r="AV105" i="29" a="1"/>
  <c r="AV105" i="29"/>
  <c r="BG105" i="29" s="1"/>
  <c r="AU105" i="29" a="1"/>
  <c r="AU105" i="29"/>
  <c r="BF105" i="29" s="1"/>
  <c r="AS105" i="29" a="1"/>
  <c r="AS105" i="29"/>
  <c r="AR105" i="29" a="1"/>
  <c r="AR105" i="29"/>
  <c r="AQ105" i="29" a="1"/>
  <c r="AQ105" i="29"/>
  <c r="AP105" i="29" a="1"/>
  <c r="AP105" i="29"/>
  <c r="AO105" i="29" a="1"/>
  <c r="AO105" i="29"/>
  <c r="AN105" i="29" a="1"/>
  <c r="AN105" i="29"/>
  <c r="AM105" i="29" a="1"/>
  <c r="AM105" i="29"/>
  <c r="AL105" i="29" a="1"/>
  <c r="AL105" i="29"/>
  <c r="AK105" i="29" a="1"/>
  <c r="AK105" i="29"/>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s="1"/>
  <c r="BD76" i="29"/>
  <c r="AH76" i="29"/>
  <c r="AB76" i="29"/>
  <c r="J76" i="29" a="1"/>
  <c r="J76" i="29" s="1"/>
  <c r="B76" i="29"/>
  <c r="B77" i="29" s="1" a="1"/>
  <c r="B77" i="29" s="1"/>
  <c r="AT75" i="29"/>
  <c r="AJ75" i="29"/>
  <c r="AI75" i="29"/>
  <c r="BD75" i="29" s="1"/>
  <c r="AG75" i="29"/>
  <c r="AH75" i="29" s="1"/>
  <c r="AF75" i="29"/>
  <c r="AE75" i="29"/>
  <c r="BD74" i="29"/>
  <c r="AH74" i="29"/>
  <c r="B73" i="29"/>
  <c r="BD49" i="29"/>
  <c r="AH49" i="29"/>
  <c r="BD48" i="29"/>
  <c r="AH48" i="29"/>
  <c r="BD46" i="29"/>
  <c r="AH46" i="29"/>
  <c r="BD45" i="29"/>
  <c r="AH45" i="29"/>
  <c r="BD44" i="29"/>
  <c r="AH44" i="29"/>
  <c r="BD43" i="29"/>
  <c r="AH43" i="29"/>
  <c r="BD42" i="29"/>
  <c r="AH42" i="29"/>
  <c r="BD41" i="29"/>
  <c r="AH41" i="29"/>
  <c r="BD40" i="29"/>
  <c r="AH40" i="29"/>
  <c r="AT39" i="29"/>
  <c r="AJ39" i="29"/>
  <c r="AI39" i="29"/>
  <c r="BD39" i="29" s="1"/>
  <c r="AG39" i="29"/>
  <c r="AH39" i="29" s="1"/>
  <c r="AF39" i="29"/>
  <c r="AE39" i="29"/>
  <c r="BD38" i="29"/>
  <c r="AH38" i="29"/>
  <c r="BD34" i="29"/>
  <c r="AH34" i="29"/>
  <c r="BD33" i="29"/>
  <c r="AH33" i="29"/>
  <c r="BD32" i="29"/>
  <c r="AH32" i="29"/>
  <c r="AT31" i="29"/>
  <c r="AJ31" i="29"/>
  <c r="AI31" i="29"/>
  <c r="BD31" i="29" s="1"/>
  <c r="AG31" i="29"/>
  <c r="AH31" i="29" s="1"/>
  <c r="AF31" i="29"/>
  <c r="AE31" i="29"/>
  <c r="BD29" i="29"/>
  <c r="AH29"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S27" i="29" a="1"/>
  <c r="S27" i="29"/>
  <c r="B140" i="29" s="1"/>
  <c r="B141" i="29" s="1" a="1"/>
  <c r="B141" i="29" s="1"/>
  <c r="F27" i="29" a="1"/>
  <c r="F27" i="29"/>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s="1"/>
  <c r="BO13" i="29" a="1"/>
  <c r="BO13" i="29" s="1"/>
  <c r="BN13" i="29" a="1"/>
  <c r="BN13" i="29" s="1"/>
  <c r="BP11" i="29" a="1"/>
  <c r="BP11" i="29" s="1"/>
  <c r="BO11" i="29" a="1"/>
  <c r="BO11" i="29" s="1"/>
  <c r="BN11" i="29" a="1"/>
  <c r="BN11" i="29" s="1"/>
  <c r="BM10" i="29" a="1"/>
  <c r="BM10" i="29" s="1"/>
  <c r="BL10" i="29" a="1"/>
  <c r="BL10" i="29" s="1"/>
  <c r="BK10" i="29" a="1"/>
  <c r="BK10" i="29" s="1"/>
  <c r="BJ10" i="29" a="1"/>
  <c r="BJ10" i="29" s="1"/>
  <c r="BI10" i="29" a="1"/>
  <c r="BI10" i="29" s="1"/>
  <c r="BH10" i="29" a="1"/>
  <c r="BH10" i="29" s="1"/>
  <c r="BG10" i="29" a="1"/>
  <c r="BG10" i="29" s="1"/>
  <c r="BF10" i="29" a="1"/>
  <c r="BF10" i="29" s="1"/>
  <c r="BE10" i="29" a="1"/>
  <c r="BE10" i="29" s="1"/>
  <c r="BD10" i="29" a="1"/>
  <c r="BD10" i="29" s="1"/>
  <c r="BC10" i="29" a="1"/>
  <c r="BC10" i="29" s="1"/>
  <c r="BB10" i="29" a="1"/>
  <c r="BB10" i="29" s="1"/>
  <c r="BA10" i="29" a="1"/>
  <c r="BA10" i="29" s="1"/>
  <c r="AZ10" i="29" a="1"/>
  <c r="AZ10" i="29" s="1"/>
  <c r="AY10" i="29" a="1"/>
  <c r="AY10" i="29" s="1"/>
  <c r="AX10" i="29" a="1"/>
  <c r="AX10" i="29" s="1"/>
  <c r="AW10" i="29" a="1"/>
  <c r="AW10" i="29" s="1"/>
  <c r="AV10" i="29" a="1"/>
  <c r="AV10" i="29" s="1"/>
  <c r="AU10" i="29" a="1"/>
  <c r="AU10" i="29" s="1"/>
  <c r="AT10" i="29" a="1"/>
  <c r="AT10" i="29" s="1"/>
  <c r="AS10" i="29" a="1"/>
  <c r="AS10" i="29" s="1"/>
  <c r="AR10" i="29" a="1"/>
  <c r="AR10" i="29" s="1"/>
  <c r="AQ10" i="29" a="1"/>
  <c r="AQ10" i="29" s="1"/>
  <c r="AP10" i="29" a="1"/>
  <c r="AP10" i="29" s="1"/>
  <c r="AO10" i="29" a="1"/>
  <c r="AO10" i="29" s="1"/>
  <c r="AN10" i="29" a="1"/>
  <c r="AN10" i="29" s="1"/>
  <c r="AM10" i="29" a="1"/>
  <c r="AM10" i="29" s="1"/>
  <c r="AL10" i="29" a="1"/>
  <c r="AL10" i="29" s="1"/>
  <c r="AK10" i="29" a="1"/>
  <c r="AK10" i="29" s="1"/>
  <c r="AJ10" i="29" a="1"/>
  <c r="AJ10" i="29" s="1"/>
  <c r="AI10" i="29" a="1"/>
  <c r="AI10" i="29" s="1"/>
  <c r="AH10" i="29" a="1"/>
  <c r="AH10" i="29" s="1"/>
  <c r="AG10" i="29" a="1"/>
  <c r="AG10" i="29" s="1"/>
  <c r="AF10" i="29" a="1"/>
  <c r="AF10" i="29" s="1"/>
  <c r="AE10" i="29" a="1"/>
  <c r="AE10" i="29" s="1"/>
  <c r="BM9" i="29" a="1"/>
  <c r="BM9" i="29" s="1"/>
  <c r="BK9" i="29" a="1"/>
  <c r="BK9" i="29" s="1"/>
  <c r="BI9" i="29" a="1"/>
  <c r="BI9" i="29" s="1"/>
  <c r="BG9" i="29" a="1"/>
  <c r="BG9" i="29" s="1"/>
  <c r="BE9" i="29" a="1"/>
  <c r="BE9" i="29" s="1"/>
  <c r="BB9" i="29" a="1"/>
  <c r="BB9" i="29" s="1"/>
  <c r="AZ9" i="29" a="1"/>
  <c r="AZ9" i="29" s="1"/>
  <c r="AX9" i="29" a="1"/>
  <c r="AX9" i="29" s="1"/>
  <c r="AV9" i="29" a="1"/>
  <c r="AV9" i="29" s="1"/>
  <c r="AS9" i="29" a="1"/>
  <c r="AS9" i="29" s="1"/>
  <c r="AQ9" i="29" a="1"/>
  <c r="AQ9" i="29" s="1"/>
  <c r="AO9" i="29" a="1"/>
  <c r="AO9" i="29" s="1"/>
  <c r="AM9" i="29" a="1"/>
  <c r="AM9" i="29" s="1"/>
  <c r="AK9" i="29" a="1"/>
  <c r="AK9" i="29" s="1"/>
  <c r="AH9" i="29" a="1"/>
  <c r="AH9" i="29" s="1"/>
  <c r="AF9" i="29" a="1"/>
  <c r="AF9" i="29" s="1"/>
  <c r="BC7" i="29" a="1"/>
  <c r="BC7" i="29"/>
  <c r="BB7" i="29" a="1"/>
  <c r="BB7" i="29"/>
  <c r="BA7" i="29" a="1"/>
  <c r="BA7" i="29"/>
  <c r="AZ7" i="29" a="1"/>
  <c r="AZ7" i="29"/>
  <c r="AY7" i="29" a="1"/>
  <c r="AY7" i="29"/>
  <c r="AX7" i="29" a="1"/>
  <c r="AX7" i="29"/>
  <c r="AW7" i="29" a="1"/>
  <c r="AW7" i="29"/>
  <c r="AV7" i="29" a="1"/>
  <c r="AV7" i="29"/>
  <c r="AU7" i="29" a="1"/>
  <c r="AU7" i="29"/>
  <c r="AT7" i="29" a="1"/>
  <c r="AT7" i="29"/>
  <c r="AS7" i="29" a="1"/>
  <c r="AS7" i="29"/>
  <c r="AS8" i="29" s="1"/>
  <c r="AR7" i="29" a="1"/>
  <c r="AR7" i="29"/>
  <c r="AQ7" i="29" a="1"/>
  <c r="AQ7" i="29"/>
  <c r="AQ8" i="29" s="1"/>
  <c r="AP7" i="29" a="1"/>
  <c r="AP7" i="29"/>
  <c r="AO7" i="29" a="1"/>
  <c r="AO7" i="29"/>
  <c r="AO8" i="29" s="1"/>
  <c r="AN7" i="29" a="1"/>
  <c r="AN7" i="29"/>
  <c r="AM7" i="29" a="1"/>
  <c r="AM7" i="29"/>
  <c r="AM8" i="29" s="1"/>
  <c r="AL7" i="29" a="1"/>
  <c r="AL7" i="29"/>
  <c r="AK7" i="29" a="1"/>
  <c r="AK7" i="29"/>
  <c r="AK8" i="29" s="1"/>
  <c r="AJ7" i="29" a="1"/>
  <c r="AJ7" i="29"/>
  <c r="AI7" i="29" a="1"/>
  <c r="AI7" i="29"/>
  <c r="AH7" i="29" a="1"/>
  <c r="AH7" i="29"/>
  <c r="AG7" i="29" a="1"/>
  <c r="AG7" i="29"/>
  <c r="AF7" i="29" a="1"/>
  <c r="AF7" i="29"/>
  <c r="AE7" i="29" a="1"/>
  <c r="AE7" i="29"/>
  <c r="BM6" i="29"/>
  <c r="BL6" i="29"/>
  <c r="BL9" i="29" s="1" a="1"/>
  <c r="BL9" i="29" s="1"/>
  <c r="BK6" i="29"/>
  <c r="BJ6" i="29"/>
  <c r="BJ9" i="29" s="1" a="1"/>
  <c r="BJ9" i="29" s="1"/>
  <c r="BI6" i="29"/>
  <c r="BH6" i="29"/>
  <c r="BH9" i="29" s="1" a="1"/>
  <c r="BH9" i="29" s="1"/>
  <c r="BG6" i="29"/>
  <c r="BF6" i="29"/>
  <c r="BF9" i="29" s="1" a="1"/>
  <c r="BF9" i="29" s="1"/>
  <c r="BE6" i="29"/>
  <c r="BD6" i="29" a="1"/>
  <c r="BD6" i="29" s="1"/>
  <c r="BC6" i="29"/>
  <c r="BC9" i="29" s="1" a="1"/>
  <c r="BC9" i="29" s="1"/>
  <c r="BB6" i="29"/>
  <c r="BB8" i="29" s="1"/>
  <c r="BA6" i="29"/>
  <c r="BA9" i="29" s="1" a="1"/>
  <c r="BA9" i="29" s="1"/>
  <c r="AZ6" i="29"/>
  <c r="AZ8" i="29" s="1"/>
  <c r="AY6" i="29"/>
  <c r="AY9" i="29" s="1" a="1"/>
  <c r="AY9" i="29" s="1"/>
  <c r="AX6" i="29"/>
  <c r="AX8" i="29" s="1"/>
  <c r="AW6" i="29"/>
  <c r="AW9" i="29" s="1" a="1"/>
  <c r="AW9" i="29" s="1"/>
  <c r="AV6" i="29"/>
  <c r="AV8" i="29" s="1"/>
  <c r="AU6" i="29"/>
  <c r="AU9" i="29" s="1" a="1"/>
  <c r="AU9" i="29" s="1"/>
  <c r="AT6" i="29" a="1"/>
  <c r="AT6" i="29"/>
  <c r="AT9" i="29" s="1" a="1"/>
  <c r="AT9" i="29" s="1"/>
  <c r="AS6" i="29"/>
  <c r="AR6" i="29"/>
  <c r="AR9" i="29" s="1" a="1"/>
  <c r="AR9" i="29" s="1"/>
  <c r="AQ6" i="29"/>
  <c r="AP6" i="29"/>
  <c r="AP9" i="29" s="1" a="1"/>
  <c r="AP9" i="29" s="1"/>
  <c r="AO6" i="29"/>
  <c r="AN6" i="29"/>
  <c r="AN9" i="29" s="1" a="1"/>
  <c r="AN9" i="29" s="1"/>
  <c r="AM6" i="29"/>
  <c r="AL6" i="29"/>
  <c r="AL9" i="29" s="1" a="1"/>
  <c r="AL9" i="29" s="1"/>
  <c r="AK6" i="29"/>
  <c r="AJ6" i="29" a="1"/>
  <c r="AJ6" i="29" s="1"/>
  <c r="AI6" i="29"/>
  <c r="AI9" i="29" s="1" a="1"/>
  <c r="AI9" i="29" s="1"/>
  <c r="AH6" i="29"/>
  <c r="AH8" i="29" s="1"/>
  <c r="AG6" i="29"/>
  <c r="AG9" i="29" s="1" a="1"/>
  <c r="AG9" i="29" s="1"/>
  <c r="AF6" i="29"/>
  <c r="AF8" i="29" s="1"/>
  <c r="AE6" i="29"/>
  <c r="AE9" i="29" s="1" a="1"/>
  <c r="AE9" i="29" s="1"/>
  <c r="T202" i="28"/>
  <c r="AH198" i="28"/>
  <c r="AH197" i="28"/>
  <c r="AH196" i="28"/>
  <c r="AK188" i="28"/>
  <c r="AJ188" i="28"/>
  <c r="AI188" i="28"/>
  <c r="AG188" i="28"/>
  <c r="AF188" i="28"/>
  <c r="AE188" i="28"/>
  <c r="AH187" i="28"/>
  <c r="AH185" i="28"/>
  <c r="AL182" i="28"/>
  <c r="AH182" i="28"/>
  <c r="AL181" i="28"/>
  <c r="AH181" i="28"/>
  <c r="AL179" i="28"/>
  <c r="AH179" i="28"/>
  <c r="AL178" i="28"/>
  <c r="AH178" i="28"/>
  <c r="AL177" i="28"/>
  <c r="AH177" i="28"/>
  <c r="AL176" i="28"/>
  <c r="AH176" i="28"/>
  <c r="AK175" i="28"/>
  <c r="AJ175" i="28"/>
  <c r="AI175" i="28"/>
  <c r="AL175" i="28" s="1"/>
  <c r="AG175" i="28"/>
  <c r="AH175" i="28" s="1"/>
  <c r="AF175" i="28"/>
  <c r="AE175" i="28"/>
  <c r="AL174" i="28"/>
  <c r="AH174" i="28"/>
  <c r="AL173" i="28"/>
  <c r="AH173" i="28"/>
  <c r="AL172" i="28"/>
  <c r="AH172" i="28"/>
  <c r="AL171" i="28"/>
  <c r="AL170" i="28"/>
  <c r="AH170" i="28"/>
  <c r="B170" i="28"/>
  <c r="AL169" i="28"/>
  <c r="B161" i="28"/>
  <c r="AL144" i="28"/>
  <c r="AH144" i="28"/>
  <c r="AT141" i="28" a="1"/>
  <c r="AT141" i="28" s="1"/>
  <c r="AL141" i="28"/>
  <c r="AH141" i="28"/>
  <c r="AB141" i="28"/>
  <c r="J141" i="28" a="1"/>
  <c r="J141" i="28" s="1"/>
  <c r="AT140" i="28" a="1"/>
  <c r="AT140" i="28" s="1"/>
  <c r="AL140" i="28"/>
  <c r="AH140" i="28"/>
  <c r="AB140" i="28"/>
  <c r="J140" i="28" a="1"/>
  <c r="J140" i="28" s="1"/>
  <c r="AT139" i="28" a="1"/>
  <c r="AT139" i="28" s="1"/>
  <c r="AL139" i="28"/>
  <c r="AH139" i="28"/>
  <c r="AB139" i="28"/>
  <c r="J139" i="28" a="1"/>
  <c r="J139" i="28" s="1"/>
  <c r="AL138" i="28"/>
  <c r="AH138" i="28"/>
  <c r="AL137" i="28"/>
  <c r="AH137" i="28"/>
  <c r="AL136" i="28"/>
  <c r="AH136" i="28"/>
  <c r="AL135" i="28"/>
  <c r="AH135" i="28"/>
  <c r="AL134" i="28"/>
  <c r="AK134" i="28"/>
  <c r="AJ134" i="28"/>
  <c r="AI134" i="28"/>
  <c r="AG134" i="28"/>
  <c r="AF134" i="28"/>
  <c r="AH134" i="28" s="1"/>
  <c r="AE134" i="28"/>
  <c r="AL133" i="28"/>
  <c r="AH133" i="28"/>
  <c r="AL132" i="28"/>
  <c r="AH132" i="28"/>
  <c r="AL128" i="28"/>
  <c r="AH128" i="28"/>
  <c r="AL117" i="28"/>
  <c r="AH117" i="28"/>
  <c r="AL116" i="28"/>
  <c r="AH116" i="28"/>
  <c r="T112" i="28"/>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F112" i="28" a="1"/>
  <c r="F112" i="28"/>
  <c r="F113" i="28" s="1" a="1"/>
  <c r="F113" i="28" s="1"/>
  <c r="F114" i="28" s="1" a="1"/>
  <c r="F114" i="28" s="1"/>
  <c r="F115" i="28" s="1" a="1"/>
  <c r="F115"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K88" i="28"/>
  <c r="AJ88" i="28"/>
  <c r="AI88" i="28"/>
  <c r="AL88" i="28" s="1"/>
  <c r="AG88" i="28"/>
  <c r="AH88" i="28" s="1"/>
  <c r="AF88" i="28"/>
  <c r="AE88" i="28"/>
  <c r="AL87" i="28"/>
  <c r="AH87" i="28"/>
  <c r="AL86" i="28"/>
  <c r="AH86" i="28"/>
  <c r="AL85" i="28"/>
  <c r="AH85" i="28"/>
  <c r="AL84" i="28"/>
  <c r="AL83" i="28"/>
  <c r="AH83" i="28"/>
  <c r="B83" i="28"/>
  <c r="AL82" i="28"/>
  <c r="B74" i="28"/>
  <c r="AL57" i="28"/>
  <c r="AH57" i="28"/>
  <c r="AT54" i="28" a="1"/>
  <c r="AT54" i="28"/>
  <c r="AL54" i="28"/>
  <c r="AH54" i="28"/>
  <c r="AB54" i="28"/>
  <c r="J54" i="28" a="1"/>
  <c r="J54" i="28" s="1"/>
  <c r="AL53" i="28"/>
  <c r="AH53" i="28"/>
  <c r="AL52" i="28"/>
  <c r="AH52" i="28"/>
  <c r="AL51" i="28"/>
  <c r="AH51" i="28"/>
  <c r="AL50" i="28"/>
  <c r="AH50" i="28"/>
  <c r="AL49" i="28"/>
  <c r="AK49" i="28"/>
  <c r="AJ49" i="28"/>
  <c r="AI49" i="28"/>
  <c r="AG49" i="28"/>
  <c r="AF49" i="28"/>
  <c r="AH49" i="28" s="1"/>
  <c r="AE49" i="28"/>
  <c r="AL48" i="28"/>
  <c r="AH48" i="28"/>
  <c r="AL47" i="28"/>
  <c r="AH47" i="28"/>
  <c r="AL43" i="28"/>
  <c r="AH43" i="28"/>
  <c r="AL32" i="28"/>
  <c r="AH32" i="28"/>
  <c r="AL31" i="28"/>
  <c r="AH31"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F27" i="28" a="1"/>
  <c r="F27" i="28"/>
  <c r="F28" i="28" s="1" a="1"/>
  <c r="F28" i="28" s="1"/>
  <c r="F29" i="28" s="1" a="1"/>
  <c r="F29" i="28" s="1"/>
  <c r="F30" i="28" s="1" a="1"/>
  <c r="F30" i="28" s="1"/>
  <c r="AK24" i="28"/>
  <c r="AJ24" i="28"/>
  <c r="AI24" i="28"/>
  <c r="AH24" i="28"/>
  <c r="AG24" i="28"/>
  <c r="AF24" i="28"/>
  <c r="AE24" i="28"/>
  <c r="AO12" i="28" a="1"/>
  <c r="AO12" i="28" s="1"/>
  <c r="AN12" i="28" a="1"/>
  <c r="AN12" i="28" s="1"/>
  <c r="AM12" i="28" a="1"/>
  <c r="AM12" i="28" s="1"/>
  <c r="AL11" i="28" a="1"/>
  <c r="AL11" i="28" s="1"/>
  <c r="AK11" i="28" a="1"/>
  <c r="AK11" i="28" s="1"/>
  <c r="AJ11" i="28" a="1"/>
  <c r="AJ11" i="28" s="1"/>
  <c r="AI11" i="28" a="1"/>
  <c r="AI11" i="28" s="1"/>
  <c r="AH11" i="28" a="1"/>
  <c r="AH11" i="28" s="1"/>
  <c r="AG11" i="28" a="1"/>
  <c r="AG11" i="28" s="1"/>
  <c r="AF11" i="28" a="1"/>
  <c r="AF11" i="28" s="1"/>
  <c r="AE11" i="28" a="1"/>
  <c r="AE11" i="28" s="1"/>
  <c r="AK8" i="28" a="1"/>
  <c r="AK8" i="28"/>
  <c r="AJ8" i="28" a="1"/>
  <c r="AJ8" i="28"/>
  <c r="AI8" i="28" a="1"/>
  <c r="AI8" i="28"/>
  <c r="AH8" i="28" a="1"/>
  <c r="AH8" i="28"/>
  <c r="AG8" i="28" a="1"/>
  <c r="AG8" i="28"/>
  <c r="AF8" i="28" a="1"/>
  <c r="AF8" i="28"/>
  <c r="AE8" i="28" a="1"/>
  <c r="AE8" i="28"/>
  <c r="AK7" i="28" a="1"/>
  <c r="AK7" i="28" s="1"/>
  <c r="AJ7" i="28" a="1"/>
  <c r="AJ7" i="28" s="1"/>
  <c r="AI7" i="28"/>
  <c r="AI10" i="28" s="1" a="1"/>
  <c r="AI10" i="28" s="1"/>
  <c r="AH7" i="28"/>
  <c r="AH10" i="28" s="1" a="1"/>
  <c r="AH10" i="28" s="1"/>
  <c r="AG7" i="28"/>
  <c r="AG10" i="28" s="1" a="1"/>
  <c r="AG10" i="28" s="1"/>
  <c r="AF7" i="28"/>
  <c r="AF10" i="28" s="1" a="1"/>
  <c r="AF10" i="28" s="1"/>
  <c r="AE7" i="28"/>
  <c r="AE10" i="28" s="1" a="1"/>
  <c r="AE10" i="28" s="1"/>
  <c r="AO6" i="28" a="1"/>
  <c r="AO6" i="28"/>
  <c r="AN6" i="28" a="1"/>
  <c r="AN6" i="28" s="1"/>
  <c r="AM6" i="28" a="1"/>
  <c r="AM6" i="28" s="1"/>
  <c r="AI2" i="28"/>
  <c r="AH2" i="28"/>
  <c r="AG2" i="28"/>
  <c r="AF2" i="28"/>
  <c r="AE2" i="28"/>
  <c r="T144" i="27"/>
  <c r="GB138" i="27" a="1"/>
  <c r="GB138" i="27"/>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s="1"/>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s="1"/>
  <c r="GB128" i="27" s="1" a="1"/>
  <c r="GB128" i="27" s="1"/>
  <c r="GB129" i="27" s="1" a="1"/>
  <c r="GB129" i="27" s="1"/>
  <c r="GB130" i="27" s="1" a="1"/>
  <c r="GB130" i="27" s="1"/>
  <c r="GB131" i="27" s="1" a="1"/>
  <c r="GB131" i="27" s="1"/>
  <c r="FV127" i="27"/>
  <c r="FU127" i="27"/>
  <c r="FW127" i="27" s="1"/>
  <c r="FS127" i="27"/>
  <c r="FR127" i="27"/>
  <c r="FT127" i="27" s="1"/>
  <c r="FP127" i="27"/>
  <c r="FO127" i="27"/>
  <c r="FQ127" i="27" s="1"/>
  <c r="FM127" i="27"/>
  <c r="FL127" i="27"/>
  <c r="FN127" i="27" s="1"/>
  <c r="FJ127" i="27"/>
  <c r="FI127" i="27"/>
  <c r="FK127" i="27" s="1"/>
  <c r="FG127" i="27"/>
  <c r="FF127" i="27"/>
  <c r="FH127" i="27" s="1"/>
  <c r="FD127" i="27"/>
  <c r="FC127" i="27"/>
  <c r="FE127" i="27" s="1"/>
  <c r="FA127" i="27"/>
  <c r="EZ127" i="27"/>
  <c r="FB127" i="27" s="1"/>
  <c r="EX127" i="27"/>
  <c r="EW127" i="27"/>
  <c r="EY127" i="27" s="1"/>
  <c r="EU127" i="27"/>
  <c r="ET127" i="27"/>
  <c r="EV127" i="27" s="1"/>
  <c r="ER127" i="27"/>
  <c r="EQ127" i="27"/>
  <c r="ES127" i="27" s="1"/>
  <c r="EO127" i="27"/>
  <c r="EN127" i="27"/>
  <c r="EP127" i="27" s="1"/>
  <c r="EL127" i="27"/>
  <c r="EK127" i="27"/>
  <c r="EM127" i="27" s="1"/>
  <c r="EI127" i="27"/>
  <c r="EH127" i="27"/>
  <c r="EJ127" i="27" s="1"/>
  <c r="EF127" i="27"/>
  <c r="EE127" i="27"/>
  <c r="EG127" i="27" s="1"/>
  <c r="EC127" i="27"/>
  <c r="EB127" i="27"/>
  <c r="ED127" i="27" s="1"/>
  <c r="DZ127" i="27"/>
  <c r="DY127" i="27"/>
  <c r="EA127" i="27" s="1"/>
  <c r="DW127" i="27"/>
  <c r="DV127" i="27"/>
  <c r="DX127" i="27" s="1"/>
  <c r="DT127" i="27"/>
  <c r="DS127" i="27"/>
  <c r="DU127" i="27" s="1"/>
  <c r="DQ127" i="27"/>
  <c r="DP127" i="27"/>
  <c r="DR127" i="27" s="1"/>
  <c r="DN127" i="27"/>
  <c r="DM127" i="27"/>
  <c r="DO127" i="27" s="1"/>
  <c r="DK127" i="27"/>
  <c r="DJ127" i="27"/>
  <c r="DL127" i="27" s="1"/>
  <c r="DH127" i="27"/>
  <c r="DG127" i="27"/>
  <c r="DI127" i="27" s="1"/>
  <c r="DE127" i="27"/>
  <c r="DD127" i="27"/>
  <c r="DF127" i="27" s="1"/>
  <c r="DB127" i="27"/>
  <c r="DA127" i="27"/>
  <c r="DC127" i="27" s="1"/>
  <c r="CY127" i="27"/>
  <c r="CX127" i="27"/>
  <c r="CZ127" i="27" s="1"/>
  <c r="CV127" i="27"/>
  <c r="CU127" i="27"/>
  <c r="CW127" i="27" s="1"/>
  <c r="CS127" i="27"/>
  <c r="CR127" i="27"/>
  <c r="CT127" i="27" s="1"/>
  <c r="CP127" i="27"/>
  <c r="CO127" i="27"/>
  <c r="CQ127" i="27" s="1"/>
  <c r="CM127" i="27"/>
  <c r="CL127" i="27"/>
  <c r="CN127" i="27" s="1"/>
  <c r="CJ127" i="27"/>
  <c r="CI127" i="27"/>
  <c r="CK127" i="27" s="1"/>
  <c r="CG127" i="27"/>
  <c r="CF127" i="27"/>
  <c r="CH127" i="27" s="1"/>
  <c r="CD127" i="27"/>
  <c r="CC127" i="27"/>
  <c r="CE127" i="27" s="1"/>
  <c r="CA127" i="27"/>
  <c r="BZ127" i="27"/>
  <c r="CB127" i="27" s="1"/>
  <c r="BX127" i="27"/>
  <c r="BW127" i="27"/>
  <c r="BY127" i="27" s="1"/>
  <c r="BU127" i="27"/>
  <c r="BT127" i="27"/>
  <c r="BV127" i="27" s="1"/>
  <c r="BR127" i="27"/>
  <c r="BQ127" i="27"/>
  <c r="BS127" i="27" s="1"/>
  <c r="BO127" i="27"/>
  <c r="BN127" i="27"/>
  <c r="BP127" i="27" s="1"/>
  <c r="BL127" i="27"/>
  <c r="BK127" i="27"/>
  <c r="BM127" i="27" s="1"/>
  <c r="BI127" i="27"/>
  <c r="BH127" i="27"/>
  <c r="BJ127" i="27" s="1"/>
  <c r="BF127" i="27"/>
  <c r="BE127" i="27"/>
  <c r="BG127" i="27" s="1"/>
  <c r="BC127" i="27"/>
  <c r="BB127" i="27"/>
  <c r="BD127" i="27" s="1"/>
  <c r="AZ127" i="27"/>
  <c r="AY127" i="27"/>
  <c r="BA127" i="27" s="1"/>
  <c r="AW127" i="27"/>
  <c r="AV127" i="27"/>
  <c r="AX127" i="27" s="1"/>
  <c r="AT127" i="27"/>
  <c r="AS127" i="27"/>
  <c r="AU127" i="27" s="1"/>
  <c r="AQ127" i="27"/>
  <c r="AP127" i="27"/>
  <c r="AR127" i="27" s="1"/>
  <c r="AN127" i="27"/>
  <c r="AM127" i="27"/>
  <c r="AO127" i="27" s="1"/>
  <c r="AK127" i="27"/>
  <c r="AJ127" i="27"/>
  <c r="AL127" i="27" s="1"/>
  <c r="AH127" i="27"/>
  <c r="AG127" i="27"/>
  <c r="AI127" i="27" s="1"/>
  <c r="AE127" i="27"/>
  <c r="AD127" i="27"/>
  <c r="AF127" i="27" s="1"/>
  <c r="I127" i="27" a="1"/>
  <c r="I127" i="27" s="1"/>
  <c r="I128" i="27" s="1" a="1"/>
  <c r="I128" i="27" s="1"/>
  <c r="I129" i="27" s="1" a="1"/>
  <c r="I129" i="27" s="1"/>
  <c r="I130" i="27" s="1" a="1"/>
  <c r="I130" i="27" s="1"/>
  <c r="I131" i="27" s="1" a="1"/>
  <c r="I131"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V121" i="27"/>
  <c r="FU121" i="27"/>
  <c r="FW121" i="27" s="1"/>
  <c r="FS121" i="27"/>
  <c r="FR121" i="27"/>
  <c r="FT121" i="27" s="1"/>
  <c r="FP121" i="27"/>
  <c r="FO121" i="27"/>
  <c r="FQ121" i="27" s="1"/>
  <c r="FM121" i="27"/>
  <c r="FL121" i="27"/>
  <c r="FN121" i="27" s="1"/>
  <c r="FJ121" i="27"/>
  <c r="FI121" i="27"/>
  <c r="FK121" i="27" s="1"/>
  <c r="FG121" i="27"/>
  <c r="FF121" i="27"/>
  <c r="FH121" i="27" s="1"/>
  <c r="FD121" i="27"/>
  <c r="FC121" i="27"/>
  <c r="FE121" i="27" s="1"/>
  <c r="FA121" i="27"/>
  <c r="EZ121" i="27"/>
  <c r="FB121" i="27" s="1"/>
  <c r="EX121" i="27"/>
  <c r="EW121" i="27"/>
  <c r="EY121" i="27" s="1"/>
  <c r="EU121" i="27"/>
  <c r="ET121" i="27"/>
  <c r="EV121" i="27" s="1"/>
  <c r="ER121" i="27"/>
  <c r="EQ121" i="27"/>
  <c r="ES121" i="27" s="1"/>
  <c r="EO121" i="27"/>
  <c r="EN121" i="27"/>
  <c r="EP121" i="27" s="1"/>
  <c r="EL121" i="27"/>
  <c r="EK121" i="27"/>
  <c r="EM121" i="27" s="1"/>
  <c r="EI121" i="27"/>
  <c r="EH121" i="27"/>
  <c r="EJ121" i="27" s="1"/>
  <c r="EF121" i="27"/>
  <c r="EE121" i="27"/>
  <c r="EG121" i="27" s="1"/>
  <c r="EC121" i="27"/>
  <c r="EB121" i="27"/>
  <c r="ED121" i="27" s="1"/>
  <c r="DZ121" i="27"/>
  <c r="DY121" i="27"/>
  <c r="EA121" i="27" s="1"/>
  <c r="DW121" i="27"/>
  <c r="DV121" i="27"/>
  <c r="DX121" i="27" s="1"/>
  <c r="DT121" i="27"/>
  <c r="DS121" i="27"/>
  <c r="DU121" i="27" s="1"/>
  <c r="DQ121" i="27"/>
  <c r="DP121" i="27"/>
  <c r="DR121" i="27" s="1"/>
  <c r="DN121" i="27"/>
  <c r="DM121" i="27"/>
  <c r="DO121" i="27" s="1"/>
  <c r="DK121" i="27"/>
  <c r="DJ121" i="27"/>
  <c r="DL121" i="27" s="1"/>
  <c r="DH121" i="27"/>
  <c r="DG121" i="27"/>
  <c r="DI121" i="27" s="1"/>
  <c r="DE121" i="27"/>
  <c r="DD121" i="27"/>
  <c r="DF121" i="27" s="1"/>
  <c r="DB121" i="27"/>
  <c r="DA121" i="27"/>
  <c r="DC121" i="27" s="1"/>
  <c r="CY121" i="27"/>
  <c r="CX121" i="27"/>
  <c r="CZ121" i="27" s="1"/>
  <c r="CV121" i="27"/>
  <c r="CU121" i="27"/>
  <c r="CW121" i="27" s="1"/>
  <c r="CS121" i="27"/>
  <c r="CR121" i="27"/>
  <c r="CT121" i="27" s="1"/>
  <c r="CP121" i="27"/>
  <c r="CO121" i="27"/>
  <c r="CQ121" i="27" s="1"/>
  <c r="CM121" i="27"/>
  <c r="CL121" i="27"/>
  <c r="CN121" i="27" s="1"/>
  <c r="CJ121" i="27"/>
  <c r="CI121" i="27"/>
  <c r="CK121" i="27" s="1"/>
  <c r="CG121" i="27"/>
  <c r="CF121" i="27"/>
  <c r="CH121" i="27" s="1"/>
  <c r="CD121" i="27"/>
  <c r="CC121" i="27"/>
  <c r="CE121" i="27" s="1"/>
  <c r="CA121" i="27"/>
  <c r="BZ121" i="27"/>
  <c r="CB121" i="27" s="1"/>
  <c r="BX121" i="27"/>
  <c r="BW121" i="27"/>
  <c r="BY121" i="27" s="1"/>
  <c r="BU121" i="27"/>
  <c r="BT121" i="27"/>
  <c r="BV121" i="27" s="1"/>
  <c r="BR121" i="27"/>
  <c r="BQ121" i="27"/>
  <c r="BS121" i="27" s="1"/>
  <c r="BO121" i="27"/>
  <c r="BN121" i="27"/>
  <c r="BP121" i="27" s="1"/>
  <c r="BL121" i="27"/>
  <c r="BK121" i="27"/>
  <c r="BM121" i="27" s="1"/>
  <c r="BI121" i="27"/>
  <c r="BH121" i="27"/>
  <c r="BJ121" i="27" s="1"/>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S115" i="27"/>
  <c r="FR115" i="27"/>
  <c r="FT115" i="27" s="1"/>
  <c r="FP115" i="27"/>
  <c r="FO115" i="27"/>
  <c r="FQ115" i="27" s="1"/>
  <c r="FM115" i="27"/>
  <c r="FL115" i="27"/>
  <c r="FN115" i="27" s="1"/>
  <c r="FJ115" i="27"/>
  <c r="FI115" i="27"/>
  <c r="FK115" i="27" s="1"/>
  <c r="FG115" i="27"/>
  <c r="FF115" i="27"/>
  <c r="FH115" i="27" s="1"/>
  <c r="FD115" i="27"/>
  <c r="FC115" i="27"/>
  <c r="FE115" i="27" s="1"/>
  <c r="FA115" i="27"/>
  <c r="EZ115" i="27"/>
  <c r="FB115" i="27" s="1"/>
  <c r="EX115" i="27"/>
  <c r="EW115" i="27"/>
  <c r="EY115" i="27" s="1"/>
  <c r="EU115" i="27"/>
  <c r="ET115" i="27"/>
  <c r="EV115" i="27" s="1"/>
  <c r="ER115" i="27"/>
  <c r="EQ115" i="27"/>
  <c r="ES115" i="27" s="1"/>
  <c r="EO115" i="27"/>
  <c r="EN115" i="27"/>
  <c r="EP115" i="27" s="1"/>
  <c r="EL115" i="27"/>
  <c r="EK115" i="27"/>
  <c r="EM115" i="27" s="1"/>
  <c r="EI115" i="27"/>
  <c r="EH115" i="27"/>
  <c r="EJ115" i="27" s="1"/>
  <c r="EF115" i="27"/>
  <c r="EE115" i="27"/>
  <c r="EG115" i="27" s="1"/>
  <c r="EC115" i="27"/>
  <c r="EB115" i="27"/>
  <c r="ED115" i="27" s="1"/>
  <c r="DZ115" i="27"/>
  <c r="DY115" i="27"/>
  <c r="EA115" i="27" s="1"/>
  <c r="DW115" i="27"/>
  <c r="DV115" i="27"/>
  <c r="DX115" i="27" s="1"/>
  <c r="DT115" i="27"/>
  <c r="DS115" i="27"/>
  <c r="DU115" i="27" s="1"/>
  <c r="DQ115" i="27"/>
  <c r="DP115" i="27"/>
  <c r="DR115" i="27" s="1"/>
  <c r="DN115" i="27"/>
  <c r="DM115" i="27"/>
  <c r="DO115" i="27" s="1"/>
  <c r="DK115" i="27"/>
  <c r="DJ115" i="27"/>
  <c r="DL115" i="27" s="1"/>
  <c r="DH115" i="27"/>
  <c r="DG115" i="27"/>
  <c r="DI115" i="27" s="1"/>
  <c r="DE115" i="27"/>
  <c r="DD115" i="27"/>
  <c r="DF115" i="27" s="1"/>
  <c r="DB115" i="27"/>
  <c r="DA115" i="27"/>
  <c r="DC115" i="27" s="1"/>
  <c r="CY115" i="27"/>
  <c r="CX115" i="27"/>
  <c r="CZ115" i="27" s="1"/>
  <c r="CV115" i="27"/>
  <c r="CU115" i="27"/>
  <c r="CW115" i="27" s="1"/>
  <c r="CS115" i="27"/>
  <c r="CR115" i="27"/>
  <c r="CT115" i="27" s="1"/>
  <c r="CP115" i="27"/>
  <c r="CO115" i="27"/>
  <c r="CQ115" i="27" s="1"/>
  <c r="CM115" i="27"/>
  <c r="CL115" i="27"/>
  <c r="CN115" i="27" s="1"/>
  <c r="CJ115" i="27"/>
  <c r="CI115" i="27"/>
  <c r="CK115" i="27" s="1"/>
  <c r="CG115" i="27"/>
  <c r="CF115" i="27"/>
  <c r="CH115" i="27" s="1"/>
  <c r="CD115" i="27"/>
  <c r="CC115" i="27"/>
  <c r="CE115" i="27" s="1"/>
  <c r="CA115" i="27"/>
  <c r="BZ115" i="27"/>
  <c r="CB115" i="27" s="1"/>
  <c r="BX115" i="27"/>
  <c r="BW115" i="27"/>
  <c r="BY115" i="27" s="1"/>
  <c r="BU115" i="27"/>
  <c r="BT115" i="27"/>
  <c r="BV115" i="27" s="1"/>
  <c r="BR115" i="27"/>
  <c r="BQ115" i="27"/>
  <c r="BS115" i="27" s="1"/>
  <c r="BO115" i="27"/>
  <c r="BN115" i="27"/>
  <c r="BP115" i="27" s="1"/>
  <c r="BL115" i="27"/>
  <c r="BK115" i="27"/>
  <c r="BM115" i="27" s="1"/>
  <c r="BI115" i="27"/>
  <c r="BH115" i="27"/>
  <c r="BJ115" i="27" s="1"/>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V109" i="27"/>
  <c r="FU109" i="27"/>
  <c r="FW109" i="27" s="1"/>
  <c r="FS109" i="27"/>
  <c r="FR109" i="27"/>
  <c r="FT109" i="27" s="1"/>
  <c r="FP109" i="27"/>
  <c r="FO109" i="27"/>
  <c r="FQ109" i="27" s="1"/>
  <c r="FM109" i="27"/>
  <c r="FL109" i="27"/>
  <c r="FN109" i="27" s="1"/>
  <c r="FJ109" i="27"/>
  <c r="FI109" i="27"/>
  <c r="FK109" i="27" s="1"/>
  <c r="FG109" i="27"/>
  <c r="FF109" i="27"/>
  <c r="FH109" i="27" s="1"/>
  <c r="FD109" i="27"/>
  <c r="FC109" i="27"/>
  <c r="FE109" i="27" s="1"/>
  <c r="FA109" i="27"/>
  <c r="EZ109" i="27"/>
  <c r="FB109" i="27" s="1"/>
  <c r="EX109" i="27"/>
  <c r="EW109" i="27"/>
  <c r="EY109" i="27" s="1"/>
  <c r="EU109" i="27"/>
  <c r="ET109" i="27"/>
  <c r="EV109" i="27" s="1"/>
  <c r="ER109" i="27"/>
  <c r="EQ109" i="27"/>
  <c r="ES109" i="27" s="1"/>
  <c r="EO109" i="27"/>
  <c r="EN109" i="27"/>
  <c r="EP109" i="27" s="1"/>
  <c r="EL109" i="27"/>
  <c r="EK109" i="27"/>
  <c r="EM109" i="27" s="1"/>
  <c r="EI109" i="27"/>
  <c r="EH109" i="27"/>
  <c r="EJ109" i="27" s="1"/>
  <c r="EF109" i="27"/>
  <c r="EE109" i="27"/>
  <c r="EG109" i="27" s="1"/>
  <c r="EC109" i="27"/>
  <c r="EB109" i="27"/>
  <c r="ED109" i="27" s="1"/>
  <c r="DZ109" i="27"/>
  <c r="DY109" i="27"/>
  <c r="EA109" i="27" s="1"/>
  <c r="DW109" i="27"/>
  <c r="DV109" i="27"/>
  <c r="DX109" i="27" s="1"/>
  <c r="DT109" i="27"/>
  <c r="DS109" i="27"/>
  <c r="DU109" i="27" s="1"/>
  <c r="DQ109" i="27"/>
  <c r="DP109" i="27"/>
  <c r="DR109" i="27" s="1"/>
  <c r="DN109" i="27"/>
  <c r="DM109" i="27"/>
  <c r="DO109" i="27" s="1"/>
  <c r="DK109" i="27"/>
  <c r="DJ109" i="27"/>
  <c r="DL109" i="27" s="1"/>
  <c r="DH109" i="27"/>
  <c r="DG109" i="27"/>
  <c r="DI109" i="27" s="1"/>
  <c r="DE109" i="27"/>
  <c r="DD109" i="27"/>
  <c r="DF109" i="27" s="1"/>
  <c r="DB109" i="27"/>
  <c r="DA109" i="27"/>
  <c r="DC109" i="27" s="1"/>
  <c r="CY109" i="27"/>
  <c r="CX109" i="27"/>
  <c r="CZ109" i="27" s="1"/>
  <c r="CV109" i="27"/>
  <c r="CU109" i="27"/>
  <c r="CW109" i="27" s="1"/>
  <c r="CS109" i="27"/>
  <c r="CR109" i="27"/>
  <c r="CT109" i="27" s="1"/>
  <c r="CP109" i="27"/>
  <c r="CO109" i="27"/>
  <c r="CQ109" i="27" s="1"/>
  <c r="CM109" i="27"/>
  <c r="CL109" i="27"/>
  <c r="CN109" i="27" s="1"/>
  <c r="CJ109" i="27"/>
  <c r="CI109" i="27"/>
  <c r="CK109" i="27" s="1"/>
  <c r="CG109" i="27"/>
  <c r="CF109" i="27"/>
  <c r="CH109" i="27" s="1"/>
  <c r="CD109" i="27"/>
  <c r="CC109" i="27"/>
  <c r="CE109" i="27" s="1"/>
  <c r="CA109" i="27"/>
  <c r="BZ109" i="27"/>
  <c r="CB109" i="27" s="1"/>
  <c r="BX109" i="27"/>
  <c r="BW109" i="27"/>
  <c r="BY109" i="27" s="1"/>
  <c r="BU109" i="27"/>
  <c r="BT109" i="27"/>
  <c r="BV109" i="27" s="1"/>
  <c r="BR109" i="27"/>
  <c r="BQ109" i="27"/>
  <c r="BS109" i="27" s="1"/>
  <c r="BO109" i="27"/>
  <c r="BN109" i="27"/>
  <c r="BP109" i="27" s="1"/>
  <c r="BL109" i="27"/>
  <c r="BK109" i="27"/>
  <c r="BM109" i="27" s="1"/>
  <c r="BI109" i="27"/>
  <c r="BH109" i="27"/>
  <c r="BJ109" i="27" s="1"/>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V103" i="27"/>
  <c r="FU103" i="27"/>
  <c r="FW103" i="27" s="1"/>
  <c r="FS103" i="27"/>
  <c r="FR103" i="27"/>
  <c r="FT103" i="27" s="1"/>
  <c r="FP103" i="27"/>
  <c r="FO103" i="27"/>
  <c r="FQ103" i="27" s="1"/>
  <c r="FM103" i="27"/>
  <c r="FL103" i="27"/>
  <c r="FN103" i="27" s="1"/>
  <c r="FJ103" i="27"/>
  <c r="FI103" i="27"/>
  <c r="FK103" i="27" s="1"/>
  <c r="FG103" i="27"/>
  <c r="FF103" i="27"/>
  <c r="FH103" i="27" s="1"/>
  <c r="FD103" i="27"/>
  <c r="FC103" i="27"/>
  <c r="FE103" i="27" s="1"/>
  <c r="FA103" i="27"/>
  <c r="EZ103" i="27"/>
  <c r="FB103" i="27" s="1"/>
  <c r="EX103" i="27"/>
  <c r="EW103" i="27"/>
  <c r="EY103" i="27" s="1"/>
  <c r="EU103" i="27"/>
  <c r="ET103" i="27"/>
  <c r="EV103" i="27" s="1"/>
  <c r="ER103" i="27"/>
  <c r="EQ103" i="27"/>
  <c r="ES103" i="27" s="1"/>
  <c r="EO103" i="27"/>
  <c r="EN103" i="27"/>
  <c r="EP103" i="27" s="1"/>
  <c r="EL103" i="27"/>
  <c r="EK103" i="27"/>
  <c r="EM103" i="27" s="1"/>
  <c r="EI103" i="27"/>
  <c r="EH103" i="27"/>
  <c r="EJ103" i="27" s="1"/>
  <c r="EF103" i="27"/>
  <c r="EE103" i="27"/>
  <c r="EG103" i="27" s="1"/>
  <c r="EC103" i="27"/>
  <c r="EB103" i="27"/>
  <c r="ED103" i="27" s="1"/>
  <c r="DZ103" i="27"/>
  <c r="DY103" i="27"/>
  <c r="EA103" i="27" s="1"/>
  <c r="DW103" i="27"/>
  <c r="DV103" i="27"/>
  <c r="DX103" i="27" s="1"/>
  <c r="DT103" i="27"/>
  <c r="DS103" i="27"/>
  <c r="DU103" i="27" s="1"/>
  <c r="DQ103" i="27"/>
  <c r="DP103" i="27"/>
  <c r="DR103" i="27" s="1"/>
  <c r="DN103" i="27"/>
  <c r="DM103" i="27"/>
  <c r="DO103" i="27" s="1"/>
  <c r="DK103" i="27"/>
  <c r="DJ103" i="27"/>
  <c r="DL103" i="27" s="1"/>
  <c r="DH103" i="27"/>
  <c r="DG103" i="27"/>
  <c r="DI103" i="27" s="1"/>
  <c r="DE103" i="27"/>
  <c r="DD103" i="27"/>
  <c r="DF103" i="27" s="1"/>
  <c r="DB103" i="27"/>
  <c r="DA103" i="27"/>
  <c r="DC103" i="27" s="1"/>
  <c r="CY103" i="27"/>
  <c r="CX103" i="27"/>
  <c r="CZ103" i="27" s="1"/>
  <c r="CV103" i="27"/>
  <c r="CU103" i="27"/>
  <c r="CW103" i="27" s="1"/>
  <c r="CS103" i="27"/>
  <c r="CR103" i="27"/>
  <c r="CT103" i="27" s="1"/>
  <c r="CP103" i="27"/>
  <c r="CO103" i="27"/>
  <c r="CQ103" i="27" s="1"/>
  <c r="CM103" i="27"/>
  <c r="CL103" i="27"/>
  <c r="CN103" i="27" s="1"/>
  <c r="CJ103" i="27"/>
  <c r="CI103" i="27"/>
  <c r="CK103" i="27" s="1"/>
  <c r="CG103" i="27"/>
  <c r="CF103" i="27"/>
  <c r="CH103" i="27" s="1"/>
  <c r="CD103" i="27"/>
  <c r="CC103" i="27"/>
  <c r="CE103" i="27" s="1"/>
  <c r="CA103" i="27"/>
  <c r="BZ103" i="27"/>
  <c r="CB103" i="27" s="1"/>
  <c r="BX103" i="27"/>
  <c r="BW103" i="27"/>
  <c r="BY103" i="27" s="1"/>
  <c r="BU103" i="27"/>
  <c r="BT103" i="27"/>
  <c r="BV103" i="27" s="1"/>
  <c r="BR103" i="27"/>
  <c r="BQ103" i="27"/>
  <c r="BS103" i="27" s="1"/>
  <c r="BO103" i="27"/>
  <c r="BN103" i="27"/>
  <c r="BP103" i="27" s="1"/>
  <c r="BL103" i="27"/>
  <c r="BK103" i="27"/>
  <c r="BM103" i="27" s="1"/>
  <c r="BI103" i="27"/>
  <c r="BH103" i="27"/>
  <c r="BJ103" i="27" s="1"/>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s="1"/>
  <c r="GB99" i="27" s="1" a="1"/>
  <c r="GB99"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5" i="27"/>
  <c r="T86" i="27" s="1" a="1"/>
  <c r="T86" i="27" s="1"/>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Q85" i="27" a="1"/>
  <c r="Q85" i="27" s="1"/>
  <c r="F85" i="27" a="1"/>
  <c r="F85" i="27" s="1"/>
  <c r="F86" i="27" s="1" a="1"/>
  <c r="F86" i="27" s="1"/>
  <c r="F87" i="27" s="1" a="1"/>
  <c r="F87" i="27" s="1"/>
  <c r="F88" i="27" s="1" a="1"/>
  <c r="F88" i="27" s="1"/>
  <c r="F89" i="27" s="1" a="1"/>
  <c r="F89" i="27" s="1"/>
  <c r="F90" i="27" s="1" a="1"/>
  <c r="F90" i="27" s="1"/>
  <c r="GB82" i="27" a="1"/>
  <c r="GB82" i="27"/>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s="1"/>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GB71" i="27" a="1"/>
  <c r="GB71" i="27" s="1"/>
  <c r="GB72" i="27" s="1" a="1"/>
  <c r="GB72" i="27" s="1"/>
  <c r="GB73" i="27" s="1" a="1"/>
  <c r="GB73" i="27" s="1"/>
  <c r="GB74" i="27" s="1" a="1"/>
  <c r="GB74" i="27" s="1"/>
  <c r="GB75" i="27" s="1" a="1"/>
  <c r="GB75" i="27" s="1"/>
  <c r="FV71" i="27"/>
  <c r="FU71" i="27"/>
  <c r="FW71" i="27" s="1"/>
  <c r="FS71" i="27"/>
  <c r="FR71" i="27"/>
  <c r="FT71" i="27" s="1"/>
  <c r="FP71" i="27"/>
  <c r="FO71" i="27"/>
  <c r="FQ71" i="27" s="1"/>
  <c r="FM71" i="27"/>
  <c r="FL71" i="27"/>
  <c r="FN71" i="27" s="1"/>
  <c r="FJ71" i="27"/>
  <c r="FI71" i="27"/>
  <c r="FK71" i="27" s="1"/>
  <c r="FG71" i="27"/>
  <c r="FF71" i="27"/>
  <c r="FH71" i="27" s="1"/>
  <c r="FD71" i="27"/>
  <c r="FC71" i="27"/>
  <c r="FE71" i="27" s="1"/>
  <c r="FA71" i="27"/>
  <c r="EZ71" i="27"/>
  <c r="FB71" i="27" s="1"/>
  <c r="EX71" i="27"/>
  <c r="EW71" i="27"/>
  <c r="EY71" i="27" s="1"/>
  <c r="EU71" i="27"/>
  <c r="ET71" i="27"/>
  <c r="EV71" i="27" s="1"/>
  <c r="ER71" i="27"/>
  <c r="EQ71" i="27"/>
  <c r="ES71" i="27" s="1"/>
  <c r="EO71" i="27"/>
  <c r="EN71" i="27"/>
  <c r="EP71" i="27" s="1"/>
  <c r="EL71" i="27"/>
  <c r="EK71" i="27"/>
  <c r="EM71" i="27" s="1"/>
  <c r="EI71" i="27"/>
  <c r="EH71" i="27"/>
  <c r="EJ71" i="27" s="1"/>
  <c r="EF71" i="27"/>
  <c r="EE71" i="27"/>
  <c r="EG71" i="27" s="1"/>
  <c r="EC71" i="27"/>
  <c r="EB71" i="27"/>
  <c r="ED71" i="27" s="1"/>
  <c r="DZ71" i="27"/>
  <c r="DY71" i="27"/>
  <c r="EA71" i="27" s="1"/>
  <c r="DW71" i="27"/>
  <c r="DV71" i="27"/>
  <c r="DX71" i="27" s="1"/>
  <c r="DT71" i="27"/>
  <c r="DS71" i="27"/>
  <c r="DU71" i="27" s="1"/>
  <c r="DQ71" i="27"/>
  <c r="DP71" i="27"/>
  <c r="DR71" i="27" s="1"/>
  <c r="DN71" i="27"/>
  <c r="DM71" i="27"/>
  <c r="DO71" i="27" s="1"/>
  <c r="DK71" i="27"/>
  <c r="DJ71" i="27"/>
  <c r="DL71" i="27" s="1"/>
  <c r="DH71" i="27"/>
  <c r="DG71" i="27"/>
  <c r="DI71" i="27" s="1"/>
  <c r="DE71" i="27"/>
  <c r="DD71" i="27"/>
  <c r="DF71" i="27" s="1"/>
  <c r="DB71" i="27"/>
  <c r="DA71" i="27"/>
  <c r="DC71" i="27" s="1"/>
  <c r="CY71" i="27"/>
  <c r="CX71" i="27"/>
  <c r="CZ71" i="27" s="1"/>
  <c r="CV71" i="27"/>
  <c r="CU71" i="27"/>
  <c r="CW71" i="27" s="1"/>
  <c r="CS71" i="27"/>
  <c r="CR71" i="27"/>
  <c r="CT71" i="27" s="1"/>
  <c r="CP71" i="27"/>
  <c r="CO71" i="27"/>
  <c r="CQ71" i="27" s="1"/>
  <c r="CM71" i="27"/>
  <c r="CL71" i="27"/>
  <c r="CN71" i="27" s="1"/>
  <c r="CJ71" i="27"/>
  <c r="CI71" i="27"/>
  <c r="CK71" i="27" s="1"/>
  <c r="CG71" i="27"/>
  <c r="CF71" i="27"/>
  <c r="CH71" i="27" s="1"/>
  <c r="CD71" i="27"/>
  <c r="CC71" i="27"/>
  <c r="CE71" i="27" s="1"/>
  <c r="CA71" i="27"/>
  <c r="BZ71" i="27"/>
  <c r="CB71" i="27" s="1"/>
  <c r="BX71" i="27"/>
  <c r="BW71" i="27"/>
  <c r="BY71" i="27" s="1"/>
  <c r="BU71" i="27"/>
  <c r="BT71" i="27"/>
  <c r="BV71" i="27" s="1"/>
  <c r="BR71" i="27"/>
  <c r="BQ71" i="27"/>
  <c r="BS71" i="27" s="1"/>
  <c r="BO71" i="27"/>
  <c r="BN71" i="27"/>
  <c r="BP71" i="27" s="1"/>
  <c r="BL71" i="27"/>
  <c r="BK71" i="27"/>
  <c r="BM71" i="27" s="1"/>
  <c r="BI71" i="27"/>
  <c r="BH71" i="27"/>
  <c r="BJ71" i="27" s="1"/>
  <c r="BF71" i="27"/>
  <c r="BE71" i="27"/>
  <c r="BG71" i="27" s="1"/>
  <c r="BC71" i="27"/>
  <c r="BB71" i="27"/>
  <c r="BD71" i="27" s="1"/>
  <c r="AZ71" i="27"/>
  <c r="AY71" i="27"/>
  <c r="BA71" i="27" s="1"/>
  <c r="AW71" i="27"/>
  <c r="AV71" i="27"/>
  <c r="AX71" i="27" s="1"/>
  <c r="AT71" i="27"/>
  <c r="AS71" i="27"/>
  <c r="AU71" i="27" s="1"/>
  <c r="AQ71" i="27"/>
  <c r="AP71" i="27"/>
  <c r="AR71" i="27" s="1"/>
  <c r="AN71" i="27"/>
  <c r="AM71" i="27"/>
  <c r="AO71" i="27" s="1"/>
  <c r="AK71" i="27"/>
  <c r="AJ71" i="27"/>
  <c r="AL71" i="27" s="1"/>
  <c r="AH71" i="27"/>
  <c r="AG71" i="27"/>
  <c r="AI71" i="27" s="1"/>
  <c r="AE71" i="27"/>
  <c r="AD71" i="27"/>
  <c r="AF71" i="27" s="1"/>
  <c r="I71" i="27" a="1"/>
  <c r="I71" i="27" s="1"/>
  <c r="I72" i="27" s="1" a="1"/>
  <c r="I72" i="27" s="1"/>
  <c r="I73" i="27" s="1" a="1"/>
  <c r="I73" i="27" s="1"/>
  <c r="I74" i="27" s="1" a="1"/>
  <c r="I74" i="27" s="1"/>
  <c r="I75" i="27" s="1" a="1"/>
  <c r="I75"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V65" i="27"/>
  <c r="FU65" i="27"/>
  <c r="FW65" i="27" s="1"/>
  <c r="FS65" i="27"/>
  <c r="FR65" i="27"/>
  <c r="FT65" i="27" s="1"/>
  <c r="FP65" i="27"/>
  <c r="FO65" i="27"/>
  <c r="FQ65" i="27" s="1"/>
  <c r="FM65" i="27"/>
  <c r="FL65" i="27"/>
  <c r="FN65" i="27" s="1"/>
  <c r="FJ65" i="27"/>
  <c r="FI65" i="27"/>
  <c r="FK65" i="27" s="1"/>
  <c r="FG65" i="27"/>
  <c r="FF65" i="27"/>
  <c r="FH65" i="27" s="1"/>
  <c r="FD65" i="27"/>
  <c r="FC65" i="27"/>
  <c r="FE65" i="27" s="1"/>
  <c r="FA65" i="27"/>
  <c r="EZ65" i="27"/>
  <c r="FB65" i="27" s="1"/>
  <c r="EX65" i="27"/>
  <c r="EW65" i="27"/>
  <c r="EY65" i="27" s="1"/>
  <c r="EU65" i="27"/>
  <c r="ET65" i="27"/>
  <c r="EV65" i="27" s="1"/>
  <c r="ER65" i="27"/>
  <c r="EQ65" i="27"/>
  <c r="ES65" i="27" s="1"/>
  <c r="EO65" i="27"/>
  <c r="EN65" i="27"/>
  <c r="EP65" i="27" s="1"/>
  <c r="EL65" i="27"/>
  <c r="EK65" i="27"/>
  <c r="EM65" i="27" s="1"/>
  <c r="EI65" i="27"/>
  <c r="EH65" i="27"/>
  <c r="EJ65" i="27" s="1"/>
  <c r="EF65" i="27"/>
  <c r="EE65" i="27"/>
  <c r="EG65" i="27" s="1"/>
  <c r="EC65" i="27"/>
  <c r="EB65" i="27"/>
  <c r="ED65" i="27" s="1"/>
  <c r="DZ65" i="27"/>
  <c r="DY65" i="27"/>
  <c r="EA65" i="27" s="1"/>
  <c r="DW65" i="27"/>
  <c r="DV65" i="27"/>
  <c r="DX65" i="27" s="1"/>
  <c r="DT65" i="27"/>
  <c r="DS65" i="27"/>
  <c r="DU65" i="27" s="1"/>
  <c r="DQ65" i="27"/>
  <c r="DP65" i="27"/>
  <c r="DR65" i="27" s="1"/>
  <c r="DN65" i="27"/>
  <c r="DM65" i="27"/>
  <c r="DO65" i="27" s="1"/>
  <c r="DK65" i="27"/>
  <c r="DJ65" i="27"/>
  <c r="DL65" i="27" s="1"/>
  <c r="DH65" i="27"/>
  <c r="DG65" i="27"/>
  <c r="DI65" i="27" s="1"/>
  <c r="DE65" i="27"/>
  <c r="DD65" i="27"/>
  <c r="DF65" i="27" s="1"/>
  <c r="DB65" i="27"/>
  <c r="DA65" i="27"/>
  <c r="DC65" i="27" s="1"/>
  <c r="CY65" i="27"/>
  <c r="CX65" i="27"/>
  <c r="CZ65" i="27" s="1"/>
  <c r="CV65" i="27"/>
  <c r="CU65" i="27"/>
  <c r="CW65" i="27" s="1"/>
  <c r="CS65" i="27"/>
  <c r="CR65" i="27"/>
  <c r="CT65" i="27" s="1"/>
  <c r="CP65" i="27"/>
  <c r="CO65" i="27"/>
  <c r="CQ65" i="27" s="1"/>
  <c r="CM65" i="27"/>
  <c r="CL65" i="27"/>
  <c r="CN65" i="27" s="1"/>
  <c r="CJ65" i="27"/>
  <c r="CI65" i="27"/>
  <c r="CK65" i="27" s="1"/>
  <c r="CG65" i="27"/>
  <c r="CF65" i="27"/>
  <c r="CH65" i="27" s="1"/>
  <c r="CD65" i="27"/>
  <c r="CC65" i="27"/>
  <c r="CE65" i="27" s="1"/>
  <c r="CA65" i="27"/>
  <c r="BZ65" i="27"/>
  <c r="CB65" i="27" s="1"/>
  <c r="BX65" i="27"/>
  <c r="BW65" i="27"/>
  <c r="BY65" i="27" s="1"/>
  <c r="BU65" i="27"/>
  <c r="BT65" i="27"/>
  <c r="BV65" i="27" s="1"/>
  <c r="BR65" i="27"/>
  <c r="BQ65" i="27"/>
  <c r="BS65" i="27" s="1"/>
  <c r="BO65" i="27"/>
  <c r="BN65" i="27"/>
  <c r="BP65" i="27" s="1"/>
  <c r="BL65" i="27"/>
  <c r="BK65" i="27"/>
  <c r="BM65" i="27" s="1"/>
  <c r="BI65" i="27"/>
  <c r="BH65" i="27"/>
  <c r="BJ65" i="27" s="1"/>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V59" i="27"/>
  <c r="FU59" i="27"/>
  <c r="FW59" i="27" s="1"/>
  <c r="FS59" i="27"/>
  <c r="FR59" i="27"/>
  <c r="FT59" i="27" s="1"/>
  <c r="FP59" i="27"/>
  <c r="FO59" i="27"/>
  <c r="FQ59" i="27" s="1"/>
  <c r="FM59" i="27"/>
  <c r="FL59" i="27"/>
  <c r="FN59" i="27" s="1"/>
  <c r="FJ59" i="27"/>
  <c r="FI59" i="27"/>
  <c r="FK59" i="27" s="1"/>
  <c r="FG59" i="27"/>
  <c r="FF59" i="27"/>
  <c r="FH59" i="27" s="1"/>
  <c r="FD59" i="27"/>
  <c r="FC59" i="27"/>
  <c r="FE59" i="27" s="1"/>
  <c r="FA59" i="27"/>
  <c r="EZ59" i="27"/>
  <c r="FB59" i="27" s="1"/>
  <c r="EX59" i="27"/>
  <c r="EW59" i="27"/>
  <c r="EY59" i="27" s="1"/>
  <c r="EU59" i="27"/>
  <c r="ET59" i="27"/>
  <c r="EV59" i="27" s="1"/>
  <c r="ER59" i="27"/>
  <c r="EQ59" i="27"/>
  <c r="ES59" i="27" s="1"/>
  <c r="EO59" i="27"/>
  <c r="EN59" i="27"/>
  <c r="EP59" i="27" s="1"/>
  <c r="EL59" i="27"/>
  <c r="EK59" i="27"/>
  <c r="EM59" i="27" s="1"/>
  <c r="EI59" i="27"/>
  <c r="EH59" i="27"/>
  <c r="EJ59" i="27" s="1"/>
  <c r="EF59" i="27"/>
  <c r="EE59" i="27"/>
  <c r="EG59" i="27" s="1"/>
  <c r="EC59" i="27"/>
  <c r="EB59" i="27"/>
  <c r="ED59" i="27" s="1"/>
  <c r="DZ59" i="27"/>
  <c r="DY59" i="27"/>
  <c r="EA59" i="27" s="1"/>
  <c r="DW59" i="27"/>
  <c r="DV59" i="27"/>
  <c r="DX59" i="27" s="1"/>
  <c r="DT59" i="27"/>
  <c r="DS59" i="27"/>
  <c r="DU59" i="27" s="1"/>
  <c r="DQ59" i="27"/>
  <c r="DP59" i="27"/>
  <c r="DR59" i="27" s="1"/>
  <c r="DN59" i="27"/>
  <c r="DM59" i="27"/>
  <c r="DO59" i="27" s="1"/>
  <c r="DK59" i="27"/>
  <c r="DJ59" i="27"/>
  <c r="DL59" i="27" s="1"/>
  <c r="DH59" i="27"/>
  <c r="DG59" i="27"/>
  <c r="DI59" i="27" s="1"/>
  <c r="DE59" i="27"/>
  <c r="DD59" i="27"/>
  <c r="DF59" i="27" s="1"/>
  <c r="DB59" i="27"/>
  <c r="DA59" i="27"/>
  <c r="DC59" i="27" s="1"/>
  <c r="CY59" i="27"/>
  <c r="CX59" i="27"/>
  <c r="CZ59" i="27" s="1"/>
  <c r="CV59" i="27"/>
  <c r="CU59" i="27"/>
  <c r="CW59" i="27" s="1"/>
  <c r="CS59" i="27"/>
  <c r="CR59" i="27"/>
  <c r="CT59" i="27" s="1"/>
  <c r="CP59" i="27"/>
  <c r="CO59" i="27"/>
  <c r="CQ59" i="27" s="1"/>
  <c r="CM59" i="27"/>
  <c r="CL59" i="27"/>
  <c r="CN59" i="27" s="1"/>
  <c r="CJ59" i="27"/>
  <c r="CI59" i="27"/>
  <c r="CK59" i="27" s="1"/>
  <c r="CG59" i="27"/>
  <c r="CF59" i="27"/>
  <c r="CH59" i="27" s="1"/>
  <c r="CD59" i="27"/>
  <c r="CC59" i="27"/>
  <c r="CE59" i="27" s="1"/>
  <c r="CA59" i="27"/>
  <c r="BZ59" i="27"/>
  <c r="CB59" i="27" s="1"/>
  <c r="BX59" i="27"/>
  <c r="BW59" i="27"/>
  <c r="BY59" i="27" s="1"/>
  <c r="BU59" i="27"/>
  <c r="BT59" i="27"/>
  <c r="BV59" i="27" s="1"/>
  <c r="BR59" i="27"/>
  <c r="BQ59" i="27"/>
  <c r="BS59" i="27" s="1"/>
  <c r="BO59" i="27"/>
  <c r="BN59" i="27"/>
  <c r="BP59" i="27" s="1"/>
  <c r="BL59" i="27"/>
  <c r="BK59" i="27"/>
  <c r="BM59" i="27" s="1"/>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S53" i="27"/>
  <c r="FR53" i="27"/>
  <c r="FT53" i="27" s="1"/>
  <c r="FP53" i="27"/>
  <c r="FO53" i="27"/>
  <c r="FQ53" i="27" s="1"/>
  <c r="FM53" i="27"/>
  <c r="FL53" i="27"/>
  <c r="FN53" i="27" s="1"/>
  <c r="FJ53" i="27"/>
  <c r="FI53" i="27"/>
  <c r="FK53" i="27" s="1"/>
  <c r="FG53" i="27"/>
  <c r="FF53" i="27"/>
  <c r="FH53" i="27" s="1"/>
  <c r="FD53" i="27"/>
  <c r="FC53" i="27"/>
  <c r="FE53" i="27" s="1"/>
  <c r="FA53" i="27"/>
  <c r="EZ53" i="27"/>
  <c r="FB53" i="27" s="1"/>
  <c r="EX53" i="27"/>
  <c r="EW53" i="27"/>
  <c r="EY53" i="27" s="1"/>
  <c r="EU53" i="27"/>
  <c r="ET53" i="27"/>
  <c r="EV53" i="27" s="1"/>
  <c r="ER53" i="27"/>
  <c r="EQ53" i="27"/>
  <c r="ES53" i="27" s="1"/>
  <c r="EO53" i="27"/>
  <c r="EN53" i="27"/>
  <c r="EP53" i="27" s="1"/>
  <c r="EL53" i="27"/>
  <c r="EK53" i="27"/>
  <c r="EM53" i="27" s="1"/>
  <c r="EI53" i="27"/>
  <c r="EH53" i="27"/>
  <c r="EJ53" i="27" s="1"/>
  <c r="EF53" i="27"/>
  <c r="EE53" i="27"/>
  <c r="EG53" i="27" s="1"/>
  <c r="EC53" i="27"/>
  <c r="EB53" i="27"/>
  <c r="ED53" i="27" s="1"/>
  <c r="DZ53" i="27"/>
  <c r="DY53" i="27"/>
  <c r="EA53" i="27" s="1"/>
  <c r="DW53" i="27"/>
  <c r="DV53" i="27"/>
  <c r="DX53" i="27" s="1"/>
  <c r="DT53" i="27"/>
  <c r="DS53" i="27"/>
  <c r="DU53" i="27" s="1"/>
  <c r="DQ53" i="27"/>
  <c r="DP53" i="27"/>
  <c r="DR53" i="27" s="1"/>
  <c r="DN53" i="27"/>
  <c r="DM53" i="27"/>
  <c r="DO53" i="27" s="1"/>
  <c r="DK53" i="27"/>
  <c r="DJ53" i="27"/>
  <c r="DL53" i="27" s="1"/>
  <c r="DH53" i="27"/>
  <c r="DG53" i="27"/>
  <c r="DI53" i="27" s="1"/>
  <c r="DE53" i="27"/>
  <c r="DD53" i="27"/>
  <c r="DF53" i="27" s="1"/>
  <c r="DB53" i="27"/>
  <c r="DA53" i="27"/>
  <c r="DC53" i="27" s="1"/>
  <c r="CY53" i="27"/>
  <c r="CX53" i="27"/>
  <c r="CZ53" i="27" s="1"/>
  <c r="CV53" i="27"/>
  <c r="CU53" i="27"/>
  <c r="CW53" i="27" s="1"/>
  <c r="CS53" i="27"/>
  <c r="CR53" i="27"/>
  <c r="CT53" i="27" s="1"/>
  <c r="CP53" i="27"/>
  <c r="CO53" i="27"/>
  <c r="CQ53" i="27" s="1"/>
  <c r="CM53" i="27"/>
  <c r="CL53" i="27"/>
  <c r="CN53" i="27" s="1"/>
  <c r="CJ53" i="27"/>
  <c r="CI53" i="27"/>
  <c r="CK53" i="27" s="1"/>
  <c r="CG53" i="27"/>
  <c r="CF53" i="27"/>
  <c r="CH53" i="27" s="1"/>
  <c r="CD53" i="27"/>
  <c r="CC53" i="27"/>
  <c r="CE53" i="27" s="1"/>
  <c r="CA53" i="27"/>
  <c r="BZ53" i="27"/>
  <c r="CB53" i="27" s="1"/>
  <c r="BX53" i="27"/>
  <c r="BW53" i="27"/>
  <c r="BY53" i="27" s="1"/>
  <c r="BU53" i="27"/>
  <c r="BT53" i="27"/>
  <c r="BV53" i="27" s="1"/>
  <c r="BR53" i="27"/>
  <c r="BQ53" i="27"/>
  <c r="BS53" i="27" s="1"/>
  <c r="BO53" i="27"/>
  <c r="BN53" i="27"/>
  <c r="BP53" i="27" s="1"/>
  <c r="BL53" i="27"/>
  <c r="BK53" i="27"/>
  <c r="BM53" i="27" s="1"/>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FV47" i="27"/>
  <c r="FU47" i="27"/>
  <c r="FW47" i="27" s="1"/>
  <c r="FS47" i="27"/>
  <c r="FR47" i="27"/>
  <c r="FT47" i="27" s="1"/>
  <c r="FP47" i="27"/>
  <c r="FO47" i="27"/>
  <c r="FQ47" i="27" s="1"/>
  <c r="FM47" i="27"/>
  <c r="FL47" i="27"/>
  <c r="FN47" i="27" s="1"/>
  <c r="FJ47" i="27"/>
  <c r="FI47" i="27"/>
  <c r="FK47" i="27" s="1"/>
  <c r="FG47" i="27"/>
  <c r="FF47" i="27"/>
  <c r="FH47" i="27" s="1"/>
  <c r="FD47" i="27"/>
  <c r="FC47" i="27"/>
  <c r="FE47" i="27" s="1"/>
  <c r="FA47" i="27"/>
  <c r="EZ47" i="27"/>
  <c r="FB47" i="27" s="1"/>
  <c r="EX47" i="27"/>
  <c r="EW47" i="27"/>
  <c r="EY47" i="27" s="1"/>
  <c r="EU47" i="27"/>
  <c r="ET47" i="27"/>
  <c r="EV47" i="27" s="1"/>
  <c r="ER47" i="27"/>
  <c r="EQ47" i="27"/>
  <c r="ES47" i="27" s="1"/>
  <c r="EO47" i="27"/>
  <c r="EN47" i="27"/>
  <c r="EP47" i="27" s="1"/>
  <c r="EL47" i="27"/>
  <c r="EK47" i="27"/>
  <c r="EM47" i="27" s="1"/>
  <c r="EI47" i="27"/>
  <c r="EH47" i="27"/>
  <c r="EJ47" i="27" s="1"/>
  <c r="EF47" i="27"/>
  <c r="EE47" i="27"/>
  <c r="EG47" i="27" s="1"/>
  <c r="EC47" i="27"/>
  <c r="EB47" i="27"/>
  <c r="ED47" i="27" s="1"/>
  <c r="DZ47" i="27"/>
  <c r="DY47" i="27"/>
  <c r="EA47" i="27" s="1"/>
  <c r="DW47" i="27"/>
  <c r="DV47" i="27"/>
  <c r="DX47" i="27" s="1"/>
  <c r="DT47" i="27"/>
  <c r="DS47" i="27"/>
  <c r="DU47" i="27" s="1"/>
  <c r="DQ47" i="27"/>
  <c r="DP47" i="27"/>
  <c r="DR47" i="27" s="1"/>
  <c r="DN47" i="27"/>
  <c r="DM47" i="27"/>
  <c r="DO47" i="27" s="1"/>
  <c r="DK47" i="27"/>
  <c r="DJ47" i="27"/>
  <c r="DL47" i="27" s="1"/>
  <c r="DH47" i="27"/>
  <c r="DG47" i="27"/>
  <c r="DI47" i="27" s="1"/>
  <c r="DE47" i="27"/>
  <c r="DD47" i="27"/>
  <c r="DF47" i="27" s="1"/>
  <c r="DB47" i="27"/>
  <c r="DA47" i="27"/>
  <c r="DC47" i="27" s="1"/>
  <c r="CY47" i="27"/>
  <c r="CX47" i="27"/>
  <c r="CZ47" i="27" s="1"/>
  <c r="CV47" i="27"/>
  <c r="CU47" i="27"/>
  <c r="CW47" i="27" s="1"/>
  <c r="CS47" i="27"/>
  <c r="CR47" i="27"/>
  <c r="CT47" i="27" s="1"/>
  <c r="CP47" i="27"/>
  <c r="CO47" i="27"/>
  <c r="CQ47" i="27" s="1"/>
  <c r="CM47" i="27"/>
  <c r="CL47" i="27"/>
  <c r="CN47" i="27" s="1"/>
  <c r="CJ47" i="27"/>
  <c r="CI47" i="27"/>
  <c r="CK47" i="27" s="1"/>
  <c r="CG47" i="27"/>
  <c r="CF47" i="27"/>
  <c r="CH47" i="27" s="1"/>
  <c r="CD47" i="27"/>
  <c r="CC47" i="27"/>
  <c r="CE47" i="27" s="1"/>
  <c r="CA47" i="27"/>
  <c r="BZ47" i="27"/>
  <c r="CB47" i="27" s="1"/>
  <c r="BX47" i="27"/>
  <c r="BW47" i="27"/>
  <c r="BY47" i="27" s="1"/>
  <c r="BU47" i="27"/>
  <c r="BT47" i="27"/>
  <c r="BV47" i="27" s="1"/>
  <c r="BR47" i="27"/>
  <c r="BQ47" i="27"/>
  <c r="BS47" i="27" s="1"/>
  <c r="BO47" i="27"/>
  <c r="BN47" i="27"/>
  <c r="BP47" i="27" s="1"/>
  <c r="BL47" i="27"/>
  <c r="BK47" i="27"/>
  <c r="BM47" i="27" s="1"/>
  <c r="BI47" i="27"/>
  <c r="BH47" i="27"/>
  <c r="BJ47" i="27" s="1"/>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s="1"/>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T29" i="27"/>
  <c r="T30" i="27" s="1" a="1"/>
  <c r="T30" i="27" s="1"/>
  <c r="T31" i="27" s="1" a="1"/>
  <c r="T31" i="27" s="1"/>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Q29" i="27" a="1"/>
  <c r="Q29" i="27"/>
  <c r="AB74" i="27" s="1"/>
  <c r="F29" i="27" a="1"/>
  <c r="F29" i="27"/>
  <c r="F30" i="27" s="1" a="1"/>
  <c r="F30" i="27" s="1"/>
  <c r="F31" i="27" s="1" a="1"/>
  <c r="F31" i="27" s="1"/>
  <c r="F32" i="27" s="1" a="1"/>
  <c r="F32" i="27" s="1"/>
  <c r="F33" i="27" s="1" a="1"/>
  <c r="F33" i="27" s="1"/>
  <c r="F34" i="27" s="1" a="1"/>
  <c r="F34" i="27" s="1"/>
  <c r="FW10" i="27" a="1"/>
  <c r="FW10" i="27"/>
  <c r="FV10" i="27" a="1"/>
  <c r="FV10" i="27"/>
  <c r="FU10" i="27" a="1"/>
  <c r="FU10" i="27"/>
  <c r="FT10" i="27" a="1"/>
  <c r="FT10" i="27"/>
  <c r="FS10" i="27" a="1"/>
  <c r="FS10" i="27"/>
  <c r="FR10" i="27" a="1"/>
  <c r="FR10" i="27"/>
  <c r="FQ10" i="27" a="1"/>
  <c r="FQ10" i="27"/>
  <c r="FP10" i="27" a="1"/>
  <c r="FP10" i="27"/>
  <c r="FO10" i="27" a="1"/>
  <c r="FO10" i="27"/>
  <c r="FN10" i="27" a="1"/>
  <c r="FN10" i="27"/>
  <c r="FM10" i="27" a="1"/>
  <c r="FM10" i="27"/>
  <c r="FL10" i="27" a="1"/>
  <c r="FL10" i="27"/>
  <c r="FK10" i="27" a="1"/>
  <c r="FK10" i="27"/>
  <c r="FJ10" i="27" a="1"/>
  <c r="FJ10" i="27"/>
  <c r="FI10" i="27" a="1"/>
  <c r="FI10" i="27"/>
  <c r="FH10" i="27" a="1"/>
  <c r="FH10" i="27"/>
  <c r="FG10" i="27" a="1"/>
  <c r="FG10" i="27"/>
  <c r="FF10" i="27" a="1"/>
  <c r="FF10" i="27"/>
  <c r="FE10" i="27" a="1"/>
  <c r="FE10" i="27"/>
  <c r="FD10" i="27" a="1"/>
  <c r="FD10" i="27"/>
  <c r="FC10" i="27" a="1"/>
  <c r="FC10" i="27"/>
  <c r="FB10" i="27" a="1"/>
  <c r="FB10" i="27"/>
  <c r="FA10" i="27" a="1"/>
  <c r="FA10" i="27"/>
  <c r="EZ10" i="27" a="1"/>
  <c r="EZ10" i="27"/>
  <c r="EY10" i="27" a="1"/>
  <c r="EY10" i="27"/>
  <c r="EX10" i="27" a="1"/>
  <c r="EX10" i="27"/>
  <c r="EW10" i="27" a="1"/>
  <c r="EW10" i="27"/>
  <c r="EV10" i="27" a="1"/>
  <c r="EV10" i="27"/>
  <c r="EU10" i="27" a="1"/>
  <c r="EU10" i="27"/>
  <c r="ET10" i="27" a="1"/>
  <c r="ET10" i="27"/>
  <c r="ES10" i="27" a="1"/>
  <c r="ES10" i="27"/>
  <c r="ER10" i="27" a="1"/>
  <c r="ER10" i="27"/>
  <c r="EQ10" i="27" a="1"/>
  <c r="EQ10" i="27"/>
  <c r="EP10" i="27" a="1"/>
  <c r="EP10" i="27"/>
  <c r="EO10" i="27" a="1"/>
  <c r="EO10" i="27"/>
  <c r="EN10" i="27" a="1"/>
  <c r="EN10" i="27"/>
  <c r="EM10" i="27" a="1"/>
  <c r="EM10" i="27"/>
  <c r="EL10" i="27" a="1"/>
  <c r="EL10" i="27"/>
  <c r="EK10" i="27" a="1"/>
  <c r="EK10" i="27"/>
  <c r="EJ10" i="27" a="1"/>
  <c r="EJ10" i="27"/>
  <c r="EI10" i="27" a="1"/>
  <c r="EI10" i="27"/>
  <c r="EH10" i="27" a="1"/>
  <c r="EH10" i="27"/>
  <c r="EG10" i="27" a="1"/>
  <c r="EG10" i="27"/>
  <c r="EF10" i="27" a="1"/>
  <c r="EF10" i="27"/>
  <c r="EE10" i="27" a="1"/>
  <c r="EE10" i="27"/>
  <c r="ED10" i="27" a="1"/>
  <c r="ED10" i="27"/>
  <c r="EC10" i="27" a="1"/>
  <c r="EC10" i="27"/>
  <c r="EB10" i="27" a="1"/>
  <c r="EB10" i="27"/>
  <c r="EA10" i="27" a="1"/>
  <c r="EA10" i="27"/>
  <c r="DZ10" i="27" a="1"/>
  <c r="DZ10" i="27"/>
  <c r="DY10" i="27" a="1"/>
  <c r="DY10" i="27"/>
  <c r="DX10" i="27" a="1"/>
  <c r="DX10" i="27"/>
  <c r="DW10" i="27" a="1"/>
  <c r="DW10" i="27"/>
  <c r="DV10" i="27" a="1"/>
  <c r="DV10" i="27"/>
  <c r="DU10" i="27" a="1"/>
  <c r="DU10" i="27"/>
  <c r="DT10" i="27" a="1"/>
  <c r="DT10" i="27"/>
  <c r="DS10" i="27" a="1"/>
  <c r="DS10" i="27"/>
  <c r="DR10" i="27" a="1"/>
  <c r="DR10" i="27"/>
  <c r="DQ10" i="27" a="1"/>
  <c r="DQ10" i="27"/>
  <c r="DP10" i="27" a="1"/>
  <c r="DP10" i="27"/>
  <c r="DO10" i="27" a="1"/>
  <c r="DO10" i="27"/>
  <c r="DN10" i="27" a="1"/>
  <c r="DN10" i="27"/>
  <c r="DM10" i="27" a="1"/>
  <c r="DM10" i="27"/>
  <c r="DL10" i="27" a="1"/>
  <c r="DL10" i="27"/>
  <c r="DK10" i="27" a="1"/>
  <c r="DK10" i="27"/>
  <c r="DJ10" i="27" a="1"/>
  <c r="DJ10" i="27"/>
  <c r="DI10" i="27" a="1"/>
  <c r="DI10" i="27"/>
  <c r="DH10" i="27" a="1"/>
  <c r="DH10" i="27"/>
  <c r="DG10" i="27" a="1"/>
  <c r="DG10" i="27"/>
  <c r="DF10" i="27" a="1"/>
  <c r="DF10" i="27"/>
  <c r="DE10" i="27" a="1"/>
  <c r="DE10" i="27"/>
  <c r="DD10" i="27" a="1"/>
  <c r="DD10" i="27"/>
  <c r="DC10" i="27" a="1"/>
  <c r="DC10" i="27"/>
  <c r="DB10" i="27" a="1"/>
  <c r="DB10" i="27"/>
  <c r="DA10" i="27" a="1"/>
  <c r="DA10" i="27"/>
  <c r="CZ10" i="27" a="1"/>
  <c r="CZ10" i="27"/>
  <c r="CY10" i="27" a="1"/>
  <c r="CY10" i="27"/>
  <c r="CX10" i="27" a="1"/>
  <c r="CX10" i="27"/>
  <c r="CW10" i="27" a="1"/>
  <c r="CW10" i="27"/>
  <c r="CV10" i="27" a="1"/>
  <c r="CV10" i="27"/>
  <c r="CU10" i="27" a="1"/>
  <c r="CU10" i="27"/>
  <c r="CT10" i="27" a="1"/>
  <c r="CT10" i="27"/>
  <c r="CS10" i="27" a="1"/>
  <c r="CS10" i="27"/>
  <c r="CR10" i="27" a="1"/>
  <c r="CR10" i="27"/>
  <c r="CQ10" i="27" a="1"/>
  <c r="CQ10" i="27"/>
  <c r="CP10" i="27" a="1"/>
  <c r="CP10" i="27"/>
  <c r="CO10" i="27" a="1"/>
  <c r="CO10" i="27"/>
  <c r="CN10" i="27" a="1"/>
  <c r="CN10" i="27"/>
  <c r="CM10" i="27" a="1"/>
  <c r="CM10" i="27"/>
  <c r="CL10" i="27" a="1"/>
  <c r="CL10" i="27"/>
  <c r="CK10" i="27" a="1"/>
  <c r="CK10" i="27"/>
  <c r="CJ10" i="27" a="1"/>
  <c r="CJ10" i="27"/>
  <c r="CI10" i="27" a="1"/>
  <c r="CI10" i="27"/>
  <c r="CH10" i="27" a="1"/>
  <c r="CH10" i="27"/>
  <c r="CG10" i="27" a="1"/>
  <c r="CG10" i="27"/>
  <c r="CF10" i="27" a="1"/>
  <c r="CF10" i="27"/>
  <c r="CE10" i="27" a="1"/>
  <c r="CE10" i="27"/>
  <c r="CD10" i="27" a="1"/>
  <c r="CD10" i="27"/>
  <c r="CC10" i="27" a="1"/>
  <c r="CC10" i="27"/>
  <c r="CB10" i="27" a="1"/>
  <c r="CB10" i="27"/>
  <c r="CA10" i="27" a="1"/>
  <c r="CA10" i="27"/>
  <c r="BZ10" i="27" a="1"/>
  <c r="BZ10" i="27"/>
  <c r="BY10" i="27" a="1"/>
  <c r="BY10" i="27"/>
  <c r="BX10" i="27" a="1"/>
  <c r="BX10" i="27"/>
  <c r="BW10" i="27" a="1"/>
  <c r="BW10" i="27"/>
  <c r="BV10" i="27" a="1"/>
  <c r="BV10" i="27"/>
  <c r="BU10" i="27" a="1"/>
  <c r="BU10" i="27"/>
  <c r="BT10" i="27" a="1"/>
  <c r="BT10" i="27"/>
  <c r="BS10" i="27" a="1"/>
  <c r="BS10" i="27"/>
  <c r="BR10" i="27" a="1"/>
  <c r="BR10" i="27"/>
  <c r="BQ10" i="27" a="1"/>
  <c r="BQ10" i="27"/>
  <c r="BP10" i="27" a="1"/>
  <c r="BP10" i="27"/>
  <c r="BO10" i="27" a="1"/>
  <c r="BO10" i="27"/>
  <c r="BN10" i="27" a="1"/>
  <c r="BN10" i="27"/>
  <c r="BM10" i="27" a="1"/>
  <c r="BM10" i="27"/>
  <c r="BL10" i="27" a="1"/>
  <c r="BL10" i="27"/>
  <c r="BK10" i="27" a="1"/>
  <c r="BK10" i="27"/>
  <c r="BJ10" i="27" a="1"/>
  <c r="BJ10" i="27"/>
  <c r="BI10" i="27" a="1"/>
  <c r="BI10" i="27"/>
  <c r="BH10" i="27" a="1"/>
  <c r="BH10" i="27"/>
  <c r="BG10" i="27" a="1"/>
  <c r="BG10" i="27"/>
  <c r="BF10" i="27" a="1"/>
  <c r="BF10" i="27"/>
  <c r="BE10" i="27" a="1"/>
  <c r="BE10" i="27"/>
  <c r="BD10" i="27" a="1"/>
  <c r="BD10" i="27"/>
  <c r="BC10" i="27" a="1"/>
  <c r="BC10" i="27"/>
  <c r="BB10" i="27" a="1"/>
  <c r="BB10" i="27"/>
  <c r="BA10" i="27" a="1"/>
  <c r="BA10" i="27"/>
  <c r="AZ10" i="27" a="1"/>
  <c r="AZ10" i="27"/>
  <c r="AY10" i="27" a="1"/>
  <c r="AY10" i="27"/>
  <c r="AX10" i="27" a="1"/>
  <c r="AX10" i="27"/>
  <c r="AW10" i="27" a="1"/>
  <c r="AW10" i="27"/>
  <c r="AV10" i="27" a="1"/>
  <c r="AV10" i="27"/>
  <c r="AU10" i="27" a="1"/>
  <c r="AU10" i="27"/>
  <c r="AT10" i="27" a="1"/>
  <c r="AT10" i="27"/>
  <c r="AS10" i="27" a="1"/>
  <c r="AS10" i="27"/>
  <c r="AR10" i="27" a="1"/>
  <c r="AR10" i="27"/>
  <c r="AQ10" i="27" a="1"/>
  <c r="AQ10" i="27"/>
  <c r="AP10" i="27" a="1"/>
  <c r="AP10" i="27"/>
  <c r="AO10" i="27" a="1"/>
  <c r="AO10" i="27"/>
  <c r="AN10" i="27" a="1"/>
  <c r="AN10" i="27"/>
  <c r="AM10" i="27" a="1"/>
  <c r="AM10" i="27"/>
  <c r="AL10" i="27" a="1"/>
  <c r="AL10" i="27"/>
  <c r="AK10" i="27" a="1"/>
  <c r="AK10" i="27"/>
  <c r="AJ10" i="27" a="1"/>
  <c r="AJ10" i="27"/>
  <c r="AI10" i="27" a="1"/>
  <c r="AI10" i="27"/>
  <c r="AH10" i="27" a="1"/>
  <c r="AH10" i="27"/>
  <c r="AG10" i="27" a="1"/>
  <c r="AG10" i="27"/>
  <c r="AF10" i="27" a="1"/>
  <c r="AF10" i="27"/>
  <c r="AE10" i="27" a="1"/>
  <c r="AE10" i="27"/>
  <c r="AD10" i="27" a="1"/>
  <c r="AD10" i="27"/>
  <c r="FW7" i="27" a="1"/>
  <c r="FW7" i="27"/>
  <c r="FV7" i="27" a="1"/>
  <c r="FV7" i="27"/>
  <c r="FU7" i="27" a="1"/>
  <c r="FU7" i="27"/>
  <c r="FT7" i="27" a="1"/>
  <c r="FT7" i="27"/>
  <c r="FS7" i="27" a="1"/>
  <c r="FS7" i="27"/>
  <c r="FR7" i="27" a="1"/>
  <c r="FR7" i="27"/>
  <c r="FQ7" i="27" a="1"/>
  <c r="FQ7" i="27"/>
  <c r="FP7" i="27" a="1"/>
  <c r="FP7" i="27"/>
  <c r="FO7" i="27" a="1"/>
  <c r="FO7" i="27"/>
  <c r="FN7" i="27" a="1"/>
  <c r="FN7" i="27"/>
  <c r="FM7" i="27" a="1"/>
  <c r="FM7" i="27"/>
  <c r="FL7" i="27" a="1"/>
  <c r="FL7" i="27"/>
  <c r="FK7" i="27" a="1"/>
  <c r="FK7" i="27"/>
  <c r="FJ7" i="27" a="1"/>
  <c r="FJ7" i="27"/>
  <c r="FI7" i="27" a="1"/>
  <c r="FI7" i="27"/>
  <c r="FH7" i="27" a="1"/>
  <c r="FH7" i="27"/>
  <c r="FG7" i="27" a="1"/>
  <c r="FG7" i="27"/>
  <c r="FF7" i="27" a="1"/>
  <c r="FF7" i="27"/>
  <c r="FE7" i="27" a="1"/>
  <c r="FE7" i="27"/>
  <c r="FD7" i="27" a="1"/>
  <c r="FD7" i="27"/>
  <c r="FC7" i="27" a="1"/>
  <c r="FC7" i="27"/>
  <c r="FB7" i="27" a="1"/>
  <c r="FB7" i="27"/>
  <c r="FA7" i="27" a="1"/>
  <c r="FA7" i="27"/>
  <c r="EZ7" i="27" a="1"/>
  <c r="EZ7" i="27"/>
  <c r="EY7" i="27" a="1"/>
  <c r="EY7" i="27"/>
  <c r="EX7" i="27" a="1"/>
  <c r="EX7" i="27"/>
  <c r="EW7" i="27" a="1"/>
  <c r="EW7" i="27"/>
  <c r="EV7" i="27" a="1"/>
  <c r="EV7" i="27"/>
  <c r="EU7" i="27" a="1"/>
  <c r="EU7" i="27"/>
  <c r="ET7" i="27" a="1"/>
  <c r="ET7" i="27"/>
  <c r="ES7" i="27" a="1"/>
  <c r="ES7" i="27"/>
  <c r="ER7" i="27" a="1"/>
  <c r="ER7" i="27"/>
  <c r="EQ7" i="27" a="1"/>
  <c r="EQ7" i="27"/>
  <c r="EP7" i="27" a="1"/>
  <c r="EP7" i="27"/>
  <c r="EO7" i="27" a="1"/>
  <c r="EO7" i="27"/>
  <c r="EN7" i="27" a="1"/>
  <c r="EN7" i="27"/>
  <c r="EM7" i="27" a="1"/>
  <c r="EM7" i="27"/>
  <c r="EL7" i="27" a="1"/>
  <c r="EL7" i="27"/>
  <c r="EK7" i="27" a="1"/>
  <c r="EK7" i="27"/>
  <c r="EJ7" i="27" a="1"/>
  <c r="EJ7" i="27"/>
  <c r="EI7" i="27" a="1"/>
  <c r="EI7" i="27"/>
  <c r="EH7" i="27" a="1"/>
  <c r="EH7" i="27"/>
  <c r="EG7" i="27" a="1"/>
  <c r="EG7" i="27"/>
  <c r="EF7" i="27" a="1"/>
  <c r="EF7" i="27"/>
  <c r="EE7" i="27" a="1"/>
  <c r="EE7" i="27"/>
  <c r="ED7" i="27" a="1"/>
  <c r="ED7" i="27"/>
  <c r="EC7" i="27" a="1"/>
  <c r="EC7" i="27"/>
  <c r="EB7" i="27" a="1"/>
  <c r="EB7" i="27"/>
  <c r="EA7" i="27" a="1"/>
  <c r="EA7" i="27"/>
  <c r="DZ7" i="27" a="1"/>
  <c r="DZ7" i="27"/>
  <c r="DY7" i="27" a="1"/>
  <c r="DY7" i="27"/>
  <c r="DX7" i="27" a="1"/>
  <c r="DX7" i="27"/>
  <c r="DW7" i="27" a="1"/>
  <c r="DW7" i="27"/>
  <c r="DV7" i="27" a="1"/>
  <c r="DV7" i="27"/>
  <c r="DU7" i="27" a="1"/>
  <c r="DU7" i="27"/>
  <c r="DT7" i="27" a="1"/>
  <c r="DT7" i="27"/>
  <c r="DS7" i="27" a="1"/>
  <c r="DS7" i="27"/>
  <c r="DR7" i="27" a="1"/>
  <c r="DR7" i="27"/>
  <c r="DQ7" i="27" a="1"/>
  <c r="DQ7" i="27"/>
  <c r="DP7" i="27" a="1"/>
  <c r="DP7" i="27"/>
  <c r="DO7" i="27" a="1"/>
  <c r="DO7" i="27"/>
  <c r="DN7" i="27" a="1"/>
  <c r="DN7" i="27"/>
  <c r="DM7" i="27" a="1"/>
  <c r="DM7" i="27"/>
  <c r="DL7" i="27" a="1"/>
  <c r="DL7" i="27"/>
  <c r="DK7" i="27" a="1"/>
  <c r="DK7" i="27"/>
  <c r="DJ7" i="27" a="1"/>
  <c r="DJ7" i="27"/>
  <c r="DI7" i="27" a="1"/>
  <c r="DI7" i="27"/>
  <c r="DH7" i="27" a="1"/>
  <c r="DH7" i="27"/>
  <c r="DG7" i="27" a="1"/>
  <c r="DG7" i="27"/>
  <c r="DF7" i="27" a="1"/>
  <c r="DF7" i="27"/>
  <c r="DE7" i="27" a="1"/>
  <c r="DE7" i="27"/>
  <c r="DD7" i="27" a="1"/>
  <c r="DD7" i="27"/>
  <c r="DC7" i="27" a="1"/>
  <c r="DC7" i="27"/>
  <c r="DB7" i="27" a="1"/>
  <c r="DB7" i="27"/>
  <c r="DA7" i="27" a="1"/>
  <c r="DA7" i="27"/>
  <c r="CZ7" i="27" a="1"/>
  <c r="CZ7" i="27"/>
  <c r="CY7" i="27" a="1"/>
  <c r="CY7" i="27"/>
  <c r="CX7" i="27" a="1"/>
  <c r="CX7" i="27"/>
  <c r="CW7" i="27" a="1"/>
  <c r="CW7" i="27"/>
  <c r="CV7" i="27" a="1"/>
  <c r="CV7" i="27"/>
  <c r="CU7" i="27" a="1"/>
  <c r="CU7" i="27"/>
  <c r="CT7" i="27" a="1"/>
  <c r="CT7" i="27"/>
  <c r="CS7" i="27" a="1"/>
  <c r="CS7" i="27"/>
  <c r="CR7" i="27" a="1"/>
  <c r="CR7" i="27"/>
  <c r="CQ7" i="27" a="1"/>
  <c r="CQ7" i="27"/>
  <c r="CP7" i="27" a="1"/>
  <c r="CP7" i="27"/>
  <c r="CO7" i="27" a="1"/>
  <c r="CO7" i="27"/>
  <c r="CN7" i="27" a="1"/>
  <c r="CN7" i="27"/>
  <c r="CM7" i="27" a="1"/>
  <c r="CM7" i="27"/>
  <c r="CL7" i="27" a="1"/>
  <c r="CL7" i="27"/>
  <c r="CK7" i="27" a="1"/>
  <c r="CK7" i="27"/>
  <c r="CJ7" i="27" a="1"/>
  <c r="CJ7" i="27"/>
  <c r="CI7" i="27" a="1"/>
  <c r="CI7" i="27"/>
  <c r="CH7" i="27" a="1"/>
  <c r="CH7" i="27"/>
  <c r="CG7" i="27" a="1"/>
  <c r="CG7" i="27"/>
  <c r="CF7" i="27" a="1"/>
  <c r="CF7" i="27"/>
  <c r="CE7" i="27" a="1"/>
  <c r="CE7" i="27"/>
  <c r="CD7" i="27" a="1"/>
  <c r="CD7" i="27"/>
  <c r="CC7" i="27" a="1"/>
  <c r="CC7" i="27"/>
  <c r="CB7" i="27" a="1"/>
  <c r="CB7" i="27"/>
  <c r="CA7" i="27" a="1"/>
  <c r="CA7" i="27"/>
  <c r="BZ7" i="27" a="1"/>
  <c r="BZ7" i="27"/>
  <c r="BY7" i="27" a="1"/>
  <c r="BY7" i="27"/>
  <c r="BX7" i="27" a="1"/>
  <c r="BX7" i="27"/>
  <c r="BW7" i="27" a="1"/>
  <c r="BW7" i="27"/>
  <c r="BV7" i="27" a="1"/>
  <c r="BV7" i="27"/>
  <c r="BU7" i="27" a="1"/>
  <c r="BU7" i="27"/>
  <c r="BT7" i="27" a="1"/>
  <c r="BT7" i="27"/>
  <c r="BS7" i="27" a="1"/>
  <c r="BS7" i="27"/>
  <c r="BR7" i="27" a="1"/>
  <c r="BR7" i="27"/>
  <c r="BQ7" i="27" a="1"/>
  <c r="BQ7" i="27"/>
  <c r="BP7" i="27" a="1"/>
  <c r="BP7" i="27"/>
  <c r="BO7" i="27" a="1"/>
  <c r="BO7" i="27"/>
  <c r="BN7" i="27" a="1"/>
  <c r="BN7" i="27"/>
  <c r="BM7" i="27" a="1"/>
  <c r="BM7" i="27"/>
  <c r="BL7" i="27" a="1"/>
  <c r="BL7" i="27"/>
  <c r="BK7" i="27" a="1"/>
  <c r="BK7" i="27"/>
  <c r="BJ7" i="27" a="1"/>
  <c r="BJ7" i="27"/>
  <c r="BI7" i="27" a="1"/>
  <c r="BI7" i="27"/>
  <c r="BH7" i="27" a="1"/>
  <c r="BH7" i="27"/>
  <c r="BG7" i="27" a="1"/>
  <c r="BG7" i="27"/>
  <c r="BF7" i="27" a="1"/>
  <c r="BF7" i="27"/>
  <c r="BE7" i="27" a="1"/>
  <c r="BE7" i="27"/>
  <c r="BD7" i="27" a="1"/>
  <c r="BD7" i="27"/>
  <c r="BC7" i="27" a="1"/>
  <c r="BC7" i="27"/>
  <c r="BB7" i="27" a="1"/>
  <c r="BB7" i="27"/>
  <c r="BA7" i="27" a="1"/>
  <c r="BA7" i="27"/>
  <c r="AZ7" i="27" a="1"/>
  <c r="AZ7" i="27"/>
  <c r="AY7" i="27" a="1"/>
  <c r="AY7" i="27"/>
  <c r="AX7" i="27" a="1"/>
  <c r="AX7" i="27"/>
  <c r="AW7" i="27" a="1"/>
  <c r="AW7" i="27"/>
  <c r="AV7" i="27" a="1"/>
  <c r="AV7" i="27"/>
  <c r="AU7" i="27" a="1"/>
  <c r="AU7" i="27"/>
  <c r="AT7" i="27" a="1"/>
  <c r="AT7" i="27"/>
  <c r="AS7" i="27" a="1"/>
  <c r="AS7" i="27"/>
  <c r="AR7" i="27" a="1"/>
  <c r="AR7" i="27"/>
  <c r="AQ7" i="27" a="1"/>
  <c r="AQ7" i="27"/>
  <c r="AP7" i="27" a="1"/>
  <c r="AP7" i="27"/>
  <c r="AO7" i="27" a="1"/>
  <c r="AO7" i="27"/>
  <c r="AN7" i="27" a="1"/>
  <c r="AN7" i="27"/>
  <c r="AM7" i="27" a="1"/>
  <c r="AM7" i="27"/>
  <c r="AL7" i="27" a="1"/>
  <c r="AL7" i="27"/>
  <c r="AK7" i="27" a="1"/>
  <c r="AK7" i="27"/>
  <c r="AJ7" i="27" a="1"/>
  <c r="AJ7" i="27"/>
  <c r="AI7" i="27" a="1"/>
  <c r="AI7" i="27"/>
  <c r="AH7" i="27" a="1"/>
  <c r="AH7" i="27"/>
  <c r="AG7" i="27" a="1"/>
  <c r="AG7" i="27"/>
  <c r="AF7" i="27" a="1"/>
  <c r="AF7" i="27"/>
  <c r="AE7" i="27" a="1"/>
  <c r="AE7" i="27"/>
  <c r="AD7" i="27" a="1"/>
  <c r="AD7" i="27"/>
  <c r="FW6" i="27"/>
  <c r="FW9" i="27" s="1" a="1"/>
  <c r="FW9" i="27" s="1"/>
  <c r="FV6" i="27"/>
  <c r="FV9" i="27" s="1" a="1"/>
  <c r="FV9" i="27" s="1"/>
  <c r="FU6" i="27"/>
  <c r="FU25" i="27" s="1"/>
  <c r="FT6" i="27"/>
  <c r="FT9" i="27" s="1" a="1"/>
  <c r="FT9" i="27" s="1"/>
  <c r="FS6" i="27"/>
  <c r="FS9" i="27" s="1" a="1"/>
  <c r="FS9" i="27" s="1"/>
  <c r="FR6" i="27"/>
  <c r="FR9" i="27" s="1" a="1"/>
  <c r="FR9" i="27" s="1"/>
  <c r="FQ6" i="27"/>
  <c r="FQ9" i="27" s="1" a="1"/>
  <c r="FQ9" i="27" s="1"/>
  <c r="FP6" i="27"/>
  <c r="FP9" i="27" s="1" a="1"/>
  <c r="FP9" i="27" s="1"/>
  <c r="FO6" i="27"/>
  <c r="FO25" i="27" s="1"/>
  <c r="FN6" i="27"/>
  <c r="FN9" i="27" s="1" a="1"/>
  <c r="FN9" i="27" s="1"/>
  <c r="FM6" i="27"/>
  <c r="FM9" i="27" s="1" a="1"/>
  <c r="FM9" i="27" s="1"/>
  <c r="FL6" i="27"/>
  <c r="FL9" i="27" s="1" a="1"/>
  <c r="FL9" i="27" s="1"/>
  <c r="FK6" i="27"/>
  <c r="FK9" i="27" s="1" a="1"/>
  <c r="FK9" i="27" s="1"/>
  <c r="FJ6" i="27"/>
  <c r="FJ9" i="27" s="1" a="1"/>
  <c r="FJ9" i="27" s="1"/>
  <c r="FI6" i="27"/>
  <c r="FI25" i="27" s="1"/>
  <c r="FH6" i="27"/>
  <c r="FH9" i="27" s="1" a="1"/>
  <c r="FH9" i="27" s="1"/>
  <c r="FG6" i="27"/>
  <c r="FG9" i="27" s="1" a="1"/>
  <c r="FG9" i="27" s="1"/>
  <c r="FF6" i="27"/>
  <c r="FF9" i="27" s="1" a="1"/>
  <c r="FF9" i="27" s="1"/>
  <c r="FE6" i="27"/>
  <c r="FE9" i="27" s="1" a="1"/>
  <c r="FE9" i="27" s="1"/>
  <c r="FD6" i="27"/>
  <c r="FD9" i="27" s="1" a="1"/>
  <c r="FD9" i="27" s="1"/>
  <c r="FC6" i="27"/>
  <c r="FC25" i="27" s="1"/>
  <c r="FB6" i="27"/>
  <c r="FB9" i="27" s="1" a="1"/>
  <c r="FB9" i="27" s="1"/>
  <c r="FA6" i="27"/>
  <c r="FA9" i="27" s="1" a="1"/>
  <c r="FA9" i="27" s="1"/>
  <c r="EZ6" i="27"/>
  <c r="EZ9" i="27" s="1" a="1"/>
  <c r="EZ9" i="27" s="1"/>
  <c r="EY6" i="27"/>
  <c r="EY9" i="27" s="1" a="1"/>
  <c r="EY9" i="27" s="1"/>
  <c r="EX6" i="27"/>
  <c r="EX9" i="27" s="1" a="1"/>
  <c r="EX9" i="27" s="1"/>
  <c r="EW6" i="27"/>
  <c r="EW25" i="27" s="1"/>
  <c r="EV6" i="27"/>
  <c r="EV9" i="27" s="1" a="1"/>
  <c r="EV9" i="27" s="1"/>
  <c r="EU6" i="27"/>
  <c r="EU9" i="27" s="1" a="1"/>
  <c r="EU9" i="27" s="1"/>
  <c r="ET6" i="27"/>
  <c r="ET9" i="27" s="1" a="1"/>
  <c r="ET9" i="27" s="1"/>
  <c r="ES6" i="27"/>
  <c r="ES9" i="27" s="1" a="1"/>
  <c r="ES9" i="27" s="1"/>
  <c r="ER6" i="27"/>
  <c r="ER9" i="27" s="1" a="1"/>
  <c r="ER9" i="27" s="1"/>
  <c r="EQ6" i="27"/>
  <c r="EQ25" i="27" s="1"/>
  <c r="EP6" i="27"/>
  <c r="EP9" i="27" s="1" a="1"/>
  <c r="EP9" i="27" s="1"/>
  <c r="EO6" i="27"/>
  <c r="EO9" i="27" s="1" a="1"/>
  <c r="EO9" i="27" s="1"/>
  <c r="EN6" i="27"/>
  <c r="EN9" i="27" s="1" a="1"/>
  <c r="EN9" i="27" s="1"/>
  <c r="EM6" i="27"/>
  <c r="EM9" i="27" s="1" a="1"/>
  <c r="EM9" i="27" s="1"/>
  <c r="EL6" i="27"/>
  <c r="EL9" i="27" s="1" a="1"/>
  <c r="EL9" i="27" s="1"/>
  <c r="EK6" i="27"/>
  <c r="EK25" i="27" s="1"/>
  <c r="EJ6" i="27"/>
  <c r="EJ9" i="27" s="1" a="1"/>
  <c r="EJ9" i="27" s="1"/>
  <c r="EI6" i="27"/>
  <c r="EI9" i="27" s="1" a="1"/>
  <c r="EI9" i="27" s="1"/>
  <c r="EH6" i="27"/>
  <c r="EH9" i="27" s="1" a="1"/>
  <c r="EH9" i="27" s="1"/>
  <c r="EG6" i="27"/>
  <c r="EG9" i="27" s="1" a="1"/>
  <c r="EG9" i="27" s="1"/>
  <c r="EF6" i="27"/>
  <c r="EF9" i="27" s="1" a="1"/>
  <c r="EF9" i="27" s="1"/>
  <c r="EE6" i="27"/>
  <c r="EE25" i="27" s="1"/>
  <c r="ED6" i="27"/>
  <c r="ED9" i="27" s="1" a="1"/>
  <c r="ED9" i="27" s="1"/>
  <c r="EC6" i="27"/>
  <c r="EC9" i="27" s="1" a="1"/>
  <c r="EC9" i="27" s="1"/>
  <c r="EB6" i="27"/>
  <c r="EB9" i="27" s="1" a="1"/>
  <c r="EB9" i="27" s="1"/>
  <c r="EA6" i="27"/>
  <c r="EA9" i="27" s="1" a="1"/>
  <c r="EA9" i="27" s="1"/>
  <c r="DZ6" i="27"/>
  <c r="DZ9" i="27" s="1" a="1"/>
  <c r="DZ9" i="27" s="1"/>
  <c r="DY6" i="27"/>
  <c r="DY25" i="27" s="1"/>
  <c r="DX6" i="27"/>
  <c r="DX9" i="27" s="1" a="1"/>
  <c r="DX9" i="27" s="1"/>
  <c r="DW6" i="27"/>
  <c r="DW9" i="27" s="1" a="1"/>
  <c r="DW9" i="27" s="1"/>
  <c r="DV6" i="27"/>
  <c r="DV9" i="27" s="1" a="1"/>
  <c r="DV9" i="27" s="1"/>
  <c r="DU6" i="27"/>
  <c r="DU9" i="27" s="1" a="1"/>
  <c r="DU9" i="27" s="1"/>
  <c r="DT6" i="27"/>
  <c r="DT9" i="27" s="1" a="1"/>
  <c r="DT9" i="27" s="1"/>
  <c r="DS6" i="27"/>
  <c r="DS25" i="27" s="1"/>
  <c r="DR6" i="27"/>
  <c r="DR9" i="27" s="1" a="1"/>
  <c r="DR9" i="27" s="1"/>
  <c r="DQ6" i="27"/>
  <c r="DQ9" i="27" s="1" a="1"/>
  <c r="DQ9" i="27" s="1"/>
  <c r="DP6" i="27"/>
  <c r="DP9" i="27" s="1" a="1"/>
  <c r="DP9" i="27" s="1"/>
  <c r="DO6" i="27"/>
  <c r="DO9" i="27" s="1" a="1"/>
  <c r="DO9" i="27" s="1"/>
  <c r="DN6" i="27"/>
  <c r="DN9" i="27" s="1" a="1"/>
  <c r="DN9" i="27" s="1"/>
  <c r="DM6" i="27"/>
  <c r="DM25" i="27" s="1"/>
  <c r="DL6" i="27"/>
  <c r="DL9" i="27" s="1" a="1"/>
  <c r="DL9" i="27" s="1"/>
  <c r="DK6" i="27"/>
  <c r="DK9" i="27" s="1" a="1"/>
  <c r="DK9" i="27" s="1"/>
  <c r="DJ6" i="27"/>
  <c r="DJ9" i="27" s="1" a="1"/>
  <c r="DJ9" i="27" s="1"/>
  <c r="DI6" i="27"/>
  <c r="DI9" i="27" s="1" a="1"/>
  <c r="DI9" i="27" s="1"/>
  <c r="DH6" i="27"/>
  <c r="DH9" i="27" s="1" a="1"/>
  <c r="DH9" i="27" s="1"/>
  <c r="DG6" i="27"/>
  <c r="DG25" i="27" s="1"/>
  <c r="DF6" i="27"/>
  <c r="DF9" i="27" s="1" a="1"/>
  <c r="DF9" i="27" s="1"/>
  <c r="DE6" i="27"/>
  <c r="DE9" i="27" s="1" a="1"/>
  <c r="DE9" i="27" s="1"/>
  <c r="DD6" i="27"/>
  <c r="DD9" i="27" s="1" a="1"/>
  <c r="DD9" i="27" s="1"/>
  <c r="DC6" i="27"/>
  <c r="DC9" i="27" s="1" a="1"/>
  <c r="DC9" i="27" s="1"/>
  <c r="DB6" i="27"/>
  <c r="DB9" i="27" s="1" a="1"/>
  <c r="DB9" i="27" s="1"/>
  <c r="DA6" i="27"/>
  <c r="DA25" i="27" s="1"/>
  <c r="CZ6" i="27"/>
  <c r="CZ9" i="27" s="1" a="1"/>
  <c r="CZ9" i="27" s="1"/>
  <c r="CY6" i="27"/>
  <c r="CY9" i="27" s="1" a="1"/>
  <c r="CY9" i="27" s="1"/>
  <c r="CX6" i="27"/>
  <c r="CX9" i="27" s="1" a="1"/>
  <c r="CX9" i="27" s="1"/>
  <c r="CW6" i="27"/>
  <c r="CW9" i="27" s="1" a="1"/>
  <c r="CW9" i="27" s="1"/>
  <c r="CV6" i="27"/>
  <c r="CV9" i="27" s="1" a="1"/>
  <c r="CV9" i="27" s="1"/>
  <c r="CU6" i="27"/>
  <c r="CU25" i="27" s="1"/>
  <c r="CT6" i="27"/>
  <c r="CT9" i="27" s="1" a="1"/>
  <c r="CT9" i="27" s="1"/>
  <c r="CS6" i="27"/>
  <c r="CS9" i="27" s="1" a="1"/>
  <c r="CS9" i="27" s="1"/>
  <c r="CR6" i="27"/>
  <c r="CR9" i="27" s="1" a="1"/>
  <c r="CR9" i="27" s="1"/>
  <c r="CQ6" i="27"/>
  <c r="CQ9" i="27" s="1" a="1"/>
  <c r="CQ9" i="27" s="1"/>
  <c r="CP6" i="27"/>
  <c r="CP9" i="27" s="1" a="1"/>
  <c r="CP9" i="27" s="1"/>
  <c r="CO6" i="27"/>
  <c r="CO25" i="27" s="1"/>
  <c r="CN6" i="27"/>
  <c r="CN9" i="27" s="1" a="1"/>
  <c r="CN9" i="27" s="1"/>
  <c r="CM6" i="27"/>
  <c r="CM9" i="27" s="1" a="1"/>
  <c r="CM9" i="27" s="1"/>
  <c r="CL6" i="27"/>
  <c r="CL9" i="27" s="1" a="1"/>
  <c r="CL9" i="27" s="1"/>
  <c r="CK6" i="27"/>
  <c r="CK9" i="27" s="1" a="1"/>
  <c r="CK9" i="27" s="1"/>
  <c r="CJ6" i="27"/>
  <c r="CJ9" i="27" s="1" a="1"/>
  <c r="CJ9" i="27" s="1"/>
  <c r="CI6" i="27"/>
  <c r="CI25" i="27" s="1"/>
  <c r="CH6" i="27"/>
  <c r="CH9" i="27" s="1" a="1"/>
  <c r="CH9" i="27" s="1"/>
  <c r="CG6" i="27"/>
  <c r="CG9" i="27" s="1" a="1"/>
  <c r="CG9" i="27" s="1"/>
  <c r="CF6" i="27"/>
  <c r="CF9" i="27" s="1" a="1"/>
  <c r="CF9" i="27" s="1"/>
  <c r="CE6" i="27"/>
  <c r="CE9" i="27" s="1" a="1"/>
  <c r="CE9" i="27" s="1"/>
  <c r="CD6" i="27"/>
  <c r="CD9" i="27" s="1" a="1"/>
  <c r="CD9" i="27" s="1"/>
  <c r="CC6" i="27"/>
  <c r="CC25" i="27" s="1"/>
  <c r="CB6" i="27"/>
  <c r="CB9" i="27" s="1" a="1"/>
  <c r="CB9" i="27" s="1"/>
  <c r="CA6" i="27"/>
  <c r="CA9" i="27" s="1" a="1"/>
  <c r="CA9" i="27" s="1"/>
  <c r="BZ6" i="27"/>
  <c r="BZ9" i="27" s="1" a="1"/>
  <c r="BZ9" i="27" s="1"/>
  <c r="BY6" i="27"/>
  <c r="BY9" i="27" s="1" a="1"/>
  <c r="BY9" i="27" s="1"/>
  <c r="BX6" i="27"/>
  <c r="BX9" i="27" s="1" a="1"/>
  <c r="BX9" i="27" s="1"/>
  <c r="BW6" i="27"/>
  <c r="BW25" i="27" s="1"/>
  <c r="BV6" i="27"/>
  <c r="BV9" i="27" s="1" a="1"/>
  <c r="BV9" i="27" s="1"/>
  <c r="BU6" i="27"/>
  <c r="BU9" i="27" s="1" a="1"/>
  <c r="BU9" i="27" s="1"/>
  <c r="BT6" i="27"/>
  <c r="BT9" i="27" s="1" a="1"/>
  <c r="BT9" i="27" s="1"/>
  <c r="BS6" i="27"/>
  <c r="BS9" i="27" s="1" a="1"/>
  <c r="BS9" i="27" s="1"/>
  <c r="BR6" i="27"/>
  <c r="BR9" i="27" s="1" a="1"/>
  <c r="BR9" i="27" s="1"/>
  <c r="BQ6" i="27"/>
  <c r="BQ25" i="27" s="1"/>
  <c r="BP6" i="27"/>
  <c r="BP9" i="27" s="1" a="1"/>
  <c r="BP9" i="27" s="1"/>
  <c r="BO6" i="27"/>
  <c r="BO9" i="27" s="1" a="1"/>
  <c r="BO9" i="27" s="1"/>
  <c r="BN6" i="27"/>
  <c r="BN9" i="27" s="1" a="1"/>
  <c r="BN9" i="27" s="1"/>
  <c r="BM6" i="27"/>
  <c r="BM9" i="27" s="1" a="1"/>
  <c r="BM9" i="27" s="1"/>
  <c r="BL6" i="27"/>
  <c r="BL9" i="27" s="1" a="1"/>
  <c r="BL9" i="27" s="1"/>
  <c r="BK6" i="27"/>
  <c r="BK25" i="27" s="1"/>
  <c r="BJ6" i="27"/>
  <c r="BJ9" i="27" s="1" a="1"/>
  <c r="BJ9" i="27" s="1"/>
  <c r="BI6" i="27"/>
  <c r="BI9" i="27" s="1" a="1"/>
  <c r="BI9" i="27" s="1"/>
  <c r="BH6" i="27"/>
  <c r="BH9" i="27" s="1" a="1"/>
  <c r="BH9" i="27" s="1"/>
  <c r="BG6" i="27"/>
  <c r="BG9" i="27" s="1" a="1"/>
  <c r="BG9" i="27" s="1"/>
  <c r="BF6" i="27"/>
  <c r="BF9" i="27" s="1" a="1"/>
  <c r="BF9" i="27" s="1"/>
  <c r="BE6" i="27"/>
  <c r="BE25" i="27" s="1"/>
  <c r="BD6" i="27"/>
  <c r="BD9" i="27" s="1" a="1"/>
  <c r="BD9" i="27" s="1"/>
  <c r="BC6" i="27"/>
  <c r="BC9" i="27" s="1" a="1"/>
  <c r="BC9" i="27" s="1"/>
  <c r="BB6" i="27"/>
  <c r="BB9" i="27" s="1" a="1"/>
  <c r="BB9" i="27" s="1"/>
  <c r="BA6" i="27"/>
  <c r="BA9" i="27" s="1" a="1"/>
  <c r="BA9" i="27" s="1"/>
  <c r="AZ6" i="27"/>
  <c r="AZ9" i="27" s="1" a="1"/>
  <c r="AZ9" i="27" s="1"/>
  <c r="AY6" i="27"/>
  <c r="AY25" i="27" s="1"/>
  <c r="AX6" i="27"/>
  <c r="AX9" i="27" s="1" a="1"/>
  <c r="AX9" i="27" s="1"/>
  <c r="AW6" i="27"/>
  <c r="AW9" i="27" s="1" a="1"/>
  <c r="AW9" i="27" s="1"/>
  <c r="AV6" i="27"/>
  <c r="AV9" i="27" s="1" a="1"/>
  <c r="AV9" i="27" s="1"/>
  <c r="AU6" i="27"/>
  <c r="AU9" i="27" s="1" a="1"/>
  <c r="AU9" i="27" s="1"/>
  <c r="AT6" i="27"/>
  <c r="AT9" i="27" s="1" a="1"/>
  <c r="AT9" i="27" s="1"/>
  <c r="AS6" i="27"/>
  <c r="AS25" i="27" s="1"/>
  <c r="AR6" i="27"/>
  <c r="AR9" i="27" s="1" a="1"/>
  <c r="AR9" i="27" s="1"/>
  <c r="AQ6" i="27"/>
  <c r="AQ9" i="27" s="1" a="1"/>
  <c r="AQ9" i="27" s="1"/>
  <c r="AP6" i="27"/>
  <c r="AP9" i="27" s="1" a="1"/>
  <c r="AP9" i="27" s="1"/>
  <c r="AO6" i="27"/>
  <c r="AO9" i="27" s="1" a="1"/>
  <c r="AO9" i="27" s="1"/>
  <c r="AN6" i="27"/>
  <c r="AN9" i="27" s="1" a="1"/>
  <c r="AN9" i="27" s="1"/>
  <c r="AM6" i="27"/>
  <c r="AM25" i="27" s="1"/>
  <c r="AL6" i="27"/>
  <c r="AL9" i="27" s="1" a="1"/>
  <c r="AL9" i="27" s="1"/>
  <c r="AK6" i="27"/>
  <c r="AK9" i="27" s="1" a="1"/>
  <c r="AK9" i="27" s="1"/>
  <c r="AJ6" i="27"/>
  <c r="AJ9" i="27" s="1" a="1"/>
  <c r="AJ9" i="27" s="1"/>
  <c r="AI6" i="27"/>
  <c r="AI9" i="27" s="1" a="1"/>
  <c r="AI9" i="27" s="1"/>
  <c r="AH6" i="27"/>
  <c r="AH9" i="27" s="1" a="1"/>
  <c r="AH9" i="27" s="1"/>
  <c r="AG6" i="27"/>
  <c r="AG25" i="27" s="1"/>
  <c r="AF6" i="27" a="1"/>
  <c r="AF6" i="27" s="1"/>
  <c r="AE6" i="27" a="1"/>
  <c r="AE6" i="27" s="1"/>
  <c r="AD6" i="27" a="1"/>
  <c r="AD6" i="27" s="1"/>
  <c r="T132" i="26"/>
  <c r="L128" i="26" a="1"/>
  <c r="L128" i="26"/>
  <c r="L127" i="26" a="1"/>
  <c r="L127" i="26"/>
  <c r="L126" i="26" a="1"/>
  <c r="L126" i="26"/>
  <c r="L125" i="26" a="1"/>
  <c r="L125" i="26" s="1"/>
  <c r="L124" i="26" a="1"/>
  <c r="L124" i="26"/>
  <c r="AG123" i="26"/>
  <c r="AF123" i="26"/>
  <c r="L123" i="26" a="1"/>
  <c r="L123" i="26"/>
  <c r="L122" i="26" a="1"/>
  <c r="L122" i="26"/>
  <c r="L121" i="26" a="1"/>
  <c r="L121" i="26"/>
  <c r="L120" i="26" a="1"/>
  <c r="L120" i="26"/>
  <c r="L119" i="26" a="1"/>
  <c r="L119" i="26"/>
  <c r="L118" i="26" a="1"/>
  <c r="L118" i="26" s="1"/>
  <c r="AG115" i="26"/>
  <c r="AF115" i="26"/>
  <c r="AF114" i="26" s="1" a="1"/>
  <c r="AF114" i="26" s="1"/>
  <c r="AG114" i="26" a="1"/>
  <c r="AG114" i="26"/>
  <c r="AG109" i="26"/>
  <c r="AF109" i="26"/>
  <c r="AG102" i="26"/>
  <c r="AF102" i="26"/>
  <c r="AF95" i="26"/>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c r="B120" i="26" s="1"/>
  <c r="B121" i="26" s="1" a="1"/>
  <c r="B121" i="26" s="1"/>
  <c r="F78" i="26" a="1"/>
  <c r="F78" i="26"/>
  <c r="F79" i="26" s="1" a="1"/>
  <c r="F79" i="26" s="1"/>
  <c r="F80" i="26" s="1" a="1"/>
  <c r="F80" i="26" s="1"/>
  <c r="F81" i="26" s="1" a="1"/>
  <c r="F81" i="26" s="1"/>
  <c r="F82" i="26" s="1" a="1"/>
  <c r="F82" i="26" s="1"/>
  <c r="F83" i="26" s="1" a="1"/>
  <c r="F83" i="26" s="1"/>
  <c r="F84" i="26" s="1" a="1"/>
  <c r="F84" i="26" s="1"/>
  <c r="L77" i="26" a="1"/>
  <c r="L77" i="26" s="1"/>
  <c r="L76" i="26" a="1"/>
  <c r="L76" i="26" s="1"/>
  <c r="L75" i="26" a="1"/>
  <c r="L75" i="26" s="1"/>
  <c r="L74" i="26" a="1"/>
  <c r="L74" i="26"/>
  <c r="L73" i="26" a="1"/>
  <c r="L73" i="26" s="1"/>
  <c r="AG72" i="26"/>
  <c r="AF72" i="26"/>
  <c r="L72" i="26" a="1"/>
  <c r="L72" i="26" s="1"/>
  <c r="L71" i="26" a="1"/>
  <c r="L71" i="26" s="1"/>
  <c r="L70" i="26" a="1"/>
  <c r="L70" i="26" s="1"/>
  <c r="L69" i="26" a="1"/>
  <c r="L69" i="26" s="1"/>
  <c r="L68" i="26" a="1"/>
  <c r="L68" i="26" s="1"/>
  <c r="L67" i="26" a="1"/>
  <c r="L67" i="26"/>
  <c r="AG64" i="26"/>
  <c r="AF64" i="26"/>
  <c r="AG63" i="26" a="1"/>
  <c r="AG63" i="26" s="1"/>
  <c r="AF63" i="26" a="1"/>
  <c r="AF63" i="26" s="1"/>
  <c r="AG58" i="26"/>
  <c r="AF58" i="26"/>
  <c r="AG51" i="26"/>
  <c r="AF51" i="26"/>
  <c r="AF44" i="26"/>
  <c r="T27" i="26"/>
  <c r="T28" i="26" s="1"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S27" i="26" a="1"/>
  <c r="S27" i="26" s="1"/>
  <c r="F27" i="26" a="1"/>
  <c r="F27" i="26" s="1"/>
  <c r="F28" i="26" s="1" a="1"/>
  <c r="F28" i="26" s="1"/>
  <c r="F29" i="26" s="1" a="1"/>
  <c r="F29" i="26" s="1"/>
  <c r="F30" i="26" s="1" a="1"/>
  <c r="F30" i="26" s="1"/>
  <c r="F31" i="26" s="1" a="1"/>
  <c r="F31" i="26" s="1"/>
  <c r="F32" i="26" s="1" a="1"/>
  <c r="F32" i="26" s="1"/>
  <c r="F33" i="26" s="1" a="1"/>
  <c r="F33" i="26" s="1"/>
  <c r="AG24" i="26"/>
  <c r="AF24" i="26"/>
  <c r="AH11" i="26" a="1"/>
  <c r="AH11" i="26" s="1"/>
  <c r="AG10" i="26" a="1"/>
  <c r="AG10" i="26" s="1"/>
  <c r="AF10" i="26" a="1"/>
  <c r="AF10" i="26" s="1"/>
  <c r="AF9" i="26" a="1"/>
  <c r="AF9" i="26" s="1"/>
  <c r="AG7" i="26" a="1"/>
  <c r="AG7" i="26" s="1"/>
  <c r="AF7" i="26" a="1"/>
  <c r="AF7" i="26" s="1"/>
  <c r="AG6" i="26"/>
  <c r="AG9" i="26" s="1" a="1"/>
  <c r="AG9" i="26" s="1"/>
  <c r="AF6" i="26"/>
  <c r="T35" i="25"/>
  <c r="AL31" i="25"/>
  <c r="AL30" i="25"/>
  <c r="AL29" i="25"/>
  <c r="AK29" i="25"/>
  <c r="AJ29" i="25"/>
  <c r="AI29" i="25"/>
  <c r="AH29" i="25"/>
  <c r="AG29" i="25"/>
  <c r="AF29" i="25"/>
  <c r="AE29" i="25"/>
  <c r="T29" i="25"/>
  <c r="T30" i="25" s="1" a="1"/>
  <c r="T30" i="25" s="1"/>
  <c r="T31" i="25" s="1" a="1"/>
  <c r="T31" i="25" s="1"/>
  <c r="F29" i="25" a="1"/>
  <c r="F29" i="25"/>
  <c r="F30" i="25" s="1" a="1"/>
  <c r="F30" i="25" s="1"/>
  <c r="F31" i="25" s="1" a="1"/>
  <c r="F31" i="25" s="1"/>
  <c r="AL28" i="25"/>
  <c r="AL27" i="25"/>
  <c r="AL26" i="25"/>
  <c r="AK26" i="25"/>
  <c r="AJ26" i="25"/>
  <c r="AI26" i="25"/>
  <c r="AH26" i="25"/>
  <c r="AG26" i="25"/>
  <c r="AF26" i="25"/>
  <c r="AE26" i="25"/>
  <c r="T26" i="25"/>
  <c r="T27" i="25" s="1" a="1"/>
  <c r="T27" i="25" s="1"/>
  <c r="T28" i="25" s="1" a="1"/>
  <c r="T28" i="25" s="1"/>
  <c r="F26" i="25" a="1"/>
  <c r="F26" i="25"/>
  <c r="F27" i="25" s="1" a="1"/>
  <c r="F27" i="25" s="1"/>
  <c r="F28" i="25" s="1" a="1"/>
  <c r="F28" i="25" s="1"/>
  <c r="AL9" i="25" a="1"/>
  <c r="AL9" i="25"/>
  <c r="AK9" i="25" a="1"/>
  <c r="AK9" i="25"/>
  <c r="AJ9" i="25" a="1"/>
  <c r="AJ9" i="25"/>
  <c r="AI9" i="25" a="1"/>
  <c r="AI9" i="25"/>
  <c r="AH9" i="25" a="1"/>
  <c r="AH9" i="25"/>
  <c r="AG9" i="25" a="1"/>
  <c r="AG9" i="25"/>
  <c r="AF9" i="25" a="1"/>
  <c r="AF9" i="25"/>
  <c r="AE9" i="25" a="1"/>
  <c r="AE9" i="25"/>
  <c r="AL6" i="25" a="1"/>
  <c r="AL6" i="25"/>
  <c r="AK6" i="25" a="1"/>
  <c r="AK6" i="25"/>
  <c r="AJ6" i="25" a="1"/>
  <c r="AJ6" i="25"/>
  <c r="AI6" i="25" a="1"/>
  <c r="AI6" i="25"/>
  <c r="AH6" i="25" a="1"/>
  <c r="AH6" i="25"/>
  <c r="AG6" i="25" a="1"/>
  <c r="AG6" i="25"/>
  <c r="AF6" i="25" a="1"/>
  <c r="AF6" i="25"/>
  <c r="AE6" i="25" a="1"/>
  <c r="AE6" i="25"/>
  <c r="T46" i="24"/>
  <c r="AX36" i="24"/>
  <c r="AW36" i="24"/>
  <c r="AV36" i="24"/>
  <c r="AU36" i="24"/>
  <c r="AT36" i="24"/>
  <c r="AS36" i="24"/>
  <c r="AR36" i="24"/>
  <c r="AQ36" i="24"/>
  <c r="AP36" i="24"/>
  <c r="AO36" i="24"/>
  <c r="AN36" i="24"/>
  <c r="AM36" i="24"/>
  <c r="AL36" i="24"/>
  <c r="AK36" i="24"/>
  <c r="AJ36" i="24"/>
  <c r="AI36" i="24"/>
  <c r="AH36" i="24"/>
  <c r="AG36" i="24"/>
  <c r="AF36" i="24"/>
  <c r="AE36" i="24"/>
  <c r="T35" i="24"/>
  <c r="T36" i="24" s="1" a="1"/>
  <c r="T36" i="24" s="1"/>
  <c r="T37" i="24" s="1" a="1"/>
  <c r="T37" i="24" s="1"/>
  <c r="T38" i="24" s="1" a="1"/>
  <c r="T38" i="24" s="1"/>
  <c r="T39" i="24" s="1" a="1"/>
  <c r="T39" i="24" s="1"/>
  <c r="T40" i="24" s="1" a="1"/>
  <c r="T40" i="24" s="1"/>
  <c r="T41" i="24" s="1" a="1"/>
  <c r="T41" i="24" s="1"/>
  <c r="T42" i="24" s="1" a="1"/>
  <c r="T42" i="24" s="1"/>
  <c r="F35" i="24" a="1"/>
  <c r="F35" i="24" s="1"/>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T27" i="24"/>
  <c r="T28" i="24" s="1" a="1"/>
  <c r="T28" i="24" s="1"/>
  <c r="T29" i="24" s="1" a="1"/>
  <c r="T29" i="24" s="1"/>
  <c r="T30" i="24" s="1" a="1"/>
  <c r="T30" i="24" s="1"/>
  <c r="T31" i="24" s="1" a="1"/>
  <c r="T31" i="24" s="1"/>
  <c r="T32" i="24" s="1" a="1"/>
  <c r="T32" i="24" s="1"/>
  <c r="T33" i="24" s="1" a="1"/>
  <c r="T33" i="24" s="1"/>
  <c r="T34" i="24" s="1" a="1"/>
  <c r="T34" i="24" s="1"/>
  <c r="F27" i="24" a="1"/>
  <c r="F27" i="24" s="1"/>
  <c r="F28" i="24" s="1" a="1"/>
  <c r="F28" i="24" s="1"/>
  <c r="F29" i="24" s="1" a="1"/>
  <c r="F29" i="24" s="1"/>
  <c r="F30" i="24" s="1" a="1"/>
  <c r="F30" i="24" s="1"/>
  <c r="F31" i="24" s="1" a="1"/>
  <c r="F31" i="24" s="1"/>
  <c r="F32" i="24" s="1" a="1"/>
  <c r="F32" i="24" s="1"/>
  <c r="AX24" i="24"/>
  <c r="AW24" i="24"/>
  <c r="AV24" i="24"/>
  <c r="AU24" i="24"/>
  <c r="AT24" i="24"/>
  <c r="AS24" i="24"/>
  <c r="AR24" i="24"/>
  <c r="AQ24" i="24"/>
  <c r="AP24" i="24"/>
  <c r="AO24" i="24"/>
  <c r="AN24" i="24"/>
  <c r="AM24" i="24"/>
  <c r="AL24" i="24"/>
  <c r="AK24" i="24"/>
  <c r="AJ24" i="24"/>
  <c r="AI24" i="24"/>
  <c r="AH24" i="24"/>
  <c r="AG24" i="24"/>
  <c r="AF24" i="24"/>
  <c r="AE24" i="24"/>
  <c r="AY11" i="24" a="1"/>
  <c r="AY11"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AW9" i="24" a="1"/>
  <c r="AW9" i="24" s="1"/>
  <c r="AU9" i="24" a="1"/>
  <c r="AU9" i="24" s="1"/>
  <c r="AS9" i="24" a="1"/>
  <c r="AS9" i="24" s="1"/>
  <c r="AQ9" i="24" a="1"/>
  <c r="AQ9" i="24" s="1"/>
  <c r="AN9" i="24" a="1"/>
  <c r="AN9" i="24" s="1"/>
  <c r="AL9" i="24" a="1"/>
  <c r="AL9" i="24" s="1"/>
  <c r="AJ9" i="24" a="1"/>
  <c r="AJ9" i="24" s="1"/>
  <c r="AH9" i="24" a="1"/>
  <c r="AH9" i="24" s="1"/>
  <c r="AF9" i="24" a="1"/>
  <c r="AF9" i="24" s="1"/>
  <c r="AX7" i="24" a="1"/>
  <c r="AX7" i="24" s="1"/>
  <c r="AW7" i="24" a="1"/>
  <c r="AW7" i="24" s="1"/>
  <c r="AV7" i="24" a="1"/>
  <c r="AV7" i="24" s="1"/>
  <c r="AU7" i="24" a="1"/>
  <c r="AU7" i="24" s="1"/>
  <c r="AT7" i="24" a="1"/>
  <c r="AT7" i="24" s="1"/>
  <c r="AS7" i="24" a="1"/>
  <c r="AS7" i="24" s="1"/>
  <c r="AR7" i="24" a="1"/>
  <c r="AR7" i="24" s="1"/>
  <c r="AQ7" i="24" a="1"/>
  <c r="AQ7" i="24" s="1"/>
  <c r="AP7" i="24" a="1"/>
  <c r="AP7" i="24" s="1"/>
  <c r="AO7" i="24" a="1"/>
  <c r="AO7" i="24" s="1"/>
  <c r="AN7" i="24" a="1"/>
  <c r="AN7" i="24" s="1"/>
  <c r="AM7" i="24" a="1"/>
  <c r="AM7" i="24" s="1"/>
  <c r="AL7" i="24" a="1"/>
  <c r="AL7" i="24" s="1"/>
  <c r="AK7" i="24" a="1"/>
  <c r="AK7" i="24" s="1"/>
  <c r="AJ7" i="24" a="1"/>
  <c r="AJ7" i="24" s="1"/>
  <c r="AI7" i="24" a="1"/>
  <c r="AI7" i="24" s="1"/>
  <c r="AH7" i="24" a="1"/>
  <c r="AH7" i="24" s="1"/>
  <c r="AG7" i="24" a="1"/>
  <c r="AG7" i="24" s="1"/>
  <c r="AF7" i="24" a="1"/>
  <c r="AF7" i="24" s="1"/>
  <c r="AE7" i="24" a="1"/>
  <c r="AE7" i="24" s="1"/>
  <c r="AX6" i="24"/>
  <c r="AX9" i="24" s="1" a="1"/>
  <c r="AX9" i="24" s="1"/>
  <c r="AW6" i="24"/>
  <c r="AV6" i="24"/>
  <c r="AV9" i="24" s="1" a="1"/>
  <c r="AV9" i="24" s="1"/>
  <c r="AU6" i="24"/>
  <c r="AT6" i="24"/>
  <c r="AT9" i="24" s="1" a="1"/>
  <c r="AT9" i="24" s="1"/>
  <c r="AS6" i="24"/>
  <c r="AR6" i="24"/>
  <c r="AR9" i="24" s="1" a="1"/>
  <c r="AR9" i="24" s="1"/>
  <c r="AQ6" i="24"/>
  <c r="AP6" i="24"/>
  <c r="AP9" i="24" s="1" a="1"/>
  <c r="AP9" i="24" s="1"/>
  <c r="AO6" i="24" a="1"/>
  <c r="AO6" i="24"/>
  <c r="AN6" i="24"/>
  <c r="AM6" i="24"/>
  <c r="AL6" i="24"/>
  <c r="AK6" i="24"/>
  <c r="AJ6" i="24"/>
  <c r="AI6" i="24"/>
  <c r="AH6" i="24"/>
  <c r="AG6" i="24"/>
  <c r="AF6" i="24"/>
  <c r="AE6" i="24" a="1"/>
  <c r="AE6" i="24" s="1"/>
  <c r="T90" i="23"/>
  <c r="L85" i="23" a="1"/>
  <c r="L85" i="23"/>
  <c r="L84" i="23" a="1"/>
  <c r="L84" i="23" s="1"/>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C65" i="23"/>
  <c r="BC60" i="23" s="1"/>
  <c r="BC59" i="23" s="1"/>
  <c r="BB65" i="23"/>
  <c r="BA65" i="23"/>
  <c r="BA60" i="23" s="1"/>
  <c r="BA59" i="23" s="1"/>
  <c r="AZ65" i="23"/>
  <c r="AY65" i="23"/>
  <c r="AY60" i="23" s="1"/>
  <c r="AY59" i="23" s="1"/>
  <c r="AX65" i="23"/>
  <c r="AW65" i="23"/>
  <c r="AW60" i="23" s="1"/>
  <c r="AW59" i="23" s="1"/>
  <c r="AV65" i="23"/>
  <c r="AU65" i="23"/>
  <c r="AU60" i="23" s="1"/>
  <c r="AU59" i="23" s="1"/>
  <c r="AT65" i="23"/>
  <c r="AS65" i="23"/>
  <c r="AS60" i="23" s="1"/>
  <c r="AS59" i="23" s="1"/>
  <c r="AR65" i="23"/>
  <c r="AQ65" i="23"/>
  <c r="AQ60" i="23" s="1"/>
  <c r="AQ59" i="23" s="1"/>
  <c r="AP65" i="23"/>
  <c r="AO65" i="23"/>
  <c r="AO60" i="23" s="1"/>
  <c r="AO59" i="23" s="1"/>
  <c r="AN65" i="23"/>
  <c r="AM65" i="23"/>
  <c r="AM60" i="23" s="1"/>
  <c r="AM59" i="23" s="1"/>
  <c r="AL65" i="23"/>
  <c r="AK65" i="23"/>
  <c r="AK60" i="23" s="1"/>
  <c r="AK59" i="23" s="1"/>
  <c r="AJ65" i="23"/>
  <c r="AI65" i="23"/>
  <c r="AI60" i="23" s="1"/>
  <c r="AI59" i="23" s="1"/>
  <c r="AH65" i="23"/>
  <c r="AG65" i="23"/>
  <c r="AG60" i="23" s="1"/>
  <c r="AG59" i="23" s="1"/>
  <c r="AF65" i="23"/>
  <c r="AE65" i="23"/>
  <c r="AE60" i="23" s="1"/>
  <c r="AE59" i="23" s="1"/>
  <c r="L62" i="23" a="1"/>
  <c r="L62" i="23"/>
  <c r="BD60" i="23"/>
  <c r="BB60" i="23"/>
  <c r="AZ60" i="23"/>
  <c r="AX60" i="23"/>
  <c r="AV60" i="23"/>
  <c r="AT60" i="23"/>
  <c r="AR60" i="23"/>
  <c r="AP60" i="23"/>
  <c r="AN60" i="23"/>
  <c r="AL60" i="23"/>
  <c r="AJ60" i="23"/>
  <c r="AH60" i="23"/>
  <c r="AF60" i="23"/>
  <c r="BD59" i="23"/>
  <c r="BB59" i="23"/>
  <c r="AZ59" i="23"/>
  <c r="AX59" i="23"/>
  <c r="AV59" i="23"/>
  <c r="AT59" i="23"/>
  <c r="AR59" i="23"/>
  <c r="AP59" i="23"/>
  <c r="AN59" i="23"/>
  <c r="AL59" i="23"/>
  <c r="AJ59" i="23"/>
  <c r="AH59" i="23"/>
  <c r="AF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c r="F59" i="23" s="1" a="1"/>
  <c r="F59" i="23" s="1"/>
  <c r="F60" i="23" s="1" a="1"/>
  <c r="F60" i="23" s="1"/>
  <c r="F61" i="23" s="1" a="1"/>
  <c r="F61" i="23" s="1"/>
  <c r="F62" i="23" s="1" a="1"/>
  <c r="F62" i="23" s="1"/>
  <c r="L56" i="23" a="1"/>
  <c r="L56" i="23"/>
  <c r="L55" i="23" a="1"/>
  <c r="L55" i="23" s="1"/>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C36" i="23"/>
  <c r="BC31" i="23" s="1"/>
  <c r="BC30" i="23" s="1"/>
  <c r="BB36" i="23"/>
  <c r="BA36" i="23"/>
  <c r="BA31" i="23" s="1"/>
  <c r="BA30" i="23" s="1"/>
  <c r="AZ36" i="23"/>
  <c r="AY36" i="23"/>
  <c r="AY31" i="23" s="1"/>
  <c r="AY30" i="23" s="1"/>
  <c r="AX36" i="23"/>
  <c r="AW36" i="23"/>
  <c r="AW31" i="23" s="1"/>
  <c r="AW30" i="23" s="1"/>
  <c r="AV36" i="23"/>
  <c r="AU36" i="23"/>
  <c r="AU31" i="23" s="1"/>
  <c r="AU30" i="23" s="1"/>
  <c r="AT36" i="23"/>
  <c r="AS36" i="23"/>
  <c r="AS31" i="23" s="1"/>
  <c r="AS30" i="23" s="1"/>
  <c r="AR36" i="23"/>
  <c r="AQ36" i="23"/>
  <c r="AQ31" i="23" s="1"/>
  <c r="AQ30" i="23" s="1"/>
  <c r="AP36" i="23"/>
  <c r="AO36" i="23"/>
  <c r="AO31" i="23" s="1"/>
  <c r="AO30" i="23" s="1"/>
  <c r="AN36" i="23"/>
  <c r="AM36" i="23"/>
  <c r="AM31" i="23" s="1"/>
  <c r="AM30" i="23" s="1"/>
  <c r="AL36" i="23"/>
  <c r="AK36" i="23"/>
  <c r="AK31" i="23" s="1"/>
  <c r="AK30" i="23" s="1"/>
  <c r="AJ36" i="23"/>
  <c r="AI36" i="23"/>
  <c r="AI31" i="23" s="1"/>
  <c r="AI30" i="23" s="1"/>
  <c r="AH36" i="23"/>
  <c r="AG36" i="23"/>
  <c r="AG31" i="23" s="1"/>
  <c r="AG30" i="23" s="1"/>
  <c r="AF36" i="23"/>
  <c r="AE36" i="23"/>
  <c r="AE31" i="23" s="1"/>
  <c r="AE30" i="23" s="1"/>
  <c r="L33" i="23" a="1"/>
  <c r="L33" i="23"/>
  <c r="BD31" i="23"/>
  <c r="BB31" i="23"/>
  <c r="AZ31" i="23"/>
  <c r="AX31" i="23"/>
  <c r="AV31" i="23"/>
  <c r="AT31" i="23"/>
  <c r="AR31" i="23"/>
  <c r="AP31" i="23"/>
  <c r="AN31" i="23"/>
  <c r="AL31" i="23"/>
  <c r="AJ31" i="23"/>
  <c r="AH31" i="23"/>
  <c r="AF31" i="23"/>
  <c r="BD30" i="23"/>
  <c r="BB30" i="23"/>
  <c r="AZ30" i="23"/>
  <c r="AX30" i="23"/>
  <c r="AV30" i="23"/>
  <c r="AT30" i="23"/>
  <c r="AR30" i="23"/>
  <c r="AP30" i="23"/>
  <c r="AN30" i="23"/>
  <c r="AL30" i="23"/>
  <c r="AJ30" i="23"/>
  <c r="AH30" i="23"/>
  <c r="AF30" i="23"/>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c r="F30" i="23" s="1" a="1"/>
  <c r="F30" i="23" s="1"/>
  <c r="F31" i="23" s="1" a="1"/>
  <c r="F31" i="23" s="1"/>
  <c r="F32" i="23" s="1" a="1"/>
  <c r="F32" i="23" s="1"/>
  <c r="F33" i="23" s="1" a="1"/>
  <c r="F33" i="23" s="1"/>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s="1"/>
  <c r="BD10" i="23" a="1"/>
  <c r="BD10" i="23" s="1"/>
  <c r="BC10" i="23" a="1"/>
  <c r="BC10" i="23" s="1"/>
  <c r="BB10" i="23" a="1"/>
  <c r="BB10" i="23" s="1"/>
  <c r="BA10" i="23" a="1"/>
  <c r="BA10" i="23" s="1"/>
  <c r="AZ10" i="23" a="1"/>
  <c r="AZ10" i="23" s="1"/>
  <c r="AY10" i="23" a="1"/>
  <c r="AY10" i="23" s="1"/>
  <c r="AX10" i="23" a="1"/>
  <c r="AX10" i="23" s="1"/>
  <c r="AW10" i="23" a="1"/>
  <c r="AW10" i="23" s="1"/>
  <c r="AV10" i="23" a="1"/>
  <c r="AV10" i="23" s="1"/>
  <c r="AU10" i="23" a="1"/>
  <c r="AU10" i="23" s="1"/>
  <c r="AT10" i="23" a="1"/>
  <c r="AT10" i="23" s="1"/>
  <c r="AS10" i="23" a="1"/>
  <c r="AS10" i="23" s="1"/>
  <c r="AR10" i="23" a="1"/>
  <c r="AR10" i="23" s="1"/>
  <c r="AQ10" i="23" a="1"/>
  <c r="AQ10" i="23" s="1"/>
  <c r="AP10" i="23" a="1"/>
  <c r="AP10" i="23" s="1"/>
  <c r="AO10" i="23" a="1"/>
  <c r="AO10" i="23" s="1"/>
  <c r="AN10" i="23" a="1"/>
  <c r="AN10" i="23" s="1"/>
  <c r="AM10" i="23" a="1"/>
  <c r="AM10" i="23" s="1"/>
  <c r="AL10" i="23" a="1"/>
  <c r="AL10" i="23" s="1"/>
  <c r="AK10" i="23" a="1"/>
  <c r="AK10" i="23" s="1"/>
  <c r="AJ10" i="23" a="1"/>
  <c r="AJ10" i="23" s="1"/>
  <c r="AI10" i="23" a="1"/>
  <c r="AI10" i="23" s="1"/>
  <c r="AH10" i="23" a="1"/>
  <c r="AH10" i="23" s="1"/>
  <c r="AG10" i="23" a="1"/>
  <c r="AG10" i="23" s="1"/>
  <c r="AF10" i="23" a="1"/>
  <c r="AF10" i="23" s="1"/>
  <c r="AE10" i="23" a="1"/>
  <c r="AE10" i="23" s="1"/>
  <c r="BC9" i="23" a="1"/>
  <c r="BC9" i="23" s="1"/>
  <c r="BA9" i="23" a="1"/>
  <c r="BA9" i="23" s="1"/>
  <c r="AY9" i="23" a="1"/>
  <c r="AY9" i="23" s="1"/>
  <c r="AW9" i="23" a="1"/>
  <c r="AW9" i="23" s="1"/>
  <c r="AT9" i="23" a="1"/>
  <c r="AT9" i="23" s="1"/>
  <c r="AR9" i="23" a="1"/>
  <c r="AR9" i="23" s="1"/>
  <c r="AP9" i="23" a="1"/>
  <c r="AP9" i="23" s="1"/>
  <c r="AN9" i="23" a="1"/>
  <c r="AN9" i="23" s="1"/>
  <c r="AL9" i="23" a="1"/>
  <c r="AL9" i="23" s="1"/>
  <c r="AI9" i="23" a="1"/>
  <c r="AI9" i="23" s="1"/>
  <c r="AG9" i="23" a="1"/>
  <c r="AG9" i="23" s="1"/>
  <c r="AE9" i="23" a="1"/>
  <c r="AE9" i="23" s="1"/>
  <c r="BD7" i="23" a="1"/>
  <c r="BD7" i="23" s="1"/>
  <c r="BC7" i="23" a="1"/>
  <c r="BC7" i="23" s="1"/>
  <c r="BB7" i="23" a="1"/>
  <c r="BB7" i="23" s="1"/>
  <c r="BA7" i="23" a="1"/>
  <c r="BA7" i="23" s="1"/>
  <c r="AZ7" i="23" a="1"/>
  <c r="AZ7" i="23" s="1"/>
  <c r="AY7" i="23" a="1"/>
  <c r="AY7" i="23" s="1"/>
  <c r="AX7" i="23" a="1"/>
  <c r="AX7" i="23" s="1"/>
  <c r="AW7" i="23" a="1"/>
  <c r="AW7" i="23" s="1"/>
  <c r="AV7" i="23" a="1"/>
  <c r="AV7" i="23" s="1"/>
  <c r="AU7" i="23" a="1"/>
  <c r="AU7" i="23" s="1"/>
  <c r="AT7" i="23" a="1"/>
  <c r="AT7" i="23" s="1"/>
  <c r="AS7" i="23" a="1"/>
  <c r="AS7" i="23" s="1"/>
  <c r="AR7" i="23" a="1"/>
  <c r="AR7" i="23" s="1"/>
  <c r="AQ7" i="23" a="1"/>
  <c r="AQ7" i="23" s="1"/>
  <c r="AP7" i="23" a="1"/>
  <c r="AP7" i="23" s="1"/>
  <c r="AO7" i="23" a="1"/>
  <c r="AO7" i="23" s="1"/>
  <c r="AN7" i="23" a="1"/>
  <c r="AN7" i="23" s="1"/>
  <c r="AM7" i="23" a="1"/>
  <c r="AM7" i="23" s="1"/>
  <c r="AL7" i="23" a="1"/>
  <c r="AL7" i="23" s="1"/>
  <c r="AK7" i="23" a="1"/>
  <c r="AK7" i="23" s="1"/>
  <c r="AJ7" i="23" a="1"/>
  <c r="AJ7" i="23" s="1"/>
  <c r="AI7" i="23" a="1"/>
  <c r="AI7" i="23" s="1"/>
  <c r="AH7" i="23" a="1"/>
  <c r="AH7" i="23" s="1"/>
  <c r="AG7" i="23" a="1"/>
  <c r="AG7" i="23" s="1"/>
  <c r="AF7" i="23" a="1"/>
  <c r="AF7" i="23" s="1"/>
  <c r="AE7" i="23" a="1"/>
  <c r="AE7" i="23" s="1"/>
  <c r="BD6" i="23"/>
  <c r="BD9" i="23" s="1" a="1"/>
  <c r="BD9" i="23" s="1"/>
  <c r="BC6" i="23"/>
  <c r="BB6" i="23"/>
  <c r="BB9" i="23" s="1" a="1"/>
  <c r="BB9" i="23" s="1"/>
  <c r="BA6" i="23"/>
  <c r="AZ6" i="23"/>
  <c r="AZ9" i="23" s="1" a="1"/>
  <c r="AZ9" i="23" s="1"/>
  <c r="AY6" i="23"/>
  <c r="AX6" i="23"/>
  <c r="AX9" i="23" s="1" a="1"/>
  <c r="AX9" i="23" s="1"/>
  <c r="AW6" i="23"/>
  <c r="AV6" i="23"/>
  <c r="AV9" i="23" s="1" a="1"/>
  <c r="AV9" i="23" s="1"/>
  <c r="AU6" i="23" a="1"/>
  <c r="AU6" i="23"/>
  <c r="AT6" i="23"/>
  <c r="AS6" i="23"/>
  <c r="AR6" i="23"/>
  <c r="AQ6" i="23"/>
  <c r="AP6" i="23"/>
  <c r="AO6" i="23"/>
  <c r="AN6" i="23"/>
  <c r="AM6" i="23"/>
  <c r="AL6" i="23"/>
  <c r="AK6" i="23" a="1"/>
  <c r="AK6" i="23" s="1"/>
  <c r="AJ6" i="23"/>
  <c r="AJ9" i="23" s="1" a="1"/>
  <c r="AJ9" i="23" s="1"/>
  <c r="AI6" i="23"/>
  <c r="AH6" i="23"/>
  <c r="AH9" i="23" s="1" a="1"/>
  <c r="AH9" i="23" s="1"/>
  <c r="AG6" i="23"/>
  <c r="AF6" i="23"/>
  <c r="AF9" i="23" s="1" a="1"/>
  <c r="AF9" i="23" s="1"/>
  <c r="AE6" i="23"/>
  <c r="T58" i="22"/>
  <c r="I54" i="22"/>
  <c r="BH53" i="22" a="1"/>
  <c r="BH53" i="22"/>
  <c r="AB53" i="22"/>
  <c r="I53" i="22" a="1"/>
  <c r="I53" i="22"/>
  <c r="BB52" i="22"/>
  <c r="BA52" i="22"/>
  <c r="AZ52" i="22"/>
  <c r="AY52" i="22"/>
  <c r="AX52" i="22"/>
  <c r="AW52" i="22"/>
  <c r="AV52" i="22"/>
  <c r="AU52" i="22"/>
  <c r="AT52" i="22"/>
  <c r="AS52" i="22"/>
  <c r="AR52" i="22"/>
  <c r="AQ52" i="22"/>
  <c r="AP52" i="22"/>
  <c r="AO52" i="22"/>
  <c r="AN52" i="22"/>
  <c r="AM52" i="22"/>
  <c r="AL52" i="22"/>
  <c r="AK52" i="22"/>
  <c r="AJ52" i="22"/>
  <c r="AI52" i="22"/>
  <c r="AH52" i="22"/>
  <c r="AG52" i="22"/>
  <c r="AF52" i="22"/>
  <c r="AE52" i="22"/>
  <c r="L52" i="22" a="1"/>
  <c r="L52" i="22"/>
  <c r="L51" i="22" a="1"/>
  <c r="L51" i="22" s="1"/>
  <c r="L50" i="22" a="1"/>
  <c r="L50" i="22"/>
  <c r="L49" i="22" a="1"/>
  <c r="L49" i="22" s="1"/>
  <c r="L48" i="22" a="1"/>
  <c r="L48" i="22"/>
  <c r="L47" i="22" a="1"/>
  <c r="L47" i="22" s="1"/>
  <c r="L46" i="22" a="1"/>
  <c r="L46" i="22"/>
  <c r="L45" i="22" a="1"/>
  <c r="L45" i="22" s="1"/>
  <c r="L44" i="22" a="1"/>
  <c r="L44" i="22"/>
  <c r="L43" i="22" a="1"/>
  <c r="L43" i="22" s="1"/>
  <c r="BB42" i="22"/>
  <c r="BA42" i="22"/>
  <c r="AZ42" i="22"/>
  <c r="AY42" i="22"/>
  <c r="AX42" i="22"/>
  <c r="AW42" i="22"/>
  <c r="AV42" i="22"/>
  <c r="AU42" i="22"/>
  <c r="AT42" i="22"/>
  <c r="AS42" i="22"/>
  <c r="AR42" i="22"/>
  <c r="AQ42" i="22"/>
  <c r="AP42" i="22"/>
  <c r="AO42" i="22"/>
  <c r="AN42" i="22"/>
  <c r="AM42" i="22"/>
  <c r="AL42" i="22"/>
  <c r="AK42" i="22"/>
  <c r="AJ42" i="22"/>
  <c r="AI42" i="22"/>
  <c r="AH42" i="22"/>
  <c r="AG42" i="22"/>
  <c r="AF42" i="22"/>
  <c r="AE42" i="22"/>
  <c r="L42" i="22" a="1"/>
  <c r="L42" i="22"/>
  <c r="T41" i="22"/>
  <c r="T42" i="22" s="1"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F41" i="22" a="1"/>
  <c r="F41" i="22"/>
  <c r="F42" i="22" s="1" a="1"/>
  <c r="F42" i="22" s="1"/>
  <c r="I40" i="22"/>
  <c r="BH39" i="22" a="1"/>
  <c r="BH39" i="22"/>
  <c r="AB39" i="22"/>
  <c r="I39" i="22" a="1"/>
  <c r="I39" i="22"/>
  <c r="BB38" i="22"/>
  <c r="BA38" i="22"/>
  <c r="AZ38" i="22"/>
  <c r="AY38" i="22"/>
  <c r="AX38" i="22"/>
  <c r="AW38" i="22"/>
  <c r="AV38" i="22"/>
  <c r="AU38" i="22"/>
  <c r="AT38" i="22"/>
  <c r="AS38" i="22"/>
  <c r="AR38" i="22"/>
  <c r="AQ38" i="22"/>
  <c r="AP38" i="22"/>
  <c r="AO38" i="22"/>
  <c r="AN38" i="22"/>
  <c r="AM38" i="22"/>
  <c r="AL38" i="22"/>
  <c r="AK38" i="22"/>
  <c r="AJ38" i="22"/>
  <c r="AI38" i="22"/>
  <c r="AH38" i="22"/>
  <c r="AG38" i="22"/>
  <c r="AF38" i="22"/>
  <c r="AE38" i="22"/>
  <c r="L38" i="22" a="1"/>
  <c r="L38" i="22"/>
  <c r="L37" i="22" a="1"/>
  <c r="L37" i="22" s="1"/>
  <c r="L36" i="22" a="1"/>
  <c r="L36" i="22"/>
  <c r="L35" i="22" a="1"/>
  <c r="L35" i="22" s="1"/>
  <c r="L34" i="22" a="1"/>
  <c r="L34" i="22"/>
  <c r="L33" i="22" a="1"/>
  <c r="L33" i="22" s="1"/>
  <c r="L32" i="22" a="1"/>
  <c r="L32" i="22"/>
  <c r="L31" i="22" a="1"/>
  <c r="L31" i="22" s="1"/>
  <c r="L30" i="22" a="1"/>
  <c r="L30" i="22"/>
  <c r="L29" i="22" a="1"/>
  <c r="L29" i="22" s="1"/>
  <c r="BB28" i="22"/>
  <c r="BA28" i="22"/>
  <c r="AZ28" i="22"/>
  <c r="AY28" i="22"/>
  <c r="AX28" i="22"/>
  <c r="AW28" i="22"/>
  <c r="AV28" i="22"/>
  <c r="AU28" i="22"/>
  <c r="AT28" i="22"/>
  <c r="AS28" i="22"/>
  <c r="AR28" i="22"/>
  <c r="AQ28" i="22"/>
  <c r="AP28" i="22"/>
  <c r="AO28" i="22"/>
  <c r="AN28" i="22"/>
  <c r="AM28" i="22"/>
  <c r="AL28" i="22"/>
  <c r="AK28" i="22"/>
  <c r="AJ28" i="22"/>
  <c r="AI28" i="22"/>
  <c r="AH28" i="22"/>
  <c r="AG28" i="22"/>
  <c r="AF28" i="22"/>
  <c r="AE28" i="22"/>
  <c r="L28" i="22" a="1"/>
  <c r="L28" i="22"/>
  <c r="T27" i="22"/>
  <c r="T28" i="22" s="1"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F27" i="22" a="1"/>
  <c r="F27" i="22"/>
  <c r="F28" i="22" s="1" a="1"/>
  <c r="F28"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c r="BB10" i="22" a="1"/>
  <c r="BB10" i="22"/>
  <c r="BA10" i="22" a="1"/>
  <c r="BA10" i="22"/>
  <c r="AZ10" i="22" a="1"/>
  <c r="AZ10" i="22"/>
  <c r="AY10" i="22" a="1"/>
  <c r="AY10" i="22"/>
  <c r="AX10" i="22" a="1"/>
  <c r="AX10" i="22"/>
  <c r="AW10" i="22" a="1"/>
  <c r="AW10" i="22"/>
  <c r="AV10" i="22" a="1"/>
  <c r="AV10" i="22"/>
  <c r="AU10" i="22" a="1"/>
  <c r="AU10" i="22"/>
  <c r="AT10" i="22" a="1"/>
  <c r="AT10" i="22"/>
  <c r="AS10" i="22" a="1"/>
  <c r="AS10" i="22"/>
  <c r="AR10" i="22" a="1"/>
  <c r="AR10" i="22"/>
  <c r="AQ10" i="22" a="1"/>
  <c r="AQ10" i="22"/>
  <c r="AP10" i="22" a="1"/>
  <c r="AP10" i="22"/>
  <c r="AO10" i="22" a="1"/>
  <c r="AO10" i="22"/>
  <c r="AN10" i="22" a="1"/>
  <c r="AN10" i="22"/>
  <c r="AM10" i="22" a="1"/>
  <c r="AM10" i="22"/>
  <c r="AL10" i="22" a="1"/>
  <c r="AL10" i="22"/>
  <c r="AK10" i="22" a="1"/>
  <c r="AK10" i="22"/>
  <c r="AJ10" i="22" a="1"/>
  <c r="AJ10" i="22"/>
  <c r="AI10" i="22" a="1"/>
  <c r="AI10" i="22"/>
  <c r="AH10" i="22" a="1"/>
  <c r="AH10" i="22"/>
  <c r="AG10" i="22" a="1"/>
  <c r="AG10" i="22"/>
  <c r="AF10" i="22" a="1"/>
  <c r="AF10" i="22"/>
  <c r="AE10" i="22" a="1"/>
  <c r="AE10" i="22"/>
  <c r="BB7" i="22" a="1"/>
  <c r="BB7" i="22"/>
  <c r="BA7" i="22" a="1"/>
  <c r="BA7" i="22"/>
  <c r="AZ7" i="22" a="1"/>
  <c r="AZ7" i="22"/>
  <c r="AY7" i="22" a="1"/>
  <c r="AY7" i="22"/>
  <c r="AX7" i="22" a="1"/>
  <c r="AX7" i="22"/>
  <c r="AW7" i="22" a="1"/>
  <c r="AW7" i="22"/>
  <c r="AV7" i="22" a="1"/>
  <c r="AV7" i="22"/>
  <c r="AU7" i="22" a="1"/>
  <c r="AU7" i="22"/>
  <c r="AT7" i="22" a="1"/>
  <c r="AT7" i="22"/>
  <c r="AS7" i="22" a="1"/>
  <c r="AS7" i="22"/>
  <c r="AR7" i="22" a="1"/>
  <c r="AR7" i="22"/>
  <c r="AQ7" i="22" a="1"/>
  <c r="AQ7" i="22"/>
  <c r="AP7" i="22" a="1"/>
  <c r="AP7" i="22"/>
  <c r="AO7" i="22" a="1"/>
  <c r="AO7" i="22"/>
  <c r="AN7" i="22" a="1"/>
  <c r="AN7" i="22"/>
  <c r="AM7" i="22" a="1"/>
  <c r="AM7" i="22"/>
  <c r="AL7" i="22" a="1"/>
  <c r="AL7" i="22"/>
  <c r="AK7" i="22" a="1"/>
  <c r="AK7" i="22"/>
  <c r="AJ7" i="22" a="1"/>
  <c r="AJ7" i="22"/>
  <c r="AI7" i="22" a="1"/>
  <c r="AI7" i="22"/>
  <c r="AH7" i="22" a="1"/>
  <c r="AH7" i="22"/>
  <c r="AG7" i="22" a="1"/>
  <c r="AG7" i="22"/>
  <c r="AF7" i="22" a="1"/>
  <c r="AF7" i="22"/>
  <c r="AE7" i="22" a="1"/>
  <c r="AE7" i="22"/>
  <c r="BB6" i="22"/>
  <c r="BB9" i="22" s="1" a="1"/>
  <c r="BB9" i="22" s="1"/>
  <c r="BA6" i="22"/>
  <c r="BA9" i="22" s="1" a="1"/>
  <c r="BA9" i="22" s="1"/>
  <c r="AZ6" i="22"/>
  <c r="AZ9" i="22" s="1" a="1"/>
  <c r="AZ9" i="22" s="1"/>
  <c r="AY6" i="22"/>
  <c r="AY9" i="22" s="1" a="1"/>
  <c r="AY9" i="22" s="1"/>
  <c r="AX6" i="22"/>
  <c r="AX9" i="22" s="1" a="1"/>
  <c r="AX9" i="22" s="1"/>
  <c r="AW6" i="22"/>
  <c r="AW9" i="22" s="1" a="1"/>
  <c r="AW9" i="22" s="1"/>
  <c r="AV6" i="22"/>
  <c r="AV9" i="22" s="1" a="1"/>
  <c r="AV9" i="22" s="1"/>
  <c r="AU6" i="22"/>
  <c r="AU9" i="22" s="1" a="1"/>
  <c r="AU9" i="22" s="1"/>
  <c r="AT6" i="22"/>
  <c r="AT9" i="22" s="1" a="1"/>
  <c r="AT9" i="22" s="1"/>
  <c r="AS6" i="22" a="1"/>
  <c r="AS6" i="22" s="1"/>
  <c r="AR6" i="22"/>
  <c r="AR9" i="22" s="1" a="1"/>
  <c r="AR9" i="22" s="1"/>
  <c r="AQ6" i="22"/>
  <c r="AQ9" i="22" s="1" a="1"/>
  <c r="AQ9" i="22" s="1"/>
  <c r="AP6" i="22"/>
  <c r="AP9" i="22" s="1" a="1"/>
  <c r="AP9" i="22" s="1"/>
  <c r="AO6" i="22"/>
  <c r="AO9" i="22" s="1" a="1"/>
  <c r="AO9" i="22" s="1"/>
  <c r="AN6" i="22"/>
  <c r="AN9" i="22" s="1" a="1"/>
  <c r="AN9" i="22" s="1"/>
  <c r="AM6" i="22"/>
  <c r="AM9" i="22" s="1" a="1"/>
  <c r="AM9" i="22" s="1"/>
  <c r="AL6" i="22"/>
  <c r="AL9" i="22" s="1" a="1"/>
  <c r="AL9" i="22" s="1"/>
  <c r="AK6" i="22"/>
  <c r="AK9" i="22" s="1" a="1"/>
  <c r="AK9" i="22" s="1"/>
  <c r="AJ6" i="22"/>
  <c r="AJ9" i="22" s="1" a="1"/>
  <c r="AJ9" i="22" s="1"/>
  <c r="AI6" i="22" a="1"/>
  <c r="AI6" i="22"/>
  <c r="AI9" i="22" s="1" a="1"/>
  <c r="AI9" i="22" s="1"/>
  <c r="AH6" i="22"/>
  <c r="AH9" i="22" s="1" a="1"/>
  <c r="AH9" i="22" s="1"/>
  <c r="AG6" i="22"/>
  <c r="AG9" i="22" s="1" a="1"/>
  <c r="AG9" i="22" s="1"/>
  <c r="AF6" i="22"/>
  <c r="AF9" i="22" s="1" a="1"/>
  <c r="AF9" i="22" s="1"/>
  <c r="AE6" i="22"/>
  <c r="AE9" i="22" s="1" a="1"/>
  <c r="AE9" i="22" s="1"/>
  <c r="T54" i="21"/>
  <c r="H50" i="21"/>
  <c r="AP49" i="21" a="1"/>
  <c r="AP49" i="21" s="1"/>
  <c r="AB49" i="21"/>
  <c r="H49" i="21" a="1"/>
  <c r="H49" i="21" s="1"/>
  <c r="AJ48" i="21"/>
  <c r="AI48" i="21"/>
  <c r="AH48" i="21"/>
  <c r="AG48" i="21"/>
  <c r="AF48" i="21"/>
  <c r="AE48" i="21"/>
  <c r="T40" i="21" a="1"/>
  <c r="T40" i="21" s="1"/>
  <c r="T41" i="21" s="1" a="1"/>
  <c r="T41" i="21" s="1"/>
  <c r="T42" i="21" s="1" a="1"/>
  <c r="T42" i="21" s="1"/>
  <c r="T43" i="21" s="1" a="1"/>
  <c r="T43" i="21" s="1"/>
  <c r="T44" i="21" s="1" a="1"/>
  <c r="T44" i="21" s="1"/>
  <c r="T45" i="21" s="1" a="1"/>
  <c r="T45" i="21" s="1"/>
  <c r="T46" i="21" s="1" a="1"/>
  <c r="T46" i="21" s="1"/>
  <c r="T47" i="21" s="1" a="1"/>
  <c r="T47" i="21" s="1"/>
  <c r="T48" i="21" s="1" a="1"/>
  <c r="T48" i="21" s="1"/>
  <c r="L40" i="21" a="1"/>
  <c r="L40" i="21" s="1"/>
  <c r="T39" i="21"/>
  <c r="F39" i="21" a="1"/>
  <c r="F39" i="21" s="1"/>
  <c r="F40" i="21" s="1" a="1"/>
  <c r="F40" i="21" s="1"/>
  <c r="H38" i="21"/>
  <c r="AP37" i="21" a="1"/>
  <c r="AP37" i="21" s="1"/>
  <c r="AB37" i="21"/>
  <c r="H37" i="21" a="1"/>
  <c r="H37" i="21" s="1"/>
  <c r="AJ36" i="21"/>
  <c r="AI36" i="21"/>
  <c r="AH36" i="21"/>
  <c r="AG36" i="21"/>
  <c r="AF36" i="21"/>
  <c r="AE36" i="21"/>
  <c r="T28" i="21" a="1"/>
  <c r="T28" i="21" s="1"/>
  <c r="T29" i="21" s="1" a="1"/>
  <c r="T29" i="21" s="1"/>
  <c r="T30" i="21" s="1" a="1"/>
  <c r="T30" i="21" s="1"/>
  <c r="T31" i="21" s="1" a="1"/>
  <c r="T31" i="21" s="1"/>
  <c r="T32" i="21" s="1" a="1"/>
  <c r="T32" i="21" s="1"/>
  <c r="T33" i="21" s="1" a="1"/>
  <c r="T33" i="21" s="1"/>
  <c r="T34" i="21" s="1" a="1"/>
  <c r="T34" i="21" s="1"/>
  <c r="T35" i="21" s="1" a="1"/>
  <c r="T35" i="21" s="1"/>
  <c r="T36" i="21" s="1" a="1"/>
  <c r="T36" i="21" s="1"/>
  <c r="L28" i="21" a="1"/>
  <c r="L28" i="21" s="1"/>
  <c r="T27" i="21"/>
  <c r="F27" i="21" a="1"/>
  <c r="F27" i="21" s="1"/>
  <c r="F28" i="21" s="1" a="1"/>
  <c r="F28" i="21" s="1"/>
  <c r="AJ24" i="21"/>
  <c r="AI24" i="21"/>
  <c r="AH24" i="21"/>
  <c r="AG24" i="21"/>
  <c r="AF24" i="21"/>
  <c r="AE24" i="21"/>
  <c r="AK11" i="21" a="1"/>
  <c r="AK11" i="21" s="1"/>
  <c r="AJ10" i="21" a="1"/>
  <c r="AJ10" i="21" s="1"/>
  <c r="AI10" i="21" a="1"/>
  <c r="AI10" i="21" s="1"/>
  <c r="AH10" i="21" a="1"/>
  <c r="AH10" i="21" s="1"/>
  <c r="AG10" i="21" a="1"/>
  <c r="AG10" i="21" s="1"/>
  <c r="AF10" i="21" a="1"/>
  <c r="AF10" i="21" s="1"/>
  <c r="AE10" i="21" a="1"/>
  <c r="AE10" i="21" s="1"/>
  <c r="AG9" i="21" a="1"/>
  <c r="AG9" i="21" s="1"/>
  <c r="AE9" i="21" a="1"/>
  <c r="AE9" i="21" s="1"/>
  <c r="AJ7" i="21" a="1"/>
  <c r="AJ7" i="21" s="1"/>
  <c r="AI7" i="21" a="1"/>
  <c r="AI7" i="21" s="1"/>
  <c r="AH7" i="21" a="1"/>
  <c r="AH7" i="21" s="1"/>
  <c r="AG7" i="21" a="1"/>
  <c r="AG7" i="21" s="1"/>
  <c r="AF7" i="21" a="1"/>
  <c r="AF7" i="21" s="1"/>
  <c r="AE7" i="21" a="1"/>
  <c r="AE7" i="21" s="1"/>
  <c r="AJ6" i="21" a="1"/>
  <c r="AJ6" i="21" s="1"/>
  <c r="AI6" i="21" a="1"/>
  <c r="AI6" i="21" s="1"/>
  <c r="AH6" i="21"/>
  <c r="AH9" i="21" s="1" a="1"/>
  <c r="AH9" i="21" s="1"/>
  <c r="AG6" i="21"/>
  <c r="AF6" i="21"/>
  <c r="AF9" i="21" s="1" a="1"/>
  <c r="AF9" i="21" s="1"/>
  <c r="AE6" i="21"/>
  <c r="T68" i="20"/>
  <c r="L64" i="20" a="1"/>
  <c r="L64" i="20"/>
  <c r="L63" i="20" a="1"/>
  <c r="L63" i="20" s="1"/>
  <c r="L62" i="20" a="1"/>
  <c r="L62" i="20"/>
  <c r="AJ61" i="20"/>
  <c r="AI61" i="20"/>
  <c r="AH61" i="20"/>
  <c r="AG61" i="20"/>
  <c r="AF61" i="20"/>
  <c r="AE61" i="20"/>
  <c r="L61" i="20" a="1"/>
  <c r="L61" i="20" s="1"/>
  <c r="L60" i="20" a="1"/>
  <c r="L60" i="20"/>
  <c r="L59" i="20" a="1"/>
  <c r="L59" i="20" s="1"/>
  <c r="L58" i="20" a="1"/>
  <c r="L58" i="20"/>
  <c r="L57" i="20" a="1"/>
  <c r="L57" i="20" s="1"/>
  <c r="L56" i="20" a="1"/>
  <c r="L56" i="20"/>
  <c r="L55" i="20" a="1"/>
  <c r="L55" i="20" s="1"/>
  <c r="L54" i="20" a="1"/>
  <c r="L54" i="20"/>
  <c r="L53" i="20" a="1"/>
  <c r="L53" i="20" s="1"/>
  <c r="L52" i="20" a="1"/>
  <c r="L52" i="20"/>
  <c r="L51" i="20" a="1"/>
  <c r="L51" i="20" s="1"/>
  <c r="L50" i="20" a="1"/>
  <c r="L50" i="20"/>
  <c r="AJ49" i="20"/>
  <c r="AI49" i="20"/>
  <c r="AH49" i="20"/>
  <c r="AG49" i="20"/>
  <c r="AF49" i="20"/>
  <c r="AE49" i="20"/>
  <c r="L49" i="20" a="1"/>
  <c r="L49" i="20" s="1"/>
  <c r="T46" i="20"/>
  <c r="T47" i="20" s="1"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F46" i="20" a="1"/>
  <c r="F46" i="20" s="1"/>
  <c r="F47" i="20" s="1" a="1"/>
  <c r="F47" i="20" s="1"/>
  <c r="L45" i="20" a="1"/>
  <c r="L45" i="20" s="1"/>
  <c r="L44" i="20" a="1"/>
  <c r="L44" i="20"/>
  <c r="L43" i="20" a="1"/>
  <c r="L43" i="20" s="1"/>
  <c r="AJ42" i="20"/>
  <c r="AI42" i="20"/>
  <c r="AH42" i="20"/>
  <c r="AG42" i="20"/>
  <c r="AF42" i="20"/>
  <c r="AE42" i="20"/>
  <c r="L42" i="20" a="1"/>
  <c r="L42" i="20"/>
  <c r="L41" i="20" a="1"/>
  <c r="L41" i="20" s="1"/>
  <c r="L40" i="20" a="1"/>
  <c r="L40" i="20"/>
  <c r="L39" i="20" a="1"/>
  <c r="L39" i="20" s="1"/>
  <c r="L38" i="20" a="1"/>
  <c r="L38" i="20"/>
  <c r="L37" i="20" a="1"/>
  <c r="L37" i="20" s="1"/>
  <c r="L36" i="20" a="1"/>
  <c r="L36" i="20"/>
  <c r="L35" i="20" a="1"/>
  <c r="L35" i="20" s="1"/>
  <c r="L34" i="20" a="1"/>
  <c r="L34" i="20"/>
  <c r="L33" i="20" a="1"/>
  <c r="L33" i="20" s="1"/>
  <c r="L32" i="20" a="1"/>
  <c r="L32" i="20"/>
  <c r="L31" i="20" a="1"/>
  <c r="L31" i="20" s="1"/>
  <c r="AJ30" i="20"/>
  <c r="AI30" i="20"/>
  <c r="AH30" i="20"/>
  <c r="AG30" i="20"/>
  <c r="AF30" i="20"/>
  <c r="AE30" i="20"/>
  <c r="L30" i="20" a="1"/>
  <c r="L30" i="20"/>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c r="F28" i="20" s="1" a="1"/>
  <c r="F28" i="20" s="1"/>
  <c r="AJ24" i="20"/>
  <c r="AI24" i="20"/>
  <c r="AH24" i="20"/>
  <c r="AG24" i="20"/>
  <c r="AF24" i="20"/>
  <c r="AE24" i="20"/>
  <c r="AK11" i="20" a="1"/>
  <c r="AK11" i="20"/>
  <c r="AJ10" i="20" a="1"/>
  <c r="AJ10" i="20"/>
  <c r="AI10" i="20" a="1"/>
  <c r="AI10" i="20"/>
  <c r="AH10" i="20" a="1"/>
  <c r="AH10" i="20"/>
  <c r="AG10" i="20" a="1"/>
  <c r="AG10" i="20"/>
  <c r="AF10" i="20" a="1"/>
  <c r="AF10" i="20"/>
  <c r="AE10" i="20" a="1"/>
  <c r="AE10" i="20"/>
  <c r="AJ7" i="20" a="1"/>
  <c r="AJ7" i="20"/>
  <c r="AI7" i="20" a="1"/>
  <c r="AI7" i="20"/>
  <c r="AH7" i="20" a="1"/>
  <c r="AH7" i="20"/>
  <c r="AG7" i="20" a="1"/>
  <c r="AG7" i="20"/>
  <c r="AF7" i="20" a="1"/>
  <c r="AF7" i="20"/>
  <c r="AE7" i="20" a="1"/>
  <c r="AE7" i="20"/>
  <c r="AJ6" i="20" a="1"/>
  <c r="AJ6" i="20"/>
  <c r="AJ9" i="20" s="1" a="1"/>
  <c r="AJ9" i="20" s="1"/>
  <c r="AI6" i="20" a="1"/>
  <c r="AI6" i="20"/>
  <c r="AI9" i="20" s="1" a="1"/>
  <c r="AI9" i="20" s="1"/>
  <c r="AH6" i="20"/>
  <c r="AH9" i="20" s="1" a="1"/>
  <c r="AH9" i="20" s="1"/>
  <c r="AG6" i="20"/>
  <c r="AG9" i="20" s="1" a="1"/>
  <c r="AG9" i="20" s="1"/>
  <c r="AF6" i="20"/>
  <c r="AF9" i="20" s="1" a="1"/>
  <c r="AF9" i="20" s="1"/>
  <c r="AE6" i="20"/>
  <c r="AE9" i="20" s="1" a="1"/>
  <c r="AE9" i="20" s="1"/>
  <c r="T80" i="19"/>
  <c r="L76" i="19" a="1"/>
  <c r="L76" i="19" s="1"/>
  <c r="I75" i="19"/>
  <c r="H74" i="19"/>
  <c r="H73" i="19"/>
  <c r="AP72" i="19" a="1"/>
  <c r="AP72" i="19"/>
  <c r="AP73" i="19" s="1" a="1"/>
  <c r="AP73" i="19" s="1"/>
  <c r="AP74" i="19" s="1" a="1"/>
  <c r="AP74" i="19" s="1"/>
  <c r="AJ72" i="19"/>
  <c r="AI72" i="19"/>
  <c r="AB72" i="19"/>
  <c r="AB74" i="19" s="1"/>
  <c r="I72" i="19" a="1"/>
  <c r="I72" i="19"/>
  <c r="I73" i="19" s="1" a="1"/>
  <c r="I73" i="19" s="1"/>
  <c r="I74" i="19" s="1" a="1"/>
  <c r="I74" i="19" s="1"/>
  <c r="AJ71" i="19"/>
  <c r="AI71" i="19"/>
  <c r="L71" i="19" a="1"/>
  <c r="L71" i="19"/>
  <c r="L70" i="19" a="1"/>
  <c r="L70" i="19" s="1"/>
  <c r="I69" i="19"/>
  <c r="H68" i="19"/>
  <c r="H67" i="19"/>
  <c r="AP66" i="19" a="1"/>
  <c r="AP66" i="19"/>
  <c r="AP67" i="19" s="1" a="1"/>
  <c r="AP67" i="19" s="1"/>
  <c r="AP68" i="19" s="1" a="1"/>
  <c r="AP68" i="19" s="1"/>
  <c r="AJ66" i="19"/>
  <c r="AI66" i="19"/>
  <c r="AB66" i="19"/>
  <c r="AB68" i="19" s="1"/>
  <c r="I66" i="19" a="1"/>
  <c r="I66" i="19"/>
  <c r="I67" i="19" s="1" a="1"/>
  <c r="I67" i="19" s="1"/>
  <c r="I68" i="19" s="1" a="1"/>
  <c r="I68" i="19" s="1"/>
  <c r="AJ65" i="19"/>
  <c r="AI65" i="19"/>
  <c r="L65" i="19" a="1"/>
  <c r="L65" i="19"/>
  <c r="L64" i="19" a="1"/>
  <c r="L64" i="19" s="1"/>
  <c r="I63" i="19"/>
  <c r="H62" i="19"/>
  <c r="H61" i="19"/>
  <c r="AP60" i="19" a="1"/>
  <c r="AP60" i="19"/>
  <c r="AP61" i="19" s="1" a="1"/>
  <c r="AP61" i="19" s="1"/>
  <c r="AP62" i="19" s="1" a="1"/>
  <c r="AP62" i="19" s="1"/>
  <c r="AJ60" i="19"/>
  <c r="AI60" i="19"/>
  <c r="AB60" i="19"/>
  <c r="AB62" i="19" s="1"/>
  <c r="I60" i="19" a="1"/>
  <c r="I60" i="19"/>
  <c r="I61" i="19" s="1" a="1"/>
  <c r="I61" i="19" s="1"/>
  <c r="I62" i="19" s="1" a="1"/>
  <c r="I62" i="19" s="1"/>
  <c r="AJ59" i="19"/>
  <c r="AI59" i="19"/>
  <c r="L59" i="19" a="1"/>
  <c r="L59" i="19"/>
  <c r="L58" i="19" a="1"/>
  <c r="L58" i="19" s="1"/>
  <c r="I57" i="19"/>
  <c r="H56" i="19"/>
  <c r="H55" i="19"/>
  <c r="AP54" i="19" a="1"/>
  <c r="AP54" i="19"/>
  <c r="AP55" i="19" s="1" a="1"/>
  <c r="AP55" i="19" s="1"/>
  <c r="AP56" i="19" s="1" a="1"/>
  <c r="AP56" i="19" s="1"/>
  <c r="AJ54" i="19"/>
  <c r="AI54" i="19"/>
  <c r="AB54" i="19"/>
  <c r="AB56" i="19" s="1"/>
  <c r="I54" i="19" a="1"/>
  <c r="I54" i="19"/>
  <c r="I55" i="19" s="1" a="1"/>
  <c r="I55" i="19" s="1"/>
  <c r="I56" i="19" s="1" a="1"/>
  <c r="I56" i="19" s="1"/>
  <c r="AJ53" i="19"/>
  <c r="AI53" i="19"/>
  <c r="L53" i="19" a="1"/>
  <c r="L53" i="19"/>
  <c r="T52" i="19"/>
  <c r="T53" i="19" s="1" a="1"/>
  <c r="T53" i="19" s="1"/>
  <c r="F52" i="19" a="1"/>
  <c r="F52" i="19"/>
  <c r="F53" i="19" s="1" a="1"/>
  <c r="F53" i="19" s="1"/>
  <c r="L51" i="19" a="1"/>
  <c r="L51" i="19"/>
  <c r="I50" i="19"/>
  <c r="H49" i="19"/>
  <c r="H48" i="19"/>
  <c r="AP47" i="19" a="1"/>
  <c r="AP47" i="19" s="1"/>
  <c r="AP48" i="19" s="1" a="1"/>
  <c r="AP48" i="19" s="1"/>
  <c r="AP49" i="19" s="1" a="1"/>
  <c r="AP49" i="19" s="1"/>
  <c r="AJ47" i="19"/>
  <c r="AI47" i="19"/>
  <c r="AB47" i="19"/>
  <c r="AB49" i="19" s="1"/>
  <c r="I47" i="19" a="1"/>
  <c r="I47" i="19" s="1"/>
  <c r="I48" i="19" s="1" a="1"/>
  <c r="I48" i="19" s="1"/>
  <c r="I49" i="19" s="1" a="1"/>
  <c r="I49" i="19" s="1"/>
  <c r="AJ46" i="19"/>
  <c r="AI46" i="19"/>
  <c r="L46" i="19" a="1"/>
  <c r="L46" i="19" s="1"/>
  <c r="L45" i="19" a="1"/>
  <c r="L45" i="19"/>
  <c r="I44" i="19"/>
  <c r="H43" i="19"/>
  <c r="H42" i="19"/>
  <c r="AP41" i="19" a="1"/>
  <c r="AP41" i="19" s="1"/>
  <c r="AP42" i="19" s="1" a="1"/>
  <c r="AP42" i="19" s="1"/>
  <c r="AP43" i="19" s="1" a="1"/>
  <c r="AP43" i="19" s="1"/>
  <c r="AJ41" i="19"/>
  <c r="AI41" i="19"/>
  <c r="AB41" i="19"/>
  <c r="AB43" i="19" s="1"/>
  <c r="I41" i="19" a="1"/>
  <c r="I41" i="19" s="1"/>
  <c r="I42" i="19" s="1" a="1"/>
  <c r="I42" i="19" s="1"/>
  <c r="I43" i="19" s="1" a="1"/>
  <c r="I43" i="19" s="1"/>
  <c r="AJ40" i="19"/>
  <c r="AI40" i="19"/>
  <c r="L40" i="19" a="1"/>
  <c r="L40" i="19" s="1"/>
  <c r="L39" i="19" a="1"/>
  <c r="L39" i="19"/>
  <c r="I38" i="19"/>
  <c r="H37" i="19"/>
  <c r="H36" i="19"/>
  <c r="AP35" i="19" a="1"/>
  <c r="AP35" i="19" s="1"/>
  <c r="AP36" i="19" s="1" a="1"/>
  <c r="AP36" i="19" s="1"/>
  <c r="AP37" i="19" s="1" a="1"/>
  <c r="AP37" i="19" s="1"/>
  <c r="AJ35" i="19"/>
  <c r="AI35" i="19"/>
  <c r="AB35" i="19"/>
  <c r="AB37" i="19" s="1"/>
  <c r="I35" i="19" a="1"/>
  <c r="I35" i="19" s="1"/>
  <c r="I36" i="19" s="1" a="1"/>
  <c r="I36" i="19" s="1"/>
  <c r="I37" i="19" s="1" a="1"/>
  <c r="I37" i="19" s="1"/>
  <c r="AJ34" i="19"/>
  <c r="AI34" i="19"/>
  <c r="L34" i="19" a="1"/>
  <c r="L34" i="19" s="1"/>
  <c r="L33" i="19" a="1"/>
  <c r="L33" i="19"/>
  <c r="I32" i="19"/>
  <c r="H31" i="19"/>
  <c r="H30" i="19"/>
  <c r="AP29" i="19" a="1"/>
  <c r="AP29" i="19" s="1"/>
  <c r="AP30" i="19" s="1" a="1"/>
  <c r="AP30" i="19" s="1"/>
  <c r="AP31" i="19" s="1" a="1"/>
  <c r="AP31" i="19" s="1"/>
  <c r="AJ29" i="19"/>
  <c r="AI29" i="19"/>
  <c r="AB29" i="19"/>
  <c r="AB31" i="19" s="1"/>
  <c r="I29" i="19" a="1"/>
  <c r="I29" i="19" s="1"/>
  <c r="I30" i="19" s="1" a="1"/>
  <c r="I30" i="19" s="1"/>
  <c r="I31" i="19" s="1" a="1"/>
  <c r="I31" i="19" s="1"/>
  <c r="AJ28" i="19"/>
  <c r="AI28" i="19"/>
  <c r="T28" i="19" a="1"/>
  <c r="T28" i="19" s="1"/>
  <c r="L28" i="19" a="1"/>
  <c r="L28" i="19" s="1"/>
  <c r="T27" i="19"/>
  <c r="F27" i="19" a="1"/>
  <c r="F27" i="19" s="1"/>
  <c r="F28" i="19" s="1" a="1"/>
  <c r="F28" i="19" s="1"/>
  <c r="AJ24" i="19"/>
  <c r="AI24" i="19"/>
  <c r="AH24" i="19"/>
  <c r="AG24" i="19"/>
  <c r="AF24" i="19"/>
  <c r="AE24" i="19"/>
  <c r="AJ12" i="19" a="1"/>
  <c r="AJ12" i="19" s="1"/>
  <c r="AI12" i="19" a="1"/>
  <c r="AI12" i="19" s="1"/>
  <c r="AH12" i="19" a="1"/>
  <c r="AH12" i="19" s="1"/>
  <c r="AG12" i="19" a="1"/>
  <c r="AG12" i="19" s="1"/>
  <c r="AF12" i="19" a="1"/>
  <c r="AF12" i="19" s="1"/>
  <c r="AE12" i="19" a="1"/>
  <c r="AE12" i="19" s="1"/>
  <c r="AJ11" i="19" a="1"/>
  <c r="AJ11" i="19" s="1"/>
  <c r="AI11" i="19" a="1"/>
  <c r="AI11" i="19" s="1"/>
  <c r="AH11" i="19"/>
  <c r="AH13" i="19" s="1"/>
  <c r="AG11" i="19"/>
  <c r="AG13" i="19" s="1"/>
  <c r="AF11" i="19"/>
  <c r="AF13" i="19" s="1"/>
  <c r="AE11" i="19"/>
  <c r="AE13" i="19" s="1"/>
  <c r="AK9" i="19" a="1"/>
  <c r="AK9" i="19" s="1"/>
  <c r="AJ8" i="19" a="1"/>
  <c r="AJ8" i="19" s="1"/>
  <c r="AI8" i="19" a="1"/>
  <c r="AI8" i="19" s="1"/>
  <c r="AH8" i="19" a="1"/>
  <c r="AH8" i="19" s="1"/>
  <c r="AG8" i="19" a="1"/>
  <c r="AG8" i="19" s="1"/>
  <c r="AF8" i="19" a="1"/>
  <c r="AF8" i="19" s="1"/>
  <c r="AE8" i="19" a="1"/>
  <c r="AE8" i="19" s="1"/>
  <c r="AH7" i="19" a="1"/>
  <c r="AH7" i="19" s="1"/>
  <c r="AG7" i="19" a="1"/>
  <c r="AG7" i="19" s="1"/>
  <c r="AF7" i="19" a="1"/>
  <c r="AF7" i="19" s="1"/>
  <c r="AE7" i="19" a="1"/>
  <c r="AE7" i="19" s="1"/>
  <c r="T93" i="18"/>
  <c r="L89" i="18" a="1"/>
  <c r="L89" i="18"/>
  <c r="L88" i="18" a="1"/>
  <c r="L88" i="18" s="1"/>
  <c r="L87" i="18" a="1"/>
  <c r="L87" i="18"/>
  <c r="L86" i="18" a="1"/>
  <c r="L86" i="18" s="1"/>
  <c r="H85" i="18"/>
  <c r="BH83" i="18" a="1"/>
  <c r="BH83" i="18" s="1"/>
  <c r="BH84" i="18" s="1" a="1"/>
  <c r="BH84" i="18" s="1"/>
  <c r="AB83" i="18"/>
  <c r="AB84" i="18" s="1"/>
  <c r="H83" i="18" a="1"/>
  <c r="H83" i="18" s="1"/>
  <c r="H84" i="18" s="1" a="1"/>
  <c r="H84" i="18" s="1"/>
  <c r="BB82" i="18"/>
  <c r="BA82" i="18"/>
  <c r="AZ82" i="18"/>
  <c r="AY82" i="18"/>
  <c r="AX82" i="18"/>
  <c r="AW82" i="18"/>
  <c r="AV82" i="18"/>
  <c r="AU82" i="18"/>
  <c r="AT82" i="18"/>
  <c r="AS82" i="18"/>
  <c r="AR82" i="18"/>
  <c r="AQ82" i="18"/>
  <c r="AP82" i="18"/>
  <c r="AO82" i="18"/>
  <c r="AN82" i="18"/>
  <c r="AM82" i="18"/>
  <c r="AL82" i="18"/>
  <c r="AK82" i="18"/>
  <c r="AJ82" i="18"/>
  <c r="AI82" i="18"/>
  <c r="AH82" i="18"/>
  <c r="AG82" i="18"/>
  <c r="AF82" i="18"/>
  <c r="AE82" i="18"/>
  <c r="BB81" i="18"/>
  <c r="BA81" i="18"/>
  <c r="AZ81" i="18"/>
  <c r="AY81" i="18"/>
  <c r="AX81" i="18"/>
  <c r="AW81" i="18"/>
  <c r="AV81" i="18"/>
  <c r="AU81" i="18"/>
  <c r="AT81" i="18"/>
  <c r="AS81" i="18"/>
  <c r="AR81" i="18"/>
  <c r="AQ81" i="18"/>
  <c r="AP81" i="18"/>
  <c r="AO81" i="18"/>
  <c r="AN81" i="18"/>
  <c r="AM81" i="18"/>
  <c r="AL81" i="18"/>
  <c r="AK81" i="18"/>
  <c r="AJ81" i="18"/>
  <c r="AI81" i="18"/>
  <c r="AH81" i="18"/>
  <c r="AG81" i="18"/>
  <c r="AF81" i="18"/>
  <c r="AE81" i="18"/>
  <c r="L81" i="18" a="1"/>
  <c r="L81" i="18" s="1"/>
  <c r="H80" i="18"/>
  <c r="BH78" i="18" a="1"/>
  <c r="BH78" i="18" s="1"/>
  <c r="BH79" i="18" s="1" a="1"/>
  <c r="BH79" i="18" s="1"/>
  <c r="AB78" i="18"/>
  <c r="AB79" i="18" s="1"/>
  <c r="H78" i="18" a="1"/>
  <c r="H78" i="18" s="1"/>
  <c r="H79" i="18" s="1" a="1"/>
  <c r="H79" i="18" s="1"/>
  <c r="BB77" i="18"/>
  <c r="BA77" i="18"/>
  <c r="AZ77" i="18"/>
  <c r="AY77" i="18"/>
  <c r="AX77" i="18"/>
  <c r="AW77" i="18"/>
  <c r="AV77" i="18"/>
  <c r="AU77" i="18"/>
  <c r="AT77" i="18"/>
  <c r="AS77" i="18"/>
  <c r="AR77" i="18"/>
  <c r="AQ77" i="18"/>
  <c r="AP77" i="18"/>
  <c r="AO77" i="18"/>
  <c r="AN77" i="18"/>
  <c r="AM77" i="18"/>
  <c r="AL77" i="18"/>
  <c r="AK77" i="18"/>
  <c r="AJ77" i="18"/>
  <c r="AI77" i="18"/>
  <c r="AH77" i="18"/>
  <c r="AG77" i="18"/>
  <c r="AF77" i="18"/>
  <c r="AE77" i="18"/>
  <c r="BB76" i="18"/>
  <c r="BA76" i="18"/>
  <c r="AZ76" i="18"/>
  <c r="AY76" i="18"/>
  <c r="AX76" i="18"/>
  <c r="AW76" i="18"/>
  <c r="AV76" i="18"/>
  <c r="AU76" i="18"/>
  <c r="AT76" i="18"/>
  <c r="AS76" i="18"/>
  <c r="AR76" i="18"/>
  <c r="AQ76" i="18"/>
  <c r="AP76" i="18"/>
  <c r="AO76" i="18"/>
  <c r="AN76" i="18"/>
  <c r="AM76" i="18"/>
  <c r="AL76" i="18"/>
  <c r="AK76" i="18"/>
  <c r="AJ76" i="18"/>
  <c r="AI76" i="18"/>
  <c r="AH76" i="18"/>
  <c r="AG76" i="18"/>
  <c r="AF76" i="18"/>
  <c r="AE76" i="18"/>
  <c r="L76" i="18" a="1"/>
  <c r="L76" i="18" s="1"/>
  <c r="H75" i="18"/>
  <c r="BH73" i="18" a="1"/>
  <c r="BH73" i="18" s="1"/>
  <c r="BH74" i="18" s="1" a="1"/>
  <c r="BH74" i="18" s="1"/>
  <c r="AB73" i="18"/>
  <c r="AB74" i="18" s="1"/>
  <c r="H73" i="18" a="1"/>
  <c r="H73" i="18" s="1"/>
  <c r="H74" i="18" s="1" a="1"/>
  <c r="H74" i="18" s="1"/>
  <c r="BB72" i="18"/>
  <c r="BA72" i="18"/>
  <c r="AZ72" i="18"/>
  <c r="AY72" i="18"/>
  <c r="AX72" i="18"/>
  <c r="AW72" i="18"/>
  <c r="AV72" i="18"/>
  <c r="AU72" i="18"/>
  <c r="AT72" i="18"/>
  <c r="AS72" i="18"/>
  <c r="AR72" i="18"/>
  <c r="AQ72" i="18"/>
  <c r="AP72" i="18"/>
  <c r="AO72" i="18"/>
  <c r="AN72" i="18"/>
  <c r="AM72" i="18"/>
  <c r="AL72" i="18"/>
  <c r="AK72" i="18"/>
  <c r="AJ72" i="18"/>
  <c r="AI72" i="18"/>
  <c r="AH72" i="18"/>
  <c r="AG72" i="18"/>
  <c r="AF72" i="18"/>
  <c r="AE72" i="18"/>
  <c r="BB71" i="18"/>
  <c r="BA71" i="18"/>
  <c r="AZ71" i="18"/>
  <c r="AY71" i="18"/>
  <c r="AX71" i="18"/>
  <c r="AW71" i="18"/>
  <c r="AV71" i="18"/>
  <c r="AU71" i="18"/>
  <c r="AT71" i="18"/>
  <c r="AS71" i="18"/>
  <c r="AR71" i="18"/>
  <c r="AQ71" i="18"/>
  <c r="AP71" i="18"/>
  <c r="AO71" i="18"/>
  <c r="AN71" i="18"/>
  <c r="AM71" i="18"/>
  <c r="AL71" i="18"/>
  <c r="AK71" i="18"/>
  <c r="AJ71" i="18"/>
  <c r="AI71" i="18"/>
  <c r="AH71" i="18"/>
  <c r="AG71" i="18"/>
  <c r="AF71" i="18"/>
  <c r="AE71" i="18"/>
  <c r="L71" i="18" a="1"/>
  <c r="L71" i="18" s="1"/>
  <c r="H70" i="18"/>
  <c r="BH68" i="18" a="1"/>
  <c r="BH68" i="18" s="1"/>
  <c r="BH69" i="18" s="1" a="1"/>
  <c r="BH69" i="18" s="1"/>
  <c r="AB68" i="18"/>
  <c r="AB69" i="18" s="1"/>
  <c r="H68" i="18" a="1"/>
  <c r="H68" i="18" s="1"/>
  <c r="H69" i="18" s="1" a="1"/>
  <c r="H69" i="18" s="1"/>
  <c r="BB67" i="18"/>
  <c r="BA67" i="18"/>
  <c r="AZ67" i="18"/>
  <c r="AY67" i="18"/>
  <c r="AX67" i="18"/>
  <c r="AW67" i="18"/>
  <c r="AV67" i="18"/>
  <c r="AU67" i="18"/>
  <c r="AT67" i="18"/>
  <c r="AS67" i="18"/>
  <c r="AR67" i="18"/>
  <c r="AQ67" i="18"/>
  <c r="AP67" i="18"/>
  <c r="AO67" i="18"/>
  <c r="AN67" i="18"/>
  <c r="AM67" i="18"/>
  <c r="AL67" i="18"/>
  <c r="AK67" i="18"/>
  <c r="AJ67" i="18"/>
  <c r="AI67" i="18"/>
  <c r="AH67" i="18"/>
  <c r="AG67" i="18"/>
  <c r="AF67" i="18"/>
  <c r="AE67" i="18"/>
  <c r="BB66" i="18"/>
  <c r="BA66" i="18"/>
  <c r="AZ66" i="18"/>
  <c r="AY66" i="18"/>
  <c r="AX66" i="18"/>
  <c r="AW66" i="18"/>
  <c r="AV66" i="18"/>
  <c r="AU66" i="18"/>
  <c r="AT66" i="18"/>
  <c r="AS66" i="18"/>
  <c r="AR66" i="18"/>
  <c r="AQ66" i="18"/>
  <c r="AP66" i="18"/>
  <c r="AO66" i="18"/>
  <c r="AN66" i="18"/>
  <c r="AM66" i="18"/>
  <c r="AL66" i="18"/>
  <c r="AK66" i="18"/>
  <c r="AJ66" i="18"/>
  <c r="AI66" i="18"/>
  <c r="AH66" i="18"/>
  <c r="AG66" i="18"/>
  <c r="AF66" i="18"/>
  <c r="AE66" i="18"/>
  <c r="L66" i="18" a="1"/>
  <c r="L66" i="18" s="1"/>
  <c r="H65" i="18"/>
  <c r="BH63" i="18" a="1"/>
  <c r="BH63" i="18" s="1"/>
  <c r="BH64" i="18" s="1" a="1"/>
  <c r="BH64" i="18" s="1"/>
  <c r="AB63" i="18"/>
  <c r="AB64" i="18" s="1"/>
  <c r="H63" i="18" a="1"/>
  <c r="H63" i="18" s="1"/>
  <c r="H64" i="18" s="1" a="1"/>
  <c r="H64" i="18" s="1"/>
  <c r="BB62" i="18"/>
  <c r="BA62" i="18"/>
  <c r="AZ62" i="18"/>
  <c r="AY62" i="18"/>
  <c r="AX62" i="18"/>
  <c r="AW62" i="18"/>
  <c r="AV62" i="18"/>
  <c r="AU62" i="18"/>
  <c r="AT62" i="18"/>
  <c r="AS62" i="18"/>
  <c r="AR62" i="18"/>
  <c r="AQ62" i="18"/>
  <c r="AP62" i="18"/>
  <c r="AO62" i="18"/>
  <c r="AN62" i="18"/>
  <c r="AM62" i="18"/>
  <c r="AL62" i="18"/>
  <c r="AK62" i="18"/>
  <c r="AJ62" i="18"/>
  <c r="AI62" i="18"/>
  <c r="AH62" i="18"/>
  <c r="AG62" i="18"/>
  <c r="AF62" i="18"/>
  <c r="AE62" i="18"/>
  <c r="AB61" i="18"/>
  <c r="BH60" i="18" a="1"/>
  <c r="BH60" i="18"/>
  <c r="BH61" i="18" s="1" a="1"/>
  <c r="BH61" i="18" s="1"/>
  <c r="AB60" i="18"/>
  <c r="H60" i="18" a="1"/>
  <c r="H60" i="18"/>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BA57" i="18" s="1"/>
  <c r="AZ58" i="18"/>
  <c r="AY58" i="18"/>
  <c r="AY57" i="18" s="1"/>
  <c r="AX58" i="18"/>
  <c r="AW58" i="18"/>
  <c r="AW57" i="18" s="1"/>
  <c r="AV58" i="18"/>
  <c r="AU58" i="18"/>
  <c r="AU57" i="18" s="1"/>
  <c r="AT58" i="18"/>
  <c r="AS58" i="18"/>
  <c r="AS57" i="18" s="1"/>
  <c r="AR58" i="18"/>
  <c r="AQ58" i="18"/>
  <c r="AQ57" i="18" s="1"/>
  <c r="AP58" i="18"/>
  <c r="AO58" i="18"/>
  <c r="AO57" i="18" s="1"/>
  <c r="AN58" i="18"/>
  <c r="AM58" i="18"/>
  <c r="AM57" i="18" s="1"/>
  <c r="AL58" i="18"/>
  <c r="AK58" i="18"/>
  <c r="AK57" i="18" s="1"/>
  <c r="AJ58" i="18"/>
  <c r="AI58" i="18"/>
  <c r="AI57" i="18" s="1"/>
  <c r="AH58" i="18"/>
  <c r="AG58" i="18"/>
  <c r="AG57" i="18" s="1"/>
  <c r="AF58" i="18"/>
  <c r="AE58" i="18"/>
  <c r="AE57" i="18" s="1"/>
  <c r="L58" i="18" a="1"/>
  <c r="L58" i="18"/>
  <c r="F58" i="18" a="1"/>
  <c r="F58" i="18" s="1"/>
  <c r="BB57" i="18"/>
  <c r="AZ57" i="18"/>
  <c r="AX57" i="18"/>
  <c r="AV57" i="18"/>
  <c r="AT57" i="18"/>
  <c r="AR57" i="18"/>
  <c r="AP57" i="18"/>
  <c r="AN57" i="18"/>
  <c r="AL57" i="18"/>
  <c r="AJ57" i="18"/>
  <c r="AH57" i="18"/>
  <c r="AF57" i="18"/>
  <c r="T57" i="18"/>
  <c r="T58" i="18" s="1" a="1"/>
  <c r="T58" i="18" s="1"/>
  <c r="F57" i="18" a="1"/>
  <c r="F57" i="18"/>
  <c r="L56" i="18" a="1"/>
  <c r="L56" i="18"/>
  <c r="L55" i="18" a="1"/>
  <c r="L55" i="18" s="1"/>
  <c r="L54" i="18" a="1"/>
  <c r="L54" i="18"/>
  <c r="L53" i="18" a="1"/>
  <c r="L53" i="18" s="1"/>
  <c r="H52" i="18"/>
  <c r="BH50" i="18" a="1"/>
  <c r="BH50" i="18" s="1"/>
  <c r="BH51" i="18" s="1" a="1"/>
  <c r="BH51" i="18" s="1"/>
  <c r="AB50" i="18"/>
  <c r="AB51" i="18" s="1"/>
  <c r="H50" i="18" a="1"/>
  <c r="H50" i="18" s="1"/>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s="1"/>
  <c r="H47" i="18"/>
  <c r="BH45" i="18" a="1"/>
  <c r="BH45" i="18" s="1"/>
  <c r="BH46" i="18" s="1" a="1"/>
  <c r="BH46" i="18" s="1"/>
  <c r="AB45" i="18"/>
  <c r="AB46" i="18" s="1"/>
  <c r="H45" i="18" a="1"/>
  <c r="H45" i="18" s="1"/>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s="1"/>
  <c r="H42" i="18"/>
  <c r="BH40" i="18" a="1"/>
  <c r="BH40" i="18" s="1"/>
  <c r="BH41" i="18" s="1" a="1"/>
  <c r="BH41" i="18" s="1"/>
  <c r="AB40" i="18"/>
  <c r="AB41" i="18" s="1"/>
  <c r="H40" i="18" a="1"/>
  <c r="H40" i="18" s="1"/>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s="1"/>
  <c r="H37" i="18"/>
  <c r="BH35" i="18" a="1"/>
  <c r="BH35" i="18" s="1"/>
  <c r="BH36" i="18" s="1" a="1"/>
  <c r="BH36" i="18" s="1"/>
  <c r="AB35" i="18"/>
  <c r="AB36" i="18" s="1"/>
  <c r="H35" i="18" a="1"/>
  <c r="H35" i="18" s="1"/>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AZ33" i="18"/>
  <c r="AY33" i="18"/>
  <c r="AX33" i="18"/>
  <c r="AW33" i="18"/>
  <c r="AV33" i="18"/>
  <c r="AU33" i="18"/>
  <c r="AT33" i="18"/>
  <c r="AS33" i="18"/>
  <c r="AR33" i="18"/>
  <c r="AQ33" i="18"/>
  <c r="AP33" i="18"/>
  <c r="AO33" i="18"/>
  <c r="AN33" i="18"/>
  <c r="AM33" i="18"/>
  <c r="AL33" i="18"/>
  <c r="AK33" i="18"/>
  <c r="AJ33" i="18"/>
  <c r="AI33" i="18"/>
  <c r="AH33" i="18"/>
  <c r="AG33" i="18"/>
  <c r="AF33" i="18"/>
  <c r="AE33" i="18"/>
  <c r="L33" i="18" a="1"/>
  <c r="L33" i="18" s="1"/>
  <c r="H32" i="18"/>
  <c r="BH30" i="18" a="1"/>
  <c r="BH30" i="18" s="1"/>
  <c r="BH31" i="18" s="1" a="1"/>
  <c r="BH31" i="18" s="1"/>
  <c r="AB30" i="18"/>
  <c r="AB31" i="18" s="1"/>
  <c r="H30" i="18" a="1"/>
  <c r="H30" i="18" s="1"/>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T28" i="18" a="1"/>
  <c r="T28" i="18" s="1"/>
  <c r="L28" i="18" a="1"/>
  <c r="L28" i="18" s="1"/>
  <c r="F28" i="18"/>
  <c r="BA27" i="18"/>
  <c r="AY27" i="18"/>
  <c r="AW27" i="18"/>
  <c r="AU27" i="18"/>
  <c r="AS27" i="18"/>
  <c r="AQ27" i="18"/>
  <c r="AO27" i="18"/>
  <c r="AM27" i="18"/>
  <c r="AK27" i="18"/>
  <c r="AI27" i="18"/>
  <c r="AG27" i="18"/>
  <c r="AE27" i="18"/>
  <c r="T27" i="18"/>
  <c r="F27" i="18" a="1"/>
  <c r="F27" i="18" s="1"/>
  <c r="F28" i="18" s="1" a="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s="1"/>
  <c r="BB10" i="18" a="1"/>
  <c r="BB10" i="18" s="1"/>
  <c r="BA10" i="18" a="1"/>
  <c r="BA10" i="18" s="1"/>
  <c r="AZ10" i="18" a="1"/>
  <c r="AZ10" i="18" s="1"/>
  <c r="AY10" i="18" a="1"/>
  <c r="AY10" i="18" s="1"/>
  <c r="AX10" i="18" a="1"/>
  <c r="AX10" i="18" s="1"/>
  <c r="AW10" i="18" a="1"/>
  <c r="AW10" i="18" s="1"/>
  <c r="AV10" i="18" a="1"/>
  <c r="AV10" i="18" s="1"/>
  <c r="AU10" i="18" a="1"/>
  <c r="AU10" i="18" s="1"/>
  <c r="AT10" i="18" a="1"/>
  <c r="AT10" i="18" s="1"/>
  <c r="AS10" i="18" a="1"/>
  <c r="AS10" i="18" s="1"/>
  <c r="AR10" i="18" a="1"/>
  <c r="AR10" i="18" s="1"/>
  <c r="AQ10" i="18" a="1"/>
  <c r="AQ10" i="18" s="1"/>
  <c r="AP10" i="18" a="1"/>
  <c r="AP10" i="18" s="1"/>
  <c r="AO10" i="18" a="1"/>
  <c r="AO10" i="18" s="1"/>
  <c r="AN10" i="18" a="1"/>
  <c r="AN10" i="18" s="1"/>
  <c r="AM10" i="18" a="1"/>
  <c r="AM10" i="18" s="1"/>
  <c r="AL10" i="18" a="1"/>
  <c r="AL10" i="18" s="1"/>
  <c r="AK10" i="18" a="1"/>
  <c r="AK10" i="18" s="1"/>
  <c r="AJ10" i="18" a="1"/>
  <c r="AJ10" i="18" s="1"/>
  <c r="AI10" i="18" a="1"/>
  <c r="AI10" i="18" s="1"/>
  <c r="AH10" i="18" a="1"/>
  <c r="AH10" i="18" s="1"/>
  <c r="AG10" i="18" a="1"/>
  <c r="AG10" i="18" s="1"/>
  <c r="AF10" i="18" a="1"/>
  <c r="AF10" i="18" s="1"/>
  <c r="AE10" i="18" a="1"/>
  <c r="AE10" i="18" s="1"/>
  <c r="BA9" i="18" a="1"/>
  <c r="BA9" i="18" s="1"/>
  <c r="AY9" i="18" a="1"/>
  <c r="AY9" i="18" s="1"/>
  <c r="AW9" i="18" a="1"/>
  <c r="AW9" i="18" s="1"/>
  <c r="AU9" i="18" a="1"/>
  <c r="AU9" i="18" s="1"/>
  <c r="AR9" i="18" a="1"/>
  <c r="AR9" i="18" s="1"/>
  <c r="AP9" i="18" a="1"/>
  <c r="AP9" i="18" s="1"/>
  <c r="AN9" i="18" a="1"/>
  <c r="AN9" i="18" s="1"/>
  <c r="AL9" i="18" a="1"/>
  <c r="AL9" i="18" s="1"/>
  <c r="AJ9" i="18" a="1"/>
  <c r="AJ9" i="18" s="1"/>
  <c r="AG9" i="18" a="1"/>
  <c r="AG9" i="18" s="1"/>
  <c r="AE9" i="18" a="1"/>
  <c r="AE9" i="18" s="1"/>
  <c r="BB7" i="18" a="1"/>
  <c r="BB7" i="18" s="1"/>
  <c r="BA7" i="18" a="1"/>
  <c r="BA7" i="18" s="1"/>
  <c r="AZ7" i="18" a="1"/>
  <c r="AZ7" i="18" s="1"/>
  <c r="AY7" i="18" a="1"/>
  <c r="AY7" i="18" s="1"/>
  <c r="AX7" i="18" a="1"/>
  <c r="AX7" i="18" s="1"/>
  <c r="AW7" i="18" a="1"/>
  <c r="AW7" i="18" s="1"/>
  <c r="AV7" i="18" a="1"/>
  <c r="AV7" i="18" s="1"/>
  <c r="AU7" i="18" a="1"/>
  <c r="AU7" i="18" s="1"/>
  <c r="AT7" i="18" a="1"/>
  <c r="AT7" i="18" s="1"/>
  <c r="AS7" i="18" a="1"/>
  <c r="AS7" i="18" s="1"/>
  <c r="AR7" i="18" a="1"/>
  <c r="AR7" i="18" s="1"/>
  <c r="AQ7" i="18" a="1"/>
  <c r="AQ7" i="18" s="1"/>
  <c r="AP7" i="18" a="1"/>
  <c r="AP7" i="18" s="1"/>
  <c r="AO7" i="18" a="1"/>
  <c r="AO7" i="18" s="1"/>
  <c r="AN7" i="18" a="1"/>
  <c r="AN7" i="18" s="1"/>
  <c r="AM7" i="18" a="1"/>
  <c r="AM7" i="18" s="1"/>
  <c r="AL7" i="18" a="1"/>
  <c r="AL7" i="18" s="1"/>
  <c r="AK7" i="18" a="1"/>
  <c r="AK7" i="18" s="1"/>
  <c r="AJ7" i="18" a="1"/>
  <c r="AJ7" i="18" s="1"/>
  <c r="AI7" i="18" a="1"/>
  <c r="AI7" i="18" s="1"/>
  <c r="AH7" i="18" a="1"/>
  <c r="AH7" i="18" s="1"/>
  <c r="AG7" i="18" a="1"/>
  <c r="AG7" i="18" s="1"/>
  <c r="AF7" i="18" a="1"/>
  <c r="AF7" i="18" s="1"/>
  <c r="AE7" i="18" a="1"/>
  <c r="AE7" i="18" s="1"/>
  <c r="BB6" i="18"/>
  <c r="BB9" i="18" s="1" a="1"/>
  <c r="BB9" i="18" s="1"/>
  <c r="BA6" i="18"/>
  <c r="AZ6" i="18"/>
  <c r="AZ9" i="18" s="1" a="1"/>
  <c r="AZ9" i="18" s="1"/>
  <c r="AY6" i="18"/>
  <c r="AX6" i="18"/>
  <c r="AX9" i="18" s="1" a="1"/>
  <c r="AX9" i="18" s="1"/>
  <c r="AW6" i="18"/>
  <c r="AV6" i="18"/>
  <c r="AV9" i="18" s="1" a="1"/>
  <c r="AV9" i="18" s="1"/>
  <c r="AU6" i="18"/>
  <c r="AT6" i="18"/>
  <c r="AT9" i="18" s="1" a="1"/>
  <c r="AT9" i="18" s="1"/>
  <c r="AS6" i="18" a="1"/>
  <c r="AS6" i="18"/>
  <c r="AR6" i="18"/>
  <c r="AQ6" i="18"/>
  <c r="AP6" i="18"/>
  <c r="AO6" i="18"/>
  <c r="AN6" i="18"/>
  <c r="AM6" i="18"/>
  <c r="AL6" i="18"/>
  <c r="AK6" i="18"/>
  <c r="AJ6" i="18"/>
  <c r="AI6" i="18" a="1"/>
  <c r="AI6" i="18" s="1"/>
  <c r="AH6" i="18"/>
  <c r="AH9" i="18" s="1" a="1"/>
  <c r="AH9" i="18" s="1"/>
  <c r="AG6" i="18"/>
  <c r="AF6" i="18"/>
  <c r="AF9" i="18" s="1" a="1"/>
  <c r="AF9" i="18" s="1"/>
  <c r="AE6" i="18"/>
  <c r="T44" i="17"/>
  <c r="T34" i="17"/>
  <c r="T35" i="17" s="1" a="1"/>
  <c r="T35" i="17" s="1"/>
  <c r="T36" i="17" s="1" a="1"/>
  <c r="T36" i="17" s="1"/>
  <c r="T37" i="17" s="1" a="1"/>
  <c r="T37" i="17" s="1"/>
  <c r="T38" i="17" s="1" a="1"/>
  <c r="T38" i="17" s="1"/>
  <c r="T39" i="17" s="1" a="1"/>
  <c r="T39" i="17" s="1"/>
  <c r="T40" i="17" s="1" a="1"/>
  <c r="T40" i="17" s="1"/>
  <c r="F34" i="17" a="1"/>
  <c r="F34" i="17" s="1"/>
  <c r="F35" i="17" s="1" a="1"/>
  <c r="F35" i="17" s="1"/>
  <c r="F36" i="17" s="1" a="1"/>
  <c r="F36" i="17" s="1"/>
  <c r="F37" i="17" s="1" a="1"/>
  <c r="F37" i="17" s="1"/>
  <c r="T27" i="17"/>
  <c r="T28" i="17" s="1" a="1"/>
  <c r="T28" i="17" s="1"/>
  <c r="T29" i="17" s="1" a="1"/>
  <c r="T29" i="17" s="1"/>
  <c r="T30" i="17" s="1" a="1"/>
  <c r="T30" i="17" s="1"/>
  <c r="T31" i="17" s="1" a="1"/>
  <c r="T31" i="17" s="1"/>
  <c r="T32" i="17" s="1" a="1"/>
  <c r="T32" i="17" s="1"/>
  <c r="T33" i="17" s="1" a="1"/>
  <c r="T33" i="17" s="1"/>
  <c r="F27" i="17" a="1"/>
  <c r="F27" i="17"/>
  <c r="F28" i="17" s="1" a="1"/>
  <c r="F28" i="17" s="1"/>
  <c r="F29" i="17" s="1" a="1"/>
  <c r="F29" i="17" s="1"/>
  <c r="F30" i="17" s="1" a="1"/>
  <c r="F30" i="17" s="1"/>
  <c r="AE24" i="17"/>
  <c r="AF14" i="17" a="1"/>
  <c r="AF14" i="17" s="1"/>
  <c r="AE14" i="17" a="1"/>
  <c r="AE14" i="17" s="1"/>
  <c r="AF13" i="17" a="1"/>
  <c r="AF13" i="17" s="1"/>
  <c r="AE13" i="17" a="1"/>
  <c r="AE13" i="17" s="1"/>
  <c r="AF11" i="17" a="1"/>
  <c r="AF11" i="17" s="1"/>
  <c r="AE11" i="17" a="1"/>
  <c r="AE11" i="17" s="1"/>
  <c r="T50" i="16"/>
  <c r="BB44" i="16"/>
  <c r="BA44" i="16"/>
  <c r="AZ44" i="16"/>
  <c r="AY44" i="16"/>
  <c r="AX44" i="16"/>
  <c r="AW44" i="16"/>
  <c r="AV44" i="16"/>
  <c r="AU44" i="16"/>
  <c r="AT44" i="16"/>
  <c r="AS44" i="16"/>
  <c r="AR44" i="16"/>
  <c r="AQ44" i="16"/>
  <c r="AP44" i="16"/>
  <c r="AO44" i="16"/>
  <c r="AN44" i="16"/>
  <c r="AM44" i="16"/>
  <c r="AL44" i="16"/>
  <c r="AK44" i="16"/>
  <c r="AJ44" i="16"/>
  <c r="AI44" i="16"/>
  <c r="AH44" i="16"/>
  <c r="AG44" i="16"/>
  <c r="AF44" i="16"/>
  <c r="AE44" i="16"/>
  <c r="BB39" i="16"/>
  <c r="BA39" i="16"/>
  <c r="AZ39" i="16"/>
  <c r="AY39" i="16"/>
  <c r="AX39" i="16"/>
  <c r="AW39" i="16"/>
  <c r="AV39" i="16"/>
  <c r="AU39" i="16"/>
  <c r="AT39" i="16"/>
  <c r="AS39" i="16"/>
  <c r="AR39" i="16"/>
  <c r="AQ39" i="16"/>
  <c r="AP39" i="16"/>
  <c r="AO39" i="16"/>
  <c r="AN39" i="16"/>
  <c r="AM39" i="16"/>
  <c r="AL39" i="16"/>
  <c r="AK39" i="16"/>
  <c r="AJ39" i="16"/>
  <c r="AI39" i="16"/>
  <c r="AH39" i="16"/>
  <c r="AG39" i="16"/>
  <c r="AF39" i="16"/>
  <c r="AE39" i="16"/>
  <c r="BB38" i="16"/>
  <c r="BA38" i="16"/>
  <c r="AZ38" i="16"/>
  <c r="AY38" i="16"/>
  <c r="AX38" i="16"/>
  <c r="AW38" i="16"/>
  <c r="AV38" i="16"/>
  <c r="AU38" i="16"/>
  <c r="AT38" i="16"/>
  <c r="AS38" i="16"/>
  <c r="AR38" i="16"/>
  <c r="AQ38" i="16"/>
  <c r="AP38" i="16"/>
  <c r="AO38" i="16"/>
  <c r="AN38" i="16"/>
  <c r="AM38" i="16"/>
  <c r="AL38" i="16"/>
  <c r="AK38" i="16"/>
  <c r="AJ38" i="16"/>
  <c r="AI38" i="16"/>
  <c r="AH38" i="16"/>
  <c r="AG38" i="16"/>
  <c r="AF38" i="16"/>
  <c r="AE38" i="16"/>
  <c r="L38" i="16" a="1"/>
  <c r="L38" i="16"/>
  <c r="T37" i="16"/>
  <c r="T38" i="16" s="1" a="1"/>
  <c r="T38" i="16" s="1"/>
  <c r="T39" i="16" s="1" a="1"/>
  <c r="T39" i="16" s="1"/>
  <c r="T40" i="16" s="1" a="1"/>
  <c r="T40" i="16" s="1"/>
  <c r="T41" i="16" s="1" a="1"/>
  <c r="T41" i="16" s="1"/>
  <c r="T42" i="16" s="1" a="1"/>
  <c r="T42" i="16" s="1"/>
  <c r="T43" i="16" s="1" a="1"/>
  <c r="T43" i="16" s="1"/>
  <c r="T44" i="16" s="1" a="1"/>
  <c r="T44" i="16" s="1"/>
  <c r="T45" i="16" s="1" a="1"/>
  <c r="T45" i="16" s="1"/>
  <c r="T46" i="16" s="1" a="1"/>
  <c r="T46" i="16" s="1"/>
  <c r="F37" i="16" a="1"/>
  <c r="F37" i="16"/>
  <c r="F38" i="16" s="1" a="1"/>
  <c r="F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L28" i="16" a="1"/>
  <c r="L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F27" i="16" a="1"/>
  <c r="F27" i="16"/>
  <c r="F28" i="16" s="1" a="1"/>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c r="BB10" i="16" a="1"/>
  <c r="BB10" i="16"/>
  <c r="BA10" i="16" a="1"/>
  <c r="BA10" i="16"/>
  <c r="AZ10" i="16" a="1"/>
  <c r="AZ10" i="16"/>
  <c r="AY10" i="16" a="1"/>
  <c r="AY10" i="16"/>
  <c r="AX10" i="16" a="1"/>
  <c r="AX10" i="16"/>
  <c r="AW10" i="16" a="1"/>
  <c r="AW10" i="16"/>
  <c r="AV10" i="16" a="1"/>
  <c r="AV10" i="16"/>
  <c r="AU10" i="16" a="1"/>
  <c r="AU10" i="16"/>
  <c r="AT10" i="16" a="1"/>
  <c r="AT10" i="16"/>
  <c r="AS10" i="16" a="1"/>
  <c r="AS10" i="16"/>
  <c r="AR10" i="16" a="1"/>
  <c r="AR10" i="16"/>
  <c r="AQ10" i="16" a="1"/>
  <c r="AQ10" i="16"/>
  <c r="AP10" i="16" a="1"/>
  <c r="AP10" i="16"/>
  <c r="AO10" i="16" a="1"/>
  <c r="AO10" i="16"/>
  <c r="AN10" i="16" a="1"/>
  <c r="AN10" i="16"/>
  <c r="AM10" i="16" a="1"/>
  <c r="AM10" i="16"/>
  <c r="AL10" i="16" a="1"/>
  <c r="AL10" i="16"/>
  <c r="AK10" i="16" a="1"/>
  <c r="AK10" i="16"/>
  <c r="AJ10" i="16" a="1"/>
  <c r="AJ10" i="16"/>
  <c r="AI10" i="16" a="1"/>
  <c r="AI10" i="16"/>
  <c r="AH10" i="16" a="1"/>
  <c r="AH10" i="16"/>
  <c r="AG10" i="16" a="1"/>
  <c r="AG10" i="16"/>
  <c r="AF10" i="16" a="1"/>
  <c r="AF10" i="16"/>
  <c r="AE10" i="16" a="1"/>
  <c r="AE10" i="16"/>
  <c r="BB7" i="16" a="1"/>
  <c r="BB7" i="16"/>
  <c r="BA7" i="16" a="1"/>
  <c r="BA7" i="16"/>
  <c r="AZ7" i="16" a="1"/>
  <c r="AZ7" i="16"/>
  <c r="AY7" i="16" a="1"/>
  <c r="AY7" i="16"/>
  <c r="AX7" i="16" a="1"/>
  <c r="AX7" i="16"/>
  <c r="AW7" i="16" a="1"/>
  <c r="AW7" i="16"/>
  <c r="AV7" i="16" a="1"/>
  <c r="AV7" i="16"/>
  <c r="AU7" i="16" a="1"/>
  <c r="AU7" i="16"/>
  <c r="AT7" i="16" a="1"/>
  <c r="AT7" i="16"/>
  <c r="AS7" i="16" a="1"/>
  <c r="AS7" i="16"/>
  <c r="AR7" i="16" a="1"/>
  <c r="AR7" i="16"/>
  <c r="AQ7" i="16" a="1"/>
  <c r="AQ7" i="16"/>
  <c r="AP7" i="16" a="1"/>
  <c r="AP7" i="16"/>
  <c r="AO7" i="16" a="1"/>
  <c r="AO7" i="16"/>
  <c r="AN7" i="16" a="1"/>
  <c r="AN7" i="16"/>
  <c r="AM7" i="16" a="1"/>
  <c r="AM7" i="16"/>
  <c r="AL7" i="16" a="1"/>
  <c r="AL7" i="16"/>
  <c r="AK7" i="16" a="1"/>
  <c r="AK7" i="16"/>
  <c r="AJ7" i="16" a="1"/>
  <c r="AJ7" i="16"/>
  <c r="AI7" i="16" a="1"/>
  <c r="AI7" i="16"/>
  <c r="AH7" i="16" a="1"/>
  <c r="AH7" i="16"/>
  <c r="AG7" i="16" a="1"/>
  <c r="AG7" i="16"/>
  <c r="AF7" i="16" a="1"/>
  <c r="AF7" i="16"/>
  <c r="AE7" i="16" a="1"/>
  <c r="AE7" i="16"/>
  <c r="BB6" i="16"/>
  <c r="BB9" i="16" s="1" a="1"/>
  <c r="BB9" i="16" s="1"/>
  <c r="BA6" i="16"/>
  <c r="BA9" i="16" s="1" a="1"/>
  <c r="BA9" i="16" s="1"/>
  <c r="AZ6" i="16"/>
  <c r="AZ9" i="16" s="1" a="1"/>
  <c r="AZ9" i="16" s="1"/>
  <c r="AY6" i="16"/>
  <c r="AY9" i="16" s="1" a="1"/>
  <c r="AY9" i="16" s="1"/>
  <c r="AX6" i="16"/>
  <c r="AX9" i="16" s="1" a="1"/>
  <c r="AX9" i="16" s="1"/>
  <c r="AW6" i="16"/>
  <c r="AW9" i="16" s="1" a="1"/>
  <c r="AW9" i="16" s="1"/>
  <c r="AV6" i="16"/>
  <c r="AV9" i="16" s="1" a="1"/>
  <c r="AV9" i="16" s="1"/>
  <c r="AU6" i="16"/>
  <c r="AU9" i="16" s="1" a="1"/>
  <c r="AU9" i="16" s="1"/>
  <c r="AT6" i="16"/>
  <c r="AT9" i="16" s="1" a="1"/>
  <c r="AT9" i="16" s="1"/>
  <c r="AS6" i="16" a="1"/>
  <c r="AS6" i="16"/>
  <c r="AS9" i="16" s="1" a="1"/>
  <c r="AS9" i="16" s="1"/>
  <c r="AR6" i="16"/>
  <c r="AR9" i="16" s="1" a="1"/>
  <c r="AR9" i="16" s="1"/>
  <c r="AQ6" i="16"/>
  <c r="AQ9" i="16" s="1" a="1"/>
  <c r="AQ9" i="16" s="1"/>
  <c r="AP6" i="16"/>
  <c r="AP9" i="16" s="1" a="1"/>
  <c r="AP9" i="16" s="1"/>
  <c r="AO6" i="16"/>
  <c r="AO9" i="16" s="1" a="1"/>
  <c r="AO9" i="16" s="1"/>
  <c r="AN6" i="16"/>
  <c r="AN9" i="16" s="1" a="1"/>
  <c r="AN9" i="16" s="1"/>
  <c r="AM6" i="16"/>
  <c r="AM9" i="16" s="1" a="1"/>
  <c r="AM9" i="16" s="1"/>
  <c r="AL6" i="16"/>
  <c r="AL9" i="16" s="1" a="1"/>
  <c r="AL9" i="16" s="1"/>
  <c r="AK6" i="16"/>
  <c r="AK9" i="16" s="1" a="1"/>
  <c r="AK9" i="16" s="1"/>
  <c r="AJ6" i="16"/>
  <c r="AJ9" i="16" s="1" a="1"/>
  <c r="AJ9" i="16" s="1"/>
  <c r="AI6" i="16" a="1"/>
  <c r="AI6" i="16"/>
  <c r="AI9" i="16" s="1" a="1"/>
  <c r="AI9" i="16" s="1"/>
  <c r="AH6" i="16"/>
  <c r="AH9" i="16" s="1" a="1"/>
  <c r="AH9" i="16" s="1"/>
  <c r="AG6" i="16"/>
  <c r="AG9" i="16" s="1" a="1"/>
  <c r="AG9" i="16" s="1"/>
  <c r="AF6" i="16"/>
  <c r="AF9" i="16" s="1" a="1"/>
  <c r="AF9" i="16" s="1"/>
  <c r="AE6" i="16"/>
  <c r="AE9" i="16" s="1" a="1"/>
  <c r="AE9" i="16" s="1"/>
  <c r="T128" i="15"/>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Z113" i="15"/>
  <c r="AY113" i="15"/>
  <c r="AX113" i="15"/>
  <c r="AW113" i="15"/>
  <c r="AV113" i="15"/>
  <c r="AU113" i="15"/>
  <c r="AT113" i="15"/>
  <c r="AS113" i="15"/>
  <c r="AR113" i="15"/>
  <c r="AQ113" i="15"/>
  <c r="AP113" i="15"/>
  <c r="AO113" i="15"/>
  <c r="AN113" i="15"/>
  <c r="AM113" i="15"/>
  <c r="AL113" i="15"/>
  <c r="AK113" i="15"/>
  <c r="AJ113" i="15"/>
  <c r="AI113" i="15"/>
  <c r="AH113" i="15"/>
  <c r="AG113" i="15"/>
  <c r="AF113" i="15"/>
  <c r="AE113" i="15"/>
  <c r="L113" i="15" a="1"/>
  <c r="L113" i="15" s="1"/>
  <c r="BB100" i="15"/>
  <c r="BB106" i="15" s="1"/>
  <c r="BB112" i="15" s="1"/>
  <c r="BA100" i="15"/>
  <c r="BA106" i="15" s="1"/>
  <c r="BA112" i="15" s="1"/>
  <c r="AZ100" i="15"/>
  <c r="AZ106" i="15" s="1"/>
  <c r="AZ112" i="15" s="1"/>
  <c r="AY100" i="15"/>
  <c r="AY106" i="15" s="1"/>
  <c r="AY112" i="15" s="1"/>
  <c r="AX100" i="15"/>
  <c r="AX106" i="15" s="1"/>
  <c r="AX112" i="15" s="1"/>
  <c r="AW100" i="15"/>
  <c r="AW106" i="15" s="1"/>
  <c r="AW112" i="15" s="1"/>
  <c r="AV100" i="15"/>
  <c r="AV106" i="15" s="1"/>
  <c r="AV112" i="15" s="1"/>
  <c r="AU100" i="15"/>
  <c r="AU106" i="15" s="1"/>
  <c r="AU112" i="15" s="1"/>
  <c r="AT100" i="15"/>
  <c r="AT106" i="15" s="1"/>
  <c r="AT112" i="15" s="1"/>
  <c r="AS100" i="15"/>
  <c r="AS106" i="15" s="1"/>
  <c r="AS112" i="15" s="1"/>
  <c r="AR100" i="15"/>
  <c r="AR106" i="15" s="1"/>
  <c r="AR112" i="15" s="1"/>
  <c r="AQ100" i="15"/>
  <c r="AQ106" i="15" s="1"/>
  <c r="AQ112" i="15" s="1"/>
  <c r="AP100" i="15"/>
  <c r="AP106" i="15" s="1"/>
  <c r="AP112" i="15" s="1"/>
  <c r="AO100" i="15"/>
  <c r="AO106" i="15" s="1"/>
  <c r="AO112" i="15" s="1"/>
  <c r="AN100" i="15"/>
  <c r="AN106" i="15" s="1"/>
  <c r="AN112" i="15" s="1"/>
  <c r="AM100" i="15"/>
  <c r="AM106" i="15" s="1"/>
  <c r="AM112" i="15" s="1"/>
  <c r="AL100" i="15"/>
  <c r="AL106" i="15" s="1"/>
  <c r="AL112" i="15" s="1"/>
  <c r="AK100" i="15"/>
  <c r="AK106" i="15" s="1"/>
  <c r="AK112" i="15" s="1"/>
  <c r="AJ100" i="15"/>
  <c r="AJ106" i="15" s="1"/>
  <c r="AJ112" i="15" s="1"/>
  <c r="AI100" i="15"/>
  <c r="AI106" i="15" s="1"/>
  <c r="AI112" i="15" s="1"/>
  <c r="AH100" i="15"/>
  <c r="AH106" i="15" s="1"/>
  <c r="AH112" i="15" s="1"/>
  <c r="AG100" i="15"/>
  <c r="AG106" i="15" s="1"/>
  <c r="AG112" i="15" s="1"/>
  <c r="AF100" i="15"/>
  <c r="AF106" i="15" s="1"/>
  <c r="AF112" i="15" s="1"/>
  <c r="AE100" i="15"/>
  <c r="AE106" i="15" s="1"/>
  <c r="AE112" i="15" s="1"/>
  <c r="BB99" i="15"/>
  <c r="BB105" i="15" s="1"/>
  <c r="BB111" i="15" s="1"/>
  <c r="BA99" i="15"/>
  <c r="BA105" i="15" s="1"/>
  <c r="BA111" i="15" s="1"/>
  <c r="AZ99" i="15"/>
  <c r="AZ105" i="15" s="1"/>
  <c r="AZ111" i="15" s="1"/>
  <c r="AY99" i="15"/>
  <c r="AY105" i="15" s="1"/>
  <c r="AY111" i="15" s="1"/>
  <c r="AX99" i="15"/>
  <c r="AX105" i="15" s="1"/>
  <c r="AX111" i="15" s="1"/>
  <c r="AW99" i="15"/>
  <c r="AW105" i="15" s="1"/>
  <c r="AW111" i="15" s="1"/>
  <c r="AV99" i="15"/>
  <c r="AV105" i="15" s="1"/>
  <c r="AV111" i="15" s="1"/>
  <c r="AU99" i="15"/>
  <c r="AU105" i="15" s="1"/>
  <c r="AU111" i="15" s="1"/>
  <c r="AT99" i="15"/>
  <c r="AT105" i="15" s="1"/>
  <c r="AT111" i="15" s="1"/>
  <c r="AS99" i="15"/>
  <c r="AS105" i="15" s="1"/>
  <c r="AS111" i="15" s="1"/>
  <c r="AR99" i="15"/>
  <c r="AR105" i="15" s="1"/>
  <c r="AR111" i="15" s="1"/>
  <c r="AQ99" i="15"/>
  <c r="AQ105" i="15" s="1"/>
  <c r="AQ111" i="15" s="1"/>
  <c r="AP99" i="15"/>
  <c r="AP105" i="15" s="1"/>
  <c r="AP111" i="15" s="1"/>
  <c r="AO99" i="15"/>
  <c r="AO105" i="15" s="1"/>
  <c r="AO111" i="15" s="1"/>
  <c r="AN99" i="15"/>
  <c r="AN105" i="15" s="1"/>
  <c r="AN111" i="15" s="1"/>
  <c r="AM99" i="15"/>
  <c r="AM105" i="15" s="1"/>
  <c r="AM111" i="15" s="1"/>
  <c r="AL99" i="15"/>
  <c r="AL105" i="15" s="1"/>
  <c r="AL111" i="15" s="1"/>
  <c r="AK99" i="15"/>
  <c r="AK105" i="15" s="1"/>
  <c r="AK111" i="15" s="1"/>
  <c r="AJ99" i="15"/>
  <c r="AJ105" i="15" s="1"/>
  <c r="AJ111" i="15" s="1"/>
  <c r="AI99" i="15"/>
  <c r="AI105" i="15" s="1"/>
  <c r="AI111" i="15" s="1"/>
  <c r="AH99" i="15"/>
  <c r="AH105" i="15" s="1"/>
  <c r="AH111" i="15" s="1"/>
  <c r="AG99" i="15"/>
  <c r="AG105" i="15" s="1"/>
  <c r="AG111" i="15" s="1"/>
  <c r="AF99" i="15"/>
  <c r="AF105" i="15" s="1"/>
  <c r="AF111" i="15" s="1"/>
  <c r="AE99" i="15"/>
  <c r="AE105" i="15" s="1"/>
  <c r="AE111" i="15" s="1"/>
  <c r="BB98" i="15"/>
  <c r="BB104" i="15" s="1"/>
  <c r="BB110" i="15" s="1"/>
  <c r="BA98" i="15"/>
  <c r="BA104" i="15" s="1"/>
  <c r="BA110" i="15" s="1"/>
  <c r="AZ98" i="15"/>
  <c r="AZ104" i="15" s="1"/>
  <c r="AZ110" i="15" s="1"/>
  <c r="AY98" i="15"/>
  <c r="AY104" i="15" s="1"/>
  <c r="AY110" i="15" s="1"/>
  <c r="AX98" i="15"/>
  <c r="AX104" i="15" s="1"/>
  <c r="AX110" i="15" s="1"/>
  <c r="AW98" i="15"/>
  <c r="AW104" i="15" s="1"/>
  <c r="AW110" i="15" s="1"/>
  <c r="AV98" i="15"/>
  <c r="AV104" i="15" s="1"/>
  <c r="AV110" i="15" s="1"/>
  <c r="AU98" i="15"/>
  <c r="AU104" i="15" s="1"/>
  <c r="AU110" i="15" s="1"/>
  <c r="AT98" i="15"/>
  <c r="AT104" i="15" s="1"/>
  <c r="AT110" i="15" s="1"/>
  <c r="AS98" i="15"/>
  <c r="AS104" i="15" s="1"/>
  <c r="AS110" i="15" s="1"/>
  <c r="AR98" i="15"/>
  <c r="AR104" i="15" s="1"/>
  <c r="AR110" i="15" s="1"/>
  <c r="AQ98" i="15"/>
  <c r="AQ104" i="15" s="1"/>
  <c r="AQ110" i="15" s="1"/>
  <c r="AP98" i="15"/>
  <c r="AP104" i="15" s="1"/>
  <c r="AP110" i="15" s="1"/>
  <c r="AO98" i="15"/>
  <c r="AO104" i="15" s="1"/>
  <c r="AO110" i="15" s="1"/>
  <c r="AN98" i="15"/>
  <c r="AN104" i="15" s="1"/>
  <c r="AN110" i="15" s="1"/>
  <c r="AM98" i="15"/>
  <c r="AM104" i="15" s="1"/>
  <c r="AM110" i="15" s="1"/>
  <c r="AL98" i="15"/>
  <c r="AL104" i="15" s="1"/>
  <c r="AL110" i="15" s="1"/>
  <c r="AK98" i="15"/>
  <c r="AK104" i="15" s="1"/>
  <c r="AK110" i="15" s="1"/>
  <c r="AJ98" i="15"/>
  <c r="AJ104" i="15" s="1"/>
  <c r="AJ110" i="15" s="1"/>
  <c r="AI98" i="15"/>
  <c r="AI104" i="15" s="1"/>
  <c r="AI110" i="15" s="1"/>
  <c r="AH98" i="15"/>
  <c r="AH104" i="15" s="1"/>
  <c r="AH110" i="15" s="1"/>
  <c r="AG98" i="15"/>
  <c r="AG104" i="15" s="1"/>
  <c r="AG110" i="15" s="1"/>
  <c r="AF98" i="15"/>
  <c r="AF104" i="15" s="1"/>
  <c r="AF110" i="15" s="1"/>
  <c r="AE98" i="15"/>
  <c r="AE104" i="15" s="1"/>
  <c r="AE110" i="15" s="1"/>
  <c r="BB97" i="15"/>
  <c r="BB103" i="15" s="1"/>
  <c r="BB109" i="15" s="1"/>
  <c r="BA97" i="15"/>
  <c r="BA103" i="15" s="1"/>
  <c r="BA109" i="15" s="1"/>
  <c r="AZ97" i="15"/>
  <c r="AZ103" i="15" s="1"/>
  <c r="AZ109" i="15" s="1"/>
  <c r="AY97" i="15"/>
  <c r="AY103" i="15" s="1"/>
  <c r="AY109" i="15" s="1"/>
  <c r="AX97" i="15"/>
  <c r="AX103" i="15" s="1"/>
  <c r="AX109" i="15" s="1"/>
  <c r="AW97" i="15"/>
  <c r="AW103" i="15" s="1"/>
  <c r="AW109" i="15" s="1"/>
  <c r="AV97" i="15"/>
  <c r="AV103" i="15" s="1"/>
  <c r="AV109" i="15" s="1"/>
  <c r="AU97" i="15"/>
  <c r="AU103" i="15" s="1"/>
  <c r="AU109" i="15" s="1"/>
  <c r="AT97" i="15"/>
  <c r="AT103" i="15" s="1"/>
  <c r="AT109" i="15" s="1"/>
  <c r="AS97" i="15"/>
  <c r="AS103" i="15" s="1"/>
  <c r="AS109" i="15" s="1"/>
  <c r="AR97" i="15"/>
  <c r="AR103" i="15" s="1"/>
  <c r="AR109" i="15" s="1"/>
  <c r="AQ97" i="15"/>
  <c r="AQ103" i="15" s="1"/>
  <c r="AQ109" i="15" s="1"/>
  <c r="AP97" i="15"/>
  <c r="AP103" i="15" s="1"/>
  <c r="AP109" i="15" s="1"/>
  <c r="AO97" i="15"/>
  <c r="AO103" i="15" s="1"/>
  <c r="AO109" i="15" s="1"/>
  <c r="AN97" i="15"/>
  <c r="AN103" i="15" s="1"/>
  <c r="AN109" i="15" s="1"/>
  <c r="AM97" i="15"/>
  <c r="AM103" i="15" s="1"/>
  <c r="AM109" i="15" s="1"/>
  <c r="AL97" i="15"/>
  <c r="AL103" i="15" s="1"/>
  <c r="AL109" i="15" s="1"/>
  <c r="AK97" i="15"/>
  <c r="AK103" i="15" s="1"/>
  <c r="AK109" i="15" s="1"/>
  <c r="AJ97" i="15"/>
  <c r="AJ103" i="15" s="1"/>
  <c r="AJ109" i="15" s="1"/>
  <c r="AI97" i="15"/>
  <c r="AI103" i="15" s="1"/>
  <c r="AI109" i="15" s="1"/>
  <c r="AH97" i="15"/>
  <c r="AH103" i="15" s="1"/>
  <c r="AH109" i="15" s="1"/>
  <c r="AG97" i="15"/>
  <c r="AG103" i="15" s="1"/>
  <c r="AG109" i="15" s="1"/>
  <c r="AF97" i="15"/>
  <c r="AF103" i="15" s="1"/>
  <c r="AF109" i="15" s="1"/>
  <c r="AE97" i="15"/>
  <c r="AE103" i="15" s="1"/>
  <c r="AE109" i="15" s="1"/>
  <c r="BB96" i="15"/>
  <c r="BB102" i="15" s="1"/>
  <c r="BA96" i="15"/>
  <c r="BA102" i="15" s="1"/>
  <c r="AZ96" i="15"/>
  <c r="AZ102" i="15" s="1"/>
  <c r="AY96" i="15"/>
  <c r="AY102" i="15" s="1"/>
  <c r="AX96" i="15"/>
  <c r="AX102" i="15" s="1"/>
  <c r="AW96" i="15"/>
  <c r="AW102" i="15" s="1"/>
  <c r="AV96" i="15"/>
  <c r="AV102" i="15" s="1"/>
  <c r="AU96" i="15"/>
  <c r="AU102" i="15" s="1"/>
  <c r="AT96" i="15"/>
  <c r="AT102" i="15" s="1"/>
  <c r="AS96" i="15"/>
  <c r="AS102" i="15" s="1"/>
  <c r="AR96" i="15"/>
  <c r="AR102" i="15" s="1"/>
  <c r="AQ96" i="15"/>
  <c r="AQ102" i="15" s="1"/>
  <c r="AP96" i="15"/>
  <c r="AP102" i="15" s="1"/>
  <c r="AO96" i="15"/>
  <c r="AO102" i="15" s="1"/>
  <c r="AN96" i="15"/>
  <c r="AN102" i="15" s="1"/>
  <c r="AM96" i="15"/>
  <c r="AM102" i="15" s="1"/>
  <c r="AL96" i="15"/>
  <c r="AL102" i="15" s="1"/>
  <c r="AK96" i="15"/>
  <c r="AK102" i="15" s="1"/>
  <c r="AJ96" i="15"/>
  <c r="AJ102" i="15" s="1"/>
  <c r="AI96" i="15"/>
  <c r="AI102" i="15" s="1"/>
  <c r="AH96" i="15"/>
  <c r="AH102" i="15" s="1"/>
  <c r="AG96" i="15"/>
  <c r="AG102" i="15" s="1"/>
  <c r="AF96" i="15"/>
  <c r="AF102" i="15" s="1"/>
  <c r="AE96" i="15"/>
  <c r="AE102" i="15" s="1"/>
  <c r="BB95" i="15"/>
  <c r="BA95" i="15"/>
  <c r="AZ95" i="15"/>
  <c r="AY95" i="15"/>
  <c r="AX95" i="15"/>
  <c r="AW95" i="15"/>
  <c r="AV95" i="15"/>
  <c r="AU95" i="15"/>
  <c r="AT95" i="15"/>
  <c r="AS95" i="15"/>
  <c r="AR95" i="15"/>
  <c r="AQ95" i="15"/>
  <c r="AP95" i="15"/>
  <c r="AO95" i="15"/>
  <c r="AN95" i="15"/>
  <c r="AM95" i="15"/>
  <c r="AL95" i="15"/>
  <c r="AK95" i="15"/>
  <c r="AJ95" i="15"/>
  <c r="AI95" i="15"/>
  <c r="AH95" i="15"/>
  <c r="AG95" i="15"/>
  <c r="AF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c r="BB51" i="15"/>
  <c r="BB57" i="15" s="1"/>
  <c r="BB63" i="15" s="1"/>
  <c r="BA51" i="15"/>
  <c r="BA57" i="15" s="1"/>
  <c r="BA63" i="15" s="1"/>
  <c r="AZ51" i="15"/>
  <c r="AZ57" i="15" s="1"/>
  <c r="AZ63" i="15" s="1"/>
  <c r="AY51" i="15"/>
  <c r="AY57" i="15" s="1"/>
  <c r="AY63" i="15" s="1"/>
  <c r="AX51" i="15"/>
  <c r="AX57" i="15" s="1"/>
  <c r="AX63" i="15" s="1"/>
  <c r="AW51" i="15"/>
  <c r="AW57" i="15" s="1"/>
  <c r="AW63" i="15" s="1"/>
  <c r="AV51" i="15"/>
  <c r="AV57" i="15" s="1"/>
  <c r="AV63" i="15" s="1"/>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N57" i="15" s="1"/>
  <c r="AN63" i="15" s="1"/>
  <c r="AM51" i="15"/>
  <c r="AM57" i="15" s="1"/>
  <c r="AM63" i="15" s="1"/>
  <c r="AL51" i="15"/>
  <c r="AL57" i="15" s="1"/>
  <c r="AL63" i="15" s="1"/>
  <c r="AK51" i="15"/>
  <c r="AK57" i="15" s="1"/>
  <c r="AK63" i="15" s="1"/>
  <c r="AJ51" i="15"/>
  <c r="AJ57" i="15" s="1"/>
  <c r="AJ63" i="15" s="1"/>
  <c r="AI51" i="15"/>
  <c r="AI57" i="15" s="1"/>
  <c r="AI63" i="15" s="1"/>
  <c r="AH51" i="15"/>
  <c r="AH57" i="15" s="1"/>
  <c r="AH63" i="15" s="1"/>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H56" i="15" s="1"/>
  <c r="AH62" i="15" s="1"/>
  <c r="AG50" i="15"/>
  <c r="AG56" i="15" s="1"/>
  <c r="AG62" i="15" s="1"/>
  <c r="AF50" i="15"/>
  <c r="AF56" i="15" s="1"/>
  <c r="AF62" i="15" s="1"/>
  <c r="AE50" i="15"/>
  <c r="AE56" i="15" s="1"/>
  <c r="AE62" i="15" s="1"/>
  <c r="BB49" i="15"/>
  <c r="BB55" i="15" s="1"/>
  <c r="BB61" i="15" s="1"/>
  <c r="BA49" i="15"/>
  <c r="BA55" i="15" s="1"/>
  <c r="BA61" i="15" s="1"/>
  <c r="AZ49" i="15"/>
  <c r="AZ55" i="15" s="1"/>
  <c r="AZ61" i="15" s="1"/>
  <c r="AY49" i="15"/>
  <c r="AY55" i="15" s="1"/>
  <c r="AY61" i="15" s="1"/>
  <c r="AX49" i="15"/>
  <c r="AX55" i="15" s="1"/>
  <c r="AX61" i="15" s="1"/>
  <c r="AW49" i="15"/>
  <c r="AW55" i="15" s="1"/>
  <c r="AW61" i="15" s="1"/>
  <c r="AV49" i="15"/>
  <c r="AV55" i="15" s="1"/>
  <c r="AV61" i="15" s="1"/>
  <c r="AU49" i="15"/>
  <c r="AU55" i="15" s="1"/>
  <c r="AU61" i="15" s="1"/>
  <c r="AT49" i="15"/>
  <c r="AT55" i="15" s="1"/>
  <c r="AT61" i="15" s="1"/>
  <c r="AS49" i="15"/>
  <c r="AS55" i="15" s="1"/>
  <c r="AS61" i="15" s="1"/>
  <c r="AR49" i="15"/>
  <c r="AR55" i="15" s="1"/>
  <c r="AR61" i="15" s="1"/>
  <c r="AQ49" i="15"/>
  <c r="AQ55" i="15" s="1"/>
  <c r="AQ61" i="15" s="1"/>
  <c r="AP49" i="15"/>
  <c r="AP55" i="15" s="1"/>
  <c r="AP61" i="15" s="1"/>
  <c r="AO49" i="15"/>
  <c r="AO55" i="15" s="1"/>
  <c r="AO61" i="15" s="1"/>
  <c r="AN49" i="15"/>
  <c r="AN55" i="15" s="1"/>
  <c r="AN61" i="15" s="1"/>
  <c r="AM49" i="15"/>
  <c r="AM55" i="15" s="1"/>
  <c r="AM61" i="15" s="1"/>
  <c r="AL49" i="15"/>
  <c r="AL55" i="15" s="1"/>
  <c r="AL61" i="15" s="1"/>
  <c r="AK49" i="15"/>
  <c r="AK55" i="15" s="1"/>
  <c r="AK61" i="15" s="1"/>
  <c r="AJ49" i="15"/>
  <c r="AJ55" i="15" s="1"/>
  <c r="AJ61" i="15" s="1"/>
  <c r="AI49" i="15"/>
  <c r="AI55" i="15" s="1"/>
  <c r="AI61" i="15" s="1"/>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X54" i="15" s="1"/>
  <c r="AX60" i="15" s="1"/>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H60" i="15" s="1"/>
  <c r="AG48" i="15"/>
  <c r="AG54" i="15" s="1"/>
  <c r="AG60" i="15" s="1"/>
  <c r="AF48" i="15"/>
  <c r="AF54" i="15" s="1"/>
  <c r="AF60" i="15" s="1"/>
  <c r="AE48" i="15"/>
  <c r="AE54" i="15" s="1"/>
  <c r="AE60" i="15" s="1"/>
  <c r="BB47" i="15"/>
  <c r="BB53" i="15" s="1"/>
  <c r="BA47" i="15"/>
  <c r="BA53" i="15" s="1"/>
  <c r="AZ47" i="15"/>
  <c r="AZ53" i="15" s="1"/>
  <c r="AY47" i="15"/>
  <c r="AY53" i="15" s="1"/>
  <c r="AX47" i="15"/>
  <c r="AX53" i="15" s="1"/>
  <c r="AW47" i="15"/>
  <c r="AW53" i="15" s="1"/>
  <c r="AV47" i="15"/>
  <c r="AV53" i="15" s="1"/>
  <c r="AU47" i="15"/>
  <c r="AU53" i="15" s="1"/>
  <c r="AT47" i="15"/>
  <c r="AT53" i="15" s="1"/>
  <c r="AS47" i="15"/>
  <c r="AS53" i="15" s="1"/>
  <c r="AR47" i="15"/>
  <c r="AR53" i="15" s="1"/>
  <c r="AQ47" i="15"/>
  <c r="AQ53" i="15" s="1"/>
  <c r="AP47" i="15"/>
  <c r="AP53" i="15" s="1"/>
  <c r="AO47" i="15"/>
  <c r="AO53" i="15" s="1"/>
  <c r="AN47" i="15"/>
  <c r="AN53" i="15" s="1"/>
  <c r="AM47" i="15"/>
  <c r="AM53" i="15" s="1"/>
  <c r="AL47" i="15"/>
  <c r="AL53" i="15" s="1"/>
  <c r="AK47" i="15"/>
  <c r="AK53" i="15" s="1"/>
  <c r="AJ47" i="15"/>
  <c r="AJ53" i="15" s="1"/>
  <c r="AI47" i="15"/>
  <c r="AI53" i="15" s="1"/>
  <c r="AH47" i="15"/>
  <c r="AH53" i="15" s="1"/>
  <c r="AG47" i="15"/>
  <c r="AG53" i="15" s="1"/>
  <c r="AF47" i="15"/>
  <c r="AF53" i="15" s="1"/>
  <c r="AE47" i="15"/>
  <c r="AE53" i="15" s="1"/>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c r="AR10" i="15" a="1"/>
  <c r="AR10" i="15"/>
  <c r="AQ10" i="15" a="1"/>
  <c r="AQ10" i="15"/>
  <c r="AP10" i="15" a="1"/>
  <c r="AP10" i="15"/>
  <c r="AO10" i="15" a="1"/>
  <c r="AO10" i="15"/>
  <c r="AN10" i="15" a="1"/>
  <c r="AN10" i="15"/>
  <c r="AM10" i="15" a="1"/>
  <c r="AM10" i="15"/>
  <c r="AL10" i="15" a="1"/>
  <c r="AL10" i="15"/>
  <c r="AK10" i="15" a="1"/>
  <c r="AK10" i="15"/>
  <c r="AJ10" i="15" a="1"/>
  <c r="AJ10" i="15"/>
  <c r="AI10" i="15" a="1"/>
  <c r="AI10" i="15"/>
  <c r="AH10" i="15" a="1"/>
  <c r="AH10" i="15"/>
  <c r="AG10" i="15" a="1"/>
  <c r="AG10" i="15"/>
  <c r="AF10" i="15" a="1"/>
  <c r="AF10" i="15"/>
  <c r="AE10" i="15" a="1"/>
  <c r="AE10" i="15"/>
  <c r="BB7" i="15" a="1"/>
  <c r="BB7" i="15"/>
  <c r="BA7" i="15" a="1"/>
  <c r="BA7" i="15"/>
  <c r="AZ7" i="15" a="1"/>
  <c r="AZ7" i="15"/>
  <c r="AY7" i="15" a="1"/>
  <c r="AY7" i="15"/>
  <c r="AX7" i="15" a="1"/>
  <c r="AX7" i="15"/>
  <c r="AW7" i="15" a="1"/>
  <c r="AW7" i="15"/>
  <c r="AV7" i="15" a="1"/>
  <c r="AV7" i="15"/>
  <c r="AU7" i="15" a="1"/>
  <c r="AU7" i="15"/>
  <c r="AT7" i="15" a="1"/>
  <c r="AT7" i="15"/>
  <c r="AS7" i="15" a="1"/>
  <c r="AS7" i="15"/>
  <c r="AR7" i="15" a="1"/>
  <c r="AR7" i="15"/>
  <c r="AQ7" i="15" a="1"/>
  <c r="AQ7" i="15"/>
  <c r="AP7" i="15" a="1"/>
  <c r="AP7" i="15"/>
  <c r="AO7" i="15" a="1"/>
  <c r="AO7" i="15"/>
  <c r="AN7" i="15" a="1"/>
  <c r="AN7" i="15"/>
  <c r="AM7" i="15" a="1"/>
  <c r="AM7" i="15"/>
  <c r="AL7" i="15" a="1"/>
  <c r="AL7" i="15"/>
  <c r="AK7" i="15" a="1"/>
  <c r="AK7" i="15"/>
  <c r="AJ7" i="15" a="1"/>
  <c r="AJ7" i="15" s="1"/>
  <c r="AI7" i="15" a="1"/>
  <c r="AI7" i="15" s="1"/>
  <c r="AH7" i="15" a="1"/>
  <c r="AH7" i="15" s="1"/>
  <c r="AG7" i="15" a="1"/>
  <c r="AG7" i="15" s="1"/>
  <c r="AF7" i="15" a="1"/>
  <c r="AF7" i="15" s="1"/>
  <c r="AE7" i="15" a="1"/>
  <c r="AE7" i="15" s="1"/>
  <c r="BB6" i="15"/>
  <c r="BB9" i="15" s="1" a="1"/>
  <c r="BB9" i="15" s="1"/>
  <c r="BA6" i="15"/>
  <c r="BA9" i="15" s="1" a="1"/>
  <c r="BA9" i="15" s="1"/>
  <c r="AZ6" i="15"/>
  <c r="AZ9" i="15" s="1" a="1"/>
  <c r="AZ9" i="15" s="1"/>
  <c r="AY6" i="15"/>
  <c r="AY9" i="15" s="1" a="1"/>
  <c r="AY9" i="15" s="1"/>
  <c r="AX6" i="15"/>
  <c r="AX9" i="15" s="1" a="1"/>
  <c r="AX9" i="15" s="1"/>
  <c r="AW6" i="15"/>
  <c r="AW9" i="15" s="1" a="1"/>
  <c r="AW9" i="15" s="1"/>
  <c r="AV6" i="15"/>
  <c r="AV9" i="15" s="1" a="1"/>
  <c r="AV9" i="15" s="1"/>
  <c r="AU6" i="15"/>
  <c r="AU9" i="15" s="1" a="1"/>
  <c r="AU9" i="15" s="1"/>
  <c r="AT6" i="15"/>
  <c r="AT9" i="15" s="1" a="1"/>
  <c r="AT9" i="15" s="1"/>
  <c r="AS6" i="15" a="1"/>
  <c r="AS6" i="15"/>
  <c r="AS9" i="15" s="1" a="1"/>
  <c r="AS9" i="15" s="1"/>
  <c r="AR6" i="15"/>
  <c r="AR9" i="15" s="1" a="1"/>
  <c r="AR9" i="15" s="1"/>
  <c r="AQ6" i="15"/>
  <c r="AQ9" i="15" s="1" a="1"/>
  <c r="AQ9" i="15" s="1"/>
  <c r="AP6" i="15"/>
  <c r="AP9" i="15" s="1" a="1"/>
  <c r="AP9" i="15" s="1"/>
  <c r="AO6" i="15"/>
  <c r="AO9" i="15" s="1" a="1"/>
  <c r="AO9" i="15" s="1"/>
  <c r="AN6" i="15"/>
  <c r="AN9" i="15" s="1" a="1"/>
  <c r="AN9" i="15" s="1"/>
  <c r="AM6" i="15"/>
  <c r="AM9" i="15" s="1" a="1"/>
  <c r="AM9" i="15" s="1"/>
  <c r="AL6" i="15"/>
  <c r="AL9" i="15" s="1" a="1"/>
  <c r="AL9" i="15" s="1"/>
  <c r="AK6" i="15"/>
  <c r="AK9" i="15" s="1" a="1"/>
  <c r="AK9" i="15" s="1"/>
  <c r="AJ6" i="15"/>
  <c r="AJ9" i="15" s="1" a="1"/>
  <c r="AJ9" i="15" s="1"/>
  <c r="AI6" i="15" a="1"/>
  <c r="AI6" i="15" s="1"/>
  <c r="AH6" i="15"/>
  <c r="AH9" i="15" s="1" a="1"/>
  <c r="AH9" i="15" s="1"/>
  <c r="AG6" i="15"/>
  <c r="AG9" i="15" s="1" a="1"/>
  <c r="AG9" i="15" s="1"/>
  <c r="AF6" i="15"/>
  <c r="AF9" i="15" s="1" a="1"/>
  <c r="AF9" i="15" s="1"/>
  <c r="AE6" i="15"/>
  <c r="AE9" i="15" s="1" a="1"/>
  <c r="AE9" i="15" s="1"/>
  <c r="T70" i="14"/>
  <c r="BB64" i="14"/>
  <c r="BA64" i="14"/>
  <c r="AZ64" i="14"/>
  <c r="AY64" i="14"/>
  <c r="AX64" i="14"/>
  <c r="AW64" i="14"/>
  <c r="AV64" i="14"/>
  <c r="AU64" i="14"/>
  <c r="AT64" i="14"/>
  <c r="AS64" i="14"/>
  <c r="AR64" i="14"/>
  <c r="AQ64" i="14"/>
  <c r="AP64" i="14"/>
  <c r="AO64" i="14"/>
  <c r="AN64" i="14"/>
  <c r="AM64" i="14"/>
  <c r="AL64" i="14"/>
  <c r="AK64" i="14"/>
  <c r="AJ64" i="14"/>
  <c r="AI64" i="14"/>
  <c r="AH64" i="14"/>
  <c r="AG64" i="14"/>
  <c r="AF64" i="14"/>
  <c r="AE64" i="14"/>
  <c r="BB61" i="14"/>
  <c r="BA61" i="14"/>
  <c r="AZ61" i="14"/>
  <c r="AY61" i="14"/>
  <c r="AX61" i="14"/>
  <c r="AW61" i="14"/>
  <c r="AV61" i="14"/>
  <c r="AU61" i="14"/>
  <c r="AT61" i="14"/>
  <c r="AS61" i="14"/>
  <c r="AR61" i="14"/>
  <c r="AQ61" i="14"/>
  <c r="AP61" i="14"/>
  <c r="AO61" i="14"/>
  <c r="AN61" i="14"/>
  <c r="AM61" i="14"/>
  <c r="AL61" i="14"/>
  <c r="AK61" i="14"/>
  <c r="AJ61" i="14"/>
  <c r="AI61" i="14"/>
  <c r="AH61" i="14"/>
  <c r="AG61" i="14"/>
  <c r="AF61" i="14"/>
  <c r="AE61" i="14"/>
  <c r="BH59" i="14" a="1"/>
  <c r="BH59" i="14" s="1"/>
  <c r="BH60" i="14" s="1" a="1"/>
  <c r="BH60" i="14" s="1"/>
  <c r="BH61" i="14" s="1" a="1"/>
  <c r="BH61" i="14" s="1"/>
  <c r="BH62" i="14" s="1" a="1"/>
  <c r="BH62" i="14" s="1"/>
  <c r="BH63" i="14" s="1" a="1"/>
  <c r="BH63" i="14" s="1"/>
  <c r="BH64" i="14" s="1" a="1"/>
  <c r="BH64" i="14" s="1"/>
  <c r="BH65" i="14" s="1" a="1"/>
  <c r="BH65" i="14" s="1"/>
  <c r="BB59" i="14"/>
  <c r="BA59" i="14"/>
  <c r="AZ59" i="14"/>
  <c r="AY59" i="14"/>
  <c r="AX59" i="14"/>
  <c r="AW59" i="14"/>
  <c r="AV59" i="14"/>
  <c r="AU59" i="14"/>
  <c r="AT59" i="14"/>
  <c r="AS59" i="14"/>
  <c r="AR59" i="14"/>
  <c r="AQ59" i="14"/>
  <c r="AP59" i="14"/>
  <c r="AO59" i="14"/>
  <c r="AN59" i="14"/>
  <c r="AM59" i="14"/>
  <c r="AL59" i="14"/>
  <c r="AK59" i="14"/>
  <c r="AJ59" i="14"/>
  <c r="AI59" i="14"/>
  <c r="AH59" i="14"/>
  <c r="AG59" i="14"/>
  <c r="AF59" i="14"/>
  <c r="AE59" i="14"/>
  <c r="AB59" i="14"/>
  <c r="AB64" i="14" s="1"/>
  <c r="H59" i="14" a="1"/>
  <c r="H59" i="14" s="1"/>
  <c r="H60" i="14" s="1" a="1"/>
  <c r="H60" i="14" s="1"/>
  <c r="H61" i="14" s="1" a="1"/>
  <c r="H61" i="14" s="1"/>
  <c r="H62" i="14" s="1" a="1"/>
  <c r="H62" i="14" s="1"/>
  <c r="H63" i="14" s="1" a="1"/>
  <c r="H63" i="14" s="1"/>
  <c r="H64" i="14" s="1" a="1"/>
  <c r="H64" i="14" s="1"/>
  <c r="H65" i="14" s="1" a="1"/>
  <c r="H65" i="14" s="1"/>
  <c r="BB55" i="14"/>
  <c r="BA55" i="14"/>
  <c r="AZ55" i="14"/>
  <c r="AY55" i="14"/>
  <c r="AX55" i="14"/>
  <c r="AW55" i="14"/>
  <c r="AV55" i="14"/>
  <c r="AU55" i="14"/>
  <c r="AT55" i="14"/>
  <c r="AS55" i="14"/>
  <c r="AR55" i="14"/>
  <c r="AQ55" i="14"/>
  <c r="AP55" i="14"/>
  <c r="AO55" i="14"/>
  <c r="AN55" i="14"/>
  <c r="AM55" i="14"/>
  <c r="AL55" i="14"/>
  <c r="AK55" i="14"/>
  <c r="AJ55" i="14"/>
  <c r="AI55" i="14"/>
  <c r="AH55" i="14"/>
  <c r="AG55" i="14"/>
  <c r="AF55" i="14"/>
  <c r="AE55" i="14"/>
  <c r="AB55" i="14"/>
  <c r="BH54" i="14" a="1"/>
  <c r="BH54" i="14"/>
  <c r="BH55" i="14" s="1" a="1"/>
  <c r="BH55" i="14" s="1"/>
  <c r="BH56" i="14" s="1" a="1"/>
  <c r="BH56" i="14" s="1"/>
  <c r="AB54" i="14"/>
  <c r="AB56" i="14" s="1"/>
  <c r="H54" i="14" a="1"/>
  <c r="H54" i="14"/>
  <c r="H55" i="14" s="1" a="1"/>
  <c r="H55" i="14" s="1"/>
  <c r="H56" i="14" s="1" a="1"/>
  <c r="H56" i="14" s="1"/>
  <c r="BB52" i="14"/>
  <c r="BA52" i="14"/>
  <c r="AZ52" i="14"/>
  <c r="AY52" i="14"/>
  <c r="AX52" i="14"/>
  <c r="AW52" i="14"/>
  <c r="AV52" i="14"/>
  <c r="AU52" i="14"/>
  <c r="AT52" i="14"/>
  <c r="AS52" i="14"/>
  <c r="AR52" i="14"/>
  <c r="AQ52" i="14"/>
  <c r="AP52" i="14"/>
  <c r="AO52" i="14"/>
  <c r="AN52" i="14"/>
  <c r="AM52" i="14"/>
  <c r="AL52" i="14"/>
  <c r="AK52" i="14"/>
  <c r="AJ52" i="14"/>
  <c r="AI52" i="14"/>
  <c r="AH52" i="14"/>
  <c r="AG52" i="14"/>
  <c r="AF52" i="14"/>
  <c r="AE52" i="14"/>
  <c r="BB49" i="14"/>
  <c r="BB51" i="14" s="1"/>
  <c r="BA49" i="14"/>
  <c r="BA51" i="14" s="1"/>
  <c r="AZ49" i="14"/>
  <c r="AZ51" i="14" s="1"/>
  <c r="AY49" i="14"/>
  <c r="AY51" i="14" s="1"/>
  <c r="AX49" i="14"/>
  <c r="AX51" i="14" s="1"/>
  <c r="AW49" i="14"/>
  <c r="AW51" i="14" s="1"/>
  <c r="AV49" i="14"/>
  <c r="AV51" i="14" s="1"/>
  <c r="AU49" i="14"/>
  <c r="AU51" i="14" s="1"/>
  <c r="AT49" i="14"/>
  <c r="AT51" i="14" s="1"/>
  <c r="AS49" i="14"/>
  <c r="AS51" i="14" s="1"/>
  <c r="AR49" i="14"/>
  <c r="AR51" i="14" s="1"/>
  <c r="AQ49" i="14"/>
  <c r="AQ51" i="14" s="1"/>
  <c r="AP49" i="14"/>
  <c r="AP51" i="14" s="1"/>
  <c r="AO49" i="14"/>
  <c r="AO51" i="14" s="1"/>
  <c r="AN49" i="14"/>
  <c r="AN51" i="14" s="1"/>
  <c r="AM49" i="14"/>
  <c r="AM51" i="14" s="1"/>
  <c r="AL49" i="14"/>
  <c r="AL51" i="14" s="1"/>
  <c r="AK49" i="14"/>
  <c r="AK51" i="14" s="1"/>
  <c r="AJ49" i="14"/>
  <c r="AJ51" i="14" s="1"/>
  <c r="AI49" i="14"/>
  <c r="AI51" i="14" s="1"/>
  <c r="AH49" i="14"/>
  <c r="AH51" i="14" s="1"/>
  <c r="AG49" i="14"/>
  <c r="AG51" i="14" s="1"/>
  <c r="AF49" i="14"/>
  <c r="AF51" i="14" s="1"/>
  <c r="AE49" i="14"/>
  <c r="AE51" i="14" s="1"/>
  <c r="BB48" i="14"/>
  <c r="BA48" i="14"/>
  <c r="AZ48" i="14"/>
  <c r="AY48" i="14"/>
  <c r="AX48" i="14"/>
  <c r="AW48" i="14"/>
  <c r="AV48" i="14"/>
  <c r="AU48" i="14"/>
  <c r="AT48" i="14"/>
  <c r="AS48" i="14"/>
  <c r="AR48" i="14"/>
  <c r="AQ48" i="14"/>
  <c r="AP48" i="14"/>
  <c r="AO48" i="14"/>
  <c r="AN48" i="14"/>
  <c r="AM48" i="14"/>
  <c r="AL48" i="14"/>
  <c r="AK48" i="14"/>
  <c r="AJ48" i="14"/>
  <c r="AI48" i="14"/>
  <c r="AH48" i="14"/>
  <c r="AG48" i="14"/>
  <c r="AF48" i="14"/>
  <c r="AE48" i="14"/>
  <c r="L48" i="14" a="1"/>
  <c r="L48" i="14" s="1"/>
  <c r="T47" i="14"/>
  <c r="T48" i="14" s="1" a="1"/>
  <c r="T48" i="14" s="1"/>
  <c r="T49" i="14" s="1" a="1"/>
  <c r="T49" i="14" s="1"/>
  <c r="T50" i="14" s="1" a="1"/>
  <c r="T50" i="14" s="1"/>
  <c r="T51" i="14" s="1" a="1"/>
  <c r="T51" i="14" s="1"/>
  <c r="T52" i="14" s="1" a="1"/>
  <c r="T52" i="14" s="1"/>
  <c r="T53" i="14" s="1" a="1"/>
  <c r="T53" i="14" s="1"/>
  <c r="F47" i="14" a="1"/>
  <c r="F47" i="14"/>
  <c r="F48" i="14" s="1" a="1"/>
  <c r="F48" i="14" s="1"/>
  <c r="BB44" i="14"/>
  <c r="BA44" i="14"/>
  <c r="AZ44" i="14"/>
  <c r="AY44" i="14"/>
  <c r="AX44" i="14"/>
  <c r="AW44" i="14"/>
  <c r="AV44" i="14"/>
  <c r="AU44" i="14"/>
  <c r="AT44" i="14"/>
  <c r="AS44" i="14"/>
  <c r="AR44" i="14"/>
  <c r="AQ44" i="14"/>
  <c r="AP44" i="14"/>
  <c r="AO44" i="14"/>
  <c r="AN44" i="14"/>
  <c r="AM44" i="14"/>
  <c r="AL44" i="14"/>
  <c r="AK44" i="14"/>
  <c r="AJ44" i="14"/>
  <c r="AI44" i="14"/>
  <c r="AH44" i="14"/>
  <c r="AG44" i="14"/>
  <c r="AF44" i="14"/>
  <c r="AE44"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H39" i="14" a="1"/>
  <c r="BH39" i="14" s="1"/>
  <c r="BH40" i="14" s="1" a="1"/>
  <c r="BH40" i="14" s="1"/>
  <c r="BH41" i="14" s="1" a="1"/>
  <c r="BH41" i="14" s="1"/>
  <c r="BH42" i="14" s="1" a="1"/>
  <c r="BH42" i="14" s="1"/>
  <c r="BH43" i="14" s="1" a="1"/>
  <c r="BH43" i="14" s="1"/>
  <c r="BH44" i="14" s="1" a="1"/>
  <c r="BH44" i="14" s="1"/>
  <c r="BH45" i="14" s="1" a="1"/>
  <c r="BH45"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AB44" i="14" s="1"/>
  <c r="H39" i="14" a="1"/>
  <c r="H39" i="14" s="1"/>
  <c r="H40" i="14" s="1" a="1"/>
  <c r="H40" i="14" s="1"/>
  <c r="H41" i="14" s="1" a="1"/>
  <c r="H41" i="14" s="1"/>
  <c r="H42" i="14" s="1" a="1"/>
  <c r="H42" i="14" s="1"/>
  <c r="H43" i="14" s="1" a="1"/>
  <c r="H43" i="14" s="1"/>
  <c r="H44" i="14" s="1" a="1"/>
  <c r="H44" i="14" s="1"/>
  <c r="H45" i="14" s="1" a="1"/>
  <c r="H45" i="14" s="1"/>
  <c r="BB35" i="14"/>
  <c r="BA35" i="14"/>
  <c r="AZ35" i="14"/>
  <c r="AY35" i="14"/>
  <c r="AX35" i="14"/>
  <c r="AW35" i="14"/>
  <c r="AV35" i="14"/>
  <c r="AU35" i="14"/>
  <c r="AT35" i="14"/>
  <c r="AS35" i="14"/>
  <c r="AR35" i="14"/>
  <c r="AQ35" i="14"/>
  <c r="AP35" i="14"/>
  <c r="AO35" i="14"/>
  <c r="AN35" i="14"/>
  <c r="AM35" i="14"/>
  <c r="AL35" i="14"/>
  <c r="AK35" i="14"/>
  <c r="AJ35" i="14"/>
  <c r="AI35" i="14"/>
  <c r="AH35" i="14"/>
  <c r="AG35" i="14"/>
  <c r="AF35" i="14"/>
  <c r="AE35" i="14"/>
  <c r="AB35" i="14"/>
  <c r="BH34" i="14" a="1"/>
  <c r="BH34" i="14"/>
  <c r="BH35" i="14" s="1" a="1"/>
  <c r="BH35" i="14" s="1"/>
  <c r="BH36" i="14" s="1" a="1"/>
  <c r="BH36" i="14" s="1"/>
  <c r="AB34" i="14"/>
  <c r="AB36" i="14" s="1"/>
  <c r="H34" i="14" a="1"/>
  <c r="H34" i="14"/>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9" i="14"/>
  <c r="BB31" i="14" s="1"/>
  <c r="BA29" i="14"/>
  <c r="BA31" i="14" s="1"/>
  <c r="AZ29" i="14"/>
  <c r="AZ31" i="14" s="1"/>
  <c r="AY29" i="14"/>
  <c r="AY31" i="14" s="1"/>
  <c r="AX29" i="14"/>
  <c r="AX31" i="14" s="1"/>
  <c r="AW29" i="14"/>
  <c r="AW31" i="14" s="1"/>
  <c r="AV29" i="14"/>
  <c r="AV31" i="14" s="1"/>
  <c r="AU29" i="14"/>
  <c r="AU31" i="14" s="1"/>
  <c r="AT29" i="14"/>
  <c r="AT31" i="14" s="1"/>
  <c r="AS29" i="14"/>
  <c r="AS31" i="14" s="1"/>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L28" i="14" a="1"/>
  <c r="L28" i="14" s="1"/>
  <c r="T27" i="14"/>
  <c r="T28" i="14" s="1" a="1"/>
  <c r="T28" i="14" s="1"/>
  <c r="T29" i="14" s="1" a="1"/>
  <c r="T29" i="14" s="1"/>
  <c r="T30" i="14" s="1" a="1"/>
  <c r="T30" i="14" s="1"/>
  <c r="T31" i="14" s="1" a="1"/>
  <c r="T31" i="14" s="1"/>
  <c r="T32" i="14" s="1" a="1"/>
  <c r="T32" i="14" s="1"/>
  <c r="T33" i="14" s="1" a="1"/>
  <c r="T33" i="14" s="1"/>
  <c r="F27" i="14" a="1"/>
  <c r="F27" i="14" s="1"/>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s="1"/>
  <c r="AY10" i="14" a="1"/>
  <c r="AY10" i="14" s="1"/>
  <c r="AX10" i="14" a="1"/>
  <c r="AX10" i="14" s="1"/>
  <c r="AW10" i="14" a="1"/>
  <c r="AW10" i="14" s="1"/>
  <c r="AV10" i="14" a="1"/>
  <c r="AV10" i="14" s="1"/>
  <c r="AU10" i="14" a="1"/>
  <c r="AU10" i="14" s="1"/>
  <c r="AT10" i="14" a="1"/>
  <c r="AT10" i="14" s="1"/>
  <c r="AS10" i="14" a="1"/>
  <c r="AS10" i="14" s="1"/>
  <c r="AR10" i="14" a="1"/>
  <c r="AR10" i="14" s="1"/>
  <c r="AQ10" i="14" a="1"/>
  <c r="AQ10" i="14" s="1"/>
  <c r="AP10" i="14" a="1"/>
  <c r="AP10" i="14" s="1"/>
  <c r="AO10" i="14" a="1"/>
  <c r="AO10" i="14" s="1"/>
  <c r="AN10" i="14" a="1"/>
  <c r="AN10" i="14" s="1"/>
  <c r="AM10" i="14" a="1"/>
  <c r="AM10" i="14" s="1"/>
  <c r="AL10" i="14" a="1"/>
  <c r="AL10" i="14" s="1"/>
  <c r="AK10" i="14" a="1"/>
  <c r="AK10" i="14" s="1"/>
  <c r="AJ10" i="14" a="1"/>
  <c r="AJ10" i="14" s="1"/>
  <c r="AI10" i="14" a="1"/>
  <c r="AI10" i="14" s="1"/>
  <c r="AH10" i="14" a="1"/>
  <c r="AH10" i="14" s="1"/>
  <c r="AG10" i="14" a="1"/>
  <c r="AG10" i="14" s="1"/>
  <c r="AF10" i="14" a="1"/>
  <c r="AF10" i="14" s="1"/>
  <c r="AE10" i="14" a="1"/>
  <c r="AE10" i="14" s="1"/>
  <c r="BA9" i="14" a="1"/>
  <c r="BA9" i="14" s="1"/>
  <c r="AY9" i="14" a="1"/>
  <c r="AY9" i="14" s="1"/>
  <c r="AW9" i="14" a="1"/>
  <c r="AW9" i="14" s="1"/>
  <c r="AU9" i="14" a="1"/>
  <c r="AU9" i="14" s="1"/>
  <c r="AR9" i="14" a="1"/>
  <c r="AR9" i="14" s="1"/>
  <c r="AP9" i="14" a="1"/>
  <c r="AP9" i="14" s="1"/>
  <c r="AN9" i="14" a="1"/>
  <c r="AN9" i="14" s="1"/>
  <c r="AL9" i="14" a="1"/>
  <c r="AL9" i="14" s="1"/>
  <c r="AJ9" i="14" a="1"/>
  <c r="AJ9" i="14" s="1"/>
  <c r="AG9" i="14" a="1"/>
  <c r="AG9" i="14" s="1"/>
  <c r="AE9" i="14" a="1"/>
  <c r="AE9" i="14" s="1"/>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R8" i="14" s="1"/>
  <c r="AQ7" i="14" a="1"/>
  <c r="AQ7" i="14" s="1"/>
  <c r="AP7" i="14" a="1"/>
  <c r="AP7" i="14" s="1"/>
  <c r="AP8" i="14" s="1"/>
  <c r="AO7" i="14" a="1"/>
  <c r="AO7" i="14" s="1"/>
  <c r="AN7" i="14" a="1"/>
  <c r="AN7" i="14" s="1"/>
  <c r="AN8" i="14" s="1"/>
  <c r="AM7" i="14" a="1"/>
  <c r="AM7" i="14" s="1"/>
  <c r="AL7" i="14" a="1"/>
  <c r="AL7" i="14" s="1"/>
  <c r="AL8" i="14" s="1"/>
  <c r="AK7" i="14" a="1"/>
  <c r="AK7" i="14" s="1"/>
  <c r="AJ7" i="14" a="1"/>
  <c r="AJ7" i="14" s="1"/>
  <c r="AJ8" i="14" s="1"/>
  <c r="AI7" i="14" a="1"/>
  <c r="AI7" i="14" s="1"/>
  <c r="AH7" i="14" a="1"/>
  <c r="AH7" i="14" s="1"/>
  <c r="AG7" i="14" a="1"/>
  <c r="AG7" i="14" s="1"/>
  <c r="AF7" i="14" a="1"/>
  <c r="AF7" i="14" s="1"/>
  <c r="AE7" i="14" a="1"/>
  <c r="AE7" i="14" s="1"/>
  <c r="BB6" i="14"/>
  <c r="BB9" i="14" s="1" a="1"/>
  <c r="BB9" i="14" s="1"/>
  <c r="BA6" i="14"/>
  <c r="BA8" i="14" s="1"/>
  <c r="AZ6" i="14"/>
  <c r="AZ9" i="14" s="1" a="1"/>
  <c r="AZ9" i="14" s="1"/>
  <c r="AY6" i="14"/>
  <c r="AY8" i="14" s="1"/>
  <c r="AX6" i="14"/>
  <c r="AX9" i="14" s="1" a="1"/>
  <c r="AX9" i="14" s="1"/>
  <c r="AW6" i="14"/>
  <c r="AW8" i="14" s="1"/>
  <c r="AV6" i="14"/>
  <c r="AV9" i="14" s="1" a="1"/>
  <c r="AV9" i="14" s="1"/>
  <c r="AU6" i="14"/>
  <c r="AU8" i="14" s="1"/>
  <c r="AT6" i="14"/>
  <c r="AT9" i="14" s="1" a="1"/>
  <c r="AT9" i="14" s="1"/>
  <c r="AS6" i="14" a="1"/>
  <c r="AS6" i="14"/>
  <c r="AS9" i="14" s="1" a="1"/>
  <c r="AS9" i="14" s="1"/>
  <c r="AR6" i="14"/>
  <c r="AQ6" i="14"/>
  <c r="AQ9" i="14" s="1" a="1"/>
  <c r="AQ9" i="14" s="1"/>
  <c r="AP6" i="14"/>
  <c r="AO6" i="14"/>
  <c r="AO9" i="14" s="1" a="1"/>
  <c r="AO9" i="14" s="1"/>
  <c r="AN6" i="14"/>
  <c r="AM6" i="14"/>
  <c r="AM9" i="14" s="1" a="1"/>
  <c r="AM9" i="14" s="1"/>
  <c r="AL6" i="14"/>
  <c r="AK6" i="14"/>
  <c r="AK9" i="14" s="1" a="1"/>
  <c r="AK9" i="14" s="1"/>
  <c r="AJ6" i="14"/>
  <c r="AI6" i="14" a="1"/>
  <c r="AI6" i="14" s="1"/>
  <c r="AH6" i="14"/>
  <c r="AH9" i="14" s="1" a="1"/>
  <c r="AH9" i="14" s="1"/>
  <c r="AG6" i="14"/>
  <c r="AG8" i="14" s="1"/>
  <c r="AF6" i="14"/>
  <c r="AF9" i="14" s="1" a="1"/>
  <c r="AF9" i="14" s="1"/>
  <c r="AE6" i="14"/>
  <c r="AE8" i="14" s="1"/>
  <c r="T39" i="13"/>
  <c r="H34" i="13"/>
  <c r="BH33" i="13" a="1"/>
  <c r="BH33" i="13" s="1"/>
  <c r="H33" i="13" a="1"/>
  <c r="H33" i="13"/>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L32" i="13" a="1"/>
  <c r="L32" i="13"/>
  <c r="H32" i="13" a="1"/>
  <c r="H32" i="13" s="1"/>
  <c r="T31" i="13"/>
  <c r="T34" i="13" s="1" a="1"/>
  <c r="T34" i="13" s="1"/>
  <c r="F31" i="13" a="1"/>
  <c r="F31" i="13"/>
  <c r="F32" i="13" s="1" a="1"/>
  <c r="F32" i="13" s="1"/>
  <c r="H30" i="13"/>
  <c r="BH29" i="13" a="1"/>
  <c r="BH29" i="13" s="1"/>
  <c r="H29" i="13" a="1"/>
  <c r="H29" i="13"/>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L28" i="13" a="1"/>
  <c r="L28" i="13"/>
  <c r="H28" i="13" a="1"/>
  <c r="H28" i="13" s="1"/>
  <c r="T27" i="13"/>
  <c r="T30" i="13" s="1" a="1"/>
  <c r="T30" i="13" s="1"/>
  <c r="F27" i="13" a="1"/>
  <c r="F27" i="13"/>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c r="BA10" i="13" a="1"/>
  <c r="BA10" i="13"/>
  <c r="AZ10" i="13" a="1"/>
  <c r="AZ10" i="13"/>
  <c r="AY10" i="13" a="1"/>
  <c r="AY10" i="13"/>
  <c r="AX10" i="13" a="1"/>
  <c r="AX10" i="13"/>
  <c r="AW10" i="13" a="1"/>
  <c r="AW10" i="13"/>
  <c r="AV10" i="13" a="1"/>
  <c r="AV10" i="13"/>
  <c r="AU10" i="13" a="1"/>
  <c r="AU10" i="13"/>
  <c r="AT10" i="13" a="1"/>
  <c r="AT10" i="13"/>
  <c r="AS10" i="13" a="1"/>
  <c r="AS10" i="13"/>
  <c r="AR10" i="13" a="1"/>
  <c r="AR10" i="13"/>
  <c r="AQ10" i="13" a="1"/>
  <c r="AQ10" i="13"/>
  <c r="AP10" i="13" a="1"/>
  <c r="AP10" i="13"/>
  <c r="AO10" i="13" a="1"/>
  <c r="AO10" i="13"/>
  <c r="AN10" i="13" a="1"/>
  <c r="AN10" i="13"/>
  <c r="AM10" i="13" a="1"/>
  <c r="AM10" i="13"/>
  <c r="AL10" i="13" a="1"/>
  <c r="AL10" i="13"/>
  <c r="AK10" i="13" a="1"/>
  <c r="AK10" i="13"/>
  <c r="AJ10" i="13" a="1"/>
  <c r="AJ10" i="13"/>
  <c r="AI10" i="13" a="1"/>
  <c r="AI10" i="13"/>
  <c r="AH10" i="13" a="1"/>
  <c r="AH10" i="13"/>
  <c r="AG10" i="13" a="1"/>
  <c r="AG10" i="13"/>
  <c r="AF10" i="13" a="1"/>
  <c r="AF10" i="13"/>
  <c r="AE10" i="13" a="1"/>
  <c r="AE10" i="13"/>
  <c r="BB7" i="13" a="1"/>
  <c r="BB7" i="13"/>
  <c r="BA7" i="13" a="1"/>
  <c r="BA7" i="13"/>
  <c r="AZ7" i="13" a="1"/>
  <c r="AZ7" i="13"/>
  <c r="AY7" i="13" a="1"/>
  <c r="AY7" i="13"/>
  <c r="AX7" i="13" a="1"/>
  <c r="AX7" i="13"/>
  <c r="AW7" i="13" a="1"/>
  <c r="AW7" i="13"/>
  <c r="AV7" i="13" a="1"/>
  <c r="AV7" i="13"/>
  <c r="AU7" i="13" a="1"/>
  <c r="AU7" i="13"/>
  <c r="AT7" i="13" a="1"/>
  <c r="AT7" i="13"/>
  <c r="AS7" i="13" a="1"/>
  <c r="AS7" i="13"/>
  <c r="AR7" i="13" a="1"/>
  <c r="AR7" i="13"/>
  <c r="AQ7" i="13" a="1"/>
  <c r="AQ7" i="13"/>
  <c r="AP7" i="13" a="1"/>
  <c r="AP7" i="13"/>
  <c r="AO7" i="13" a="1"/>
  <c r="AO7" i="13"/>
  <c r="AN7" i="13" a="1"/>
  <c r="AN7" i="13"/>
  <c r="AM7" i="13" a="1"/>
  <c r="AM7" i="13"/>
  <c r="AL7" i="13" a="1"/>
  <c r="AL7" i="13"/>
  <c r="AK7" i="13" a="1"/>
  <c r="AK7" i="13"/>
  <c r="AJ7" i="13" a="1"/>
  <c r="AJ7" i="13"/>
  <c r="AI7" i="13" a="1"/>
  <c r="AI7" i="13"/>
  <c r="AH7" i="13" a="1"/>
  <c r="AH7" i="13"/>
  <c r="AG7" i="13" a="1"/>
  <c r="AG7" i="13"/>
  <c r="AF7" i="13" a="1"/>
  <c r="AF7" i="13"/>
  <c r="AE7" i="13" a="1"/>
  <c r="AE7" i="13"/>
  <c r="BB6" i="13"/>
  <c r="BB9" i="13" s="1" a="1"/>
  <c r="BB9" i="13" s="1"/>
  <c r="BA6" i="13"/>
  <c r="BA9" i="13" s="1" a="1"/>
  <c r="BA9" i="13" s="1"/>
  <c r="AZ6" i="13"/>
  <c r="AZ9" i="13" s="1" a="1"/>
  <c r="AZ9" i="13" s="1"/>
  <c r="AY6" i="13"/>
  <c r="AY9" i="13" s="1" a="1"/>
  <c r="AY9" i="13" s="1"/>
  <c r="AX6" i="13"/>
  <c r="AX9" i="13" s="1" a="1"/>
  <c r="AX9" i="13" s="1"/>
  <c r="AW6" i="13"/>
  <c r="AW9" i="13" s="1" a="1"/>
  <c r="AW9" i="13" s="1"/>
  <c r="AV6" i="13"/>
  <c r="AV9" i="13" s="1" a="1"/>
  <c r="AV9" i="13" s="1"/>
  <c r="AU6" i="13"/>
  <c r="AU9" i="13" s="1" a="1"/>
  <c r="AU9" i="13" s="1"/>
  <c r="AT6" i="13"/>
  <c r="AT9" i="13" s="1" a="1"/>
  <c r="AT9" i="13" s="1"/>
  <c r="AS6" i="13" a="1"/>
  <c r="AS6" i="13" s="1"/>
  <c r="AR6" i="13"/>
  <c r="AR9" i="13" s="1" a="1"/>
  <c r="AR9" i="13" s="1"/>
  <c r="AQ6" i="13"/>
  <c r="AQ9" i="13" s="1" a="1"/>
  <c r="AQ9" i="13" s="1"/>
  <c r="AP6" i="13"/>
  <c r="AP9" i="13" s="1" a="1"/>
  <c r="AP9" i="13" s="1"/>
  <c r="AO6" i="13"/>
  <c r="AO9" i="13" s="1" a="1"/>
  <c r="AO9" i="13" s="1"/>
  <c r="AN6" i="13"/>
  <c r="AN9" i="13" s="1" a="1"/>
  <c r="AN9" i="13" s="1"/>
  <c r="AM6" i="13"/>
  <c r="AM9" i="13" s="1" a="1"/>
  <c r="AM9" i="13" s="1"/>
  <c r="AL6" i="13"/>
  <c r="AL9" i="13" s="1" a="1"/>
  <c r="AL9" i="13" s="1"/>
  <c r="AK6" i="13"/>
  <c r="AK9" i="13" s="1" a="1"/>
  <c r="AK9" i="13" s="1"/>
  <c r="AJ6" i="13"/>
  <c r="AJ9" i="13" s="1" a="1"/>
  <c r="AJ9" i="13" s="1"/>
  <c r="AI6" i="13" a="1"/>
  <c r="AI6" i="13"/>
  <c r="AI9" i="13" s="1" a="1"/>
  <c r="AI9" i="13" s="1"/>
  <c r="AH6" i="13"/>
  <c r="AH9" i="13" s="1" a="1"/>
  <c r="AH9" i="13" s="1"/>
  <c r="AG6" i="13"/>
  <c r="AG9" i="13" s="1" a="1"/>
  <c r="AG9" i="13" s="1"/>
  <c r="AF6" i="13"/>
  <c r="AF9" i="13" s="1" a="1"/>
  <c r="AF9" i="13" s="1"/>
  <c r="AE6" i="13"/>
  <c r="AE9" i="13" s="1" a="1"/>
  <c r="AE9" i="13" s="1"/>
  <c r="T38" i="12"/>
  <c r="H34" i="12"/>
  <c r="AU33" i="12" a="1"/>
  <c r="AU33" i="12"/>
  <c r="AJ33" i="12"/>
  <c r="AL33" i="12" s="1"/>
  <c r="AL32" i="12" s="1"/>
  <c r="H33" i="12" a="1"/>
  <c r="H33" i="12" s="1"/>
  <c r="AM32" i="12"/>
  <c r="AK32" i="12"/>
  <c r="T32" i="12"/>
  <c r="T34" i="12" s="1" a="1"/>
  <c r="T34" i="12" s="1"/>
  <c r="F32" i="12" a="1"/>
  <c r="F32" i="12"/>
  <c r="F33" i="12" s="1" a="1"/>
  <c r="F33" i="12" s="1"/>
  <c r="H31" i="12"/>
  <c r="AU30" i="12" a="1"/>
  <c r="AU30" i="12" s="1"/>
  <c r="AJ30" i="12"/>
  <c r="AL30" i="12" s="1"/>
  <c r="AL29" i="12" s="1"/>
  <c r="H30" i="12" a="1"/>
  <c r="H30" i="12" s="1"/>
  <c r="AM29" i="12"/>
  <c r="AK29" i="12"/>
  <c r="T29" i="12"/>
  <c r="T31" i="12" s="1" a="1"/>
  <c r="T31" i="12" s="1"/>
  <c r="F29" i="12" a="1"/>
  <c r="F29" i="12"/>
  <c r="F30" i="12" s="1" a="1"/>
  <c r="F30" i="12" s="1"/>
  <c r="AK25" i="12"/>
  <c r="AP11" i="12" a="1"/>
  <c r="AP11" i="12" s="1"/>
  <c r="AO11" i="12" a="1"/>
  <c r="AO11" i="12" s="1"/>
  <c r="AM10" i="12" a="1"/>
  <c r="AM10" i="12" s="1"/>
  <c r="AN10" i="12" s="1" a="1"/>
  <c r="AN10" i="12" s="1"/>
  <c r="AK10" i="12" a="1"/>
  <c r="AK10" i="12" s="1"/>
  <c r="AL10" i="12" s="1" a="1"/>
  <c r="AL10" i="12" s="1"/>
  <c r="AN9" i="12" a="1"/>
  <c r="AN9" i="12" s="1"/>
  <c r="AM9" i="12" a="1"/>
  <c r="AM9" i="12" s="1"/>
  <c r="AL9" i="12" a="1"/>
  <c r="AL9" i="12" s="1"/>
  <c r="AK9" i="12" a="1"/>
  <c r="AK9" i="12" s="1"/>
  <c r="AJ9" i="12" a="1"/>
  <c r="AJ9" i="12" s="1"/>
  <c r="AI9" i="12" a="1"/>
  <c r="AI9" i="12" s="1"/>
  <c r="AH9" i="12" a="1"/>
  <c r="AH9" i="12" s="1"/>
  <c r="AG9" i="12" a="1"/>
  <c r="AG9" i="12" s="1"/>
  <c r="AF9" i="12" a="1"/>
  <c r="AF9" i="12" s="1"/>
  <c r="AE9" i="12" a="1"/>
  <c r="AE9" i="12" s="1"/>
  <c r="AD9" i="12" a="1"/>
  <c r="AD9" i="12" s="1"/>
  <c r="AM3" i="12" a="1"/>
  <c r="AM3" i="12" s="1"/>
  <c r="AK3" i="12" a="1"/>
  <c r="AK3" i="12" s="1"/>
  <c r="T212" i="1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A176" i="11"/>
  <c r="AZ176" i="11"/>
  <c r="AY176" i="11"/>
  <c r="AX176" i="11"/>
  <c r="AW176" i="11"/>
  <c r="AV176" i="11"/>
  <c r="AU176" i="11"/>
  <c r="AT176" i="11"/>
  <c r="AS176" i="11"/>
  <c r="AR176" i="11"/>
  <c r="AQ176" i="11"/>
  <c r="AP176" i="11"/>
  <c r="AO176" i="11"/>
  <c r="AN176" i="11"/>
  <c r="AM176" i="11"/>
  <c r="AL176" i="11"/>
  <c r="AK176" i="11"/>
  <c r="AJ176" i="11"/>
  <c r="AI176" i="11"/>
  <c r="AH176" i="11"/>
  <c r="AG176" i="11"/>
  <c r="AF176" i="11"/>
  <c r="AE176" i="11"/>
  <c r="BB175" i="11"/>
  <c r="BB173" i="11" s="1"/>
  <c r="BA175" i="11"/>
  <c r="AZ175" i="11"/>
  <c r="AZ173" i="11" s="1"/>
  <c r="AY175" i="11"/>
  <c r="AX175" i="11"/>
  <c r="AX173" i="11" s="1"/>
  <c r="AW175" i="11"/>
  <c r="AV175" i="11"/>
  <c r="AV173" i="11" s="1"/>
  <c r="AU175" i="11"/>
  <c r="AT175" i="11"/>
  <c r="AT173" i="11" s="1"/>
  <c r="AS175" i="11"/>
  <c r="AR175" i="11"/>
  <c r="AR173" i="11" s="1"/>
  <c r="AQ175" i="11"/>
  <c r="AP175" i="11"/>
  <c r="AP173" i="11" s="1"/>
  <c r="AO175" i="11"/>
  <c r="AN175" i="11"/>
  <c r="AN173" i="11" s="1"/>
  <c r="AM175" i="11"/>
  <c r="AL175" i="11"/>
  <c r="AL173" i="11" s="1"/>
  <c r="AK175" i="11"/>
  <c r="AJ175" i="11"/>
  <c r="AJ173" i="11" s="1"/>
  <c r="AI175" i="11"/>
  <c r="AH175" i="11"/>
  <c r="AH173" i="11" s="1"/>
  <c r="AG175" i="11"/>
  <c r="AF175" i="11"/>
  <c r="AF173" i="11" s="1"/>
  <c r="AE175" i="11"/>
  <c r="G174" i="11"/>
  <c r="BA173" i="11"/>
  <c r="AY173" i="11"/>
  <c r="AW173" i="11"/>
  <c r="AU173" i="11"/>
  <c r="AS173" i="11"/>
  <c r="AQ173" i="11"/>
  <c r="AO173" i="11"/>
  <c r="AM173" i="11"/>
  <c r="AK173" i="11"/>
  <c r="AI173" i="11"/>
  <c r="AG173" i="11"/>
  <c r="AE173" i="1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B157" i="11"/>
  <c r="BB162" i="11" s="1"/>
  <c r="BA157" i="11"/>
  <c r="BA162" i="11" s="1"/>
  <c r="AZ157" i="11"/>
  <c r="AZ162" i="11" s="1"/>
  <c r="AY157" i="11"/>
  <c r="AY162" i="11" s="1"/>
  <c r="AX157" i="11"/>
  <c r="AX162" i="11" s="1"/>
  <c r="AW157" i="11"/>
  <c r="AW162" i="11" s="1"/>
  <c r="AV157" i="11"/>
  <c r="AV162" i="11" s="1"/>
  <c r="AU157" i="11"/>
  <c r="AU162" i="11" s="1"/>
  <c r="AT157" i="11"/>
  <c r="AT162" i="11" s="1"/>
  <c r="AS157" i="11"/>
  <c r="AS162" i="11" s="1"/>
  <c r="AR157" i="11"/>
  <c r="AR162" i="11" s="1"/>
  <c r="AQ157" i="11"/>
  <c r="AQ162" i="11" s="1"/>
  <c r="AP157" i="11"/>
  <c r="AP162" i="11" s="1"/>
  <c r="AO157" i="11"/>
  <c r="AO162" i="11" s="1"/>
  <c r="AN157" i="11"/>
  <c r="AN162" i="11" s="1"/>
  <c r="AM157" i="11"/>
  <c r="AM162" i="11" s="1"/>
  <c r="AL157" i="11"/>
  <c r="AL162" i="11" s="1"/>
  <c r="AK157" i="11"/>
  <c r="AK162" i="11" s="1"/>
  <c r="AJ157" i="11"/>
  <c r="AJ162" i="11" s="1"/>
  <c r="AI157" i="11"/>
  <c r="AI162" i="11" s="1"/>
  <c r="AH157" i="11"/>
  <c r="AH162" i="11" s="1"/>
  <c r="AG157" i="11"/>
  <c r="AG162" i="11" s="1"/>
  <c r="AF157" i="11"/>
  <c r="AF162" i="11" s="1"/>
  <c r="AE157" i="11"/>
  <c r="AE162"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A144" i="11"/>
  <c r="AZ144" i="11"/>
  <c r="AY144" i="11"/>
  <c r="AX144" i="11"/>
  <c r="AW144" i="11"/>
  <c r="AV144" i="11"/>
  <c r="AU144" i="11"/>
  <c r="AT144" i="11"/>
  <c r="AS144" i="11"/>
  <c r="AR144" i="11"/>
  <c r="AQ144" i="11"/>
  <c r="AP144" i="11"/>
  <c r="AO144" i="11"/>
  <c r="AN144" i="11"/>
  <c r="AM144" i="11"/>
  <c r="AL144" i="11"/>
  <c r="AK144" i="11"/>
  <c r="AJ144" i="11"/>
  <c r="AI144" i="11"/>
  <c r="AH144" i="11"/>
  <c r="AG144" i="11"/>
  <c r="AF144" i="11"/>
  <c r="AE144" i="11"/>
  <c r="BB143" i="11"/>
  <c r="BA143" i="11"/>
  <c r="AZ143" i="11"/>
  <c r="AY143" i="11"/>
  <c r="AX143" i="11"/>
  <c r="AW143" i="11"/>
  <c r="AV143" i="11"/>
  <c r="AU143" i="11"/>
  <c r="AT143" i="11"/>
  <c r="AS143" i="11"/>
  <c r="AR143" i="11"/>
  <c r="AQ143" i="11"/>
  <c r="AP143" i="11"/>
  <c r="AO143" i="11"/>
  <c r="AN143" i="11"/>
  <c r="AM143" i="11"/>
  <c r="AL143" i="11"/>
  <c r="AK143" i="11"/>
  <c r="AJ143" i="11"/>
  <c r="AI143" i="11"/>
  <c r="AH143" i="11"/>
  <c r="AG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A136" i="11"/>
  <c r="BA135" i="11" s="1"/>
  <c r="BA129" i="11" s="1"/>
  <c r="AZ136" i="11"/>
  <c r="AY136" i="11"/>
  <c r="AY135" i="11" s="1"/>
  <c r="AY129" i="11" s="1"/>
  <c r="AX136" i="11"/>
  <c r="AW136" i="11"/>
  <c r="AW135" i="11" s="1"/>
  <c r="AW129" i="11" s="1"/>
  <c r="AV136" i="11"/>
  <c r="AU136" i="11"/>
  <c r="AU135" i="11" s="1"/>
  <c r="AU129" i="11" s="1"/>
  <c r="AT136" i="11"/>
  <c r="AS136" i="11"/>
  <c r="AS135" i="11" s="1"/>
  <c r="AS129" i="11" s="1"/>
  <c r="AR136" i="11"/>
  <c r="AQ136" i="11"/>
  <c r="AQ135" i="11" s="1"/>
  <c r="AQ129" i="11" s="1"/>
  <c r="AP136" i="11"/>
  <c r="AO136" i="11"/>
  <c r="AO135" i="11" s="1"/>
  <c r="AO129" i="11" s="1"/>
  <c r="AN136" i="11"/>
  <c r="AM136" i="11"/>
  <c r="AM135" i="11" s="1"/>
  <c r="AM129" i="11" s="1"/>
  <c r="AL136" i="11"/>
  <c r="AK136" i="11"/>
  <c r="AK135" i="11" s="1"/>
  <c r="AK129" i="11" s="1"/>
  <c r="AJ136" i="11"/>
  <c r="AI136" i="11"/>
  <c r="AI135" i="11" s="1"/>
  <c r="AI129" i="11" s="1"/>
  <c r="AH136" i="11"/>
  <c r="AG136" i="11"/>
  <c r="AG135" i="11" s="1"/>
  <c r="AG129" i="11" s="1"/>
  <c r="AF136" i="11"/>
  <c r="AE136" i="11"/>
  <c r="AE135" i="11" s="1"/>
  <c r="AE129" i="11" s="1"/>
  <c r="G136" i="11"/>
  <c r="BB135" i="11"/>
  <c r="AZ135" i="11"/>
  <c r="AX135" i="11"/>
  <c r="AV135" i="11"/>
  <c r="AT135" i="11"/>
  <c r="AR135" i="11"/>
  <c r="AP135" i="11"/>
  <c r="AN135" i="11"/>
  <c r="AL135" i="11"/>
  <c r="AJ135" i="11"/>
  <c r="AH135" i="11"/>
  <c r="AF135" i="11"/>
  <c r="BB129" i="11"/>
  <c r="BB134" i="11" s="1"/>
  <c r="AZ129" i="11"/>
  <c r="AZ134" i="11" s="1"/>
  <c r="AX129" i="11"/>
  <c r="AX134" i="11" s="1"/>
  <c r="AV129" i="11"/>
  <c r="AV134" i="11" s="1"/>
  <c r="AT129" i="11"/>
  <c r="AT134" i="11" s="1"/>
  <c r="AR129" i="11"/>
  <c r="AR134" i="11" s="1"/>
  <c r="AP129" i="11"/>
  <c r="AP134" i="11" s="1"/>
  <c r="AN129" i="11"/>
  <c r="AN134" i="11" s="1"/>
  <c r="AL129" i="11"/>
  <c r="AL134" i="11" s="1"/>
  <c r="AJ129" i="11"/>
  <c r="AJ134" i="11" s="1"/>
  <c r="AH129" i="11"/>
  <c r="AH134" i="11" s="1"/>
  <c r="AF129" i="11"/>
  <c r="AF134" i="11" s="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BB120" i="11"/>
  <c r="AZ120" i="11"/>
  <c r="AX120" i="11"/>
  <c r="AV120" i="11"/>
  <c r="AT120" i="11"/>
  <c r="AR120" i="11"/>
  <c r="AP120" i="11"/>
  <c r="AN120" i="11"/>
  <c r="AL120" i="11"/>
  <c r="AJ120" i="11"/>
  <c r="AH120" i="11"/>
  <c r="AF120" i="11"/>
  <c r="T118" i="11"/>
  <c r="F118" i="11" a="1"/>
  <c r="F118" i="1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A84" i="11"/>
  <c r="BA82" i="11" s="1"/>
  <c r="AZ84" i="11"/>
  <c r="AY84" i="11"/>
  <c r="AY82" i="11" s="1"/>
  <c r="AX84" i="11"/>
  <c r="AW84" i="11"/>
  <c r="AW82" i="11" s="1"/>
  <c r="AV84" i="11"/>
  <c r="AU84" i="11"/>
  <c r="AU82" i="11" s="1"/>
  <c r="AT84" i="11"/>
  <c r="AS84" i="11"/>
  <c r="AS82" i="11" s="1"/>
  <c r="AR84" i="11"/>
  <c r="AQ84" i="11"/>
  <c r="AQ82" i="11" s="1"/>
  <c r="AP84" i="11"/>
  <c r="AO84" i="11"/>
  <c r="AO82" i="11" s="1"/>
  <c r="AN84" i="11"/>
  <c r="AM84" i="11"/>
  <c r="AM82" i="11" s="1"/>
  <c r="AL84" i="11"/>
  <c r="AK84" i="11"/>
  <c r="AK82" i="11" s="1"/>
  <c r="AJ84" i="11"/>
  <c r="AI84" i="11"/>
  <c r="AI82" i="11" s="1"/>
  <c r="AH84" i="11"/>
  <c r="AG84" i="11"/>
  <c r="AG82" i="11" s="1"/>
  <c r="AF84" i="11"/>
  <c r="AE84" i="11"/>
  <c r="AE82" i="11" s="1"/>
  <c r="G83" i="11"/>
  <c r="BB82" i="11"/>
  <c r="AZ82" i="11"/>
  <c r="AX82" i="11"/>
  <c r="AV82" i="11"/>
  <c r="AT82" i="11"/>
  <c r="AR82" i="11"/>
  <c r="AP82" i="11"/>
  <c r="AN82" i="11"/>
  <c r="AL82" i="11"/>
  <c r="AJ82" i="11"/>
  <c r="AH82" i="11"/>
  <c r="AF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Y66" i="11"/>
  <c r="AY71" i="11" s="1"/>
  <c r="AX66" i="11"/>
  <c r="AX71" i="11" s="1"/>
  <c r="AW66" i="11"/>
  <c r="AW71" i="11" s="1"/>
  <c r="AV66" i="11"/>
  <c r="AV71" i="11" s="1"/>
  <c r="AU66" i="11"/>
  <c r="AU71" i="11" s="1"/>
  <c r="AT66" i="11"/>
  <c r="AT71" i="11" s="1"/>
  <c r="AS66" i="11"/>
  <c r="AS71" i="11" s="1"/>
  <c r="AR66" i="11"/>
  <c r="AR71" i="11" s="1"/>
  <c r="AQ66" i="11"/>
  <c r="AQ71" i="11" s="1"/>
  <c r="AP66" i="11"/>
  <c r="AP71" i="11" s="1"/>
  <c r="AO66" i="11"/>
  <c r="AO71" i="11" s="1"/>
  <c r="AN66" i="11"/>
  <c r="AN71" i="11" s="1"/>
  <c r="AM66" i="11"/>
  <c r="AM71" i="11" s="1"/>
  <c r="AL66" i="11"/>
  <c r="AL71" i="11" s="1"/>
  <c r="AK66" i="11"/>
  <c r="AK71" i="11" s="1"/>
  <c r="AJ66" i="11"/>
  <c r="AJ71" i="11" s="1"/>
  <c r="AI66" i="11"/>
  <c r="AI71" i="11" s="1"/>
  <c r="AH66" i="11"/>
  <c r="AH71" i="11" s="1"/>
  <c r="AG66" i="11"/>
  <c r="AG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B44" i="11" s="1"/>
  <c r="BB38" i="11" s="1"/>
  <c r="BA45" i="11"/>
  <c r="AZ45" i="11"/>
  <c r="AZ44" i="11" s="1"/>
  <c r="AZ38" i="11" s="1"/>
  <c r="AY45" i="11"/>
  <c r="AX45" i="11"/>
  <c r="AX44" i="11" s="1"/>
  <c r="AX38" i="11" s="1"/>
  <c r="AW45" i="11"/>
  <c r="AV45" i="11"/>
  <c r="AV44" i="11" s="1"/>
  <c r="AV38" i="11" s="1"/>
  <c r="AU45" i="11"/>
  <c r="AT45" i="11"/>
  <c r="AT44" i="11" s="1"/>
  <c r="AT38" i="11" s="1"/>
  <c r="AS45" i="11"/>
  <c r="AR45" i="11"/>
  <c r="AR44" i="11" s="1"/>
  <c r="AR38" i="11" s="1"/>
  <c r="AQ45" i="11"/>
  <c r="AP45" i="11"/>
  <c r="AP44" i="11" s="1"/>
  <c r="AP38" i="11" s="1"/>
  <c r="AO45" i="11"/>
  <c r="AN45" i="11"/>
  <c r="AN44" i="11" s="1"/>
  <c r="AN38" i="11" s="1"/>
  <c r="AM45" i="11"/>
  <c r="AL45" i="11"/>
  <c r="AL44" i="11" s="1"/>
  <c r="AL38" i="11" s="1"/>
  <c r="AK45" i="11"/>
  <c r="AJ45" i="11"/>
  <c r="AJ44" i="11" s="1"/>
  <c r="AJ38" i="11" s="1"/>
  <c r="AI45" i="11"/>
  <c r="AH45" i="11"/>
  <c r="AH44" i="11" s="1"/>
  <c r="AH38" i="11" s="1"/>
  <c r="AG45" i="11"/>
  <c r="AF45" i="11"/>
  <c r="AF44" i="11" s="1"/>
  <c r="AF38" i="11" s="1"/>
  <c r="AE45" i="11"/>
  <c r="G45" i="11"/>
  <c r="BA44" i="11"/>
  <c r="AY44" i="11"/>
  <c r="AW44" i="11"/>
  <c r="AU44" i="11"/>
  <c r="AS44" i="11"/>
  <c r="AQ44" i="11"/>
  <c r="AO44" i="11"/>
  <c r="AM44" i="11"/>
  <c r="AK44" i="11"/>
  <c r="AI44" i="11"/>
  <c r="AG44" i="11"/>
  <c r="AE44" i="11"/>
  <c r="BA38" i="11"/>
  <c r="BA43" i="11" s="1"/>
  <c r="AY38" i="11"/>
  <c r="AY43" i="11" s="1"/>
  <c r="AW38" i="11"/>
  <c r="AW43" i="11" s="1"/>
  <c r="AU38" i="11"/>
  <c r="AU43" i="11" s="1"/>
  <c r="AS38" i="11"/>
  <c r="AS43" i="11" s="1"/>
  <c r="AQ38" i="11"/>
  <c r="AQ43" i="11" s="1"/>
  <c r="AO38" i="11"/>
  <c r="AO43" i="11" s="1"/>
  <c r="AM38" i="11"/>
  <c r="AM43" i="11" s="1"/>
  <c r="AK38" i="11"/>
  <c r="AK43" i="11" s="1"/>
  <c r="AI38" i="11"/>
  <c r="AI43" i="11" s="1"/>
  <c r="AG38" i="11"/>
  <c r="AG43" i="11" s="1"/>
  <c r="AE38" i="11"/>
  <c r="AE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A29" i="11"/>
  <c r="AY29" i="11"/>
  <c r="AW29" i="11"/>
  <c r="AU29" i="11"/>
  <c r="AS29" i="11"/>
  <c r="AQ29" i="11"/>
  <c r="AO29" i="11"/>
  <c r="AM29" i="11"/>
  <c r="AK29" i="11"/>
  <c r="AI29" i="11"/>
  <c r="AG29" i="11"/>
  <c r="AE29" i="11"/>
  <c r="T27" i="11"/>
  <c r="F27" i="11" a="1"/>
  <c r="F27" i="11" s="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A9" i="11" a="1"/>
  <c r="BA9" i="11" s="1"/>
  <c r="AY9" i="11" a="1"/>
  <c r="AY9" i="11" s="1"/>
  <c r="AW9" i="11" a="1"/>
  <c r="AW9" i="11" s="1"/>
  <c r="AU9" i="11" a="1"/>
  <c r="AU9" i="11" s="1"/>
  <c r="AR9" i="11" a="1"/>
  <c r="AR9" i="11" s="1"/>
  <c r="AP9" i="11" a="1"/>
  <c r="AP9" i="11" s="1"/>
  <c r="AN9" i="11" a="1"/>
  <c r="AN9" i="11" s="1"/>
  <c r="AL9" i="11" a="1"/>
  <c r="AL9" i="11" s="1"/>
  <c r="AJ9" i="11" a="1"/>
  <c r="AJ9" i="11" s="1"/>
  <c r="AG9" i="11" a="1"/>
  <c r="AG9" i="11" s="1"/>
  <c r="AE9" i="11" a="1"/>
  <c r="AE9" i="11" s="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P8" i="11" s="1"/>
  <c r="AO7" i="11" a="1"/>
  <c r="AO7" i="11" s="1"/>
  <c r="AN7" i="11" a="1"/>
  <c r="AN7" i="11" s="1"/>
  <c r="AN8" i="11" s="1"/>
  <c r="AM7" i="11" a="1"/>
  <c r="AM7" i="11" s="1"/>
  <c r="AL7" i="11" a="1"/>
  <c r="AL7" i="11" s="1"/>
  <c r="AL8" i="11" s="1"/>
  <c r="AK7" i="11" a="1"/>
  <c r="AK7" i="11" s="1"/>
  <c r="AJ7" i="11" a="1"/>
  <c r="AJ7" i="11" s="1"/>
  <c r="AJ8" i="11" s="1"/>
  <c r="AI7" i="11" a="1"/>
  <c r="AI7" i="11" s="1"/>
  <c r="AH7" i="11" a="1"/>
  <c r="AH7" i="11" s="1"/>
  <c r="AG7" i="11" a="1"/>
  <c r="AG7" i="11" s="1"/>
  <c r="AF7" i="11" a="1"/>
  <c r="AF7" i="11" s="1"/>
  <c r="AE7" i="11" a="1"/>
  <c r="AE7" i="11" s="1"/>
  <c r="BB6" i="11"/>
  <c r="BB9" i="11" s="1" a="1"/>
  <c r="BB9" i="11" s="1"/>
  <c r="BA6" i="11"/>
  <c r="BA8" i="11" s="1"/>
  <c r="AZ6" i="11"/>
  <c r="AZ9" i="11" s="1" a="1"/>
  <c r="AZ9" i="11" s="1"/>
  <c r="AY6" i="11"/>
  <c r="AY8" i="11" s="1"/>
  <c r="AX6" i="11"/>
  <c r="AX9" i="11" s="1" a="1"/>
  <c r="AX9" i="11" s="1"/>
  <c r="AW6" i="11"/>
  <c r="AW8" i="11" s="1"/>
  <c r="AV6" i="11"/>
  <c r="AV9" i="11" s="1" a="1"/>
  <c r="AV9" i="11" s="1"/>
  <c r="AU6" i="11"/>
  <c r="AU8" i="11" s="1"/>
  <c r="AT6" i="11"/>
  <c r="AT9" i="11" s="1" a="1"/>
  <c r="AT9" i="11" s="1"/>
  <c r="AS6" i="11" a="1"/>
  <c r="AS6" i="11"/>
  <c r="AS9" i="11" s="1" a="1"/>
  <c r="AS9" i="11" s="1"/>
  <c r="AR6" i="11"/>
  <c r="AQ6" i="11"/>
  <c r="AQ9" i="11" s="1" a="1"/>
  <c r="AQ9" i="11" s="1"/>
  <c r="AP6" i="11"/>
  <c r="AO6" i="11"/>
  <c r="AO9" i="11" s="1" a="1"/>
  <c r="AO9" i="11" s="1"/>
  <c r="AN6" i="11"/>
  <c r="AM6" i="11"/>
  <c r="AM9" i="11" s="1" a="1"/>
  <c r="AM9" i="11" s="1"/>
  <c r="AL6" i="11"/>
  <c r="AK6" i="11"/>
  <c r="AK9" i="11" s="1" a="1"/>
  <c r="AK9" i="11" s="1"/>
  <c r="AJ6" i="11"/>
  <c r="AI6" i="11" a="1"/>
  <c r="AI6" i="11" s="1"/>
  <c r="AH6" i="11"/>
  <c r="AH9" i="11" s="1" a="1"/>
  <c r="AH9" i="11" s="1"/>
  <c r="AG6" i="11"/>
  <c r="AF6" i="11"/>
  <c r="AF9" i="11" s="1" a="1"/>
  <c r="AF9" i="11" s="1"/>
  <c r="AE6" i="11"/>
  <c r="V32" i="10"/>
  <c r="V33" i="10" s="1" a="1"/>
  <c r="V33" i="10" s="1"/>
  <c r="V34" i="10" s="1" a="1"/>
  <c r="V34" i="10" s="1"/>
  <c r="V35" i="10" s="1" a="1"/>
  <c r="V35" i="10" s="1"/>
  <c r="V36" i="10" s="1" a="1"/>
  <c r="V36" i="10" s="1"/>
  <c r="F32" i="10" a="1"/>
  <c r="F32" i="10"/>
  <c r="F33" i="10" s="1" a="1"/>
  <c r="F33" i="10" s="1"/>
  <c r="F34" i="10" s="1" a="1"/>
  <c r="F34" i="10" s="1"/>
  <c r="F35" i="10" s="1" a="1"/>
  <c r="F35" i="10" s="1"/>
  <c r="F36" i="10" s="1" a="1"/>
  <c r="F36" i="10" s="1"/>
  <c r="F37" i="10" s="1" a="1"/>
  <c r="F37" i="10" s="1"/>
  <c r="V27" i="10"/>
  <c r="V28" i="10" s="1" a="1"/>
  <c r="V28" i="10" s="1"/>
  <c r="V29" i="10" s="1" a="1"/>
  <c r="V29" i="10" s="1"/>
  <c r="V30" i="10" s="1" a="1"/>
  <c r="V30" i="10" s="1"/>
  <c r="V31" i="10" s="1" a="1"/>
  <c r="V31" i="10" s="1"/>
  <c r="F27" i="10" a="1"/>
  <c r="F27" i="10" s="1"/>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c r="AZ10" i="10" a="1"/>
  <c r="AZ10" i="10"/>
  <c r="AY10" i="10" a="1"/>
  <c r="AY10" i="10"/>
  <c r="AX10" i="10" a="1"/>
  <c r="AX10" i="10"/>
  <c r="AW10" i="10" a="1"/>
  <c r="AW10" i="10"/>
  <c r="AV10" i="10" a="1"/>
  <c r="AV10" i="10"/>
  <c r="AU10" i="10" a="1"/>
  <c r="AU10" i="10"/>
  <c r="AT10" i="10" a="1"/>
  <c r="AT10" i="10"/>
  <c r="AS10" i="10" a="1"/>
  <c r="AS10" i="10"/>
  <c r="AR10" i="10" a="1"/>
  <c r="AR10" i="10"/>
  <c r="AQ10" i="10" a="1"/>
  <c r="AQ10" i="10"/>
  <c r="AP10" i="10" a="1"/>
  <c r="AP10" i="10"/>
  <c r="AO10" i="10" a="1"/>
  <c r="AO10" i="10"/>
  <c r="AN10" i="10" a="1"/>
  <c r="AN10" i="10"/>
  <c r="AM10" i="10" a="1"/>
  <c r="AM10" i="10"/>
  <c r="AL10" i="10" a="1"/>
  <c r="AL10" i="10"/>
  <c r="AK10" i="10" a="1"/>
  <c r="AK10" i="10"/>
  <c r="AJ10" i="10" a="1"/>
  <c r="AJ10" i="10"/>
  <c r="AI10" i="10" a="1"/>
  <c r="AI10" i="10"/>
  <c r="AH10" i="10" a="1"/>
  <c r="AH10" i="10"/>
  <c r="AG10" i="10" a="1"/>
  <c r="AG10" i="10"/>
  <c r="AF10" i="10" a="1"/>
  <c r="AF10" i="10"/>
  <c r="AE10" i="10" a="1"/>
  <c r="AE10" i="10"/>
  <c r="BA7" i="10" a="1"/>
  <c r="BA7" i="10" s="1"/>
  <c r="AZ7" i="10" a="1"/>
  <c r="AZ7" i="10" s="1"/>
  <c r="AZ8" i="10" s="1"/>
  <c r="AY7" i="10" a="1"/>
  <c r="AY7" i="10" s="1"/>
  <c r="AX7" i="10" a="1"/>
  <c r="AX7" i="10" s="1"/>
  <c r="AX8" i="10" s="1"/>
  <c r="AW7" i="10" a="1"/>
  <c r="AW7" i="10" s="1"/>
  <c r="AV7" i="10" a="1"/>
  <c r="AV7" i="10" s="1"/>
  <c r="AV8" i="10" s="1"/>
  <c r="AU7" i="10" a="1"/>
  <c r="AU7" i="10" s="1"/>
  <c r="AT7" i="10" a="1"/>
  <c r="AT7" i="10" s="1"/>
  <c r="AT8" i="10" s="1"/>
  <c r="AS7" i="10" a="1"/>
  <c r="AS7" i="10" s="1"/>
  <c r="AR7" i="10" a="1"/>
  <c r="AR7" i="10" s="1"/>
  <c r="AQ7" i="10" a="1"/>
  <c r="AQ7" i="10" s="1"/>
  <c r="AP7" i="10" a="1"/>
  <c r="AP7" i="10" s="1"/>
  <c r="AO7" i="10" a="1"/>
  <c r="AO7" i="10" s="1"/>
  <c r="AN7" i="10" a="1"/>
  <c r="AN7" i="10" s="1"/>
  <c r="AM7" i="10" a="1"/>
  <c r="AM7" i="10" s="1"/>
  <c r="AL7" i="10" a="1"/>
  <c r="AL7" i="10" s="1"/>
  <c r="AK7" i="10" a="1"/>
  <c r="AK7" i="10" s="1"/>
  <c r="AJ7" i="10" a="1"/>
  <c r="AJ7" i="10" s="1"/>
  <c r="AI7" i="10" a="1"/>
  <c r="AI7" i="10" s="1"/>
  <c r="AH7" i="10" a="1"/>
  <c r="AH7" i="10" s="1"/>
  <c r="AG7" i="10" a="1"/>
  <c r="AG7" i="10" s="1"/>
  <c r="AF7" i="10" a="1"/>
  <c r="AF7" i="10" s="1"/>
  <c r="AF8" i="10" s="1"/>
  <c r="AE7" i="10" a="1"/>
  <c r="AE7" i="10" s="1"/>
  <c r="BA6" i="10"/>
  <c r="BA9" i="10" s="1" a="1"/>
  <c r="BA9" i="10" s="1"/>
  <c r="AZ6" i="10"/>
  <c r="AZ9" i="10" s="1" a="1"/>
  <c r="AZ9" i="10" s="1"/>
  <c r="AY6" i="10"/>
  <c r="AY9" i="10" s="1" a="1"/>
  <c r="AY9" i="10" s="1"/>
  <c r="AX6" i="10"/>
  <c r="AX9" i="10" s="1" a="1"/>
  <c r="AX9" i="10" s="1"/>
  <c r="AW6" i="10"/>
  <c r="AW9" i="10" s="1" a="1"/>
  <c r="AW9" i="10" s="1"/>
  <c r="AV6" i="10"/>
  <c r="AV9" i="10" s="1" a="1"/>
  <c r="AV9" i="10" s="1"/>
  <c r="AU6" i="10"/>
  <c r="AU9" i="10" s="1" a="1"/>
  <c r="AU9" i="10" s="1"/>
  <c r="AT6" i="10"/>
  <c r="AT9" i="10" s="1" a="1"/>
  <c r="AT9" i="10" s="1"/>
  <c r="AS6" i="10"/>
  <c r="AS9" i="10" s="1" a="1"/>
  <c r="AS9" i="10" s="1"/>
  <c r="AR6" i="10" a="1"/>
  <c r="AR6" i="10"/>
  <c r="AR8" i="10" s="1"/>
  <c r="AQ6" i="10"/>
  <c r="AQ9" i="10" s="1" a="1"/>
  <c r="AQ9" i="10" s="1"/>
  <c r="AP6" i="10"/>
  <c r="AP8" i="10" s="1"/>
  <c r="AO6" i="10"/>
  <c r="AO9" i="10" s="1" a="1"/>
  <c r="AO9" i="10" s="1"/>
  <c r="AN6" i="10"/>
  <c r="AN8" i="10" s="1"/>
  <c r="AM6" i="10"/>
  <c r="AM9" i="10" s="1" a="1"/>
  <c r="AM9" i="10" s="1"/>
  <c r="AL6" i="10"/>
  <c r="AL8" i="10" s="1"/>
  <c r="AK6" i="10"/>
  <c r="AK9" i="10" s="1" a="1"/>
  <c r="AK9" i="10" s="1"/>
  <c r="AJ6" i="10"/>
  <c r="AJ8" i="10" s="1"/>
  <c r="AI6" i="10"/>
  <c r="AI9" i="10" s="1" a="1"/>
  <c r="AI9" i="10" s="1"/>
  <c r="AH6" i="10" a="1"/>
  <c r="AH6" i="10" s="1"/>
  <c r="AG6" i="10"/>
  <c r="AG9" i="10" s="1" a="1"/>
  <c r="AG9" i="10" s="1"/>
  <c r="AF6" i="10"/>
  <c r="AF9" i="10" s="1" a="1"/>
  <c r="AF9" i="10" s="1"/>
  <c r="AE6" i="10"/>
  <c r="AE9" i="10" s="1" a="1"/>
  <c r="AE9" i="10" s="1"/>
  <c r="AM81" i="9"/>
  <c r="AL81" i="9"/>
  <c r="AM80" i="9"/>
  <c r="AL80" i="9"/>
  <c r="AM79" i="9"/>
  <c r="AL79" i="9"/>
  <c r="AM78" i="9"/>
  <c r="AL78" i="9"/>
  <c r="BK76" i="9" a="1"/>
  <c r="BK76" i="9" s="1"/>
  <c r="AM76" i="9"/>
  <c r="AL76" i="9"/>
  <c r="I76" i="9" a="1"/>
  <c r="I76" i="9"/>
  <c r="AM75" i="9"/>
  <c r="AL75" i="9"/>
  <c r="BK73" i="9" a="1"/>
  <c r="BK73" i="9" s="1"/>
  <c r="AM73" i="9"/>
  <c r="AL73" i="9"/>
  <c r="I73" i="9" a="1"/>
  <c r="I73" i="9"/>
  <c r="AM72" i="9"/>
  <c r="AL72" i="9"/>
  <c r="BK70" i="9" a="1"/>
  <c r="BK70" i="9" s="1"/>
  <c r="AM70" i="9"/>
  <c r="AL70" i="9"/>
  <c r="I70" i="9" a="1"/>
  <c r="I70" i="9"/>
  <c r="AM69" i="9"/>
  <c r="AL69" i="9"/>
  <c r="BK67" i="9" a="1"/>
  <c r="BK67" i="9" s="1"/>
  <c r="AM67" i="9"/>
  <c r="AL67" i="9"/>
  <c r="I67" i="9" a="1"/>
  <c r="I67" i="9"/>
  <c r="AM66" i="9"/>
  <c r="AL66" i="9"/>
  <c r="AM64" i="9"/>
  <c r="AL64" i="9"/>
  <c r="AM63" i="9"/>
  <c r="AL63" i="9"/>
  <c r="AM61" i="9"/>
  <c r="AL61" i="9"/>
  <c r="AM60" i="9"/>
  <c r="AL60" i="9"/>
  <c r="B60" i="9"/>
  <c r="AM59" i="9"/>
  <c r="AL59" i="9"/>
  <c r="AM58" i="9"/>
  <c r="AL58" i="9"/>
  <c r="AM57" i="9"/>
  <c r="AL57" i="9"/>
  <c r="B57" i="9"/>
  <c r="AB58" i="9" s="1"/>
  <c r="AB59" i="9" s="1"/>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s="1"/>
  <c r="AM49" i="9"/>
  <c r="AL49" i="9"/>
  <c r="I49" i="9" a="1"/>
  <c r="I49" i="9"/>
  <c r="AM48" i="9"/>
  <c r="AL48" i="9"/>
  <c r="BK46" i="9" a="1"/>
  <c r="BK46" i="9" s="1"/>
  <c r="AM46" i="9"/>
  <c r="AL46" i="9"/>
  <c r="I46" i="9" a="1"/>
  <c r="I46" i="9"/>
  <c r="AM45" i="9"/>
  <c r="AL45" i="9"/>
  <c r="BK43" i="9" a="1"/>
  <c r="BK43" i="9" s="1"/>
  <c r="AM43" i="9"/>
  <c r="AL43" i="9"/>
  <c r="I43" i="9" a="1"/>
  <c r="I43" i="9"/>
  <c r="AM42" i="9"/>
  <c r="AL42" i="9"/>
  <c r="BK40" i="9" a="1"/>
  <c r="BK40" i="9" s="1"/>
  <c r="AM40" i="9"/>
  <c r="AL40" i="9"/>
  <c r="I40" i="9" a="1"/>
  <c r="I40" i="9"/>
  <c r="AM39" i="9"/>
  <c r="AL39" i="9"/>
  <c r="AM37" i="9"/>
  <c r="AL37" i="9"/>
  <c r="AM36" i="9"/>
  <c r="AL36" i="9"/>
  <c r="AM34" i="9"/>
  <c r="AL34" i="9"/>
  <c r="AM33" i="9"/>
  <c r="AL33" i="9"/>
  <c r="B33" i="9"/>
  <c r="AM32" i="9"/>
  <c r="AL32" i="9"/>
  <c r="AM31" i="9"/>
  <c r="AL31" i="9"/>
  <c r="AM30" i="9"/>
  <c r="AL30" i="9"/>
  <c r="B30" i="9"/>
  <c r="AB31" i="9" s="1"/>
  <c r="AB32" i="9" s="1"/>
  <c r="BF29" i="9"/>
  <c r="BE29" i="9"/>
  <c r="BD29" i="9"/>
  <c r="BC29" i="9"/>
  <c r="BB29" i="9"/>
  <c r="BA29" i="9"/>
  <c r="AZ29" i="9"/>
  <c r="AY29" i="9"/>
  <c r="AX29" i="9"/>
  <c r="AW29" i="9"/>
  <c r="AV29" i="9"/>
  <c r="AU29" i="9"/>
  <c r="AT29" i="9"/>
  <c r="AS29" i="9"/>
  <c r="AR29" i="9"/>
  <c r="AQ29" i="9"/>
  <c r="AP29" i="9"/>
  <c r="AO29" i="9"/>
  <c r="AK29" i="9"/>
  <c r="AJ29" i="9"/>
  <c r="AI29" i="9"/>
  <c r="U28" i="9"/>
  <c r="U29" i="9" s="1" a="1"/>
  <c r="U29" i="9" s="1"/>
  <c r="U30" i="9" s="1" a="1"/>
  <c r="U30" i="9" s="1"/>
  <c r="U31" i="9" s="1" a="1"/>
  <c r="U31" i="9" s="1"/>
  <c r="U32" i="9" s="1" a="1"/>
  <c r="U32" i="9" s="1"/>
  <c r="U33" i="9" s="1" a="1"/>
  <c r="U33" i="9" s="1"/>
  <c r="F28" i="9" a="1"/>
  <c r="F28" i="9"/>
  <c r="F29" i="9" s="1"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c r="AH11" i="9" a="1"/>
  <c r="AH11" i="9"/>
  <c r="BF10" i="9" a="1"/>
  <c r="BF10" i="9"/>
  <c r="BE10" i="9" a="1"/>
  <c r="BE10" i="9"/>
  <c r="BD10" i="9" a="1"/>
  <c r="BD10" i="9"/>
  <c r="BC10" i="9" a="1"/>
  <c r="BC10" i="9"/>
  <c r="BB10" i="9" a="1"/>
  <c r="BB10" i="9"/>
  <c r="BA10" i="9" a="1"/>
  <c r="BA10" i="9"/>
  <c r="AZ10" i="9" a="1"/>
  <c r="AZ10"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M10" i="9" a="1"/>
  <c r="AM10" i="9"/>
  <c r="AL10" i="9" a="1"/>
  <c r="AL10" i="9"/>
  <c r="AK10" i="9" a="1"/>
  <c r="AK10" i="9"/>
  <c r="AJ10" i="9" a="1"/>
  <c r="AJ10" i="9"/>
  <c r="AI10" i="9" a="1"/>
  <c r="AI10" i="9"/>
  <c r="AG10" i="9" a="1"/>
  <c r="AG10" i="9"/>
  <c r="AF10" i="9" a="1"/>
  <c r="AF10" i="9"/>
  <c r="AE10" i="9" a="1"/>
  <c r="AE10" i="9"/>
  <c r="BF7" i="9" a="1"/>
  <c r="BF7" i="9"/>
  <c r="BE7" i="9" a="1"/>
  <c r="BE7" i="9"/>
  <c r="BD7" i="9" a="1"/>
  <c r="BD7" i="9"/>
  <c r="BC7" i="9" a="1"/>
  <c r="BC7" i="9"/>
  <c r="BB7" i="9" a="1"/>
  <c r="BB7" i="9"/>
  <c r="BA7" i="9" a="1"/>
  <c r="BA7" i="9"/>
  <c r="AZ7" i="9" a="1"/>
  <c r="AZ7" i="9"/>
  <c r="AY7" i="9" a="1"/>
  <c r="AY7" i="9"/>
  <c r="AX7" i="9" a="1"/>
  <c r="AX7" i="9"/>
  <c r="AW7" i="9" a="1"/>
  <c r="AW7" i="9"/>
  <c r="AV7" i="9" a="1"/>
  <c r="AV7" i="9"/>
  <c r="AU7" i="9" a="1"/>
  <c r="AU7" i="9"/>
  <c r="AT7" i="9" a="1"/>
  <c r="AT7" i="9"/>
  <c r="AS7" i="9" a="1"/>
  <c r="AS7" i="9"/>
  <c r="AR7" i="9" a="1"/>
  <c r="AR7" i="9"/>
  <c r="AQ7" i="9" a="1"/>
  <c r="AQ7" i="9"/>
  <c r="AP7" i="9" a="1"/>
  <c r="AP7" i="9"/>
  <c r="AO7" i="9" a="1"/>
  <c r="AO7" i="9"/>
  <c r="AM7" i="9" a="1"/>
  <c r="AM7" i="9"/>
  <c r="AL7" i="9" a="1"/>
  <c r="AL7" i="9"/>
  <c r="AK7" i="9" a="1"/>
  <c r="AK7" i="9"/>
  <c r="AJ7" i="9" a="1"/>
  <c r="AJ7" i="9"/>
  <c r="AI7" i="9" a="1"/>
  <c r="AI7" i="9"/>
  <c r="AI8" i="9" s="1"/>
  <c r="AG7" i="9" a="1"/>
  <c r="AG7" i="9"/>
  <c r="AG8" i="9" s="1"/>
  <c r="AF7" i="9" a="1"/>
  <c r="AF7" i="9"/>
  <c r="AE7" i="9" a="1"/>
  <c r="AE7" i="9"/>
  <c r="AE8" i="9" s="1"/>
  <c r="BF6" i="9"/>
  <c r="BF9" i="9" s="1" a="1"/>
  <c r="BF9" i="9" s="1"/>
  <c r="BE6" i="9"/>
  <c r="BE8" i="9" s="1"/>
  <c r="BD6" i="9"/>
  <c r="BD9" i="9" s="1" a="1"/>
  <c r="BD9" i="9" s="1"/>
  <c r="BC6" i="9"/>
  <c r="BC8" i="9" s="1"/>
  <c r="BB6" i="9"/>
  <c r="BB9" i="9" s="1" a="1"/>
  <c r="BB9" i="9" s="1"/>
  <c r="BA6" i="9"/>
  <c r="BA8" i="9" s="1"/>
  <c r="AZ6" i="9"/>
  <c r="AZ9" i="9" s="1" a="1"/>
  <c r="AZ9" i="9" s="1"/>
  <c r="AY6" i="9"/>
  <c r="AY8" i="9" s="1"/>
  <c r="AX6" i="9"/>
  <c r="AX9" i="9" s="1" a="1"/>
  <c r="AX9" i="9" s="1"/>
  <c r="AW6" i="9"/>
  <c r="AW8" i="9" s="1"/>
  <c r="AV6" i="9"/>
  <c r="AV9" i="9" s="1" a="1"/>
  <c r="AV9" i="9" s="1"/>
  <c r="AU6" i="9"/>
  <c r="AU8" i="9" s="1"/>
  <c r="AT6" i="9"/>
  <c r="AT9" i="9" s="1" a="1"/>
  <c r="AT9" i="9" s="1"/>
  <c r="AS6" i="9"/>
  <c r="AS8" i="9" s="1"/>
  <c r="AR6" i="9"/>
  <c r="AR9" i="9" s="1" a="1"/>
  <c r="AR9" i="9" s="1"/>
  <c r="AQ6" i="9"/>
  <c r="AQ8" i="9" s="1"/>
  <c r="AP6" i="9"/>
  <c r="AP9" i="9" s="1" a="1"/>
  <c r="AP9" i="9" s="1"/>
  <c r="AO6" i="9"/>
  <c r="AO8" i="9" s="1"/>
  <c r="AN6" i="9" a="1"/>
  <c r="AN6" i="9"/>
  <c r="AN9" i="9" s="1" a="1"/>
  <c r="AN9" i="9" s="1"/>
  <c r="AM6" i="9" a="1"/>
  <c r="AM6" i="9"/>
  <c r="AM8" i="9" s="1"/>
  <c r="AL6" i="9" a="1"/>
  <c r="AL6" i="9"/>
  <c r="AL9" i="9" s="1" a="1"/>
  <c r="AL9" i="9" s="1"/>
  <c r="AK6" i="9" a="1"/>
  <c r="AK6" i="9"/>
  <c r="AK8" i="9" s="1"/>
  <c r="AJ6" i="9" a="1"/>
  <c r="AJ6" i="9"/>
  <c r="AJ9" i="9" s="1" a="1"/>
  <c r="AJ9" i="9" s="1"/>
  <c r="AI6" i="9"/>
  <c r="AI9" i="9" s="1" a="1"/>
  <c r="AI9" i="9" s="1"/>
  <c r="AH6" i="9"/>
  <c r="AH9" i="9" s="1" a="1"/>
  <c r="AH9" i="9" s="1"/>
  <c r="AG6" i="9"/>
  <c r="AG9" i="9" s="1" a="1"/>
  <c r="AG9" i="9" s="1"/>
  <c r="AF6" i="9"/>
  <c r="AF9" i="9" s="1" a="1"/>
  <c r="AF9" i="9" s="1"/>
  <c r="AE6" i="9"/>
  <c r="AE9" i="9" s="1" a="1"/>
  <c r="AE9" i="9" s="1"/>
  <c r="AQ32" i="8" a="1"/>
  <c r="AQ32" i="8"/>
  <c r="AP32" i="8" a="1"/>
  <c r="AP32" i="8"/>
  <c r="AO32" i="8" a="1"/>
  <c r="AO32" i="8"/>
  <c r="AN32" i="8" a="1"/>
  <c r="AN32" i="8"/>
  <c r="AC32" i="8"/>
  <c r="AM32" i="8" s="1" a="1"/>
  <c r="AM32" i="8" s="1"/>
  <c r="U30" i="8"/>
  <c r="F30" i="8" a="1"/>
  <c r="F30" i="8" s="1"/>
  <c r="F31" i="8" s="1" a="1"/>
  <c r="F31" i="8" s="1"/>
  <c r="F32" i="8" s="1" a="1"/>
  <c r="F32" i="8" s="1"/>
  <c r="AQ28" i="8" a="1"/>
  <c r="AQ28" i="8"/>
  <c r="AP28" i="8" a="1"/>
  <c r="AP28" i="8"/>
  <c r="AO28" i="8" a="1"/>
  <c r="AO28" i="8"/>
  <c r="AN28" i="8" a="1"/>
  <c r="AN28" i="8"/>
  <c r="AC28" i="8"/>
  <c r="AM28" i="8" s="1" a="1"/>
  <c r="AM28" i="8" s="1"/>
  <c r="U26" i="8"/>
  <c r="F26" i="8" a="1"/>
  <c r="F26" i="8" s="1"/>
  <c r="F27" i="8" s="1" a="1"/>
  <c r="F27" i="8" s="1"/>
  <c r="F28" i="8" s="1" a="1"/>
  <c r="F28" i="8" s="1"/>
  <c r="AH9" i="8" a="1"/>
  <c r="AH9" i="8" s="1"/>
  <c r="V54" i="7"/>
  <c r="J50" i="7" a="1"/>
  <c r="J50" i="7"/>
  <c r="AP48" i="7" a="1"/>
  <c r="AP48" i="7"/>
  <c r="AO48" i="7" a="1"/>
  <c r="AO48" i="7"/>
  <c r="J48" i="7"/>
  <c r="J47" i="7"/>
  <c r="J46" i="7"/>
  <c r="J45" i="7"/>
  <c r="J44" i="7"/>
  <c r="J43" i="7"/>
  <c r="J42" i="7"/>
  <c r="J41" i="7"/>
  <c r="J40" i="7"/>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s="1"/>
  <c r="F39" i="7" a="1"/>
  <c r="F39" i="7" s="1"/>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s="1"/>
  <c r="AP36" i="7" a="1"/>
  <c r="AP36" i="7" s="1"/>
  <c r="AO36" i="7" a="1"/>
  <c r="AO36" i="7" s="1"/>
  <c r="J36" i="7"/>
  <c r="J35" i="7"/>
  <c r="J34" i="7"/>
  <c r="J33" i="7"/>
  <c r="J32" i="7"/>
  <c r="J31" i="7"/>
  <c r="J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c r="B32" i="7" s="1"/>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c r="AI10" i="7" a="1"/>
  <c r="AI10" i="7"/>
  <c r="AH10" i="7" a="1"/>
  <c r="AH10" i="7"/>
  <c r="AG10" i="7" a="1"/>
  <c r="AG10" i="7"/>
  <c r="AF10" i="7" a="1"/>
  <c r="AF10" i="7"/>
  <c r="AF7" i="7" a="1"/>
  <c r="AF7" i="7"/>
  <c r="AJ6" i="7" a="1"/>
  <c r="AJ6" i="7"/>
  <c r="AI6" i="7" a="1"/>
  <c r="AI6" i="7"/>
  <c r="AI9" i="7" s="1" a="1"/>
  <c r="AI9" i="7" s="1"/>
  <c r="AH6" i="7" a="1"/>
  <c r="AH6" i="7"/>
  <c r="AH9" i="7" s="1" a="1"/>
  <c r="AH9" i="7" s="1"/>
  <c r="AG6" i="7"/>
  <c r="AG9" i="7" s="1" a="1"/>
  <c r="AG9" i="7" s="1"/>
  <c r="AF6" i="7"/>
  <c r="AF9" i="7" s="1" a="1"/>
  <c r="AF9" i="7" s="1"/>
  <c r="AG2" i="7"/>
  <c r="AF2" i="7"/>
  <c r="AM31" i="6" a="1"/>
  <c r="AM31" i="6"/>
  <c r="AL31" i="6" a="1"/>
  <c r="AL31" i="6"/>
  <c r="AK31" i="6" a="1"/>
  <c r="AK31" i="6"/>
  <c r="G31" i="6" a="1"/>
  <c r="G31" i="6" s="1"/>
  <c r="AM30" i="6" a="1"/>
  <c r="AM30" i="6" s="1"/>
  <c r="AL30" i="6" a="1"/>
  <c r="AL30" i="6" s="1"/>
  <c r="AK30" i="6" a="1"/>
  <c r="AK30" i="6" s="1"/>
  <c r="G30" i="6" a="1"/>
  <c r="G30" i="6"/>
  <c r="U29" i="6"/>
  <c r="U32" i="6" s="1" a="1"/>
  <c r="U32" i="6" s="1"/>
  <c r="F29" i="6" a="1"/>
  <c r="F29" i="6" s="1"/>
  <c r="F30" i="6" s="1" a="1"/>
  <c r="F30" i="6" s="1"/>
  <c r="U28" i="6" a="1"/>
  <c r="U28" i="6" s="1"/>
  <c r="AM27" i="6" a="1"/>
  <c r="AM27" i="6" s="1"/>
  <c r="AL27" i="6" a="1"/>
  <c r="AL27" i="6" s="1"/>
  <c r="AK27" i="6" a="1"/>
  <c r="AK27" i="6" s="1"/>
  <c r="G27" i="6" a="1"/>
  <c r="G27" i="6"/>
  <c r="U26" i="6"/>
  <c r="F26" i="6" a="1"/>
  <c r="F26" i="6" s="1"/>
  <c r="F27" i="6" s="1" a="1"/>
  <c r="F27" i="6" s="1"/>
  <c r="AG9" i="6" a="1"/>
  <c r="AG9" i="6" s="1"/>
  <c r="AF9" i="6" a="1"/>
  <c r="AF9" i="6" s="1"/>
  <c r="B222" i="5"/>
  <c r="AE219" i="5" a="1"/>
  <c r="AE219" i="5"/>
  <c r="B219" i="5"/>
  <c r="AE218" i="5" a="1"/>
  <c r="AE218" i="5" s="1"/>
  <c r="B218" i="5"/>
  <c r="AE217" i="5" a="1"/>
  <c r="AE217" i="5"/>
  <c r="AE216" i="5" a="1"/>
  <c r="AE216" i="5"/>
  <c r="W214" i="5"/>
  <c r="B207" i="5"/>
  <c r="AD206" i="5"/>
  <c r="B206" i="5"/>
  <c r="B205" i="5"/>
  <c r="B204" i="5"/>
  <c r="B203" i="5"/>
  <c r="B202" i="5"/>
  <c r="B201" i="5"/>
  <c r="AD199" i="5"/>
  <c r="AM194" i="5" a="1"/>
  <c r="AM194" i="5" s="1"/>
  <c r="AL194" i="5" a="1"/>
  <c r="AL194" i="5" s="1"/>
  <c r="AK194" i="5" a="1"/>
  <c r="AK194" i="5" s="1"/>
  <c r="AJ194" i="5" a="1"/>
  <c r="AJ194" i="5" s="1"/>
  <c r="AD88" i="27" s="1" a="1"/>
  <c r="AD88" i="27" s="1"/>
  <c r="AI194" i="5" a="1"/>
  <c r="AI194" i="5" s="1"/>
  <c r="AH194" i="5" a="1"/>
  <c r="AH194" i="5" s="1"/>
  <c r="AG194" i="5"/>
  <c r="AB29" i="6" s="1" a="1"/>
  <c r="AB29" i="6" s="1"/>
  <c r="AD194" i="5"/>
  <c r="W194" i="5"/>
  <c r="W195" i="5" s="1"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V194" i="5" a="1"/>
  <c r="V194" i="5"/>
  <c r="F194" i="5" a="1"/>
  <c r="F194" i="5"/>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B190" i="5"/>
  <c r="B189" i="5"/>
  <c r="B188" i="5"/>
  <c r="B187" i="5"/>
  <c r="AD185" i="5"/>
  <c r="AM180" i="5" a="1"/>
  <c r="AM180" i="5" s="1"/>
  <c r="AL180" i="5" a="1"/>
  <c r="AL180" i="5" s="1"/>
  <c r="AK180" i="5" a="1"/>
  <c r="AK180" i="5" s="1"/>
  <c r="AJ180" i="5" a="1"/>
  <c r="AJ180" i="5" s="1"/>
  <c r="AD32" i="27" s="1" a="1"/>
  <c r="AD32" i="27" s="1"/>
  <c r="AI180" i="5" a="1"/>
  <c r="AI180" i="5" s="1"/>
  <c r="AH180" i="5" a="1"/>
  <c r="AH180" i="5" s="1"/>
  <c r="AG180" i="5"/>
  <c r="AB27" i="17" s="1" a="1"/>
  <c r="AB27" i="17" s="1"/>
  <c r="AD180" i="5"/>
  <c r="W180" i="5"/>
  <c r="W181" i="5" s="1" a="1"/>
  <c r="W181" i="5" s="1"/>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V180" i="5" a="1"/>
  <c r="V180" i="5"/>
  <c r="F180" i="5" a="1"/>
  <c r="F180" i="5"/>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G173" i="5"/>
  <c r="AF173" i="5"/>
  <c r="AE173" i="5"/>
  <c r="AD173" i="5"/>
  <c r="AB172" i="5"/>
  <c r="W171" i="5"/>
  <c r="B149" i="5"/>
  <c r="B148" i="5"/>
  <c r="B147" i="5"/>
  <c r="B146" i="5"/>
  <c r="B145" i="5"/>
  <c r="B144" i="5"/>
  <c r="W143" i="5"/>
  <c r="W144" i="5" s="1" a="1"/>
  <c r="W144" i="5" s="1"/>
  <c r="W145" i="5" s="1" a="1"/>
  <c r="W145" i="5" s="1"/>
  <c r="W146" i="5" s="1" a="1"/>
  <c r="W146" i="5" s="1"/>
  <c r="W147" i="5" s="1" a="1"/>
  <c r="W147" i="5" s="1"/>
  <c r="W148" i="5" s="1" a="1"/>
  <c r="W148" i="5" s="1"/>
  <c r="B143" i="5"/>
  <c r="B142" i="5"/>
  <c r="B141" i="5"/>
  <c r="B140" i="5"/>
  <c r="B139" i="5"/>
  <c r="B138" i="5"/>
  <c r="B137" i="5"/>
  <c r="AB136" i="5"/>
  <c r="B136" i="5"/>
  <c r="B135" i="5"/>
  <c r="B134" i="5"/>
  <c r="B133" i="5"/>
  <c r="B132" i="5"/>
  <c r="B131" i="5"/>
  <c r="B130" i="5"/>
  <c r="W129" i="5"/>
  <c r="W130" i="5" s="1" a="1"/>
  <c r="W130" i="5" s="1"/>
  <c r="W131" i="5" s="1" a="1"/>
  <c r="W131" i="5" s="1"/>
  <c r="W132" i="5" s="1" a="1"/>
  <c r="W132" i="5" s="1"/>
  <c r="W133" i="5" s="1" a="1"/>
  <c r="W133" i="5" s="1"/>
  <c r="W134" i="5" s="1" a="1"/>
  <c r="W134" i="5" s="1"/>
  <c r="B129" i="5"/>
  <c r="B128" i="5"/>
  <c r="B127" i="5"/>
  <c r="B126" i="5"/>
  <c r="B125" i="5"/>
  <c r="B124" i="5"/>
  <c r="B123" i="5"/>
  <c r="AB122" i="5"/>
  <c r="B122" i="5"/>
  <c r="B121" i="5"/>
  <c r="B120" i="5"/>
  <c r="B119" i="5"/>
  <c r="B118" i="5"/>
  <c r="B117" i="5"/>
  <c r="B116" i="5"/>
  <c r="W115" i="5"/>
  <c r="W116" i="5" s="1" a="1"/>
  <c r="W116" i="5" s="1"/>
  <c r="W117" i="5" s="1" a="1"/>
  <c r="W117" i="5" s="1"/>
  <c r="W118" i="5" s="1" a="1"/>
  <c r="W118" i="5" s="1"/>
  <c r="W119" i="5" s="1" a="1"/>
  <c r="W119" i="5" s="1"/>
  <c r="W120" i="5" s="1" a="1"/>
  <c r="W120" i="5" s="1"/>
  <c r="B115" i="5"/>
  <c r="B114" i="5"/>
  <c r="B113" i="5"/>
  <c r="B112" i="5"/>
  <c r="B111" i="5"/>
  <c r="B110" i="5"/>
  <c r="B109" i="5"/>
  <c r="AB108" i="5"/>
  <c r="B108" i="5"/>
  <c r="B107" i="5"/>
  <c r="B106" i="5"/>
  <c r="B105" i="5"/>
  <c r="B104" i="5"/>
  <c r="W103" i="5" a="1"/>
  <c r="W103" i="5" s="1"/>
  <c r="W104" i="5" s="1" a="1"/>
  <c r="W104" i="5" s="1"/>
  <c r="W105" i="5" s="1" a="1"/>
  <c r="W105" i="5" s="1"/>
  <c r="W106" i="5" s="1" a="1"/>
  <c r="W106" i="5" s="1"/>
  <c r="B103" i="5"/>
  <c r="W102" i="5"/>
  <c r="B102" i="5"/>
  <c r="B101" i="5"/>
  <c r="B100" i="5"/>
  <c r="B99" i="5"/>
  <c r="B98" i="5"/>
  <c r="B97" i="5"/>
  <c r="B96" i="5"/>
  <c r="B95" i="5"/>
  <c r="B94" i="5"/>
  <c r="B93" i="5"/>
  <c r="B92" i="5"/>
  <c r="B91" i="5"/>
  <c r="W90" i="5"/>
  <c r="W91" i="5" s="1" a="1"/>
  <c r="W91" i="5" s="1"/>
  <c r="W92" i="5" s="1" a="1"/>
  <c r="W92" i="5" s="1"/>
  <c r="W93" i="5" s="1" a="1"/>
  <c r="W93" i="5" s="1"/>
  <c r="W94" i="5" s="1" a="1"/>
  <c r="W94" i="5" s="1"/>
  <c r="B90" i="5"/>
  <c r="B89" i="5"/>
  <c r="B88" i="5"/>
  <c r="B87" i="5"/>
  <c r="B86" i="5"/>
  <c r="B85" i="5"/>
  <c r="B83" i="5"/>
  <c r="B82" i="5"/>
  <c r="B81" i="5"/>
  <c r="B80" i="5"/>
  <c r="B79" i="5"/>
  <c r="W78" i="5"/>
  <c r="W79" i="5" s="1" a="1"/>
  <c r="W79" i="5" s="1"/>
  <c r="W80" i="5" s="1" a="1"/>
  <c r="W80" i="5" s="1"/>
  <c r="W81" i="5" s="1" a="1"/>
  <c r="W81" i="5" s="1"/>
  <c r="W82" i="5" s="1" a="1"/>
  <c r="W82" i="5" s="1"/>
  <c r="B78" i="5"/>
  <c r="B77" i="5"/>
  <c r="B76" i="5"/>
  <c r="B75" i="5"/>
  <c r="B74" i="5"/>
  <c r="B73" i="5"/>
  <c r="B69" i="5"/>
  <c r="B68" i="5"/>
  <c r="B67" i="5"/>
  <c r="B66" i="5"/>
  <c r="B65" i="5"/>
  <c r="B64" i="5"/>
  <c r="B63" i="5"/>
  <c r="W62" i="5"/>
  <c r="B62" i="5"/>
  <c r="B61" i="5"/>
  <c r="B60" i="5"/>
  <c r="AB35" i="5"/>
  <c r="AE27" i="5"/>
  <c r="B27" i="5"/>
  <c r="B26" i="5"/>
  <c r="AF25" i="5"/>
  <c r="AL33" i="5" s="1"/>
  <c r="B25" i="5"/>
  <c r="AI24" i="5"/>
  <c r="AI23" i="5"/>
  <c r="AH23" i="5"/>
  <c r="AB34" i="5" s="1"/>
  <c r="AF22" i="5" a="1"/>
  <c r="AF22" i="5"/>
  <c r="B53" i="4"/>
  <c r="B52" i="4"/>
  <c r="B51" i="4"/>
  <c r="B50" i="4"/>
  <c r="B49" i="4"/>
  <c r="B48" i="4"/>
  <c r="B47" i="4"/>
  <c r="B46" i="4"/>
  <c r="B45" i="4"/>
  <c r="B44" i="4"/>
  <c r="B43" i="4"/>
  <c r="B42" i="4"/>
  <c r="B41" i="4"/>
  <c r="B40" i="4"/>
  <c r="B39" i="4"/>
  <c r="B38" i="4"/>
  <c r="B37" i="4"/>
  <c r="B36" i="4"/>
  <c r="B35" i="4"/>
  <c r="B34" i="4"/>
  <c r="B33" i="4"/>
  <c r="B32" i="4"/>
  <c r="B31" i="4"/>
  <c r="B29" i="4"/>
  <c r="B28" i="4"/>
  <c r="AD31" i="27" l="1" a="1"/>
  <c r="AD31" i="27" s="1"/>
  <c r="AN180" i="5"/>
  <c r="G27" i="30" a="1"/>
  <c r="G27" i="30" s="1"/>
  <c r="G27" i="29" a="1"/>
  <c r="G27" i="29" s="1"/>
  <c r="G27" i="28" a="1"/>
  <c r="G27" i="28" s="1"/>
  <c r="R29" i="27" a="1"/>
  <c r="R29" i="27" s="1"/>
  <c r="G29" i="27" a="1"/>
  <c r="G29" i="27" s="1"/>
  <c r="AD86" i="27" a="1"/>
  <c r="AD86" i="27" s="1"/>
  <c r="AE198" i="11" a="1"/>
  <c r="AE198" i="11" s="1"/>
  <c r="AE119" i="11" a="1"/>
  <c r="AE119" i="11" s="1"/>
  <c r="AE172" i="11" a="1"/>
  <c r="AE172" i="11" s="1"/>
  <c r="AE156" i="11" a="1"/>
  <c r="AE156" i="11" s="1"/>
  <c r="F37" i="7" a="1"/>
  <c r="F37" i="7" s="1"/>
  <c r="F38" i="7" s="1" a="1"/>
  <c r="F38" i="7" s="1"/>
  <c r="V36" i="7"/>
  <c r="U32" i="8"/>
  <c r="F33" i="8" a="1"/>
  <c r="F33" i="8" s="1"/>
  <c r="U33" i="8" s="1"/>
  <c r="AF43" i="11"/>
  <c r="AF29" i="11"/>
  <c r="AH43" i="11"/>
  <c r="AH29" i="11"/>
  <c r="AJ43" i="11"/>
  <c r="AJ29" i="11"/>
  <c r="AL43" i="11"/>
  <c r="AL29" i="11"/>
  <c r="AN43" i="11"/>
  <c r="AN29" i="11"/>
  <c r="AP43" i="11"/>
  <c r="AP29" i="11"/>
  <c r="AR43" i="11"/>
  <c r="AR29" i="11"/>
  <c r="AT43" i="11"/>
  <c r="AT29" i="11"/>
  <c r="AV43" i="11"/>
  <c r="AV29" i="11"/>
  <c r="AX43" i="11"/>
  <c r="AX29" i="11"/>
  <c r="AZ43" i="11"/>
  <c r="AZ29" i="11"/>
  <c r="BB43" i="11"/>
  <c r="BB29" i="11"/>
  <c r="AE134" i="11"/>
  <c r="AE120" i="11"/>
  <c r="AG134" i="11"/>
  <c r="AG120" i="11"/>
  <c r="AI134" i="11"/>
  <c r="AI120" i="11"/>
  <c r="AK134" i="11"/>
  <c r="AK120" i="11"/>
  <c r="AM134" i="11"/>
  <c r="AM120" i="11"/>
  <c r="AO134" i="11"/>
  <c r="AO120" i="11"/>
  <c r="AQ134" i="11"/>
  <c r="AQ120" i="11"/>
  <c r="AS134" i="11"/>
  <c r="AS120" i="11"/>
  <c r="AU134" i="11"/>
  <c r="AU120" i="11"/>
  <c r="AW134" i="11"/>
  <c r="AW120" i="11"/>
  <c r="AY134" i="11"/>
  <c r="AY120" i="11"/>
  <c r="BA134" i="11"/>
  <c r="BA120" i="11"/>
  <c r="T30" i="12"/>
  <c r="F31" i="12" a="1"/>
  <c r="F31" i="12" s="1"/>
  <c r="AI9" i="14" a="1"/>
  <c r="AI9" i="14" s="1"/>
  <c r="AI8" i="14"/>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K64" i="15"/>
  <c r="AF59" i="15"/>
  <c r="AF52" i="15"/>
  <c r="AH59" i="15"/>
  <c r="AH52" i="15"/>
  <c r="AJ59" i="15"/>
  <c r="AJ52" i="15"/>
  <c r="AL59" i="15"/>
  <c r="AL52" i="15"/>
  <c r="AN59" i="15"/>
  <c r="AN52" i="15"/>
  <c r="AP59" i="15"/>
  <c r="AP52" i="15"/>
  <c r="AR59" i="15"/>
  <c r="AR52" i="15"/>
  <c r="AT59" i="15"/>
  <c r="AT52" i="15"/>
  <c r="AV59" i="15"/>
  <c r="AV52" i="15"/>
  <c r="AX59" i="15"/>
  <c r="AX52" i="15"/>
  <c r="AZ59" i="15"/>
  <c r="AZ52" i="15"/>
  <c r="BB59" i="15"/>
  <c r="BB52" i="15"/>
  <c r="AE108" i="15"/>
  <c r="AE101" i="15"/>
  <c r="AG108" i="15"/>
  <c r="AG101" i="15"/>
  <c r="AI108" i="15"/>
  <c r="AI101" i="15"/>
  <c r="AK108" i="15"/>
  <c r="AK101" i="15"/>
  <c r="AM108" i="15"/>
  <c r="AM101" i="15"/>
  <c r="AO108" i="15"/>
  <c r="AO101" i="15"/>
  <c r="AQ108" i="15"/>
  <c r="AQ101" i="15"/>
  <c r="AS108" i="15"/>
  <c r="AS101" i="15"/>
  <c r="AU108" i="15"/>
  <c r="AU101" i="15"/>
  <c r="AW108" i="15"/>
  <c r="AW101" i="15"/>
  <c r="AY108" i="15"/>
  <c r="AY101" i="15"/>
  <c r="BA108" i="15"/>
  <c r="BA101" i="15"/>
  <c r="F29" i="16" a="1"/>
  <c r="F29" i="16" s="1"/>
  <c r="F30" i="16" s="1" a="1"/>
  <c r="F30" i="16" s="1"/>
  <c r="F31" i="16" s="1" a="1"/>
  <c r="F31" i="16" s="1"/>
  <c r="F32" i="16" s="1" a="1"/>
  <c r="F32" i="16" s="1"/>
  <c r="F33" i="16" s="1" a="1"/>
  <c r="F33" i="16" s="1"/>
  <c r="F34" i="16" s="1" a="1"/>
  <c r="F34" i="16" s="1"/>
  <c r="F35" i="16" s="1" a="1"/>
  <c r="F35" i="16" s="1"/>
  <c r="F36" i="16" s="1" a="1"/>
  <c r="F36" i="16" s="1"/>
  <c r="K28" i="16"/>
  <c r="AF10" i="17" a="1"/>
  <c r="AF10" i="17" s="1"/>
  <c r="F31" i="17" a="1"/>
  <c r="F31" i="17" s="1"/>
  <c r="F32" i="17" s="1" a="1"/>
  <c r="F32" i="17" s="1"/>
  <c r="AI9" i="18" a="1"/>
  <c r="AI9" i="18" s="1"/>
  <c r="F28" i="6" a="1"/>
  <c r="F28" i="6" s="1"/>
  <c r="U27" i="6"/>
  <c r="F31" i="6" a="1"/>
  <c r="F31" i="6" s="1"/>
  <c r="U30" i="6"/>
  <c r="B46" i="7"/>
  <c r="B47" i="7" s="1" a="1"/>
  <c r="B47" i="7" s="1"/>
  <c r="B45" i="7"/>
  <c r="AC46" i="7" s="1"/>
  <c r="AC47" i="7" s="1"/>
  <c r="B40" i="7"/>
  <c r="B44" i="7"/>
  <c r="B42" i="7"/>
  <c r="F41" i="9" a="1"/>
  <c r="F41" i="9" s="1"/>
  <c r="U40" i="9"/>
  <c r="U35" i="9" a="1"/>
  <c r="U35" i="9" s="1"/>
  <c r="U36" i="9" s="1" a="1"/>
  <c r="U36" i="9" s="1"/>
  <c r="U37" i="9" s="1" a="1"/>
  <c r="U37" i="9" s="1"/>
  <c r="U38" i="9" s="1" a="1"/>
  <c r="U38" i="9" s="1"/>
  <c r="U39" i="9" s="1" a="1"/>
  <c r="U39" i="9" s="1"/>
  <c r="U34" i="9" a="1"/>
  <c r="U34" i="9" s="1"/>
  <c r="F68" i="9" a="1"/>
  <c r="F68" i="9" s="1"/>
  <c r="U67" i="9"/>
  <c r="U62" i="9" a="1"/>
  <c r="U62" i="9" s="1"/>
  <c r="U63" i="9" s="1" a="1"/>
  <c r="U63" i="9" s="1"/>
  <c r="U64" i="9" s="1" a="1"/>
  <c r="U64" i="9" s="1"/>
  <c r="U65" i="9" s="1" a="1"/>
  <c r="U65" i="9" s="1"/>
  <c r="U66" i="9" s="1" a="1"/>
  <c r="U66" i="9" s="1"/>
  <c r="U61" i="9" a="1"/>
  <c r="U61" i="9" s="1"/>
  <c r="AC21" i="34" a="1"/>
  <c r="AC21" i="34" s="1"/>
  <c r="AC21" i="33" a="1"/>
  <c r="AC21" i="33" s="1"/>
  <c r="AB21" i="32" a="1"/>
  <c r="AB21" i="32" s="1"/>
  <c r="AB21" i="31" a="1"/>
  <c r="AB21" i="31" s="1"/>
  <c r="AC21" i="30" a="1"/>
  <c r="AC21" i="30" s="1"/>
  <c r="AC21" i="29" a="1"/>
  <c r="AC21" i="29" s="1"/>
  <c r="AC21" i="28" a="1"/>
  <c r="AC21" i="28" s="1"/>
  <c r="AB21" i="27" a="1"/>
  <c r="AB21" i="27" s="1"/>
  <c r="AC21" i="22" a="1"/>
  <c r="AC21" i="22" s="1"/>
  <c r="AC21" i="20" a="1"/>
  <c r="AC21" i="20" s="1"/>
  <c r="AC21" i="26" a="1"/>
  <c r="AC21" i="26" s="1"/>
  <c r="AC21" i="24" a="1"/>
  <c r="AC21" i="24" s="1"/>
  <c r="AC21" i="23" a="1"/>
  <c r="AC21" i="23" s="1"/>
  <c r="AC21" i="21" a="1"/>
  <c r="AC21" i="21" s="1"/>
  <c r="AC21" i="19" a="1"/>
  <c r="AC21" i="19" s="1"/>
  <c r="AC21" i="16" a="1"/>
  <c r="AC21" i="16" s="1"/>
  <c r="AC21" i="14" a="1"/>
  <c r="AC21" i="14" s="1"/>
  <c r="AC21" i="11" a="1"/>
  <c r="AC21" i="11" s="1"/>
  <c r="AC21" i="8" a="1"/>
  <c r="AC21" i="8" s="1"/>
  <c r="AC21" i="6" a="1"/>
  <c r="AC21" i="6" s="1"/>
  <c r="AC21" i="18" a="1"/>
  <c r="AC21" i="18" s="1"/>
  <c r="AC21" i="17" a="1"/>
  <c r="AC21" i="17" s="1"/>
  <c r="AC21" i="15" a="1"/>
  <c r="AC21" i="15" s="1"/>
  <c r="AC21" i="13" a="1"/>
  <c r="AC21" i="13" s="1"/>
  <c r="AC21" i="12" a="1"/>
  <c r="AC21" i="12" s="1"/>
  <c r="AC21" i="10" a="1"/>
  <c r="AC21" i="10" s="1"/>
  <c r="AC21" i="9" a="1"/>
  <c r="AC21" i="9" s="1"/>
  <c r="AD21" i="7" a="1"/>
  <c r="AD21" i="7" s="1"/>
  <c r="AD30" i="27" a="1"/>
  <c r="AD30" i="27" s="1"/>
  <c r="AE81" i="11" a="1"/>
  <c r="AE81" i="11" s="1"/>
  <c r="AE65" i="11" a="1"/>
  <c r="AE65" i="11" s="1"/>
  <c r="AE107" i="11" a="1"/>
  <c r="AE107" i="11" s="1"/>
  <c r="AE28" i="11" a="1"/>
  <c r="AE28" i="11" s="1"/>
  <c r="AC39" i="7" a="1"/>
  <c r="AC39" i="7" s="1"/>
  <c r="X39" i="7" a="1"/>
  <c r="X39" i="7" s="1"/>
  <c r="AD87" i="27" a="1"/>
  <c r="AD87" i="27" s="1"/>
  <c r="AN194" i="5"/>
  <c r="G171" i="30" a="1"/>
  <c r="G171" i="30" s="1"/>
  <c r="G171" i="29" a="1"/>
  <c r="G171" i="29" s="1"/>
  <c r="G112" i="28" a="1"/>
  <c r="G112" i="28" s="1"/>
  <c r="R85" i="27" a="1"/>
  <c r="R85" i="27" s="1"/>
  <c r="G85" i="27" a="1"/>
  <c r="G85" i="27" s="1"/>
  <c r="V48" i="7"/>
  <c r="F49" i="7" a="1"/>
  <c r="F49" i="7" s="1"/>
  <c r="F50" i="7" s="1" a="1"/>
  <c r="F50" i="7" s="1"/>
  <c r="U28" i="8"/>
  <c r="F29" i="8" a="1"/>
  <c r="F29" i="8" s="1"/>
  <c r="U29" i="8" s="1"/>
  <c r="AH8" i="10"/>
  <c r="AH9" i="10" a="1"/>
  <c r="AH9" i="10" s="1"/>
  <c r="AE8" i="11"/>
  <c r="AG8" i="11"/>
  <c r="AI9" i="11" a="1"/>
  <c r="AI9" i="11" s="1"/>
  <c r="AI8" i="11"/>
  <c r="T33" i="12"/>
  <c r="F34" i="12" a="1"/>
  <c r="F34" i="12" s="1"/>
  <c r="AE30" i="17" s="1"/>
  <c r="AE28" i="17" s="1"/>
  <c r="AS9" i="13" a="1"/>
  <c r="AS9" i="13" s="1"/>
  <c r="F29" i="13" a="1"/>
  <c r="F29" i="13" s="1"/>
  <c r="K28" i="13"/>
  <c r="F33" i="13" a="1"/>
  <c r="F33" i="13" s="1"/>
  <c r="K32" i="13"/>
  <c r="F29" i="14" a="1"/>
  <c r="F29" i="14" s="1"/>
  <c r="F30" i="14" s="1" a="1"/>
  <c r="F30" i="14" s="1"/>
  <c r="F31" i="14" s="1" a="1"/>
  <c r="F31" i="14" s="1"/>
  <c r="F32" i="14" s="1" a="1"/>
  <c r="F32" i="14" s="1"/>
  <c r="F33" i="14" s="1" a="1"/>
  <c r="F33" i="14" s="1"/>
  <c r="F34" i="14" s="1" a="1"/>
  <c r="F34" i="14" s="1"/>
  <c r="K28" i="14"/>
  <c r="F49" i="14" a="1"/>
  <c r="F49" i="14" s="1"/>
  <c r="F50" i="14" s="1" a="1"/>
  <c r="F50" i="14" s="1"/>
  <c r="F51" i="14" s="1" a="1"/>
  <c r="F51" i="14" s="1"/>
  <c r="F52" i="14" s="1" a="1"/>
  <c r="F52" i="14" s="1"/>
  <c r="F53" i="14" s="1" a="1"/>
  <c r="F53" i="14" s="1"/>
  <c r="F54" i="14" s="1" a="1"/>
  <c r="F54" i="14" s="1"/>
  <c r="K48" i="14"/>
  <c r="AI9" i="15" a="1"/>
  <c r="AI9" i="15" s="1"/>
  <c r="AE59" i="15"/>
  <c r="AE52" i="15"/>
  <c r="AG59" i="15"/>
  <c r="AG52" i="15"/>
  <c r="AI59" i="15"/>
  <c r="AI52" i="15"/>
  <c r="AK59" i="15"/>
  <c r="AK52" i="15"/>
  <c r="AM59" i="15"/>
  <c r="AM52" i="15"/>
  <c r="AO59" i="15"/>
  <c r="AO52" i="15"/>
  <c r="AQ59" i="15"/>
  <c r="AQ52" i="15"/>
  <c r="AS59" i="15"/>
  <c r="AS52" i="15"/>
  <c r="AU59" i="15"/>
  <c r="AU52" i="15"/>
  <c r="AW59" i="15"/>
  <c r="AW52" i="15"/>
  <c r="AY59" i="15"/>
  <c r="AY52" i="15"/>
  <c r="BA59" i="15"/>
  <c r="BA52"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K113" i="15"/>
  <c r="AF108" i="15"/>
  <c r="AF101" i="15"/>
  <c r="AH108" i="15"/>
  <c r="AH101" i="15"/>
  <c r="AJ108" i="15"/>
  <c r="AJ101" i="15"/>
  <c r="AL108" i="15"/>
  <c r="AL101" i="15"/>
  <c r="AN108" i="15"/>
  <c r="AN101" i="15"/>
  <c r="AP108" i="15"/>
  <c r="AP101" i="15"/>
  <c r="AR108" i="15"/>
  <c r="AR101" i="15"/>
  <c r="AT108" i="15"/>
  <c r="AT101" i="15"/>
  <c r="AV108" i="15"/>
  <c r="AV101" i="15"/>
  <c r="AX108" i="15"/>
  <c r="AX101" i="15"/>
  <c r="AZ108" i="15"/>
  <c r="AZ101" i="15"/>
  <c r="BB108" i="15"/>
  <c r="BB101" i="15"/>
  <c r="F39" i="16" a="1"/>
  <c r="F39" i="16" s="1"/>
  <c r="F40" i="16" s="1" a="1"/>
  <c r="F40" i="16" s="1"/>
  <c r="F41" i="16" s="1" a="1"/>
  <c r="F41" i="16" s="1"/>
  <c r="F42" i="16" s="1" a="1"/>
  <c r="F42" i="16" s="1"/>
  <c r="F43" i="16" s="1" a="1"/>
  <c r="F43" i="16" s="1"/>
  <c r="F44" i="16" s="1" a="1"/>
  <c r="F44" i="16" s="1"/>
  <c r="F45" i="16" s="1" a="1"/>
  <c r="F45" i="16" s="1"/>
  <c r="F46" i="16" s="1" a="1"/>
  <c r="F46" i="16" s="1"/>
  <c r="K38" i="16"/>
  <c r="AE10" i="17" a="1"/>
  <c r="AE10" i="17" s="1"/>
  <c r="F38" i="17" a="1"/>
  <c r="F38" i="17" s="1"/>
  <c r="F39" i="17" s="1" a="1"/>
  <c r="F39" i="17" s="1"/>
  <c r="AE37" i="17"/>
  <c r="AE35" i="17" s="1"/>
  <c r="T27" i="27"/>
  <c r="T25" i="27"/>
  <c r="T26" i="27"/>
  <c r="T24" i="27"/>
  <c r="AB26" i="6" a="1"/>
  <c r="AB26" i="6" s="1"/>
  <c r="W29" i="6" a="1"/>
  <c r="W29" i="6" s="1"/>
  <c r="B28" i="7"/>
  <c r="B33" i="7"/>
  <c r="AC34" i="7" s="1"/>
  <c r="AC35" i="7" s="1"/>
  <c r="B34" i="7"/>
  <c r="B35" i="7" s="1" a="1"/>
  <c r="B35" i="7" s="1"/>
  <c r="AB26" i="8" a="1"/>
  <c r="AB26" i="8" s="1"/>
  <c r="AF8" i="9"/>
  <c r="AH8" i="9"/>
  <c r="AJ8" i="9"/>
  <c r="AL8" i="9"/>
  <c r="AN8" i="9"/>
  <c r="AP8" i="9"/>
  <c r="AR8" i="9"/>
  <c r="AT8" i="9"/>
  <c r="AV8" i="9"/>
  <c r="AX8" i="9"/>
  <c r="AZ8" i="9"/>
  <c r="BB8" i="9"/>
  <c r="BD8" i="9"/>
  <c r="BF8" i="9"/>
  <c r="AK9" i="9" a="1"/>
  <c r="AK9" i="9" s="1"/>
  <c r="AM9" i="9" a="1"/>
  <c r="AM9" i="9" s="1"/>
  <c r="AO9" i="9" a="1"/>
  <c r="AO9" i="9" s="1"/>
  <c r="AQ9" i="9" a="1"/>
  <c r="AQ9" i="9" s="1"/>
  <c r="AS9" i="9" a="1"/>
  <c r="AS9" i="9" s="1"/>
  <c r="AU9" i="9" a="1"/>
  <c r="AU9" i="9" s="1"/>
  <c r="AW9" i="9" a="1"/>
  <c r="AW9" i="9" s="1"/>
  <c r="AY9" i="9" a="1"/>
  <c r="AY9" i="9" s="1"/>
  <c r="BA9" i="9" a="1"/>
  <c r="BA9" i="9" s="1"/>
  <c r="BC9" i="9" a="1"/>
  <c r="BC9" i="9" s="1"/>
  <c r="BE9" i="9" a="1"/>
  <c r="BE9" i="9" s="1"/>
  <c r="AE8" i="10"/>
  <c r="AG8" i="10"/>
  <c r="AI8" i="10"/>
  <c r="AK8" i="10"/>
  <c r="AM8" i="10"/>
  <c r="AO8" i="10"/>
  <c r="AQ8" i="10"/>
  <c r="AS8" i="10"/>
  <c r="AU8" i="10"/>
  <c r="AW8" i="10"/>
  <c r="AY8" i="10"/>
  <c r="BA8" i="10"/>
  <c r="AJ9" i="10" a="1"/>
  <c r="AJ9" i="10" s="1"/>
  <c r="AL9" i="10" a="1"/>
  <c r="AL9" i="10" s="1"/>
  <c r="AN9" i="10" a="1"/>
  <c r="AN9" i="10" s="1"/>
  <c r="AP9" i="10" a="1"/>
  <c r="AP9" i="10" s="1"/>
  <c r="AR9" i="10" a="1"/>
  <c r="AR9" i="10" s="1"/>
  <c r="AB27" i="10" a="1"/>
  <c r="AB27" i="10" s="1"/>
  <c r="AK8" i="11"/>
  <c r="AM8" i="11"/>
  <c r="AO8" i="11"/>
  <c r="AQ8" i="11"/>
  <c r="AS8" i="11"/>
  <c r="AB27" i="11" a="1"/>
  <c r="AB27" i="11" s="1"/>
  <c r="AB29" i="12" a="1"/>
  <c r="AB29" i="12" s="1"/>
  <c r="AN30" i="12"/>
  <c r="AN29" i="12" s="1"/>
  <c r="AF30" i="17" s="1"/>
  <c r="AF28" i="17" s="1"/>
  <c r="AN33" i="12"/>
  <c r="AN32" i="12" s="1"/>
  <c r="AF37" i="17" s="1"/>
  <c r="AF35" i="17" s="1"/>
  <c r="T28" i="13" a="1"/>
  <c r="T28" i="13" s="1"/>
  <c r="T32" i="13" a="1"/>
  <c r="T32" i="13" s="1"/>
  <c r="AK8" i="14"/>
  <c r="AM8" i="14"/>
  <c r="AO8" i="14"/>
  <c r="AQ8" i="14"/>
  <c r="AS8" i="14"/>
  <c r="AB27" i="14" a="1"/>
  <c r="AB27" i="14" s="1"/>
  <c r="AB41" i="14"/>
  <c r="AB43" i="14"/>
  <c r="AB45" i="14"/>
  <c r="AB61" i="14"/>
  <c r="AB63" i="14"/>
  <c r="AB65" i="14"/>
  <c r="AB27" i="16" a="1"/>
  <c r="AB27" i="16" s="1"/>
  <c r="AK9" i="18" a="1"/>
  <c r="AK9" i="18" s="1"/>
  <c r="AM9" i="18" a="1"/>
  <c r="AM9" i="18" s="1"/>
  <c r="AO9" i="18" a="1"/>
  <c r="AO9" i="18" s="1"/>
  <c r="AQ9" i="18" a="1"/>
  <c r="AQ9" i="18" s="1"/>
  <c r="AS9" i="18" a="1"/>
  <c r="AS9" i="18" s="1"/>
  <c r="K56" i="18"/>
  <c r="K54" i="18"/>
  <c r="F29" i="18" a="1"/>
  <c r="F29" i="18" s="1"/>
  <c r="F30" i="18" s="1" a="1"/>
  <c r="F30" i="18" s="1"/>
  <c r="K33" i="18"/>
  <c r="AF27" i="18"/>
  <c r="AH27" i="18"/>
  <c r="AJ27" i="18"/>
  <c r="AL27" i="18"/>
  <c r="AN27" i="18"/>
  <c r="AP27" i="18"/>
  <c r="AR27" i="18"/>
  <c r="AT27" i="18"/>
  <c r="AV27" i="18"/>
  <c r="AX27" i="18"/>
  <c r="AZ27" i="18"/>
  <c r="BB27" i="18"/>
  <c r="K43" i="18"/>
  <c r="K53" i="18"/>
  <c r="K55" i="18"/>
  <c r="K89" i="18"/>
  <c r="K87" i="18"/>
  <c r="F59" i="18" a="1"/>
  <c r="F59" i="18" s="1"/>
  <c r="F60" i="18" s="1" a="1"/>
  <c r="F60" i="18" s="1"/>
  <c r="K58" i="18"/>
  <c r="K88" i="18"/>
  <c r="K86" i="18"/>
  <c r="K81" i="18"/>
  <c r="K76" i="18"/>
  <c r="K71" i="18"/>
  <c r="K66" i="18"/>
  <c r="AI13" i="19"/>
  <c r="AI7" i="19" a="1"/>
  <c r="AI7" i="19" s="1"/>
  <c r="F29" i="19" a="1"/>
  <c r="F29" i="19" s="1"/>
  <c r="K28" i="19"/>
  <c r="F48" i="20" a="1"/>
  <c r="F48" i="20" s="1"/>
  <c r="AJ9" i="21" a="1"/>
  <c r="AJ9" i="21" s="1"/>
  <c r="F29" i="21" a="1"/>
  <c r="F29" i="21" s="1"/>
  <c r="F30" i="21" s="1" a="1"/>
  <c r="F30" i="21" s="1"/>
  <c r="F31" i="21" s="1" a="1"/>
  <c r="F31" i="21" s="1"/>
  <c r="K28" i="21"/>
  <c r="F41" i="21" a="1"/>
  <c r="F41" i="21" s="1"/>
  <c r="F42" i="21" s="1" a="1"/>
  <c r="F42" i="21" s="1"/>
  <c r="F43" i="21" s="1" a="1"/>
  <c r="F43" i="21" s="1"/>
  <c r="K40" i="21"/>
  <c r="AS9" i="22" a="1"/>
  <c r="AS9" i="22" s="1"/>
  <c r="F29" i="22" a="1"/>
  <c r="F29" i="22" s="1"/>
  <c r="K28" i="22"/>
  <c r="F43" i="22" a="1"/>
  <c r="F43" i="22" s="1"/>
  <c r="K42" i="22"/>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K62" i="23"/>
  <c r="F33" i="24" a="1"/>
  <c r="F33" i="24" s="1"/>
  <c r="F34" i="24" s="1" a="1"/>
  <c r="F34" i="24" s="1"/>
  <c r="F41" i="24" a="1"/>
  <c r="F41" i="24" s="1"/>
  <c r="F42" i="24" s="1" a="1"/>
  <c r="F42" i="24" s="1"/>
  <c r="F34" i="26" a="1"/>
  <c r="F34" i="26" s="1"/>
  <c r="AD9" i="27" a="1"/>
  <c r="AD9" i="27" s="1"/>
  <c r="AD25" i="27"/>
  <c r="AD8" i="27"/>
  <c r="AF9" i="27" a="1"/>
  <c r="AF9" i="27" s="1"/>
  <c r="AF8" i="27"/>
  <c r="F35" i="27" a="1"/>
  <c r="F35" i="27" s="1"/>
  <c r="AB129" i="27"/>
  <c r="AB123" i="27"/>
  <c r="AB118" i="27"/>
  <c r="AB116" i="27"/>
  <c r="AB130" i="27"/>
  <c r="AB128" i="27"/>
  <c r="AB124" i="27"/>
  <c r="AB122" i="27"/>
  <c r="AB117" i="27"/>
  <c r="AB111" i="27"/>
  <c r="AB106" i="27"/>
  <c r="AB104" i="27"/>
  <c r="AB112" i="27"/>
  <c r="AB110" i="27"/>
  <c r="AB105" i="27"/>
  <c r="AG25" i="5" a="1"/>
  <c r="AG25" i="5" s="1"/>
  <c r="AB27" i="33" a="1"/>
  <c r="AB27" i="33" s="1"/>
  <c r="AB27" i="34" a="1"/>
  <c r="AB27" i="34" s="1"/>
  <c r="AB30" i="31" a="1"/>
  <c r="AB30" i="31" s="1"/>
  <c r="AB28" i="32" a="1"/>
  <c r="AB28" i="32" s="1"/>
  <c r="AB27" i="30" a="1"/>
  <c r="AB27" i="30" s="1"/>
  <c r="AB27" i="29" a="1"/>
  <c r="AB27" i="29" s="1"/>
  <c r="AB27" i="28" a="1"/>
  <c r="AB27" i="28" s="1"/>
  <c r="AB27" i="26" a="1"/>
  <c r="AB27" i="26" s="1"/>
  <c r="AB27" i="24" a="1"/>
  <c r="AB27" i="24" s="1"/>
  <c r="AB27" i="21" a="1"/>
  <c r="AB27" i="21" s="1"/>
  <c r="AB27" i="19" a="1"/>
  <c r="AB27" i="19" s="1"/>
  <c r="AB27" i="18" a="1"/>
  <c r="AB27" i="18" s="1"/>
  <c r="AD29" i="27" a="1"/>
  <c r="AD29" i="27" s="1"/>
  <c r="AB30" i="27" s="1"/>
  <c r="AB26" i="25" a="1"/>
  <c r="AB26" i="25" s="1"/>
  <c r="B27" i="25" s="1"/>
  <c r="B28" i="25" s="1" a="1"/>
  <c r="B28" i="25" s="1"/>
  <c r="AB29" i="23" a="1"/>
  <c r="AB29" i="23" s="1"/>
  <c r="AB27" i="22" a="1"/>
  <c r="AB27" i="22" s="1"/>
  <c r="AB27" i="20" a="1"/>
  <c r="AB27" i="20" s="1"/>
  <c r="AC27" i="7" a="1"/>
  <c r="AC27" i="7" s="1"/>
  <c r="B30" i="7"/>
  <c r="AB28" i="9" a="1"/>
  <c r="AB28" i="9" s="1"/>
  <c r="AF8" i="11"/>
  <c r="AH8" i="11"/>
  <c r="AT8" i="11"/>
  <c r="AV8" i="11"/>
  <c r="AX8" i="11"/>
  <c r="AZ8" i="11"/>
  <c r="BB8" i="11"/>
  <c r="AB27" i="13" a="1"/>
  <c r="AB27" i="13" s="1"/>
  <c r="AF8" i="14"/>
  <c r="AH8" i="14"/>
  <c r="AT8" i="14"/>
  <c r="AV8" i="14"/>
  <c r="AX8" i="14"/>
  <c r="AZ8" i="14"/>
  <c r="BB8" i="14"/>
  <c r="AB40" i="14"/>
  <c r="AB42" i="14"/>
  <c r="AB60" i="14"/>
  <c r="AB62" i="14"/>
  <c r="AB27" i="15" a="1"/>
  <c r="AB27" i="15" s="1"/>
  <c r="K28" i="18"/>
  <c r="K38" i="18"/>
  <c r="K48" i="18"/>
  <c r="AJ13" i="19"/>
  <c r="AJ7" i="19" a="1"/>
  <c r="AJ7" i="19" s="1"/>
  <c r="AJ2" i="19"/>
  <c r="F54" i="19" a="1"/>
  <c r="F54" i="19" s="1"/>
  <c r="K53" i="19"/>
  <c r="F29" i="20" a="1"/>
  <c r="F29" i="20" s="1"/>
  <c r="AI2" i="21"/>
  <c r="AI9" i="21" a="1"/>
  <c r="AI9" i="21" s="1"/>
  <c r="AK2" i="23"/>
  <c r="AK9" i="23" a="1"/>
  <c r="AK9" i="23" s="1"/>
  <c r="AM2" i="23"/>
  <c r="AQ2" i="23"/>
  <c r="AU2" i="23"/>
  <c r="AE9" i="24" a="1"/>
  <c r="AE9" i="24" s="1"/>
  <c r="AI2" i="24"/>
  <c r="AM2" i="24"/>
  <c r="B69" i="26"/>
  <c r="B70" i="26" s="1" a="1"/>
  <c r="B70" i="26" s="1"/>
  <c r="B56" i="26"/>
  <c r="B57" i="26" s="1" a="1"/>
  <c r="B57" i="26" s="1"/>
  <c r="F85" i="26" a="1"/>
  <c r="F85" i="26" s="1"/>
  <c r="AB128" i="26"/>
  <c r="AB127" i="26"/>
  <c r="AB126" i="26"/>
  <c r="AB123" i="26"/>
  <c r="AB122" i="26"/>
  <c r="AE9" i="27" a="1"/>
  <c r="AE9" i="27" s="1"/>
  <c r="AE8" i="27"/>
  <c r="F91" i="27" a="1"/>
  <c r="F91" i="27" s="1"/>
  <c r="AB30" i="19"/>
  <c r="AB36" i="19"/>
  <c r="AB42" i="19"/>
  <c r="AB48" i="19"/>
  <c r="AM9" i="23" a="1"/>
  <c r="AM9" i="23" s="1"/>
  <c r="AO9" i="23" a="1"/>
  <c r="AO9" i="23" s="1"/>
  <c r="AQ9" i="23" a="1"/>
  <c r="AQ9" i="23" s="1"/>
  <c r="AS9" i="23" a="1"/>
  <c r="AS9" i="23" s="1"/>
  <c r="AU9" i="23" a="1"/>
  <c r="AU9" i="23" s="1"/>
  <c r="AG9" i="24" a="1"/>
  <c r="AG9" i="24" s="1"/>
  <c r="AI9" i="24" a="1"/>
  <c r="AI9" i="24" s="1"/>
  <c r="AK9" i="24" a="1"/>
  <c r="AK9" i="24" s="1"/>
  <c r="AM9" i="24" a="1"/>
  <c r="AM9" i="24" s="1"/>
  <c r="AO9" i="24" a="1"/>
  <c r="AO9" i="24" s="1"/>
  <c r="B107" i="26"/>
  <c r="B108" i="26" s="1" a="1"/>
  <c r="B108" i="26" s="1"/>
  <c r="AH8" i="27"/>
  <c r="AJ8" i="27"/>
  <c r="AL8" i="27"/>
  <c r="AN8" i="27"/>
  <c r="AP8" i="27"/>
  <c r="AR8" i="27"/>
  <c r="AT8" i="27"/>
  <c r="AV8" i="27"/>
  <c r="AX8" i="27"/>
  <c r="AZ8" i="27"/>
  <c r="BB8" i="27"/>
  <c r="BD8" i="27"/>
  <c r="BF8" i="27"/>
  <c r="BH8" i="27"/>
  <c r="BJ8" i="27"/>
  <c r="BL8" i="27"/>
  <c r="BN8" i="27"/>
  <c r="BP8" i="27"/>
  <c r="BR8" i="27"/>
  <c r="BT8" i="27"/>
  <c r="BV8" i="27"/>
  <c r="BX8" i="27"/>
  <c r="BZ8" i="27"/>
  <c r="CB8" i="27"/>
  <c r="CD8" i="27"/>
  <c r="CF8" i="27"/>
  <c r="CH8" i="27"/>
  <c r="CJ8" i="27"/>
  <c r="CL8" i="27"/>
  <c r="CN8" i="27"/>
  <c r="CP8" i="27"/>
  <c r="CR8" i="27"/>
  <c r="CT8" i="27"/>
  <c r="CV8" i="27"/>
  <c r="CX8" i="27"/>
  <c r="CZ8" i="27"/>
  <c r="DB8" i="27"/>
  <c r="DD8" i="27"/>
  <c r="DF8" i="27"/>
  <c r="DH8" i="27"/>
  <c r="DJ8" i="27"/>
  <c r="DL8" i="27"/>
  <c r="DN8" i="27"/>
  <c r="DP8" i="27"/>
  <c r="DR8" i="27"/>
  <c r="DT8" i="27"/>
  <c r="DV8" i="27"/>
  <c r="DX8" i="27"/>
  <c r="DZ8" i="27"/>
  <c r="EB8" i="27"/>
  <c r="ED8" i="27"/>
  <c r="EF8" i="27"/>
  <c r="EH8" i="27"/>
  <c r="EJ8" i="27"/>
  <c r="EL8" i="27"/>
  <c r="EN8" i="27"/>
  <c r="EP8" i="27"/>
  <c r="ER8" i="27"/>
  <c r="ET8" i="27"/>
  <c r="EV8" i="27"/>
  <c r="EX8" i="27"/>
  <c r="EZ8" i="27"/>
  <c r="FB8" i="27"/>
  <c r="FD8" i="27"/>
  <c r="FF8" i="27"/>
  <c r="FH8" i="27"/>
  <c r="FJ8" i="27"/>
  <c r="FL8" i="27"/>
  <c r="FN8" i="27"/>
  <c r="FP8" i="27"/>
  <c r="FR8" i="27"/>
  <c r="FT8" i="27"/>
  <c r="FV8" i="27"/>
  <c r="AJ25" i="27"/>
  <c r="AP25" i="27"/>
  <c r="AV25" i="27"/>
  <c r="BB25" i="27"/>
  <c r="BH25" i="27"/>
  <c r="BN25" i="27"/>
  <c r="BT25" i="27"/>
  <c r="BZ25" i="27"/>
  <c r="CF25" i="27"/>
  <c r="CL25" i="27"/>
  <c r="CR25" i="27"/>
  <c r="CX25" i="27"/>
  <c r="DD25" i="27"/>
  <c r="DJ25" i="27"/>
  <c r="DP25" i="27"/>
  <c r="DV25" i="27"/>
  <c r="EB25" i="27"/>
  <c r="EH25" i="27"/>
  <c r="EN25" i="27"/>
  <c r="ET25" i="27"/>
  <c r="EZ25" i="27"/>
  <c r="FF25" i="27"/>
  <c r="FL25" i="27"/>
  <c r="FR25" i="27"/>
  <c r="AB48" i="27"/>
  <c r="AB50" i="27"/>
  <c r="AB55" i="27"/>
  <c r="AB60" i="27"/>
  <c r="AB62" i="27"/>
  <c r="AB67" i="27"/>
  <c r="AB73" i="27"/>
  <c r="AK10" i="28" a="1"/>
  <c r="AK10" i="28" s="1"/>
  <c r="AK9" i="28"/>
  <c r="BD9" i="29" a="1"/>
  <c r="BD9" i="29" s="1"/>
  <c r="BD2" i="29"/>
  <c r="F37" i="29" a="1"/>
  <c r="F37" i="29" s="1"/>
  <c r="BO36" i="29"/>
  <c r="F181" i="29" a="1"/>
  <c r="F181" i="29" s="1"/>
  <c r="AB55" i="19"/>
  <c r="AB61" i="19"/>
  <c r="AB67" i="19"/>
  <c r="AB73" i="19"/>
  <c r="AJ2" i="20"/>
  <c r="AJ2" i="22"/>
  <c r="AL2" i="22"/>
  <c r="AN2" i="22"/>
  <c r="AP2" i="22"/>
  <c r="AR2" i="22"/>
  <c r="AH2" i="27"/>
  <c r="AJ2" i="27"/>
  <c r="AL2" i="27"/>
  <c r="AN2" i="27"/>
  <c r="AP2" i="27"/>
  <c r="AR2" i="27"/>
  <c r="AT2" i="27"/>
  <c r="AV2" i="27"/>
  <c r="AX2" i="27"/>
  <c r="AZ2" i="27"/>
  <c r="BB2" i="27"/>
  <c r="BD2" i="27"/>
  <c r="BF2" i="27"/>
  <c r="BH2" i="27"/>
  <c r="BJ2" i="27"/>
  <c r="BL2" i="27"/>
  <c r="BN2" i="27"/>
  <c r="BP2" i="27"/>
  <c r="BR2" i="27"/>
  <c r="BT2" i="27"/>
  <c r="BV2" i="27"/>
  <c r="BX2" i="27"/>
  <c r="BZ2" i="27"/>
  <c r="CB2" i="27"/>
  <c r="CD2" i="27"/>
  <c r="CF2" i="27"/>
  <c r="CH2" i="27"/>
  <c r="CJ2" i="27"/>
  <c r="CL2" i="27"/>
  <c r="CN2" i="27"/>
  <c r="CP2" i="27"/>
  <c r="CR2" i="27"/>
  <c r="CT2" i="27"/>
  <c r="CV2" i="27"/>
  <c r="CX2" i="27"/>
  <c r="CZ2" i="27"/>
  <c r="DB2" i="27"/>
  <c r="DD2" i="27"/>
  <c r="DF2" i="27"/>
  <c r="DH2" i="27"/>
  <c r="DJ2" i="27"/>
  <c r="DL2" i="27"/>
  <c r="DN2" i="27"/>
  <c r="DP2" i="27"/>
  <c r="DR2" i="27"/>
  <c r="DT2" i="27"/>
  <c r="DV2" i="27"/>
  <c r="DX2" i="27"/>
  <c r="DZ2" i="27"/>
  <c r="EB2" i="27"/>
  <c r="ED2" i="27"/>
  <c r="EF2" i="27"/>
  <c r="EH2" i="27"/>
  <c r="EJ2" i="27"/>
  <c r="EL2" i="27"/>
  <c r="EN2" i="27"/>
  <c r="EP2" i="27"/>
  <c r="ER2" i="27"/>
  <c r="ET2" i="27"/>
  <c r="EV2" i="27"/>
  <c r="EX2" i="27"/>
  <c r="EZ2" i="27"/>
  <c r="FB2" i="27"/>
  <c r="FD2" i="27"/>
  <c r="FF2" i="27"/>
  <c r="FH2" i="27"/>
  <c r="FJ2" i="27"/>
  <c r="FL2" i="27"/>
  <c r="FN2" i="27"/>
  <c r="FP2" i="27"/>
  <c r="FR2" i="27"/>
  <c r="FT2" i="27"/>
  <c r="FV2" i="27"/>
  <c r="AG8" i="27"/>
  <c r="AI8" i="27"/>
  <c r="AK8" i="27"/>
  <c r="AM8" i="27"/>
  <c r="AO8" i="27"/>
  <c r="AQ8" i="27"/>
  <c r="AS8" i="27"/>
  <c r="AU8" i="27"/>
  <c r="AW8" i="27"/>
  <c r="AY8" i="27"/>
  <c r="BA8" i="27"/>
  <c r="BC8" i="27"/>
  <c r="BE8" i="27"/>
  <c r="BG8" i="27"/>
  <c r="BI8" i="27"/>
  <c r="BK8" i="27"/>
  <c r="BM8" i="27"/>
  <c r="BO8" i="27"/>
  <c r="BQ8" i="27"/>
  <c r="BS8" i="27"/>
  <c r="BU8" i="27"/>
  <c r="BW8" i="27"/>
  <c r="BY8" i="27"/>
  <c r="CA8" i="27"/>
  <c r="CC8" i="27"/>
  <c r="CE8" i="27"/>
  <c r="CG8" i="27"/>
  <c r="CI8" i="27"/>
  <c r="CK8" i="27"/>
  <c r="CM8" i="27"/>
  <c r="CO8" i="27"/>
  <c r="CQ8" i="27"/>
  <c r="CS8" i="27"/>
  <c r="CU8" i="27"/>
  <c r="CW8" i="27"/>
  <c r="CY8" i="27"/>
  <c r="DA8" i="27"/>
  <c r="DC8" i="27"/>
  <c r="DE8" i="27"/>
  <c r="DG8" i="27"/>
  <c r="DI8" i="27"/>
  <c r="DK8" i="27"/>
  <c r="DM8" i="27"/>
  <c r="DO8" i="27"/>
  <c r="DQ8" i="27"/>
  <c r="DS8" i="27"/>
  <c r="DU8" i="27"/>
  <c r="DW8" i="27"/>
  <c r="DY8" i="27"/>
  <c r="EA8" i="27"/>
  <c r="EC8" i="27"/>
  <c r="EE8" i="27"/>
  <c r="EG8" i="27"/>
  <c r="EI8" i="27"/>
  <c r="EK8" i="27"/>
  <c r="EM8" i="27"/>
  <c r="EO8" i="27"/>
  <c r="EQ8" i="27"/>
  <c r="ES8" i="27"/>
  <c r="EU8" i="27"/>
  <c r="EW8" i="27"/>
  <c r="EY8" i="27"/>
  <c r="FA8" i="27"/>
  <c r="FC8" i="27"/>
  <c r="FE8" i="27"/>
  <c r="FG8" i="27"/>
  <c r="FI8" i="27"/>
  <c r="FK8" i="27"/>
  <c r="FM8" i="27"/>
  <c r="FO8" i="27"/>
  <c r="FQ8" i="27"/>
  <c r="FS8" i="27"/>
  <c r="FU8" i="27"/>
  <c r="FW8" i="27"/>
  <c r="AG9" i="27" a="1"/>
  <c r="AG9" i="27" s="1"/>
  <c r="AM9" i="27" a="1"/>
  <c r="AM9" i="27" s="1"/>
  <c r="AS9" i="27" a="1"/>
  <c r="AS9" i="27" s="1"/>
  <c r="AY9" i="27" a="1"/>
  <c r="AY9" i="27" s="1"/>
  <c r="BE9" i="27" a="1"/>
  <c r="BE9" i="27" s="1"/>
  <c r="BK9" i="27" a="1"/>
  <c r="BK9" i="27" s="1"/>
  <c r="BQ9" i="27" a="1"/>
  <c r="BQ9" i="27" s="1"/>
  <c r="BW9" i="27" a="1"/>
  <c r="BW9" i="27" s="1"/>
  <c r="CC9" i="27" a="1"/>
  <c r="CC9" i="27" s="1"/>
  <c r="CI9" i="27" a="1"/>
  <c r="CI9" i="27" s="1"/>
  <c r="CO9" i="27" a="1"/>
  <c r="CO9" i="27" s="1"/>
  <c r="CU9" i="27" a="1"/>
  <c r="CU9" i="27" s="1"/>
  <c r="DA9" i="27" a="1"/>
  <c r="DA9" i="27" s="1"/>
  <c r="DG9" i="27" a="1"/>
  <c r="DG9" i="27" s="1"/>
  <c r="DM9" i="27" a="1"/>
  <c r="DM9" i="27" s="1"/>
  <c r="DS9" i="27" a="1"/>
  <c r="DS9" i="27" s="1"/>
  <c r="DY9" i="27" a="1"/>
  <c r="DY9" i="27" s="1"/>
  <c r="EE9" i="27" a="1"/>
  <c r="EE9" i="27" s="1"/>
  <c r="EK9" i="27" a="1"/>
  <c r="EK9" i="27" s="1"/>
  <c r="EQ9" i="27" a="1"/>
  <c r="EQ9" i="27" s="1"/>
  <c r="EW9" i="27" a="1"/>
  <c r="EW9" i="27" s="1"/>
  <c r="FC9" i="27" a="1"/>
  <c r="FC9" i="27" s="1"/>
  <c r="FI9" i="27" a="1"/>
  <c r="FI9" i="27" s="1"/>
  <c r="FO9" i="27" a="1"/>
  <c r="FO9" i="27" s="1"/>
  <c r="FU9" i="27" a="1"/>
  <c r="FU9" i="27" s="1"/>
  <c r="AB49" i="27"/>
  <c r="AB54" i="27"/>
  <c r="AB56" i="27"/>
  <c r="AB61" i="27"/>
  <c r="AB66" i="27"/>
  <c r="AB68" i="27"/>
  <c r="AB72" i="27"/>
  <c r="AJ10" i="28" a="1"/>
  <c r="AJ10" i="28" s="1"/>
  <c r="AJ9" i="28"/>
  <c r="F31" i="28" a="1"/>
  <c r="F31" i="28" s="1"/>
  <c r="F32" i="28" s="1" a="1"/>
  <c r="F32" i="28" s="1"/>
  <c r="F33" i="28" s="1" a="1"/>
  <c r="F33" i="28" s="1"/>
  <c r="F34" i="28" s="1" a="1"/>
  <c r="F34" i="28" s="1"/>
  <c r="AN30" i="28"/>
  <c r="F116" i="28" a="1"/>
  <c r="F116" i="28" s="1"/>
  <c r="F117" i="28" s="1" a="1"/>
  <c r="F117" i="28" s="1"/>
  <c r="F118" i="28" s="1" a="1"/>
  <c r="F118" i="28" s="1"/>
  <c r="F119" i="28" s="1" a="1"/>
  <c r="F119" i="28" s="1"/>
  <c r="AN115" i="28"/>
  <c r="AJ9" i="29" a="1"/>
  <c r="AJ9" i="29" s="1"/>
  <c r="AJ2" i="29"/>
  <c r="AJ8" i="29"/>
  <c r="D136" i="29" a="1"/>
  <c r="D136" i="29" s="1"/>
  <c r="D137" i="29" s="1" a="1"/>
  <c r="D137" i="29" s="1"/>
  <c r="AB135" i="29" a="1"/>
  <c r="AB135" i="29" s="1"/>
  <c r="AF9" i="28"/>
  <c r="AH9" i="28"/>
  <c r="AU2" i="29"/>
  <c r="AW2" i="29"/>
  <c r="AY2" i="29"/>
  <c r="BA2" i="29"/>
  <c r="BC2" i="29"/>
  <c r="AL8" i="29"/>
  <c r="AN8" i="29"/>
  <c r="AP8" i="29"/>
  <c r="AR8" i="29"/>
  <c r="AT8" i="29"/>
  <c r="D280" i="29" a="1"/>
  <c r="D280" i="29" s="1"/>
  <c r="D281" i="29" s="1" a="1"/>
  <c r="D281" i="29" s="1"/>
  <c r="AB279" i="29" a="1"/>
  <c r="AB279" i="29" s="1"/>
  <c r="AT8" i="30"/>
  <c r="AT9" i="30" a="1"/>
  <c r="AT9" i="30" s="1"/>
  <c r="AT2" i="30"/>
  <c r="AE9" i="28"/>
  <c r="AG9" i="28"/>
  <c r="AI9" i="28"/>
  <c r="AE8" i="29"/>
  <c r="AG8" i="29"/>
  <c r="AI8" i="29"/>
  <c r="AU8" i="29"/>
  <c r="AW8" i="29"/>
  <c r="AY8" i="29"/>
  <c r="BA8" i="29"/>
  <c r="BC8" i="29"/>
  <c r="F37" i="30" a="1"/>
  <c r="F37" i="30" s="1"/>
  <c r="BO36" i="30"/>
  <c r="AJ2" i="30"/>
  <c r="AV2" i="30"/>
  <c r="AX2" i="30"/>
  <c r="AZ2" i="30"/>
  <c r="BB2" i="30"/>
  <c r="BD2" i="30"/>
  <c r="AE8" i="30"/>
  <c r="AG8" i="30"/>
  <c r="AI8" i="30"/>
  <c r="AK8" i="30"/>
  <c r="AM8" i="30"/>
  <c r="AO8" i="30"/>
  <c r="AQ8" i="30"/>
  <c r="AS8" i="30"/>
  <c r="AU8" i="30"/>
  <c r="AW8" i="30"/>
  <c r="AY8" i="30"/>
  <c r="BA8" i="30"/>
  <c r="BC8" i="30"/>
  <c r="AF9" i="30" a="1"/>
  <c r="AF9" i="30" s="1"/>
  <c r="AH9" i="30" a="1"/>
  <c r="AH9" i="30" s="1"/>
  <c r="AJ9" i="30" a="1"/>
  <c r="AJ9" i="30" s="1"/>
  <c r="AV9" i="30" a="1"/>
  <c r="AV9" i="30" s="1"/>
  <c r="AX9" i="30" a="1"/>
  <c r="AX9" i="30" s="1"/>
  <c r="AZ9" i="30" a="1"/>
  <c r="AZ9" i="30" s="1"/>
  <c r="BB9" i="30" a="1"/>
  <c r="BB9" i="30" s="1"/>
  <c r="AH54" i="30"/>
  <c r="D136" i="30" a="1"/>
  <c r="D136" i="30" s="1"/>
  <c r="D137" i="30" s="1" a="1"/>
  <c r="D137" i="30" s="1"/>
  <c r="AB135" i="30" a="1"/>
  <c r="AB135" i="30" s="1"/>
  <c r="F181" i="30" a="1"/>
  <c r="F181" i="30" s="1"/>
  <c r="AB279" i="30" a="1"/>
  <c r="AB279" i="30" s="1"/>
  <c r="D280" i="30" a="1"/>
  <c r="D280" i="30" s="1"/>
  <c r="D281" i="30" s="1" a="1"/>
  <c r="D281" i="30" s="1"/>
  <c r="F32" i="31" a="1"/>
  <c r="F32" i="31" s="1"/>
  <c r="F33" i="31" s="1" a="1"/>
  <c r="F33" i="31" s="1"/>
  <c r="F34" i="31" s="1" a="1"/>
  <c r="F34" i="31" s="1"/>
  <c r="F35" i="31" s="1" a="1"/>
  <c r="F35" i="31" s="1"/>
  <c r="F36" i="31" s="1" a="1"/>
  <c r="F36" i="31" s="1"/>
  <c r="F37" i="31" s="1" a="1"/>
  <c r="F37" i="31" s="1"/>
  <c r="F38" i="31" s="1" a="1"/>
  <c r="F38" i="31" s="1"/>
  <c r="F39" i="31" s="1" a="1"/>
  <c r="F39" i="31" s="1"/>
  <c r="F40" i="31" s="1" a="1"/>
  <c r="F40" i="31" s="1"/>
  <c r="F41" i="31" s="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F83" i="31" a="1"/>
  <c r="F83" i="31" s="1"/>
  <c r="AF82" i="31"/>
  <c r="B82" i="31"/>
  <c r="AO82" i="31" a="1"/>
  <c r="AO82" i="31" s="1"/>
  <c r="AB82" i="31"/>
  <c r="B31" i="31"/>
  <c r="AF31" i="31"/>
  <c r="B32" i="31"/>
  <c r="AB32" i="31"/>
  <c r="AF32" i="31"/>
  <c r="B33" i="31"/>
  <c r="AB33" i="31"/>
  <c r="AF33" i="31"/>
  <c r="B34" i="31"/>
  <c r="AB34" i="31"/>
  <c r="AF34" i="31"/>
  <c r="B35" i="31"/>
  <c r="AB35" i="31"/>
  <c r="AF35" i="31"/>
  <c r="B36" i="31"/>
  <c r="AB36" i="31"/>
  <c r="AF36" i="31"/>
  <c r="B37" i="31"/>
  <c r="AB37" i="31"/>
  <c r="AF37" i="31"/>
  <c r="B38" i="31"/>
  <c r="AB38" i="31"/>
  <c r="AF38" i="31"/>
  <c r="B39" i="31"/>
  <c r="AB39" i="31"/>
  <c r="AF39" i="31"/>
  <c r="B40" i="31"/>
  <c r="AB40" i="31"/>
  <c r="AF40" i="31"/>
  <c r="B41" i="31"/>
  <c r="AB41" i="31"/>
  <c r="B43" i="31"/>
  <c r="AB43" i="31"/>
  <c r="B45" i="31"/>
  <c r="AB45" i="31"/>
  <c r="B47" i="31"/>
  <c r="AB47" i="31"/>
  <c r="B49" i="31"/>
  <c r="AB49" i="31"/>
  <c r="B51" i="31"/>
  <c r="AB51" i="31"/>
  <c r="B53" i="31"/>
  <c r="AB53" i="31"/>
  <c r="B55" i="31"/>
  <c r="AB55" i="31"/>
  <c r="B57" i="31"/>
  <c r="AB57" i="31"/>
  <c r="B59" i="31"/>
  <c r="AB59" i="31"/>
  <c r="B61" i="31"/>
  <c r="AB61" i="31"/>
  <c r="B63" i="31"/>
  <c r="AB63" i="31"/>
  <c r="B65" i="31"/>
  <c r="AB65" i="31"/>
  <c r="B67" i="31"/>
  <c r="AB67" i="31"/>
  <c r="B69" i="31"/>
  <c r="AB69" i="31"/>
  <c r="B71" i="31"/>
  <c r="AB71" i="31"/>
  <c r="B73" i="31"/>
  <c r="AB73" i="31"/>
  <c r="B75" i="31"/>
  <c r="AB75" i="31"/>
  <c r="B77" i="31"/>
  <c r="AB77" i="31"/>
  <c r="B79" i="31"/>
  <c r="AB79" i="31"/>
  <c r="AO86" i="31" a="1"/>
  <c r="AO86" i="31" s="1"/>
  <c r="AO93" i="31" a="1"/>
  <c r="AO93" i="31" s="1"/>
  <c r="AB93" i="31"/>
  <c r="B93" i="31"/>
  <c r="AO95" i="31" a="1"/>
  <c r="AO95" i="31" s="1"/>
  <c r="AB95" i="31"/>
  <c r="B95" i="31"/>
  <c r="AO97" i="31" a="1"/>
  <c r="AO97" i="31" s="1"/>
  <c r="AB97" i="31"/>
  <c r="B97" i="31"/>
  <c r="AO99" i="31" a="1"/>
  <c r="AO99" i="31" s="1"/>
  <c r="AB99" i="31"/>
  <c r="B99" i="31"/>
  <c r="AO101" i="31" a="1"/>
  <c r="AO101" i="31" s="1"/>
  <c r="AB101" i="31"/>
  <c r="B101" i="31"/>
  <c r="AO103" i="31" a="1"/>
  <c r="AO103" i="31" s="1"/>
  <c r="AB103" i="31"/>
  <c r="B103" i="31"/>
  <c r="AO105" i="31" a="1"/>
  <c r="AO105" i="31" s="1"/>
  <c r="AB105" i="31"/>
  <c r="B105" i="31"/>
  <c r="AO107" i="31" a="1"/>
  <c r="AO107" i="31" s="1"/>
  <c r="AB107" i="31"/>
  <c r="B107" i="31"/>
  <c r="AO109" i="31" a="1"/>
  <c r="AO109" i="31" s="1"/>
  <c r="AB109" i="31"/>
  <c r="B109" i="31"/>
  <c r="AO111" i="31" a="1"/>
  <c r="AO111" i="31" s="1"/>
  <c r="AB111" i="31"/>
  <c r="B111" i="31"/>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AN32" i="32" a="1"/>
  <c r="AN32" i="32" s="1"/>
  <c r="AB32" i="32"/>
  <c r="B32" i="32"/>
  <c r="AN36" i="32" a="1"/>
  <c r="AN36" i="32" s="1"/>
  <c r="AB36" i="32"/>
  <c r="B36" i="32"/>
  <c r="AN40" i="32" a="1"/>
  <c r="AN40" i="32" s="1"/>
  <c r="AB40" i="32"/>
  <c r="B40" i="32"/>
  <c r="F83" i="32"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T133" i="32" s="1"/>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AB31" i="31"/>
  <c r="AN30" i="32" a="1"/>
  <c r="AN30" i="32" s="1"/>
  <c r="AB30" i="32"/>
  <c r="B30" i="32"/>
  <c r="AN34" i="32" a="1"/>
  <c r="AN34" i="32" s="1"/>
  <c r="AB34" i="32"/>
  <c r="B34" i="32"/>
  <c r="AN38" i="32" a="1"/>
  <c r="AN38" i="32" s="1"/>
  <c r="AB38" i="32"/>
  <c r="B38" i="32"/>
  <c r="AN42" i="32" a="1"/>
  <c r="AN42" i="32" s="1"/>
  <c r="AB42" i="32"/>
  <c r="B42" i="32"/>
  <c r="AN44" i="32" a="1"/>
  <c r="AN44" i="32" s="1"/>
  <c r="AB44" i="32"/>
  <c r="B44" i="32"/>
  <c r="AN48" i="32" a="1"/>
  <c r="AN48" i="32" s="1"/>
  <c r="AB48" i="32"/>
  <c r="B48" i="32"/>
  <c r="AN52" i="32" a="1"/>
  <c r="AN52" i="32" s="1"/>
  <c r="AB52" i="32"/>
  <c r="B52" i="32"/>
  <c r="AN56" i="32" a="1"/>
  <c r="AN56" i="32" s="1"/>
  <c r="AB56" i="32"/>
  <c r="B56" i="32"/>
  <c r="AN60" i="32" a="1"/>
  <c r="AN60" i="32" s="1"/>
  <c r="AB60" i="32"/>
  <c r="B60" i="32"/>
  <c r="AN64" i="32" a="1"/>
  <c r="AN64" i="32" s="1"/>
  <c r="AB64" i="32"/>
  <c r="B64" i="32"/>
  <c r="AN68" i="32" a="1"/>
  <c r="AN68" i="32" s="1"/>
  <c r="AB68" i="32"/>
  <c r="B68" i="32"/>
  <c r="AN72" i="32" a="1"/>
  <c r="AN72" i="32" s="1"/>
  <c r="AB72" i="32"/>
  <c r="B72" i="32"/>
  <c r="AN76" i="32" a="1"/>
  <c r="AN76" i="32" s="1"/>
  <c r="AB76" i="32"/>
  <c r="B76" i="32"/>
  <c r="T76" i="33"/>
  <c r="F77" i="33" a="1"/>
  <c r="F77" i="33" s="1"/>
  <c r="B83" i="32"/>
  <c r="AB83" i="32"/>
  <c r="AN86" i="32" a="1"/>
  <c r="AN86" i="32" s="1"/>
  <c r="AB86" i="32"/>
  <c r="B86" i="32"/>
  <c r="AN90" i="32" a="1"/>
  <c r="AN90" i="32" s="1"/>
  <c r="AB90" i="32"/>
  <c r="B90" i="32"/>
  <c r="AN94" i="32" a="1"/>
  <c r="AN94" i="32" s="1"/>
  <c r="AB94" i="32"/>
  <c r="B94" i="32"/>
  <c r="AN98" i="32" a="1"/>
  <c r="AN98" i="32" s="1"/>
  <c r="AB98" i="32"/>
  <c r="B98" i="32"/>
  <c r="AN102" i="32" a="1"/>
  <c r="AN102" i="32" s="1"/>
  <c r="AB102" i="32"/>
  <c r="B102" i="32"/>
  <c r="AN106" i="32" a="1"/>
  <c r="AN106" i="32" s="1"/>
  <c r="AB106" i="32"/>
  <c r="B106" i="32"/>
  <c r="AN110" i="32" a="1"/>
  <c r="AN110" i="32" s="1"/>
  <c r="AB110" i="32"/>
  <c r="B110" i="32"/>
  <c r="AN114" i="32" a="1"/>
  <c r="AN114" i="32" s="1"/>
  <c r="AB114" i="32"/>
  <c r="B114" i="32"/>
  <c r="AN118" i="32" a="1"/>
  <c r="AN118" i="32" s="1"/>
  <c r="AB118" i="32"/>
  <c r="B118" i="32"/>
  <c r="AN122" i="32" a="1"/>
  <c r="AN122" i="32" s="1"/>
  <c r="AB122" i="32"/>
  <c r="B122" i="32"/>
  <c r="AN126" i="32" a="1"/>
  <c r="AN126" i="32" s="1"/>
  <c r="AB126" i="32"/>
  <c r="B126" i="32"/>
  <c r="AN130" i="32" a="1"/>
  <c r="AN130" i="32" s="1"/>
  <c r="AB130" i="32"/>
  <c r="B130" i="32"/>
  <c r="F166" i="33" a="1"/>
  <c r="F166" i="33" s="1"/>
  <c r="T165" i="33"/>
  <c r="AO113" i="31" a="1"/>
  <c r="AO113" i="31" s="1"/>
  <c r="AB113" i="31"/>
  <c r="B113" i="31"/>
  <c r="AO115" i="31" a="1"/>
  <c r="AO115" i="31" s="1"/>
  <c r="AB115" i="31"/>
  <c r="B115" i="31"/>
  <c r="AO117" i="31" a="1"/>
  <c r="AO117" i="31" s="1"/>
  <c r="AB117" i="31"/>
  <c r="B117" i="31"/>
  <c r="AO119" i="31" a="1"/>
  <c r="AO119" i="31" s="1"/>
  <c r="AB119" i="31"/>
  <c r="B119" i="31"/>
  <c r="AO121" i="31" a="1"/>
  <c r="AO121" i="31" s="1"/>
  <c r="AB121" i="31"/>
  <c r="B121" i="31"/>
  <c r="AO123" i="31" a="1"/>
  <c r="AO123" i="31" s="1"/>
  <c r="AB123" i="31"/>
  <c r="B123" i="31"/>
  <c r="AO125" i="31" a="1"/>
  <c r="AO125" i="31" s="1"/>
  <c r="AB125" i="31"/>
  <c r="B125" i="31"/>
  <c r="AO127" i="31" a="1"/>
  <c r="AO127" i="31" s="1"/>
  <c r="AB127" i="31"/>
  <c r="B127" i="31"/>
  <c r="AO129" i="31" a="1"/>
  <c r="AO129" i="31" s="1"/>
  <c r="AB129" i="31"/>
  <c r="B129" i="31"/>
  <c r="AO131" i="31" a="1"/>
  <c r="AO131" i="31" s="1"/>
  <c r="AB131" i="31"/>
  <c r="B131" i="31"/>
  <c r="AN46" i="32" a="1"/>
  <c r="AN46" i="32" s="1"/>
  <c r="AB46" i="32"/>
  <c r="B46" i="32"/>
  <c r="AN50" i="32" a="1"/>
  <c r="AN50" i="32" s="1"/>
  <c r="AB50" i="32"/>
  <c r="B50" i="32"/>
  <c r="AN54" i="32" a="1"/>
  <c r="AN54" i="32" s="1"/>
  <c r="AB54" i="32"/>
  <c r="B54" i="32"/>
  <c r="AN58" i="32" a="1"/>
  <c r="AN58" i="32" s="1"/>
  <c r="AB58" i="32"/>
  <c r="B58" i="32"/>
  <c r="AN62" i="32" a="1"/>
  <c r="AN62" i="32" s="1"/>
  <c r="AB62" i="32"/>
  <c r="B62" i="32"/>
  <c r="AN66" i="32" a="1"/>
  <c r="AN66" i="32" s="1"/>
  <c r="AB66" i="32"/>
  <c r="B66" i="32"/>
  <c r="AN70" i="32" a="1"/>
  <c r="AN70" i="32" s="1"/>
  <c r="AB70" i="32"/>
  <c r="B70" i="32"/>
  <c r="AN74" i="32" a="1"/>
  <c r="AN74" i="32" s="1"/>
  <c r="AB74" i="32"/>
  <c r="B74" i="32"/>
  <c r="AN78" i="32" a="1"/>
  <c r="AN78" i="32" s="1"/>
  <c r="AB78" i="32"/>
  <c r="B78" i="32"/>
  <c r="AN83" i="32" a="1"/>
  <c r="AN83" i="32" s="1"/>
  <c r="AN84" i="32" a="1"/>
  <c r="AN84" i="32" s="1"/>
  <c r="AB84" i="32"/>
  <c r="B84" i="32"/>
  <c r="AN88" i="32" a="1"/>
  <c r="AN88" i="32" s="1"/>
  <c r="AB88" i="32"/>
  <c r="B88" i="32"/>
  <c r="AN92" i="32" a="1"/>
  <c r="AN92" i="32" s="1"/>
  <c r="AB92" i="32"/>
  <c r="B92" i="32"/>
  <c r="AN96" i="32" a="1"/>
  <c r="AN96" i="32" s="1"/>
  <c r="AB96" i="32"/>
  <c r="B96" i="32"/>
  <c r="AN100" i="32" a="1"/>
  <c r="AN100" i="32" s="1"/>
  <c r="AB100" i="32"/>
  <c r="B100" i="32"/>
  <c r="AN104" i="32" a="1"/>
  <c r="AN104" i="32" s="1"/>
  <c r="AB104" i="32"/>
  <c r="B104" i="32"/>
  <c r="AN108" i="32" a="1"/>
  <c r="AN108" i="32" s="1"/>
  <c r="AB108" i="32"/>
  <c r="B108" i="32"/>
  <c r="AN112" i="32" a="1"/>
  <c r="AN112" i="32" s="1"/>
  <c r="AB112" i="32"/>
  <c r="B112" i="32"/>
  <c r="AN116" i="32" a="1"/>
  <c r="AN116" i="32" s="1"/>
  <c r="AB116" i="32"/>
  <c r="B116" i="32"/>
  <c r="AN120" i="32" a="1"/>
  <c r="AN120" i="32" s="1"/>
  <c r="AB120" i="32"/>
  <c r="B120" i="32"/>
  <c r="AN124" i="32" a="1"/>
  <c r="AN124" i="32" s="1"/>
  <c r="AB124" i="32"/>
  <c r="B124" i="32"/>
  <c r="AN128" i="32" a="1"/>
  <c r="AN128" i="32" s="1"/>
  <c r="AB128" i="32"/>
  <c r="B128" i="32"/>
  <c r="F30" i="34" a="1"/>
  <c r="F30" i="34" s="1"/>
  <c r="K29" i="34"/>
  <c r="AE18" i="34"/>
  <c r="F50" i="34" a="1"/>
  <c r="F50" i="34" s="1"/>
  <c r="AE38" i="34"/>
  <c r="L29" i="34" a="1"/>
  <c r="L29" i="34" s="1"/>
  <c r="M19" i="42"/>
  <c r="M15" i="42"/>
  <c r="M11" i="42"/>
  <c r="M16" i="42"/>
  <c r="F51" i="34" l="1" a="1"/>
  <c r="F51" i="34" s="1"/>
  <c r="F52" i="34" s="1" a="1"/>
  <c r="F52" i="34" s="1"/>
  <c r="F53" i="34" s="1" a="1"/>
  <c r="F53" i="34" s="1"/>
  <c r="F54" i="34" s="1" a="1"/>
  <c r="F54" i="34"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T166" i="33"/>
  <c r="T167" i="33" s="1" a="1"/>
  <c r="T167" i="33" s="1"/>
  <c r="F31" i="34" a="1"/>
  <c r="F31" i="34" s="1"/>
  <c r="F78" i="33" a="1"/>
  <c r="F78" i="33" s="1"/>
  <c r="T77" i="33"/>
  <c r="T78" i="33" s="1" a="1"/>
  <c r="T78" i="33" s="1"/>
  <c r="D282" i="30" a="1"/>
  <c r="D282" i="30" s="1"/>
  <c r="AB281" i="30"/>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D138" i="30" a="1"/>
  <c r="D138" i="30" s="1"/>
  <c r="AB137" i="30"/>
  <c r="D282" i="29" a="1"/>
  <c r="D282" i="29" s="1"/>
  <c r="AB281" i="29"/>
  <c r="D138" i="29" a="1"/>
  <c r="D138" i="29" s="1"/>
  <c r="AB137" i="29"/>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F38" i="29" a="1"/>
  <c r="F38" i="29" s="1"/>
  <c r="F92" i="27" a="1"/>
  <c r="F92" i="27" s="1"/>
  <c r="F93" i="27" s="1" a="1"/>
  <c r="F93" i="27" s="1"/>
  <c r="AB77" i="26"/>
  <c r="AB76" i="26"/>
  <c r="AB75" i="26"/>
  <c r="AB72" i="26"/>
  <c r="AB71" i="26"/>
  <c r="F30" i="20" a="1"/>
  <c r="F30" i="20" s="1"/>
  <c r="BM2" i="30"/>
  <c r="BK2" i="30"/>
  <c r="BI2" i="30"/>
  <c r="BG2" i="30"/>
  <c r="BE2" i="30"/>
  <c r="BC2" i="30"/>
  <c r="BA2" i="30"/>
  <c r="AY2" i="30"/>
  <c r="AW2" i="30"/>
  <c r="AU2" i="30"/>
  <c r="AS2" i="30"/>
  <c r="AQ2" i="30"/>
  <c r="AO2" i="30"/>
  <c r="AM2" i="30"/>
  <c r="AK2" i="30"/>
  <c r="BL2" i="30"/>
  <c r="BJ2" i="30"/>
  <c r="BH2" i="30"/>
  <c r="BF2" i="30"/>
  <c r="AR2" i="30"/>
  <c r="AP2" i="30"/>
  <c r="AN2" i="30"/>
  <c r="AL2" i="30"/>
  <c r="BL2" i="29"/>
  <c r="BJ2" i="29"/>
  <c r="BH2" i="29"/>
  <c r="BF2" i="29"/>
  <c r="BB2" i="29"/>
  <c r="AZ2" i="29"/>
  <c r="AX2" i="29"/>
  <c r="AV2" i="29"/>
  <c r="AT2" i="29"/>
  <c r="AR2" i="29"/>
  <c r="AP2" i="29"/>
  <c r="AN2" i="29"/>
  <c r="AL2" i="29"/>
  <c r="BM2" i="29"/>
  <c r="BK2" i="29"/>
  <c r="BI2" i="29"/>
  <c r="BG2" i="29"/>
  <c r="BE2" i="29"/>
  <c r="AS2" i="29"/>
  <c r="AQ2" i="29"/>
  <c r="AO2" i="29"/>
  <c r="AM2" i="29"/>
  <c r="AK2" i="29"/>
  <c r="AW2" i="24"/>
  <c r="AU2" i="24"/>
  <c r="AS2" i="24"/>
  <c r="AQ2" i="24"/>
  <c r="BC2" i="23"/>
  <c r="BA2" i="23"/>
  <c r="AY2" i="23"/>
  <c r="AW2" i="23"/>
  <c r="BB2" i="22"/>
  <c r="AZ2" i="22"/>
  <c r="AX2" i="22"/>
  <c r="AV2" i="22"/>
  <c r="AT2" i="22"/>
  <c r="FW2" i="27"/>
  <c r="FU2" i="27"/>
  <c r="FS2" i="27"/>
  <c r="FQ2" i="27"/>
  <c r="FO2" i="27"/>
  <c r="FM2" i="27"/>
  <c r="FK2" i="27"/>
  <c r="FI2" i="27"/>
  <c r="FG2" i="27"/>
  <c r="FE2" i="27"/>
  <c r="FC2" i="27"/>
  <c r="FA2" i="27"/>
  <c r="EY2" i="27"/>
  <c r="EW2" i="27"/>
  <c r="EU2" i="27"/>
  <c r="ES2" i="27"/>
  <c r="EQ2" i="27"/>
  <c r="EO2" i="27"/>
  <c r="EM2" i="27"/>
  <c r="EK2" i="27"/>
  <c r="EI2" i="27"/>
  <c r="EG2" i="27"/>
  <c r="EE2" i="27"/>
  <c r="EC2" i="27"/>
  <c r="EA2" i="27"/>
  <c r="DY2" i="27"/>
  <c r="DW2" i="27"/>
  <c r="DU2" i="27"/>
  <c r="DS2" i="27"/>
  <c r="DQ2" i="27"/>
  <c r="DO2" i="27"/>
  <c r="DM2" i="27"/>
  <c r="DK2" i="27"/>
  <c r="DI2" i="27"/>
  <c r="DG2" i="27"/>
  <c r="DE2" i="27"/>
  <c r="DC2" i="27"/>
  <c r="DA2" i="27"/>
  <c r="CY2" i="27"/>
  <c r="CW2" i="27"/>
  <c r="CU2" i="27"/>
  <c r="CS2" i="27"/>
  <c r="CQ2" i="27"/>
  <c r="CO2" i="27"/>
  <c r="CM2" i="27"/>
  <c r="CK2" i="27"/>
  <c r="CI2" i="27"/>
  <c r="CG2" i="27"/>
  <c r="CE2" i="27"/>
  <c r="CC2" i="27"/>
  <c r="CA2" i="27"/>
  <c r="BY2" i="27"/>
  <c r="BW2" i="27"/>
  <c r="BU2" i="27"/>
  <c r="BS2" i="27"/>
  <c r="BQ2" i="27"/>
  <c r="BO2" i="27"/>
  <c r="BM2" i="27"/>
  <c r="BK2" i="27"/>
  <c r="BI2" i="27"/>
  <c r="BG2" i="27"/>
  <c r="BE2" i="27"/>
  <c r="BC2" i="27"/>
  <c r="BA2" i="27"/>
  <c r="AY2" i="27"/>
  <c r="AW2" i="27"/>
  <c r="AU2" i="27"/>
  <c r="AS2" i="27"/>
  <c r="AQ2" i="27"/>
  <c r="AO2" i="27"/>
  <c r="AM2" i="27"/>
  <c r="AK2" i="27"/>
  <c r="AI2" i="27"/>
  <c r="AG2" i="27"/>
  <c r="AX2" i="24"/>
  <c r="AV2" i="24"/>
  <c r="AT2" i="24"/>
  <c r="AR2" i="24"/>
  <c r="AP2" i="24"/>
  <c r="AN2" i="24"/>
  <c r="AL2" i="24"/>
  <c r="AJ2" i="24"/>
  <c r="AH2" i="24"/>
  <c r="AF2" i="24"/>
  <c r="BD2" i="23"/>
  <c r="BB2" i="23"/>
  <c r="AZ2" i="23"/>
  <c r="AX2" i="23"/>
  <c r="AV2" i="23"/>
  <c r="AT2" i="23"/>
  <c r="AR2" i="23"/>
  <c r="AP2" i="23"/>
  <c r="AN2" i="23"/>
  <c r="AL2" i="23"/>
  <c r="BA2" i="22"/>
  <c r="AY2" i="22"/>
  <c r="AW2" i="22"/>
  <c r="AU2" i="22"/>
  <c r="AQ2" i="22"/>
  <c r="AO2" i="22"/>
  <c r="AM2" i="22"/>
  <c r="AK2" i="22"/>
  <c r="AI2" i="22"/>
  <c r="AI2" i="20"/>
  <c r="BA2" i="18"/>
  <c r="AY2" i="18"/>
  <c r="AW2" i="18"/>
  <c r="AU2" i="18"/>
  <c r="BB2" i="16"/>
  <c r="AZ2" i="16"/>
  <c r="AX2" i="16"/>
  <c r="AV2" i="16"/>
  <c r="AT2" i="16"/>
  <c r="AR2" i="16"/>
  <c r="AP2" i="16"/>
  <c r="AN2" i="16"/>
  <c r="AL2" i="16"/>
  <c r="AJ2" i="16"/>
  <c r="BA2" i="15"/>
  <c r="AY2" i="15"/>
  <c r="AW2" i="15"/>
  <c r="AU2" i="15"/>
  <c r="AS2" i="15"/>
  <c r="AQ2" i="15"/>
  <c r="AO2" i="15"/>
  <c r="AM2" i="15"/>
  <c r="AK2" i="15"/>
  <c r="BB2" i="14"/>
  <c r="AZ2" i="14"/>
  <c r="AX2" i="14"/>
  <c r="AV2" i="14"/>
  <c r="AT2" i="14"/>
  <c r="AR2" i="14"/>
  <c r="AP2" i="14"/>
  <c r="AN2" i="14"/>
  <c r="AL2" i="14"/>
  <c r="AJ2" i="14"/>
  <c r="BA2" i="13"/>
  <c r="AY2" i="13"/>
  <c r="AW2" i="13"/>
  <c r="AU2" i="13"/>
  <c r="AQ2" i="13"/>
  <c r="AO2" i="13"/>
  <c r="AM2" i="13"/>
  <c r="AK2" i="13"/>
  <c r="AI2" i="13"/>
  <c r="BB2" i="11"/>
  <c r="AZ2" i="11"/>
  <c r="AX2" i="11"/>
  <c r="AV2" i="11"/>
  <c r="AT2" i="11"/>
  <c r="AR2" i="11"/>
  <c r="AP2" i="11"/>
  <c r="AN2" i="11"/>
  <c r="AL2" i="11"/>
  <c r="AJ2" i="11"/>
  <c r="AZ2" i="10"/>
  <c r="AX2" i="10"/>
  <c r="AV2" i="10"/>
  <c r="AT2" i="10"/>
  <c r="AQ2" i="10"/>
  <c r="AO2" i="10"/>
  <c r="AM2" i="10"/>
  <c r="AK2" i="10"/>
  <c r="AI2" i="10"/>
  <c r="BF2" i="9"/>
  <c r="BD2" i="9"/>
  <c r="BB2" i="9"/>
  <c r="AZ2" i="9"/>
  <c r="AX2" i="9"/>
  <c r="AV2" i="9"/>
  <c r="AT2" i="9"/>
  <c r="AR2" i="9"/>
  <c r="AP2" i="9"/>
  <c r="BB2" i="18"/>
  <c r="AZ2" i="18"/>
  <c r="AX2" i="18"/>
  <c r="AV2" i="18"/>
  <c r="AT2" i="18"/>
  <c r="AR2" i="18"/>
  <c r="AP2" i="18"/>
  <c r="AN2" i="18"/>
  <c r="AL2" i="18"/>
  <c r="AJ2" i="18"/>
  <c r="BA2" i="16"/>
  <c r="AY2" i="16"/>
  <c r="AW2" i="16"/>
  <c r="AU2" i="16"/>
  <c r="AS2" i="16"/>
  <c r="AQ2" i="16"/>
  <c r="AO2" i="16"/>
  <c r="AM2" i="16"/>
  <c r="AK2" i="16"/>
  <c r="AI2" i="16"/>
  <c r="BB2" i="15"/>
  <c r="AZ2" i="15"/>
  <c r="AX2" i="15"/>
  <c r="AV2" i="15"/>
  <c r="AT2" i="15"/>
  <c r="AR2" i="15"/>
  <c r="AP2" i="15"/>
  <c r="AN2" i="15"/>
  <c r="AL2" i="15"/>
  <c r="AJ2" i="15"/>
  <c r="BA2" i="14"/>
  <c r="AY2" i="14"/>
  <c r="AW2" i="14"/>
  <c r="AU2" i="14"/>
  <c r="BB2" i="13"/>
  <c r="AZ2" i="13"/>
  <c r="AX2" i="13"/>
  <c r="AV2" i="13"/>
  <c r="AT2" i="13"/>
  <c r="AR2" i="13"/>
  <c r="AP2" i="13"/>
  <c r="AN2" i="13"/>
  <c r="AL2" i="13"/>
  <c r="AJ2" i="13"/>
  <c r="BA2" i="11"/>
  <c r="AY2" i="11"/>
  <c r="AW2" i="11"/>
  <c r="AU2" i="11"/>
  <c r="F36" i="27" a="1"/>
  <c r="F36" i="27" s="1"/>
  <c r="F37" i="27" s="1" a="1"/>
  <c r="F37" i="27" s="1"/>
  <c r="F35" i="26" a="1"/>
  <c r="F35" i="26" s="1"/>
  <c r="F85" i="23" a="1"/>
  <c r="F85" i="23" s="1"/>
  <c r="K84" i="23"/>
  <c r="F56" i="23" a="1"/>
  <c r="F56" i="23" s="1"/>
  <c r="K55" i="23"/>
  <c r="F44" i="22" a="1"/>
  <c r="F44" i="22" s="1"/>
  <c r="K43" i="22"/>
  <c r="F30" i="22" a="1"/>
  <c r="F30" i="22" s="1"/>
  <c r="K29" i="22"/>
  <c r="F44" i="21" a="1"/>
  <c r="F44" i="21" s="1"/>
  <c r="F45" i="21" s="1" a="1"/>
  <c r="F45" i="21" s="1"/>
  <c r="F46" i="21" s="1" a="1"/>
  <c r="F46" i="21" s="1"/>
  <c r="F47" i="21" s="1" a="1"/>
  <c r="F47" i="21" s="1"/>
  <c r="F48" i="21" s="1" a="1"/>
  <c r="F48" i="21" s="1"/>
  <c r="F49" i="21" s="1" a="1"/>
  <c r="F49" i="21" s="1"/>
  <c r="F32" i="21" a="1"/>
  <c r="F32" i="21" s="1"/>
  <c r="F33" i="21" s="1" a="1"/>
  <c r="F33" i="21" s="1"/>
  <c r="F34" i="21" s="1" a="1"/>
  <c r="F34" i="21" s="1"/>
  <c r="F35" i="21" s="1" a="1"/>
  <c r="F35" i="21" s="1"/>
  <c r="F36" i="21" s="1" a="1"/>
  <c r="F36" i="21" s="1"/>
  <c r="F37" i="21" s="1" a="1"/>
  <c r="F37" i="21" s="1"/>
  <c r="F61" i="18" a="1"/>
  <c r="F61" i="18" s="1"/>
  <c r="F62" i="18" s="1" a="1"/>
  <c r="F62" i="18" s="1"/>
  <c r="F63" i="18" s="1" a="1"/>
  <c r="F63" i="18" s="1"/>
  <c r="T60" i="18"/>
  <c r="T61" i="18" s="1" a="1"/>
  <c r="T61" i="18" s="1"/>
  <c r="AS2" i="14"/>
  <c r="AO2" i="14"/>
  <c r="AK2" i="14"/>
  <c r="S107" i="11"/>
  <c r="S28" i="11"/>
  <c r="S81" i="11"/>
  <c r="S65" i="11"/>
  <c r="AS2" i="11"/>
  <c r="AO2" i="11"/>
  <c r="AK2" i="11"/>
  <c r="AY2" i="10"/>
  <c r="AU2" i="10"/>
  <c r="AP2" i="10"/>
  <c r="AL2" i="10"/>
  <c r="BC2" i="9"/>
  <c r="AY2" i="9"/>
  <c r="AU2" i="9"/>
  <c r="AQ2" i="9"/>
  <c r="F40" i="17" a="1"/>
  <c r="F40" i="17" s="1"/>
  <c r="AF39" i="17" a="1"/>
  <c r="AF39" i="17" s="1"/>
  <c r="AF40" i="17" s="1"/>
  <c r="AF38" i="17" s="1"/>
  <c r="AE39" i="17" a="1"/>
  <c r="AE39" i="17" s="1"/>
  <c r="AE40" i="17" s="1"/>
  <c r="AE38" i="17" s="1"/>
  <c r="AE2" i="17"/>
  <c r="AI2" i="15"/>
  <c r="F55" i="14" a="1"/>
  <c r="F55" i="14" s="1"/>
  <c r="F56" i="14" s="1" a="1"/>
  <c r="F56" i="14" s="1"/>
  <c r="F57" i="14" s="1" a="1"/>
  <c r="F57" i="14" s="1"/>
  <c r="T54" i="14"/>
  <c r="T55" i="14" s="1" a="1"/>
  <c r="T55" i="14" s="1"/>
  <c r="T56" i="14" s="1" a="1"/>
  <c r="T56" i="14" s="1"/>
  <c r="F35" i="14" a="1"/>
  <c r="F35" i="14" s="1"/>
  <c r="T34" i="14"/>
  <c r="T35" i="14" s="1" a="1"/>
  <c r="T35" i="14" s="1"/>
  <c r="T36" i="14" s="1" a="1"/>
  <c r="T36" i="14" s="1"/>
  <c r="F34" i="13" a="1"/>
  <c r="F34" i="13" s="1"/>
  <c r="T33" i="13"/>
  <c r="F30" i="13" a="1"/>
  <c r="F30" i="13" s="1"/>
  <c r="T29" i="13"/>
  <c r="AS2" i="13"/>
  <c r="B181" i="28"/>
  <c r="B182" i="28"/>
  <c r="AB30" i="8" a="1"/>
  <c r="AB30" i="8" s="1"/>
  <c r="W30" i="8" a="1"/>
  <c r="W30" i="8" s="1"/>
  <c r="AC48" i="7"/>
  <c r="B41" i="7" a="1"/>
  <c r="B41" i="7" s="1"/>
  <c r="F32" i="6" a="1"/>
  <c r="F32" i="6" s="1"/>
  <c r="U31" i="6"/>
  <c r="AQ2" i="18"/>
  <c r="AM2" i="18"/>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S29" i="27" a="1"/>
  <c r="S29" i="27" s="1"/>
  <c r="B78" i="27" s="1" a="1"/>
  <c r="B78" i="27" s="1"/>
  <c r="B79" i="27" s="1" a="1"/>
  <c r="B79" i="27" s="1"/>
  <c r="B80" i="27" s="1" a="1"/>
  <c r="B80" i="27" s="1"/>
  <c r="B81" i="27" s="1" a="1"/>
  <c r="B81" i="27" s="1"/>
  <c r="B82" i="27" s="1" a="1"/>
  <c r="B82" i="27" s="1"/>
  <c r="B83" i="27" s="1" a="1"/>
  <c r="B83" i="27" s="1"/>
  <c r="R81" i="11" a="1"/>
  <c r="R81" i="11" s="1"/>
  <c r="T81" i="11" s="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R65" i="11" a="1"/>
  <c r="R65" i="11" s="1"/>
  <c r="R107" i="11" a="1"/>
  <c r="R107" i="11" s="1"/>
  <c r="R28" i="11" a="1"/>
  <c r="R28" i="11" s="1"/>
  <c r="T28" i="11" s="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F84" i="31" a="1"/>
  <c r="F84" i="31" s="1"/>
  <c r="AF83" i="31"/>
  <c r="F38" i="30" a="1"/>
  <c r="F38" i="30" s="1"/>
  <c r="F39" i="30" s="1" a="1"/>
  <c r="F39" i="30" s="1"/>
  <c r="F40" i="30" s="1" a="1"/>
  <c r="F40" i="30" s="1"/>
  <c r="F41" i="30" s="1" a="1"/>
  <c r="F41" i="30" s="1"/>
  <c r="F42" i="30" s="1" a="1"/>
  <c r="F42" i="30" s="1"/>
  <c r="F43" i="30" s="1" a="1"/>
  <c r="F43" i="30" s="1"/>
  <c r="F44" i="30" s="1" a="1"/>
  <c r="F44" i="30" s="1"/>
  <c r="F45" i="30" s="1" a="1"/>
  <c r="F45" i="30" s="1"/>
  <c r="F46" i="30" s="1" a="1"/>
  <c r="F46" i="30" s="1"/>
  <c r="F47" i="30" s="1" a="1"/>
  <c r="F47" i="30" s="1"/>
  <c r="F48" i="30" s="1" a="1"/>
  <c r="F48" i="30" s="1"/>
  <c r="F49" i="30" s="1" a="1"/>
  <c r="F49" i="30" s="1"/>
  <c r="F50" i="30" s="1" a="1"/>
  <c r="F50" i="30" s="1"/>
  <c r="F51" i="30" s="1" a="1"/>
  <c r="F51" i="30" s="1"/>
  <c r="F120" i="28" a="1"/>
  <c r="F120" i="28" s="1"/>
  <c r="AN119" i="28"/>
  <c r="F35" i="28" a="1"/>
  <c r="F35" i="28" s="1"/>
  <c r="AN34" i="28"/>
  <c r="AB113" i="26"/>
  <c r="AB109" i="26"/>
  <c r="AB112" i="26"/>
  <c r="F86" i="26" a="1"/>
  <c r="F86" i="26" s="1"/>
  <c r="AB61" i="26"/>
  <c r="AB62" i="26"/>
  <c r="AB58" i="26"/>
  <c r="AO2" i="24"/>
  <c r="AK2" i="24"/>
  <c r="AG2" i="24"/>
  <c r="AE2" i="24"/>
  <c r="AS2" i="23"/>
  <c r="AO2" i="23"/>
  <c r="F55" i="19" a="1"/>
  <c r="F55" i="19" s="1"/>
  <c r="F56" i="19" s="1" a="1"/>
  <c r="F56" i="19" s="1"/>
  <c r="F57" i="19" s="1" a="1"/>
  <c r="F57" i="19" s="1"/>
  <c r="T54" i="19"/>
  <c r="T55" i="19" s="1" a="1"/>
  <c r="T55" i="19" s="1"/>
  <c r="T56" i="19" s="1" a="1"/>
  <c r="T56" i="19" s="1"/>
  <c r="H86" i="28"/>
  <c r="H85" i="28"/>
  <c r="AS2" i="22"/>
  <c r="AJ2" i="21"/>
  <c r="F49" i="20" a="1"/>
  <c r="F49" i="20" s="1"/>
  <c r="T29" i="19"/>
  <c r="T30" i="19" s="1" a="1"/>
  <c r="T30" i="19" s="1"/>
  <c r="T31" i="19" s="1" a="1"/>
  <c r="T31" i="19" s="1"/>
  <c r="F30" i="19" a="1"/>
  <c r="F30" i="19" s="1"/>
  <c r="AI2" i="19"/>
  <c r="T30" i="18"/>
  <c r="T31" i="18" s="1" a="1"/>
  <c r="T31" i="18" s="1"/>
  <c r="F31" i="18" a="1"/>
  <c r="F31" i="18" s="1"/>
  <c r="AQ2" i="14"/>
  <c r="AM2" i="14"/>
  <c r="AQ2" i="11"/>
  <c r="AM2" i="11"/>
  <c r="BA2" i="10"/>
  <c r="AW2" i="10"/>
  <c r="AS2" i="10"/>
  <c r="AN2" i="10"/>
  <c r="AJ2" i="10"/>
  <c r="BE2" i="9"/>
  <c r="BA2" i="9"/>
  <c r="AW2" i="9"/>
  <c r="AS2" i="9"/>
  <c r="AO2" i="9"/>
  <c r="AC36" i="7"/>
  <c r="B29" i="7" a="1"/>
  <c r="B29" i="7" s="1"/>
  <c r="AI2" i="11"/>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S85" i="27" a="1"/>
  <c r="S85" i="27" s="1"/>
  <c r="B134" i="27" s="1" a="1"/>
  <c r="B134" i="27" s="1"/>
  <c r="B135" i="27" s="1" a="1"/>
  <c r="B135" i="27" s="1"/>
  <c r="B136" i="27" s="1" a="1"/>
  <c r="B136" i="27" s="1"/>
  <c r="B137" i="27" s="1" a="1"/>
  <c r="B137" i="27" s="1"/>
  <c r="B138" i="27" s="1" a="1"/>
  <c r="B138" i="27" s="1"/>
  <c r="B139" i="27" s="1" a="1"/>
  <c r="B139" i="27" s="1"/>
  <c r="R198" i="11" a="1"/>
  <c r="R198" i="11" s="1"/>
  <c r="R119" i="11" a="1"/>
  <c r="R119" i="11" s="1"/>
  <c r="R172" i="11" a="1"/>
  <c r="R172" i="11" s="1"/>
  <c r="R156" i="11" a="1"/>
  <c r="R156" i="11" s="1"/>
  <c r="F69" i="9" a="1"/>
  <c r="F69" i="9" s="1"/>
  <c r="F70" i="9" s="1" a="1"/>
  <c r="F70" i="9" s="1"/>
  <c r="U68" i="9"/>
  <c r="U69" i="9" s="1" a="1"/>
  <c r="U69" i="9" s="1"/>
  <c r="F42" i="9" a="1"/>
  <c r="F42" i="9" s="1"/>
  <c r="U41" i="9"/>
  <c r="U42" i="9" s="1" a="1"/>
  <c r="U42" i="9" s="1"/>
  <c r="AS2" i="18"/>
  <c r="AO2" i="18"/>
  <c r="AK2" i="18"/>
  <c r="AI2" i="18"/>
  <c r="F33" i="17" a="1"/>
  <c r="F33" i="17" s="1"/>
  <c r="AF32" i="17" a="1"/>
  <c r="AF32" i="17" s="1"/>
  <c r="AF33" i="17" s="1"/>
  <c r="AF31" i="17" s="1"/>
  <c r="AE32" i="17" a="1"/>
  <c r="AE32" i="17" s="1"/>
  <c r="AE33" i="17" s="1"/>
  <c r="AE31" i="17" s="1"/>
  <c r="AF2" i="17"/>
  <c r="AI2" i="14"/>
  <c r="B94" i="28"/>
  <c r="B95" i="28"/>
  <c r="F43" i="9" l="1" a="1"/>
  <c r="F43" i="9" s="1"/>
  <c r="F71" i="9" a="1"/>
  <c r="F71" i="9" s="1"/>
  <c r="U70" i="9"/>
  <c r="F31" i="19" a="1"/>
  <c r="F31" i="19" s="1"/>
  <c r="F87" i="26" a="1"/>
  <c r="F87" i="26" s="1"/>
  <c r="AJ30" i="28"/>
  <c r="AJ29" i="28" s="1"/>
  <c r="AK30" i="28"/>
  <c r="AK29" i="28" s="1"/>
  <c r="AG30" i="28"/>
  <c r="AJ115" i="28"/>
  <c r="AJ114" i="28" s="1"/>
  <c r="AK115" i="28"/>
  <c r="AK114" i="28" s="1"/>
  <c r="AG115" i="28"/>
  <c r="AF30" i="28"/>
  <c r="AF29" i="28" s="1"/>
  <c r="AI30" i="28"/>
  <c r="AE30" i="28"/>
  <c r="AE29" i="28" s="1"/>
  <c r="AF115" i="28"/>
  <c r="AF114" i="28" s="1"/>
  <c r="AI115" i="28"/>
  <c r="AE115" i="28"/>
  <c r="AE114" i="28" s="1"/>
  <c r="F36" i="14" a="1"/>
  <c r="F36" i="14" s="1"/>
  <c r="F58" i="14" a="1"/>
  <c r="F58" i="14" s="1"/>
  <c r="F59" i="14" s="1" a="1"/>
  <c r="F59" i="14" s="1"/>
  <c r="T57" i="14"/>
  <c r="T58" i="14" s="1" a="1"/>
  <c r="T58" i="14" s="1"/>
  <c r="F45" i="22" a="1"/>
  <c r="F45" i="22" s="1"/>
  <c r="K44" i="22"/>
  <c r="F86" i="23" a="1"/>
  <c r="F86" i="23" s="1"/>
  <c r="K85" i="23"/>
  <c r="F36" i="26" a="1"/>
  <c r="F36" i="26" s="1"/>
  <c r="F38" i="27" a="1"/>
  <c r="F38" i="27" s="1"/>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AC32" i="7"/>
  <c r="B31" i="7" a="1"/>
  <c r="B31" i="7" s="1"/>
  <c r="AC30" i="7"/>
  <c r="F32" i="18" a="1"/>
  <c r="F32" i="18" s="1"/>
  <c r="F58" i="19" a="1"/>
  <c r="F58" i="19" s="1"/>
  <c r="T57" i="19"/>
  <c r="T58" i="19" s="1" a="1"/>
  <c r="T58" i="19" s="1"/>
  <c r="T59" i="19" s="1" a="1"/>
  <c r="T59" i="19" s="1"/>
  <c r="AG85" i="26"/>
  <c r="F36" i="28" a="1"/>
  <c r="F36" i="28" s="1"/>
  <c r="AN35" i="28"/>
  <c r="F121" i="28" a="1"/>
  <c r="F121" i="28" s="1"/>
  <c r="AN120" i="28"/>
  <c r="F52" i="30" a="1"/>
  <c r="F52" i="30" s="1"/>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AB55" i="9" a="1"/>
  <c r="AB55" i="9" s="1"/>
  <c r="W55" i="9" a="1"/>
  <c r="W55" i="9" s="1"/>
  <c r="T65" i="1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T63" i="18"/>
  <c r="T64" i="18" s="1" a="1"/>
  <c r="T64" i="18" s="1"/>
  <c r="F64" i="18" a="1"/>
  <c r="F64" i="18" s="1"/>
  <c r="F65" i="18" s="1" a="1"/>
  <c r="F65" i="18" s="1"/>
  <c r="T49" i="21"/>
  <c r="F50" i="21" a="1"/>
  <c r="F50" i="21" s="1"/>
  <c r="T50" i="21" s="1"/>
  <c r="AG34" i="26"/>
  <c r="F94" i="27" a="1"/>
  <c r="F94" i="27" s="1"/>
  <c r="F39" i="29" a="1"/>
  <c r="F39" i="29" s="1"/>
  <c r="F40" i="29" s="1" a="1"/>
  <c r="F40" i="29" s="1"/>
  <c r="F41" i="29" s="1" a="1"/>
  <c r="F41" i="29" s="1"/>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196" i="29" a="1"/>
  <c r="F196" i="29" s="1"/>
  <c r="D139" i="29" a="1"/>
  <c r="D139" i="29" s="1"/>
  <c r="AB138" i="29"/>
  <c r="D283" i="29" a="1"/>
  <c r="D283" i="29" s="1"/>
  <c r="AB282" i="29"/>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T92" i="33" a="1"/>
  <c r="T92" i="33" s="1"/>
  <c r="T93" i="33" s="1" a="1"/>
  <c r="T93" i="33" s="1"/>
  <c r="T94" i="33" s="1" a="1"/>
  <c r="T94" i="33" s="1"/>
  <c r="T95" i="33" s="1" a="1"/>
  <c r="T95" i="33" s="1"/>
  <c r="T96" i="33" s="1" a="1"/>
  <c r="T96" i="33" s="1"/>
  <c r="T97" i="33" s="1" a="1"/>
  <c r="T97" i="33" s="1"/>
  <c r="T98" i="33" s="1" a="1"/>
  <c r="T98" i="33" s="1"/>
  <c r="F32" i="34" a="1"/>
  <c r="F32" i="34" s="1"/>
  <c r="F33" i="34" s="1" a="1"/>
  <c r="F33" i="34" s="1"/>
  <c r="F34" i="34" s="1" a="1"/>
  <c r="F34" i="34" s="1"/>
  <c r="F35" i="34" s="1" a="1"/>
  <c r="F35" i="34" s="1"/>
  <c r="T181" i="33" a="1"/>
  <c r="T181" i="33" s="1"/>
  <c r="T182" i="33" s="1" a="1"/>
  <c r="T182" i="33" s="1"/>
  <c r="T183" i="33" s="1" a="1"/>
  <c r="T183" i="33" s="1"/>
  <c r="T184" i="33" s="1" a="1"/>
  <c r="T184" i="33" s="1"/>
  <c r="T185" i="33" s="1" a="1"/>
  <c r="T185" i="33" s="1"/>
  <c r="T186" i="33" s="1" a="1"/>
  <c r="T186" i="33" s="1"/>
  <c r="T187" i="33" s="1" a="1"/>
  <c r="T187" i="33" s="1"/>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F50" i="20" a="1"/>
  <c r="F50" i="20" s="1"/>
  <c r="K49" i="20"/>
  <c r="AB59" i="26"/>
  <c r="AB60" i="26"/>
  <c r="AB111" i="26"/>
  <c r="AB110" i="26"/>
  <c r="F85" i="31" a="1"/>
  <c r="F85" i="31" s="1"/>
  <c r="AF84" i="31"/>
  <c r="AC44" i="7"/>
  <c r="B43" i="7" a="1"/>
  <c r="B43" i="7" s="1"/>
  <c r="AC42" i="7"/>
  <c r="T107" i="1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T37" i="21"/>
  <c r="F38" i="21" a="1"/>
  <c r="F38" i="21" s="1"/>
  <c r="T38" i="21" s="1"/>
  <c r="F31" i="22" a="1"/>
  <c r="F31" i="22" s="1"/>
  <c r="K30" i="22"/>
  <c r="F57" i="23" a="1"/>
  <c r="F57" i="23" s="1"/>
  <c r="K56" i="23"/>
  <c r="F31" i="20" a="1"/>
  <c r="F31" i="20" s="1"/>
  <c r="K30" i="20"/>
  <c r="D139" i="30" a="1"/>
  <c r="D139" i="30" s="1"/>
  <c r="AB138" i="30"/>
  <c r="F196" i="30" a="1"/>
  <c r="F196" i="30" s="1"/>
  <c r="D283" i="30" a="1"/>
  <c r="D283" i="30" s="1"/>
  <c r="AB282" i="30"/>
  <c r="F79" i="33" a="1"/>
  <c r="F79" i="33" s="1"/>
  <c r="F80" i="33" s="1" a="1"/>
  <c r="F80" i="33" s="1"/>
  <c r="F81" i="33" s="1" a="1"/>
  <c r="F81" i="33" s="1"/>
  <c r="F82" i="33" s="1" a="1"/>
  <c r="F82" i="33" s="1"/>
  <c r="F83" i="33" s="1"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T202" i="33"/>
  <c r="F203" i="33" a="1"/>
  <c r="F203" i="33" s="1"/>
  <c r="AE54" i="34"/>
  <c r="AF54" i="34"/>
  <c r="F55" i="34" a="1"/>
  <c r="F55" i="34" s="1"/>
  <c r="F32" i="22" l="1" a="1"/>
  <c r="F32" i="22" s="1"/>
  <c r="K31" i="22"/>
  <c r="F197" i="29" a="1"/>
  <c r="F197" i="29" s="1"/>
  <c r="F198" i="29" s="1" a="1"/>
  <c r="F198" i="29" s="1"/>
  <c r="F122" i="28" a="1"/>
  <c r="F122" i="28" s="1"/>
  <c r="AN121" i="28"/>
  <c r="F46" i="22" a="1"/>
  <c r="F46" i="22" s="1"/>
  <c r="K45" i="22"/>
  <c r="T59" i="14"/>
  <c r="T60" i="14" s="1" a="1"/>
  <c r="T60" i="14" s="1"/>
  <c r="T61" i="14" s="1" a="1"/>
  <c r="T61" i="14" s="1"/>
  <c r="T62" i="14" s="1" a="1"/>
  <c r="T62" i="14" s="1"/>
  <c r="T63" i="14" s="1" a="1"/>
  <c r="T63" i="14" s="1"/>
  <c r="T64" i="14" s="1" a="1"/>
  <c r="T64" i="14" s="1"/>
  <c r="T65" i="14" s="1" a="1"/>
  <c r="T65" i="14" s="1"/>
  <c r="F60" i="14" a="1"/>
  <c r="F60" i="14" s="1"/>
  <c r="F61" i="14" s="1" a="1"/>
  <c r="F61" i="14" s="1"/>
  <c r="F62" i="14" s="1" a="1"/>
  <c r="F62" i="14" s="1"/>
  <c r="F63" i="14" s="1" a="1"/>
  <c r="F63" i="14" s="1"/>
  <c r="F64" i="14" s="1" a="1"/>
  <c r="F64" i="14" s="1"/>
  <c r="F65" i="14" s="1" a="1"/>
  <c r="F65" i="14" s="1"/>
  <c r="F66" i="14" s="1" a="1"/>
  <c r="F66" i="14" s="1"/>
  <c r="T66" i="14" s="1"/>
  <c r="F37" i="14" a="1"/>
  <c r="F37" i="14" s="1"/>
  <c r="AL115" i="28"/>
  <c r="AI114" i="28"/>
  <c r="AH30" i="28"/>
  <c r="AG29" i="28"/>
  <c r="F72" i="9" a="1"/>
  <c r="F72" i="9" s="1"/>
  <c r="F73" i="9" s="1" a="1"/>
  <c r="F73" i="9" s="1"/>
  <c r="U71" i="9"/>
  <c r="U72" i="9" s="1" a="1"/>
  <c r="U72" i="9" s="1"/>
  <c r="F44" i="9" a="1"/>
  <c r="F44" i="9" s="1"/>
  <c r="U43" i="9"/>
  <c r="AE55" i="34"/>
  <c r="F56" i="34" a="1"/>
  <c r="F56" i="34" s="1"/>
  <c r="AF55" i="34"/>
  <c r="F86" i="31" a="1"/>
  <c r="F86" i="31" s="1"/>
  <c r="AF85" i="31"/>
  <c r="T190" i="33"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AE35" i="34"/>
  <c r="F36" i="34" a="1"/>
  <c r="F36" i="34" s="1"/>
  <c r="AF35" i="34"/>
  <c r="F204" i="33" a="1"/>
  <c r="F204" i="33" s="1"/>
  <c r="T203" i="33"/>
  <c r="T204" i="33" s="1" a="1"/>
  <c r="T204" i="33" s="1"/>
  <c r="F114" i="33" a="1"/>
  <c r="F114" i="33" s="1"/>
  <c r="T113" i="33"/>
  <c r="D284" i="30" a="1"/>
  <c r="D284" i="30" s="1"/>
  <c r="AB283" i="30"/>
  <c r="F197" i="30" a="1"/>
  <c r="F197" i="30" s="1"/>
  <c r="F198" i="30" s="1" a="1"/>
  <c r="F198" i="30" s="1"/>
  <c r="D140" i="30" a="1"/>
  <c r="D140" i="30" s="1"/>
  <c r="AB139" i="30"/>
  <c r="F32" i="20" a="1"/>
  <c r="F32" i="20" s="1"/>
  <c r="K31" i="20"/>
  <c r="F51" i="20" a="1"/>
  <c r="F51" i="20" s="1"/>
  <c r="K50" i="20"/>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D284" i="29" a="1"/>
  <c r="D284" i="29" s="1"/>
  <c r="AB283" i="29"/>
  <c r="D140" i="29" a="1"/>
  <c r="D140" i="29" s="1"/>
  <c r="AB139" i="29"/>
  <c r="F52" i="29" a="1"/>
  <c r="F52" i="29" s="1"/>
  <c r="F95" i="27" a="1"/>
  <c r="F95" i="27" s="1"/>
  <c r="F66" i="18" a="1"/>
  <c r="F66" i="18" s="1"/>
  <c r="F67" i="18" s="1" a="1"/>
  <c r="F67" i="18" s="1"/>
  <c r="F68" i="18" s="1" a="1"/>
  <c r="F68" i="18" s="1"/>
  <c r="T65" i="18"/>
  <c r="T66" i="18" s="1" a="1"/>
  <c r="T66" i="18" s="1"/>
  <c r="AB32" i="10" a="1"/>
  <c r="AB32" i="10" s="1"/>
  <c r="X32" i="10" a="1"/>
  <c r="X32" i="10" s="1"/>
  <c r="F53" i="30" a="1"/>
  <c r="F53" i="30" s="1"/>
  <c r="F54" i="30" s="1" a="1"/>
  <c r="F54" i="30" s="1"/>
  <c r="F37" i="28" a="1"/>
  <c r="F37" i="28" s="1"/>
  <c r="AN36" i="28"/>
  <c r="F59" i="19" a="1"/>
  <c r="F59" i="19" s="1"/>
  <c r="K58" i="19"/>
  <c r="F33" i="18" a="1"/>
  <c r="F33" i="18" s="1"/>
  <c r="T32" i="18"/>
  <c r="T33" i="18" s="1" a="1"/>
  <c r="T33" i="18" s="1"/>
  <c r="F39" i="27" a="1"/>
  <c r="F39" i="27" s="1"/>
  <c r="F37" i="26" a="1"/>
  <c r="F37" i="26" s="1"/>
  <c r="AL30" i="28"/>
  <c r="AI29" i="28"/>
  <c r="AH115" i="28"/>
  <c r="AG114" i="28"/>
  <c r="F88" i="26" a="1"/>
  <c r="F88" i="26" s="1"/>
  <c r="F32" i="19" a="1"/>
  <c r="F32" i="19" s="1"/>
  <c r="F33" i="19" l="1" a="1"/>
  <c r="F33" i="19" s="1"/>
  <c r="T32" i="19"/>
  <c r="T33" i="19" s="1" a="1"/>
  <c r="T33" i="19" s="1"/>
  <c r="T34" i="19" s="1" a="1"/>
  <c r="T34" i="19" s="1"/>
  <c r="F89" i="26" a="1"/>
  <c r="F89" i="26" s="1"/>
  <c r="F38" i="26" a="1"/>
  <c r="F38" i="26" s="1"/>
  <c r="F40" i="27" a="1"/>
  <c r="F40" i="27" s="1"/>
  <c r="F41" i="27" s="1" a="1"/>
  <c r="F41" i="27" s="1"/>
  <c r="F38" i="28" a="1"/>
  <c r="F38" i="28" s="1"/>
  <c r="AN37" i="28"/>
  <c r="F55" i="30" a="1"/>
  <c r="F55" i="30" s="1"/>
  <c r="BO54" i="30"/>
  <c r="F96" i="27" a="1"/>
  <c r="F96" i="27" s="1"/>
  <c r="F97" i="27" s="1" a="1"/>
  <c r="F97" i="27" s="1"/>
  <c r="F53" i="29" a="1"/>
  <c r="F53" i="29" s="1"/>
  <c r="F54" i="29" s="1" a="1"/>
  <c r="F54" i="29" s="1"/>
  <c r="D141" i="29" a="1"/>
  <c r="D141" i="29" s="1"/>
  <c r="AB140" i="29"/>
  <c r="D285" i="29" a="1"/>
  <c r="D285" i="29" s="1"/>
  <c r="AB284" i="29"/>
  <c r="T110" i="33" a="1"/>
  <c r="T110" i="33" s="1"/>
  <c r="T108" i="33" a="1"/>
  <c r="T108" i="33" s="1"/>
  <c r="T109" i="33" s="1" a="1"/>
  <c r="T109" i="33" s="1"/>
  <c r="T199" i="33" a="1"/>
  <c r="T199" i="33" s="1"/>
  <c r="T197" i="33" a="1"/>
  <c r="T197" i="33" s="1"/>
  <c r="T198" i="33" s="1" a="1"/>
  <c r="T198" i="33" s="1"/>
  <c r="AF86" i="31"/>
  <c r="F87" i="31" a="1"/>
  <c r="F87" i="31" s="1"/>
  <c r="F57" i="34" a="1"/>
  <c r="F57" i="34" s="1"/>
  <c r="F58" i="34" s="1" a="1"/>
  <c r="F58" i="34" s="1"/>
  <c r="AH29" i="28"/>
  <c r="AH114" i="28"/>
  <c r="AL29" i="28"/>
  <c r="F34" i="18" a="1"/>
  <c r="F34" i="18" s="1"/>
  <c r="F35" i="18" s="1" a="1"/>
  <c r="F35" i="18" s="1"/>
  <c r="F60" i="19" a="1"/>
  <c r="F60" i="19" s="1"/>
  <c r="K59" i="19"/>
  <c r="AB118" i="11" a="1"/>
  <c r="AB118" i="11" s="1"/>
  <c r="V118" i="11" a="1"/>
  <c r="V118" i="11" s="1"/>
  <c r="T68" i="18"/>
  <c r="T69" i="18" s="1" a="1"/>
  <c r="T69" i="18" s="1"/>
  <c r="F69" i="18" a="1"/>
  <c r="F69" i="18" s="1"/>
  <c r="F70" i="18" s="1" a="1"/>
  <c r="F70" i="18" s="1"/>
  <c r="F52" i="20" a="1"/>
  <c r="F52" i="20" s="1"/>
  <c r="K51" i="20"/>
  <c r="F33" i="20" a="1"/>
  <c r="F33" i="20" s="1"/>
  <c r="K32" i="20"/>
  <c r="D141" i="30" a="1"/>
  <c r="D141" i="30" s="1"/>
  <c r="AB140" i="30"/>
  <c r="F199" i="30" a="1"/>
  <c r="F199" i="30" s="1"/>
  <c r="AB284" i="30"/>
  <c r="D285" i="30" a="1"/>
  <c r="D285" i="30" s="1"/>
  <c r="F115" i="33" a="1"/>
  <c r="F115" i="33" s="1"/>
  <c r="T114" i="33"/>
  <c r="T115" i="33" s="1" a="1"/>
  <c r="T115" i="33" s="1"/>
  <c r="AF30" i="34"/>
  <c r="AF49" i="34"/>
  <c r="AE36" i="34"/>
  <c r="AF36" i="34"/>
  <c r="F37" i="34" a="1"/>
  <c r="F37" i="34" s="1"/>
  <c r="F45" i="9" a="1"/>
  <c r="F45" i="9" s="1"/>
  <c r="U44" i="9"/>
  <c r="U45" i="9" s="1" a="1"/>
  <c r="U45" i="9" s="1"/>
  <c r="F74" i="9" a="1"/>
  <c r="F74" i="9" s="1"/>
  <c r="U73" i="9"/>
  <c r="AL114" i="28"/>
  <c r="F38" i="14" a="1"/>
  <c r="F38" i="14" s="1"/>
  <c r="T37" i="14"/>
  <c r="T38" i="14" s="1" a="1"/>
  <c r="T38" i="14" s="1"/>
  <c r="F47" i="22" a="1"/>
  <c r="F47" i="22" s="1"/>
  <c r="K46" i="22"/>
  <c r="F123" i="28" a="1"/>
  <c r="F123" i="28" s="1"/>
  <c r="AN122" i="28"/>
  <c r="F199" i="29" a="1"/>
  <c r="F199" i="29" s="1"/>
  <c r="F33" i="22" a="1"/>
  <c r="F33" i="22" s="1"/>
  <c r="K32" i="22"/>
  <c r="F34" i="22" l="1" a="1"/>
  <c r="F34" i="22" s="1"/>
  <c r="K33" i="22"/>
  <c r="F48" i="22" a="1"/>
  <c r="F48" i="22" s="1"/>
  <c r="K47" i="22"/>
  <c r="F46" i="9" a="1"/>
  <c r="F46" i="9" s="1"/>
  <c r="D286" i="30" a="1"/>
  <c r="D286" i="30" s="1"/>
  <c r="AB285" i="30"/>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AB32" i="12" a="1"/>
  <c r="AB32" i="12" s="1"/>
  <c r="V32" i="12" a="1"/>
  <c r="V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T35" i="18"/>
  <c r="T36" i="18" s="1" a="1"/>
  <c r="T36" i="18" s="1"/>
  <c r="F36" i="18" a="1"/>
  <c r="F36" i="18" s="1"/>
  <c r="AE58" i="34"/>
  <c r="AF58" i="34"/>
  <c r="F59" i="34" a="1"/>
  <c r="F59" i="34" s="1"/>
  <c r="F60" i="34" s="1" a="1"/>
  <c r="F60" i="34" s="1"/>
  <c r="F61" i="34" s="1" a="1"/>
  <c r="F61" i="34" s="1"/>
  <c r="F62" i="34" s="1" a="1"/>
  <c r="F62" i="34" s="1"/>
  <c r="F63" i="34" s="1" a="1"/>
  <c r="F63" i="34" s="1"/>
  <c r="F64" i="34" s="1" a="1"/>
  <c r="F64" i="34" s="1"/>
  <c r="F88" i="31" a="1"/>
  <c r="F88" i="31" s="1"/>
  <c r="AF87" i="31"/>
  <c r="T201" i="33" a="1"/>
  <c r="T201" i="33" s="1"/>
  <c r="T200" i="33" a="1"/>
  <c r="T200" i="33" s="1"/>
  <c r="T112" i="33" a="1"/>
  <c r="T112" i="33" s="1"/>
  <c r="T111" i="33" a="1"/>
  <c r="T111" i="33" s="1"/>
  <c r="D286" i="29" a="1"/>
  <c r="D286" i="29" s="1"/>
  <c r="AB285" i="29"/>
  <c r="D142" i="29" a="1"/>
  <c r="D142" i="29" s="1"/>
  <c r="AB141" i="29"/>
  <c r="F34" i="19" a="1"/>
  <c r="F34" i="19" s="1"/>
  <c r="K33" i="19"/>
  <c r="F200" i="29" a="1"/>
  <c r="F200" i="29" s="1"/>
  <c r="F124" i="28" a="1"/>
  <c r="F124" i="28" s="1"/>
  <c r="AN123" i="28"/>
  <c r="F39" i="14" a="1"/>
  <c r="F39" i="14" s="1"/>
  <c r="F75" i="9" a="1"/>
  <c r="F75" i="9" s="1"/>
  <c r="F76" i="9" s="1" a="1"/>
  <c r="F76" i="9" s="1"/>
  <c r="U74" i="9"/>
  <c r="U75" i="9" s="1" a="1"/>
  <c r="U75" i="9" s="1"/>
  <c r="AE37" i="34"/>
  <c r="AE28" i="34" s="1"/>
  <c r="F38" i="34" a="1"/>
  <c r="F38" i="34" s="1"/>
  <c r="F39" i="34" s="1" a="1"/>
  <c r="F39" i="34" s="1"/>
  <c r="AF37" i="34"/>
  <c r="AF28" i="34" s="1"/>
  <c r="AF31" i="34"/>
  <c r="AF50" i="34"/>
  <c r="F200" i="30" a="1"/>
  <c r="F200" i="30" s="1"/>
  <c r="D142" i="30" a="1"/>
  <c r="D142" i="30" s="1"/>
  <c r="AB141" i="30"/>
  <c r="F34" i="20" a="1"/>
  <c r="F34" i="20" s="1"/>
  <c r="K33" i="20"/>
  <c r="F53" i="20" a="1"/>
  <c r="F53" i="20" s="1"/>
  <c r="K52" i="20"/>
  <c r="F71" i="18" a="1"/>
  <c r="F71" i="18" s="1"/>
  <c r="F72" i="18" s="1" a="1"/>
  <c r="F72" i="18" s="1"/>
  <c r="F73" i="18" s="1" a="1"/>
  <c r="F73" i="18" s="1"/>
  <c r="T70" i="18"/>
  <c r="T71" i="18" s="1" a="1"/>
  <c r="T71" i="18" s="1"/>
  <c r="F61" i="19" a="1"/>
  <c r="F61" i="19" s="1"/>
  <c r="F62" i="19" s="1" a="1"/>
  <c r="F62" i="19" s="1"/>
  <c r="F63" i="19" s="1" a="1"/>
  <c r="F63" i="19" s="1"/>
  <c r="T60" i="19"/>
  <c r="T61" i="19" s="1" a="1"/>
  <c r="T61" i="19" s="1"/>
  <c r="T62" i="19" s="1" a="1"/>
  <c r="T62" i="19" s="1"/>
  <c r="F55" i="29" a="1"/>
  <c r="F55" i="29" s="1"/>
  <c r="BO54" i="29"/>
  <c r="F98" i="27" a="1"/>
  <c r="F98" i="27" s="1"/>
  <c r="F56" i="30" a="1"/>
  <c r="F56" i="30" s="1"/>
  <c r="BO55" i="30"/>
  <c r="F39" i="28" a="1"/>
  <c r="F39" i="28" s="1"/>
  <c r="AN38" i="28"/>
  <c r="F42" i="27" a="1"/>
  <c r="F42" i="27" s="1"/>
  <c r="F39" i="26" a="1"/>
  <c r="F39" i="26" s="1"/>
  <c r="F90" i="26" a="1"/>
  <c r="F90" i="26" s="1"/>
  <c r="F91" i="26" l="1" a="1"/>
  <c r="F91" i="26" s="1"/>
  <c r="F40" i="26" a="1"/>
  <c r="F40" i="26" s="1"/>
  <c r="F43" i="27" a="1"/>
  <c r="F43" i="27" s="1"/>
  <c r="F44" i="27" s="1" a="1"/>
  <c r="F44" i="27" s="1"/>
  <c r="T42" i="27"/>
  <c r="T43" i="27" s="1" a="1"/>
  <c r="T43" i="27" s="1"/>
  <c r="F99" i="27" a="1"/>
  <c r="F99" i="27" s="1"/>
  <c r="F100" i="27" s="1" a="1"/>
  <c r="F100" i="27" s="1"/>
  <c r="T98" i="27"/>
  <c r="T99" i="27" s="1" a="1"/>
  <c r="T99" i="27" s="1"/>
  <c r="F56" i="29" a="1"/>
  <c r="F56" i="29" s="1"/>
  <c r="BO55" i="29"/>
  <c r="F64" i="19" a="1"/>
  <c r="F64" i="19" s="1"/>
  <c r="T63" i="19"/>
  <c r="T64" i="19" s="1" a="1"/>
  <c r="T64" i="19" s="1"/>
  <c r="T65" i="19" s="1" a="1"/>
  <c r="T65" i="19" s="1"/>
  <c r="T73" i="18"/>
  <c r="T74" i="18" s="1" a="1"/>
  <c r="T74" i="18" s="1"/>
  <c r="F74" i="18" a="1"/>
  <c r="F74" i="18" s="1"/>
  <c r="F75" i="18" s="1" a="1"/>
  <c r="F75" i="18" s="1"/>
  <c r="F54" i="20" a="1"/>
  <c r="F54" i="20" s="1"/>
  <c r="K53" i="20"/>
  <c r="F35" i="20" a="1"/>
  <c r="F35" i="20" s="1"/>
  <c r="K34" i="20"/>
  <c r="D143" i="30" a="1"/>
  <c r="D143" i="30" s="1"/>
  <c r="D144" i="30" s="1" a="1"/>
  <c r="D144" i="30" s="1"/>
  <c r="D145" i="30" s="1" a="1"/>
  <c r="D145" i="30" s="1"/>
  <c r="D146" i="30" s="1" a="1"/>
  <c r="D146" i="30" s="1"/>
  <c r="D147" i="30" s="1" a="1"/>
  <c r="D147" i="30" s="1"/>
  <c r="D148" i="30" s="1"/>
  <c r="AB147" i="30"/>
  <c r="AB146" i="30"/>
  <c r="AB143" i="30"/>
  <c r="AB142" i="30"/>
  <c r="F201" i="30" a="1"/>
  <c r="F201" i="30" s="1"/>
  <c r="AE39" i="34"/>
  <c r="F40" i="34" a="1"/>
  <c r="F40" i="34" s="1"/>
  <c r="F41" i="34" s="1" a="1"/>
  <c r="F41" i="34" s="1"/>
  <c r="F42" i="34" s="1" a="1"/>
  <c r="F42" i="34" s="1"/>
  <c r="F43" i="34" s="1" a="1"/>
  <c r="F43" i="34" s="1"/>
  <c r="F44" i="34" s="1" a="1"/>
  <c r="F44" i="34" s="1"/>
  <c r="F45" i="34" s="1" a="1"/>
  <c r="F45" i="34" s="1"/>
  <c r="AF39" i="34"/>
  <c r="F77" i="9" a="1"/>
  <c r="F77" i="9" s="1"/>
  <c r="U76" i="9"/>
  <c r="T39" i="14"/>
  <c r="T40" i="14" s="1" a="1"/>
  <c r="T40" i="14" s="1"/>
  <c r="T41" i="14" s="1" a="1"/>
  <c r="T41" i="14" s="1"/>
  <c r="T42" i="14" s="1" a="1"/>
  <c r="T42" i="14" s="1"/>
  <c r="T43" i="14" s="1" a="1"/>
  <c r="T43" i="14" s="1"/>
  <c r="T44" i="14" s="1" a="1"/>
  <c r="T44" i="14" s="1"/>
  <c r="T45" i="14" s="1" a="1"/>
  <c r="T45" i="14" s="1"/>
  <c r="F40" i="14" a="1"/>
  <c r="F40" i="14" s="1"/>
  <c r="F125" i="28" a="1"/>
  <c r="F125" i="28" s="1"/>
  <c r="AN124" i="28"/>
  <c r="F201" i="29" a="1"/>
  <c r="F201" i="29" s="1"/>
  <c r="BO37" i="29"/>
  <c r="BO37" i="30"/>
  <c r="F89" i="31" a="1"/>
  <c r="F89" i="31" s="1"/>
  <c r="AF88" i="31"/>
  <c r="AF60" i="34"/>
  <c r="AB31" i="13" a="1"/>
  <c r="AB31" i="13" s="1"/>
  <c r="V31" i="13" a="1"/>
  <c r="V31" i="13" s="1"/>
  <c r="D287" i="30" a="1"/>
  <c r="D287" i="30" s="1"/>
  <c r="D288" i="30" s="1" a="1"/>
  <c r="D288" i="30" s="1"/>
  <c r="D289" i="30" s="1" a="1"/>
  <c r="D289" i="30" s="1"/>
  <c r="D290" i="30" s="1" a="1"/>
  <c r="D290" i="30" s="1"/>
  <c r="D291" i="30" s="1" a="1"/>
  <c r="D291" i="30" s="1"/>
  <c r="D292" i="30" s="1"/>
  <c r="AB287" i="30"/>
  <c r="AB286" i="30"/>
  <c r="AB291" i="30"/>
  <c r="AB290" i="30"/>
  <c r="F47" i="9" a="1"/>
  <c r="F47" i="9" s="1"/>
  <c r="U46" i="9"/>
  <c r="F49" i="22" a="1"/>
  <c r="F49" i="22" s="1"/>
  <c r="K48" i="22"/>
  <c r="F35" i="22" a="1"/>
  <c r="F35" i="22" s="1"/>
  <c r="K34" i="22"/>
  <c r="F40" i="28" a="1"/>
  <c r="F40" i="28" s="1"/>
  <c r="AN39" i="28"/>
  <c r="F57" i="30" a="1"/>
  <c r="F57" i="30" s="1"/>
  <c r="BO56" i="30"/>
  <c r="F35" i="19" a="1"/>
  <c r="F35" i="19" s="1"/>
  <c r="K34" i="19"/>
  <c r="D143" i="29" a="1"/>
  <c r="D143" i="29" s="1"/>
  <c r="D144" i="29" s="1" a="1"/>
  <c r="D144" i="29" s="1"/>
  <c r="D145" i="29" s="1" a="1"/>
  <c r="D145" i="29" s="1"/>
  <c r="D146" i="29" s="1" a="1"/>
  <c r="D146" i="29" s="1"/>
  <c r="D147" i="29" s="1" a="1"/>
  <c r="D147" i="29" s="1"/>
  <c r="D148" i="29" s="1"/>
  <c r="AB143" i="29"/>
  <c r="AB142" i="29"/>
  <c r="AB147" i="29"/>
  <c r="AB146" i="29"/>
  <c r="D287" i="29" a="1"/>
  <c r="D287" i="29" s="1"/>
  <c r="D288" i="29" s="1" a="1"/>
  <c r="D288" i="29" s="1"/>
  <c r="D289" i="29" s="1" a="1"/>
  <c r="D289" i="29" s="1"/>
  <c r="D290" i="29" s="1" a="1"/>
  <c r="D290" i="29" s="1"/>
  <c r="D291" i="29" s="1" a="1"/>
  <c r="D291" i="29" s="1"/>
  <c r="D292" i="29" s="1"/>
  <c r="AB290" i="29"/>
  <c r="AB291" i="29"/>
  <c r="AB286" i="29"/>
  <c r="AB287" i="29"/>
  <c r="AE60" i="34"/>
  <c r="F37" i="18" a="1"/>
  <c r="F37" i="18" s="1"/>
  <c r="F38" i="18" l="1" a="1"/>
  <c r="F38" i="18" s="1"/>
  <c r="T37" i="18"/>
  <c r="T38" i="18" s="1" a="1"/>
  <c r="T38" i="18" s="1"/>
  <c r="AB288" i="29"/>
  <c r="AB289" i="29"/>
  <c r="AB145" i="29"/>
  <c r="AB144" i="29"/>
  <c r="F58" i="30" a="1"/>
  <c r="F58" i="30" s="1"/>
  <c r="BO57" i="30"/>
  <c r="D293" i="30" a="1"/>
  <c r="D293" i="30" s="1"/>
  <c r="AB292" i="30" a="1"/>
  <c r="AB292" i="30" s="1"/>
  <c r="AB47" i="14" a="1"/>
  <c r="AB47" i="14" s="1"/>
  <c r="V47" i="14" a="1"/>
  <c r="V47" i="14" s="1"/>
  <c r="F90" i="31" a="1"/>
  <c r="F90" i="31" s="1"/>
  <c r="AF89" i="31"/>
  <c r="BO51" i="30"/>
  <c r="F78" i="9" a="1"/>
  <c r="F78" i="9" s="1"/>
  <c r="F79" i="9" s="1" a="1"/>
  <c r="F79" i="9" s="1"/>
  <c r="F80" i="9" s="1" a="1"/>
  <c r="F80" i="9" s="1"/>
  <c r="F81" i="9" s="1" a="1"/>
  <c r="F81" i="9" s="1"/>
  <c r="U77" i="9"/>
  <c r="U78" i="9" s="1" a="1"/>
  <c r="U78" i="9" s="1"/>
  <c r="U79" i="9" s="1" a="1"/>
  <c r="U79" i="9" s="1"/>
  <c r="U80" i="9" s="1" a="1"/>
  <c r="U80" i="9" s="1"/>
  <c r="U81" i="9" s="1" a="1"/>
  <c r="U81" i="9" s="1"/>
  <c r="D149" i="30" a="1"/>
  <c r="D149" i="30" s="1"/>
  <c r="AB148" i="30" a="1"/>
  <c r="AB148" i="30" s="1"/>
  <c r="F36" i="20" a="1"/>
  <c r="F36" i="20" s="1"/>
  <c r="K35" i="20"/>
  <c r="F55" i="20" a="1"/>
  <c r="F55" i="20" s="1"/>
  <c r="K54" i="20"/>
  <c r="F65" i="19" a="1"/>
  <c r="F65" i="19" s="1"/>
  <c r="K64" i="19"/>
  <c r="F45" i="27" a="1"/>
  <c r="F45" i="27" s="1"/>
  <c r="F46" i="27" s="1" a="1"/>
  <c r="F46" i="27" s="1"/>
  <c r="F47" i="27" s="1" a="1"/>
  <c r="F47" i="27" s="1"/>
  <c r="F48" i="27" s="1" a="1"/>
  <c r="F48" i="27" s="1"/>
  <c r="F49" i="27" s="1" a="1"/>
  <c r="F49" i="27" s="1"/>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1" i="26" a="1"/>
  <c r="F41" i="26" s="1"/>
  <c r="F92" i="26" a="1"/>
  <c r="F92" i="26" s="1"/>
  <c r="AB292" i="29" a="1"/>
  <c r="AB292" i="29" s="1"/>
  <c r="D293" i="29" a="1"/>
  <c r="D293" i="29" s="1"/>
  <c r="D149" i="29" a="1"/>
  <c r="D149" i="29" s="1"/>
  <c r="AB148" i="29" a="1"/>
  <c r="AB148" i="29" s="1"/>
  <c r="T35" i="19"/>
  <c r="T36" i="19" s="1" a="1"/>
  <c r="T36" i="19" s="1"/>
  <c r="T37" i="19" s="1" a="1"/>
  <c r="T37" i="19" s="1"/>
  <c r="F36" i="19" a="1"/>
  <c r="F36" i="19" s="1"/>
  <c r="F41" i="28" a="1"/>
  <c r="F41" i="28" s="1"/>
  <c r="AN40" i="28"/>
  <c r="F36" i="22" a="1"/>
  <c r="F36" i="22" s="1"/>
  <c r="K35" i="22"/>
  <c r="F50" i="22" a="1"/>
  <c r="F50" i="22" s="1"/>
  <c r="K49" i="22"/>
  <c r="F48" i="9" a="1"/>
  <c r="F48" i="9" s="1"/>
  <c r="U47" i="9"/>
  <c r="U48" i="9" s="1" a="1"/>
  <c r="U48" i="9" s="1"/>
  <c r="AB289" i="30"/>
  <c r="AB288" i="30"/>
  <c r="BO51" i="29"/>
  <c r="F202" i="29" a="1"/>
  <c r="F202" i="29" s="1"/>
  <c r="F126" i="28" a="1"/>
  <c r="F126" i="28" s="1"/>
  <c r="AN125" i="28"/>
  <c r="F41" i="14" a="1"/>
  <c r="F41" i="14" s="1"/>
  <c r="AF41" i="34"/>
  <c r="AF44" i="34" s="1"/>
  <c r="AF42" i="34"/>
  <c r="AE42" i="34"/>
  <c r="AE41" i="34"/>
  <c r="AE44" i="34" s="1"/>
  <c r="F202" i="30" a="1"/>
  <c r="F202" i="30" s="1"/>
  <c r="AB145" i="30"/>
  <c r="AB144" i="30"/>
  <c r="F76" i="18" a="1"/>
  <c r="F76" i="18" s="1"/>
  <c r="F77" i="18" s="1" a="1"/>
  <c r="F77" i="18" s="1"/>
  <c r="F78" i="18" s="1" a="1"/>
  <c r="F78" i="18" s="1"/>
  <c r="T75" i="18"/>
  <c r="T76" i="18" s="1" a="1"/>
  <c r="T76" i="18" s="1"/>
  <c r="F57" i="29" a="1"/>
  <c r="F57" i="29" s="1"/>
  <c r="BO56" i="29"/>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F101" i="27" a="1"/>
  <c r="F101" i="27" s="1"/>
  <c r="F102" i="27" s="1" a="1"/>
  <c r="F102" i="27" s="1"/>
  <c r="F103" i="27" s="1" a="1"/>
  <c r="F103" i="27" s="1"/>
  <c r="F104" i="27" s="1" a="1"/>
  <c r="F104" i="27" s="1"/>
  <c r="F105" i="27" s="1" a="1"/>
  <c r="F105" i="27" s="1"/>
  <c r="F42" i="14" l="1" a="1"/>
  <c r="F42" i="14" s="1"/>
  <c r="F42" i="28" a="1"/>
  <c r="F42" i="28" s="1"/>
  <c r="AN41" i="28"/>
  <c r="F37" i="19" a="1"/>
  <c r="F37" i="19" s="1"/>
  <c r="F38" i="19" s="1" a="1"/>
  <c r="F38" i="19" s="1"/>
  <c r="F93" i="26" a="1"/>
  <c r="F93" i="26" s="1"/>
  <c r="F42" i="26" a="1"/>
  <c r="F42" i="26" s="1"/>
  <c r="F50" i="27" a="1"/>
  <c r="F50" i="27" s="1"/>
  <c r="F51" i="27" s="1" a="1"/>
  <c r="F51" i="27" s="1"/>
  <c r="F52" i="27" s="1" a="1"/>
  <c r="F52" i="27" s="1"/>
  <c r="F53" i="27" s="1" a="1"/>
  <c r="F53" i="27" s="1"/>
  <c r="F54" i="27" s="1" a="1"/>
  <c r="F54" i="27" s="1"/>
  <c r="F55" i="27" s="1" a="1"/>
  <c r="F55" i="27" s="1"/>
  <c r="AB76" i="15" a="1"/>
  <c r="AB76" i="15" s="1"/>
  <c r="V76" i="15" a="1"/>
  <c r="V76" i="15" s="1"/>
  <c r="D294" i="30"/>
  <c r="AB293" i="30"/>
  <c r="F59" i="30" a="1"/>
  <c r="F59" i="30" s="1"/>
  <c r="BO58" i="30"/>
  <c r="F39" i="18" a="1"/>
  <c r="F39" i="18" s="1"/>
  <c r="F106" i="27" a="1"/>
  <c r="F106" i="27" s="1"/>
  <c r="F107" i="27" s="1" a="1"/>
  <c r="F107" i="27" s="1"/>
  <c r="F108" i="27" s="1" a="1"/>
  <c r="F108" i="27" s="1"/>
  <c r="F109" i="27" s="1" a="1"/>
  <c r="F109" i="27" s="1"/>
  <c r="F110" i="27" s="1" a="1"/>
  <c r="F110" i="27" s="1"/>
  <c r="F111" i="27" s="1" a="1"/>
  <c r="F111" i="27" s="1"/>
  <c r="F58" i="29" a="1"/>
  <c r="F58" i="29" s="1"/>
  <c r="BO57" i="29"/>
  <c r="T78" i="18"/>
  <c r="T79" i="18" s="1" a="1"/>
  <c r="T79" i="18" s="1"/>
  <c r="F79" i="18" a="1"/>
  <c r="F79" i="18" s="1"/>
  <c r="F80" i="18" s="1" a="1"/>
  <c r="F80" i="18" s="1"/>
  <c r="F203" i="30" a="1"/>
  <c r="F203" i="30" s="1"/>
  <c r="F127" i="28" a="1"/>
  <c r="F127" i="28" s="1"/>
  <c r="AN126" i="28"/>
  <c r="F203" i="29" a="1"/>
  <c r="F203" i="29" s="1"/>
  <c r="F49" i="9" a="1"/>
  <c r="F49" i="9" s="1"/>
  <c r="F51" i="22" a="1"/>
  <c r="F51" i="22" s="1"/>
  <c r="K50" i="22"/>
  <c r="F37" i="22" a="1"/>
  <c r="F37" i="22" s="1"/>
  <c r="K36" i="22"/>
  <c r="D150" i="29"/>
  <c r="AB149" i="29"/>
  <c r="D294" i="29"/>
  <c r="AB293" i="29"/>
  <c r="F66" i="19" a="1"/>
  <c r="F66" i="19" s="1"/>
  <c r="K65" i="19"/>
  <c r="F56" i="20" a="1"/>
  <c r="F56" i="20" s="1"/>
  <c r="K55" i="20"/>
  <c r="F37" i="20" a="1"/>
  <c r="F37" i="20" s="1"/>
  <c r="K36" i="20"/>
  <c r="D150" i="30"/>
  <c r="AB149" i="30"/>
  <c r="F91" i="31" a="1"/>
  <c r="F91" i="31" s="1"/>
  <c r="AF90" i="31"/>
  <c r="F92" i="31" l="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AF91" i="31"/>
  <c r="F38" i="20" a="1"/>
  <c r="F38" i="20" s="1"/>
  <c r="K37" i="20"/>
  <c r="F57" i="20" a="1"/>
  <c r="F57" i="20" s="1"/>
  <c r="K56" i="20"/>
  <c r="F67" i="19" a="1"/>
  <c r="F67" i="19" s="1"/>
  <c r="F68" i="19" s="1" a="1"/>
  <c r="F68" i="19" s="1"/>
  <c r="F69" i="19" s="1" a="1"/>
  <c r="F69" i="19" s="1"/>
  <c r="T66" i="19"/>
  <c r="T67" i="19" s="1" a="1"/>
  <c r="T67" i="19" s="1"/>
  <c r="T68" i="19" s="1" a="1"/>
  <c r="T68" i="19" s="1"/>
  <c r="F38" i="22" a="1"/>
  <c r="F38" i="22" s="1"/>
  <c r="K37" i="22"/>
  <c r="F52" i="22" a="1"/>
  <c r="F52" i="22" s="1"/>
  <c r="K51" i="22"/>
  <c r="F50" i="9" a="1"/>
  <c r="F50" i="9" s="1"/>
  <c r="U49" i="9"/>
  <c r="F204" i="29" a="1"/>
  <c r="F204" i="29" s="1"/>
  <c r="F128" i="28" a="1"/>
  <c r="F128" i="28" s="1"/>
  <c r="F129" i="28" s="1" a="1"/>
  <c r="F129" i="28" s="1"/>
  <c r="F130" i="28" s="1" a="1"/>
  <c r="F130" i="28" s="1"/>
  <c r="AN127" i="28"/>
  <c r="F81" i="18" a="1"/>
  <c r="F81" i="18" s="1"/>
  <c r="F82" i="18" s="1" a="1"/>
  <c r="F82" i="18" s="1"/>
  <c r="F83" i="18" s="1" a="1"/>
  <c r="F83" i="18" s="1"/>
  <c r="T80" i="18"/>
  <c r="T81" i="18" s="1" a="1"/>
  <c r="T81" i="18" s="1"/>
  <c r="F59" i="29" a="1"/>
  <c r="F59" i="29" s="1"/>
  <c r="BO58" i="29"/>
  <c r="F40" i="18" a="1"/>
  <c r="F40" i="18" s="1"/>
  <c r="F60" i="30" a="1"/>
  <c r="F60" i="30" s="1"/>
  <c r="BO59" i="30"/>
  <c r="D295" i="30"/>
  <c r="AB294" i="30" a="1"/>
  <c r="AB294" i="30" s="1"/>
  <c r="AB34" i="17" a="1"/>
  <c r="AB34" i="17" s="1"/>
  <c r="V34" i="17" a="1"/>
  <c r="V34" i="17" s="1"/>
  <c r="F56" i="27" a="1"/>
  <c r="F56" i="27" s="1"/>
  <c r="F57" i="27" s="1" a="1"/>
  <c r="F57" i="27" s="1"/>
  <c r="F58" i="27" s="1" a="1"/>
  <c r="F58" i="27" s="1"/>
  <c r="F59" i="27" s="1" a="1"/>
  <c r="F59" i="27" s="1"/>
  <c r="F60" i="27" s="1" a="1"/>
  <c r="F60" i="27" s="1"/>
  <c r="F61" i="27" s="1" a="1"/>
  <c r="F61" i="27" s="1"/>
  <c r="F43" i="26" a="1"/>
  <c r="F43" i="26" s="1"/>
  <c r="F94" i="26" a="1"/>
  <c r="F94" i="26" s="1"/>
  <c r="F39" i="19" a="1"/>
  <c r="F39" i="19" s="1"/>
  <c r="T38" i="19"/>
  <c r="T39" i="19" s="1" a="1"/>
  <c r="T39" i="19" s="1"/>
  <c r="T40" i="19" s="1" a="1"/>
  <c r="T40" i="19" s="1"/>
  <c r="F43" i="14" a="1"/>
  <c r="F43" i="14" s="1"/>
  <c r="D151" i="30"/>
  <c r="AB150" i="30" a="1"/>
  <c r="AB150" i="30" s="1"/>
  <c r="D295" i="29"/>
  <c r="AB294" i="29" a="1"/>
  <c r="AB294" i="29" s="1"/>
  <c r="D151" i="29"/>
  <c r="AB150" i="29" a="1"/>
  <c r="AB150" i="29" s="1"/>
  <c r="F204" i="30" a="1"/>
  <c r="F204" i="30" s="1"/>
  <c r="F112" i="27" a="1"/>
  <c r="F112" i="27" s="1"/>
  <c r="F113" i="27" s="1" a="1"/>
  <c r="F113" i="27" s="1"/>
  <c r="F114" i="27" s="1" a="1"/>
  <c r="F114" i="27" s="1"/>
  <c r="F115" i="27" s="1" a="1"/>
  <c r="F115" i="27" s="1"/>
  <c r="F116" i="27" s="1" a="1"/>
  <c r="F116" i="27" s="1"/>
  <c r="F117" i="27" s="1" a="1"/>
  <c r="F117" i="27" s="1"/>
  <c r="F43" i="28" a="1"/>
  <c r="F43" i="28" s="1"/>
  <c r="AN42" i="28"/>
  <c r="F44" i="28" l="1" a="1"/>
  <c r="F44" i="28" s="1"/>
  <c r="F205" i="30" a="1"/>
  <c r="F205" i="30" s="1"/>
  <c r="D152" i="29" a="1"/>
  <c r="D152" i="29" s="1"/>
  <c r="AB151" i="29" a="1"/>
  <c r="AB151" i="29" s="1"/>
  <c r="D296" i="29" a="1"/>
  <c r="D296" i="29" s="1"/>
  <c r="AB295" i="29" a="1"/>
  <c r="AB295" i="29" s="1"/>
  <c r="D152" i="30" a="1"/>
  <c r="D152" i="30" s="1"/>
  <c r="AB151" i="30" a="1"/>
  <c r="AB151" i="30" s="1"/>
  <c r="F44" i="14" a="1"/>
  <c r="F44" i="14" s="1"/>
  <c r="F45" i="14" s="1" a="1"/>
  <c r="F45" i="14" s="1"/>
  <c r="F46" i="14" s="1" a="1"/>
  <c r="F46" i="14" s="1"/>
  <c r="AI87" i="31"/>
  <c r="AI88" i="31"/>
  <c r="AH87" i="31"/>
  <c r="AG87" i="31"/>
  <c r="AH89" i="31"/>
  <c r="AI89" i="31"/>
  <c r="AH88" i="31"/>
  <c r="AG88" i="31"/>
  <c r="AH85" i="31"/>
  <c r="AG89" i="31"/>
  <c r="AG90" i="31"/>
  <c r="AH90" i="31"/>
  <c r="AI90" i="31"/>
  <c r="F62" i="27" a="1"/>
  <c r="F62" i="27" s="1"/>
  <c r="F63" i="27" s="1" a="1"/>
  <c r="F63" i="27" s="1"/>
  <c r="F64" i="27" s="1" a="1"/>
  <c r="F64" i="27" s="1"/>
  <c r="F65" i="27" s="1" a="1"/>
  <c r="F65" i="27" s="1"/>
  <c r="F66" i="27" s="1" a="1"/>
  <c r="F66" i="27" s="1"/>
  <c r="F67" i="27" s="1" a="1"/>
  <c r="F67" i="27" s="1"/>
  <c r="AB37" i="16" a="1"/>
  <c r="AB37" i="16" s="1"/>
  <c r="V37" i="16" a="1"/>
  <c r="V37" i="16" s="1"/>
  <c r="AF56" i="34"/>
  <c r="AF47" i="34" s="1"/>
  <c r="AE56" i="34"/>
  <c r="AE47" i="34" s="1"/>
  <c r="AB295" i="30" a="1"/>
  <c r="AB295" i="30" s="1"/>
  <c r="D296" i="30" a="1"/>
  <c r="D296" i="30" s="1"/>
  <c r="F61" i="30" a="1"/>
  <c r="F61" i="30" s="1"/>
  <c r="BO60" i="30"/>
  <c r="T40" i="18"/>
  <c r="T41" i="18" s="1" a="1"/>
  <c r="T41" i="18" s="1"/>
  <c r="F41" i="18" a="1"/>
  <c r="F41" i="18" s="1"/>
  <c r="F60" i="29" a="1"/>
  <c r="F60" i="29" s="1"/>
  <c r="BO59" i="29"/>
  <c r="T83" i="18"/>
  <c r="T84" i="18" s="1" a="1"/>
  <c r="T84" i="18" s="1"/>
  <c r="F84" i="18" a="1"/>
  <c r="F84" i="18" s="1"/>
  <c r="F85" i="18" s="1" a="1"/>
  <c r="F85" i="18" s="1"/>
  <c r="F39" i="20" a="1"/>
  <c r="F39" i="20" s="1"/>
  <c r="K38" i="20"/>
  <c r="AH91" i="31"/>
  <c r="F118" i="27" a="1"/>
  <c r="F118" i="27" s="1"/>
  <c r="F119" i="27" s="1" a="1"/>
  <c r="F119" i="27" s="1"/>
  <c r="F120" i="27" s="1" a="1"/>
  <c r="F120" i="27" s="1"/>
  <c r="F121" i="27" s="1" a="1"/>
  <c r="F121" i="27" s="1"/>
  <c r="F122" i="27" s="1" a="1"/>
  <c r="F122" i="27" s="1"/>
  <c r="F123" i="27" s="1" a="1"/>
  <c r="F123" i="27" s="1"/>
  <c r="F40" i="19" a="1"/>
  <c r="F40" i="19" s="1"/>
  <c r="K39" i="19"/>
  <c r="F95" i="26" a="1"/>
  <c r="F95" i="26" s="1"/>
  <c r="F96" i="26" s="1" a="1"/>
  <c r="F96" i="26" s="1"/>
  <c r="F44" i="26" a="1"/>
  <c r="F44" i="26" s="1"/>
  <c r="F45" i="26" s="1" a="1"/>
  <c r="F45" i="26" s="1"/>
  <c r="F131" i="28" a="1"/>
  <c r="F131" i="28" s="1"/>
  <c r="F205" i="29" a="1"/>
  <c r="F205" i="29" s="1"/>
  <c r="F51" i="9" a="1"/>
  <c r="F51" i="9" s="1"/>
  <c r="U50" i="9"/>
  <c r="U51" i="9" s="1" a="1"/>
  <c r="U51" i="9" s="1"/>
  <c r="U52" i="9" s="1" a="1"/>
  <c r="U52" i="9" s="1"/>
  <c r="U53" i="9" s="1" a="1"/>
  <c r="U53" i="9" s="1"/>
  <c r="U54" i="9" s="1" a="1"/>
  <c r="U54" i="9" s="1"/>
  <c r="F53" i="22" a="1"/>
  <c r="F53" i="22" s="1"/>
  <c r="K52" i="22"/>
  <c r="F39" i="22" a="1"/>
  <c r="F39" i="22" s="1"/>
  <c r="K38" i="22"/>
  <c r="F70" i="19" a="1"/>
  <c r="F70" i="19" s="1"/>
  <c r="T69" i="19"/>
  <c r="T70" i="19" s="1" a="1"/>
  <c r="T70" i="19" s="1"/>
  <c r="T71" i="19" s="1" a="1"/>
  <c r="T71" i="19" s="1"/>
  <c r="F58" i="20" a="1"/>
  <c r="F58" i="20" s="1"/>
  <c r="K57" i="20"/>
  <c r="AI91" i="31"/>
  <c r="AG91" i="31"/>
  <c r="BO52" i="30" l="1"/>
  <c r="BO52" i="29"/>
  <c r="F124" i="27" a="1"/>
  <c r="F124" i="27" s="1"/>
  <c r="F125" i="27" s="1" a="1"/>
  <c r="F125" i="27" s="1"/>
  <c r="F126" i="27" s="1" a="1"/>
  <c r="F126" i="27" s="1"/>
  <c r="F86" i="18" a="1"/>
  <c r="F86" i="18" s="1"/>
  <c r="F87" i="18" s="1" a="1"/>
  <c r="F87" i="18" s="1"/>
  <c r="F88" i="18" s="1" a="1"/>
  <c r="F88" i="18" s="1"/>
  <c r="F89" i="18" s="1" a="1"/>
  <c r="F89" i="18" s="1"/>
  <c r="T85" i="18"/>
  <c r="T86" i="18" s="1" a="1"/>
  <c r="T86" i="18" s="1"/>
  <c r="T87" i="18" s="1" a="1"/>
  <c r="T87" i="18" s="1"/>
  <c r="T88" i="18" s="1" a="1"/>
  <c r="T88" i="18" s="1"/>
  <c r="T89" i="18" s="1" a="1"/>
  <c r="T89" i="18" s="1"/>
  <c r="D297" i="30" a="1"/>
  <c r="D297" i="30" s="1"/>
  <c r="AB296" i="30"/>
  <c r="AE61" i="34"/>
  <c r="AE63" i="34"/>
  <c r="T46" i="14"/>
  <c r="AH84" i="31"/>
  <c r="AH38" i="31"/>
  <c r="AG37" i="31"/>
  <c r="AJ38" i="31"/>
  <c r="AG119" i="28"/>
  <c r="AH40" i="31"/>
  <c r="AG38" i="31"/>
  <c r="AJ40" i="31"/>
  <c r="AI38" i="31"/>
  <c r="AJ33" i="31"/>
  <c r="AK34" i="31"/>
  <c r="AH33" i="31"/>
  <c r="AI36" i="31"/>
  <c r="AJ31" i="31"/>
  <c r="AK33" i="31"/>
  <c r="AH31" i="31"/>
  <c r="AJ119" i="28"/>
  <c r="AJ37" i="31"/>
  <c r="AK36" i="31"/>
  <c r="AH37" i="31"/>
  <c r="AI40" i="31"/>
  <c r="AJ35" i="31"/>
  <c r="AK35" i="31"/>
  <c r="AH35" i="31"/>
  <c r="AI83" i="31"/>
  <c r="AG83" i="31"/>
  <c r="AG34" i="28"/>
  <c r="AK37" i="31"/>
  <c r="AK40" i="31"/>
  <c r="AH82" i="31"/>
  <c r="AI32" i="31"/>
  <c r="AK31" i="31"/>
  <c r="AG82" i="31"/>
  <c r="AG33" i="31"/>
  <c r="AI82" i="31"/>
  <c r="AI37" i="31"/>
  <c r="AH32" i="31"/>
  <c r="AG34" i="31"/>
  <c r="AJ32" i="31"/>
  <c r="AH83" i="31"/>
  <c r="AK38" i="31"/>
  <c r="AJ39" i="31"/>
  <c r="AH39" i="31"/>
  <c r="AI34" i="31"/>
  <c r="AK32" i="31"/>
  <c r="AK119" i="28"/>
  <c r="AK39" i="31"/>
  <c r="AI84" i="31"/>
  <c r="AG32" i="31"/>
  <c r="AG40" i="31"/>
  <c r="AI33" i="31"/>
  <c r="AG84" i="31"/>
  <c r="AG31" i="31"/>
  <c r="AG39" i="31"/>
  <c r="AI31" i="31"/>
  <c r="AI35" i="31"/>
  <c r="AI119" i="28"/>
  <c r="AI34" i="28"/>
  <c r="AE34" i="28"/>
  <c r="AJ36" i="31"/>
  <c r="AG36" i="31"/>
  <c r="AH36" i="31"/>
  <c r="AJ34" i="28"/>
  <c r="AJ34" i="31"/>
  <c r="AG35" i="31"/>
  <c r="AH34" i="31"/>
  <c r="AI39" i="31"/>
  <c r="AI86" i="31"/>
  <c r="AH86" i="31"/>
  <c r="AK34" i="28"/>
  <c r="AG85" i="31"/>
  <c r="AF34" i="28"/>
  <c r="AI85" i="31"/>
  <c r="AG86" i="31"/>
  <c r="AF119" i="28"/>
  <c r="AE119" i="28"/>
  <c r="D153" i="30" a="1"/>
  <c r="D153" i="30" s="1"/>
  <c r="AB152" i="30"/>
  <c r="D297" i="29" a="1"/>
  <c r="D297" i="29" s="1"/>
  <c r="AB296" i="29"/>
  <c r="D153" i="29" a="1"/>
  <c r="D153" i="29" s="1"/>
  <c r="AB152" i="29"/>
  <c r="F206" i="30" a="1"/>
  <c r="F206" i="30" s="1"/>
  <c r="F207" i="30" s="1" a="1"/>
  <c r="F207" i="30" s="1"/>
  <c r="F45" i="28" a="1"/>
  <c r="F45" i="28" s="1"/>
  <c r="F59" i="20" a="1"/>
  <c r="F59" i="20" s="1"/>
  <c r="K58" i="20"/>
  <c r="F71" i="19" a="1"/>
  <c r="F71" i="19" s="1"/>
  <c r="K70" i="19"/>
  <c r="F40" i="22" a="1"/>
  <c r="F40" i="22" s="1"/>
  <c r="T40" i="22" s="1"/>
  <c r="T39" i="22"/>
  <c r="F54" i="22" a="1"/>
  <c r="F54" i="22" s="1"/>
  <c r="T53" i="22"/>
  <c r="F52" i="9" a="1"/>
  <c r="F52" i="9" s="1"/>
  <c r="F206" i="29" a="1"/>
  <c r="F206" i="29" s="1"/>
  <c r="F207" i="29" s="1" a="1"/>
  <c r="F207" i="29" s="1"/>
  <c r="F132" i="28" a="1"/>
  <c r="F132" i="28" s="1"/>
  <c r="F133" i="28" s="1" a="1"/>
  <c r="F133" i="28" s="1"/>
  <c r="F134" i="28" s="1" a="1"/>
  <c r="F134" i="28" s="1"/>
  <c r="F135" i="28" s="1" a="1"/>
  <c r="F135" i="28" s="1"/>
  <c r="F136" i="28" s="1" a="1"/>
  <c r="F136" i="28" s="1"/>
  <c r="F137" i="28" s="1" a="1"/>
  <c r="F137" i="28" s="1"/>
  <c r="F138" i="28" s="1" a="1"/>
  <c r="F138" i="28" s="1"/>
  <c r="F139" i="28" s="1" a="1"/>
  <c r="F139" i="28" s="1"/>
  <c r="AG47" i="26"/>
  <c r="F46" i="26" a="1"/>
  <c r="F46" i="26" s="1"/>
  <c r="F47" i="26" s="1" a="1"/>
  <c r="F47" i="26" s="1"/>
  <c r="F48" i="26" s="1" a="1"/>
  <c r="F48" i="26" s="1"/>
  <c r="AG45" i="26"/>
  <c r="AG44" i="26" s="1"/>
  <c r="AG46" i="26"/>
  <c r="AG97" i="26"/>
  <c r="AG98" i="26"/>
  <c r="F97" i="26" a="1"/>
  <c r="F97" i="26" s="1"/>
  <c r="F98" i="26" s="1" a="1"/>
  <c r="F98" i="26" s="1"/>
  <c r="F99" i="26" s="1" a="1"/>
  <c r="F99" i="26" s="1"/>
  <c r="AG96" i="26"/>
  <c r="F41" i="19" a="1"/>
  <c r="F41" i="19" s="1"/>
  <c r="K40" i="19"/>
  <c r="F40" i="20" a="1"/>
  <c r="F40" i="20" s="1"/>
  <c r="K39" i="20"/>
  <c r="F61" i="29" a="1"/>
  <c r="F61" i="29" s="1"/>
  <c r="BO60" i="29"/>
  <c r="F42" i="18" a="1"/>
  <c r="F42" i="18" s="1"/>
  <c r="F62" i="30" a="1"/>
  <c r="F62" i="30" s="1"/>
  <c r="BO61" i="30"/>
  <c r="AF61" i="34"/>
  <c r="AF63" i="34"/>
  <c r="AB57" i="18" a="1"/>
  <c r="AB57" i="18" s="1"/>
  <c r="V57" i="18" a="1"/>
  <c r="V57" i="18" s="1"/>
  <c r="F68" i="27" a="1"/>
  <c r="F68" i="27" s="1"/>
  <c r="F69" i="27" s="1" a="1"/>
  <c r="F69" i="27" s="1"/>
  <c r="F70" i="27" s="1" a="1"/>
  <c r="F70" i="27" s="1"/>
  <c r="F100" i="26" l="1" a="1"/>
  <c r="F100" i="26" s="1"/>
  <c r="F71" i="27" a="1"/>
  <c r="F71" i="27" s="1"/>
  <c r="F72" i="27" s="1" a="1"/>
  <c r="F72" i="27" s="1"/>
  <c r="F73" i="27" s="1" a="1"/>
  <c r="F73" i="27" s="1"/>
  <c r="F74" i="27" s="1" a="1"/>
  <c r="F74" i="27" s="1"/>
  <c r="F75" i="27" s="1" a="1"/>
  <c r="F75" i="27" s="1"/>
  <c r="F76" i="27" s="1" a="1"/>
  <c r="F76" i="27" s="1"/>
  <c r="T70" i="27"/>
  <c r="T71" i="27" s="1" a="1"/>
  <c r="T71" i="27" s="1"/>
  <c r="T72" i="27" s="1" a="1"/>
  <c r="T72" i="27" s="1"/>
  <c r="T73" i="27" s="1" a="1"/>
  <c r="T73" i="27" s="1"/>
  <c r="T74" i="27" s="1" a="1"/>
  <c r="T74" i="27" s="1"/>
  <c r="T75" i="27" s="1" a="1"/>
  <c r="T75" i="27" s="1"/>
  <c r="AB52" i="19" a="1"/>
  <c r="AB52" i="19" s="1"/>
  <c r="V52" i="19" a="1"/>
  <c r="V52" i="19" s="1"/>
  <c r="F63" i="30" a="1"/>
  <c r="F63" i="30" s="1"/>
  <c r="F43" i="18" a="1"/>
  <c r="F43" i="18" s="1"/>
  <c r="T42" i="18"/>
  <c r="T43" i="18" s="1" a="1"/>
  <c r="T43" i="18" s="1"/>
  <c r="F41" i="20" a="1"/>
  <c r="F41" i="20" s="1"/>
  <c r="K40" i="20"/>
  <c r="T41" i="19"/>
  <c r="T42" i="19" s="1" a="1"/>
  <c r="T42" i="19" s="1"/>
  <c r="T43" i="19" s="1" a="1"/>
  <c r="T43" i="19" s="1"/>
  <c r="F42" i="19" a="1"/>
  <c r="F42" i="19" s="1"/>
  <c r="AG95" i="26"/>
  <c r="F49" i="26" a="1"/>
  <c r="F49" i="26" s="1"/>
  <c r="AL34" i="28"/>
  <c r="D298" i="30"/>
  <c r="AB297" i="30"/>
  <c r="F62" i="29" a="1"/>
  <c r="F62" i="29" s="1"/>
  <c r="F63" i="29" s="1" a="1"/>
  <c r="F63" i="29" s="1"/>
  <c r="BO61" i="29"/>
  <c r="F140" i="28" a="1"/>
  <c r="F140" i="28" s="1"/>
  <c r="T139" i="28"/>
  <c r="F208" i="29" a="1"/>
  <c r="F208" i="29" s="1"/>
  <c r="F53" i="9" a="1"/>
  <c r="F53" i="9" s="1"/>
  <c r="T54" i="22"/>
  <c r="AG35" i="26"/>
  <c r="AF35" i="26"/>
  <c r="F72" i="19" a="1"/>
  <c r="F72" i="19" s="1"/>
  <c r="K71" i="19"/>
  <c r="F60" i="20" a="1"/>
  <c r="F60" i="20" s="1"/>
  <c r="K59" i="20"/>
  <c r="F46" i="28" a="1"/>
  <c r="F46" i="28" s="1"/>
  <c r="AN45" i="28"/>
  <c r="F208" i="30" a="1"/>
  <c r="F208" i="30" s="1"/>
  <c r="D154" i="29"/>
  <c r="AB153" i="29"/>
  <c r="D298" i="29"/>
  <c r="AB297" i="29"/>
  <c r="D154" i="30"/>
  <c r="AB153" i="30"/>
  <c r="AL119" i="28"/>
  <c r="AH34" i="28"/>
  <c r="AH119" i="28"/>
  <c r="F127" i="27" a="1"/>
  <c r="F127" i="27" s="1"/>
  <c r="F128" i="27" s="1" a="1"/>
  <c r="F128" i="27" s="1"/>
  <c r="F129" i="27" s="1" a="1"/>
  <c r="F129" i="27" s="1"/>
  <c r="F130" i="27" s="1" a="1"/>
  <c r="F130" i="27" s="1"/>
  <c r="F131" i="27" s="1" a="1"/>
  <c r="F131" i="27" s="1"/>
  <c r="F132" i="27" s="1" a="1"/>
  <c r="F132" i="27" s="1"/>
  <c r="T126" i="27"/>
  <c r="T127" i="27" s="1" a="1"/>
  <c r="T127" i="27" s="1"/>
  <c r="T128" i="27" s="1" a="1"/>
  <c r="T128" i="27" s="1"/>
  <c r="T129" i="27" s="1" a="1"/>
  <c r="T129" i="27" s="1"/>
  <c r="T130" i="27" s="1" a="1"/>
  <c r="T130" i="27" s="1"/>
  <c r="T131" i="27" s="1" a="1"/>
  <c r="T131" i="27" s="1"/>
  <c r="F133" i="27" l="1" a="1"/>
  <c r="F133" i="27" s="1"/>
  <c r="F134" i="27" s="1" a="1"/>
  <c r="F134" i="27" s="1"/>
  <c r="T132" i="27"/>
  <c r="T134" i="27" s="1" a="1"/>
  <c r="T134" i="27" s="1"/>
  <c r="T135" i="27" s="1" a="1"/>
  <c r="T135" i="27" s="1"/>
  <c r="T136" i="27" s="1" a="1"/>
  <c r="T136" i="27" s="1"/>
  <c r="T137" i="27" s="1" a="1"/>
  <c r="T137" i="27" s="1"/>
  <c r="D299" i="30" a="1"/>
  <c r="D299" i="30" s="1"/>
  <c r="AB298" i="30" a="1"/>
  <c r="AB298" i="30" s="1"/>
  <c r="F50" i="26" a="1"/>
  <c r="F50" i="26" s="1"/>
  <c r="D155" i="30" a="1"/>
  <c r="D155" i="30" s="1"/>
  <c r="AB154" i="30" a="1"/>
  <c r="AB154" i="30" s="1"/>
  <c r="AB298" i="29" a="1"/>
  <c r="AB298" i="29" s="1"/>
  <c r="D299" i="29" a="1"/>
  <c r="D299" i="29" s="1"/>
  <c r="D155" i="29" a="1"/>
  <c r="D155" i="29" s="1"/>
  <c r="AB154" i="29" a="1"/>
  <c r="AB154" i="29" s="1"/>
  <c r="F209" i="30" a="1"/>
  <c r="F209" i="30" s="1"/>
  <c r="F47" i="28" a="1"/>
  <c r="F47" i="28" s="1"/>
  <c r="AN46" i="28"/>
  <c r="F61" i="20" a="1"/>
  <c r="F61" i="20" s="1"/>
  <c r="K60" i="20"/>
  <c r="F73" i="19" a="1"/>
  <c r="F73" i="19" s="1"/>
  <c r="F74" i="19" s="1" a="1"/>
  <c r="F74" i="19" s="1"/>
  <c r="F75" i="19" s="1" a="1"/>
  <c r="F75" i="19" s="1"/>
  <c r="T72" i="19"/>
  <c r="T73" i="19" s="1" a="1"/>
  <c r="T73" i="19" s="1"/>
  <c r="T74" i="19" s="1" a="1"/>
  <c r="T74" i="19" s="1"/>
  <c r="F54" i="9" a="1"/>
  <c r="F54" i="9" s="1"/>
  <c r="AI39" i="19"/>
  <c r="AE39" i="19"/>
  <c r="F209" i="29" a="1"/>
  <c r="F209" i="29" s="1"/>
  <c r="F141" i="28" a="1"/>
  <c r="F141" i="28" s="1"/>
  <c r="T140" i="28"/>
  <c r="F64" i="29" a="1"/>
  <c r="F64" i="29" s="1"/>
  <c r="BO63" i="29"/>
  <c r="AH70" i="19"/>
  <c r="F43" i="19" a="1"/>
  <c r="F43" i="19" s="1"/>
  <c r="F42" i="20" a="1"/>
  <c r="F42" i="20" s="1"/>
  <c r="K41" i="20"/>
  <c r="F44" i="18" a="1"/>
  <c r="F44" i="18" s="1"/>
  <c r="F64" i="30" a="1"/>
  <c r="F64" i="30" s="1"/>
  <c r="BO63" i="30"/>
  <c r="AB46" i="20" a="1"/>
  <c r="AB46" i="20" s="1"/>
  <c r="V46" i="20" a="1"/>
  <c r="V46" i="20" s="1"/>
  <c r="F77" i="27" a="1"/>
  <c r="F77" i="27" s="1"/>
  <c r="F78" i="27" s="1" a="1"/>
  <c r="F78" i="27" s="1"/>
  <c r="T76" i="27"/>
  <c r="T78" i="27" s="1" a="1"/>
  <c r="T78" i="27" s="1"/>
  <c r="T79" i="27" s="1" a="1"/>
  <c r="T79" i="27" s="1"/>
  <c r="T80" i="27" s="1" a="1"/>
  <c r="T80" i="27" s="1"/>
  <c r="T81" i="27" s="1" a="1"/>
  <c r="T81" i="27" s="1"/>
  <c r="F101" i="26" a="1"/>
  <c r="F101" i="26" s="1"/>
  <c r="F79" i="27" l="1" a="1"/>
  <c r="F79" i="27" s="1"/>
  <c r="AB39" i="21" a="1"/>
  <c r="AB39" i="21" s="1"/>
  <c r="V39" i="21" a="1"/>
  <c r="V39" i="21" s="1"/>
  <c r="F45" i="18" a="1"/>
  <c r="F45" i="18" s="1"/>
  <c r="AD38" i="31"/>
  <c r="AZ29" i="30"/>
  <c r="AW40" i="24"/>
  <c r="AN173" i="30"/>
  <c r="AP32" i="24"/>
  <c r="AW29" i="29"/>
  <c r="AF37" i="30"/>
  <c r="AF35" i="30" s="1"/>
  <c r="AF30" i="30" s="1"/>
  <c r="AX173" i="29"/>
  <c r="AU32" i="24"/>
  <c r="AS29" i="29"/>
  <c r="AN40" i="24"/>
  <c r="AD82" i="31"/>
  <c r="AS32" i="24"/>
  <c r="AD34" i="31"/>
  <c r="AQ173" i="29"/>
  <c r="AT40" i="24"/>
  <c r="AO29" i="29"/>
  <c r="BA29" i="30"/>
  <c r="AD32" i="31"/>
  <c r="AM173" i="29"/>
  <c r="AE32" i="24"/>
  <c r="AE33" i="24" s="1" a="1"/>
  <c r="AE33" i="24" s="1"/>
  <c r="BB173" i="30"/>
  <c r="AQ40" i="24"/>
  <c r="AX32" i="24"/>
  <c r="AF40" i="24"/>
  <c r="BA173" i="29"/>
  <c r="AK29" i="29"/>
  <c r="AX173" i="30"/>
  <c r="AJ33" i="19"/>
  <c r="AK173" i="30"/>
  <c r="AD35" i="31"/>
  <c r="AS173" i="29"/>
  <c r="AP40" i="24"/>
  <c r="AP173" i="30"/>
  <c r="AE40" i="24"/>
  <c r="AE41" i="24" s="1" a="1"/>
  <c r="AE41" i="24" s="1"/>
  <c r="AL32" i="24"/>
  <c r="AU173" i="29"/>
  <c r="AT29" i="30"/>
  <c r="AM29" i="30"/>
  <c r="AD83" i="31"/>
  <c r="BB173" i="29"/>
  <c r="AM32" i="24"/>
  <c r="AI40" i="24"/>
  <c r="AD36" i="31"/>
  <c r="AV29" i="30"/>
  <c r="AL40" i="24"/>
  <c r="AR173" i="30"/>
  <c r="AV29" i="29"/>
  <c r="AH32" i="24"/>
  <c r="AZ29" i="29"/>
  <c r="AK29" i="30"/>
  <c r="AP29" i="30"/>
  <c r="AG40" i="24"/>
  <c r="AJ32" i="24"/>
  <c r="AV40" i="24"/>
  <c r="AD40" i="31"/>
  <c r="AL29" i="30"/>
  <c r="AO40" i="24"/>
  <c r="AR32" i="24"/>
  <c r="AK32" i="24"/>
  <c r="AD88" i="31"/>
  <c r="AO173" i="30"/>
  <c r="BC29" i="30"/>
  <c r="AG37" i="30"/>
  <c r="AU173" i="30"/>
  <c r="AU40" i="24"/>
  <c r="AZ173" i="30"/>
  <c r="AI32" i="24"/>
  <c r="AK173" i="29"/>
  <c r="AD31" i="31"/>
  <c r="AL173" i="29"/>
  <c r="AU29" i="29"/>
  <c r="AW173" i="30"/>
  <c r="AP29" i="29"/>
  <c r="AI173" i="30"/>
  <c r="AO29" i="30"/>
  <c r="AG32" i="24"/>
  <c r="AM29" i="29"/>
  <c r="AN32" i="24"/>
  <c r="AK40" i="24"/>
  <c r="AN29" i="30"/>
  <c r="AL29" i="29"/>
  <c r="BC173" i="29"/>
  <c r="AQ29" i="30"/>
  <c r="AI181" i="30"/>
  <c r="AI179" i="30" s="1"/>
  <c r="AI174" i="30" s="1"/>
  <c r="AU29" i="30"/>
  <c r="AY29" i="29"/>
  <c r="AI29" i="30"/>
  <c r="AW32" i="24"/>
  <c r="AX29" i="29"/>
  <c r="AJ173" i="30"/>
  <c r="AH40" i="24"/>
  <c r="AX29" i="30"/>
  <c r="AD37" i="31"/>
  <c r="AS173" i="30"/>
  <c r="BC173" i="30"/>
  <c r="AY173" i="29"/>
  <c r="AD84" i="31"/>
  <c r="AY29" i="30"/>
  <c r="AO32" i="24"/>
  <c r="BB29" i="29"/>
  <c r="AV32" i="24"/>
  <c r="AS40" i="24"/>
  <c r="BB29" i="30"/>
  <c r="AD39" i="31"/>
  <c r="AR173" i="29"/>
  <c r="AP173" i="29"/>
  <c r="AE37" i="30"/>
  <c r="AE35" i="30" s="1"/>
  <c r="AE30" i="30" s="1"/>
  <c r="AN29" i="29"/>
  <c r="BA173" i="30"/>
  <c r="AT32" i="24"/>
  <c r="AM40" i="24"/>
  <c r="AL173" i="30"/>
  <c r="AX40" i="24"/>
  <c r="AO173" i="29"/>
  <c r="AD33" i="31"/>
  <c r="AW173" i="29"/>
  <c r="AE181" i="30"/>
  <c r="AE179" i="30" s="1"/>
  <c r="AE174" i="30" s="1"/>
  <c r="AM173" i="30"/>
  <c r="AT173" i="30"/>
  <c r="AW29" i="30"/>
  <c r="AY173" i="30"/>
  <c r="BC29" i="29"/>
  <c r="AJ40" i="24"/>
  <c r="AV173" i="30"/>
  <c r="AQ32" i="24"/>
  <c r="AZ173" i="29"/>
  <c r="AJ29" i="30"/>
  <c r="AS29" i="30"/>
  <c r="BA29" i="29"/>
  <c r="AF196" i="30"/>
  <c r="AF52" i="30"/>
  <c r="AF58" i="19"/>
  <c r="AI52" i="30"/>
  <c r="AE52" i="30"/>
  <c r="AG196" i="30"/>
  <c r="AD86" i="31"/>
  <c r="AI196" i="30"/>
  <c r="AE58" i="19"/>
  <c r="AE196" i="30"/>
  <c r="AD85" i="31"/>
  <c r="AJ58" i="19"/>
  <c r="AG58" i="19"/>
  <c r="AG52" i="30"/>
  <c r="AH52" i="30" s="1"/>
  <c r="AH58" i="19"/>
  <c r="AE33" i="19"/>
  <c r="AI64" i="19"/>
  <c r="AJ39" i="19"/>
  <c r="AD87" i="31"/>
  <c r="AF64" i="19"/>
  <c r="AH33" i="19"/>
  <c r="AD89" i="31"/>
  <c r="AI33" i="19"/>
  <c r="AG33" i="19"/>
  <c r="AJ64" i="19"/>
  <c r="AF33" i="19"/>
  <c r="AE64" i="19"/>
  <c r="AD91" i="31"/>
  <c r="AI58" i="19"/>
  <c r="AG64" i="19"/>
  <c r="AR29" i="29"/>
  <c r="AQ173" i="30"/>
  <c r="AQ29" i="29"/>
  <c r="AR29" i="30"/>
  <c r="AI37" i="30"/>
  <c r="AI35" i="30" s="1"/>
  <c r="AI30" i="30" s="1"/>
  <c r="AF70" i="19"/>
  <c r="AG39" i="19"/>
  <c r="AH39" i="19"/>
  <c r="AG70" i="19"/>
  <c r="AH64" i="19"/>
  <c r="AR40" i="24"/>
  <c r="AD90" i="31"/>
  <c r="AV173" i="29"/>
  <c r="AF181" i="30"/>
  <c r="AF179" i="30" s="1"/>
  <c r="AF174" i="30" s="1"/>
  <c r="AN173" i="29"/>
  <c r="AG181" i="30"/>
  <c r="AF32" i="24"/>
  <c r="AI70" i="19"/>
  <c r="AE70" i="19"/>
  <c r="F76" i="19" a="1"/>
  <c r="F76" i="19" s="1"/>
  <c r="T75" i="19"/>
  <c r="T76" i="19" s="1" a="1"/>
  <c r="T76" i="19" s="1"/>
  <c r="F62" i="20" a="1"/>
  <c r="F62" i="20" s="1"/>
  <c r="K61" i="20"/>
  <c r="AI208" i="30"/>
  <c r="AI206" i="30" s="1"/>
  <c r="AI197" i="30" s="1"/>
  <c r="AE208" i="30"/>
  <c r="AE206" i="30" s="1"/>
  <c r="AE197" i="30" s="1"/>
  <c r="F210" i="30" a="1"/>
  <c r="F210" i="30" s="1"/>
  <c r="D300" i="29" a="1"/>
  <c r="D300" i="29" s="1"/>
  <c r="AB299" i="29"/>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AF39" i="19"/>
  <c r="F102" i="26"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F65" i="30" a="1"/>
  <c r="F65" i="30" s="1"/>
  <c r="AF64" i="30"/>
  <c r="AF62" i="30" s="1"/>
  <c r="AF53" i="30" s="1"/>
  <c r="AE64" i="30"/>
  <c r="AE62" i="30" s="1"/>
  <c r="AE53" i="30" s="1"/>
  <c r="AI64" i="30"/>
  <c r="AI62" i="30" s="1"/>
  <c r="AI53" i="30" s="1"/>
  <c r="AG64" i="30"/>
  <c r="F43" i="20" a="1"/>
  <c r="F43" i="20" s="1"/>
  <c r="K42" i="20"/>
  <c r="F44" i="19" a="1"/>
  <c r="F44" i="19" s="1"/>
  <c r="F65" i="29" a="1"/>
  <c r="F65" i="29" s="1"/>
  <c r="F142" i="28" a="1"/>
  <c r="F142" i="28" s="1"/>
  <c r="T141" i="28"/>
  <c r="F210" i="29" a="1"/>
  <c r="F210" i="29" s="1"/>
  <c r="F48" i="28" a="1"/>
  <c r="F48" i="28" s="1"/>
  <c r="AG208" i="30"/>
  <c r="AF208" i="30"/>
  <c r="AF206" i="30" s="1"/>
  <c r="AF197" i="30" s="1"/>
  <c r="D156" i="29" a="1"/>
  <c r="D156" i="29" s="1"/>
  <c r="AB155" i="29"/>
  <c r="D156" i="30" a="1"/>
  <c r="D156" i="30" s="1"/>
  <c r="AB155" i="30"/>
  <c r="AJ70" i="19"/>
  <c r="D300" i="30" a="1"/>
  <c r="D300" i="30" s="1"/>
  <c r="AB299" i="30"/>
  <c r="F135" i="27" a="1"/>
  <c r="F135" i="27" s="1"/>
  <c r="F211" i="29" l="1" a="1"/>
  <c r="F211" i="29" s="1"/>
  <c r="F44" i="20" a="1"/>
  <c r="F44" i="20" s="1"/>
  <c r="K43" i="20"/>
  <c r="AG62" i="30"/>
  <c r="AH64" i="30"/>
  <c r="BO65" i="30"/>
  <c r="F66" i="30" a="1"/>
  <c r="F66" i="30" s="1"/>
  <c r="F68" i="26" a="1"/>
  <c r="F68" i="26" s="1"/>
  <c r="K67" i="26"/>
  <c r="F211" i="30" a="1"/>
  <c r="F211" i="30" s="1"/>
  <c r="AF41" i="24"/>
  <c r="AE42" i="24"/>
  <c r="AF33" i="24"/>
  <c r="AE34" i="24"/>
  <c r="AF28" i="30"/>
  <c r="T45" i="18"/>
  <c r="T46" i="18" s="1" a="1"/>
  <c r="T46" i="18" s="1"/>
  <c r="F46" i="18" a="1"/>
  <c r="F46" i="18" s="1"/>
  <c r="AB41" i="22" a="1"/>
  <c r="AB41" i="22" s="1"/>
  <c r="V41" i="22" a="1"/>
  <c r="V41" i="22" s="1"/>
  <c r="F136" i="27" a="1"/>
  <c r="F136" i="27" s="1"/>
  <c r="F137" i="27" s="1" a="1"/>
  <c r="F137" i="27" s="1"/>
  <c r="D301" i="30" a="1"/>
  <c r="D301" i="30" s="1"/>
  <c r="AB300" i="30"/>
  <c r="D157" i="30" a="1"/>
  <c r="D157" i="30" s="1"/>
  <c r="AB156" i="30"/>
  <c r="D157" i="29" a="1"/>
  <c r="D157" i="29" s="1"/>
  <c r="AB156" i="29"/>
  <c r="AG206" i="30"/>
  <c r="AH208" i="30"/>
  <c r="F49" i="28" a="1"/>
  <c r="F49" i="28" s="1"/>
  <c r="F143" i="28" a="1"/>
  <c r="F143" i="28" s="1"/>
  <c r="F144" i="28" s="1" a="1"/>
  <c r="F144" i="28" s="1"/>
  <c r="F145" i="28" s="1" a="1"/>
  <c r="F145" i="28" s="1"/>
  <c r="F146" i="28" s="1" a="1"/>
  <c r="F146" i="28" s="1"/>
  <c r="T142" i="28"/>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T197" i="28" s="1" a="1"/>
  <c r="T197" i="28" s="1"/>
  <c r="T198" i="28" s="1" a="1"/>
  <c r="T198" i="28" s="1"/>
  <c r="F66" i="29" a="1"/>
  <c r="F66" i="29" s="1"/>
  <c r="BO65" i="29"/>
  <c r="F45" i="19" a="1"/>
  <c r="F45" i="19" s="1"/>
  <c r="T44" i="19"/>
  <c r="T45" i="19" s="1" a="1"/>
  <c r="T45" i="19" s="1"/>
  <c r="T46" i="19" s="1" a="1"/>
  <c r="T46" i="19" s="1"/>
  <c r="F119" i="26" a="1"/>
  <c r="F119" i="26" s="1"/>
  <c r="K118" i="26"/>
  <c r="D301" i="29" a="1"/>
  <c r="D301" i="29" s="1"/>
  <c r="AB300" i="29"/>
  <c r="F63" i="20" a="1"/>
  <c r="F63" i="20" s="1"/>
  <c r="K62" i="20"/>
  <c r="K76" i="19"/>
  <c r="AE76" i="19"/>
  <c r="AE52" i="19" s="1"/>
  <c r="AG76" i="19"/>
  <c r="AG52" i="19" s="1"/>
  <c r="AF76" i="19"/>
  <c r="AF52" i="19" s="1"/>
  <c r="AH76" i="19"/>
  <c r="AH52" i="19" s="1"/>
  <c r="AI76" i="19"/>
  <c r="AI52" i="19" s="1"/>
  <c r="AJ76" i="19"/>
  <c r="AH181" i="30"/>
  <c r="AG179" i="30"/>
  <c r="AF172" i="30"/>
  <c r="AJ52" i="19"/>
  <c r="AH196" i="30"/>
  <c r="AE172" i="30"/>
  <c r="AE28" i="30"/>
  <c r="AH37" i="30"/>
  <c r="AG35" i="30"/>
  <c r="F80" i="27" a="1"/>
  <c r="F80" i="27" s="1"/>
  <c r="F81" i="27" s="1" a="1"/>
  <c r="F81" i="27" s="1"/>
  <c r="F82" i="27" l="1" a="1"/>
  <c r="F82" i="27" s="1"/>
  <c r="AH35" i="30"/>
  <c r="AG30" i="30"/>
  <c r="AI28" i="30"/>
  <c r="AH179" i="30"/>
  <c r="AG174" i="30"/>
  <c r="F64" i="20" a="1"/>
  <c r="F64" i="20" s="1"/>
  <c r="K63" i="20"/>
  <c r="K119" i="26"/>
  <c r="F120" i="26" a="1"/>
  <c r="F120" i="26" s="1"/>
  <c r="F46" i="19" a="1"/>
  <c r="F46" i="19" s="1"/>
  <c r="K45" i="19"/>
  <c r="AE45" i="19"/>
  <c r="AG45" i="19"/>
  <c r="AF45" i="19"/>
  <c r="AH45" i="19"/>
  <c r="AJ45" i="19"/>
  <c r="AI45" i="19"/>
  <c r="F67" i="29" a="1"/>
  <c r="F67" i="29" s="1"/>
  <c r="BO66" i="29"/>
  <c r="F147" i="28" a="1"/>
  <c r="F147" i="28" s="1"/>
  <c r="F138" i="27" a="1"/>
  <c r="F138" i="27" s="1"/>
  <c r="F47" i="18" a="1"/>
  <c r="F47" i="18" s="1"/>
  <c r="AG33" i="24"/>
  <c r="AF34" i="24"/>
  <c r="F212" i="30" a="1"/>
  <c r="F212" i="30" s="1"/>
  <c r="AH62" i="30"/>
  <c r="AG53" i="30"/>
  <c r="AH53" i="30" s="1"/>
  <c r="F45" i="20" a="1"/>
  <c r="F45" i="20" s="1"/>
  <c r="AJ66" i="29" s="1"/>
  <c r="K44" i="20"/>
  <c r="AF209" i="29"/>
  <c r="AE209" i="29"/>
  <c r="AF205" i="29"/>
  <c r="AI59" i="29"/>
  <c r="BD59" i="29" s="1"/>
  <c r="AE204" i="29"/>
  <c r="AF61" i="29"/>
  <c r="AJ209" i="29"/>
  <c r="AG209" i="29"/>
  <c r="AI209" i="29"/>
  <c r="BD209" i="29" s="1"/>
  <c r="AJ210" i="29"/>
  <c r="AG210" i="29"/>
  <c r="AT210" i="29"/>
  <c r="AJ211" i="29"/>
  <c r="AF211" i="29"/>
  <c r="F212" i="29" a="1"/>
  <c r="F212" i="29" s="1"/>
  <c r="AI211" i="29"/>
  <c r="BD211" i="29" s="1"/>
  <c r="AE211" i="29"/>
  <c r="AT211" i="29"/>
  <c r="AG211" i="29"/>
  <c r="AH211" i="29" s="1"/>
  <c r="AI172" i="30"/>
  <c r="D302" i="29" a="1"/>
  <c r="D302" i="29" s="1"/>
  <c r="AB301" i="29"/>
  <c r="F50" i="28" a="1"/>
  <c r="F50" i="28" s="1"/>
  <c r="AH206" i="30"/>
  <c r="AG197" i="30"/>
  <c r="AH197" i="30" s="1"/>
  <c r="D158" i="29" a="1"/>
  <c r="D158" i="29" s="1"/>
  <c r="AB157" i="29"/>
  <c r="D158" i="30" a="1"/>
  <c r="D158" i="30" s="1"/>
  <c r="AB157" i="30"/>
  <c r="D302" i="30" a="1"/>
  <c r="D302" i="30" s="1"/>
  <c r="AB301" i="30"/>
  <c r="AB58" i="23" a="1"/>
  <c r="AB58" i="23" s="1"/>
  <c r="V58" i="23" a="1"/>
  <c r="V58" i="23" s="1"/>
  <c r="AG86" i="26"/>
  <c r="AF86" i="26"/>
  <c r="AG41" i="24"/>
  <c r="AF42" i="24"/>
  <c r="F69" i="26" a="1"/>
  <c r="F69" i="26" s="1"/>
  <c r="K68" i="26"/>
  <c r="BO66" i="30"/>
  <c r="F67" i="30" a="1"/>
  <c r="F67" i="30" s="1"/>
  <c r="BO67" i="30" l="1"/>
  <c r="F68" i="30" a="1"/>
  <c r="F68" i="30" s="1"/>
  <c r="AB35" i="24" a="1"/>
  <c r="AB35" i="24" s="1"/>
  <c r="V35" i="24" a="1"/>
  <c r="V35" i="24" s="1"/>
  <c r="F51" i="28" a="1"/>
  <c r="F51" i="28" s="1"/>
  <c r="D303" i="29" a="1"/>
  <c r="D303" i="29" s="1"/>
  <c r="AB302" i="29"/>
  <c r="BD172" i="30"/>
  <c r="AT172" i="30"/>
  <c r="AJ172" i="30"/>
  <c r="AH209" i="29"/>
  <c r="AE61" i="29"/>
  <c r="AE59" i="29"/>
  <c r="AJ204" i="29"/>
  <c r="AT61" i="29"/>
  <c r="AF204" i="29"/>
  <c r="AT209" i="29"/>
  <c r="F213" i="30" a="1"/>
  <c r="F213" i="30" s="1"/>
  <c r="AH33" i="24"/>
  <c r="AG34" i="24"/>
  <c r="F48" i="18" a="1"/>
  <c r="F48" i="18" s="1"/>
  <c r="T47" i="18"/>
  <c r="T48" i="18" s="1" a="1"/>
  <c r="T48" i="18" s="1"/>
  <c r="F139" i="27" a="1"/>
  <c r="F139" i="27" s="1"/>
  <c r="T139" i="27" s="1"/>
  <c r="T140" i="27" s="1" a="1"/>
  <c r="T140" i="27" s="1"/>
  <c r="T138" i="27"/>
  <c r="F148" i="28" a="1"/>
  <c r="F148" i="28" s="1"/>
  <c r="F149" i="28" s="1" a="1"/>
  <c r="F149" i="28" s="1"/>
  <c r="AG66" i="29"/>
  <c r="AT66" i="29"/>
  <c r="F68" i="29" a="1"/>
  <c r="F68" i="29" s="1"/>
  <c r="BO67" i="29"/>
  <c r="AT67" i="29"/>
  <c r="AI67" i="29"/>
  <c r="BD67" i="29" s="1"/>
  <c r="AG67" i="29"/>
  <c r="AE67" i="29"/>
  <c r="AJ67" i="29"/>
  <c r="AF67" i="29"/>
  <c r="BO64" i="30"/>
  <c r="BO64" i="29"/>
  <c r="K120" i="26"/>
  <c r="F121" i="26" a="1"/>
  <c r="F121" i="26" s="1"/>
  <c r="AH174" i="30"/>
  <c r="AG172" i="30"/>
  <c r="BD28" i="30"/>
  <c r="AT28" i="30"/>
  <c r="AJ28" i="30"/>
  <c r="AH30" i="30"/>
  <c r="AG28" i="30"/>
  <c r="F83" i="27" a="1"/>
  <c r="F83" i="27" s="1"/>
  <c r="T83" i="27" s="1"/>
  <c r="T84" i="27" s="1" a="1"/>
  <c r="T84" i="27" s="1"/>
  <c r="T82" i="27"/>
  <c r="F70" i="26" a="1"/>
  <c r="F70" i="26" s="1"/>
  <c r="AG69" i="26"/>
  <c r="K69" i="26"/>
  <c r="AH41" i="24"/>
  <c r="AG42" i="24"/>
  <c r="D303" i="30" a="1"/>
  <c r="D303" i="30" s="1"/>
  <c r="AB302" i="30"/>
  <c r="D159" i="30" a="1"/>
  <c r="D159" i="30" s="1"/>
  <c r="AB158" i="30"/>
  <c r="D159" i="29" a="1"/>
  <c r="D159" i="29" s="1"/>
  <c r="AB158" i="29"/>
  <c r="F213" i="29" a="1"/>
  <c r="F213" i="29" s="1"/>
  <c r="AT212" i="29"/>
  <c r="AI212" i="29"/>
  <c r="BD212" i="29" s="1"/>
  <c r="AG212" i="29"/>
  <c r="AH212" i="29" s="1"/>
  <c r="AE212" i="29"/>
  <c r="AJ212" i="29"/>
  <c r="AF212" i="29"/>
  <c r="K45" i="20"/>
  <c r="AI210" i="29"/>
  <c r="BD210" i="29" s="1"/>
  <c r="AE210" i="29"/>
  <c r="AF210" i="29"/>
  <c r="AH210" i="29" s="1"/>
  <c r="AG205" i="29"/>
  <c r="AH205" i="29" s="1"/>
  <c r="AG203" i="29"/>
  <c r="AH203" i="29" s="1"/>
  <c r="AJ58" i="29"/>
  <c r="AE58" i="29"/>
  <c r="AI60" i="29"/>
  <c r="BD60" i="29" s="1"/>
  <c r="AI58" i="29"/>
  <c r="BD58" i="29" s="1"/>
  <c r="AG59" i="29"/>
  <c r="AT205" i="29"/>
  <c r="AE203" i="29"/>
  <c r="AJ60" i="29"/>
  <c r="AI203" i="29"/>
  <c r="BD203" i="29" s="1"/>
  <c r="AE60" i="29"/>
  <c r="AF203" i="29"/>
  <c r="AG60" i="29"/>
  <c r="AH60" i="29" s="1"/>
  <c r="AI65" i="29"/>
  <c r="BD65" i="29" s="1"/>
  <c r="AE65" i="29"/>
  <c r="AF65" i="29"/>
  <c r="AI61" i="29"/>
  <c r="BD61" i="29" s="1"/>
  <c r="AT204" i="29"/>
  <c r="AJ61" i="29"/>
  <c r="AI204" i="29"/>
  <c r="BD204" i="29" s="1"/>
  <c r="AJ205" i="29"/>
  <c r="AT60" i="29"/>
  <c r="AT203" i="29"/>
  <c r="AF60" i="29"/>
  <c r="AT58" i="29"/>
  <c r="AJ59" i="29"/>
  <c r="AF58" i="29"/>
  <c r="AG58" i="29"/>
  <c r="AT59" i="29"/>
  <c r="AJ203" i="29"/>
  <c r="AT65" i="29"/>
  <c r="AG65" i="29"/>
  <c r="AH65" i="29" s="1"/>
  <c r="AJ65" i="29"/>
  <c r="AE205" i="29"/>
  <c r="AG61" i="29"/>
  <c r="AH61" i="29" s="1"/>
  <c r="AI205" i="29"/>
  <c r="BD205" i="29" s="1"/>
  <c r="AG204" i="29"/>
  <c r="AH204" i="29" s="1"/>
  <c r="AE66" i="29"/>
  <c r="AI66" i="29"/>
  <c r="BD66" i="29" s="1"/>
  <c r="AF66" i="29"/>
  <c r="F47" i="19" a="1"/>
  <c r="F47" i="19" s="1"/>
  <c r="K46" i="19"/>
  <c r="K64" i="20"/>
  <c r="AE198" i="29"/>
  <c r="AI199" i="29"/>
  <c r="BD199" i="29" s="1"/>
  <c r="AF199" i="29"/>
  <c r="AG198" i="29"/>
  <c r="AE199" i="29"/>
  <c r="AG199" i="29"/>
  <c r="AJ198" i="29"/>
  <c r="AI198" i="29"/>
  <c r="AT198" i="29"/>
  <c r="AT199" i="29"/>
  <c r="AF198" i="29"/>
  <c r="AJ199" i="29"/>
  <c r="AG54" i="29"/>
  <c r="AF54" i="29"/>
  <c r="AI55" i="29"/>
  <c r="BD55" i="29" s="1"/>
  <c r="AI54" i="29"/>
  <c r="AJ54" i="29"/>
  <c r="AT54" i="29"/>
  <c r="AE54" i="29"/>
  <c r="AF55" i="29"/>
  <c r="AE55" i="29"/>
  <c r="AJ200" i="29"/>
  <c r="AJ55" i="29"/>
  <c r="AT200" i="29"/>
  <c r="AE200" i="29"/>
  <c r="AF59" i="29"/>
  <c r="AT55" i="29"/>
  <c r="AI200" i="29"/>
  <c r="BD200" i="29" s="1"/>
  <c r="AF200" i="29"/>
  <c r="AG200" i="29"/>
  <c r="AG55" i="29"/>
  <c r="AH55" i="29" s="1"/>
  <c r="AG56" i="29"/>
  <c r="AT202" i="29"/>
  <c r="AJ57" i="29"/>
  <c r="AI201" i="29"/>
  <c r="BD201" i="29" s="1"/>
  <c r="AI56" i="29"/>
  <c r="BD56" i="29" s="1"/>
  <c r="AE56" i="29"/>
  <c r="AT57" i="29"/>
  <c r="AE201" i="29"/>
  <c r="AI202" i="29"/>
  <c r="BD202" i="29" s="1"/>
  <c r="AI57" i="29"/>
  <c r="BD57" i="29" s="1"/>
  <c r="AF201" i="29"/>
  <c r="AJ202" i="29"/>
  <c r="AT56" i="29"/>
  <c r="AG57" i="29"/>
  <c r="AH57" i="29" s="1"/>
  <c r="AF57" i="29"/>
  <c r="AT201" i="29"/>
  <c r="AG201" i="29"/>
  <c r="AH201" i="29" s="1"/>
  <c r="AE57" i="29"/>
  <c r="AJ201" i="29"/>
  <c r="AG202" i="29"/>
  <c r="AE202" i="29"/>
  <c r="AF56" i="29"/>
  <c r="AJ56" i="29"/>
  <c r="AF202" i="29"/>
  <c r="AH54" i="29" l="1"/>
  <c r="T47" i="19"/>
  <c r="T48" i="19" s="1" a="1"/>
  <c r="T48" i="19" s="1"/>
  <c r="T49" i="19" s="1" a="1"/>
  <c r="T49" i="19" s="1"/>
  <c r="F48" i="19" a="1"/>
  <c r="F48" i="19" s="1"/>
  <c r="AH56" i="29"/>
  <c r="AH200" i="29"/>
  <c r="BD54" i="29"/>
  <c r="BD198" i="29"/>
  <c r="AH199" i="29"/>
  <c r="AH198" i="29"/>
  <c r="BO198" i="29"/>
  <c r="BO200" i="30"/>
  <c r="BO199" i="30"/>
  <c r="BO199" i="29"/>
  <c r="BO198" i="30"/>
  <c r="BO202" i="30"/>
  <c r="BO200" i="29"/>
  <c r="BO204" i="30"/>
  <c r="BO201" i="29"/>
  <c r="BO202" i="29"/>
  <c r="BO201" i="30"/>
  <c r="BO203" i="29"/>
  <c r="BO203" i="30"/>
  <c r="BO204" i="29"/>
  <c r="BO205" i="30"/>
  <c r="AH58" i="29"/>
  <c r="AH59" i="29"/>
  <c r="BO211" i="30"/>
  <c r="BO211" i="29"/>
  <c r="BO209" i="29"/>
  <c r="BO210" i="29"/>
  <c r="BO212" i="29"/>
  <c r="F71" i="26" a="1"/>
  <c r="F71" i="26" s="1"/>
  <c r="AG70" i="26"/>
  <c r="K70" i="26"/>
  <c r="BE28" i="30"/>
  <c r="AU28" i="30"/>
  <c r="K121" i="26"/>
  <c r="F122" i="26" a="1"/>
  <c r="F122" i="26" s="1"/>
  <c r="BO213" i="30"/>
  <c r="F214" i="30" a="1"/>
  <c r="F214" i="30" s="1"/>
  <c r="BO205" i="29"/>
  <c r="BO210" i="30"/>
  <c r="AK172" i="30"/>
  <c r="BO68" i="30"/>
  <c r="F69" i="30" a="1"/>
  <c r="F69" i="30" s="1"/>
  <c r="AH202" i="29"/>
  <c r="AJ213" i="29"/>
  <c r="AF213" i="29"/>
  <c r="F214" i="29" a="1"/>
  <c r="F214" i="29" s="1"/>
  <c r="BO213" i="29"/>
  <c r="AT213" i="29"/>
  <c r="AI213" i="29"/>
  <c r="BD213" i="29" s="1"/>
  <c r="AG213" i="29"/>
  <c r="AH213" i="29" s="1"/>
  <c r="AE213" i="29"/>
  <c r="D160" i="29" a="1"/>
  <c r="D160" i="29" s="1"/>
  <c r="AB159" i="29"/>
  <c r="D160" i="30" a="1"/>
  <c r="D160" i="30" s="1"/>
  <c r="AB159" i="30"/>
  <c r="AB303" i="30"/>
  <c r="D304" i="30" a="1"/>
  <c r="D304" i="30" s="1"/>
  <c r="AI41" i="24"/>
  <c r="AH42" i="24"/>
  <c r="AH28" i="30"/>
  <c r="AK28" i="30"/>
  <c r="AH172" i="30"/>
  <c r="AH67" i="29"/>
  <c r="AJ68" i="29"/>
  <c r="AF68" i="29"/>
  <c r="F69" i="29" a="1"/>
  <c r="F69" i="29" s="1"/>
  <c r="BO68" i="29"/>
  <c r="AT68" i="29"/>
  <c r="AI68" i="29"/>
  <c r="BD68" i="29" s="1"/>
  <c r="AG68" i="29"/>
  <c r="AE68" i="29"/>
  <c r="AH66" i="29"/>
  <c r="F150" i="28" a="1"/>
  <c r="F150" i="28" s="1"/>
  <c r="F151" i="28" s="1" a="1"/>
  <c r="F151" i="28" s="1"/>
  <c r="AN149" i="28"/>
  <c r="AK149" i="28"/>
  <c r="AI149" i="28"/>
  <c r="AG149" i="28"/>
  <c r="AE149" i="28"/>
  <c r="AJ149" i="28"/>
  <c r="AF149" i="28"/>
  <c r="F49" i="18" a="1"/>
  <c r="F49" i="18" s="1"/>
  <c r="F50" i="18" s="1" a="1"/>
  <c r="F50" i="18" s="1"/>
  <c r="AI33" i="24"/>
  <c r="AH34" i="24"/>
  <c r="BO212" i="30"/>
  <c r="BO209" i="30"/>
  <c r="BE172" i="30"/>
  <c r="AU172" i="30"/>
  <c r="D304" i="29" a="1"/>
  <c r="D304" i="29" s="1"/>
  <c r="AB303" i="29"/>
  <c r="F52" i="28" a="1"/>
  <c r="F52" i="28" s="1"/>
  <c r="AB29" i="25" a="1"/>
  <c r="AB29" i="25" s="1"/>
  <c r="AG121" i="26" s="1"/>
  <c r="V29" i="25" a="1"/>
  <c r="V29" i="25" s="1"/>
  <c r="F53" i="28" l="1" a="1"/>
  <c r="F53" i="28" s="1"/>
  <c r="D305" i="29"/>
  <c r="AB304" i="29"/>
  <c r="AH149" i="28"/>
  <c r="F152" i="28" a="1"/>
  <c r="F152" i="28" s="1"/>
  <c r="AJ41" i="24"/>
  <c r="AI42" i="24"/>
  <c r="D161" i="30"/>
  <c r="AB160" i="30"/>
  <c r="D161" i="29"/>
  <c r="AB160" i="29"/>
  <c r="F215" i="29" a="1"/>
  <c r="F215" i="29" s="1"/>
  <c r="BO214" i="29"/>
  <c r="AT214" i="29"/>
  <c r="AI214" i="29"/>
  <c r="BD214" i="29" s="1"/>
  <c r="AG214" i="29"/>
  <c r="AE214" i="29"/>
  <c r="AJ214" i="29"/>
  <c r="AF214" i="29"/>
  <c r="F72" i="26" a="1"/>
  <c r="F72" i="26" s="1"/>
  <c r="K71" i="26"/>
  <c r="B30" i="25"/>
  <c r="B31" i="25" s="1" a="1"/>
  <c r="B31" i="25" s="1"/>
  <c r="AB78" i="26" a="1"/>
  <c r="AB78" i="26" s="1"/>
  <c r="V78" i="26" a="1"/>
  <c r="V78" i="26" s="1"/>
  <c r="AG120" i="26"/>
  <c r="BF172" i="30"/>
  <c r="AV172" i="30"/>
  <c r="AJ33" i="24"/>
  <c r="AI34" i="24"/>
  <c r="T50" i="18"/>
  <c r="T51" i="18" s="1" a="1"/>
  <c r="T51" i="18" s="1"/>
  <c r="F51" i="18" a="1"/>
  <c r="F51" i="18" s="1"/>
  <c r="AL149" i="28"/>
  <c r="AH68" i="29"/>
  <c r="F70" i="29" a="1"/>
  <c r="F70" i="29" s="1"/>
  <c r="BO69" i="29"/>
  <c r="AT69" i="29"/>
  <c r="AI69" i="29"/>
  <c r="BD69" i="29" s="1"/>
  <c r="AG69" i="29"/>
  <c r="AE69" i="29"/>
  <c r="AJ69" i="29"/>
  <c r="AF69" i="29"/>
  <c r="AL28" i="30"/>
  <c r="D305" i="30"/>
  <c r="AB304" i="30"/>
  <c r="BO69" i="30"/>
  <c r="F70" i="30" a="1"/>
  <c r="F70" i="30" s="1"/>
  <c r="AL172" i="30"/>
  <c r="BO214" i="30"/>
  <c r="F215" i="30" a="1"/>
  <c r="F215" i="30" s="1"/>
  <c r="K122" i="26"/>
  <c r="F123" i="26" a="1"/>
  <c r="F123" i="26" s="1"/>
  <c r="BF28" i="30"/>
  <c r="AV28" i="30"/>
  <c r="F49" i="19" a="1"/>
  <c r="F49" i="19" s="1"/>
  <c r="F50" i="19" l="1" a="1"/>
  <c r="F50" i="19" s="1"/>
  <c r="K123" i="26"/>
  <c r="F124" i="26" a="1"/>
  <c r="F124" i="26" s="1"/>
  <c r="BO215" i="30"/>
  <c r="F216" i="30" a="1"/>
  <c r="F216" i="30" s="1"/>
  <c r="AM172" i="30"/>
  <c r="BO70" i="30"/>
  <c r="F71" i="30" a="1"/>
  <c r="F71" i="30" s="1"/>
  <c r="AM28" i="30"/>
  <c r="AK33" i="24"/>
  <c r="AJ34" i="24"/>
  <c r="AD85" i="27" a="1"/>
  <c r="AD85" i="27" s="1"/>
  <c r="V85" i="27" a="1"/>
  <c r="V85" i="27" s="1"/>
  <c r="BG28" i="30"/>
  <c r="AW28" i="30"/>
  <c r="D306" i="30"/>
  <c r="AB305" i="30" a="1"/>
  <c r="AB305" i="30" s="1"/>
  <c r="AH69" i="29"/>
  <c r="AJ70" i="29"/>
  <c r="AF70" i="29"/>
  <c r="F71" i="29" a="1"/>
  <c r="F71" i="29" s="1"/>
  <c r="BO70" i="29"/>
  <c r="AT70" i="29"/>
  <c r="AI70" i="29"/>
  <c r="BD70" i="29" s="1"/>
  <c r="AG70" i="29"/>
  <c r="AH70" i="29" s="1"/>
  <c r="AE70" i="29"/>
  <c r="F52" i="18" a="1"/>
  <c r="F52" i="18" s="1"/>
  <c r="BG172" i="30"/>
  <c r="AW172" i="30"/>
  <c r="F73" i="26" a="1"/>
  <c r="F73" i="26" s="1"/>
  <c r="K72" i="26"/>
  <c r="AH214" i="29"/>
  <c r="AJ215" i="29"/>
  <c r="AF215" i="29"/>
  <c r="F216" i="29" a="1"/>
  <c r="F216" i="29" s="1"/>
  <c r="BO215" i="29"/>
  <c r="AT215" i="29"/>
  <c r="AI215" i="29"/>
  <c r="BD215" i="29" s="1"/>
  <c r="AG215" i="29"/>
  <c r="AH215" i="29" s="1"/>
  <c r="AE215" i="29"/>
  <c r="D162" i="29"/>
  <c r="AB161" i="29" a="1"/>
  <c r="AB161" i="29" s="1"/>
  <c r="D162" i="30"/>
  <c r="AB161" i="30" a="1"/>
  <c r="AB161" i="30" s="1"/>
  <c r="AK41" i="24"/>
  <c r="AJ42" i="24"/>
  <c r="AN156" i="28"/>
  <c r="F153" i="28" a="1"/>
  <c r="F153" i="28" s="1"/>
  <c r="AB305" i="29" a="1"/>
  <c r="AB305" i="29" s="1"/>
  <c r="D306" i="29"/>
  <c r="F54" i="28" a="1"/>
  <c r="F54" i="28" s="1"/>
  <c r="D307" i="29" l="1" a="1"/>
  <c r="D307" i="29" s="1"/>
  <c r="AB306" i="29" a="1"/>
  <c r="AB306" i="29" s="1"/>
  <c r="AJ153" i="28"/>
  <c r="AF153" i="28"/>
  <c r="F154" i="28" a="1"/>
  <c r="F154" i="28" s="1"/>
  <c r="AN153" i="28"/>
  <c r="AK153" i="28"/>
  <c r="AI153" i="28"/>
  <c r="AL153" i="28" s="1"/>
  <c r="AG153" i="28"/>
  <c r="AH153" i="28" s="1"/>
  <c r="AE153" i="28"/>
  <c r="F74" i="26" a="1"/>
  <c r="F74" i="26" s="1"/>
  <c r="K73" i="26"/>
  <c r="D307" i="30" a="1"/>
  <c r="D307" i="30" s="1"/>
  <c r="AB306" i="30" a="1"/>
  <c r="AB306" i="30" s="1"/>
  <c r="BH28" i="30"/>
  <c r="AX28" i="30"/>
  <c r="AB112" i="28" a="1"/>
  <c r="AB112" i="28" s="1"/>
  <c r="V112" i="28" a="1"/>
  <c r="V112" i="28" s="1"/>
  <c r="AB86" i="27"/>
  <c r="AL33" i="24"/>
  <c r="AK34" i="24"/>
  <c r="F55" i="28" a="1"/>
  <c r="F55" i="28" s="1"/>
  <c r="T54" i="28"/>
  <c r="AL41" i="24"/>
  <c r="AK42" i="24"/>
  <c r="AB162" i="30" a="1"/>
  <c r="AB162" i="30" s="1"/>
  <c r="D163" i="30" a="1"/>
  <c r="D163" i="30" s="1"/>
  <c r="AB162" i="29" a="1"/>
  <c r="AB162" i="29" s="1"/>
  <c r="D163" i="29" a="1"/>
  <c r="D163" i="29" s="1"/>
  <c r="BO216" i="29"/>
  <c r="AT216" i="29"/>
  <c r="AI216" i="29"/>
  <c r="BD216" i="29" s="1"/>
  <c r="AG216" i="29"/>
  <c r="AE216" i="29"/>
  <c r="F217" i="29" a="1"/>
  <c r="F217" i="29" s="1"/>
  <c r="AJ216" i="29"/>
  <c r="AF216" i="29"/>
  <c r="BH172" i="30"/>
  <c r="AX172" i="30"/>
  <c r="F53" i="18" a="1"/>
  <c r="F53" i="18" s="1"/>
  <c r="F54" i="18" s="1" a="1"/>
  <c r="F54" i="18" s="1"/>
  <c r="F55" i="18" s="1" a="1"/>
  <c r="F55" i="18" s="1"/>
  <c r="F56" i="18" s="1" a="1"/>
  <c r="F56" i="18" s="1"/>
  <c r="T52" i="18"/>
  <c r="T53" i="18" s="1" a="1"/>
  <c r="T53" i="18" s="1"/>
  <c r="T54" i="18" s="1" a="1"/>
  <c r="T54" i="18" s="1"/>
  <c r="T55" i="18" s="1" a="1"/>
  <c r="T55" i="18" s="1"/>
  <c r="T56" i="18" s="1" a="1"/>
  <c r="T56" i="18" s="1"/>
  <c r="F72" i="29" a="1"/>
  <c r="F72" i="29" s="1"/>
  <c r="BO71" i="29"/>
  <c r="AT71" i="29"/>
  <c r="AI71" i="29"/>
  <c r="BD71" i="29" s="1"/>
  <c r="AG71" i="29"/>
  <c r="AH71" i="29" s="1"/>
  <c r="AE71" i="29"/>
  <c r="AJ71" i="29"/>
  <c r="AF71" i="29"/>
  <c r="AN28" i="30"/>
  <c r="BO71" i="30"/>
  <c r="F72" i="30" a="1"/>
  <c r="F72" i="30" s="1"/>
  <c r="AN172" i="30"/>
  <c r="F217" i="30" a="1"/>
  <c r="F217" i="30" s="1"/>
  <c r="F218" i="30" s="1" a="1"/>
  <c r="F218" i="30" s="1"/>
  <c r="F219" i="30" s="1" a="1"/>
  <c r="F219" i="30" s="1"/>
  <c r="F220" i="30" s="1" a="1"/>
  <c r="F220" i="30" s="1"/>
  <c r="BO216" i="30"/>
  <c r="F125" i="26" a="1"/>
  <c r="F125" i="26" s="1"/>
  <c r="K124" i="26"/>
  <c r="F51" i="19" a="1"/>
  <c r="F51" i="19" s="1"/>
  <c r="T50" i="19"/>
  <c r="T51" i="19" s="1" a="1"/>
  <c r="T51" i="19" s="1"/>
  <c r="AF43" i="21"/>
  <c r="AF39" i="21" s="1"/>
  <c r="AI48" i="20"/>
  <c r="AT36" i="29"/>
  <c r="AJ180" i="29"/>
  <c r="AG48" i="20"/>
  <c r="AJ48" i="20"/>
  <c r="AI51" i="29"/>
  <c r="AT180" i="29"/>
  <c r="AG28" i="20"/>
  <c r="AI36" i="29"/>
  <c r="AI195" i="29"/>
  <c r="AT51" i="29"/>
  <c r="AE46" i="28"/>
  <c r="AG43" i="21"/>
  <c r="AG39" i="21" s="1"/>
  <c r="AE28" i="20"/>
  <c r="AI196" i="29"/>
  <c r="BD196" i="29" s="1"/>
  <c r="AF46" i="28"/>
  <c r="AF28" i="20"/>
  <c r="AE43" i="21"/>
  <c r="AE39" i="21" s="1"/>
  <c r="AH47" i="20"/>
  <c r="AF51" i="29"/>
  <c r="AG180" i="29"/>
  <c r="AJ195" i="29"/>
  <c r="AF180" i="29"/>
  <c r="AH43" i="21"/>
  <c r="AH39" i="21" s="1"/>
  <c r="AE48" i="20"/>
  <c r="AJ196" i="29"/>
  <c r="AH180" i="29" l="1"/>
  <c r="AI194" i="29"/>
  <c r="BD195" i="29"/>
  <c r="BD51" i="29"/>
  <c r="K51" i="19"/>
  <c r="AE51" i="19"/>
  <c r="AG51" i="19"/>
  <c r="AF51" i="19"/>
  <c r="AH51" i="19"/>
  <c r="AI51" i="19"/>
  <c r="AI27" i="19" s="1"/>
  <c r="AJ51" i="19"/>
  <c r="AJ27" i="19" s="1"/>
  <c r="AJ52" i="29"/>
  <c r="AG52" i="29"/>
  <c r="AT52" i="29"/>
  <c r="AF52" i="29"/>
  <c r="AI52" i="29"/>
  <c r="BD52" i="29" s="1"/>
  <c r="AI37" i="29"/>
  <c r="BD37" i="29" s="1"/>
  <c r="AT37" i="29"/>
  <c r="AT35" i="29" s="1"/>
  <c r="AT30" i="29" s="1"/>
  <c r="AJ37" i="29"/>
  <c r="AF63" i="29"/>
  <c r="AF37" i="29"/>
  <c r="AF208" i="29"/>
  <c r="AG37" i="29"/>
  <c r="AH37" i="29" s="1"/>
  <c r="AE37" i="29"/>
  <c r="AF131" i="28"/>
  <c r="AI130" i="28"/>
  <c r="AI208" i="29"/>
  <c r="BD208" i="29" s="1"/>
  <c r="AI131" i="28"/>
  <c r="AL131" i="28" s="1"/>
  <c r="AI63" i="29"/>
  <c r="AE208" i="29"/>
  <c r="AF130" i="28"/>
  <c r="AF129" i="28" s="1"/>
  <c r="AK130" i="28"/>
  <c r="AE131" i="28"/>
  <c r="AG130" i="28"/>
  <c r="AE130" i="28"/>
  <c r="AE129" i="28" s="1"/>
  <c r="AJ130" i="28"/>
  <c r="AJ131" i="28"/>
  <c r="AE63" i="29"/>
  <c r="AK131" i="28"/>
  <c r="AG131" i="28"/>
  <c r="AH131" i="28" s="1"/>
  <c r="AG63" i="29"/>
  <c r="AT207" i="29"/>
  <c r="AI64" i="29"/>
  <c r="BD64" i="29" s="1"/>
  <c r="AF146" i="28"/>
  <c r="AI207" i="29"/>
  <c r="AJ208" i="29"/>
  <c r="AJ63" i="29"/>
  <c r="AG146" i="28"/>
  <c r="AJ51" i="29"/>
  <c r="AJ50" i="29" s="1"/>
  <c r="AJ47" i="29" s="1"/>
  <c r="AT195" i="29"/>
  <c r="AJ36" i="29"/>
  <c r="AJ35" i="29" s="1"/>
  <c r="AJ30" i="29" s="1"/>
  <c r="AH28" i="20"/>
  <c r="AG36" i="29"/>
  <c r="AF195" i="29"/>
  <c r="AF36" i="29"/>
  <c r="AF35" i="29" s="1"/>
  <c r="AF30" i="29" s="1"/>
  <c r="AE181" i="29"/>
  <c r="AJ43" i="21"/>
  <c r="AJ39" i="21" s="1"/>
  <c r="AI29" i="20"/>
  <c r="AF147" i="28"/>
  <c r="AK147" i="28"/>
  <c r="AF207" i="29"/>
  <c r="AF206" i="29" s="1"/>
  <c r="AF197" i="29" s="1"/>
  <c r="AK45" i="28"/>
  <c r="AT63" i="29"/>
  <c r="AE146" i="28"/>
  <c r="AI45" i="28"/>
  <c r="AF45" i="28"/>
  <c r="AF44" i="28" s="1"/>
  <c r="AK146" i="28"/>
  <c r="AK145" i="28" s="1"/>
  <c r="AK143" i="28" s="1"/>
  <c r="AK46" i="28"/>
  <c r="AG46" i="28"/>
  <c r="AH46" i="28" s="1"/>
  <c r="AE195" i="29"/>
  <c r="AI47" i="20"/>
  <c r="AI46" i="20" s="1"/>
  <c r="AE47" i="20"/>
  <c r="AE46" i="20" s="1"/>
  <c r="AH48" i="20"/>
  <c r="AH46" i="20" s="1"/>
  <c r="AG195" i="29"/>
  <c r="AI31" i="21"/>
  <c r="AI27" i="21" s="1"/>
  <c r="AE36" i="29"/>
  <c r="AE35" i="29" s="1"/>
  <c r="AE30" i="29" s="1"/>
  <c r="AJ28" i="20"/>
  <c r="AJ27" i="20" s="1"/>
  <c r="AJ29" i="20"/>
  <c r="AE147" i="28"/>
  <c r="AJ147" i="28"/>
  <c r="AI151" i="28"/>
  <c r="AE29" i="20"/>
  <c r="AG151" i="28"/>
  <c r="AE152" i="28"/>
  <c r="AG207" i="29"/>
  <c r="AG208" i="29"/>
  <c r="AH208" i="29" s="1"/>
  <c r="AE45" i="28"/>
  <c r="AE44" i="28" s="1"/>
  <c r="AI146" i="28"/>
  <c r="AJ45" i="28"/>
  <c r="AJ64" i="29"/>
  <c r="AJ207" i="29"/>
  <c r="AJ206" i="29" s="1"/>
  <c r="AJ197" i="29" s="1"/>
  <c r="AE64" i="29"/>
  <c r="AJ46" i="28"/>
  <c r="AG196" i="29"/>
  <c r="AJ31" i="21"/>
  <c r="AJ27" i="21" s="1"/>
  <c r="AE180" i="29"/>
  <c r="AE179" i="29" s="1"/>
  <c r="AE174" i="29" s="1"/>
  <c r="AI181" i="29"/>
  <c r="BD181" i="29" s="1"/>
  <c r="AE52" i="29"/>
  <c r="AF196" i="29"/>
  <c r="AG181" i="29"/>
  <c r="AG47" i="20"/>
  <c r="AG46" i="20" s="1"/>
  <c r="AJ181" i="29"/>
  <c r="AI147" i="28"/>
  <c r="AL147" i="28" s="1"/>
  <c r="AG29" i="20"/>
  <c r="AG27" i="20" s="1"/>
  <c r="AG45" i="28"/>
  <c r="AT64" i="29"/>
  <c r="AE207" i="29"/>
  <c r="AE206" i="29" s="1"/>
  <c r="AE197" i="29" s="1"/>
  <c r="AT208" i="29"/>
  <c r="AI46" i="28"/>
  <c r="AL46" i="28" s="1"/>
  <c r="AG64" i="29"/>
  <c r="AF64" i="29"/>
  <c r="AJ146" i="28"/>
  <c r="AJ145" i="28" s="1"/>
  <c r="AJ143" i="28" s="1"/>
  <c r="AF29" i="20"/>
  <c r="AF27" i="20" s="1"/>
  <c r="AE51" i="29"/>
  <c r="AE50" i="29" s="1"/>
  <c r="AE47" i="29" s="1"/>
  <c r="AT181" i="29"/>
  <c r="AF47" i="20"/>
  <c r="AF181" i="29"/>
  <c r="AE196" i="29"/>
  <c r="AG51" i="29"/>
  <c r="AF48" i="20"/>
  <c r="AI180" i="29"/>
  <c r="AI28" i="20"/>
  <c r="AI27" i="20" s="1"/>
  <c r="AH29" i="20"/>
  <c r="AG147" i="28"/>
  <c r="AH147" i="28" s="1"/>
  <c r="AE151" i="28"/>
  <c r="AE150" i="28" s="1"/>
  <c r="AF151" i="28"/>
  <c r="AK151" i="28"/>
  <c r="AK150" i="28" s="1"/>
  <c r="AK152" i="28"/>
  <c r="AG152" i="28"/>
  <c r="AJ152" i="28"/>
  <c r="AJ151" i="28"/>
  <c r="AJ150" i="28" s="1"/>
  <c r="AI152" i="28"/>
  <c r="AL152" i="28" s="1"/>
  <c r="AF152" i="28"/>
  <c r="F126" i="26" a="1"/>
  <c r="F126" i="26" s="1"/>
  <c r="K125" i="26"/>
  <c r="F221" i="30" a="1"/>
  <c r="F221" i="30" s="1"/>
  <c r="T220" i="30"/>
  <c r="F73" i="29" a="1"/>
  <c r="F73" i="29" s="1"/>
  <c r="AJ72" i="29"/>
  <c r="AF72" i="29"/>
  <c r="BO72" i="29"/>
  <c r="AT72" i="29"/>
  <c r="AI72" i="29"/>
  <c r="BD72" i="29" s="1"/>
  <c r="AG72" i="29"/>
  <c r="AH72" i="29" s="1"/>
  <c r="AE72" i="29"/>
  <c r="AE37" i="28"/>
  <c r="AK37" i="28"/>
  <c r="AF122" i="28"/>
  <c r="AJ122" i="28"/>
  <c r="AG122" i="28"/>
  <c r="AH122" i="28" s="1"/>
  <c r="AI37" i="28"/>
  <c r="AL37" i="28" s="1"/>
  <c r="AE122" i="28"/>
  <c r="AI122" i="28"/>
  <c r="AL122" i="28" s="1"/>
  <c r="AI124" i="28"/>
  <c r="AL124" i="28" s="1"/>
  <c r="AF38" i="28"/>
  <c r="AF39" i="28"/>
  <c r="AK122" i="28"/>
  <c r="AE39" i="28"/>
  <c r="AI38" i="28"/>
  <c r="AL38" i="28" s="1"/>
  <c r="AI123" i="28"/>
  <c r="AF123" i="28"/>
  <c r="AG38" i="28"/>
  <c r="AH38" i="28" s="1"/>
  <c r="AG123" i="28"/>
  <c r="AH123" i="28" s="1"/>
  <c r="AF124" i="28"/>
  <c r="AE123" i="28"/>
  <c r="AI39" i="28"/>
  <c r="AL39" i="28" s="1"/>
  <c r="AK124" i="28"/>
  <c r="AJ123" i="28"/>
  <c r="AJ124" i="28"/>
  <c r="AE38" i="28"/>
  <c r="AJ39" i="28"/>
  <c r="AK39" i="28"/>
  <c r="AG39" i="28"/>
  <c r="AH39" i="28" s="1"/>
  <c r="AK123" i="28"/>
  <c r="AK38" i="28"/>
  <c r="AE124" i="28"/>
  <c r="AG124" i="28"/>
  <c r="AH124" i="28" s="1"/>
  <c r="AJ38" i="28"/>
  <c r="AG41" i="28"/>
  <c r="AG125" i="28"/>
  <c r="AG40" i="28"/>
  <c r="AE41" i="28"/>
  <c r="AJ41" i="28"/>
  <c r="AI125" i="28"/>
  <c r="AL125" i="28" s="1"/>
  <c r="AF41" i="28"/>
  <c r="AK125" i="28"/>
  <c r="AJ125" i="28"/>
  <c r="AF125" i="28"/>
  <c r="AE125" i="28"/>
  <c r="AI40" i="28"/>
  <c r="AL40" i="28" s="1"/>
  <c r="AK41" i="28"/>
  <c r="AF40" i="28"/>
  <c r="AE40" i="28"/>
  <c r="AK40" i="28"/>
  <c r="AI41" i="28"/>
  <c r="AL41" i="28" s="1"/>
  <c r="AJ40" i="28"/>
  <c r="AJ126" i="28"/>
  <c r="AG126" i="28"/>
  <c r="AE127" i="28"/>
  <c r="AK127" i="28"/>
  <c r="AI126" i="28"/>
  <c r="AL126" i="28" s="1"/>
  <c r="AK126" i="28"/>
  <c r="AE126" i="28"/>
  <c r="AF126" i="28"/>
  <c r="AI127" i="28"/>
  <c r="AL127" i="28" s="1"/>
  <c r="AF127" i="28"/>
  <c r="AE42" i="28"/>
  <c r="AI42" i="28"/>
  <c r="AL42" i="28" s="1"/>
  <c r="AJ42" i="28"/>
  <c r="AK42" i="28"/>
  <c r="AG42" i="28"/>
  <c r="AJ127" i="28"/>
  <c r="AG127" i="28"/>
  <c r="AH127" i="28" s="1"/>
  <c r="AF42" i="28"/>
  <c r="AG121" i="28"/>
  <c r="AE121" i="28"/>
  <c r="AF84" i="26"/>
  <c r="AF83" i="26" s="1"/>
  <c r="AF81" i="26" s="1"/>
  <c r="AF79" i="26" s="1"/>
  <c r="AF128" i="26" s="1"/>
  <c r="AK36" i="28"/>
  <c r="AI121" i="28"/>
  <c r="AL121" i="28" s="1"/>
  <c r="AG84" i="26"/>
  <c r="AG33" i="26"/>
  <c r="AF33" i="26"/>
  <c r="AF32" i="26" s="1"/>
  <c r="AF30" i="26" s="1"/>
  <c r="AF28" i="26" s="1"/>
  <c r="AF77" i="26" s="1"/>
  <c r="AJ35" i="28"/>
  <c r="AE120" i="28"/>
  <c r="AE118" i="28" s="1"/>
  <c r="AE113" i="28" s="1"/>
  <c r="AK35" i="28"/>
  <c r="AK33" i="28" s="1"/>
  <c r="AK120" i="28"/>
  <c r="AG35" i="28"/>
  <c r="AJ121" i="28"/>
  <c r="AI36" i="28"/>
  <c r="AL36" i="28" s="1"/>
  <c r="AF121" i="28"/>
  <c r="AG120" i="28"/>
  <c r="AF35" i="28"/>
  <c r="AE36" i="28"/>
  <c r="AJ120" i="28"/>
  <c r="AJ118" i="28" s="1"/>
  <c r="AG36" i="28"/>
  <c r="AI35" i="28"/>
  <c r="AJ36" i="28"/>
  <c r="AI120" i="28"/>
  <c r="AF120" i="28"/>
  <c r="AF118" i="28" s="1"/>
  <c r="AF113" i="28" s="1"/>
  <c r="AJ37" i="28"/>
  <c r="AG37" i="28"/>
  <c r="AH37" i="28" s="1"/>
  <c r="AF37" i="28"/>
  <c r="AE35" i="28"/>
  <c r="AE33" i="28" s="1"/>
  <c r="AE28" i="28" s="1"/>
  <c r="AK121" i="28"/>
  <c r="AF36" i="28"/>
  <c r="AT217" i="29"/>
  <c r="AI217" i="29"/>
  <c r="BD217" i="29" s="1"/>
  <c r="AG217" i="29"/>
  <c r="AE217" i="29"/>
  <c r="F218" i="29" a="1"/>
  <c r="F218" i="29" s="1"/>
  <c r="F219" i="29" s="1" a="1"/>
  <c r="F219" i="29" s="1"/>
  <c r="AF217" i="29"/>
  <c r="AH216" i="29"/>
  <c r="AB163" i="29"/>
  <c r="D164" i="29" a="1"/>
  <c r="D164" i="29" s="1"/>
  <c r="AB163" i="30"/>
  <c r="D164" i="30" a="1"/>
  <c r="D164" i="30" s="1"/>
  <c r="AB171" i="29" a="1"/>
  <c r="AB171" i="29" s="1"/>
  <c r="V171" i="29" a="1"/>
  <c r="V171" i="29" s="1"/>
  <c r="H173" i="28"/>
  <c r="H172" i="28"/>
  <c r="AF179" i="29"/>
  <c r="AF174" i="29" s="1"/>
  <c r="AJ194" i="29"/>
  <c r="AJ191" i="29" s="1"/>
  <c r="AF50" i="29"/>
  <c r="AF47" i="29" s="1"/>
  <c r="AE27" i="20"/>
  <c r="AT50" i="29"/>
  <c r="AT47" i="29" s="1"/>
  <c r="AI35" i="29"/>
  <c r="BD36" i="29"/>
  <c r="AT179" i="29"/>
  <c r="AT174" i="29" s="1"/>
  <c r="AJ179" i="29"/>
  <c r="AJ174" i="29" s="1"/>
  <c r="AJ47" i="20"/>
  <c r="AJ46" i="20" s="1"/>
  <c r="AT196" i="29"/>
  <c r="AI43" i="21"/>
  <c r="AI39" i="21" s="1"/>
  <c r="AJ217" i="29" s="1"/>
  <c r="AO172" i="30"/>
  <c r="F73" i="30" a="1"/>
  <c r="F73" i="30" s="1"/>
  <c r="F74" i="30" s="1" a="1"/>
  <c r="F74" i="30" s="1"/>
  <c r="F75" i="30" s="1" a="1"/>
  <c r="F75" i="30" s="1"/>
  <c r="F76" i="30" s="1" a="1"/>
  <c r="F76" i="30" s="1"/>
  <c r="BO72" i="30"/>
  <c r="AO28" i="30"/>
  <c r="BI172" i="30"/>
  <c r="AY172" i="30"/>
  <c r="AM41" i="24"/>
  <c r="AL42" i="24"/>
  <c r="F56" i="28" a="1"/>
  <c r="F56" i="28" s="1"/>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AM33" i="24"/>
  <c r="AL34" i="24"/>
  <c r="BI28" i="30"/>
  <c r="AY28" i="30"/>
  <c r="D308" i="30" a="1"/>
  <c r="D308" i="30" s="1"/>
  <c r="AB307" i="30"/>
  <c r="F75" i="26" a="1"/>
  <c r="F75" i="26" s="1"/>
  <c r="K74" i="26"/>
  <c r="F155" i="28" a="1"/>
  <c r="F155" i="28" s="1"/>
  <c r="AN154" i="28"/>
  <c r="AK154" i="28"/>
  <c r="AI154" i="28"/>
  <c r="AL154" i="28" s="1"/>
  <c r="AG154" i="28"/>
  <c r="AE154" i="28"/>
  <c r="AJ154" i="28"/>
  <c r="AF154" i="28"/>
  <c r="D308" i="29" a="1"/>
  <c r="D308" i="29" s="1"/>
  <c r="AB307" i="29"/>
  <c r="D309" i="29" l="1" a="1"/>
  <c r="D309" i="29" s="1"/>
  <c r="AB308" i="29"/>
  <c r="AH154" i="28"/>
  <c r="AJ155" i="28"/>
  <c r="AF155" i="28"/>
  <c r="F156" i="28" a="1"/>
  <c r="F156" i="28" s="1"/>
  <c r="AN155" i="28"/>
  <c r="AK155" i="28"/>
  <c r="AI155" i="28"/>
  <c r="AL155" i="28" s="1"/>
  <c r="AG155" i="28"/>
  <c r="AH155" i="28" s="1"/>
  <c r="AE155" i="28"/>
  <c r="F76" i="26" a="1"/>
  <c r="F76" i="26" s="1"/>
  <c r="K75" i="26"/>
  <c r="D309" i="30" a="1"/>
  <c r="D309" i="30" s="1"/>
  <c r="AB308" i="30"/>
  <c r="BJ172" i="30"/>
  <c r="AZ172" i="30"/>
  <c r="F77" i="30" a="1"/>
  <c r="F77" i="30" s="1"/>
  <c r="T76" i="30"/>
  <c r="AJ172" i="29"/>
  <c r="AB171" i="30" a="1"/>
  <c r="AB171" i="30" s="1"/>
  <c r="V171" i="30" a="1"/>
  <c r="V171" i="30" s="1"/>
  <c r="T219" i="29"/>
  <c r="F220" i="29" a="1"/>
  <c r="F220" i="29" s="1"/>
  <c r="AH217" i="29"/>
  <c r="AL120" i="28"/>
  <c r="AI118" i="28"/>
  <c r="AL35" i="28"/>
  <c r="AI33" i="28"/>
  <c r="AF33" i="28"/>
  <c r="AF28" i="28" s="1"/>
  <c r="AK118" i="28"/>
  <c r="AH126" i="28"/>
  <c r="AH125" i="28"/>
  <c r="AL123" i="28"/>
  <c r="F74" i="29" a="1"/>
  <c r="F74" i="29" s="1"/>
  <c r="F75" i="29" s="1" a="1"/>
  <c r="F75" i="29" s="1"/>
  <c r="AJ73" i="29"/>
  <c r="AT73" i="29"/>
  <c r="F222" i="30" a="1"/>
  <c r="F222" i="30" s="1"/>
  <c r="F223" i="30" s="1" a="1"/>
  <c r="F223" i="30" s="1"/>
  <c r="F224" i="30" s="1" a="1"/>
  <c r="F224" i="30" s="1"/>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K126" i="26"/>
  <c r="F127" i="26" a="1"/>
  <c r="F127" i="26" s="1"/>
  <c r="AF150" i="28"/>
  <c r="AF46" i="20"/>
  <c r="AH64" i="29"/>
  <c r="AH181" i="29"/>
  <c r="AH196" i="29"/>
  <c r="AI145" i="28"/>
  <c r="AL146" i="28"/>
  <c r="AG194" i="29"/>
  <c r="AH195" i="29"/>
  <c r="AE194" i="29"/>
  <c r="AE191" i="29" s="1"/>
  <c r="AE172" i="29" s="1"/>
  <c r="AE145" i="28"/>
  <c r="AE143" i="28" s="1"/>
  <c r="AK44" i="28"/>
  <c r="AF194" i="29"/>
  <c r="AF191" i="29" s="1"/>
  <c r="AF172" i="29" s="1"/>
  <c r="AH27" i="20"/>
  <c r="AT194" i="29"/>
  <c r="AT191" i="29" s="1"/>
  <c r="AG145" i="28"/>
  <c r="AH146" i="28"/>
  <c r="AF145" i="28"/>
  <c r="AF143" i="28" s="1"/>
  <c r="AT206" i="29"/>
  <c r="AT197" i="29" s="1"/>
  <c r="AE62" i="29"/>
  <c r="AE53" i="29" s="1"/>
  <c r="AJ129" i="28"/>
  <c r="AJ113" i="28" s="1"/>
  <c r="AH130" i="28"/>
  <c r="AG129" i="28"/>
  <c r="AH129" i="28" s="1"/>
  <c r="AK129" i="28"/>
  <c r="AL130" i="28"/>
  <c r="AI129" i="28"/>
  <c r="AL129" i="28" s="1"/>
  <c r="AF62" i="29"/>
  <c r="AF53" i="29" s="1"/>
  <c r="AF27" i="19"/>
  <c r="AF31" i="21"/>
  <c r="AF27" i="21" s="1"/>
  <c r="AF73" i="29" s="1"/>
  <c r="AF28" i="29" s="1"/>
  <c r="AE27" i="19"/>
  <c r="AE31" i="21"/>
  <c r="AE27" i="21" s="1"/>
  <c r="AE73" i="29" s="1"/>
  <c r="AI50" i="29"/>
  <c r="BJ28" i="30"/>
  <c r="AZ28" i="30"/>
  <c r="AN33" i="24"/>
  <c r="AM34" i="24"/>
  <c r="F57" i="28" a="1"/>
  <c r="F57" i="28" s="1"/>
  <c r="F58" i="28" s="1" a="1"/>
  <c r="F58" i="28" s="1"/>
  <c r="F59" i="28" s="1" a="1"/>
  <c r="F59" i="28" s="1"/>
  <c r="AN41" i="24"/>
  <c r="AM42" i="24"/>
  <c r="AP28" i="30"/>
  <c r="AP172" i="30"/>
  <c r="AT172" i="29"/>
  <c r="AI30" i="29"/>
  <c r="BD35" i="29"/>
  <c r="AB164" i="30"/>
  <c r="D165" i="30" a="1"/>
  <c r="D165" i="30" s="1"/>
  <c r="AB164" i="29"/>
  <c r="D165" i="29" a="1"/>
  <c r="D165" i="29" s="1"/>
  <c r="AH36" i="28"/>
  <c r="AH120" i="28"/>
  <c r="AG118" i="28"/>
  <c r="AH35" i="28"/>
  <c r="AG33" i="28"/>
  <c r="AK28" i="28"/>
  <c r="AJ33" i="28"/>
  <c r="AH121" i="28"/>
  <c r="AH42" i="28"/>
  <c r="AH40" i="28"/>
  <c r="AH41" i="28"/>
  <c r="AH152" i="28"/>
  <c r="AI179" i="29"/>
  <c r="BD180" i="29"/>
  <c r="AG50" i="29"/>
  <c r="AH51" i="29"/>
  <c r="AH45" i="28"/>
  <c r="AG44" i="28"/>
  <c r="AH44" i="28" s="1"/>
  <c r="AJ44" i="28"/>
  <c r="AG206" i="29"/>
  <c r="AH207" i="29"/>
  <c r="AH151" i="28"/>
  <c r="AG150" i="28"/>
  <c r="AL151" i="28"/>
  <c r="AI150" i="28"/>
  <c r="AL45" i="28"/>
  <c r="AI44" i="28"/>
  <c r="AL44" i="28" s="1"/>
  <c r="AT62" i="29"/>
  <c r="AT53" i="29" s="1"/>
  <c r="AT28" i="29" s="1"/>
  <c r="AG35" i="29"/>
  <c r="AH36" i="29"/>
  <c r="AJ28" i="29"/>
  <c r="AJ62" i="29"/>
  <c r="AJ53" i="29" s="1"/>
  <c r="AI206" i="29"/>
  <c r="BD207" i="29"/>
  <c r="AG62" i="29"/>
  <c r="AH63" i="29"/>
  <c r="AI62" i="29"/>
  <c r="BD63" i="29"/>
  <c r="AH52" i="29"/>
  <c r="AH27" i="19"/>
  <c r="AH31" i="21"/>
  <c r="AH27" i="21" s="1"/>
  <c r="AI73" i="29" s="1"/>
  <c r="BD73" i="29" s="1"/>
  <c r="AG27" i="19"/>
  <c r="AG31" i="21"/>
  <c r="AG27" i="21" s="1"/>
  <c r="AG73" i="29" s="1"/>
  <c r="AH73" i="29" s="1"/>
  <c r="BO195" i="29"/>
  <c r="BO181" i="30"/>
  <c r="BO196" i="29"/>
  <c r="BO180" i="30"/>
  <c r="AN146" i="28"/>
  <c r="BO181" i="29"/>
  <c r="BO208" i="29"/>
  <c r="AN130" i="28"/>
  <c r="BO196" i="30"/>
  <c r="BO207" i="29"/>
  <c r="BO195" i="30"/>
  <c r="BO207" i="30"/>
  <c r="AN147" i="28"/>
  <c r="BO180" i="29"/>
  <c r="BO208" i="30"/>
  <c r="AN131" i="28"/>
  <c r="AN151" i="28"/>
  <c r="AN152" i="28"/>
  <c r="AI191" i="29"/>
  <c r="BD191" i="29" s="1"/>
  <c r="BD194" i="29"/>
  <c r="AG179" i="29"/>
  <c r="BE28" i="29" l="1"/>
  <c r="AU28" i="29"/>
  <c r="AE28" i="29"/>
  <c r="AH62" i="29"/>
  <c r="AG53" i="29"/>
  <c r="AH53" i="29" s="1"/>
  <c r="AH206" i="29"/>
  <c r="AG197" i="29"/>
  <c r="AH197" i="29" s="1"/>
  <c r="AB165" i="29"/>
  <c r="D166" i="29" a="1"/>
  <c r="D166" i="29" s="1"/>
  <c r="BE172" i="29"/>
  <c r="AU172" i="29"/>
  <c r="AO41" i="24"/>
  <c r="AN42" i="24"/>
  <c r="BK28" i="30"/>
  <c r="BA28" i="30"/>
  <c r="AI143" i="28"/>
  <c r="AL143" i="28" s="1"/>
  <c r="AL145" i="28"/>
  <c r="BC224" i="30"/>
  <c r="BA224" i="30"/>
  <c r="AY224" i="30"/>
  <c r="AW224" i="30"/>
  <c r="AU224" i="30"/>
  <c r="AS224" i="30"/>
  <c r="AQ224" i="30"/>
  <c r="AO224" i="30"/>
  <c r="AM224" i="30"/>
  <c r="AK224" i="30"/>
  <c r="AI224" i="30"/>
  <c r="AG224" i="30"/>
  <c r="AE224" i="30"/>
  <c r="BO224" i="30"/>
  <c r="BB224" i="30"/>
  <c r="AX224" i="30"/>
  <c r="AT224" i="30"/>
  <c r="AP224" i="30"/>
  <c r="AL224" i="30"/>
  <c r="F225" i="30" a="1"/>
  <c r="F225" i="30" s="1"/>
  <c r="AZ224" i="30"/>
  <c r="AV224" i="30"/>
  <c r="AR224" i="30"/>
  <c r="AN224" i="30"/>
  <c r="AJ224" i="30"/>
  <c r="AF224" i="30"/>
  <c r="AL33" i="28"/>
  <c r="AI28" i="28"/>
  <c r="AL118" i="28"/>
  <c r="AI113" i="28"/>
  <c r="AB81" i="31" a="1"/>
  <c r="AB81" i="31" s="1"/>
  <c r="V81" i="31" a="1"/>
  <c r="V81" i="31" s="1"/>
  <c r="AK172" i="29"/>
  <c r="F78" i="30" a="1"/>
  <c r="F78" i="30" s="1"/>
  <c r="F79" i="30" s="1" a="1"/>
  <c r="F79" i="30" s="1"/>
  <c r="F80" i="30" s="1" a="1"/>
  <c r="F80" i="30" s="1"/>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D310" i="29" a="1"/>
  <c r="D310" i="29" s="1"/>
  <c r="AB309" i="29"/>
  <c r="BD62" i="29"/>
  <c r="AI53" i="29"/>
  <c r="BD53" i="29" s="1"/>
  <c r="BD206" i="29"/>
  <c r="AI197" i="29"/>
  <c r="BD197" i="29" s="1"/>
  <c r="AK28" i="29"/>
  <c r="AG30" i="29"/>
  <c r="AH35" i="29"/>
  <c r="AB165" i="30"/>
  <c r="D166" i="30" a="1"/>
  <c r="D166" i="30" s="1"/>
  <c r="AG174" i="29"/>
  <c r="AH179" i="29"/>
  <c r="AL150" i="28"/>
  <c r="AH150" i="28"/>
  <c r="AG47" i="29"/>
  <c r="AH47" i="29" s="1"/>
  <c r="AH50" i="29"/>
  <c r="AI174" i="29"/>
  <c r="BD179" i="29"/>
  <c r="AJ28" i="28"/>
  <c r="AH33" i="28"/>
  <c r="AG28" i="28"/>
  <c r="AH118" i="28"/>
  <c r="AG113" i="28"/>
  <c r="BD30" i="29"/>
  <c r="AQ172" i="30"/>
  <c r="AQ28" i="30"/>
  <c r="F60" i="28" a="1"/>
  <c r="F60" i="28" s="1"/>
  <c r="AN59" i="28"/>
  <c r="AK59" i="28"/>
  <c r="AI59" i="28"/>
  <c r="AG59" i="28"/>
  <c r="AE59" i="28"/>
  <c r="AJ59" i="28"/>
  <c r="AF59" i="28"/>
  <c r="AO33" i="24"/>
  <c r="AN34" i="24"/>
  <c r="AI47" i="29"/>
  <c r="BD47" i="29" s="1"/>
  <c r="BD50" i="29"/>
  <c r="AG143" i="28"/>
  <c r="AH143" i="28" s="1"/>
  <c r="AH145" i="28"/>
  <c r="AG191" i="29"/>
  <c r="AH191" i="29" s="1"/>
  <c r="AH194" i="29"/>
  <c r="K127" i="26"/>
  <c r="F128" i="26" a="1"/>
  <c r="F128" i="26" s="1"/>
  <c r="K128" i="26" s="1"/>
  <c r="F76" i="29" a="1"/>
  <c r="F76" i="29" s="1"/>
  <c r="T75" i="29"/>
  <c r="AK113" i="28"/>
  <c r="T220" i="29"/>
  <c r="F221" i="29" a="1"/>
  <c r="F221" i="29" s="1"/>
  <c r="BK172" i="30"/>
  <c r="BA172" i="30"/>
  <c r="D310" i="30" a="1"/>
  <c r="D310" i="30" s="1"/>
  <c r="AB309" i="30"/>
  <c r="F77" i="26" a="1"/>
  <c r="F77" i="26" s="1"/>
  <c r="K77" i="26" s="1"/>
  <c r="K76" i="26"/>
  <c r="F157" i="28" a="1"/>
  <c r="F157" i="28" s="1"/>
  <c r="AK156" i="28"/>
  <c r="AI156" i="28"/>
  <c r="AL156" i="28" s="1"/>
  <c r="AG156" i="28"/>
  <c r="AE156" i="28"/>
  <c r="AJ156" i="28"/>
  <c r="AF156" i="28"/>
  <c r="D311" i="30" l="1"/>
  <c r="AB310" i="30"/>
  <c r="F77" i="29" a="1"/>
  <c r="F77" i="29" s="1"/>
  <c r="T76" i="29"/>
  <c r="AP33" i="24"/>
  <c r="AO34" i="24"/>
  <c r="AL172" i="29"/>
  <c r="AH156" i="28"/>
  <c r="BL172" i="30"/>
  <c r="BB172" i="30"/>
  <c r="AL59" i="28"/>
  <c r="AR28" i="30"/>
  <c r="AR172" i="30"/>
  <c r="AI28" i="29"/>
  <c r="AH113" i="28"/>
  <c r="AH28" i="28"/>
  <c r="BD174" i="29"/>
  <c r="AI172" i="29"/>
  <c r="AH174" i="29"/>
  <c r="AG172" i="29"/>
  <c r="AH30" i="29"/>
  <c r="AG28" i="29"/>
  <c r="D311" i="29"/>
  <c r="AB310" i="29"/>
  <c r="BC80" i="30"/>
  <c r="BA80" i="30"/>
  <c r="AY80" i="30"/>
  <c r="AW80" i="30"/>
  <c r="AU80" i="30"/>
  <c r="AS80" i="30"/>
  <c r="AQ80" i="30"/>
  <c r="AO80" i="30"/>
  <c r="AM80" i="30"/>
  <c r="AK80" i="30"/>
  <c r="AI80" i="30"/>
  <c r="AG80" i="30"/>
  <c r="AE80" i="30"/>
  <c r="BO80" i="30"/>
  <c r="BB80" i="30"/>
  <c r="AX80" i="30"/>
  <c r="AT80" i="30"/>
  <c r="AP80" i="30"/>
  <c r="AL80" i="30"/>
  <c r="F81" i="30" a="1"/>
  <c r="F81" i="30" s="1"/>
  <c r="AZ80" i="30"/>
  <c r="AV80" i="30"/>
  <c r="AR80" i="30"/>
  <c r="AN80" i="30"/>
  <c r="AJ80" i="30"/>
  <c r="AF80" i="30"/>
  <c r="AB81" i="32" a="1"/>
  <c r="AB81" i="32" s="1"/>
  <c r="V81" i="32" a="1"/>
  <c r="V81" i="32" s="1"/>
  <c r="BG224" i="30"/>
  <c r="BC225" i="30"/>
  <c r="BA225" i="30"/>
  <c r="BL225" i="30" s="1"/>
  <c r="AY225" i="30"/>
  <c r="BJ225" i="30" s="1"/>
  <c r="AW225" i="30"/>
  <c r="BH225" i="30" s="1"/>
  <c r="AU225" i="30"/>
  <c r="BF225" i="30" s="1"/>
  <c r="AS225" i="30"/>
  <c r="AQ225" i="30"/>
  <c r="AO225" i="30"/>
  <c r="AM225" i="30"/>
  <c r="AK225" i="30"/>
  <c r="AI225" i="30"/>
  <c r="BD225" i="30" s="1"/>
  <c r="AG225" i="30"/>
  <c r="AE225" i="30"/>
  <c r="BO225" i="30"/>
  <c r="BB225" i="30"/>
  <c r="BM225" i="30" s="1"/>
  <c r="AX225" i="30"/>
  <c r="BI225" i="30" s="1"/>
  <c r="AT225" i="30"/>
  <c r="BE225" i="30" s="1"/>
  <c r="AP225" i="30"/>
  <c r="AL225" i="30"/>
  <c r="F226" i="30" a="1"/>
  <c r="F226" i="30" s="1"/>
  <c r="AZ225" i="30"/>
  <c r="BK225" i="30" s="1"/>
  <c r="AV225" i="30"/>
  <c r="BG225" i="30" s="1"/>
  <c r="AR225" i="30"/>
  <c r="AN225" i="30"/>
  <c r="AJ225" i="30"/>
  <c r="AF225" i="30"/>
  <c r="BI224" i="30"/>
  <c r="AH224" i="30"/>
  <c r="BH224" i="30"/>
  <c r="BL224" i="30"/>
  <c r="BF172" i="29"/>
  <c r="AV172" i="29"/>
  <c r="AJ157" i="28"/>
  <c r="AJ148" i="28" s="1"/>
  <c r="AF157" i="28"/>
  <c r="AF148" i="28" s="1"/>
  <c r="F158" i="28" a="1"/>
  <c r="F158" i="28" s="1"/>
  <c r="AN157" i="28"/>
  <c r="AK157" i="28"/>
  <c r="AK148" i="28" s="1"/>
  <c r="AI157" i="28"/>
  <c r="AL157" i="28" s="1"/>
  <c r="AG157" i="28"/>
  <c r="AE157" i="28"/>
  <c r="AE148" i="28" s="1"/>
  <c r="F222" i="29" a="1"/>
  <c r="F222" i="29" s="1"/>
  <c r="T221" i="29"/>
  <c r="AG58" i="28"/>
  <c r="AH59" i="28"/>
  <c r="AK58" i="28"/>
  <c r="AK56" i="28" s="1"/>
  <c r="AJ60" i="28"/>
  <c r="AJ58" i="28" s="1"/>
  <c r="AJ56" i="28" s="1"/>
  <c r="AF60" i="28"/>
  <c r="AF58" i="28" s="1"/>
  <c r="AF56" i="28" s="1"/>
  <c r="F61" i="28" a="1"/>
  <c r="F61" i="28" s="1"/>
  <c r="F62" i="28" s="1" a="1"/>
  <c r="F62" i="28" s="1"/>
  <c r="AN60" i="28"/>
  <c r="AK60" i="28"/>
  <c r="AI60" i="28"/>
  <c r="AL60" i="28" s="1"/>
  <c r="AG60" i="28"/>
  <c r="AE60" i="28"/>
  <c r="AE58" i="28" s="1"/>
  <c r="AE56" i="28" s="1"/>
  <c r="D167" i="30"/>
  <c r="AB166" i="30"/>
  <c r="AL28" i="29"/>
  <c r="AL113" i="28"/>
  <c r="AL28" i="28"/>
  <c r="BK224" i="30"/>
  <c r="BE224" i="30"/>
  <c r="BM224" i="30"/>
  <c r="BD224" i="30"/>
  <c r="BF224" i="30"/>
  <c r="BJ224" i="30"/>
  <c r="BL28" i="30"/>
  <c r="BB28" i="30"/>
  <c r="AP41" i="24"/>
  <c r="AO42" i="24"/>
  <c r="D167" i="29"/>
  <c r="AB166" i="29"/>
  <c r="BF28" i="29"/>
  <c r="AV28" i="29"/>
  <c r="AB167" i="29" l="1" a="1"/>
  <c r="AB167" i="29" s="1"/>
  <c r="D168" i="29" a="1"/>
  <c r="D168" i="29" s="1"/>
  <c r="D168" i="30" a="1"/>
  <c r="D168" i="30" s="1"/>
  <c r="AB167" i="30" a="1"/>
  <c r="AB167" i="30" s="1"/>
  <c r="AG56" i="28"/>
  <c r="AH58" i="28"/>
  <c r="BG28" i="29"/>
  <c r="AW28" i="29"/>
  <c r="BM28" i="30"/>
  <c r="BC28" i="30"/>
  <c r="AM28" i="29"/>
  <c r="AI148" i="28"/>
  <c r="AH60" i="28"/>
  <c r="F63" i="28" a="1"/>
  <c r="F63" i="28" s="1"/>
  <c r="F64" i="28" s="1" a="1"/>
  <c r="F64" i="28" s="1"/>
  <c r="AN62" i="28"/>
  <c r="AK62" i="28"/>
  <c r="AI62" i="28"/>
  <c r="AG62" i="28"/>
  <c r="AE62" i="28"/>
  <c r="AJ62" i="28"/>
  <c r="AF62" i="28"/>
  <c r="G223" i="29" a="1"/>
  <c r="G223" i="29" s="1"/>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AH157" i="28"/>
  <c r="AG148" i="28"/>
  <c r="F159" i="28" a="1"/>
  <c r="F159" i="28" s="1"/>
  <c r="AN158" i="28"/>
  <c r="AK158" i="28"/>
  <c r="AI158" i="28"/>
  <c r="AL158" i="28" s="1"/>
  <c r="AG158" i="28"/>
  <c r="AE158" i="28"/>
  <c r="AJ158" i="28"/>
  <c r="AF158" i="28"/>
  <c r="BG172" i="29"/>
  <c r="AW172" i="29"/>
  <c r="V116" i="33" a="1"/>
  <c r="V116" i="33" s="1"/>
  <c r="AB116" i="33" a="1"/>
  <c r="AB116" i="33" s="1"/>
  <c r="BK80" i="30"/>
  <c r="BE80" i="30"/>
  <c r="BM80" i="30"/>
  <c r="BD80" i="30"/>
  <c r="BF80" i="30"/>
  <c r="BJ80" i="30"/>
  <c r="AB311" i="29" a="1"/>
  <c r="AB311" i="29" s="1"/>
  <c r="D312" i="29" a="1"/>
  <c r="D312" i="29" s="1"/>
  <c r="BD28" i="29"/>
  <c r="AI58" i="28"/>
  <c r="AQ33" i="24"/>
  <c r="AP34" i="24"/>
  <c r="F78" i="29" a="1"/>
  <c r="F78" i="29" s="1"/>
  <c r="T77" i="29"/>
  <c r="AQ41" i="24"/>
  <c r="AP42" i="24"/>
  <c r="BC226" i="30"/>
  <c r="BA226" i="30"/>
  <c r="AY226" i="30"/>
  <c r="AW226" i="30"/>
  <c r="AU226" i="30"/>
  <c r="AS226" i="30"/>
  <c r="AQ226" i="30"/>
  <c r="AO226" i="30"/>
  <c r="AM226" i="30"/>
  <c r="AK226" i="30"/>
  <c r="AI226" i="30"/>
  <c r="AG226" i="30"/>
  <c r="AE226" i="30"/>
  <c r="BO226" i="30"/>
  <c r="BB226" i="30"/>
  <c r="AX226" i="30"/>
  <c r="AT226" i="30"/>
  <c r="AP226" i="30"/>
  <c r="AL226" i="30"/>
  <c r="F227" i="30" a="1"/>
  <c r="F227" i="30" s="1"/>
  <c r="AZ226" i="30"/>
  <c r="AV226" i="30"/>
  <c r="BG226" i="30" s="1"/>
  <c r="AR226" i="30"/>
  <c r="AN226" i="30"/>
  <c r="AJ226" i="30"/>
  <c r="AF226" i="30"/>
  <c r="AH225" i="30"/>
  <c r="BG80" i="30"/>
  <c r="BC81" i="30"/>
  <c r="BA81" i="30"/>
  <c r="BL81" i="30" s="1"/>
  <c r="AY81" i="30"/>
  <c r="BJ81" i="30" s="1"/>
  <c r="AW81" i="30"/>
  <c r="BH81" i="30" s="1"/>
  <c r="AU81" i="30"/>
  <c r="BF81" i="30" s="1"/>
  <c r="AS81" i="30"/>
  <c r="AQ81" i="30"/>
  <c r="AO81" i="30"/>
  <c r="AM81" i="30"/>
  <c r="AK81" i="30"/>
  <c r="AI81" i="30"/>
  <c r="BD81" i="30" s="1"/>
  <c r="AG81" i="30"/>
  <c r="AE81" i="30"/>
  <c r="BO81" i="30"/>
  <c r="BB81" i="30"/>
  <c r="BM81" i="30" s="1"/>
  <c r="AX81" i="30"/>
  <c r="BI81" i="30" s="1"/>
  <c r="AT81" i="30"/>
  <c r="BE81" i="30" s="1"/>
  <c r="AP81" i="30"/>
  <c r="AL81" i="30"/>
  <c r="F82" i="30" a="1"/>
  <c r="F82" i="30" s="1"/>
  <c r="AZ81" i="30"/>
  <c r="BK81" i="30" s="1"/>
  <c r="AV81" i="30"/>
  <c r="BG81" i="30" s="1"/>
  <c r="AR81" i="30"/>
  <c r="AN81" i="30"/>
  <c r="AJ81" i="30"/>
  <c r="AF81" i="30"/>
  <c r="BI80" i="30"/>
  <c r="AH80" i="30"/>
  <c r="BH80" i="30"/>
  <c r="BL80" i="30"/>
  <c r="AH28" i="29"/>
  <c r="AH172" i="29"/>
  <c r="BD172" i="29"/>
  <c r="AS172" i="30"/>
  <c r="AS28" i="30"/>
  <c r="BM172" i="30"/>
  <c r="BC172" i="30"/>
  <c r="AM172" i="29"/>
  <c r="D312" i="30" a="1"/>
  <c r="D312" i="30" s="1"/>
  <c r="AB311" i="30" a="1"/>
  <c r="AB311" i="30" s="1"/>
  <c r="AN172" i="29" l="1"/>
  <c r="AB312" i="30"/>
  <c r="D313" i="30" a="1"/>
  <c r="D313" i="30" s="1"/>
  <c r="F83" i="30" a="1"/>
  <c r="F83" i="30" s="1"/>
  <c r="BC82" i="30"/>
  <c r="BA82" i="30"/>
  <c r="AY82" i="30"/>
  <c r="BJ82" i="30" s="1"/>
  <c r="AW82" i="30"/>
  <c r="AU82" i="30"/>
  <c r="BF82" i="30" s="1"/>
  <c r="AS82" i="30"/>
  <c r="AQ82" i="30"/>
  <c r="AO82" i="30"/>
  <c r="AM82" i="30"/>
  <c r="AK82" i="30"/>
  <c r="AI82" i="30"/>
  <c r="BD82" i="30" s="1"/>
  <c r="AG82" i="30"/>
  <c r="AE82" i="30"/>
  <c r="BO82" i="30"/>
  <c r="BB82" i="30"/>
  <c r="BM82" i="30" s="1"/>
  <c r="AX82" i="30"/>
  <c r="AT82" i="30"/>
  <c r="BE82" i="30" s="1"/>
  <c r="AP82" i="30"/>
  <c r="AL82" i="30"/>
  <c r="AZ82" i="30"/>
  <c r="BK82" i="30" s="1"/>
  <c r="AV82" i="30"/>
  <c r="BG82" i="30" s="1"/>
  <c r="AR82" i="30"/>
  <c r="AN82" i="30"/>
  <c r="AJ82" i="30"/>
  <c r="AF82" i="30"/>
  <c r="AH81" i="30"/>
  <c r="F228" i="30" a="1"/>
  <c r="F228" i="30" s="1"/>
  <c r="BO227" i="30"/>
  <c r="BC227" i="30"/>
  <c r="BA227" i="30"/>
  <c r="BL227" i="30" s="1"/>
  <c r="AY227" i="30"/>
  <c r="BJ227" i="30" s="1"/>
  <c r="AW227" i="30"/>
  <c r="BH227" i="30" s="1"/>
  <c r="AU227" i="30"/>
  <c r="BF227" i="30" s="1"/>
  <c r="AS227" i="30"/>
  <c r="AQ227" i="30"/>
  <c r="AO227" i="30"/>
  <c r="AM227" i="30"/>
  <c r="AK227" i="30"/>
  <c r="AI227" i="30"/>
  <c r="AG227" i="30"/>
  <c r="AE227" i="30"/>
  <c r="BB227" i="30"/>
  <c r="BM227" i="30" s="1"/>
  <c r="AX227" i="30"/>
  <c r="BI227" i="30" s="1"/>
  <c r="AT227" i="30"/>
  <c r="BE227" i="30" s="1"/>
  <c r="AP227" i="30"/>
  <c r="AL227" i="30"/>
  <c r="AZ227" i="30"/>
  <c r="BK227" i="30" s="1"/>
  <c r="AV227" i="30"/>
  <c r="AR227" i="30"/>
  <c r="AN227" i="30"/>
  <c r="AJ227" i="30"/>
  <c r="AF227" i="30"/>
  <c r="BI226" i="30"/>
  <c r="AH226" i="30"/>
  <c r="BH226" i="30"/>
  <c r="BL226" i="30"/>
  <c r="AI56" i="28"/>
  <c r="AL58" i="28"/>
  <c r="AB46" i="34" a="1"/>
  <c r="AB46" i="34" s="1"/>
  <c r="V46" i="34" a="1"/>
  <c r="V46" i="34" s="1"/>
  <c r="BH172" i="29"/>
  <c r="AX172" i="29"/>
  <c r="AH158" i="28"/>
  <c r="AJ159" i="28"/>
  <c r="AF159" i="28"/>
  <c r="F160" i="28" a="1"/>
  <c r="F160" i="28" s="1"/>
  <c r="AN159" i="28"/>
  <c r="AK159" i="28"/>
  <c r="AI159" i="28"/>
  <c r="AL159" i="28" s="1"/>
  <c r="AG159" i="28"/>
  <c r="AE159" i="28"/>
  <c r="BC224" i="29"/>
  <c r="BA224" i="29"/>
  <c r="AY224" i="29"/>
  <c r="AW224" i="29"/>
  <c r="AU224" i="29"/>
  <c r="AS224" i="29"/>
  <c r="AQ224" i="29"/>
  <c r="AO224" i="29"/>
  <c r="AM224" i="29"/>
  <c r="AK224" i="29"/>
  <c r="AI224" i="29"/>
  <c r="AG224" i="29"/>
  <c r="AE224" i="29"/>
  <c r="F225" i="29" a="1"/>
  <c r="F225" i="29" s="1"/>
  <c r="BO224" i="29"/>
  <c r="BB224" i="29"/>
  <c r="AZ224" i="29"/>
  <c r="AX224" i="29"/>
  <c r="AV224" i="29"/>
  <c r="AT224" i="29"/>
  <c r="AR224" i="29"/>
  <c r="AP224" i="29"/>
  <c r="AN224" i="29"/>
  <c r="AL224" i="29"/>
  <c r="AJ224" i="29"/>
  <c r="AF224" i="29"/>
  <c r="AL62" i="28"/>
  <c r="AN28" i="29"/>
  <c r="D169" i="30" a="1"/>
  <c r="D169" i="30" s="1"/>
  <c r="AB168" i="30"/>
  <c r="BK226" i="30"/>
  <c r="BE226" i="30"/>
  <c r="BM226" i="30"/>
  <c r="BD226" i="30"/>
  <c r="BF226" i="30"/>
  <c r="BJ226" i="30"/>
  <c r="AR41" i="24"/>
  <c r="AQ42" i="24"/>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G79" i="29" a="1"/>
  <c r="G79" i="29" s="1"/>
  <c r="F79" i="29" a="1"/>
  <c r="F79" i="29" s="1"/>
  <c r="F80" i="29" s="1" a="1"/>
  <c r="F80" i="29" s="1"/>
  <c r="AR33" i="24"/>
  <c r="AQ34" i="24"/>
  <c r="AB312" i="29"/>
  <c r="D313" i="29" a="1"/>
  <c r="D313" i="29" s="1"/>
  <c r="AH148" i="28"/>
  <c r="AH62" i="28"/>
  <c r="AJ64" i="28"/>
  <c r="AF64" i="28"/>
  <c r="F65" i="28" a="1"/>
  <c r="F65" i="28" s="1"/>
  <c r="AN64" i="28"/>
  <c r="AK64" i="28"/>
  <c r="AI64" i="28"/>
  <c r="AG64" i="28"/>
  <c r="AE64" i="28"/>
  <c r="AL148" i="28"/>
  <c r="BH28" i="29"/>
  <c r="AX28" i="29"/>
  <c r="AH56" i="28"/>
  <c r="AB168" i="29"/>
  <c r="D169" i="29" a="1"/>
  <c r="D169" i="29" s="1"/>
  <c r="AL64" i="28" l="1"/>
  <c r="AB313" i="29"/>
  <c r="D314" i="29" a="1"/>
  <c r="D314" i="29" s="1"/>
  <c r="AB314" i="29" s="1"/>
  <c r="D170" i="30" a="1"/>
  <c r="D170" i="30" s="1"/>
  <c r="AB170" i="30" s="1"/>
  <c r="AB169" i="30"/>
  <c r="AO28" i="29"/>
  <c r="BE224" i="29"/>
  <c r="BI224" i="29"/>
  <c r="BM224" i="29"/>
  <c r="BC225" i="29"/>
  <c r="BA225" i="29"/>
  <c r="BL225" i="29" s="1"/>
  <c r="AY225" i="29"/>
  <c r="BJ225" i="29" s="1"/>
  <c r="AW225" i="29"/>
  <c r="BH225" i="29" s="1"/>
  <c r="AU225" i="29"/>
  <c r="BF225" i="29" s="1"/>
  <c r="AS225" i="29"/>
  <c r="AQ225" i="29"/>
  <c r="AO225" i="29"/>
  <c r="AM225" i="29"/>
  <c r="AK225" i="29"/>
  <c r="AI225" i="29"/>
  <c r="BD225" i="29" s="1"/>
  <c r="AG225" i="29"/>
  <c r="AE225" i="29"/>
  <c r="F226" i="29" a="1"/>
  <c r="F226" i="29" s="1"/>
  <c r="BO225" i="29"/>
  <c r="BB225" i="29"/>
  <c r="BM225" i="29" s="1"/>
  <c r="AZ225" i="29"/>
  <c r="BK225" i="29" s="1"/>
  <c r="AX225" i="29"/>
  <c r="BI225" i="29" s="1"/>
  <c r="AV225" i="29"/>
  <c r="BG225" i="29" s="1"/>
  <c r="AT225" i="29"/>
  <c r="BE225" i="29" s="1"/>
  <c r="AR225" i="29"/>
  <c r="AP225" i="29"/>
  <c r="AN225" i="29"/>
  <c r="AL225" i="29"/>
  <c r="AJ225" i="29"/>
  <c r="AF225" i="29"/>
  <c r="AH224" i="29"/>
  <c r="BH224" i="29"/>
  <c r="BL224" i="29"/>
  <c r="BG227" i="30"/>
  <c r="AH227" i="30"/>
  <c r="AB313" i="30"/>
  <c r="D314" i="30" a="1"/>
  <c r="D314" i="30" s="1"/>
  <c r="AB314" i="30" s="1"/>
  <c r="AB169" i="29"/>
  <c r="D170" i="29" a="1"/>
  <c r="D170" i="29" s="1"/>
  <c r="AB170" i="29" s="1"/>
  <c r="BI28" i="29"/>
  <c r="AY28" i="29"/>
  <c r="AH64" i="28"/>
  <c r="AN69" i="28"/>
  <c r="F66" i="28" a="1"/>
  <c r="F66" i="28" s="1"/>
  <c r="AN65" i="28"/>
  <c r="AK65" i="28"/>
  <c r="AK63" i="28" s="1"/>
  <c r="AI65" i="28"/>
  <c r="AL65" i="28" s="1"/>
  <c r="AG65" i="28"/>
  <c r="AE65" i="28"/>
  <c r="AE63" i="28" s="1"/>
  <c r="AJ65" i="28"/>
  <c r="AF65" i="28"/>
  <c r="AF63" i="28" s="1"/>
  <c r="AJ63" i="28"/>
  <c r="AS33" i="24"/>
  <c r="AR34" i="24"/>
  <c r="F81" i="29" a="1"/>
  <c r="F81" i="29" s="1"/>
  <c r="BO80" i="29"/>
  <c r="BB80" i="29"/>
  <c r="AZ80" i="29"/>
  <c r="AX80" i="29"/>
  <c r="AV80" i="29"/>
  <c r="AT80" i="29"/>
  <c r="AR80" i="29"/>
  <c r="AP80" i="29"/>
  <c r="AN80" i="29"/>
  <c r="AL80" i="29"/>
  <c r="AJ80" i="29"/>
  <c r="AF80" i="29"/>
  <c r="BC80" i="29"/>
  <c r="BA80" i="29"/>
  <c r="AY80" i="29"/>
  <c r="AW80" i="29"/>
  <c r="AU80" i="29"/>
  <c r="AS80" i="29"/>
  <c r="AQ80" i="29"/>
  <c r="AO80" i="29"/>
  <c r="AM80" i="29"/>
  <c r="AK80" i="29"/>
  <c r="AI80" i="29"/>
  <c r="AG80" i="29"/>
  <c r="AE80" i="29"/>
  <c r="AS41" i="24"/>
  <c r="AR42" i="24"/>
  <c r="BG224" i="29"/>
  <c r="BK224" i="29"/>
  <c r="BD224" i="29"/>
  <c r="BF224" i="29"/>
  <c r="BJ224" i="29"/>
  <c r="AH159" i="28"/>
  <c r="AN160" i="28"/>
  <c r="AK160" i="28"/>
  <c r="AI160" i="28"/>
  <c r="AL160" i="28" s="1"/>
  <c r="AG160" i="28"/>
  <c r="AE160" i="28"/>
  <c r="F161" i="28" a="1"/>
  <c r="F161" i="28" s="1"/>
  <c r="AJ160" i="28"/>
  <c r="AF160" i="28"/>
  <c r="BI172" i="29"/>
  <c r="AY172" i="29"/>
  <c r="AL56" i="28"/>
  <c r="BD227" i="30"/>
  <c r="F229" i="30" a="1"/>
  <c r="F229" i="30" s="1"/>
  <c r="F230" i="30" s="1" a="1"/>
  <c r="F230" i="30" s="1"/>
  <c r="F231" i="30" s="1" a="1"/>
  <c r="F231" i="30" s="1"/>
  <c r="BO228" i="30"/>
  <c r="BB228" i="30"/>
  <c r="AZ228" i="30"/>
  <c r="AX228" i="30"/>
  <c r="AV228" i="30"/>
  <c r="BG228" i="30" s="1"/>
  <c r="AT228" i="30"/>
  <c r="AR228" i="30"/>
  <c r="AP228" i="30"/>
  <c r="AN228" i="30"/>
  <c r="AL228" i="30"/>
  <c r="AJ228" i="30"/>
  <c r="AF228" i="30"/>
  <c r="BC228" i="30"/>
  <c r="BA228" i="30"/>
  <c r="AY228" i="30"/>
  <c r="AW228" i="30"/>
  <c r="AU228" i="30"/>
  <c r="AS228" i="30"/>
  <c r="AQ228" i="30"/>
  <c r="AO228" i="30"/>
  <c r="AM228" i="30"/>
  <c r="AK228" i="30"/>
  <c r="AI228" i="30"/>
  <c r="AG228" i="30"/>
  <c r="AE228" i="30"/>
  <c r="BI82" i="30"/>
  <c r="AH82" i="30"/>
  <c r="BH82" i="30"/>
  <c r="BL82" i="30"/>
  <c r="F84" i="30" a="1"/>
  <c r="F84" i="30" s="1"/>
  <c r="BO83" i="30"/>
  <c r="BB83" i="30"/>
  <c r="AZ83" i="30"/>
  <c r="AX83" i="30"/>
  <c r="BI83" i="30" s="1"/>
  <c r="AV83" i="30"/>
  <c r="AT83" i="30"/>
  <c r="AR83" i="30"/>
  <c r="AP83" i="30"/>
  <c r="AN83" i="30"/>
  <c r="AL83" i="30"/>
  <c r="AJ83" i="30"/>
  <c r="AF83" i="30"/>
  <c r="BC83" i="30"/>
  <c r="BA83" i="30"/>
  <c r="BL83" i="30" s="1"/>
  <c r="AY83" i="30"/>
  <c r="AW83" i="30"/>
  <c r="BH83" i="30" s="1"/>
  <c r="AU83" i="30"/>
  <c r="AS83" i="30"/>
  <c r="AQ83" i="30"/>
  <c r="AO83" i="30"/>
  <c r="AM83" i="30"/>
  <c r="AK83" i="30"/>
  <c r="AI83" i="30"/>
  <c r="AG83" i="30"/>
  <c r="AH83" i="30" s="1"/>
  <c r="AE83" i="30"/>
  <c r="AO172" i="29"/>
  <c r="BD83" i="30" l="1"/>
  <c r="BF83" i="30"/>
  <c r="BJ83" i="30"/>
  <c r="BG83" i="30"/>
  <c r="BK83" i="30"/>
  <c r="BD228" i="30"/>
  <c r="BF228" i="30"/>
  <c r="BJ228" i="30"/>
  <c r="BK228" i="30"/>
  <c r="AK161" i="28"/>
  <c r="AI161" i="28"/>
  <c r="AG161" i="28"/>
  <c r="AE161" i="28"/>
  <c r="F162" i="28" a="1"/>
  <c r="F162" i="28" s="1"/>
  <c r="AJ161" i="28"/>
  <c r="AF161" i="28"/>
  <c r="AH160" i="28"/>
  <c r="BD80" i="29"/>
  <c r="BF80" i="29"/>
  <c r="BJ80" i="29"/>
  <c r="BG80" i="29"/>
  <c r="BK80" i="29"/>
  <c r="AH65" i="28"/>
  <c r="AJ66" i="28"/>
  <c r="AF66" i="28"/>
  <c r="F67" i="28" a="1"/>
  <c r="F67" i="28" s="1"/>
  <c r="AN66" i="28"/>
  <c r="AK66" i="28"/>
  <c r="AI66" i="28"/>
  <c r="AL66" i="28" s="1"/>
  <c r="AG66" i="28"/>
  <c r="AH66" i="28" s="1"/>
  <c r="AE66" i="28"/>
  <c r="BC226" i="29"/>
  <c r="BA226" i="29"/>
  <c r="AY226" i="29"/>
  <c r="AW226" i="29"/>
  <c r="AU226" i="29"/>
  <c r="AS226" i="29"/>
  <c r="AQ226" i="29"/>
  <c r="AO226" i="29"/>
  <c r="AM226" i="29"/>
  <c r="AK226" i="29"/>
  <c r="AI226" i="29"/>
  <c r="AG226" i="29"/>
  <c r="AE226" i="29"/>
  <c r="F227" i="29" a="1"/>
  <c r="F227" i="29" s="1"/>
  <c r="BO226" i="29"/>
  <c r="BB226" i="29"/>
  <c r="BM226" i="29" s="1"/>
  <c r="AZ226" i="29"/>
  <c r="AX226" i="29"/>
  <c r="BI226" i="29" s="1"/>
  <c r="AV226" i="29"/>
  <c r="AT226" i="29"/>
  <c r="BE226" i="29" s="1"/>
  <c r="AR226" i="29"/>
  <c r="AP226" i="29"/>
  <c r="AN226" i="29"/>
  <c r="AL226" i="29"/>
  <c r="AJ226" i="29"/>
  <c r="AF226" i="29"/>
  <c r="AH225" i="29"/>
  <c r="AI63" i="28"/>
  <c r="AP172" i="29"/>
  <c r="BE83" i="30"/>
  <c r="BM83" i="30"/>
  <c r="F85" i="30" a="1"/>
  <c r="F85" i="30" s="1"/>
  <c r="F86" i="30" s="1" a="1"/>
  <c r="F86" i="30" s="1"/>
  <c r="F87" i="30" s="1" a="1"/>
  <c r="F87" i="30" s="1"/>
  <c r="BO84" i="30"/>
  <c r="BB84" i="30"/>
  <c r="BM84" i="30" s="1"/>
  <c r="AZ84" i="30"/>
  <c r="BK84" i="30" s="1"/>
  <c r="AX84" i="30"/>
  <c r="BI84" i="30" s="1"/>
  <c r="AV84" i="30"/>
  <c r="BG84" i="30" s="1"/>
  <c r="AT84" i="30"/>
  <c r="BE84" i="30" s="1"/>
  <c r="AR84" i="30"/>
  <c r="AP84" i="30"/>
  <c r="AN84" i="30"/>
  <c r="AL84" i="30"/>
  <c r="AJ84" i="30"/>
  <c r="AF84" i="30"/>
  <c r="BC84" i="30"/>
  <c r="BA84" i="30"/>
  <c r="BL84" i="30" s="1"/>
  <c r="AY84" i="30"/>
  <c r="BJ84" i="30" s="1"/>
  <c r="AW84" i="30"/>
  <c r="BH84" i="30" s="1"/>
  <c r="AU84" i="30"/>
  <c r="BF84" i="30" s="1"/>
  <c r="AS84" i="30"/>
  <c r="AQ84" i="30"/>
  <c r="AO84" i="30"/>
  <c r="AM84" i="30"/>
  <c r="AK84" i="30"/>
  <c r="AI84" i="30"/>
  <c r="BD84" i="30" s="1"/>
  <c r="AG84" i="30"/>
  <c r="AH84" i="30" s="1"/>
  <c r="AE84" i="30"/>
  <c r="AH228" i="30"/>
  <c r="BH228" i="30"/>
  <c r="BL228" i="30"/>
  <c r="BE228" i="30"/>
  <c r="BI228" i="30"/>
  <c r="BM228" i="30"/>
  <c r="F232" i="30" a="1"/>
  <c r="F232" i="30" s="1"/>
  <c r="BO231" i="30"/>
  <c r="BB231" i="30"/>
  <c r="BM231" i="30" s="1"/>
  <c r="AZ231" i="30"/>
  <c r="BK231" i="30" s="1"/>
  <c r="AX231" i="30"/>
  <c r="BI231" i="30" s="1"/>
  <c r="AV231" i="30"/>
  <c r="BG231" i="30" s="1"/>
  <c r="AT231" i="30"/>
  <c r="BE231" i="30" s="1"/>
  <c r="AR231" i="30"/>
  <c r="AP231" i="30"/>
  <c r="AN231" i="30"/>
  <c r="AL231" i="30"/>
  <c r="AJ231" i="30"/>
  <c r="AF231" i="30"/>
  <c r="BC231" i="30"/>
  <c r="BA231" i="30"/>
  <c r="BL231" i="30" s="1"/>
  <c r="AY231" i="30"/>
  <c r="BJ231" i="30" s="1"/>
  <c r="AW231" i="30"/>
  <c r="BH231" i="30" s="1"/>
  <c r="AU231" i="30"/>
  <c r="BF231" i="30" s="1"/>
  <c r="AS231" i="30"/>
  <c r="AQ231" i="30"/>
  <c r="AO231" i="30"/>
  <c r="AM231" i="30"/>
  <c r="AK231" i="30"/>
  <c r="AI231" i="30"/>
  <c r="BD231" i="30" s="1"/>
  <c r="AG231" i="30"/>
  <c r="AH231" i="30" s="1"/>
  <c r="AE231" i="30"/>
  <c r="BJ172" i="29"/>
  <c r="AZ172" i="29"/>
  <c r="AT41" i="24"/>
  <c r="AS42" i="24"/>
  <c r="AH80" i="29"/>
  <c r="BH80" i="29"/>
  <c r="BL80" i="29"/>
  <c r="BE80" i="29"/>
  <c r="BI80" i="29"/>
  <c r="BM80" i="29"/>
  <c r="F82" i="29" a="1"/>
  <c r="F82" i="29" s="1"/>
  <c r="BO81" i="29"/>
  <c r="BB81" i="29"/>
  <c r="BM81" i="29" s="1"/>
  <c r="AZ81" i="29"/>
  <c r="BK81" i="29" s="1"/>
  <c r="AX81" i="29"/>
  <c r="BI81" i="29" s="1"/>
  <c r="AV81" i="29"/>
  <c r="BG81" i="29" s="1"/>
  <c r="AT81" i="29"/>
  <c r="BE81" i="29" s="1"/>
  <c r="AR81" i="29"/>
  <c r="AP81" i="29"/>
  <c r="AN81" i="29"/>
  <c r="AL81" i="29"/>
  <c r="AJ81" i="29"/>
  <c r="AF81" i="29"/>
  <c r="BC81" i="29"/>
  <c r="BA81" i="29"/>
  <c r="BL81" i="29" s="1"/>
  <c r="AY81" i="29"/>
  <c r="BJ81" i="29" s="1"/>
  <c r="AW81" i="29"/>
  <c r="BH81" i="29" s="1"/>
  <c r="AU81" i="29"/>
  <c r="BF81" i="29" s="1"/>
  <c r="AS81" i="29"/>
  <c r="AQ81" i="29"/>
  <c r="AO81" i="29"/>
  <c r="AM81" i="29"/>
  <c r="AK81" i="29"/>
  <c r="AI81" i="29"/>
  <c r="BD81" i="29" s="1"/>
  <c r="AG81" i="29"/>
  <c r="AH81" i="29" s="1"/>
  <c r="AE81" i="29"/>
  <c r="AT33" i="24"/>
  <c r="AS34" i="24"/>
  <c r="AG63" i="28"/>
  <c r="BJ28" i="29"/>
  <c r="AZ28" i="29"/>
  <c r="AP28" i="29"/>
  <c r="BK28" i="29" l="1"/>
  <c r="BA28" i="29"/>
  <c r="AQ28" i="29"/>
  <c r="AH63" i="28"/>
  <c r="AU33" i="24"/>
  <c r="AT34" i="24"/>
  <c r="BK172" i="29"/>
  <c r="BA172" i="29"/>
  <c r="F233" i="30" a="1"/>
  <c r="F233" i="30" s="1"/>
  <c r="BO232" i="30"/>
  <c r="BB232" i="30"/>
  <c r="AZ232" i="30"/>
  <c r="BK232" i="30" s="1"/>
  <c r="AX232" i="30"/>
  <c r="AV232" i="30"/>
  <c r="AT232" i="30"/>
  <c r="AR232" i="30"/>
  <c r="AP232" i="30"/>
  <c r="AN232" i="30"/>
  <c r="AL232" i="30"/>
  <c r="AJ232" i="30"/>
  <c r="AF232" i="30"/>
  <c r="BC232" i="30"/>
  <c r="BA232" i="30"/>
  <c r="BL232" i="30" s="1"/>
  <c r="AY232" i="30"/>
  <c r="BJ232" i="30" s="1"/>
  <c r="AW232" i="30"/>
  <c r="BH232" i="30" s="1"/>
  <c r="AU232" i="30"/>
  <c r="BF232" i="30" s="1"/>
  <c r="AS232" i="30"/>
  <c r="AQ232" i="30"/>
  <c r="AO232" i="30"/>
  <c r="AM232" i="30"/>
  <c r="AK232" i="30"/>
  <c r="AI232" i="30"/>
  <c r="BD232" i="30" s="1"/>
  <c r="AG232" i="30"/>
  <c r="AH232" i="30" s="1"/>
  <c r="AE232" i="30"/>
  <c r="AQ172" i="29"/>
  <c r="AL63" i="28"/>
  <c r="BG226" i="29"/>
  <c r="BK226" i="29"/>
  <c r="BD226" i="29"/>
  <c r="BF226" i="29"/>
  <c r="BJ226" i="29"/>
  <c r="F68" i="28" a="1"/>
  <c r="F68" i="28" s="1"/>
  <c r="AN67" i="28"/>
  <c r="AK67" i="28"/>
  <c r="AI67" i="28"/>
  <c r="AL67" i="28" s="1"/>
  <c r="AG67" i="28"/>
  <c r="AE67" i="28"/>
  <c r="AJ67" i="28"/>
  <c r="AF67" i="28"/>
  <c r="AL161" i="28"/>
  <c r="F83" i="29" a="1"/>
  <c r="F83" i="29" s="1"/>
  <c r="BO82" i="29"/>
  <c r="BB82" i="29"/>
  <c r="BM82" i="29" s="1"/>
  <c r="AZ82" i="29"/>
  <c r="BK82" i="29" s="1"/>
  <c r="AX82" i="29"/>
  <c r="BI82" i="29" s="1"/>
  <c r="AV82" i="29"/>
  <c r="BG82" i="29" s="1"/>
  <c r="AT82" i="29"/>
  <c r="BE82" i="29" s="1"/>
  <c r="AR82" i="29"/>
  <c r="AP82" i="29"/>
  <c r="AN82" i="29"/>
  <c r="AL82" i="29"/>
  <c r="AJ82" i="29"/>
  <c r="AF82" i="29"/>
  <c r="BC82" i="29"/>
  <c r="BA82" i="29"/>
  <c r="BL82" i="29" s="1"/>
  <c r="AY82" i="29"/>
  <c r="BJ82" i="29" s="1"/>
  <c r="AW82" i="29"/>
  <c r="BH82" i="29" s="1"/>
  <c r="AU82" i="29"/>
  <c r="BF82" i="29" s="1"/>
  <c r="AS82" i="29"/>
  <c r="AQ82" i="29"/>
  <c r="AO82" i="29"/>
  <c r="AM82" i="29"/>
  <c r="AK82" i="29"/>
  <c r="AI82" i="29"/>
  <c r="BD82" i="29" s="1"/>
  <c r="AG82" i="29"/>
  <c r="AH82" i="29" s="1"/>
  <c r="AE82" i="29"/>
  <c r="AU41" i="24"/>
  <c r="AT42" i="24"/>
  <c r="F88" i="30" a="1"/>
  <c r="F88" i="30" s="1"/>
  <c r="BO87" i="30"/>
  <c r="BB87" i="30"/>
  <c r="BM87" i="30" s="1"/>
  <c r="AZ87" i="30"/>
  <c r="BK87" i="30" s="1"/>
  <c r="AX87" i="30"/>
  <c r="AV87" i="30"/>
  <c r="BG87" i="30" s="1"/>
  <c r="AT87" i="30"/>
  <c r="BE87" i="30" s="1"/>
  <c r="AR87" i="30"/>
  <c r="AP87" i="30"/>
  <c r="AN87" i="30"/>
  <c r="AL87" i="30"/>
  <c r="AJ87" i="30"/>
  <c r="AF87" i="30"/>
  <c r="BC87" i="30"/>
  <c r="BA87" i="30"/>
  <c r="BL87" i="30" s="1"/>
  <c r="AY87" i="30"/>
  <c r="BJ87" i="30" s="1"/>
  <c r="AW87" i="30"/>
  <c r="BH87" i="30" s="1"/>
  <c r="AU87" i="30"/>
  <c r="BF87" i="30" s="1"/>
  <c r="AS87" i="30"/>
  <c r="AQ87" i="30"/>
  <c r="AO87" i="30"/>
  <c r="AM87" i="30"/>
  <c r="AK87" i="30"/>
  <c r="AI87" i="30"/>
  <c r="BD87" i="30" s="1"/>
  <c r="AG87" i="30"/>
  <c r="AE87" i="30"/>
  <c r="BC227" i="29"/>
  <c r="BA227" i="29"/>
  <c r="BL227" i="29" s="1"/>
  <c r="AY227" i="29"/>
  <c r="BJ227" i="29" s="1"/>
  <c r="AW227" i="29"/>
  <c r="BH227" i="29" s="1"/>
  <c r="AU227" i="29"/>
  <c r="BF227" i="29" s="1"/>
  <c r="AS227" i="29"/>
  <c r="AQ227" i="29"/>
  <c r="AO227" i="29"/>
  <c r="AM227" i="29"/>
  <c r="AK227" i="29"/>
  <c r="AI227" i="29"/>
  <c r="AG227" i="29"/>
  <c r="AE227" i="29"/>
  <c r="F228" i="29" a="1"/>
  <c r="F228" i="29" s="1"/>
  <c r="BO227" i="29"/>
  <c r="BB227" i="29"/>
  <c r="AZ227" i="29"/>
  <c r="BK227" i="29" s="1"/>
  <c r="AX227" i="29"/>
  <c r="AV227" i="29"/>
  <c r="BG227" i="29" s="1"/>
  <c r="AT227" i="29"/>
  <c r="AR227" i="29"/>
  <c r="AP227" i="29"/>
  <c r="AN227" i="29"/>
  <c r="AL227" i="29"/>
  <c r="AJ227" i="29"/>
  <c r="AF227" i="29"/>
  <c r="AH226" i="29"/>
  <c r="BH226" i="29"/>
  <c r="BL226" i="29"/>
  <c r="F163" i="28" a="1"/>
  <c r="F163" i="28" s="1"/>
  <c r="AN162" i="28"/>
  <c r="AK162" i="28"/>
  <c r="AI162" i="28"/>
  <c r="AL162" i="28" s="1"/>
  <c r="AG162" i="28"/>
  <c r="AE162" i="28"/>
  <c r="AJ162" i="28"/>
  <c r="AF162" i="28"/>
  <c r="AH161" i="28"/>
  <c r="BD227" i="29" l="1"/>
  <c r="AH87" i="30"/>
  <c r="BI87" i="30"/>
  <c r="F89" i="30" a="1"/>
  <c r="F89" i="30" s="1"/>
  <c r="BO88" i="30"/>
  <c r="BB88" i="30"/>
  <c r="BM88" i="30" s="1"/>
  <c r="AZ88" i="30"/>
  <c r="BK88" i="30" s="1"/>
  <c r="AX88" i="30"/>
  <c r="BI88" i="30" s="1"/>
  <c r="AV88" i="30"/>
  <c r="BG88" i="30" s="1"/>
  <c r="AT88" i="30"/>
  <c r="BE88" i="30" s="1"/>
  <c r="AR88" i="30"/>
  <c r="AP88" i="30"/>
  <c r="AN88" i="30"/>
  <c r="AL88" i="30"/>
  <c r="AJ88" i="30"/>
  <c r="AF88" i="30"/>
  <c r="BC88" i="30"/>
  <c r="BA88" i="30"/>
  <c r="AY88" i="30"/>
  <c r="BJ88" i="30" s="1"/>
  <c r="AW88" i="30"/>
  <c r="BH88" i="30" s="1"/>
  <c r="AU88" i="30"/>
  <c r="BF88" i="30" s="1"/>
  <c r="AS88" i="30"/>
  <c r="AQ88" i="30"/>
  <c r="AO88" i="30"/>
  <c r="AM88" i="30"/>
  <c r="AK88" i="30"/>
  <c r="AI88" i="30"/>
  <c r="BD88" i="30" s="1"/>
  <c r="AG88" i="30"/>
  <c r="AH88" i="30" s="1"/>
  <c r="AE88" i="30"/>
  <c r="AV41" i="24"/>
  <c r="AU42" i="24"/>
  <c r="F84" i="29" a="1"/>
  <c r="F84" i="29" s="1"/>
  <c r="BO83" i="29"/>
  <c r="BB83" i="29"/>
  <c r="BM83" i="29" s="1"/>
  <c r="AZ83" i="29"/>
  <c r="AX83" i="29"/>
  <c r="BI83" i="29" s="1"/>
  <c r="AV83" i="29"/>
  <c r="AT83" i="29"/>
  <c r="BE83" i="29" s="1"/>
  <c r="AR83" i="29"/>
  <c r="AP83" i="29"/>
  <c r="AN83" i="29"/>
  <c r="AL83" i="29"/>
  <c r="AJ83" i="29"/>
  <c r="AF83" i="29"/>
  <c r="BC83" i="29"/>
  <c r="BA83" i="29"/>
  <c r="AY83" i="29"/>
  <c r="AW83" i="29"/>
  <c r="AU83" i="29"/>
  <c r="AS83" i="29"/>
  <c r="AQ83" i="29"/>
  <c r="AO83" i="29"/>
  <c r="AM83" i="29"/>
  <c r="AK83" i="29"/>
  <c r="AI83" i="29"/>
  <c r="AG83" i="29"/>
  <c r="AH83" i="29" s="1"/>
  <c r="AE83" i="29"/>
  <c r="BG232" i="30"/>
  <c r="BL172" i="29"/>
  <c r="BB172" i="29"/>
  <c r="AV33" i="24"/>
  <c r="AU34" i="24"/>
  <c r="AH162" i="28"/>
  <c r="F164" i="28" a="1"/>
  <c r="F164" i="28" s="1"/>
  <c r="AJ163" i="28"/>
  <c r="AF163" i="28"/>
  <c r="AK163" i="28"/>
  <c r="AI163" i="28"/>
  <c r="AL163" i="28" s="1"/>
  <c r="AG163" i="28"/>
  <c r="AH163" i="28" s="1"/>
  <c r="AE163" i="28"/>
  <c r="BE227" i="29"/>
  <c r="BI227" i="29"/>
  <c r="BM227" i="29"/>
  <c r="BC228" i="29"/>
  <c r="BA228" i="29"/>
  <c r="AY228" i="29"/>
  <c r="BJ228" i="29" s="1"/>
  <c r="AW228" i="29"/>
  <c r="AU228" i="29"/>
  <c r="BF228" i="29" s="1"/>
  <c r="AS228" i="29"/>
  <c r="AQ228" i="29"/>
  <c r="AO228" i="29"/>
  <c r="AM228" i="29"/>
  <c r="AK228" i="29"/>
  <c r="AI228" i="29"/>
  <c r="BD228" i="29" s="1"/>
  <c r="AG228" i="29"/>
  <c r="AE228" i="29"/>
  <c r="F229" i="29" a="1"/>
  <c r="F229" i="29" s="1"/>
  <c r="F230" i="29" s="1" a="1"/>
  <c r="F230" i="29" s="1"/>
  <c r="F231" i="29" s="1" a="1"/>
  <c r="F231" i="29" s="1"/>
  <c r="BO228" i="29"/>
  <c r="BB228" i="29"/>
  <c r="BM228" i="29" s="1"/>
  <c r="AZ228" i="29"/>
  <c r="BK228" i="29" s="1"/>
  <c r="AX228" i="29"/>
  <c r="BI228" i="29" s="1"/>
  <c r="AV228" i="29"/>
  <c r="BG228" i="29" s="1"/>
  <c r="AT228" i="29"/>
  <c r="BE228" i="29" s="1"/>
  <c r="AR228" i="29"/>
  <c r="AP228" i="29"/>
  <c r="AN228" i="29"/>
  <c r="AL228" i="29"/>
  <c r="AJ228" i="29"/>
  <c r="AF228" i="29"/>
  <c r="AH227" i="29"/>
  <c r="AH67" i="28"/>
  <c r="AJ68" i="28"/>
  <c r="AF68" i="28"/>
  <c r="F69" i="28" a="1"/>
  <c r="F69" i="28" s="1"/>
  <c r="AN68" i="28"/>
  <c r="AK68" i="28"/>
  <c r="AI68" i="28"/>
  <c r="AL68" i="28" s="1"/>
  <c r="AG68" i="28"/>
  <c r="AH68" i="28" s="1"/>
  <c r="AE68" i="28"/>
  <c r="AR172" i="29"/>
  <c r="BE232" i="30"/>
  <c r="BI232" i="30"/>
  <c r="BM232" i="30"/>
  <c r="F234" i="30" a="1"/>
  <c r="F234" i="30" s="1"/>
  <c r="BO233" i="30"/>
  <c r="BB233" i="30"/>
  <c r="BM233" i="30" s="1"/>
  <c r="AZ233" i="30"/>
  <c r="AX233" i="30"/>
  <c r="BI233" i="30" s="1"/>
  <c r="AV233" i="30"/>
  <c r="BG233" i="30" s="1"/>
  <c r="AT233" i="30"/>
  <c r="BE233" i="30" s="1"/>
  <c r="AR233" i="30"/>
  <c r="AP233" i="30"/>
  <c r="AN233" i="30"/>
  <c r="AL233" i="30"/>
  <c r="AJ233" i="30"/>
  <c r="AF233" i="30"/>
  <c r="BC233" i="30"/>
  <c r="BA233" i="30"/>
  <c r="AY233" i="30"/>
  <c r="AW233" i="30"/>
  <c r="AU233" i="30"/>
  <c r="AS233" i="30"/>
  <c r="AQ233" i="30"/>
  <c r="AO233" i="30"/>
  <c r="AM233" i="30"/>
  <c r="AK233" i="30"/>
  <c r="AI233" i="30"/>
  <c r="AG233" i="30"/>
  <c r="AE233" i="30"/>
  <c r="AR28" i="29"/>
  <c r="BL28" i="29"/>
  <c r="BB28" i="29"/>
  <c r="BD233" i="30" l="1"/>
  <c r="BF233" i="30"/>
  <c r="BJ233" i="30"/>
  <c r="BK233" i="30"/>
  <c r="F70" i="28" a="1"/>
  <c r="F70" i="28" s="1"/>
  <c r="AK69" i="28"/>
  <c r="AI69" i="28"/>
  <c r="AG69" i="28"/>
  <c r="AE69" i="28"/>
  <c r="AJ69" i="28"/>
  <c r="AF69" i="28"/>
  <c r="BC231" i="29"/>
  <c r="BA231" i="29"/>
  <c r="BL231" i="29" s="1"/>
  <c r="AY231" i="29"/>
  <c r="AW231" i="29"/>
  <c r="BH231" i="29" s="1"/>
  <c r="AU231" i="29"/>
  <c r="AS231" i="29"/>
  <c r="AQ231" i="29"/>
  <c r="AO231" i="29"/>
  <c r="AM231" i="29"/>
  <c r="AK231" i="29"/>
  <c r="AI231" i="29"/>
  <c r="AG231" i="29"/>
  <c r="AE231" i="29"/>
  <c r="F232" i="29" a="1"/>
  <c r="F232" i="29" s="1"/>
  <c r="BO231" i="29"/>
  <c r="BB231" i="29"/>
  <c r="BM231" i="29" s="1"/>
  <c r="AZ231" i="29"/>
  <c r="BK231" i="29" s="1"/>
  <c r="AX231" i="29"/>
  <c r="BI231" i="29" s="1"/>
  <c r="AV231" i="29"/>
  <c r="BG231" i="29" s="1"/>
  <c r="AT231" i="29"/>
  <c r="BE231" i="29" s="1"/>
  <c r="AR231" i="29"/>
  <c r="AP231" i="29"/>
  <c r="AN231" i="29"/>
  <c r="AL231" i="29"/>
  <c r="AJ231" i="29"/>
  <c r="AF231" i="29"/>
  <c r="AH228" i="29"/>
  <c r="BH228" i="29"/>
  <c r="BL228" i="29"/>
  <c r="AJ164" i="28"/>
  <c r="AF164" i="28"/>
  <c r="F165" i="28" a="1"/>
  <c r="F165" i="28" s="1"/>
  <c r="AN164" i="28"/>
  <c r="AK164" i="28"/>
  <c r="AI164" i="28"/>
  <c r="AG164" i="28"/>
  <c r="AE164" i="28"/>
  <c r="BM172" i="29"/>
  <c r="BC172" i="29"/>
  <c r="BD83" i="29"/>
  <c r="BF83" i="29"/>
  <c r="BJ83" i="29"/>
  <c r="BG83" i="29"/>
  <c r="BK83" i="29"/>
  <c r="BM28" i="29"/>
  <c r="BC28" i="29"/>
  <c r="AS28" i="29"/>
  <c r="AH233" i="30"/>
  <c r="BH233" i="30"/>
  <c r="BL233" i="30"/>
  <c r="F235" i="30" a="1"/>
  <c r="F235" i="30" s="1"/>
  <c r="BO234" i="30"/>
  <c r="BB234" i="30"/>
  <c r="BM234" i="30" s="1"/>
  <c r="AZ234" i="30"/>
  <c r="BK234" i="30" s="1"/>
  <c r="AX234" i="30"/>
  <c r="BI234" i="30" s="1"/>
  <c r="AV234" i="30"/>
  <c r="AT234" i="30"/>
  <c r="BE234" i="30" s="1"/>
  <c r="AR234" i="30"/>
  <c r="AR223" i="30" s="1"/>
  <c r="AP234" i="30"/>
  <c r="AP223" i="30" s="1"/>
  <c r="AN234" i="30"/>
  <c r="AN223" i="30" s="1"/>
  <c r="AL234" i="30"/>
  <c r="AL223" i="30" s="1"/>
  <c r="AJ234" i="30"/>
  <c r="AJ223" i="30" s="1"/>
  <c r="AF234" i="30"/>
  <c r="AF223" i="30" s="1"/>
  <c r="BC234" i="30"/>
  <c r="BC223" i="30" s="1"/>
  <c r="BA234" i="30"/>
  <c r="BL234" i="30" s="1"/>
  <c r="AY234" i="30"/>
  <c r="BJ234" i="30" s="1"/>
  <c r="AW234" i="30"/>
  <c r="BH234" i="30" s="1"/>
  <c r="AU234" i="30"/>
  <c r="BF234" i="30" s="1"/>
  <c r="AS234" i="30"/>
  <c r="AS223" i="30" s="1"/>
  <c r="AQ234" i="30"/>
  <c r="AQ223" i="30" s="1"/>
  <c r="AO234" i="30"/>
  <c r="AO223" i="30" s="1"/>
  <c r="AM234" i="30"/>
  <c r="AM223" i="30" s="1"/>
  <c r="AK234" i="30"/>
  <c r="AK223" i="30" s="1"/>
  <c r="AI234" i="30"/>
  <c r="BD234" i="30" s="1"/>
  <c r="AG234" i="30"/>
  <c r="AH234" i="30" s="1"/>
  <c r="AE234" i="30"/>
  <c r="AE223" i="30" s="1"/>
  <c r="AS172" i="29"/>
  <c r="AW33" i="24"/>
  <c r="AV34" i="24"/>
  <c r="BH83" i="29"/>
  <c r="BL83" i="29"/>
  <c r="F85" i="29" a="1"/>
  <c r="F85" i="29" s="1"/>
  <c r="F86" i="29" s="1" a="1"/>
  <c r="F86" i="29" s="1"/>
  <c r="F87" i="29" s="1" a="1"/>
  <c r="F87" i="29" s="1"/>
  <c r="BO84" i="29"/>
  <c r="BB84" i="29"/>
  <c r="AZ84" i="29"/>
  <c r="BK84" i="29" s="1"/>
  <c r="AX84" i="29"/>
  <c r="AV84" i="29"/>
  <c r="BG84" i="29" s="1"/>
  <c r="AT84" i="29"/>
  <c r="AR84" i="29"/>
  <c r="AP84" i="29"/>
  <c r="AN84" i="29"/>
  <c r="AL84" i="29"/>
  <c r="AJ84" i="29"/>
  <c r="AF84" i="29"/>
  <c r="BC84" i="29"/>
  <c r="BA84" i="29"/>
  <c r="BL84" i="29" s="1"/>
  <c r="AY84" i="29"/>
  <c r="BJ84" i="29" s="1"/>
  <c r="AW84" i="29"/>
  <c r="BH84" i="29" s="1"/>
  <c r="AU84" i="29"/>
  <c r="BF84" i="29" s="1"/>
  <c r="AS84" i="29"/>
  <c r="AQ84" i="29"/>
  <c r="AO84" i="29"/>
  <c r="AM84" i="29"/>
  <c r="AK84" i="29"/>
  <c r="AI84" i="29"/>
  <c r="BD84" i="29" s="1"/>
  <c r="AG84" i="29"/>
  <c r="AE84" i="29"/>
  <c r="AW41" i="24"/>
  <c r="AV42" i="24"/>
  <c r="BL88" i="30"/>
  <c r="F90" i="30" a="1"/>
  <c r="F90" i="30" s="1"/>
  <c r="BO89" i="30"/>
  <c r="BB89" i="30"/>
  <c r="BM89" i="30" s="1"/>
  <c r="AZ89" i="30"/>
  <c r="BK89" i="30" s="1"/>
  <c r="AX89" i="30"/>
  <c r="BI89" i="30" s="1"/>
  <c r="AV89" i="30"/>
  <c r="BG89" i="30" s="1"/>
  <c r="AT89" i="30"/>
  <c r="BE89" i="30" s="1"/>
  <c r="AR89" i="30"/>
  <c r="AP89" i="30"/>
  <c r="AN89" i="30"/>
  <c r="AL89" i="30"/>
  <c r="AJ89" i="30"/>
  <c r="AF89" i="30"/>
  <c r="BC89" i="30"/>
  <c r="BA89" i="30"/>
  <c r="BL89" i="30" s="1"/>
  <c r="AY89" i="30"/>
  <c r="BJ89" i="30" s="1"/>
  <c r="AW89" i="30"/>
  <c r="BH89" i="30" s="1"/>
  <c r="AU89" i="30"/>
  <c r="BF89" i="30" s="1"/>
  <c r="AS89" i="30"/>
  <c r="AQ89" i="30"/>
  <c r="AO89" i="30"/>
  <c r="AM89" i="30"/>
  <c r="AK89" i="30"/>
  <c r="AI89" i="30"/>
  <c r="BD89" i="30" s="1"/>
  <c r="AG89" i="30"/>
  <c r="AH89" i="30" s="1"/>
  <c r="AE89" i="30"/>
  <c r="AX33" i="24" l="1"/>
  <c r="AX34" i="24" s="1"/>
  <c r="AW34" i="24"/>
  <c r="F236" i="30" a="1"/>
  <c r="F236" i="30" s="1"/>
  <c r="BO235" i="30"/>
  <c r="BB235" i="30"/>
  <c r="BM235" i="30" s="1"/>
  <c r="AZ235" i="30"/>
  <c r="BK235" i="30" s="1"/>
  <c r="AX235" i="30"/>
  <c r="BI235" i="30" s="1"/>
  <c r="AV235" i="30"/>
  <c r="BG235" i="30" s="1"/>
  <c r="AT235" i="30"/>
  <c r="BE235" i="30" s="1"/>
  <c r="AR235" i="30"/>
  <c r="AP235" i="30"/>
  <c r="AN235" i="30"/>
  <c r="AL235" i="30"/>
  <c r="AJ235" i="30"/>
  <c r="AF235" i="30"/>
  <c r="BC235" i="30"/>
  <c r="BA235" i="30"/>
  <c r="BL235" i="30" s="1"/>
  <c r="AY235" i="30"/>
  <c r="BJ235" i="30" s="1"/>
  <c r="AW235" i="30"/>
  <c r="BH235" i="30" s="1"/>
  <c r="AU235" i="30"/>
  <c r="BF235" i="30" s="1"/>
  <c r="AS235" i="30"/>
  <c r="AQ235" i="30"/>
  <c r="AO235" i="30"/>
  <c r="AM235" i="30"/>
  <c r="AK235" i="30"/>
  <c r="AI235" i="30"/>
  <c r="BD235" i="30" s="1"/>
  <c r="AG235" i="30"/>
  <c r="AH235" i="30" s="1"/>
  <c r="AE235" i="30"/>
  <c r="AL164" i="28"/>
  <c r="BC232" i="29"/>
  <c r="BA232" i="29"/>
  <c r="AY232" i="29"/>
  <c r="BJ232" i="29" s="1"/>
  <c r="AW232" i="29"/>
  <c r="AU232" i="29"/>
  <c r="BF232" i="29" s="1"/>
  <c r="AS232" i="29"/>
  <c r="AQ232" i="29"/>
  <c r="AO232" i="29"/>
  <c r="AM232" i="29"/>
  <c r="AK232" i="29"/>
  <c r="AI232" i="29"/>
  <c r="BD232" i="29" s="1"/>
  <c r="AG232" i="29"/>
  <c r="AE232" i="29"/>
  <c r="F233" i="29" a="1"/>
  <c r="F233" i="29" s="1"/>
  <c r="BO232" i="29"/>
  <c r="BB232" i="29"/>
  <c r="AZ232" i="29"/>
  <c r="AX232" i="29"/>
  <c r="AV232" i="29"/>
  <c r="AT232" i="29"/>
  <c r="AR232" i="29"/>
  <c r="AP232" i="29"/>
  <c r="AN232" i="29"/>
  <c r="AL232" i="29"/>
  <c r="AJ232" i="29"/>
  <c r="AF232" i="29"/>
  <c r="AH231" i="29"/>
  <c r="AL69" i="28"/>
  <c r="AJ70" i="28"/>
  <c r="AJ61" i="28" s="1"/>
  <c r="AF70" i="28"/>
  <c r="AF61" i="28" s="1"/>
  <c r="F71" i="28" a="1"/>
  <c r="F71" i="28" s="1"/>
  <c r="AN70" i="28"/>
  <c r="AK70" i="28"/>
  <c r="AK61" i="28" s="1"/>
  <c r="AI70" i="28"/>
  <c r="AL70" i="28" s="1"/>
  <c r="AG70" i="28"/>
  <c r="AH70" i="28" s="1"/>
  <c r="AE70" i="28"/>
  <c r="AE61" i="28" s="1"/>
  <c r="AX223" i="30"/>
  <c r="AZ223" i="30"/>
  <c r="AY223" i="30"/>
  <c r="AU223" i="30"/>
  <c r="AI223" i="30"/>
  <c r="F91" i="30" a="1"/>
  <c r="F91" i="30" s="1"/>
  <c r="BO90" i="30"/>
  <c r="BB90" i="30"/>
  <c r="AZ90" i="30"/>
  <c r="AX90" i="30"/>
  <c r="AV90" i="30"/>
  <c r="AT90" i="30"/>
  <c r="AR90" i="30"/>
  <c r="AR79" i="30" s="1"/>
  <c r="AP90" i="30"/>
  <c r="AP79" i="30" s="1"/>
  <c r="AN90" i="30"/>
  <c r="AN79" i="30" s="1"/>
  <c r="AL90" i="30"/>
  <c r="AL79" i="30" s="1"/>
  <c r="AJ90" i="30"/>
  <c r="AJ79" i="30" s="1"/>
  <c r="AF90" i="30"/>
  <c r="AF79" i="30" s="1"/>
  <c r="BC90" i="30"/>
  <c r="BC79" i="30" s="1"/>
  <c r="BA90" i="30"/>
  <c r="AY90" i="30"/>
  <c r="AW90" i="30"/>
  <c r="AU90" i="30"/>
  <c r="AS90" i="30"/>
  <c r="AS79" i="30" s="1"/>
  <c r="AQ90" i="30"/>
  <c r="AQ79" i="30" s="1"/>
  <c r="AO90" i="30"/>
  <c r="AO79" i="30" s="1"/>
  <c r="AM90" i="30"/>
  <c r="AM79" i="30" s="1"/>
  <c r="AK90" i="30"/>
  <c r="AK79" i="30" s="1"/>
  <c r="AI90" i="30"/>
  <c r="AG90" i="30"/>
  <c r="AE90" i="30"/>
  <c r="AE79" i="30" s="1"/>
  <c r="AX41" i="24"/>
  <c r="AX42" i="24" s="1"/>
  <c r="AW42" i="24"/>
  <c r="AH84" i="29"/>
  <c r="BE84" i="29"/>
  <c r="BI84" i="29"/>
  <c r="BM84" i="29"/>
  <c r="F88" i="29" a="1"/>
  <c r="F88" i="29" s="1"/>
  <c r="BO87" i="29"/>
  <c r="BB87" i="29"/>
  <c r="BM87" i="29" s="1"/>
  <c r="AZ87" i="29"/>
  <c r="BK87" i="29" s="1"/>
  <c r="AX87" i="29"/>
  <c r="BI87" i="29" s="1"/>
  <c r="AV87" i="29"/>
  <c r="BG87" i="29" s="1"/>
  <c r="AT87" i="29"/>
  <c r="BE87" i="29" s="1"/>
  <c r="AR87" i="29"/>
  <c r="AP87" i="29"/>
  <c r="AN87" i="29"/>
  <c r="AL87" i="29"/>
  <c r="AJ87" i="29"/>
  <c r="AF87" i="29"/>
  <c r="BC87" i="29"/>
  <c r="BA87" i="29"/>
  <c r="BL87" i="29" s="1"/>
  <c r="AY87" i="29"/>
  <c r="BJ87" i="29" s="1"/>
  <c r="AW87" i="29"/>
  <c r="BH87" i="29" s="1"/>
  <c r="AU87" i="29"/>
  <c r="BF87" i="29" s="1"/>
  <c r="AS87" i="29"/>
  <c r="AQ87" i="29"/>
  <c r="AO87" i="29"/>
  <c r="AM87" i="29"/>
  <c r="AK87" i="29"/>
  <c r="AI87" i="29"/>
  <c r="BD87" i="29" s="1"/>
  <c r="AG87" i="29"/>
  <c r="AH87" i="29" s="1"/>
  <c r="AE87" i="29"/>
  <c r="BG234" i="30"/>
  <c r="AV223" i="30"/>
  <c r="BA223" i="30"/>
  <c r="AW223" i="30"/>
  <c r="AG223" i="30"/>
  <c r="AH164" i="28"/>
  <c r="F166" i="28" a="1"/>
  <c r="F166" i="28" s="1"/>
  <c r="F167" i="28" s="1" a="1"/>
  <c r="F167" i="28" s="1"/>
  <c r="AN165" i="28"/>
  <c r="AK165" i="28"/>
  <c r="AI165" i="28"/>
  <c r="AL165" i="28" s="1"/>
  <c r="AG165" i="28"/>
  <c r="AH165" i="28" s="1"/>
  <c r="AE165" i="28"/>
  <c r="AJ165" i="28"/>
  <c r="AF165" i="28"/>
  <c r="BD231" i="29"/>
  <c r="BF231" i="29"/>
  <c r="BJ231" i="29"/>
  <c r="AH69" i="28"/>
  <c r="AG61" i="28"/>
  <c r="AT223" i="30"/>
  <c r="BB223" i="30"/>
  <c r="BH223" i="30" l="1"/>
  <c r="BG223" i="30"/>
  <c r="BE223" i="30"/>
  <c r="AH223" i="30"/>
  <c r="BL223" i="30"/>
  <c r="F89" i="29" a="1"/>
  <c r="F89" i="29" s="1"/>
  <c r="BO88" i="29"/>
  <c r="BB88" i="29"/>
  <c r="AZ88" i="29"/>
  <c r="BK88" i="29" s="1"/>
  <c r="AX88" i="29"/>
  <c r="AV88" i="29"/>
  <c r="BG88" i="29" s="1"/>
  <c r="AT88" i="29"/>
  <c r="AR88" i="29"/>
  <c r="AP88" i="29"/>
  <c r="AN88" i="29"/>
  <c r="AL88" i="29"/>
  <c r="AJ88" i="29"/>
  <c r="AF88" i="29"/>
  <c r="BC88" i="29"/>
  <c r="BA88" i="29"/>
  <c r="BL88" i="29" s="1"/>
  <c r="AY88" i="29"/>
  <c r="BJ88" i="29" s="1"/>
  <c r="AW88" i="29"/>
  <c r="BH88" i="29" s="1"/>
  <c r="AU88" i="29"/>
  <c r="BF88" i="29" s="1"/>
  <c r="AS88" i="29"/>
  <c r="AQ88" i="29"/>
  <c r="AO88" i="29"/>
  <c r="AM88" i="29"/>
  <c r="AK88" i="29"/>
  <c r="AI88" i="29"/>
  <c r="BD88" i="29" s="1"/>
  <c r="AG88" i="29"/>
  <c r="AH88" i="29" s="1"/>
  <c r="AE88" i="29"/>
  <c r="AH90" i="30"/>
  <c r="AG79" i="30"/>
  <c r="BH90" i="30"/>
  <c r="AW79" i="30"/>
  <c r="BL90" i="30"/>
  <c r="BA79" i="30"/>
  <c r="BE90" i="30"/>
  <c r="AT79" i="30"/>
  <c r="BI90" i="30"/>
  <c r="AX79" i="30"/>
  <c r="BM90" i="30"/>
  <c r="BB79" i="30"/>
  <c r="F92" i="30" a="1"/>
  <c r="F92" i="30" s="1"/>
  <c r="BO91" i="30"/>
  <c r="BB91" i="30"/>
  <c r="BM91" i="30" s="1"/>
  <c r="AZ91" i="30"/>
  <c r="BK91" i="30" s="1"/>
  <c r="AX91" i="30"/>
  <c r="BI91" i="30" s="1"/>
  <c r="AV91" i="30"/>
  <c r="BG91" i="30" s="1"/>
  <c r="AT91" i="30"/>
  <c r="BE91" i="30" s="1"/>
  <c r="AR91" i="30"/>
  <c r="AP91" i="30"/>
  <c r="AN91" i="30"/>
  <c r="AL91" i="30"/>
  <c r="AJ91" i="30"/>
  <c r="AF91" i="30"/>
  <c r="BC91" i="30"/>
  <c r="BA91" i="30"/>
  <c r="BL91" i="30" s="1"/>
  <c r="AY91" i="30"/>
  <c r="BJ91" i="30" s="1"/>
  <c r="AW91" i="30"/>
  <c r="BH91" i="30" s="1"/>
  <c r="AU91" i="30"/>
  <c r="BF91" i="30" s="1"/>
  <c r="AS91" i="30"/>
  <c r="AQ91" i="30"/>
  <c r="AO91" i="30"/>
  <c r="AM91" i="30"/>
  <c r="AK91" i="30"/>
  <c r="AI91" i="30"/>
  <c r="BD91" i="30" s="1"/>
  <c r="AG91" i="30"/>
  <c r="AH91" i="30" s="1"/>
  <c r="AE91" i="30"/>
  <c r="BF223" i="30"/>
  <c r="BK223" i="30"/>
  <c r="AI61" i="28"/>
  <c r="BG232" i="29"/>
  <c r="BK232" i="29"/>
  <c r="BM223" i="30"/>
  <c r="AH61" i="28"/>
  <c r="AJ167" i="28"/>
  <c r="AF167" i="28"/>
  <c r="F168" i="28" a="1"/>
  <c r="F168" i="28" s="1"/>
  <c r="AN167" i="28"/>
  <c r="AK167" i="28"/>
  <c r="AI167" i="28"/>
  <c r="AG167" i="28"/>
  <c r="AE167" i="28"/>
  <c r="BD90" i="30"/>
  <c r="AI79" i="30"/>
  <c r="BF90" i="30"/>
  <c r="AU79" i="30"/>
  <c r="BJ90" i="30"/>
  <c r="AY79" i="30"/>
  <c r="BG90" i="30"/>
  <c r="AV79" i="30"/>
  <c r="BK90" i="30"/>
  <c r="AZ79" i="30"/>
  <c r="BD223" i="30"/>
  <c r="BJ223" i="30"/>
  <c r="BI223" i="30"/>
  <c r="F72" i="28" a="1"/>
  <c r="F72" i="28" s="1"/>
  <c r="AN71" i="28"/>
  <c r="AK71" i="28"/>
  <c r="AI71" i="28"/>
  <c r="AL71" i="28" s="1"/>
  <c r="AG71" i="28"/>
  <c r="AH71" i="28" s="1"/>
  <c r="AE71" i="28"/>
  <c r="AJ71" i="28"/>
  <c r="AF71" i="28"/>
  <c r="BE232" i="29"/>
  <c r="BI232" i="29"/>
  <c r="BM232" i="29"/>
  <c r="BC233" i="29"/>
  <c r="BA233" i="29"/>
  <c r="BL233" i="29" s="1"/>
  <c r="AY233" i="29"/>
  <c r="AW233" i="29"/>
  <c r="BH233" i="29" s="1"/>
  <c r="AU233" i="29"/>
  <c r="AS233" i="29"/>
  <c r="AQ233" i="29"/>
  <c r="AO233" i="29"/>
  <c r="AM233" i="29"/>
  <c r="AK233" i="29"/>
  <c r="AI233" i="29"/>
  <c r="AG233" i="29"/>
  <c r="AE233" i="29"/>
  <c r="F234" i="29" a="1"/>
  <c r="F234" i="29" s="1"/>
  <c r="BO233" i="29"/>
  <c r="BB233" i="29"/>
  <c r="BM233" i="29" s="1"/>
  <c r="AZ233" i="29"/>
  <c r="BK233" i="29" s="1"/>
  <c r="AX233" i="29"/>
  <c r="BI233" i="29" s="1"/>
  <c r="AV233" i="29"/>
  <c r="BG233" i="29" s="1"/>
  <c r="AT233" i="29"/>
  <c r="BE233" i="29" s="1"/>
  <c r="AR233" i="29"/>
  <c r="AP233" i="29"/>
  <c r="AN233" i="29"/>
  <c r="AL233" i="29"/>
  <c r="AJ233" i="29"/>
  <c r="AF233" i="29"/>
  <c r="AH232" i="29"/>
  <c r="BH232" i="29"/>
  <c r="BL232" i="29"/>
  <c r="F237" i="30" a="1"/>
  <c r="F237" i="30" s="1"/>
  <c r="BO236" i="30"/>
  <c r="BK79" i="30" l="1"/>
  <c r="BG79" i="30"/>
  <c r="BJ79" i="30"/>
  <c r="BF79" i="30"/>
  <c r="BD79" i="30"/>
  <c r="AL167" i="28"/>
  <c r="AL61" i="28"/>
  <c r="F93" i="30" a="1"/>
  <c r="F93" i="30" s="1"/>
  <c r="BO92" i="30"/>
  <c r="BL79" i="30"/>
  <c r="BH79" i="30"/>
  <c r="BE88" i="29"/>
  <c r="BI88" i="29"/>
  <c r="BM88" i="29"/>
  <c r="F90" i="29" a="1"/>
  <c r="F90" i="29" s="1"/>
  <c r="BO89" i="29"/>
  <c r="BB89" i="29"/>
  <c r="BM89" i="29" s="1"/>
  <c r="AZ89" i="29"/>
  <c r="BK89" i="29" s="1"/>
  <c r="AX89" i="29"/>
  <c r="BI89" i="29" s="1"/>
  <c r="AV89" i="29"/>
  <c r="BG89" i="29" s="1"/>
  <c r="AT89" i="29"/>
  <c r="BE89" i="29" s="1"/>
  <c r="AR89" i="29"/>
  <c r="AP89" i="29"/>
  <c r="AN89" i="29"/>
  <c r="AL89" i="29"/>
  <c r="AJ89" i="29"/>
  <c r="AF89" i="29"/>
  <c r="BC89" i="29"/>
  <c r="BA89" i="29"/>
  <c r="BL89" i="29" s="1"/>
  <c r="AY89" i="29"/>
  <c r="BJ89" i="29" s="1"/>
  <c r="AW89" i="29"/>
  <c r="BH89" i="29" s="1"/>
  <c r="AU89" i="29"/>
  <c r="BF89" i="29" s="1"/>
  <c r="AS89" i="29"/>
  <c r="AQ89" i="29"/>
  <c r="AO89" i="29"/>
  <c r="AM89" i="29"/>
  <c r="AK89" i="29"/>
  <c r="AI89" i="29"/>
  <c r="BD89" i="29" s="1"/>
  <c r="AG89" i="29"/>
  <c r="AH89" i="29" s="1"/>
  <c r="AE89" i="29"/>
  <c r="F238" i="30" a="1"/>
  <c r="F238" i="30" s="1"/>
  <c r="BO237" i="30"/>
  <c r="BB237" i="30"/>
  <c r="AZ237" i="30"/>
  <c r="AX237" i="30"/>
  <c r="AV237" i="30"/>
  <c r="AT237" i="30"/>
  <c r="AR237" i="30"/>
  <c r="AP237" i="30"/>
  <c r="AN237" i="30"/>
  <c r="AL237" i="30"/>
  <c r="AJ237" i="30"/>
  <c r="AF237" i="30"/>
  <c r="BC237" i="30"/>
  <c r="BA237" i="30"/>
  <c r="AY237" i="30"/>
  <c r="AW237" i="30"/>
  <c r="AU237" i="30"/>
  <c r="AS237" i="30"/>
  <c r="AQ237" i="30"/>
  <c r="AO237" i="30"/>
  <c r="AM237" i="30"/>
  <c r="AK237" i="30"/>
  <c r="AI237" i="30"/>
  <c r="AG237" i="30"/>
  <c r="AE237" i="30"/>
  <c r="BC234" i="29"/>
  <c r="BC223" i="29" s="1"/>
  <c r="BA234" i="29"/>
  <c r="BL234" i="29" s="1"/>
  <c r="AY234" i="29"/>
  <c r="BJ234" i="29" s="1"/>
  <c r="AW234" i="29"/>
  <c r="AU234" i="29"/>
  <c r="BF234" i="29" s="1"/>
  <c r="AS234" i="29"/>
  <c r="AS223" i="29" s="1"/>
  <c r="AQ234" i="29"/>
  <c r="AQ223" i="29" s="1"/>
  <c r="AO234" i="29"/>
  <c r="AO223" i="29" s="1"/>
  <c r="AM234" i="29"/>
  <c r="AM223" i="29" s="1"/>
  <c r="AK234" i="29"/>
  <c r="AK223" i="29" s="1"/>
  <c r="AI234" i="29"/>
  <c r="BD234" i="29" s="1"/>
  <c r="AG234" i="29"/>
  <c r="AE234" i="29"/>
  <c r="AE223" i="29" s="1"/>
  <c r="F235" i="29" a="1"/>
  <c r="F235" i="29" s="1"/>
  <c r="BO234" i="29"/>
  <c r="BB234" i="29"/>
  <c r="AZ234" i="29"/>
  <c r="AX234" i="29"/>
  <c r="AV234" i="29"/>
  <c r="AT234" i="29"/>
  <c r="AR234" i="29"/>
  <c r="AR223" i="29" s="1"/>
  <c r="AP234" i="29"/>
  <c r="AP223" i="29" s="1"/>
  <c r="AN234" i="29"/>
  <c r="AN223" i="29" s="1"/>
  <c r="AL234" i="29"/>
  <c r="AL223" i="29" s="1"/>
  <c r="AJ234" i="29"/>
  <c r="AJ223" i="29" s="1"/>
  <c r="AF234" i="29"/>
  <c r="AF223" i="29" s="1"/>
  <c r="AH233" i="29"/>
  <c r="BD233" i="29"/>
  <c r="AI223" i="29"/>
  <c r="BF233" i="29"/>
  <c r="AU223" i="29"/>
  <c r="BJ233" i="29"/>
  <c r="AY223" i="29"/>
  <c r="AJ72" i="28"/>
  <c r="AF72" i="28"/>
  <c r="F73" i="28" a="1"/>
  <c r="F73" i="28" s="1"/>
  <c r="AN72" i="28"/>
  <c r="AK72" i="28"/>
  <c r="AI72" i="28"/>
  <c r="AL72" i="28" s="1"/>
  <c r="AG72" i="28"/>
  <c r="AE72" i="28"/>
  <c r="AH167" i="28"/>
  <c r="F169" i="28" a="1"/>
  <c r="F169" i="28" s="1"/>
  <c r="F170" i="28" s="1" a="1"/>
  <c r="F170" i="28" s="1"/>
  <c r="F171" i="28" s="1" a="1"/>
  <c r="F171" i="28" s="1"/>
  <c r="F172" i="28" s="1" a="1"/>
  <c r="F172" i="28" s="1"/>
  <c r="AN168" i="28"/>
  <c r="AK168" i="28"/>
  <c r="AK166" i="28" s="1"/>
  <c r="AI168" i="28"/>
  <c r="AL168" i="28" s="1"/>
  <c r="AG168" i="28"/>
  <c r="AH168" i="28" s="1"/>
  <c r="AE168" i="28"/>
  <c r="AE166" i="28" s="1"/>
  <c r="AE180" i="28" s="1"/>
  <c r="AJ168" i="28"/>
  <c r="AJ166" i="28" s="1"/>
  <c r="AJ180" i="28" s="1"/>
  <c r="AF168" i="28"/>
  <c r="AF166" i="28" s="1"/>
  <c r="AF180" i="28" s="1"/>
  <c r="BM79" i="30"/>
  <c r="BI79" i="30"/>
  <c r="BE79" i="30"/>
  <c r="AH79" i="30"/>
  <c r="AG166" i="28" l="1"/>
  <c r="BK234" i="29"/>
  <c r="AZ223" i="29"/>
  <c r="BD237" i="30"/>
  <c r="BF237" i="30"/>
  <c r="BJ237" i="30"/>
  <c r="BG237" i="30"/>
  <c r="BK237" i="30"/>
  <c r="AK172" i="28"/>
  <c r="F173" i="28" a="1"/>
  <c r="F173" i="28" s="1"/>
  <c r="BJ223" i="29"/>
  <c r="BF223" i="29"/>
  <c r="BG234" i="29"/>
  <c r="AV223" i="29"/>
  <c r="AH72" i="28"/>
  <c r="AN73" i="28"/>
  <c r="AK73" i="28"/>
  <c r="AI73" i="28"/>
  <c r="AL73" i="28" s="1"/>
  <c r="AG73" i="28"/>
  <c r="AE73" i="28"/>
  <c r="F74" i="28" a="1"/>
  <c r="F74" i="28" s="1"/>
  <c r="AJ73" i="28"/>
  <c r="AF73" i="28"/>
  <c r="BE234" i="29"/>
  <c r="AT223" i="29"/>
  <c r="BI234" i="29"/>
  <c r="AX223" i="29"/>
  <c r="BM234" i="29"/>
  <c r="BB223" i="29"/>
  <c r="BC235" i="29"/>
  <c r="BA235" i="29"/>
  <c r="BL235" i="29" s="1"/>
  <c r="AY235" i="29"/>
  <c r="BJ235" i="29" s="1"/>
  <c r="AW235" i="29"/>
  <c r="BH235" i="29" s="1"/>
  <c r="AU235" i="29"/>
  <c r="BF235" i="29" s="1"/>
  <c r="AS235" i="29"/>
  <c r="AQ235" i="29"/>
  <c r="AO235" i="29"/>
  <c r="AM235" i="29"/>
  <c r="AK235" i="29"/>
  <c r="AI235" i="29"/>
  <c r="BD235" i="29" s="1"/>
  <c r="AG235" i="29"/>
  <c r="AE235" i="29"/>
  <c r="F236" i="29" a="1"/>
  <c r="F236" i="29" s="1"/>
  <c r="BO235" i="29"/>
  <c r="BB235" i="29"/>
  <c r="BM235" i="29" s="1"/>
  <c r="AZ235" i="29"/>
  <c r="BK235" i="29" s="1"/>
  <c r="AX235" i="29"/>
  <c r="BI235" i="29" s="1"/>
  <c r="AV235" i="29"/>
  <c r="BG235" i="29" s="1"/>
  <c r="AT235" i="29"/>
  <c r="BE235" i="29" s="1"/>
  <c r="AR235" i="29"/>
  <c r="AP235" i="29"/>
  <c r="AN235" i="29"/>
  <c r="AL235" i="29"/>
  <c r="AJ235" i="29"/>
  <c r="AF235" i="29"/>
  <c r="AH234" i="29"/>
  <c r="AG223" i="29"/>
  <c r="BH234" i="29"/>
  <c r="AW223" i="29"/>
  <c r="BA223" i="29"/>
  <c r="AH237" i="30"/>
  <c r="BH237" i="30"/>
  <c r="BL237" i="30"/>
  <c r="BE237" i="30"/>
  <c r="BI237" i="30"/>
  <c r="BM237" i="30"/>
  <c r="F239" i="30" a="1"/>
  <c r="F239" i="30" s="1"/>
  <c r="BO238" i="30"/>
  <c r="BB238" i="30"/>
  <c r="BM238" i="30" s="1"/>
  <c r="AZ238" i="30"/>
  <c r="BK238" i="30" s="1"/>
  <c r="AX238" i="30"/>
  <c r="BI238" i="30" s="1"/>
  <c r="AV238" i="30"/>
  <c r="BG238" i="30" s="1"/>
  <c r="AT238" i="30"/>
  <c r="BE238" i="30" s="1"/>
  <c r="AR238" i="30"/>
  <c r="AP238" i="30"/>
  <c r="AN238" i="30"/>
  <c r="AL238" i="30"/>
  <c r="AJ238" i="30"/>
  <c r="AF238" i="30"/>
  <c r="BC238" i="30"/>
  <c r="BA238" i="30"/>
  <c r="BL238" i="30" s="1"/>
  <c r="AY238" i="30"/>
  <c r="BJ238" i="30" s="1"/>
  <c r="AW238" i="30"/>
  <c r="BH238" i="30" s="1"/>
  <c r="AU238" i="30"/>
  <c r="BF238" i="30" s="1"/>
  <c r="AS238" i="30"/>
  <c r="AQ238" i="30"/>
  <c r="AO238" i="30"/>
  <c r="AM238" i="30"/>
  <c r="AK238" i="30"/>
  <c r="AI238" i="30"/>
  <c r="BD238" i="30" s="1"/>
  <c r="AG238" i="30"/>
  <c r="AH238" i="30" s="1"/>
  <c r="AE238" i="30"/>
  <c r="F91" i="29" a="1"/>
  <c r="F91" i="29" s="1"/>
  <c r="BO90" i="29"/>
  <c r="BB90" i="29"/>
  <c r="AZ90" i="29"/>
  <c r="AX90" i="29"/>
  <c r="AV90" i="29"/>
  <c r="AT90" i="29"/>
  <c r="AR90" i="29"/>
  <c r="AR79" i="29" s="1"/>
  <c r="AP90" i="29"/>
  <c r="AP79" i="29" s="1"/>
  <c r="AN90" i="29"/>
  <c r="AN79" i="29" s="1"/>
  <c r="AL90" i="29"/>
  <c r="AL79" i="29" s="1"/>
  <c r="AJ90" i="29"/>
  <c r="AJ79" i="29" s="1"/>
  <c r="AF90" i="29"/>
  <c r="AF79" i="29" s="1"/>
  <c r="BC90" i="29"/>
  <c r="BC79" i="29" s="1"/>
  <c r="BA90" i="29"/>
  <c r="AY90" i="29"/>
  <c r="AW90" i="29"/>
  <c r="AU90" i="29"/>
  <c r="AS90" i="29"/>
  <c r="AS79" i="29" s="1"/>
  <c r="AQ90" i="29"/>
  <c r="AQ79" i="29" s="1"/>
  <c r="AO90" i="29"/>
  <c r="AO79" i="29" s="1"/>
  <c r="AM90" i="29"/>
  <c r="AM79" i="29" s="1"/>
  <c r="AK90" i="29"/>
  <c r="AK79" i="29" s="1"/>
  <c r="AI90" i="29"/>
  <c r="AG90" i="29"/>
  <c r="AE90" i="29"/>
  <c r="AE79" i="29" s="1"/>
  <c r="F94" i="30" a="1"/>
  <c r="F94" i="30" s="1"/>
  <c r="BO93" i="30"/>
  <c r="BB93" i="30"/>
  <c r="AZ93" i="30"/>
  <c r="AX93" i="30"/>
  <c r="AV93" i="30"/>
  <c r="AT93" i="30"/>
  <c r="AR93" i="30"/>
  <c r="AP93" i="30"/>
  <c r="AN93" i="30"/>
  <c r="AL93" i="30"/>
  <c r="AJ93" i="30"/>
  <c r="AF93" i="30"/>
  <c r="BC93" i="30"/>
  <c r="BA93" i="30"/>
  <c r="AY93" i="30"/>
  <c r="AW93" i="30"/>
  <c r="AU93" i="30"/>
  <c r="AS93" i="30"/>
  <c r="AQ93" i="30"/>
  <c r="AO93" i="30"/>
  <c r="AM93" i="30"/>
  <c r="AK93" i="30"/>
  <c r="AI93" i="30"/>
  <c r="AG93" i="30"/>
  <c r="AE93" i="30"/>
  <c r="AI166" i="28"/>
  <c r="BF93" i="30" l="1"/>
  <c r="BJ93" i="30"/>
  <c r="BG93" i="30"/>
  <c r="BK93" i="30"/>
  <c r="BD90" i="29"/>
  <c r="AI79" i="29"/>
  <c r="BF90" i="29"/>
  <c r="AU79" i="29"/>
  <c r="BJ90" i="29"/>
  <c r="AY79" i="29"/>
  <c r="BG90" i="29"/>
  <c r="AV79" i="29"/>
  <c r="BK90" i="29"/>
  <c r="AZ79" i="29"/>
  <c r="BL223" i="29"/>
  <c r="AH223" i="29"/>
  <c r="F237" i="29" a="1"/>
  <c r="F237" i="29" s="1"/>
  <c r="BO236" i="29"/>
  <c r="AH235" i="29"/>
  <c r="BM223" i="29"/>
  <c r="BI223" i="29"/>
  <c r="BE223" i="29"/>
  <c r="BG223" i="29"/>
  <c r="BD223" i="29"/>
  <c r="BK223" i="29"/>
  <c r="AH166" i="28"/>
  <c r="AG180" i="28"/>
  <c r="AH180" i="28" s="1"/>
  <c r="BD93" i="30"/>
  <c r="AL166" i="28"/>
  <c r="AI180" i="28"/>
  <c r="AH93" i="30"/>
  <c r="BH93" i="30"/>
  <c r="BL93" i="30"/>
  <c r="BE93" i="30"/>
  <c r="BI93" i="30"/>
  <c r="BM93" i="30"/>
  <c r="F95" i="30" a="1"/>
  <c r="F95" i="30" s="1"/>
  <c r="BO94" i="30"/>
  <c r="BB94" i="30"/>
  <c r="BM94" i="30" s="1"/>
  <c r="AZ94" i="30"/>
  <c r="BK94" i="30" s="1"/>
  <c r="AX94" i="30"/>
  <c r="BI94" i="30" s="1"/>
  <c r="AV94" i="30"/>
  <c r="BG94" i="30" s="1"/>
  <c r="AT94" i="30"/>
  <c r="BE94" i="30" s="1"/>
  <c r="AR94" i="30"/>
  <c r="AP94" i="30"/>
  <c r="AN94" i="30"/>
  <c r="AL94" i="30"/>
  <c r="AJ94" i="30"/>
  <c r="AF94" i="30"/>
  <c r="BC94" i="30"/>
  <c r="BA94" i="30"/>
  <c r="BL94" i="30" s="1"/>
  <c r="AY94" i="30"/>
  <c r="BJ94" i="30" s="1"/>
  <c r="AW94" i="30"/>
  <c r="BH94" i="30" s="1"/>
  <c r="AU94" i="30"/>
  <c r="BF94" i="30" s="1"/>
  <c r="AS94" i="30"/>
  <c r="AQ94" i="30"/>
  <c r="AO94" i="30"/>
  <c r="AM94" i="30"/>
  <c r="AK94" i="30"/>
  <c r="AI94" i="30"/>
  <c r="BD94" i="30" s="1"/>
  <c r="AG94" i="30"/>
  <c r="AH94" i="30" s="1"/>
  <c r="AE94" i="30"/>
  <c r="AH90" i="29"/>
  <c r="AG79" i="29"/>
  <c r="BH90" i="29"/>
  <c r="AW79" i="29"/>
  <c r="BL90" i="29"/>
  <c r="BA79" i="29"/>
  <c r="BE90" i="29"/>
  <c r="AT79" i="29"/>
  <c r="BI90" i="29"/>
  <c r="AX79" i="29"/>
  <c r="BM90" i="29"/>
  <c r="BB79" i="29"/>
  <c r="F92" i="29" a="1"/>
  <c r="F92" i="29" s="1"/>
  <c r="BO91" i="29"/>
  <c r="BB91" i="29"/>
  <c r="BM91" i="29" s="1"/>
  <c r="AZ91" i="29"/>
  <c r="BK91" i="29" s="1"/>
  <c r="AX91" i="29"/>
  <c r="BI91" i="29" s="1"/>
  <c r="AV91" i="29"/>
  <c r="BG91" i="29" s="1"/>
  <c r="AT91" i="29"/>
  <c r="BE91" i="29" s="1"/>
  <c r="AR91" i="29"/>
  <c r="AP91" i="29"/>
  <c r="AN91" i="29"/>
  <c r="AL91" i="29"/>
  <c r="AJ91" i="29"/>
  <c r="AF91" i="29"/>
  <c r="BC91" i="29"/>
  <c r="BA91" i="29"/>
  <c r="BL91" i="29" s="1"/>
  <c r="AY91" i="29"/>
  <c r="BJ91" i="29" s="1"/>
  <c r="AW91" i="29"/>
  <c r="BH91" i="29" s="1"/>
  <c r="AU91" i="29"/>
  <c r="BF91" i="29" s="1"/>
  <c r="AS91" i="29"/>
  <c r="AQ91" i="29"/>
  <c r="AO91" i="29"/>
  <c r="AM91" i="29"/>
  <c r="AK91" i="29"/>
  <c r="AI91" i="29"/>
  <c r="BD91" i="29" s="1"/>
  <c r="AG91" i="29"/>
  <c r="AH91" i="29" s="1"/>
  <c r="AE91" i="29"/>
  <c r="F240" i="30" a="1"/>
  <c r="F240" i="30" s="1"/>
  <c r="BO239" i="30"/>
  <c r="BB239" i="30"/>
  <c r="BM239" i="30" s="1"/>
  <c r="AZ239" i="30"/>
  <c r="BK239" i="30" s="1"/>
  <c r="AX239" i="30"/>
  <c r="BI239" i="30" s="1"/>
  <c r="AV239" i="30"/>
  <c r="BG239" i="30" s="1"/>
  <c r="AT239" i="30"/>
  <c r="BE239" i="30" s="1"/>
  <c r="AR239" i="30"/>
  <c r="AP239" i="30"/>
  <c r="AN239" i="30"/>
  <c r="AL239" i="30"/>
  <c r="AJ239" i="30"/>
  <c r="AF239" i="30"/>
  <c r="BC239" i="30"/>
  <c r="BA239" i="30"/>
  <c r="BL239" i="30" s="1"/>
  <c r="AY239" i="30"/>
  <c r="BJ239" i="30" s="1"/>
  <c r="AW239" i="30"/>
  <c r="BH239" i="30" s="1"/>
  <c r="AU239" i="30"/>
  <c r="BF239" i="30" s="1"/>
  <c r="AS239" i="30"/>
  <c r="AQ239" i="30"/>
  <c r="AO239" i="30"/>
  <c r="AM239" i="30"/>
  <c r="AK239" i="30"/>
  <c r="AI239" i="30"/>
  <c r="BD239" i="30" s="1"/>
  <c r="AG239" i="30"/>
  <c r="AH239" i="30" s="1"/>
  <c r="AE239" i="30"/>
  <c r="BH223" i="29"/>
  <c r="AK74" i="28"/>
  <c r="AI74" i="28"/>
  <c r="AG74" i="28"/>
  <c r="AE74" i="28"/>
  <c r="F75" i="28" a="1"/>
  <c r="F75" i="28" s="1"/>
  <c r="AJ74" i="28"/>
  <c r="AF74" i="28"/>
  <c r="AH73" i="28"/>
  <c r="AK173" i="28"/>
  <c r="AK180" i="28" s="1"/>
  <c r="F174" i="28" a="1"/>
  <c r="F174" i="28" s="1"/>
  <c r="F175" i="28" s="1" a="1"/>
  <c r="F175" i="28" s="1"/>
  <c r="F176" i="28" s="1" a="1"/>
  <c r="F176" i="28" s="1"/>
  <c r="F177" i="28" s="1" a="1"/>
  <c r="F177" i="28" s="1"/>
  <c r="F178" i="28" s="1" a="1"/>
  <c r="F178" i="28" s="1"/>
  <c r="F179" i="28" s="1" a="1"/>
  <c r="F179" i="28" s="1"/>
  <c r="F180" i="28" s="1" a="1"/>
  <c r="F180" i="28" s="1"/>
  <c r="F181" i="28" s="1" a="1"/>
  <c r="F181" i="28" s="1"/>
  <c r="F182" i="28" s="1" a="1"/>
  <c r="F182" i="28" s="1"/>
  <c r="F183" i="28" s="1" a="1"/>
  <c r="F183" i="28" s="1"/>
  <c r="AL74" i="28" l="1"/>
  <c r="F241" i="30" a="1"/>
  <c r="F241" i="30" s="1"/>
  <c r="BO240" i="30"/>
  <c r="BB240" i="30"/>
  <c r="AZ240" i="30"/>
  <c r="BK240" i="30" s="1"/>
  <c r="AX240" i="30"/>
  <c r="AV240" i="30"/>
  <c r="BG240" i="30" s="1"/>
  <c r="AT240" i="30"/>
  <c r="AR240" i="30"/>
  <c r="AP240" i="30"/>
  <c r="AN240" i="30"/>
  <c r="AL240" i="30"/>
  <c r="AJ240" i="30"/>
  <c r="AF240" i="30"/>
  <c r="BC240" i="30"/>
  <c r="BA240" i="30"/>
  <c r="AY240" i="30"/>
  <c r="AW240" i="30"/>
  <c r="AU240" i="30"/>
  <c r="AS240" i="30"/>
  <c r="AQ240" i="30"/>
  <c r="AO240" i="30"/>
  <c r="AM240" i="30"/>
  <c r="AK240" i="30"/>
  <c r="AI240" i="30"/>
  <c r="AG240" i="30"/>
  <c r="AH240" i="30" s="1"/>
  <c r="AE240" i="30"/>
  <c r="F93" i="29" a="1"/>
  <c r="F93" i="29" s="1"/>
  <c r="BO92" i="29"/>
  <c r="BL79" i="29"/>
  <c r="BH79" i="29"/>
  <c r="F96" i="30" a="1"/>
  <c r="F96" i="30" s="1"/>
  <c r="BO95" i="30"/>
  <c r="BB95" i="30"/>
  <c r="BM95" i="30" s="1"/>
  <c r="AZ95" i="30"/>
  <c r="BK95" i="30" s="1"/>
  <c r="AX95" i="30"/>
  <c r="BI95" i="30" s="1"/>
  <c r="AV95" i="30"/>
  <c r="BG95" i="30" s="1"/>
  <c r="AT95" i="30"/>
  <c r="BE95" i="30" s="1"/>
  <c r="AR95" i="30"/>
  <c r="AP95" i="30"/>
  <c r="AN95" i="30"/>
  <c r="AL95" i="30"/>
  <c r="AJ95" i="30"/>
  <c r="AF95" i="30"/>
  <c r="BC95" i="30"/>
  <c r="BA95" i="30"/>
  <c r="BL95" i="30" s="1"/>
  <c r="AY95" i="30"/>
  <c r="BJ95" i="30" s="1"/>
  <c r="AW95" i="30"/>
  <c r="BH95" i="30" s="1"/>
  <c r="AU95" i="30"/>
  <c r="BF95" i="30" s="1"/>
  <c r="AS95" i="30"/>
  <c r="AQ95" i="30"/>
  <c r="AO95" i="30"/>
  <c r="AM95" i="30"/>
  <c r="AK95" i="30"/>
  <c r="AI95" i="30"/>
  <c r="BD95" i="30" s="1"/>
  <c r="AG95" i="30"/>
  <c r="AH95" i="30" s="1"/>
  <c r="AE95" i="30"/>
  <c r="F184" i="28" a="1"/>
  <c r="F184" i="28" s="1"/>
  <c r="F185" i="28" s="1" a="1"/>
  <c r="F185" i="28" s="1"/>
  <c r="F186" i="28" s="1" a="1"/>
  <c r="F186" i="28" s="1"/>
  <c r="F187" i="28" s="1" a="1"/>
  <c r="F187" i="28" s="1"/>
  <c r="F188" i="28" s="1" a="1"/>
  <c r="F188" i="28" s="1"/>
  <c r="F189" i="28" s="1" a="1"/>
  <c r="F189" i="28" s="1"/>
  <c r="F190" i="28" s="1" a="1"/>
  <c r="F190" i="28" s="1"/>
  <c r="F191" i="28" s="1" a="1"/>
  <c r="F191" i="28" s="1"/>
  <c r="AK183" i="28"/>
  <c r="AI183" i="28"/>
  <c r="AG183" i="28"/>
  <c r="AE183" i="28"/>
  <c r="AJ183" i="28"/>
  <c r="AF183" i="28"/>
  <c r="F76" i="28" a="1"/>
  <c r="F76" i="28" s="1"/>
  <c r="AN75" i="28"/>
  <c r="AK75" i="28"/>
  <c r="AI75" i="28"/>
  <c r="AL75" i="28" s="1"/>
  <c r="AG75" i="28"/>
  <c r="AE75" i="28"/>
  <c r="AJ75" i="28"/>
  <c r="AF75" i="28"/>
  <c r="AH74" i="28"/>
  <c r="BM79" i="29"/>
  <c r="BI79" i="29"/>
  <c r="BE79" i="29"/>
  <c r="AH79" i="29"/>
  <c r="AL180" i="28"/>
  <c r="BC237" i="29"/>
  <c r="BA237" i="29"/>
  <c r="AY237" i="29"/>
  <c r="AW237" i="29"/>
  <c r="AU237" i="29"/>
  <c r="AS237" i="29"/>
  <c r="AQ237" i="29"/>
  <c r="AO237" i="29"/>
  <c r="AM237" i="29"/>
  <c r="AK237" i="29"/>
  <c r="AI237" i="29"/>
  <c r="AG237" i="29"/>
  <c r="AE237" i="29"/>
  <c r="F238" i="29" a="1"/>
  <c r="F238" i="29" s="1"/>
  <c r="BO237" i="29"/>
  <c r="BB237" i="29"/>
  <c r="AZ237" i="29"/>
  <c r="AX237" i="29"/>
  <c r="AV237" i="29"/>
  <c r="AT237" i="29"/>
  <c r="AR237" i="29"/>
  <c r="AP237" i="29"/>
  <c r="AN237" i="29"/>
  <c r="AL237" i="29"/>
  <c r="AJ237" i="29"/>
  <c r="AF237" i="29"/>
  <c r="BK79" i="29"/>
  <c r="BG79" i="29"/>
  <c r="BJ79" i="29"/>
  <c r="BF79" i="29"/>
  <c r="BD79" i="29"/>
  <c r="BG237" i="29" l="1"/>
  <c r="BK237" i="29"/>
  <c r="BD237" i="29"/>
  <c r="BF237" i="29"/>
  <c r="BJ237" i="29"/>
  <c r="AH75" i="28"/>
  <c r="F77" i="28" a="1"/>
  <c r="F77" i="28" s="1"/>
  <c r="AJ76" i="28"/>
  <c r="AF76" i="28"/>
  <c r="AK76" i="28"/>
  <c r="AI76" i="28"/>
  <c r="AL76" i="28" s="1"/>
  <c r="AG76" i="28"/>
  <c r="AH76" i="28" s="1"/>
  <c r="AE76" i="28"/>
  <c r="AF189" i="28"/>
  <c r="AF184" i="28"/>
  <c r="AF186" i="28" s="1"/>
  <c r="AE189" i="28"/>
  <c r="AE184" i="28"/>
  <c r="AE186" i="28" s="1"/>
  <c r="AI189" i="28"/>
  <c r="AI184" i="28"/>
  <c r="AI186" i="28" s="1"/>
  <c r="AJ191" i="28"/>
  <c r="AF191" i="28"/>
  <c r="AF190" i="28" s="1"/>
  <c r="F192" i="28" a="1"/>
  <c r="F192" i="28" s="1"/>
  <c r="F193" i="28" s="1" a="1"/>
  <c r="F193" i="28" s="1"/>
  <c r="F194" i="28" s="1" a="1"/>
  <c r="F194" i="28" s="1"/>
  <c r="F195" i="28" s="1" a="1"/>
  <c r="F195" i="28" s="1"/>
  <c r="F196" i="28" s="1" a="1"/>
  <c r="F196" i="28" s="1"/>
  <c r="F197" i="28" s="1" a="1"/>
  <c r="F197" i="28" s="1"/>
  <c r="F198" i="28" s="1" a="1"/>
  <c r="F198" i="28" s="1"/>
  <c r="AK191" i="28"/>
  <c r="AI191" i="28"/>
  <c r="AG191" i="28"/>
  <c r="AE191" i="28"/>
  <c r="F97" i="30" a="1"/>
  <c r="F97" i="30" s="1"/>
  <c r="BO96" i="30"/>
  <c r="BB96" i="30"/>
  <c r="AZ96" i="30"/>
  <c r="AX96" i="30"/>
  <c r="AV96" i="30"/>
  <c r="AT96" i="30"/>
  <c r="AR96" i="30"/>
  <c r="AP96" i="30"/>
  <c r="AN96" i="30"/>
  <c r="AL96" i="30"/>
  <c r="AJ96" i="30"/>
  <c r="AF96" i="30"/>
  <c r="BC96" i="30"/>
  <c r="BA96" i="30"/>
  <c r="AY96" i="30"/>
  <c r="AW96" i="30"/>
  <c r="AU96" i="30"/>
  <c r="AS96" i="30"/>
  <c r="AQ96" i="30"/>
  <c r="AO96" i="30"/>
  <c r="AM96" i="30"/>
  <c r="AK96" i="30"/>
  <c r="AI96" i="30"/>
  <c r="AG96" i="30"/>
  <c r="AE96" i="30"/>
  <c r="F94" i="29" a="1"/>
  <c r="F94" i="29" s="1"/>
  <c r="BO93" i="29"/>
  <c r="BB93" i="29"/>
  <c r="AZ93" i="29"/>
  <c r="AX93" i="29"/>
  <c r="AV93" i="29"/>
  <c r="AT93" i="29"/>
  <c r="AR93" i="29"/>
  <c r="AP93" i="29"/>
  <c r="AN93" i="29"/>
  <c r="AL93" i="29"/>
  <c r="AJ93" i="29"/>
  <c r="AF93" i="29"/>
  <c r="BC93" i="29"/>
  <c r="BA93" i="29"/>
  <c r="AY93" i="29"/>
  <c r="AW93" i="29"/>
  <c r="AU93" i="29"/>
  <c r="AS93" i="29"/>
  <c r="AQ93" i="29"/>
  <c r="AO93" i="29"/>
  <c r="AM93" i="29"/>
  <c r="AK93" i="29"/>
  <c r="AI93" i="29"/>
  <c r="AG93" i="29"/>
  <c r="AE93" i="29"/>
  <c r="BH240" i="30"/>
  <c r="BL240" i="30"/>
  <c r="BE240" i="30"/>
  <c r="BI240" i="30"/>
  <c r="BM240" i="30"/>
  <c r="F242" i="30" a="1"/>
  <c r="F242" i="30" s="1"/>
  <c r="BO241" i="30"/>
  <c r="BB241" i="30"/>
  <c r="BM241" i="30" s="1"/>
  <c r="AZ241" i="30"/>
  <c r="AX241" i="30"/>
  <c r="BI241" i="30" s="1"/>
  <c r="AV241" i="30"/>
  <c r="AT241" i="30"/>
  <c r="BE241" i="30" s="1"/>
  <c r="AR241" i="30"/>
  <c r="AP241" i="30"/>
  <c r="AN241" i="30"/>
  <c r="AL241" i="30"/>
  <c r="AJ241" i="30"/>
  <c r="AF241" i="30"/>
  <c r="BC241" i="30"/>
  <c r="BA241" i="30"/>
  <c r="BL241" i="30" s="1"/>
  <c r="AY241" i="30"/>
  <c r="BJ241" i="30" s="1"/>
  <c r="AW241" i="30"/>
  <c r="BH241" i="30" s="1"/>
  <c r="AU241" i="30"/>
  <c r="BF241" i="30" s="1"/>
  <c r="AS241" i="30"/>
  <c r="AQ241" i="30"/>
  <c r="AO241" i="30"/>
  <c r="AM241" i="30"/>
  <c r="AK241" i="30"/>
  <c r="AI241" i="30"/>
  <c r="BD241" i="30" s="1"/>
  <c r="AG241" i="30"/>
  <c r="AE241" i="30"/>
  <c r="BE237" i="29"/>
  <c r="BI237" i="29"/>
  <c r="BM237" i="29"/>
  <c r="BC238" i="29"/>
  <c r="BA238" i="29"/>
  <c r="BL238" i="29" s="1"/>
  <c r="AY238" i="29"/>
  <c r="BJ238" i="29" s="1"/>
  <c r="AW238" i="29"/>
  <c r="BH238" i="29" s="1"/>
  <c r="AU238" i="29"/>
  <c r="BF238" i="29" s="1"/>
  <c r="AS238" i="29"/>
  <c r="AQ238" i="29"/>
  <c r="AO238" i="29"/>
  <c r="AM238" i="29"/>
  <c r="AK238" i="29"/>
  <c r="AI238" i="29"/>
  <c r="BD238" i="29" s="1"/>
  <c r="AG238" i="29"/>
  <c r="AE238" i="29"/>
  <c r="F239" i="29" a="1"/>
  <c r="F239" i="29" s="1"/>
  <c r="BO238" i="29"/>
  <c r="BB238" i="29"/>
  <c r="BM238" i="29" s="1"/>
  <c r="AZ238" i="29"/>
  <c r="BK238" i="29" s="1"/>
  <c r="AX238" i="29"/>
  <c r="BI238" i="29" s="1"/>
  <c r="AV238" i="29"/>
  <c r="BG238" i="29" s="1"/>
  <c r="AT238" i="29"/>
  <c r="BE238" i="29" s="1"/>
  <c r="AR238" i="29"/>
  <c r="AP238" i="29"/>
  <c r="AN238" i="29"/>
  <c r="AL238" i="29"/>
  <c r="AJ238" i="29"/>
  <c r="AF238" i="29"/>
  <c r="AH237" i="29"/>
  <c r="BH237" i="29"/>
  <c r="BL237" i="29"/>
  <c r="AJ190" i="28"/>
  <c r="AJ186" i="28"/>
  <c r="AJ184" i="28"/>
  <c r="AG190" i="28"/>
  <c r="AG189" i="28"/>
  <c r="AH189" i="28" s="1"/>
  <c r="AG186" i="28"/>
  <c r="AG184" i="28"/>
  <c r="AH184" i="28" s="1"/>
  <c r="AH183" i="28"/>
  <c r="AK189" i="28"/>
  <c r="AK190" i="28"/>
  <c r="AK184" i="28"/>
  <c r="AK186" i="28" s="1"/>
  <c r="BD240" i="30"/>
  <c r="BF240" i="30"/>
  <c r="BJ240" i="30"/>
  <c r="AH186" i="28" l="1"/>
  <c r="BG241" i="30"/>
  <c r="BK241" i="30"/>
  <c r="BD93" i="29"/>
  <c r="BF93" i="29"/>
  <c r="BJ93" i="29"/>
  <c r="BG93" i="29"/>
  <c r="BK93" i="29"/>
  <c r="BD96" i="30"/>
  <c r="BF96" i="30"/>
  <c r="BJ96" i="30"/>
  <c r="BG96" i="30"/>
  <c r="BK96" i="30"/>
  <c r="AE194" i="28"/>
  <c r="AE192" i="28"/>
  <c r="AE195" i="28"/>
  <c r="AE193" i="28"/>
  <c r="AI194" i="28"/>
  <c r="AI192" i="28"/>
  <c r="AI195" i="28"/>
  <c r="AI193" i="28"/>
  <c r="AJ195" i="28"/>
  <c r="AJ193" i="28"/>
  <c r="AJ194" i="28"/>
  <c r="AJ192" i="28"/>
  <c r="AI190" i="28"/>
  <c r="AL190" i="28" s="1"/>
  <c r="AE190" i="28"/>
  <c r="BC239" i="29"/>
  <c r="BA239" i="29"/>
  <c r="AY239" i="29"/>
  <c r="BJ239" i="29" s="1"/>
  <c r="AW239" i="29"/>
  <c r="AU239" i="29"/>
  <c r="BF239" i="29" s="1"/>
  <c r="AS239" i="29"/>
  <c r="AQ239" i="29"/>
  <c r="AO239" i="29"/>
  <c r="AM239" i="29"/>
  <c r="AK239" i="29"/>
  <c r="AI239" i="29"/>
  <c r="BD239" i="29" s="1"/>
  <c r="AG239" i="29"/>
  <c r="AE239" i="29"/>
  <c r="F240" i="29" a="1"/>
  <c r="F240" i="29" s="1"/>
  <c r="BO239" i="29"/>
  <c r="BB239" i="29"/>
  <c r="BM239" i="29" s="1"/>
  <c r="AZ239" i="29"/>
  <c r="BK239" i="29" s="1"/>
  <c r="AX239" i="29"/>
  <c r="BI239" i="29" s="1"/>
  <c r="AV239" i="29"/>
  <c r="BG239" i="29" s="1"/>
  <c r="AT239" i="29"/>
  <c r="BE239" i="29" s="1"/>
  <c r="AR239" i="29"/>
  <c r="AP239" i="29"/>
  <c r="AN239" i="29"/>
  <c r="AL239" i="29"/>
  <c r="AJ239" i="29"/>
  <c r="AF239" i="29"/>
  <c r="AH238" i="29"/>
  <c r="AH241" i="30"/>
  <c r="F243" i="30" a="1"/>
  <c r="F243" i="30" s="1"/>
  <c r="BO242" i="30"/>
  <c r="BB242" i="30"/>
  <c r="AZ242" i="30"/>
  <c r="BK242" i="30" s="1"/>
  <c r="AX242" i="30"/>
  <c r="BI242" i="30" s="1"/>
  <c r="AV242" i="30"/>
  <c r="BG242" i="30" s="1"/>
  <c r="AT242" i="30"/>
  <c r="BE242" i="30" s="1"/>
  <c r="AR242" i="30"/>
  <c r="AP242" i="30"/>
  <c r="AN242" i="30"/>
  <c r="AL242" i="30"/>
  <c r="AJ242" i="30"/>
  <c r="AF242" i="30"/>
  <c r="BC242" i="30"/>
  <c r="BA242" i="30"/>
  <c r="BL242" i="30" s="1"/>
  <c r="AY242" i="30"/>
  <c r="AW242" i="30"/>
  <c r="BH242" i="30" s="1"/>
  <c r="AU242" i="30"/>
  <c r="AS242" i="30"/>
  <c r="AQ242" i="30"/>
  <c r="AO242" i="30"/>
  <c r="AM242" i="30"/>
  <c r="AK242" i="30"/>
  <c r="AI242" i="30"/>
  <c r="AG242" i="30"/>
  <c r="AH242" i="30" s="1"/>
  <c r="AE242" i="30"/>
  <c r="AH93" i="29"/>
  <c r="BH93" i="29"/>
  <c r="BL93" i="29"/>
  <c r="BE93" i="29"/>
  <c r="BI93" i="29"/>
  <c r="BM93" i="29"/>
  <c r="F95" i="29" a="1"/>
  <c r="F95" i="29" s="1"/>
  <c r="BO94" i="29"/>
  <c r="BB94" i="29"/>
  <c r="BM94" i="29" s="1"/>
  <c r="AZ94" i="29"/>
  <c r="BK94" i="29" s="1"/>
  <c r="AX94" i="29"/>
  <c r="BI94" i="29" s="1"/>
  <c r="AV94" i="29"/>
  <c r="BG94" i="29" s="1"/>
  <c r="AT94" i="29"/>
  <c r="BE94" i="29" s="1"/>
  <c r="AR94" i="29"/>
  <c r="AP94" i="29"/>
  <c r="AN94" i="29"/>
  <c r="AL94" i="29"/>
  <c r="AJ94" i="29"/>
  <c r="AF94" i="29"/>
  <c r="BC94" i="29"/>
  <c r="BA94" i="29"/>
  <c r="BL94" i="29" s="1"/>
  <c r="AY94" i="29"/>
  <c r="BJ94" i="29" s="1"/>
  <c r="AW94" i="29"/>
  <c r="BH94" i="29" s="1"/>
  <c r="AU94" i="29"/>
  <c r="BF94" i="29" s="1"/>
  <c r="AS94" i="29"/>
  <c r="AQ94" i="29"/>
  <c r="AO94" i="29"/>
  <c r="AM94" i="29"/>
  <c r="AK94" i="29"/>
  <c r="AI94" i="29"/>
  <c r="BD94" i="29" s="1"/>
  <c r="AG94" i="29"/>
  <c r="AH94" i="29" s="1"/>
  <c r="AE94" i="29"/>
  <c r="AH96" i="30"/>
  <c r="BH96" i="30"/>
  <c r="BL96" i="30"/>
  <c r="BE96" i="30"/>
  <c r="BI96" i="30"/>
  <c r="BM96" i="30"/>
  <c r="F98" i="30" a="1"/>
  <c r="F98" i="30" s="1"/>
  <c r="BO97" i="30"/>
  <c r="BB97" i="30"/>
  <c r="BM97" i="30" s="1"/>
  <c r="AZ97" i="30"/>
  <c r="BK97" i="30" s="1"/>
  <c r="AX97" i="30"/>
  <c r="BI97" i="30" s="1"/>
  <c r="AV97" i="30"/>
  <c r="BG97" i="30" s="1"/>
  <c r="AT97" i="30"/>
  <c r="BE97" i="30" s="1"/>
  <c r="AR97" i="30"/>
  <c r="AP97" i="30"/>
  <c r="AN97" i="30"/>
  <c r="AL97" i="30"/>
  <c r="AJ97" i="30"/>
  <c r="AF97" i="30"/>
  <c r="BC97" i="30"/>
  <c r="BA97" i="30"/>
  <c r="BL97" i="30" s="1"/>
  <c r="AY97" i="30"/>
  <c r="BJ97" i="30" s="1"/>
  <c r="AW97" i="30"/>
  <c r="BH97" i="30" s="1"/>
  <c r="AU97" i="30"/>
  <c r="BF97" i="30" s="1"/>
  <c r="AS97" i="30"/>
  <c r="AQ97" i="30"/>
  <c r="AO97" i="30"/>
  <c r="AM97" i="30"/>
  <c r="AK97" i="30"/>
  <c r="AI97" i="30"/>
  <c r="BD97" i="30" s="1"/>
  <c r="AG97" i="30"/>
  <c r="AH97" i="30" s="1"/>
  <c r="AE97" i="30"/>
  <c r="AG194" i="28"/>
  <c r="AG192" i="28"/>
  <c r="AH191" i="28"/>
  <c r="AG195" i="28"/>
  <c r="AG193" i="28"/>
  <c r="AK192" i="28"/>
  <c r="AK194" i="28" s="1"/>
  <c r="AK195" i="28"/>
  <c r="AK193" i="28"/>
  <c r="AF195" i="28"/>
  <c r="AF193" i="28"/>
  <c r="AF192" i="28"/>
  <c r="AF194" i="28" s="1"/>
  <c r="AJ77" i="28"/>
  <c r="AF77" i="28"/>
  <c r="F78" i="28" a="1"/>
  <c r="F78" i="28" s="1"/>
  <c r="AN77" i="28"/>
  <c r="AK77" i="28"/>
  <c r="AI77" i="28"/>
  <c r="AG77" i="28"/>
  <c r="AE77" i="28"/>
  <c r="AL77" i="28" l="1"/>
  <c r="AH193" i="28"/>
  <c r="AH194" i="28"/>
  <c r="AH77" i="28"/>
  <c r="F79" i="28" a="1"/>
  <c r="F79" i="28" s="1"/>
  <c r="F80" i="28" s="1" a="1"/>
  <c r="F80" i="28" s="1"/>
  <c r="AN78" i="28"/>
  <c r="AK78" i="28"/>
  <c r="AI78" i="28"/>
  <c r="AL78" i="28" s="1"/>
  <c r="AG78" i="28"/>
  <c r="AE78" i="28"/>
  <c r="AJ78" i="28"/>
  <c r="AF78" i="28"/>
  <c r="AH195" i="28"/>
  <c r="AH192" i="28"/>
  <c r="AH190" i="28" s="1"/>
  <c r="BD242" i="30"/>
  <c r="BF242" i="30"/>
  <c r="BJ242" i="30"/>
  <c r="BC240" i="29"/>
  <c r="BA240" i="29"/>
  <c r="BL240" i="29" s="1"/>
  <c r="AY240" i="29"/>
  <c r="AW240" i="29"/>
  <c r="BH240" i="29" s="1"/>
  <c r="AU240" i="29"/>
  <c r="AS240" i="29"/>
  <c r="AQ240" i="29"/>
  <c r="AO240" i="29"/>
  <c r="AM240" i="29"/>
  <c r="AK240" i="29"/>
  <c r="AI240" i="29"/>
  <c r="AG240" i="29"/>
  <c r="AE240" i="29"/>
  <c r="F241" i="29" a="1"/>
  <c r="F241" i="29" s="1"/>
  <c r="BO240" i="29"/>
  <c r="BB240" i="29"/>
  <c r="AZ240" i="29"/>
  <c r="AX240" i="29"/>
  <c r="AV240" i="29"/>
  <c r="AT240" i="29"/>
  <c r="AR240" i="29"/>
  <c r="AP240" i="29"/>
  <c r="AN240" i="29"/>
  <c r="AL240" i="29"/>
  <c r="AJ240" i="29"/>
  <c r="AF240" i="29"/>
  <c r="AH239" i="29"/>
  <c r="BH239" i="29"/>
  <c r="BL239" i="29"/>
  <c r="F99" i="30" a="1"/>
  <c r="F99" i="30" s="1"/>
  <c r="BO98" i="30"/>
  <c r="BB98" i="30"/>
  <c r="BM98" i="30" s="1"/>
  <c r="AZ98" i="30"/>
  <c r="BK98" i="30" s="1"/>
  <c r="AX98" i="30"/>
  <c r="BI98" i="30" s="1"/>
  <c r="AV98" i="30"/>
  <c r="BG98" i="30" s="1"/>
  <c r="AT98" i="30"/>
  <c r="BE98" i="30" s="1"/>
  <c r="AR98" i="30"/>
  <c r="AP98" i="30"/>
  <c r="AN98" i="30"/>
  <c r="AL98" i="30"/>
  <c r="AJ98" i="30"/>
  <c r="AF98" i="30"/>
  <c r="BC98" i="30"/>
  <c r="BA98" i="30"/>
  <c r="BL98" i="30" s="1"/>
  <c r="AY98" i="30"/>
  <c r="BJ98" i="30" s="1"/>
  <c r="AW98" i="30"/>
  <c r="BH98" i="30" s="1"/>
  <c r="AU98" i="30"/>
  <c r="BF98" i="30" s="1"/>
  <c r="AS98" i="30"/>
  <c r="AQ98" i="30"/>
  <c r="AO98" i="30"/>
  <c r="AM98" i="30"/>
  <c r="AK98" i="30"/>
  <c r="AI98" i="30"/>
  <c r="BD98" i="30" s="1"/>
  <c r="AG98" i="30"/>
  <c r="AH98" i="30" s="1"/>
  <c r="AE98" i="30"/>
  <c r="F96" i="29" a="1"/>
  <c r="F96" i="29" s="1"/>
  <c r="BO95" i="29"/>
  <c r="BB95" i="29"/>
  <c r="BM95" i="29" s="1"/>
  <c r="AZ95" i="29"/>
  <c r="BK95" i="29" s="1"/>
  <c r="AX95" i="29"/>
  <c r="BI95" i="29" s="1"/>
  <c r="AV95" i="29"/>
  <c r="BG95" i="29" s="1"/>
  <c r="AT95" i="29"/>
  <c r="BE95" i="29" s="1"/>
  <c r="AR95" i="29"/>
  <c r="AP95" i="29"/>
  <c r="AN95" i="29"/>
  <c r="AL95" i="29"/>
  <c r="AJ95" i="29"/>
  <c r="AF95" i="29"/>
  <c r="BC95" i="29"/>
  <c r="BA95" i="29"/>
  <c r="BL95" i="29" s="1"/>
  <c r="AY95" i="29"/>
  <c r="BJ95" i="29" s="1"/>
  <c r="AW95" i="29"/>
  <c r="BH95" i="29" s="1"/>
  <c r="AU95" i="29"/>
  <c r="BF95" i="29" s="1"/>
  <c r="AS95" i="29"/>
  <c r="AQ95" i="29"/>
  <c r="AO95" i="29"/>
  <c r="AM95" i="29"/>
  <c r="AK95" i="29"/>
  <c r="AI95" i="29"/>
  <c r="BD95" i="29" s="1"/>
  <c r="AG95" i="29"/>
  <c r="AH95" i="29" s="1"/>
  <c r="AE95" i="29"/>
  <c r="BM242" i="30"/>
  <c r="F244" i="30" a="1"/>
  <c r="F244" i="30" s="1"/>
  <c r="BO243" i="30"/>
  <c r="BB243" i="30"/>
  <c r="BM243" i="30" s="1"/>
  <c r="AZ243" i="30"/>
  <c r="BK243" i="30" s="1"/>
  <c r="AX243" i="30"/>
  <c r="BI243" i="30" s="1"/>
  <c r="AV243" i="30"/>
  <c r="BG243" i="30" s="1"/>
  <c r="AT243" i="30"/>
  <c r="BE243" i="30" s="1"/>
  <c r="AR243" i="30"/>
  <c r="AP243" i="30"/>
  <c r="AN243" i="30"/>
  <c r="AL243" i="30"/>
  <c r="AJ243" i="30"/>
  <c r="AF243" i="30"/>
  <c r="BC243" i="30"/>
  <c r="BA243" i="30"/>
  <c r="BL243" i="30" s="1"/>
  <c r="AY243" i="30"/>
  <c r="BJ243" i="30" s="1"/>
  <c r="AW243" i="30"/>
  <c r="BH243" i="30" s="1"/>
  <c r="AU243" i="30"/>
  <c r="BF243" i="30" s="1"/>
  <c r="AS243" i="30"/>
  <c r="AQ243" i="30"/>
  <c r="AO243" i="30"/>
  <c r="AM243" i="30"/>
  <c r="AK243" i="30"/>
  <c r="AI243" i="30"/>
  <c r="BD243" i="30" s="1"/>
  <c r="AG243" i="30"/>
  <c r="AH243" i="30" s="1"/>
  <c r="AE243" i="30"/>
  <c r="F245" i="30" l="1" a="1"/>
  <c r="F245" i="30" s="1"/>
  <c r="BO244" i="30"/>
  <c r="BB244" i="30"/>
  <c r="AZ244" i="30"/>
  <c r="BK244" i="30" s="1"/>
  <c r="AX244" i="30"/>
  <c r="BI244" i="30" s="1"/>
  <c r="AV244" i="30"/>
  <c r="BG244" i="30" s="1"/>
  <c r="AT244" i="30"/>
  <c r="BE244" i="30" s="1"/>
  <c r="AR244" i="30"/>
  <c r="AP244" i="30"/>
  <c r="AN244" i="30"/>
  <c r="AL244" i="30"/>
  <c r="AJ244" i="30"/>
  <c r="AF244" i="30"/>
  <c r="BC244" i="30"/>
  <c r="BA244" i="30"/>
  <c r="BL244" i="30" s="1"/>
  <c r="AY244" i="30"/>
  <c r="BJ244" i="30" s="1"/>
  <c r="AW244" i="30"/>
  <c r="BH244" i="30" s="1"/>
  <c r="AU244" i="30"/>
  <c r="BF244" i="30" s="1"/>
  <c r="AS244" i="30"/>
  <c r="AQ244" i="30"/>
  <c r="AO244" i="30"/>
  <c r="AM244" i="30"/>
  <c r="AK244" i="30"/>
  <c r="AI244" i="30"/>
  <c r="BD244" i="30" s="1"/>
  <c r="AG244" i="30"/>
  <c r="AH244" i="30" s="1"/>
  <c r="AE244" i="30"/>
  <c r="BE240" i="29"/>
  <c r="BI240" i="29"/>
  <c r="BM240" i="29"/>
  <c r="BC241" i="29"/>
  <c r="BA241" i="29"/>
  <c r="AY241" i="29"/>
  <c r="BJ241" i="29" s="1"/>
  <c r="AW241" i="29"/>
  <c r="AU241" i="29"/>
  <c r="BF241" i="29" s="1"/>
  <c r="AS241" i="29"/>
  <c r="AQ241" i="29"/>
  <c r="AO241" i="29"/>
  <c r="AM241" i="29"/>
  <c r="AK241" i="29"/>
  <c r="AI241" i="29"/>
  <c r="BD241" i="29" s="1"/>
  <c r="AG241" i="29"/>
  <c r="AE241" i="29"/>
  <c r="F242" i="29" a="1"/>
  <c r="F242" i="29" s="1"/>
  <c r="BO241" i="29"/>
  <c r="BB241" i="29"/>
  <c r="BM241" i="29" s="1"/>
  <c r="AZ241" i="29"/>
  <c r="BK241" i="29" s="1"/>
  <c r="AX241" i="29"/>
  <c r="BI241" i="29" s="1"/>
  <c r="AV241" i="29"/>
  <c r="BG241" i="29" s="1"/>
  <c r="AT241" i="29"/>
  <c r="BE241" i="29" s="1"/>
  <c r="AR241" i="29"/>
  <c r="AP241" i="29"/>
  <c r="AN241" i="29"/>
  <c r="AL241" i="29"/>
  <c r="AJ241" i="29"/>
  <c r="AF241" i="29"/>
  <c r="AH240" i="29"/>
  <c r="AH78" i="28"/>
  <c r="AJ80" i="28"/>
  <c r="AF80" i="28"/>
  <c r="F81" i="28" a="1"/>
  <c r="F81" i="28" s="1"/>
  <c r="AN80" i="28"/>
  <c r="AK80" i="28"/>
  <c r="AI80" i="28"/>
  <c r="AG80" i="28"/>
  <c r="AE80" i="28"/>
  <c r="F97" i="29" a="1"/>
  <c r="F97" i="29" s="1"/>
  <c r="BO96" i="29"/>
  <c r="BB96" i="29"/>
  <c r="AZ96" i="29"/>
  <c r="AX96" i="29"/>
  <c r="BI96" i="29" s="1"/>
  <c r="AV96" i="29"/>
  <c r="AT96" i="29"/>
  <c r="AR96" i="29"/>
  <c r="AP96" i="29"/>
  <c r="AN96" i="29"/>
  <c r="AL96" i="29"/>
  <c r="AJ96" i="29"/>
  <c r="AF96" i="29"/>
  <c r="BC96" i="29"/>
  <c r="BA96" i="29"/>
  <c r="BL96" i="29" s="1"/>
  <c r="AY96" i="29"/>
  <c r="BJ96" i="29" s="1"/>
  <c r="AW96" i="29"/>
  <c r="AU96" i="29"/>
  <c r="BF96" i="29" s="1"/>
  <c r="AS96" i="29"/>
  <c r="AQ96" i="29"/>
  <c r="AO96" i="29"/>
  <c r="AM96" i="29"/>
  <c r="AK96" i="29"/>
  <c r="AI96" i="29"/>
  <c r="BD96" i="29" s="1"/>
  <c r="AG96" i="29"/>
  <c r="AH96" i="29" s="1"/>
  <c r="AE96" i="29"/>
  <c r="F100" i="30" a="1"/>
  <c r="F100" i="30" s="1"/>
  <c r="BO99" i="30"/>
  <c r="BB99" i="30"/>
  <c r="BM99" i="30" s="1"/>
  <c r="AZ99" i="30"/>
  <c r="BK99" i="30" s="1"/>
  <c r="AX99" i="30"/>
  <c r="BI99" i="30" s="1"/>
  <c r="AV99" i="30"/>
  <c r="AT99" i="30"/>
  <c r="BE99" i="30" s="1"/>
  <c r="AR99" i="30"/>
  <c r="AP99" i="30"/>
  <c r="AN99" i="30"/>
  <c r="AL99" i="30"/>
  <c r="AJ99" i="30"/>
  <c r="AF99" i="30"/>
  <c r="BC99" i="30"/>
  <c r="BA99" i="30"/>
  <c r="BL99" i="30" s="1"/>
  <c r="AY99" i="30"/>
  <c r="BJ99" i="30" s="1"/>
  <c r="AW99" i="30"/>
  <c r="BH99" i="30" s="1"/>
  <c r="AU99" i="30"/>
  <c r="AS99" i="30"/>
  <c r="AQ99" i="30"/>
  <c r="AO99" i="30"/>
  <c r="AM99" i="30"/>
  <c r="AK99" i="30"/>
  <c r="AI99" i="30"/>
  <c r="BD99" i="30" s="1"/>
  <c r="AG99" i="30"/>
  <c r="AH99" i="30" s="1"/>
  <c r="AE99" i="30"/>
  <c r="BG240" i="29"/>
  <c r="BK240" i="29"/>
  <c r="BD240" i="29"/>
  <c r="BF240" i="29"/>
  <c r="BJ240" i="29"/>
  <c r="F101" i="30" l="1" a="1"/>
  <c r="F101" i="30" s="1"/>
  <c r="BO100" i="30"/>
  <c r="BB100" i="30"/>
  <c r="BM100" i="30" s="1"/>
  <c r="AZ100" i="30"/>
  <c r="BK100" i="30" s="1"/>
  <c r="AX100" i="30"/>
  <c r="BI100" i="30" s="1"/>
  <c r="AV100" i="30"/>
  <c r="BG100" i="30" s="1"/>
  <c r="AT100" i="30"/>
  <c r="BE100" i="30" s="1"/>
  <c r="AR100" i="30"/>
  <c r="AP100" i="30"/>
  <c r="AN100" i="30"/>
  <c r="AL100" i="30"/>
  <c r="AJ100" i="30"/>
  <c r="AF100" i="30"/>
  <c r="BC100" i="30"/>
  <c r="BA100" i="30"/>
  <c r="BL100" i="30" s="1"/>
  <c r="AY100" i="30"/>
  <c r="BJ100" i="30" s="1"/>
  <c r="AW100" i="30"/>
  <c r="BH100" i="30" s="1"/>
  <c r="AU100" i="30"/>
  <c r="BF100" i="30" s="1"/>
  <c r="AS100" i="30"/>
  <c r="AQ100" i="30"/>
  <c r="AO100" i="30"/>
  <c r="AM100" i="30"/>
  <c r="AK100" i="30"/>
  <c r="AI100" i="30"/>
  <c r="BD100" i="30" s="1"/>
  <c r="AG100" i="30"/>
  <c r="AH100" i="30" s="1"/>
  <c r="AE100" i="30"/>
  <c r="BH96" i="29"/>
  <c r="BE96" i="29"/>
  <c r="BM96" i="29"/>
  <c r="F98" i="29" a="1"/>
  <c r="F98" i="29" s="1"/>
  <c r="BO97" i="29"/>
  <c r="BB97" i="29"/>
  <c r="BM97" i="29" s="1"/>
  <c r="AZ97" i="29"/>
  <c r="BK97" i="29" s="1"/>
  <c r="AX97" i="29"/>
  <c r="BI97" i="29" s="1"/>
  <c r="AV97" i="29"/>
  <c r="BG97" i="29" s="1"/>
  <c r="AT97" i="29"/>
  <c r="BE97" i="29" s="1"/>
  <c r="AR97" i="29"/>
  <c r="AP97" i="29"/>
  <c r="AN97" i="29"/>
  <c r="AL97" i="29"/>
  <c r="AJ97" i="29"/>
  <c r="AF97" i="29"/>
  <c r="BC97" i="29"/>
  <c r="BA97" i="29"/>
  <c r="BL97" i="29" s="1"/>
  <c r="AY97" i="29"/>
  <c r="AW97" i="29"/>
  <c r="BH97" i="29" s="1"/>
  <c r="AU97" i="29"/>
  <c r="BF97" i="29" s="1"/>
  <c r="AS97" i="29"/>
  <c r="AQ97" i="29"/>
  <c r="AO97" i="29"/>
  <c r="AM97" i="29"/>
  <c r="AK97" i="29"/>
  <c r="AI97" i="29"/>
  <c r="AG97" i="29"/>
  <c r="AE97" i="29"/>
  <c r="AL80" i="28"/>
  <c r="BM244" i="30"/>
  <c r="F246" i="30" a="1"/>
  <c r="F246" i="30" s="1"/>
  <c r="BO245" i="30"/>
  <c r="BB245" i="30"/>
  <c r="BM245" i="30" s="1"/>
  <c r="AZ245" i="30"/>
  <c r="BK245" i="30" s="1"/>
  <c r="AX245" i="30"/>
  <c r="BI245" i="30" s="1"/>
  <c r="AV245" i="30"/>
  <c r="BG245" i="30" s="1"/>
  <c r="AT245" i="30"/>
  <c r="BE245" i="30" s="1"/>
  <c r="AR245" i="30"/>
  <c r="AP245" i="30"/>
  <c r="AN245" i="30"/>
  <c r="AL245" i="30"/>
  <c r="AJ245" i="30"/>
  <c r="AF245" i="30"/>
  <c r="BC245" i="30"/>
  <c r="BA245" i="30"/>
  <c r="BL245" i="30" s="1"/>
  <c r="AY245" i="30"/>
  <c r="BJ245" i="30" s="1"/>
  <c r="AW245" i="30"/>
  <c r="BH245" i="30" s="1"/>
  <c r="AU245" i="30"/>
  <c r="BF245" i="30" s="1"/>
  <c r="AS245" i="30"/>
  <c r="AQ245" i="30"/>
  <c r="AO245" i="30"/>
  <c r="AM245" i="30"/>
  <c r="AK245" i="30"/>
  <c r="AI245" i="30"/>
  <c r="BD245" i="30" s="1"/>
  <c r="AG245" i="30"/>
  <c r="AH245" i="30" s="1"/>
  <c r="AE245" i="30"/>
  <c r="BF99" i="30"/>
  <c r="BG99" i="30"/>
  <c r="BG96" i="29"/>
  <c r="BK96" i="29"/>
  <c r="AH80" i="28"/>
  <c r="F82" i="28" a="1"/>
  <c r="F82" i="28" s="1"/>
  <c r="F83" i="28" s="1" a="1"/>
  <c r="F83" i="28" s="1"/>
  <c r="F84" i="28" s="1" a="1"/>
  <c r="F84" i="28" s="1"/>
  <c r="F85" i="28" s="1" a="1"/>
  <c r="F85" i="28" s="1"/>
  <c r="AN81" i="28"/>
  <c r="AK81" i="28"/>
  <c r="AK79" i="28" s="1"/>
  <c r="AI81" i="28"/>
  <c r="AL81" i="28" s="1"/>
  <c r="AG81" i="28"/>
  <c r="AE81" i="28"/>
  <c r="AE79" i="28" s="1"/>
  <c r="AE93" i="28" s="1"/>
  <c r="AJ81" i="28"/>
  <c r="AF81" i="28"/>
  <c r="AF79" i="28" s="1"/>
  <c r="AF93" i="28" s="1"/>
  <c r="AJ79" i="28"/>
  <c r="AJ93" i="28" s="1"/>
  <c r="BC242" i="29"/>
  <c r="BA242" i="29"/>
  <c r="BL242" i="29" s="1"/>
  <c r="AY242" i="29"/>
  <c r="AW242" i="29"/>
  <c r="BH242" i="29" s="1"/>
  <c r="AU242" i="29"/>
  <c r="AS242" i="29"/>
  <c r="AQ242" i="29"/>
  <c r="AO242" i="29"/>
  <c r="AM242" i="29"/>
  <c r="AK242" i="29"/>
  <c r="AI242" i="29"/>
  <c r="AG242" i="29"/>
  <c r="AE242" i="29"/>
  <c r="F243" i="29" a="1"/>
  <c r="F243" i="29" s="1"/>
  <c r="BO242" i="29"/>
  <c r="BB242" i="29"/>
  <c r="BM242" i="29" s="1"/>
  <c r="AZ242" i="29"/>
  <c r="AX242" i="29"/>
  <c r="BI242" i="29" s="1"/>
  <c r="AV242" i="29"/>
  <c r="AT242" i="29"/>
  <c r="BE242" i="29" s="1"/>
  <c r="AR242" i="29"/>
  <c r="AP242" i="29"/>
  <c r="AN242" i="29"/>
  <c r="AL242" i="29"/>
  <c r="AJ242" i="29"/>
  <c r="AF242" i="29"/>
  <c r="AH241" i="29"/>
  <c r="BH241" i="29"/>
  <c r="BL241" i="29"/>
  <c r="BC243" i="29" l="1"/>
  <c r="BA243" i="29"/>
  <c r="AY243" i="29"/>
  <c r="BJ243" i="29" s="1"/>
  <c r="AW243" i="29"/>
  <c r="AU243" i="29"/>
  <c r="BF243" i="29" s="1"/>
  <c r="AS243" i="29"/>
  <c r="AQ243" i="29"/>
  <c r="AO243" i="29"/>
  <c r="AM243" i="29"/>
  <c r="AK243" i="29"/>
  <c r="AI243" i="29"/>
  <c r="BD243" i="29" s="1"/>
  <c r="AG243" i="29"/>
  <c r="AE243" i="29"/>
  <c r="F244" i="29" a="1"/>
  <c r="F244" i="29" s="1"/>
  <c r="BO243" i="29"/>
  <c r="BB243" i="29"/>
  <c r="AZ243" i="29"/>
  <c r="BK243" i="29" s="1"/>
  <c r="AX243" i="29"/>
  <c r="AV243" i="29"/>
  <c r="BG243" i="29" s="1"/>
  <c r="AT243" i="29"/>
  <c r="AR243" i="29"/>
  <c r="AP243" i="29"/>
  <c r="AN243" i="29"/>
  <c r="AL243" i="29"/>
  <c r="AJ243" i="29"/>
  <c r="AF243" i="29"/>
  <c r="AH242" i="29"/>
  <c r="AH81" i="28"/>
  <c r="AK85" i="28"/>
  <c r="F86" i="28" a="1"/>
  <c r="F86" i="28" s="1"/>
  <c r="AG79" i="28"/>
  <c r="BD97" i="29"/>
  <c r="BJ97" i="29"/>
  <c r="BG242" i="29"/>
  <c r="BK242" i="29"/>
  <c r="BD242" i="29"/>
  <c r="BF242" i="29"/>
  <c r="BJ242" i="29"/>
  <c r="F247" i="30" a="1"/>
  <c r="F247" i="30" s="1"/>
  <c r="F248" i="30" s="1" a="1"/>
  <c r="F248" i="30" s="1"/>
  <c r="BO246" i="30"/>
  <c r="BB246" i="30"/>
  <c r="AZ246" i="30"/>
  <c r="AX246" i="30"/>
  <c r="AV246" i="30"/>
  <c r="AT246" i="30"/>
  <c r="AR246" i="30"/>
  <c r="AR236" i="30" s="1"/>
  <c r="AP246" i="30"/>
  <c r="AP236" i="30" s="1"/>
  <c r="AN246" i="30"/>
  <c r="AN236" i="30" s="1"/>
  <c r="AL246" i="30"/>
  <c r="AL236" i="30" s="1"/>
  <c r="AJ246" i="30"/>
  <c r="AJ236" i="30" s="1"/>
  <c r="AF246" i="30"/>
  <c r="AF236" i="30" s="1"/>
  <c r="BC246" i="30"/>
  <c r="BC236" i="30" s="1"/>
  <c r="BA246" i="30"/>
  <c r="AY246" i="30"/>
  <c r="AW246" i="30"/>
  <c r="AU246" i="30"/>
  <c r="AS246" i="30"/>
  <c r="AS236" i="30" s="1"/>
  <c r="AQ246" i="30"/>
  <c r="AQ236" i="30" s="1"/>
  <c r="AO246" i="30"/>
  <c r="AO236" i="30" s="1"/>
  <c r="AM246" i="30"/>
  <c r="AM236" i="30" s="1"/>
  <c r="AK246" i="30"/>
  <c r="AK236" i="30" s="1"/>
  <c r="AI246" i="30"/>
  <c r="AG246" i="30"/>
  <c r="AE246" i="30"/>
  <c r="AE236" i="30" s="1"/>
  <c r="AI79" i="28"/>
  <c r="AH97" i="29"/>
  <c r="F99" i="29" a="1"/>
  <c r="F99" i="29" s="1"/>
  <c r="BO98" i="29"/>
  <c r="BB98" i="29"/>
  <c r="BM98" i="29" s="1"/>
  <c r="AZ98" i="29"/>
  <c r="AX98" i="29"/>
  <c r="AV98" i="29"/>
  <c r="AT98" i="29"/>
  <c r="BE98" i="29" s="1"/>
  <c r="AR98" i="29"/>
  <c r="AP98" i="29"/>
  <c r="AN98" i="29"/>
  <c r="AL98" i="29"/>
  <c r="AJ98" i="29"/>
  <c r="AF98" i="29"/>
  <c r="BC98" i="29"/>
  <c r="BA98" i="29"/>
  <c r="AY98" i="29"/>
  <c r="BJ98" i="29" s="1"/>
  <c r="AW98" i="29"/>
  <c r="BH98" i="29" s="1"/>
  <c r="AU98" i="29"/>
  <c r="AS98" i="29"/>
  <c r="AQ98" i="29"/>
  <c r="AO98" i="29"/>
  <c r="AM98" i="29"/>
  <c r="AK98" i="29"/>
  <c r="AI98" i="29"/>
  <c r="BD98" i="29" s="1"/>
  <c r="AG98" i="29"/>
  <c r="AH98" i="29" s="1"/>
  <c r="AE98" i="29"/>
  <c r="F102" i="30" a="1"/>
  <c r="F102" i="30" s="1"/>
  <c r="BO101" i="30"/>
  <c r="BB101" i="30"/>
  <c r="BM101" i="30" s="1"/>
  <c r="AZ101" i="30"/>
  <c r="BK101" i="30" s="1"/>
  <c r="AX101" i="30"/>
  <c r="BI101" i="30" s="1"/>
  <c r="AV101" i="30"/>
  <c r="BG101" i="30" s="1"/>
  <c r="AT101" i="30"/>
  <c r="BE101" i="30" s="1"/>
  <c r="AR101" i="30"/>
  <c r="AP101" i="30"/>
  <c r="AN101" i="30"/>
  <c r="AL101" i="30"/>
  <c r="AJ101" i="30"/>
  <c r="AF101" i="30"/>
  <c r="BC101" i="30"/>
  <c r="BA101" i="30"/>
  <c r="BL101" i="30" s="1"/>
  <c r="AY101" i="30"/>
  <c r="BJ101" i="30" s="1"/>
  <c r="AW101" i="30"/>
  <c r="BH101" i="30" s="1"/>
  <c r="AU101" i="30"/>
  <c r="BF101" i="30" s="1"/>
  <c r="AS101" i="30"/>
  <c r="AQ101" i="30"/>
  <c r="AO101" i="30"/>
  <c r="AM101" i="30"/>
  <c r="AK101" i="30"/>
  <c r="AI101" i="30"/>
  <c r="BD101" i="30" s="1"/>
  <c r="AG101" i="30"/>
  <c r="AH101" i="30" s="1"/>
  <c r="AE101" i="30"/>
  <c r="BF98" i="29" l="1"/>
  <c r="BG98" i="29"/>
  <c r="BK98" i="29"/>
  <c r="AL79" i="28"/>
  <c r="AI93" i="28"/>
  <c r="AL93" i="28" s="1"/>
  <c r="AH246" i="30"/>
  <c r="AG236" i="30"/>
  <c r="BH246" i="30"/>
  <c r="AW236" i="30"/>
  <c r="BL246" i="30"/>
  <c r="BA236" i="30"/>
  <c r="BE246" i="30"/>
  <c r="AT236" i="30"/>
  <c r="BI246" i="30"/>
  <c r="AX236" i="30"/>
  <c r="BM246" i="30"/>
  <c r="BB236" i="30"/>
  <c r="F249" i="30" a="1"/>
  <c r="F249" i="30" s="1"/>
  <c r="F250" i="30" s="1" a="1"/>
  <c r="F250" i="30" s="1"/>
  <c r="BC248" i="30"/>
  <c r="BA248" i="30"/>
  <c r="BL248" i="30" s="1"/>
  <c r="AY248" i="30"/>
  <c r="BJ248" i="30" s="1"/>
  <c r="AW248" i="30"/>
  <c r="BH248" i="30" s="1"/>
  <c r="AU248" i="30"/>
  <c r="BF248" i="30" s="1"/>
  <c r="AS248" i="30"/>
  <c r="AQ248" i="30"/>
  <c r="AO248" i="30"/>
  <c r="AM248" i="30"/>
  <c r="AK248" i="30"/>
  <c r="AI248" i="30"/>
  <c r="BD248" i="30" s="1"/>
  <c r="AG248" i="30"/>
  <c r="AE248" i="30"/>
  <c r="BO248" i="30"/>
  <c r="BB248" i="30"/>
  <c r="BM248" i="30" s="1"/>
  <c r="AZ248" i="30"/>
  <c r="BK248" i="30" s="1"/>
  <c r="AX248" i="30"/>
  <c r="BI248" i="30" s="1"/>
  <c r="AV248" i="30"/>
  <c r="BG248" i="30" s="1"/>
  <c r="AT248" i="30"/>
  <c r="BE248" i="30" s="1"/>
  <c r="AR248" i="30"/>
  <c r="AP248" i="30"/>
  <c r="AN248" i="30"/>
  <c r="AL248" i="30"/>
  <c r="AJ248" i="30"/>
  <c r="AF248" i="30"/>
  <c r="AF222" i="30" s="1"/>
  <c r="AH79" i="28"/>
  <c r="AG93" i="28"/>
  <c r="AH93" i="28" s="1"/>
  <c r="F103" i="30" a="1"/>
  <c r="F103" i="30" s="1"/>
  <c r="F104" i="30" s="1" a="1"/>
  <c r="F104" i="30" s="1"/>
  <c r="BO102" i="30"/>
  <c r="BB102" i="30"/>
  <c r="AZ102" i="30"/>
  <c r="AX102" i="30"/>
  <c r="AV102" i="30"/>
  <c r="AT102" i="30"/>
  <c r="AR102" i="30"/>
  <c r="AR92" i="30" s="1"/>
  <c r="AP102" i="30"/>
  <c r="AP92" i="30" s="1"/>
  <c r="AN102" i="30"/>
  <c r="AN92" i="30" s="1"/>
  <c r="AL102" i="30"/>
  <c r="AL92" i="30" s="1"/>
  <c r="AJ102" i="30"/>
  <c r="AJ92" i="30" s="1"/>
  <c r="AF102" i="30"/>
  <c r="AF92" i="30" s="1"/>
  <c r="BC102" i="30"/>
  <c r="BC92" i="30" s="1"/>
  <c r="BA102" i="30"/>
  <c r="AY102" i="30"/>
  <c r="AW102" i="30"/>
  <c r="AU102" i="30"/>
  <c r="AS102" i="30"/>
  <c r="AS92" i="30" s="1"/>
  <c r="AQ102" i="30"/>
  <c r="AQ92" i="30" s="1"/>
  <c r="AO102" i="30"/>
  <c r="AO92" i="30" s="1"/>
  <c r="AM102" i="30"/>
  <c r="AM92" i="30" s="1"/>
  <c r="AK102" i="30"/>
  <c r="AK92" i="30" s="1"/>
  <c r="AI102" i="30"/>
  <c r="AG102" i="30"/>
  <c r="AE102" i="30"/>
  <c r="AE92" i="30" s="1"/>
  <c r="BL98" i="29"/>
  <c r="BI98" i="29"/>
  <c r="F100" i="29" a="1"/>
  <c r="F100" i="29" s="1"/>
  <c r="BO99" i="29"/>
  <c r="BB99" i="29"/>
  <c r="BM99" i="29" s="1"/>
  <c r="AZ99" i="29"/>
  <c r="BK99" i="29" s="1"/>
  <c r="AX99" i="29"/>
  <c r="BI99" i="29" s="1"/>
  <c r="AV99" i="29"/>
  <c r="BG99" i="29" s="1"/>
  <c r="AT99" i="29"/>
  <c r="BE99" i="29" s="1"/>
  <c r="AR99" i="29"/>
  <c r="AP99" i="29"/>
  <c r="AN99" i="29"/>
  <c r="AL99" i="29"/>
  <c r="AJ99" i="29"/>
  <c r="AF99" i="29"/>
  <c r="BC99" i="29"/>
  <c r="BA99" i="29"/>
  <c r="BL99" i="29" s="1"/>
  <c r="AY99" i="29"/>
  <c r="BJ99" i="29" s="1"/>
  <c r="AW99" i="29"/>
  <c r="BH99" i="29" s="1"/>
  <c r="AU99" i="29"/>
  <c r="BF99" i="29" s="1"/>
  <c r="AS99" i="29"/>
  <c r="AQ99" i="29"/>
  <c r="AO99" i="29"/>
  <c r="AM99" i="29"/>
  <c r="AK99" i="29"/>
  <c r="AI99" i="29"/>
  <c r="BD99" i="29" s="1"/>
  <c r="AG99" i="29"/>
  <c r="AH99" i="29" s="1"/>
  <c r="AE99" i="29"/>
  <c r="AE222" i="30"/>
  <c r="BD246" i="30"/>
  <c r="AI236" i="30"/>
  <c r="BF246" i="30"/>
  <c r="AU236" i="30"/>
  <c r="BJ246" i="30"/>
  <c r="AY236" i="30"/>
  <c r="BG246" i="30"/>
  <c r="AV236" i="30"/>
  <c r="BK246" i="30"/>
  <c r="AZ236" i="30"/>
  <c r="AK86" i="28"/>
  <c r="AK93" i="28" s="1"/>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BE243" i="29"/>
  <c r="BI243" i="29"/>
  <c r="BM243" i="29"/>
  <c r="BC244" i="29"/>
  <c r="BA244" i="29"/>
  <c r="BL244" i="29" s="1"/>
  <c r="AY244" i="29"/>
  <c r="AW244" i="29"/>
  <c r="BH244" i="29" s="1"/>
  <c r="AU244" i="29"/>
  <c r="AS244" i="29"/>
  <c r="AQ244" i="29"/>
  <c r="AO244" i="29"/>
  <c r="AM244" i="29"/>
  <c r="AK244" i="29"/>
  <c r="AI244" i="29"/>
  <c r="AG244" i="29"/>
  <c r="AE244" i="29"/>
  <c r="F245" i="29" a="1"/>
  <c r="F245" i="29" s="1"/>
  <c r="BO244" i="29"/>
  <c r="BB244" i="29"/>
  <c r="BM244" i="29" s="1"/>
  <c r="AZ244" i="29"/>
  <c r="AX244" i="29"/>
  <c r="BI244" i="29" s="1"/>
  <c r="AV244" i="29"/>
  <c r="AT244" i="29"/>
  <c r="BE244" i="29" s="1"/>
  <c r="AR244" i="29"/>
  <c r="AP244" i="29"/>
  <c r="AN244" i="29"/>
  <c r="AL244" i="29"/>
  <c r="AJ244" i="29"/>
  <c r="AF244" i="29"/>
  <c r="AH243" i="29"/>
  <c r="BH243" i="29"/>
  <c r="BL243" i="29"/>
  <c r="AH244" i="29" l="1"/>
  <c r="F97" i="28" a="1"/>
  <c r="F97" i="28" s="1"/>
  <c r="AK96" i="28"/>
  <c r="AI96" i="28"/>
  <c r="AG96" i="28"/>
  <c r="AE96" i="28"/>
  <c r="AJ96" i="28"/>
  <c r="AF96" i="28"/>
  <c r="BK236" i="30"/>
  <c r="BG236" i="30"/>
  <c r="BJ236" i="30"/>
  <c r="BF236" i="30"/>
  <c r="BD236" i="30"/>
  <c r="AI222" i="30"/>
  <c r="F101" i="29" a="1"/>
  <c r="F101" i="29" s="1"/>
  <c r="BO100" i="29"/>
  <c r="BB100" i="29"/>
  <c r="BM100" i="29" s="1"/>
  <c r="AZ100" i="29"/>
  <c r="BK100" i="29" s="1"/>
  <c r="AX100" i="29"/>
  <c r="BI100" i="29" s="1"/>
  <c r="AV100" i="29"/>
  <c r="BG100" i="29" s="1"/>
  <c r="AT100" i="29"/>
  <c r="BE100" i="29" s="1"/>
  <c r="AR100" i="29"/>
  <c r="AP100" i="29"/>
  <c r="AN100" i="29"/>
  <c r="AL100" i="29"/>
  <c r="AJ100" i="29"/>
  <c r="AF100" i="29"/>
  <c r="BC100" i="29"/>
  <c r="BA100" i="29"/>
  <c r="BL100" i="29" s="1"/>
  <c r="AY100" i="29"/>
  <c r="BJ100" i="29" s="1"/>
  <c r="AW100" i="29"/>
  <c r="BH100" i="29" s="1"/>
  <c r="AU100" i="29"/>
  <c r="BF100" i="29" s="1"/>
  <c r="AS100" i="29"/>
  <c r="AQ100" i="29"/>
  <c r="AO100" i="29"/>
  <c r="AM100" i="29"/>
  <c r="AK100" i="29"/>
  <c r="AI100" i="29"/>
  <c r="BD100" i="29" s="1"/>
  <c r="AG100" i="29"/>
  <c r="AH100" i="29" s="1"/>
  <c r="AE100" i="29"/>
  <c r="AH102" i="30"/>
  <c r="AG92" i="30"/>
  <c r="BH102" i="30"/>
  <c r="AW92" i="30"/>
  <c r="BL102" i="30"/>
  <c r="BA92" i="30"/>
  <c r="BE102" i="30"/>
  <c r="AT92" i="30"/>
  <c r="BI102" i="30"/>
  <c r="AX92" i="30"/>
  <c r="BM102" i="30"/>
  <c r="BB92" i="30"/>
  <c r="F105" i="30" a="1"/>
  <c r="F105" i="30" s="1"/>
  <c r="F106" i="30" s="1" a="1"/>
  <c r="F106" i="30" s="1"/>
  <c r="BC104" i="30"/>
  <c r="BA104" i="30"/>
  <c r="BL104" i="30" s="1"/>
  <c r="AY104" i="30"/>
  <c r="BJ104" i="30" s="1"/>
  <c r="AW104" i="30"/>
  <c r="BH104" i="30" s="1"/>
  <c r="AU104" i="30"/>
  <c r="BF104" i="30" s="1"/>
  <c r="AS104" i="30"/>
  <c r="AQ104" i="30"/>
  <c r="AO104" i="30"/>
  <c r="AM104" i="30"/>
  <c r="AK104" i="30"/>
  <c r="AI104" i="30"/>
  <c r="BD104" i="30" s="1"/>
  <c r="AG104" i="30"/>
  <c r="AE104" i="30"/>
  <c r="BO104" i="30"/>
  <c r="BB104" i="30"/>
  <c r="BM104" i="30" s="1"/>
  <c r="AZ104" i="30"/>
  <c r="BK104" i="30" s="1"/>
  <c r="AX104" i="30"/>
  <c r="BI104" i="30" s="1"/>
  <c r="AV104" i="30"/>
  <c r="BG104" i="30" s="1"/>
  <c r="AT104" i="30"/>
  <c r="BE104" i="30" s="1"/>
  <c r="AR104" i="30"/>
  <c r="AP104" i="30"/>
  <c r="AN104" i="30"/>
  <c r="AL104" i="30"/>
  <c r="AJ104" i="30"/>
  <c r="AF104" i="30"/>
  <c r="AF78" i="30" s="1"/>
  <c r="BM236" i="30"/>
  <c r="BI236" i="30"/>
  <c r="BE236" i="30"/>
  <c r="AH236" i="30"/>
  <c r="AG222" i="30"/>
  <c r="BC245" i="29"/>
  <c r="BA245" i="29"/>
  <c r="AY245" i="29"/>
  <c r="BJ245" i="29" s="1"/>
  <c r="AW245" i="29"/>
  <c r="AU245" i="29"/>
  <c r="BF245" i="29" s="1"/>
  <c r="AS245" i="29"/>
  <c r="AQ245" i="29"/>
  <c r="AO245" i="29"/>
  <c r="AM245" i="29"/>
  <c r="AK245" i="29"/>
  <c r="AI245" i="29"/>
  <c r="BD245" i="29" s="1"/>
  <c r="AG245" i="29"/>
  <c r="AE245" i="29"/>
  <c r="F246" i="29" a="1"/>
  <c r="F246" i="29" s="1"/>
  <c r="BO245" i="29"/>
  <c r="BB245" i="29"/>
  <c r="BM245" i="29" s="1"/>
  <c r="AZ245" i="29"/>
  <c r="BK245" i="29" s="1"/>
  <c r="AX245" i="29"/>
  <c r="BI245" i="29" s="1"/>
  <c r="AV245" i="29"/>
  <c r="BG245" i="29" s="1"/>
  <c r="AT245" i="29"/>
  <c r="BE245" i="29" s="1"/>
  <c r="AR245" i="29"/>
  <c r="AP245" i="29"/>
  <c r="AN245" i="29"/>
  <c r="AL245" i="29"/>
  <c r="AJ245" i="29"/>
  <c r="AF245" i="29"/>
  <c r="BG244" i="29"/>
  <c r="BK244" i="29"/>
  <c r="BD244" i="29"/>
  <c r="BF244" i="29"/>
  <c r="BJ244" i="29"/>
  <c r="AE78" i="30"/>
  <c r="BD102" i="30"/>
  <c r="AI92" i="30"/>
  <c r="BF102" i="30"/>
  <c r="AU92" i="30"/>
  <c r="BJ102" i="30"/>
  <c r="AY92" i="30"/>
  <c r="BG102" i="30"/>
  <c r="AV92" i="30"/>
  <c r="BK102" i="30"/>
  <c r="AZ92" i="30"/>
  <c r="AH248" i="30"/>
  <c r="F251" i="30" a="1"/>
  <c r="F251" i="30" s="1"/>
  <c r="BO250" i="30"/>
  <c r="BL236" i="30"/>
  <c r="BH236" i="30"/>
  <c r="BK92" i="30" l="1"/>
  <c r="BG92" i="30"/>
  <c r="BJ92" i="30"/>
  <c r="AH104" i="30"/>
  <c r="F107" i="30" a="1"/>
  <c r="F107" i="30" s="1"/>
  <c r="BO106" i="30"/>
  <c r="BL92" i="30"/>
  <c r="BH92" i="30"/>
  <c r="F102" i="29" a="1"/>
  <c r="F102" i="29" s="1"/>
  <c r="BO101" i="29"/>
  <c r="BB101" i="29"/>
  <c r="BM101" i="29" s="1"/>
  <c r="AZ101" i="29"/>
  <c r="BK101" i="29" s="1"/>
  <c r="AX101" i="29"/>
  <c r="BI101" i="29" s="1"/>
  <c r="AV101" i="29"/>
  <c r="BG101" i="29" s="1"/>
  <c r="AT101" i="29"/>
  <c r="BE101" i="29" s="1"/>
  <c r="AR101" i="29"/>
  <c r="AP101" i="29"/>
  <c r="AN101" i="29"/>
  <c r="AL101" i="29"/>
  <c r="AJ101" i="29"/>
  <c r="AF101" i="29"/>
  <c r="BC101" i="29"/>
  <c r="BA101" i="29"/>
  <c r="BL101" i="29" s="1"/>
  <c r="AY101" i="29"/>
  <c r="BJ101" i="29" s="1"/>
  <c r="AW101" i="29"/>
  <c r="BH101" i="29" s="1"/>
  <c r="AU101" i="29"/>
  <c r="BF101" i="29" s="1"/>
  <c r="AS101" i="29"/>
  <c r="AQ101" i="29"/>
  <c r="AO101" i="29"/>
  <c r="AM101" i="29"/>
  <c r="AK101" i="29"/>
  <c r="AI101" i="29"/>
  <c r="BD101" i="29" s="1"/>
  <c r="AG101" i="29"/>
  <c r="AH101" i="29" s="1"/>
  <c r="AE101" i="29"/>
  <c r="AF102" i="28"/>
  <c r="AF99" i="28"/>
  <c r="AF100" i="28" s="1"/>
  <c r="AF97" i="28"/>
  <c r="AF103" i="28"/>
  <c r="AE103" i="28"/>
  <c r="AE102" i="28"/>
  <c r="AE97" i="28"/>
  <c r="AE99" i="28" s="1"/>
  <c r="AE100" i="28" s="1"/>
  <c r="AI103" i="28"/>
  <c r="AL103" i="28" s="1"/>
  <c r="AI102" i="28"/>
  <c r="AI97" i="28"/>
  <c r="AI99" i="28" s="1"/>
  <c r="AI100" i="28" s="1"/>
  <c r="F98" i="28" a="1"/>
  <c r="F98" i="28" s="1"/>
  <c r="F99" i="28" s="1" a="1"/>
  <c r="F99" i="28" s="1"/>
  <c r="F100" i="28" s="1" a="1"/>
  <c r="F100" i="28" s="1"/>
  <c r="F101" i="28" s="1" a="1"/>
  <c r="F101" i="28" s="1"/>
  <c r="F102" i="28" s="1" a="1"/>
  <c r="F102" i="28" s="1"/>
  <c r="F103" i="28" s="1" a="1"/>
  <c r="F103" i="28" s="1"/>
  <c r="F104" i="28" s="1" a="1"/>
  <c r="F104" i="28" s="1"/>
  <c r="BB251" i="30"/>
  <c r="AZ251" i="30"/>
  <c r="AX251" i="30"/>
  <c r="AV251" i="30"/>
  <c r="AT251" i="30"/>
  <c r="AR251" i="30"/>
  <c r="AR222" i="30" s="1"/>
  <c r="AP251" i="30"/>
  <c r="AP222" i="30" s="1"/>
  <c r="AN251" i="30"/>
  <c r="AN222" i="30" s="1"/>
  <c r="AL251" i="30"/>
  <c r="AL222" i="30" s="1"/>
  <c r="AJ251" i="30"/>
  <c r="AJ222" i="30" s="1"/>
  <c r="F252" i="30" a="1"/>
  <c r="F252" i="30" s="1"/>
  <c r="F253" i="30" s="1" a="1"/>
  <c r="F253" i="30" s="1"/>
  <c r="F254" i="30" s="1" a="1"/>
  <c r="F254" i="30" s="1"/>
  <c r="F255" i="30" s="1" a="1"/>
  <c r="F255" i="30" s="1"/>
  <c r="F256" i="30" s="1" a="1"/>
  <c r="F256" i="30" s="1"/>
  <c r="F257" i="30" s="1" a="1"/>
  <c r="F257" i="30" s="1"/>
  <c r="F258" i="30" s="1" a="1"/>
  <c r="F258" i="30" s="1"/>
  <c r="BC251" i="30"/>
  <c r="BC222" i="30" s="1"/>
  <c r="BA251" i="30"/>
  <c r="AY251" i="30"/>
  <c r="AW251" i="30"/>
  <c r="AU251" i="30"/>
  <c r="AS251" i="30"/>
  <c r="AS222" i="30" s="1"/>
  <c r="AQ251" i="30"/>
  <c r="AQ222" i="30" s="1"/>
  <c r="AO251" i="30"/>
  <c r="AO222" i="30" s="1"/>
  <c r="AM251" i="30"/>
  <c r="AM222" i="30" s="1"/>
  <c r="AK251" i="30"/>
  <c r="AK222" i="30" s="1"/>
  <c r="BF92" i="30"/>
  <c r="BD92" i="30"/>
  <c r="AI78" i="30"/>
  <c r="BC246" i="29"/>
  <c r="BC236" i="29" s="1"/>
  <c r="BA246" i="29"/>
  <c r="BL246" i="29" s="1"/>
  <c r="AY246" i="29"/>
  <c r="AW246" i="29"/>
  <c r="BH246" i="29" s="1"/>
  <c r="AU246" i="29"/>
  <c r="AS246" i="29"/>
  <c r="AS236" i="29" s="1"/>
  <c r="AQ246" i="29"/>
  <c r="AQ236" i="29" s="1"/>
  <c r="AO246" i="29"/>
  <c r="AO236" i="29" s="1"/>
  <c r="AM246" i="29"/>
  <c r="AM236" i="29" s="1"/>
  <c r="AK246" i="29"/>
  <c r="AK236" i="29" s="1"/>
  <c r="AI246" i="29"/>
  <c r="AG246" i="29"/>
  <c r="AE246" i="29"/>
  <c r="AE236" i="29" s="1"/>
  <c r="F247" i="29" a="1"/>
  <c r="F247" i="29" s="1"/>
  <c r="F248" i="29" s="1" a="1"/>
  <c r="F248" i="29" s="1"/>
  <c r="BO246" i="29"/>
  <c r="BB246" i="29"/>
  <c r="AZ246" i="29"/>
  <c r="AX246" i="29"/>
  <c r="AV246" i="29"/>
  <c r="AT246" i="29"/>
  <c r="AR246" i="29"/>
  <c r="AR236" i="29" s="1"/>
  <c r="AP246" i="29"/>
  <c r="AP236" i="29" s="1"/>
  <c r="AN246" i="29"/>
  <c r="AN236" i="29" s="1"/>
  <c r="AL246" i="29"/>
  <c r="AL236" i="29" s="1"/>
  <c r="AJ246" i="29"/>
  <c r="AJ236" i="29" s="1"/>
  <c r="AF246" i="29"/>
  <c r="AF236" i="29" s="1"/>
  <c r="AH245" i="29"/>
  <c r="AG236" i="29"/>
  <c r="BH245" i="29"/>
  <c r="AW236" i="29"/>
  <c r="BL245" i="29"/>
  <c r="BA236" i="29"/>
  <c r="AH222" i="30"/>
  <c r="BM92" i="30"/>
  <c r="BI92" i="30"/>
  <c r="BE92" i="30"/>
  <c r="AH92" i="30"/>
  <c r="AG78" i="30"/>
  <c r="AJ102" i="28"/>
  <c r="AJ97" i="28"/>
  <c r="AJ99" i="28" s="1"/>
  <c r="AJ100" i="28" s="1"/>
  <c r="AJ103" i="28"/>
  <c r="AG103" i="28"/>
  <c r="AG102" i="28"/>
  <c r="AH102" i="28" s="1"/>
  <c r="AG99" i="28"/>
  <c r="AG97" i="28"/>
  <c r="AH97" i="28" s="1"/>
  <c r="AH96" i="28"/>
  <c r="AK103" i="28"/>
  <c r="AK102" i="28"/>
  <c r="AK97" i="28"/>
  <c r="AK99" i="28" s="1"/>
  <c r="AK100" i="28" s="1"/>
  <c r="AH78" i="30" l="1"/>
  <c r="BL236" i="29"/>
  <c r="BH236" i="29"/>
  <c r="AH236" i="29"/>
  <c r="BE246" i="29"/>
  <c r="AT236" i="29"/>
  <c r="BI246" i="29"/>
  <c r="AX236" i="29"/>
  <c r="BM246" i="29"/>
  <c r="BB236" i="29"/>
  <c r="BO248" i="29"/>
  <c r="BB248" i="29"/>
  <c r="BM248" i="29" s="1"/>
  <c r="AZ248" i="29"/>
  <c r="BK248" i="29" s="1"/>
  <c r="AX248" i="29"/>
  <c r="BI248" i="29" s="1"/>
  <c r="AV248" i="29"/>
  <c r="BG248" i="29" s="1"/>
  <c r="AT248" i="29"/>
  <c r="BE248" i="29" s="1"/>
  <c r="AR248" i="29"/>
  <c r="AP248" i="29"/>
  <c r="AN248" i="29"/>
  <c r="AL248" i="29"/>
  <c r="AJ248" i="29"/>
  <c r="AF248" i="29"/>
  <c r="F249" i="29" a="1"/>
  <c r="F249" i="29" s="1"/>
  <c r="F250" i="29" s="1" a="1"/>
  <c r="F250" i="29" s="1"/>
  <c r="BC248" i="29"/>
  <c r="BA248" i="29"/>
  <c r="BL248" i="29" s="1"/>
  <c r="AY248" i="29"/>
  <c r="BJ248" i="29" s="1"/>
  <c r="AW248" i="29"/>
  <c r="BH248" i="29" s="1"/>
  <c r="AU248" i="29"/>
  <c r="BF248" i="29" s="1"/>
  <c r="AS248" i="29"/>
  <c r="AQ248" i="29"/>
  <c r="AO248" i="29"/>
  <c r="AM248" i="29"/>
  <c r="AK248" i="29"/>
  <c r="AI248" i="29"/>
  <c r="BD248" i="29" s="1"/>
  <c r="AG248" i="29"/>
  <c r="AH248" i="29" s="1"/>
  <c r="AE248" i="29"/>
  <c r="AH246" i="29"/>
  <c r="BD78" i="30"/>
  <c r="BH251" i="30"/>
  <c r="AW222" i="30"/>
  <c r="BL251" i="30"/>
  <c r="BA222" i="30"/>
  <c r="F259" i="30" a="1"/>
  <c r="F259" i="30" s="1"/>
  <c r="BC258" i="30"/>
  <c r="BA258" i="30"/>
  <c r="BL258" i="30" s="1"/>
  <c r="AY258" i="30"/>
  <c r="BJ258" i="30" s="1"/>
  <c r="AW258" i="30"/>
  <c r="BH258" i="30" s="1"/>
  <c r="AU258" i="30"/>
  <c r="BF258" i="30" s="1"/>
  <c r="AS258" i="30"/>
  <c r="AQ258" i="30"/>
  <c r="AO258" i="30"/>
  <c r="AM258" i="30"/>
  <c r="AK258" i="30"/>
  <c r="AI258" i="30"/>
  <c r="AG258" i="30"/>
  <c r="AE258" i="30"/>
  <c r="BO258" i="30"/>
  <c r="BB258" i="30"/>
  <c r="BM258" i="30" s="1"/>
  <c r="AZ258" i="30"/>
  <c r="BK258" i="30" s="1"/>
  <c r="AX258" i="30"/>
  <c r="BI258" i="30" s="1"/>
  <c r="AV258" i="30"/>
  <c r="BG258" i="30" s="1"/>
  <c r="AT258" i="30"/>
  <c r="BE258" i="30" s="1"/>
  <c r="AR258" i="30"/>
  <c r="AP258" i="30"/>
  <c r="AN258" i="30"/>
  <c r="AL258" i="30"/>
  <c r="AJ258" i="30"/>
  <c r="AF258" i="30"/>
  <c r="BE251" i="30"/>
  <c r="AT222" i="30"/>
  <c r="BI251" i="30"/>
  <c r="AX222" i="30"/>
  <c r="BM251" i="30"/>
  <c r="BB222" i="30"/>
  <c r="AG100" i="28"/>
  <c r="AH100" i="28" s="1"/>
  <c r="AH99" i="28"/>
  <c r="BG246" i="29"/>
  <c r="AV236" i="29"/>
  <c r="BK246" i="29"/>
  <c r="AZ236" i="29"/>
  <c r="BD246" i="29"/>
  <c r="AI236" i="29"/>
  <c r="BF246" i="29"/>
  <c r="AU236" i="29"/>
  <c r="BJ246" i="29"/>
  <c r="AY236" i="29"/>
  <c r="BF251" i="30"/>
  <c r="AU222" i="30"/>
  <c r="BJ251" i="30"/>
  <c r="AY222" i="30"/>
  <c r="BG251" i="30"/>
  <c r="AV222" i="30"/>
  <c r="BK251" i="30"/>
  <c r="AZ222" i="30"/>
  <c r="F105" i="28" a="1"/>
  <c r="F105" i="28" s="1"/>
  <c r="F106" i="28" s="1" a="1"/>
  <c r="F106" i="28" s="1"/>
  <c r="F107" i="28" s="1" a="1"/>
  <c r="F107" i="28" s="1"/>
  <c r="F108" i="28" s="1" a="1"/>
  <c r="F108" i="28" s="1"/>
  <c r="F109" i="28" s="1" a="1"/>
  <c r="F109" i="28" s="1"/>
  <c r="F110" i="28" s="1" a="1"/>
  <c r="F110" i="28" s="1"/>
  <c r="F111" i="28" s="1" a="1"/>
  <c r="F111" i="28" s="1"/>
  <c r="AK104" i="28"/>
  <c r="AI104" i="28"/>
  <c r="AG104" i="28"/>
  <c r="AE104" i="28"/>
  <c r="AJ104" i="28"/>
  <c r="AF104" i="28"/>
  <c r="F103" i="29" a="1"/>
  <c r="F103" i="29" s="1"/>
  <c r="F104" i="29" s="1" a="1"/>
  <c r="F104" i="29" s="1"/>
  <c r="BO102" i="29"/>
  <c r="BB102" i="29"/>
  <c r="AZ102" i="29"/>
  <c r="AX102" i="29"/>
  <c r="AV102" i="29"/>
  <c r="AT102" i="29"/>
  <c r="AR102" i="29"/>
  <c r="AR92" i="29" s="1"/>
  <c r="AP102" i="29"/>
  <c r="AP92" i="29" s="1"/>
  <c r="AN102" i="29"/>
  <c r="AN92" i="29" s="1"/>
  <c r="AL102" i="29"/>
  <c r="AL92" i="29" s="1"/>
  <c r="AJ102" i="29"/>
  <c r="AJ92" i="29" s="1"/>
  <c r="AF102" i="29"/>
  <c r="AF92" i="29" s="1"/>
  <c r="BC102" i="29"/>
  <c r="BC92" i="29" s="1"/>
  <c r="BA102" i="29"/>
  <c r="AY102" i="29"/>
  <c r="AW102" i="29"/>
  <c r="AU102" i="29"/>
  <c r="AS102" i="29"/>
  <c r="AS92" i="29" s="1"/>
  <c r="AQ102" i="29"/>
  <c r="AQ92" i="29" s="1"/>
  <c r="AO102" i="29"/>
  <c r="AO92" i="29" s="1"/>
  <c r="AM102" i="29"/>
  <c r="AM92" i="29" s="1"/>
  <c r="AK102" i="29"/>
  <c r="AK92" i="29" s="1"/>
  <c r="AI102" i="29"/>
  <c r="AG102" i="29"/>
  <c r="AE102" i="29"/>
  <c r="AE92" i="29" s="1"/>
  <c r="BB107" i="30"/>
  <c r="AZ107" i="30"/>
  <c r="AX107" i="30"/>
  <c r="AV107" i="30"/>
  <c r="AT107" i="30"/>
  <c r="AR107" i="30"/>
  <c r="AR78" i="30" s="1"/>
  <c r="AP107" i="30"/>
  <c r="AP78" i="30" s="1"/>
  <c r="AN107" i="30"/>
  <c r="AN78" i="30" s="1"/>
  <c r="AL107" i="30"/>
  <c r="AL78" i="30" s="1"/>
  <c r="AJ107" i="30"/>
  <c r="AJ78" i="30" s="1"/>
  <c r="F108" i="30" a="1"/>
  <c r="F108" i="30" s="1"/>
  <c r="F109" i="30" s="1" a="1"/>
  <c r="F109" i="30" s="1"/>
  <c r="F110" i="30" s="1" a="1"/>
  <c r="F110" i="30" s="1"/>
  <c r="F111" i="30" s="1" a="1"/>
  <c r="F111" i="30" s="1"/>
  <c r="F112" i="30" s="1" a="1"/>
  <c r="F112" i="30" s="1"/>
  <c r="F113" i="30" s="1" a="1"/>
  <c r="F113" i="30" s="1"/>
  <c r="F114" i="30" s="1" a="1"/>
  <c r="F114" i="30" s="1"/>
  <c r="BC107" i="30"/>
  <c r="BC78" i="30" s="1"/>
  <c r="BA107" i="30"/>
  <c r="AY107" i="30"/>
  <c r="AW107" i="30"/>
  <c r="AU107" i="30"/>
  <c r="AS107" i="30"/>
  <c r="AS78" i="30" s="1"/>
  <c r="AQ107" i="30"/>
  <c r="AQ78" i="30" s="1"/>
  <c r="AO107" i="30"/>
  <c r="AO78" i="30" s="1"/>
  <c r="AM107" i="30"/>
  <c r="AM78" i="30" s="1"/>
  <c r="AK107" i="30"/>
  <c r="AK78" i="30" s="1"/>
  <c r="BF107" i="30" l="1"/>
  <c r="AU78" i="30"/>
  <c r="BJ107" i="30"/>
  <c r="AY78" i="30"/>
  <c r="BG107" i="30"/>
  <c r="AV78" i="30"/>
  <c r="BK107" i="30"/>
  <c r="AZ78" i="30"/>
  <c r="BD102" i="29"/>
  <c r="AI92" i="29"/>
  <c r="BF102" i="29"/>
  <c r="AU92" i="29"/>
  <c r="BJ102" i="29"/>
  <c r="AY92" i="29"/>
  <c r="BG102" i="29"/>
  <c r="AV92" i="29"/>
  <c r="BK102" i="29"/>
  <c r="AZ92" i="29"/>
  <c r="AF107" i="28"/>
  <c r="AF105" i="28"/>
  <c r="AF108" i="28"/>
  <c r="AF106" i="28"/>
  <c r="AE108" i="28"/>
  <c r="AE106" i="28"/>
  <c r="AE107" i="28"/>
  <c r="AE105" i="28"/>
  <c r="AI108" i="28"/>
  <c r="AI106" i="28"/>
  <c r="AI107" i="28"/>
  <c r="AI105" i="28"/>
  <c r="AT78" i="27"/>
  <c r="AT80" i="27" s="1"/>
  <c r="AK117" i="27"/>
  <c r="AK115" i="27" s="1"/>
  <c r="AM117" i="27"/>
  <c r="AG111" i="27"/>
  <c r="AT123" i="27"/>
  <c r="AT121" i="27" s="1"/>
  <c r="AH91" i="27"/>
  <c r="BB91" i="27"/>
  <c r="AZ34" i="27"/>
  <c r="AZ36" i="27" s="1"/>
  <c r="AZ137" i="27"/>
  <c r="AE78" i="27"/>
  <c r="AE80" i="27" s="1"/>
  <c r="AS78" i="27"/>
  <c r="BF117" i="27"/>
  <c r="BF115" i="27" s="1"/>
  <c r="AY105" i="27"/>
  <c r="BB105" i="27"/>
  <c r="AG95" i="27"/>
  <c r="AW93" i="27"/>
  <c r="BC94" i="27"/>
  <c r="AS91" i="27"/>
  <c r="BE90" i="27"/>
  <c r="AT137" i="27"/>
  <c r="AK134" i="27"/>
  <c r="AJ78" i="27"/>
  <c r="AY117" i="27"/>
  <c r="BC105" i="27"/>
  <c r="BC103" i="27" s="1"/>
  <c r="AM97" i="27"/>
  <c r="AJ94" i="27"/>
  <c r="BF90" i="27"/>
  <c r="AH137" i="27"/>
  <c r="AV134" i="27"/>
  <c r="BC78" i="27"/>
  <c r="BC80" i="27" s="1"/>
  <c r="AZ123" i="27"/>
  <c r="AZ121" i="27" s="1"/>
  <c r="AM111" i="27"/>
  <c r="BE111" i="27"/>
  <c r="AH97" i="27"/>
  <c r="BF97" i="27"/>
  <c r="AV94" i="27"/>
  <c r="AN91" i="27"/>
  <c r="AS34" i="27"/>
  <c r="AZ91" i="27"/>
  <c r="AM91" i="27"/>
  <c r="AO91" i="27" s="1"/>
  <c r="AE137" i="27"/>
  <c r="AH135" i="27"/>
  <c r="BF134" i="27"/>
  <c r="BC117" i="27"/>
  <c r="BC115" i="27" s="1"/>
  <c r="AE111" i="27"/>
  <c r="AE109" i="27" s="1"/>
  <c r="AJ95" i="27"/>
  <c r="AN94" i="27"/>
  <c r="AQ97" i="27"/>
  <c r="AP94" i="27"/>
  <c r="AT90" i="27"/>
  <c r="AE90" i="27"/>
  <c r="AP135" i="27"/>
  <c r="BB134" i="27"/>
  <c r="AN117" i="27"/>
  <c r="AN115" i="27" s="1"/>
  <c r="BF111" i="27"/>
  <c r="BF109" i="27" s="1"/>
  <c r="AT105" i="27"/>
  <c r="AT103" i="27" s="1"/>
  <c r="AQ105" i="27"/>
  <c r="AQ103" i="27" s="1"/>
  <c r="AS97" i="27"/>
  <c r="BF95" i="27"/>
  <c r="AD94" i="27"/>
  <c r="AE93" i="27"/>
  <c r="BF34" i="27"/>
  <c r="BF36" i="27" s="1"/>
  <c r="BB137" i="27"/>
  <c r="AM135" i="27"/>
  <c r="AZ117" i="27"/>
  <c r="AZ115" i="27" s="1"/>
  <c r="AZ105" i="27"/>
  <c r="AZ103" i="27" s="1"/>
  <c r="AW105" i="27"/>
  <c r="AW103" i="27" s="1"/>
  <c r="BB94" i="27"/>
  <c r="AH94" i="27"/>
  <c r="AD34" i="27"/>
  <c r="AP137" i="27"/>
  <c r="AN78" i="27"/>
  <c r="AN80" i="27" s="1"/>
  <c r="AQ117" i="27"/>
  <c r="AQ115" i="27" s="1"/>
  <c r="AT111" i="27"/>
  <c r="AT109" i="27" s="1"/>
  <c r="BE123" i="27"/>
  <c r="AZ97" i="27"/>
  <c r="AS94" i="27"/>
  <c r="AV91" i="27"/>
  <c r="AG90" i="27"/>
  <c r="AN90" i="27"/>
  <c r="AN92" i="27" s="1"/>
  <c r="BC134" i="27"/>
  <c r="BF94" i="27"/>
  <c r="BF96" i="27" s="1"/>
  <c r="AJ34" i="27"/>
  <c r="AZ78" i="27"/>
  <c r="AZ80" i="27" s="1"/>
  <c r="BE78" i="27"/>
  <c r="AJ117" i="27"/>
  <c r="AQ123" i="27"/>
  <c r="AQ121" i="27" s="1"/>
  <c r="AS111" i="27"/>
  <c r="AG105" i="27"/>
  <c r="AG93" i="27"/>
  <c r="AD93" i="27"/>
  <c r="AF93" i="27" s="1"/>
  <c r="BE34" i="27"/>
  <c r="AT34" i="27"/>
  <c r="AT36" i="27" s="1"/>
  <c r="AG137" i="27"/>
  <c r="AI137" i="27" s="1"/>
  <c r="AZ135" i="27"/>
  <c r="AS117" i="27"/>
  <c r="AH123" i="27"/>
  <c r="AH121" i="27" s="1"/>
  <c r="BE94" i="27"/>
  <c r="AD90" i="27"/>
  <c r="AY137" i="27"/>
  <c r="BA137" i="27" s="1"/>
  <c r="AY135" i="27"/>
  <c r="BA135" i="27" s="1"/>
  <c r="BB123" i="27"/>
  <c r="AN105" i="27"/>
  <c r="AN103" i="27" s="1"/>
  <c r="AY97" i="27"/>
  <c r="BA97" i="27" s="1"/>
  <c r="AD97" i="27"/>
  <c r="AE97" i="27"/>
  <c r="AJ90" i="27"/>
  <c r="BC137" i="27"/>
  <c r="BE134" i="27"/>
  <c r="AG78" i="27"/>
  <c r="AY123" i="27"/>
  <c r="AK123" i="27"/>
  <c r="AK121" i="27" s="1"/>
  <c r="AT95" i="27"/>
  <c r="AZ93" i="27"/>
  <c r="AQ93" i="27"/>
  <c r="AJ91" i="27"/>
  <c r="AK34" i="27"/>
  <c r="AK36" i="27" s="1"/>
  <c r="BB90" i="27"/>
  <c r="AZ90" i="27"/>
  <c r="AZ92" i="27" s="1"/>
  <c r="AJ135" i="27"/>
  <c r="AG134" i="27"/>
  <c r="AP134" i="27"/>
  <c r="AV117" i="27"/>
  <c r="AD117" i="27"/>
  <c r="AK111" i="27"/>
  <c r="AK109" i="27" s="1"/>
  <c r="AV105" i="27"/>
  <c r="AP105" i="27"/>
  <c r="AP95" i="27"/>
  <c r="BC97" i="27"/>
  <c r="AG91" i="27"/>
  <c r="AI91" i="27" s="1"/>
  <c r="AM134" i="27"/>
  <c r="AT135" i="27"/>
  <c r="BB78" i="27"/>
  <c r="AG123" i="27"/>
  <c r="AN111" i="27"/>
  <c r="AN109" i="27" s="1"/>
  <c r="BF123" i="27"/>
  <c r="BF121" i="27" s="1"/>
  <c r="AN95" i="27"/>
  <c r="AP97" i="27"/>
  <c r="AR97" i="27" s="1"/>
  <c r="AS137" i="27"/>
  <c r="AU137" i="27" s="1"/>
  <c r="AE135" i="27"/>
  <c r="BB117" i="27"/>
  <c r="BC123" i="27"/>
  <c r="BC121" i="27" s="1"/>
  <c r="AZ95" i="27"/>
  <c r="AV97" i="27"/>
  <c r="AK93" i="27"/>
  <c r="AW34" i="27"/>
  <c r="AW36" i="27" s="1"/>
  <c r="AD137" i="27"/>
  <c r="AF137" i="27" s="1"/>
  <c r="AW134" i="27"/>
  <c r="AM123" i="27"/>
  <c r="AS105" i="27"/>
  <c r="BC91" i="27"/>
  <c r="AE34" i="27"/>
  <c r="AE36" i="27" s="1"/>
  <c r="AQ90" i="27"/>
  <c r="AM81" i="27"/>
  <c r="AO81" i="27" s="1"/>
  <c r="BE81" i="27"/>
  <c r="BG81" i="27" s="1"/>
  <c r="AM37" i="27"/>
  <c r="AO37" i="27" s="1"/>
  <c r="AP81" i="27"/>
  <c r="AR81" i="27" s="1"/>
  <c r="AP37" i="27"/>
  <c r="AR37" i="27" s="1"/>
  <c r="AD81" i="27"/>
  <c r="AF81" i="27" s="1"/>
  <c r="AS81" i="27"/>
  <c r="AU81" i="27" s="1"/>
  <c r="AJ37" i="27"/>
  <c r="AL37" i="27" s="1"/>
  <c r="BE37" i="27"/>
  <c r="BG37" i="27" s="1"/>
  <c r="BB37" i="27"/>
  <c r="BD37" i="27" s="1"/>
  <c r="AZ37" i="27"/>
  <c r="BC81" i="27"/>
  <c r="BC37" i="27"/>
  <c r="AT81" i="27"/>
  <c r="AW37" i="27"/>
  <c r="AH37" i="27"/>
  <c r="BF81" i="27"/>
  <c r="AD135" i="27"/>
  <c r="AF135" i="27" s="1"/>
  <c r="AG135" i="27"/>
  <c r="AI135" i="27" s="1"/>
  <c r="AK78" i="27"/>
  <c r="AK80" i="27" s="1"/>
  <c r="AG117" i="27"/>
  <c r="BB111" i="27"/>
  <c r="AK105" i="27"/>
  <c r="AK103" i="27" s="1"/>
  <c r="AM95" i="27"/>
  <c r="AO95" i="27" s="1"/>
  <c r="AG97" i="27"/>
  <c r="AI97" i="27" s="1"/>
  <c r="AD91" i="27"/>
  <c r="BB34" i="27"/>
  <c r="AP90" i="27"/>
  <c r="AZ134" i="27"/>
  <c r="AZ136" i="27" s="1"/>
  <c r="AQ78" i="27"/>
  <c r="AQ80" i="27" s="1"/>
  <c r="AD78" i="27"/>
  <c r="AM78" i="27"/>
  <c r="AH111" i="27"/>
  <c r="AH109" i="27" s="1"/>
  <c r="AD105" i="27"/>
  <c r="AS95" i="27"/>
  <c r="AU95" i="27" s="1"/>
  <c r="AK97" i="27"/>
  <c r="AV93" i="27"/>
  <c r="AX93" i="27" s="1"/>
  <c r="BE137" i="27"/>
  <c r="AJ134" i="27"/>
  <c r="AW135" i="27"/>
  <c r="AP123" i="27"/>
  <c r="AV111" i="27"/>
  <c r="AE105" i="27"/>
  <c r="AE103" i="27" s="1"/>
  <c r="AK95" i="27"/>
  <c r="AE94" i="27"/>
  <c r="AH90" i="27"/>
  <c r="AH92" i="27" s="1"/>
  <c r="AV90" i="27"/>
  <c r="AQ137" i="27"/>
  <c r="AQ134" i="27"/>
  <c r="AW111" i="27"/>
  <c r="AW109" i="27" s="1"/>
  <c r="BE95" i="27"/>
  <c r="BG95" i="27" s="1"/>
  <c r="AT93" i="27"/>
  <c r="AQ94" i="27"/>
  <c r="AQ91" i="27"/>
  <c r="AW90" i="27"/>
  <c r="AJ137" i="27"/>
  <c r="AD134" i="27"/>
  <c r="AY78" i="27"/>
  <c r="AJ123" i="27"/>
  <c r="AM105" i="27"/>
  <c r="BF93" i="27"/>
  <c r="AK94" i="27"/>
  <c r="AK96" i="27" s="1"/>
  <c r="AM94" i="27"/>
  <c r="AY90" i="27"/>
  <c r="AH134" i="27"/>
  <c r="AH136" i="27" s="1"/>
  <c r="AV123" i="27"/>
  <c r="BE105" i="27"/>
  <c r="AN97" i="27"/>
  <c r="BC93" i="27"/>
  <c r="BF91" i="27"/>
  <c r="AP34" i="27"/>
  <c r="AN137" i="27"/>
  <c r="BF78" i="27"/>
  <c r="BF80" i="27" s="1"/>
  <c r="AE134" i="27"/>
  <c r="AE136" i="27" s="1"/>
  <c r="AY95" i="27"/>
  <c r="BA95" i="27" s="1"/>
  <c r="AE95" i="27"/>
  <c r="AJ93" i="27"/>
  <c r="AL93" i="27" s="1"/>
  <c r="AW94" i="27"/>
  <c r="AW91" i="27"/>
  <c r="AH34" i="27"/>
  <c r="AH36" i="27" s="1"/>
  <c r="AK137" i="27"/>
  <c r="AN135" i="27"/>
  <c r="AK135" i="27"/>
  <c r="AT117" i="27"/>
  <c r="AT115" i="27" s="1"/>
  <c r="AN123" i="27"/>
  <c r="AN121" i="27" s="1"/>
  <c r="AJ105" i="27"/>
  <c r="BE97" i="27"/>
  <c r="BG97" i="27" s="1"/>
  <c r="BB95" i="27"/>
  <c r="AZ94" i="27"/>
  <c r="AZ96" i="27" s="1"/>
  <c r="AY94" i="27"/>
  <c r="AM90" i="27"/>
  <c r="BC90" i="27"/>
  <c r="BC92" i="27" s="1"/>
  <c r="AN34" i="27"/>
  <c r="AN36" i="27" s="1"/>
  <c r="AQ34" i="27"/>
  <c r="AQ36" i="27" s="1"/>
  <c r="AH78" i="27"/>
  <c r="AH80" i="27" s="1"/>
  <c r="AH117" i="27"/>
  <c r="AH115" i="27" s="1"/>
  <c r="AS134" i="27"/>
  <c r="BC135" i="27"/>
  <c r="AP78" i="27"/>
  <c r="AW123" i="27"/>
  <c r="AW121" i="27" s="1"/>
  <c r="AG94" i="27"/>
  <c r="AM93" i="27"/>
  <c r="BB93" i="27"/>
  <c r="BD93" i="27" s="1"/>
  <c r="AV34" i="27"/>
  <c r="AS135" i="27"/>
  <c r="AU135" i="27" s="1"/>
  <c r="AQ135" i="27"/>
  <c r="AS123" i="27"/>
  <c r="AQ95" i="27"/>
  <c r="AV95" i="27"/>
  <c r="AE91" i="27"/>
  <c r="BF137" i="27"/>
  <c r="AY134" i="27"/>
  <c r="BB135" i="27"/>
  <c r="BD135" i="27" s="1"/>
  <c r="AE123" i="27"/>
  <c r="AE121" i="27" s="1"/>
  <c r="AD111" i="27"/>
  <c r="BC111" i="27"/>
  <c r="BC109" i="27" s="1"/>
  <c r="AJ97" i="27"/>
  <c r="AL97" i="27" s="1"/>
  <c r="AY91" i="27"/>
  <c r="BA91" i="27" s="1"/>
  <c r="AY34" i="27"/>
  <c r="AM137" i="27"/>
  <c r="AO137" i="27" s="1"/>
  <c r="BF135" i="27"/>
  <c r="AW78" i="27"/>
  <c r="AW80" i="27" s="1"/>
  <c r="AP111" i="27"/>
  <c r="BF105" i="27"/>
  <c r="BF103" i="27" s="1"/>
  <c r="AH95" i="27"/>
  <c r="BE93" i="27"/>
  <c r="BG93" i="27" s="1"/>
  <c r="AT91" i="27"/>
  <c r="AM34" i="27"/>
  <c r="AT94" i="27"/>
  <c r="AT96" i="27" s="1"/>
  <c r="AK90" i="27"/>
  <c r="AV137" i="27"/>
  <c r="BE135" i="27"/>
  <c r="BG135" i="27" s="1"/>
  <c r="AE117" i="27"/>
  <c r="AE115" i="27" s="1"/>
  <c r="AW117" i="27"/>
  <c r="AW115" i="27" s="1"/>
  <c r="AZ111" i="27"/>
  <c r="AZ109" i="27" s="1"/>
  <c r="AW95" i="27"/>
  <c r="AS93" i="27"/>
  <c r="AU93" i="27" s="1"/>
  <c r="AK91" i="27"/>
  <c r="BC34" i="27"/>
  <c r="BC36" i="27" s="1"/>
  <c r="AV135" i="27"/>
  <c r="AX135" i="27" s="1"/>
  <c r="AD123" i="27"/>
  <c r="AH105" i="27"/>
  <c r="AH103" i="27" s="1"/>
  <c r="BB97" i="27"/>
  <c r="BD97" i="27" s="1"/>
  <c r="AN93" i="27"/>
  <c r="BE91" i="27"/>
  <c r="BG91" i="27" s="1"/>
  <c r="AG34" i="27"/>
  <c r="AT134" i="27"/>
  <c r="AT136" i="27" s="1"/>
  <c r="AN134" i="27"/>
  <c r="AN136" i="27" s="1"/>
  <c r="BE117" i="27"/>
  <c r="AJ111" i="27"/>
  <c r="AY111" i="27"/>
  <c r="AD95" i="27"/>
  <c r="AF95" i="27" s="1"/>
  <c r="AT97" i="27"/>
  <c r="AW97" i="27"/>
  <c r="AP93" i="27"/>
  <c r="AR93" i="27" s="1"/>
  <c r="AP91" i="27"/>
  <c r="AR91" i="27" s="1"/>
  <c r="AW137" i="27"/>
  <c r="AV78" i="27"/>
  <c r="AP117" i="27"/>
  <c r="AQ111" i="27"/>
  <c r="AQ109" i="27" s="1"/>
  <c r="BC95" i="27"/>
  <c r="AH93" i="27"/>
  <c r="AY93" i="27"/>
  <c r="BA93" i="27" s="1"/>
  <c r="AS90" i="27"/>
  <c r="BB81" i="27"/>
  <c r="BD81" i="27" s="1"/>
  <c r="AV81" i="27"/>
  <c r="AX81" i="27" s="1"/>
  <c r="AS37" i="27"/>
  <c r="AU37" i="27" s="1"/>
  <c r="AG37" i="27"/>
  <c r="AI37" i="27" s="1"/>
  <c r="AY37" i="27"/>
  <c r="BA37" i="27" s="1"/>
  <c r="AJ81" i="27"/>
  <c r="AL81" i="27" s="1"/>
  <c r="AG81" i="27"/>
  <c r="AI81" i="27" s="1"/>
  <c r="AV37" i="27"/>
  <c r="AX37" i="27" s="1"/>
  <c r="AD37" i="27"/>
  <c r="AF37" i="27" s="1"/>
  <c r="AY81" i="27"/>
  <c r="BA81" i="27" s="1"/>
  <c r="AQ37" i="27"/>
  <c r="AE81" i="27"/>
  <c r="AK37" i="27"/>
  <c r="AN81" i="27"/>
  <c r="AW81" i="27"/>
  <c r="AN37" i="27"/>
  <c r="BF37" i="27"/>
  <c r="AT37" i="27"/>
  <c r="AQ81" i="27"/>
  <c r="AH81" i="27"/>
  <c r="AK81" i="27"/>
  <c r="AZ81" i="27"/>
  <c r="AE37" i="27"/>
  <c r="BJ236" i="29"/>
  <c r="BF236" i="29"/>
  <c r="BD236" i="29"/>
  <c r="BM222" i="30"/>
  <c r="BI222" i="30"/>
  <c r="BE222" i="30"/>
  <c r="BD222" i="30"/>
  <c r="BD258" i="30"/>
  <c r="BL222" i="30"/>
  <c r="BH222" i="30"/>
  <c r="AT250" i="29"/>
  <c r="AI250" i="29"/>
  <c r="AG250" i="29"/>
  <c r="AE250" i="29"/>
  <c r="AE249" i="29" s="1" a="1"/>
  <c r="AE249" i="29" s="1"/>
  <c r="AE222" i="29" s="1"/>
  <c r="F251" i="29" a="1"/>
  <c r="F251" i="29" s="1"/>
  <c r="BO250" i="29"/>
  <c r="AJ250" i="29"/>
  <c r="AJ249" i="29" s="1" a="1"/>
  <c r="AJ249" i="29" s="1"/>
  <c r="AF250" i="29"/>
  <c r="AF249" i="29" s="1" a="1"/>
  <c r="AF249" i="29" s="1"/>
  <c r="AF222" i="29" s="1"/>
  <c r="BH107" i="30"/>
  <c r="AW78" i="30"/>
  <c r="BL107" i="30"/>
  <c r="BA78" i="30"/>
  <c r="F115" i="30" a="1"/>
  <c r="F115" i="30" s="1"/>
  <c r="BC114" i="30"/>
  <c r="BA114" i="30"/>
  <c r="BL114" i="30" s="1"/>
  <c r="AY114" i="30"/>
  <c r="BJ114" i="30" s="1"/>
  <c r="AW114" i="30"/>
  <c r="BH114" i="30" s="1"/>
  <c r="AU114" i="30"/>
  <c r="BF114" i="30" s="1"/>
  <c r="AS114" i="30"/>
  <c r="AQ114" i="30"/>
  <c r="AO114" i="30"/>
  <c r="AM114" i="30"/>
  <c r="AK114" i="30"/>
  <c r="AI114" i="30"/>
  <c r="AG114" i="30"/>
  <c r="AE114" i="30"/>
  <c r="BO114" i="30"/>
  <c r="BB114" i="30"/>
  <c r="BM114" i="30" s="1"/>
  <c r="AZ114" i="30"/>
  <c r="BK114" i="30" s="1"/>
  <c r="AX114" i="30"/>
  <c r="BI114" i="30" s="1"/>
  <c r="AV114" i="30"/>
  <c r="BG114" i="30" s="1"/>
  <c r="AT114" i="30"/>
  <c r="BE114" i="30" s="1"/>
  <c r="AR114" i="30"/>
  <c r="AP114" i="30"/>
  <c r="AN114" i="30"/>
  <c r="AL114" i="30"/>
  <c r="AJ114" i="30"/>
  <c r="AF114" i="30"/>
  <c r="BE107" i="30"/>
  <c r="AT78" i="30"/>
  <c r="BI107" i="30"/>
  <c r="AX78" i="30"/>
  <c r="BM107" i="30"/>
  <c r="BB78" i="30"/>
  <c r="AH102" i="29"/>
  <c r="AG92" i="29"/>
  <c r="BH102" i="29"/>
  <c r="AW92" i="29"/>
  <c r="BL102" i="29"/>
  <c r="BA92" i="29"/>
  <c r="BE102" i="29"/>
  <c r="AT92" i="29"/>
  <c r="BI102" i="29"/>
  <c r="AX92" i="29"/>
  <c r="BM102" i="29"/>
  <c r="BB92" i="29"/>
  <c r="F105" i="29" a="1"/>
  <c r="F105" i="29" s="1"/>
  <c r="F106" i="29" s="1" a="1"/>
  <c r="F106" i="29" s="1"/>
  <c r="BC104" i="29"/>
  <c r="BA104" i="29"/>
  <c r="BL104" i="29" s="1"/>
  <c r="AY104" i="29"/>
  <c r="BJ104" i="29" s="1"/>
  <c r="AW104" i="29"/>
  <c r="BH104" i="29" s="1"/>
  <c r="AU104" i="29"/>
  <c r="BF104" i="29" s="1"/>
  <c r="AS104" i="29"/>
  <c r="AQ104" i="29"/>
  <c r="AO104" i="29"/>
  <c r="AM104" i="29"/>
  <c r="AK104" i="29"/>
  <c r="AI104" i="29"/>
  <c r="BD104" i="29" s="1"/>
  <c r="AG104" i="29"/>
  <c r="AH104" i="29" s="1"/>
  <c r="AE104" i="29"/>
  <c r="BO104" i="29"/>
  <c r="BB104" i="29"/>
  <c r="BM104" i="29" s="1"/>
  <c r="AZ104" i="29"/>
  <c r="BK104" i="29" s="1"/>
  <c r="AX104" i="29"/>
  <c r="BI104" i="29" s="1"/>
  <c r="AV104" i="29"/>
  <c r="BG104" i="29" s="1"/>
  <c r="AT104" i="29"/>
  <c r="BE104" i="29" s="1"/>
  <c r="AR104" i="29"/>
  <c r="AP104" i="29"/>
  <c r="AN104" i="29"/>
  <c r="AL104" i="29"/>
  <c r="AJ104" i="29"/>
  <c r="AF104" i="29"/>
  <c r="AJ107" i="28"/>
  <c r="AG67" i="27" s="1"/>
  <c r="AJ105" i="28"/>
  <c r="AM61" i="27" s="1"/>
  <c r="AJ108" i="28"/>
  <c r="AJ106" i="28"/>
  <c r="BE38" i="27" s="1"/>
  <c r="AG108" i="28"/>
  <c r="AH108" i="28" s="1"/>
  <c r="AG106" i="28"/>
  <c r="AH106" i="28" s="1"/>
  <c r="AG107" i="28"/>
  <c r="AH107" i="28" s="1"/>
  <c r="AG105" i="28"/>
  <c r="AH105" i="28" s="1"/>
  <c r="AH104" i="28"/>
  <c r="AK108" i="28"/>
  <c r="AT39" i="27" s="1"/>
  <c r="AK106" i="28"/>
  <c r="AT38" i="27" s="1"/>
  <c r="AT40" i="27" s="1"/>
  <c r="AK105" i="28"/>
  <c r="AH61" i="27" s="1"/>
  <c r="AH59" i="27" s="1"/>
  <c r="BK222" i="30"/>
  <c r="BG222" i="30"/>
  <c r="BJ222" i="30"/>
  <c r="BF222" i="30"/>
  <c r="BK236" i="29"/>
  <c r="BG236" i="29"/>
  <c r="AH258" i="30"/>
  <c r="F260" i="30" a="1"/>
  <c r="F260" i="30" s="1"/>
  <c r="BO259" i="30"/>
  <c r="BB259" i="30"/>
  <c r="BM259" i="30" s="1"/>
  <c r="AZ259" i="30"/>
  <c r="BK259" i="30" s="1"/>
  <c r="AX259" i="30"/>
  <c r="BI259" i="30" s="1"/>
  <c r="AV259" i="30"/>
  <c r="BG259" i="30" s="1"/>
  <c r="AT259" i="30"/>
  <c r="BE259" i="30" s="1"/>
  <c r="AR259" i="30"/>
  <c r="AP259" i="30"/>
  <c r="AN259" i="30"/>
  <c r="AL259" i="30"/>
  <c r="AJ259" i="30"/>
  <c r="AF259" i="30"/>
  <c r="BC259" i="30"/>
  <c r="BA259" i="30"/>
  <c r="BL259" i="30" s="1"/>
  <c r="AY259" i="30"/>
  <c r="BJ259" i="30" s="1"/>
  <c r="AW259" i="30"/>
  <c r="BH259" i="30" s="1"/>
  <c r="AU259" i="30"/>
  <c r="BF259" i="30" s="1"/>
  <c r="AS259" i="30"/>
  <c r="AQ259" i="30"/>
  <c r="AO259" i="30"/>
  <c r="AM259" i="30"/>
  <c r="AK259" i="30"/>
  <c r="AI259" i="30"/>
  <c r="BD259" i="30" s="1"/>
  <c r="AG259" i="30"/>
  <c r="AH259" i="30" s="1"/>
  <c r="AE259" i="30"/>
  <c r="BM236" i="29"/>
  <c r="BI236" i="29"/>
  <c r="BE236" i="29"/>
  <c r="BE40" i="27" l="1"/>
  <c r="BG38" i="27"/>
  <c r="AO61" i="27"/>
  <c r="AM59" i="27"/>
  <c r="AO59" i="27" s="1"/>
  <c r="AI67" i="27"/>
  <c r="AG65" i="27"/>
  <c r="AI65" i="27" s="1"/>
  <c r="AG79" i="27"/>
  <c r="AI79" i="27" s="1"/>
  <c r="AV79" i="27"/>
  <c r="AX79" i="27" s="1"/>
  <c r="AP49" i="27"/>
  <c r="AS55" i="27"/>
  <c r="AD55" i="27"/>
  <c r="AG35" i="27"/>
  <c r="AI35" i="27" s="1"/>
  <c r="AM79" i="27"/>
  <c r="AO79" i="27" s="1"/>
  <c r="AY35" i="27"/>
  <c r="BA35" i="27" s="1"/>
  <c r="AV41" i="27"/>
  <c r="AX41" i="27" s="1"/>
  <c r="AY49" i="27"/>
  <c r="AJ79" i="27"/>
  <c r="AL79" i="27" s="1"/>
  <c r="AJ49" i="27"/>
  <c r="AP41" i="27"/>
  <c r="AR41" i="27" s="1"/>
  <c r="BE55" i="27"/>
  <c r="AS35" i="27"/>
  <c r="AU35" i="27" s="1"/>
  <c r="AG49" i="27"/>
  <c r="AG55" i="27"/>
  <c r="AP79" i="27"/>
  <c r="AR79" i="27" s="1"/>
  <c r="AS41" i="27"/>
  <c r="AU41" i="27" s="1"/>
  <c r="AV35" i="27"/>
  <c r="AX35" i="27" s="1"/>
  <c r="AY55" i="27"/>
  <c r="AJ55" i="27"/>
  <c r="BE35" i="27"/>
  <c r="BG35" i="27" s="1"/>
  <c r="BB41" i="27"/>
  <c r="BD41" i="27" s="1"/>
  <c r="BB55" i="27"/>
  <c r="AY41" i="27"/>
  <c r="BA41" i="27" s="1"/>
  <c r="BB49" i="27"/>
  <c r="AM35" i="27"/>
  <c r="AO35" i="27" s="1"/>
  <c r="AM55" i="27"/>
  <c r="AD49" i="27"/>
  <c r="AD41" i="27"/>
  <c r="AF41" i="27" s="1"/>
  <c r="AD79" i="27"/>
  <c r="AF79" i="27" s="1"/>
  <c r="BB79" i="27"/>
  <c r="BD79" i="27" s="1"/>
  <c r="AV49" i="27"/>
  <c r="AJ41" i="27"/>
  <c r="AL41" i="27" s="1"/>
  <c r="AV55" i="27"/>
  <c r="BE49" i="27"/>
  <c r="AJ35" i="27"/>
  <c r="AL35" i="27" s="1"/>
  <c r="BE41" i="27"/>
  <c r="BG41" i="27" s="1"/>
  <c r="BB35" i="27"/>
  <c r="BD35" i="27" s="1"/>
  <c r="AS79" i="27"/>
  <c r="AU79" i="27" s="1"/>
  <c r="AG41" i="27"/>
  <c r="AI41" i="27" s="1"/>
  <c r="AM41" i="27"/>
  <c r="AO41" i="27" s="1"/>
  <c r="AP35" i="27"/>
  <c r="AR35" i="27" s="1"/>
  <c r="BE79" i="27"/>
  <c r="BG79" i="27" s="1"/>
  <c r="AP55" i="27"/>
  <c r="AM49" i="27"/>
  <c r="AS49" i="27"/>
  <c r="AY79" i="27"/>
  <c r="BA79" i="27" s="1"/>
  <c r="AD35" i="27"/>
  <c r="AF35" i="27" s="1"/>
  <c r="AH114" i="30"/>
  <c r="F116" i="30" a="1"/>
  <c r="F116" i="30" s="1"/>
  <c r="BO115" i="30"/>
  <c r="BB115" i="30"/>
  <c r="BM115" i="30" s="1"/>
  <c r="AZ115" i="30"/>
  <c r="BK115" i="30" s="1"/>
  <c r="AX115" i="30"/>
  <c r="BI115" i="30" s="1"/>
  <c r="AV115" i="30"/>
  <c r="BG115" i="30" s="1"/>
  <c r="AT115" i="30"/>
  <c r="BE115" i="30" s="1"/>
  <c r="AR115" i="30"/>
  <c r="AP115" i="30"/>
  <c r="AN115" i="30"/>
  <c r="AL115" i="30"/>
  <c r="AJ115" i="30"/>
  <c r="AF115" i="30"/>
  <c r="BC115" i="30"/>
  <c r="BA115" i="30"/>
  <c r="BL115" i="30" s="1"/>
  <c r="AY115" i="30"/>
  <c r="BJ115" i="30" s="1"/>
  <c r="AW115" i="30"/>
  <c r="BH115" i="30" s="1"/>
  <c r="AU115" i="30"/>
  <c r="BF115" i="30" s="1"/>
  <c r="AS115" i="30"/>
  <c r="AQ115" i="30"/>
  <c r="AO115" i="30"/>
  <c r="AM115" i="30"/>
  <c r="AK115" i="30"/>
  <c r="AI115" i="30"/>
  <c r="BD115" i="30" s="1"/>
  <c r="AG115" i="30"/>
  <c r="AH115" i="30" s="1"/>
  <c r="AE115" i="30"/>
  <c r="AI249" i="29" a="1"/>
  <c r="AI249" i="29" s="1"/>
  <c r="BD250" i="29"/>
  <c r="AU90" i="27"/>
  <c r="AS92" i="27"/>
  <c r="AV80" i="27"/>
  <c r="AX78" i="27"/>
  <c r="AQ39" i="27"/>
  <c r="BA111" i="27"/>
  <c r="AY109" i="27"/>
  <c r="BA109" i="27" s="1"/>
  <c r="BG117" i="27"/>
  <c r="BE115" i="27"/>
  <c r="BG115" i="27" s="1"/>
  <c r="AG36" i="27"/>
  <c r="AI34" i="27"/>
  <c r="BF61" i="27"/>
  <c r="BF59" i="27" s="1"/>
  <c r="AK39" i="27"/>
  <c r="AK92" i="27"/>
  <c r="AM36" i="27"/>
  <c r="AO34" i="27"/>
  <c r="AH38" i="27"/>
  <c r="AH40" i="27" s="1"/>
  <c r="AW61" i="27"/>
  <c r="AW59" i="27" s="1"/>
  <c r="AQ38" i="27"/>
  <c r="AQ40" i="27" s="1"/>
  <c r="AF111" i="27"/>
  <c r="AD109" i="27"/>
  <c r="AF109" i="27" s="1"/>
  <c r="BA134" i="27"/>
  <c r="AY136" i="27"/>
  <c r="BB38" i="27"/>
  <c r="AP61" i="27"/>
  <c r="AV36" i="27"/>
  <c r="AX34" i="27"/>
  <c r="AO93" i="27"/>
  <c r="BC61" i="27"/>
  <c r="BC59" i="27" s="1"/>
  <c r="AP80" i="27"/>
  <c r="AR78" i="27"/>
  <c r="AU134" i="27"/>
  <c r="AS136" i="27"/>
  <c r="BA94" i="27"/>
  <c r="AY96" i="27"/>
  <c r="AW96" i="27"/>
  <c r="AD61" i="27"/>
  <c r="AP38" i="27"/>
  <c r="BG105" i="27"/>
  <c r="BE103" i="27"/>
  <c r="BG103" i="27" s="1"/>
  <c r="AT61" i="27"/>
  <c r="AT59" i="27" s="1"/>
  <c r="AO94" i="27"/>
  <c r="AM96" i="27"/>
  <c r="AO105" i="27"/>
  <c r="AM103" i="27"/>
  <c r="AO103" i="27" s="1"/>
  <c r="AL123" i="27"/>
  <c r="AJ121" i="27"/>
  <c r="AL121" i="27" s="1"/>
  <c r="AD136" i="27"/>
  <c r="AF134" i="27"/>
  <c r="AW92" i="27"/>
  <c r="AQ96" i="27"/>
  <c r="AH39" i="27"/>
  <c r="AG61" i="27"/>
  <c r="AQ136" i="27"/>
  <c r="AV92" i="27"/>
  <c r="AX90" i="27"/>
  <c r="AE96" i="27"/>
  <c r="AX111" i="27"/>
  <c r="AV109" i="27"/>
  <c r="AX109" i="27" s="1"/>
  <c r="AJ136" i="27"/>
  <c r="AL134" i="27"/>
  <c r="AJ39" i="27"/>
  <c r="AL39" i="27" s="1"/>
  <c r="AF105" i="27"/>
  <c r="AD103" i="27"/>
  <c r="AF103" i="27" s="1"/>
  <c r="AM80" i="27"/>
  <c r="AO78" i="27"/>
  <c r="AD80" i="27"/>
  <c r="AF78" i="27"/>
  <c r="BB36" i="27"/>
  <c r="BD34" i="27"/>
  <c r="AW39" i="27"/>
  <c r="AI117" i="27"/>
  <c r="AG115" i="27"/>
  <c r="AI115" i="27" s="1"/>
  <c r="AQ92" i="27"/>
  <c r="AU105" i="27"/>
  <c r="AS103" i="27"/>
  <c r="AU103" i="27" s="1"/>
  <c r="AW136" i="27"/>
  <c r="AX97" i="27"/>
  <c r="BD117" i="27"/>
  <c r="BB115" i="27"/>
  <c r="BD115" i="27" s="1"/>
  <c r="AJ38" i="27"/>
  <c r="BB80" i="27"/>
  <c r="BD78" i="27"/>
  <c r="AY39" i="27"/>
  <c r="BA39" i="27" s="1"/>
  <c r="AM39" i="27"/>
  <c r="AO39" i="27" s="1"/>
  <c r="AX105" i="27"/>
  <c r="AV103" i="27"/>
  <c r="AX103" i="27" s="1"/>
  <c r="AF117" i="27"/>
  <c r="AD115" i="27"/>
  <c r="AF115" i="27" s="1"/>
  <c r="AP136" i="27"/>
  <c r="AR134" i="27"/>
  <c r="AL135" i="27"/>
  <c r="BB92" i="27"/>
  <c r="BD90" i="27"/>
  <c r="AL91" i="27"/>
  <c r="BA123" i="27"/>
  <c r="AY121" i="27"/>
  <c r="BA121" i="27" s="1"/>
  <c r="BG134" i="27"/>
  <c r="BE136" i="27"/>
  <c r="AJ92" i="27"/>
  <c r="AL90" i="27"/>
  <c r="AV39" i="27"/>
  <c r="AX39" i="27" s="1"/>
  <c r="AZ61" i="27"/>
  <c r="AZ59" i="27" s="1"/>
  <c r="AY67" i="27"/>
  <c r="AD38" i="27"/>
  <c r="BG94" i="27"/>
  <c r="BE96" i="27"/>
  <c r="AV61" i="27"/>
  <c r="BE36" i="27"/>
  <c r="BG34" i="27"/>
  <c r="AN39" i="27"/>
  <c r="AU111" i="27"/>
  <c r="AS109" i="27"/>
  <c r="AU109" i="27" s="1"/>
  <c r="AL117" i="27"/>
  <c r="AJ115" i="27"/>
  <c r="AL115" i="27" s="1"/>
  <c r="AN61" i="27"/>
  <c r="AN59" i="27" s="1"/>
  <c r="AX91" i="27"/>
  <c r="AS38" i="27"/>
  <c r="AS61" i="27"/>
  <c r="AD36" i="27"/>
  <c r="AF34" i="27"/>
  <c r="BB96" i="27"/>
  <c r="BD94" i="27"/>
  <c r="AS39" i="27"/>
  <c r="AU39" i="27" s="1"/>
  <c r="AJ61" i="27"/>
  <c r="AO135" i="27"/>
  <c r="AD96" i="27"/>
  <c r="AF94" i="27"/>
  <c r="AU97" i="27"/>
  <c r="BE61" i="27"/>
  <c r="BB136" i="27"/>
  <c r="BD134" i="27"/>
  <c r="AE92" i="27"/>
  <c r="AP96" i="27"/>
  <c r="AR94" i="27"/>
  <c r="AN96" i="27"/>
  <c r="AS36" i="27"/>
  <c r="AU34" i="27"/>
  <c r="AV96" i="27"/>
  <c r="AX94" i="27"/>
  <c r="BG111" i="27"/>
  <c r="BE109" i="27"/>
  <c r="BG109" i="27" s="1"/>
  <c r="AV136" i="27"/>
  <c r="AX134" i="27"/>
  <c r="BF92" i="27"/>
  <c r="AJ96" i="27"/>
  <c r="AL94" i="27"/>
  <c r="AO97" i="27"/>
  <c r="AE61" i="27"/>
  <c r="AE59" i="27" s="1"/>
  <c r="AJ80" i="27"/>
  <c r="AL78" i="27"/>
  <c r="AU91" i="27"/>
  <c r="AI95" i="27"/>
  <c r="BA105" i="27"/>
  <c r="AY103" i="27"/>
  <c r="BA103" i="27" s="1"/>
  <c r="AG39" i="27"/>
  <c r="AI39" i="27" s="1"/>
  <c r="AI111" i="27"/>
  <c r="AG109" i="27"/>
  <c r="AI109" i="27" s="1"/>
  <c r="BK78" i="30"/>
  <c r="BG78" i="30"/>
  <c r="BJ78" i="30"/>
  <c r="BF78" i="30"/>
  <c r="F107" i="29" a="1"/>
  <c r="F107" i="29" s="1"/>
  <c r="BO106" i="29"/>
  <c r="AJ106" i="29"/>
  <c r="AJ105" i="29" s="1" a="1"/>
  <c r="AJ105" i="29" s="1"/>
  <c r="AF106" i="29"/>
  <c r="AF105" i="29" s="1" a="1"/>
  <c r="AF105" i="29" s="1"/>
  <c r="AF78" i="29" s="1"/>
  <c r="AT106" i="29"/>
  <c r="AI106" i="29"/>
  <c r="AG106" i="29"/>
  <c r="AE106" i="29"/>
  <c r="AE105" i="29" s="1" a="1"/>
  <c r="AE105" i="29" s="1"/>
  <c r="AE78" i="29" s="1"/>
  <c r="BL92" i="29"/>
  <c r="BH92" i="29"/>
  <c r="BB260" i="30"/>
  <c r="BM260" i="30" s="1"/>
  <c r="AZ260" i="30"/>
  <c r="BK260" i="30" s="1"/>
  <c r="AX260" i="30"/>
  <c r="BI260" i="30" s="1"/>
  <c r="AV260" i="30"/>
  <c r="BG260" i="30" s="1"/>
  <c r="AT260" i="30"/>
  <c r="BE260" i="30" s="1"/>
  <c r="AR260" i="30"/>
  <c r="AP260" i="30"/>
  <c r="AN260" i="30"/>
  <c r="AL260" i="30"/>
  <c r="AJ260" i="30"/>
  <c r="AF260" i="30"/>
  <c r="F261" i="30" a="1"/>
  <c r="F261" i="30" s="1"/>
  <c r="F262" i="30" s="1" a="1"/>
  <c r="F262" i="30" s="1"/>
  <c r="BC260" i="30"/>
  <c r="BA260" i="30"/>
  <c r="BL260" i="30" s="1"/>
  <c r="AY260" i="30"/>
  <c r="BJ260" i="30" s="1"/>
  <c r="AW260" i="30"/>
  <c r="BH260" i="30" s="1"/>
  <c r="AU260" i="30"/>
  <c r="BF260" i="30" s="1"/>
  <c r="AS260" i="30"/>
  <c r="AQ260" i="30"/>
  <c r="AO260" i="30"/>
  <c r="AM260" i="30"/>
  <c r="AK260" i="30"/>
  <c r="AI260" i="30"/>
  <c r="BD260" i="30" s="1"/>
  <c r="AG260" i="30"/>
  <c r="AH260" i="30" s="1"/>
  <c r="AE260" i="30"/>
  <c r="AK107" i="28"/>
  <c r="AK49" i="27"/>
  <c r="AK47" i="27" s="1"/>
  <c r="BC49" i="27"/>
  <c r="BC47" i="27" s="1"/>
  <c r="BF49" i="27"/>
  <c r="BF47" i="27" s="1"/>
  <c r="AN41" i="27"/>
  <c r="AQ79" i="27"/>
  <c r="AZ55" i="27"/>
  <c r="AZ53" i="27" s="1"/>
  <c r="AH35" i="27"/>
  <c r="BC35" i="27"/>
  <c r="AE79" i="27"/>
  <c r="BC79" i="27"/>
  <c r="AW55" i="27"/>
  <c r="AW53" i="27" s="1"/>
  <c r="AQ41" i="27"/>
  <c r="AH49" i="27"/>
  <c r="AH47" i="27" s="1"/>
  <c r="AT41" i="27"/>
  <c r="AT35" i="27"/>
  <c r="AQ55" i="27"/>
  <c r="AQ53" i="27" s="1"/>
  <c r="AT79" i="27"/>
  <c r="AK35" i="27"/>
  <c r="AH79" i="27"/>
  <c r="AZ49" i="27"/>
  <c r="AZ47" i="27" s="1"/>
  <c r="BC55" i="27"/>
  <c r="BC53" i="27" s="1"/>
  <c r="AN79" i="27"/>
  <c r="AZ35" i="27"/>
  <c r="AW35" i="27"/>
  <c r="AW41" i="27"/>
  <c r="AN55" i="27"/>
  <c r="AN53" i="27" s="1"/>
  <c r="AK41" i="27"/>
  <c r="AK79" i="27"/>
  <c r="AE35" i="27"/>
  <c r="AW49" i="27"/>
  <c r="AW47" i="27" s="1"/>
  <c r="AN49" i="27"/>
  <c r="AN47" i="27" s="1"/>
  <c r="AT49" i="27"/>
  <c r="AT47" i="27" s="1"/>
  <c r="AN35" i="27"/>
  <c r="BF55" i="27"/>
  <c r="BF53" i="27" s="1"/>
  <c r="AK55" i="27"/>
  <c r="AK53" i="27" s="1"/>
  <c r="AT55" i="27"/>
  <c r="AT53" i="27" s="1"/>
  <c r="BC41" i="27"/>
  <c r="AZ41" i="27"/>
  <c r="AQ35" i="27"/>
  <c r="BF41" i="27"/>
  <c r="AW79" i="27"/>
  <c r="AE55" i="27"/>
  <c r="AE53" i="27" s="1"/>
  <c r="AH41" i="27"/>
  <c r="BF35" i="27"/>
  <c r="BF79" i="27"/>
  <c r="AH55" i="27"/>
  <c r="AH53" i="27" s="1"/>
  <c r="AQ49" i="27"/>
  <c r="AQ47" i="27" s="1"/>
  <c r="AE41" i="27"/>
  <c r="AE49" i="27"/>
  <c r="AE47" i="27" s="1"/>
  <c r="AZ79" i="27"/>
  <c r="AH103" i="28"/>
  <c r="BM92" i="29"/>
  <c r="BI92" i="29"/>
  <c r="BE92" i="29"/>
  <c r="AH92" i="29"/>
  <c r="BM78" i="30"/>
  <c r="BI78" i="30"/>
  <c r="BE78" i="30"/>
  <c r="BD114" i="30"/>
  <c r="BL78" i="30"/>
  <c r="BH78" i="30"/>
  <c r="F252" i="29" a="1"/>
  <c r="F252" i="29" s="1"/>
  <c r="F253" i="29" s="1" a="1"/>
  <c r="F253" i="29" s="1"/>
  <c r="F254" i="29" s="1" a="1"/>
  <c r="F254" i="29" s="1"/>
  <c r="F255" i="29" s="1" a="1"/>
  <c r="F255" i="29" s="1"/>
  <c r="F256" i="29" s="1" a="1"/>
  <c r="F256" i="29" s="1"/>
  <c r="F257" i="29" s="1" a="1"/>
  <c r="F257" i="29" s="1"/>
  <c r="F258" i="29" s="1" a="1"/>
  <c r="F258" i="29" s="1"/>
  <c r="BC251" i="29"/>
  <c r="BC222" i="29" s="1"/>
  <c r="BA251" i="29"/>
  <c r="AY251" i="29"/>
  <c r="AW251" i="29"/>
  <c r="AU251" i="29"/>
  <c r="AS251" i="29"/>
  <c r="AS222" i="29" s="1"/>
  <c r="AQ251" i="29"/>
  <c r="AQ222" i="29" s="1"/>
  <c r="AO251" i="29"/>
  <c r="AO222" i="29" s="1"/>
  <c r="AM251" i="29"/>
  <c r="AM222" i="29" s="1"/>
  <c r="AK251" i="29"/>
  <c r="AK222" i="29" s="1"/>
  <c r="BB251" i="29"/>
  <c r="AZ251" i="29"/>
  <c r="AX251" i="29"/>
  <c r="AV251" i="29"/>
  <c r="AT251" i="29"/>
  <c r="BE251" i="29" s="1"/>
  <c r="AR251" i="29"/>
  <c r="AR222" i="29" s="1"/>
  <c r="AP251" i="29"/>
  <c r="AP222" i="29" s="1"/>
  <c r="AN251" i="29"/>
  <c r="AN222" i="29" s="1"/>
  <c r="AL251" i="29"/>
  <c r="AL222" i="29" s="1"/>
  <c r="AJ251" i="29"/>
  <c r="AJ222" i="29" s="1"/>
  <c r="AH250" i="29"/>
  <c r="AG249" i="29" a="1"/>
  <c r="AG249" i="29" s="1"/>
  <c r="BE250" i="29"/>
  <c r="AT249" i="29" a="1"/>
  <c r="AT249" i="29" s="1"/>
  <c r="AR117" i="27"/>
  <c r="AP115" i="27"/>
  <c r="AR115" i="27" s="1"/>
  <c r="AL111" i="27"/>
  <c r="AJ109" i="27"/>
  <c r="AL109" i="27" s="1"/>
  <c r="AF123" i="27"/>
  <c r="AD121" i="27"/>
  <c r="AF121" i="27" s="1"/>
  <c r="AM67" i="27"/>
  <c r="AX137" i="27"/>
  <c r="AD39" i="27"/>
  <c r="AF39" i="27" s="1"/>
  <c r="AR111" i="27"/>
  <c r="AP109" i="27"/>
  <c r="AR109" i="27" s="1"/>
  <c r="AY36" i="27"/>
  <c r="BA34" i="27"/>
  <c r="BF39" i="27"/>
  <c r="AX95" i="27"/>
  <c r="AU123" i="27"/>
  <c r="AS121" i="27"/>
  <c r="AU121" i="27" s="1"/>
  <c r="BB67" i="27"/>
  <c r="AI94" i="27"/>
  <c r="AG96" i="27"/>
  <c r="AG38" i="27"/>
  <c r="AO90" i="27"/>
  <c r="AM92" i="27"/>
  <c r="AM38" i="27"/>
  <c r="BD95" i="27"/>
  <c r="AL105" i="27"/>
  <c r="AJ103" i="27"/>
  <c r="AL103" i="27" s="1"/>
  <c r="AQ61" i="27"/>
  <c r="AQ59" i="27" s="1"/>
  <c r="AP36" i="27"/>
  <c r="AR34" i="27"/>
  <c r="AX123" i="27"/>
  <c r="AV121" i="27"/>
  <c r="AX121" i="27" s="1"/>
  <c r="BE67" i="27"/>
  <c r="BA90" i="27"/>
  <c r="AY92" i="27"/>
  <c r="AV38" i="27"/>
  <c r="AK61" i="27"/>
  <c r="AK59" i="27" s="1"/>
  <c r="AY80" i="27"/>
  <c r="BA78" i="27"/>
  <c r="AL137" i="27"/>
  <c r="BB61" i="27"/>
  <c r="AJ67" i="27"/>
  <c r="AY38" i="27"/>
  <c r="AR123" i="27"/>
  <c r="AP121" i="27"/>
  <c r="AR121" i="27" s="1"/>
  <c r="BG137" i="27"/>
  <c r="AY61" i="27"/>
  <c r="AP92" i="27"/>
  <c r="AR90" i="27"/>
  <c r="AF91" i="27"/>
  <c r="AW38" i="27"/>
  <c r="AW40" i="27" s="1"/>
  <c r="BD111" i="27"/>
  <c r="BB109" i="27"/>
  <c r="BD109" i="27" s="1"/>
  <c r="BE39" i="27"/>
  <c r="BG39" i="27" s="1"/>
  <c r="AO123" i="27"/>
  <c r="AM121" i="27"/>
  <c r="AO121" i="27" s="1"/>
  <c r="AZ38" i="27"/>
  <c r="AZ40" i="27" s="1"/>
  <c r="AS67" i="27"/>
  <c r="AI123" i="27"/>
  <c r="AG121" i="27"/>
  <c r="AI121" i="27" s="1"/>
  <c r="AV67" i="27"/>
  <c r="AO134" i="27"/>
  <c r="AM136" i="27"/>
  <c r="AR95" i="27"/>
  <c r="AR105" i="27"/>
  <c r="AP103" i="27"/>
  <c r="AR103" i="27" s="1"/>
  <c r="AX117" i="27"/>
  <c r="AV115" i="27"/>
  <c r="AX115" i="27" s="1"/>
  <c r="AI134" i="27"/>
  <c r="AG136" i="27"/>
  <c r="BF38" i="27"/>
  <c r="BF40" i="27" s="1"/>
  <c r="AG80" i="27"/>
  <c r="AI78" i="27"/>
  <c r="AF97" i="27"/>
  <c r="BD123" i="27"/>
  <c r="BB121" i="27"/>
  <c r="BD121" i="27" s="1"/>
  <c r="AD92" i="27"/>
  <c r="AF90" i="27"/>
  <c r="AN38" i="27"/>
  <c r="AN40" i="27" s="1"/>
  <c r="AU117" i="27"/>
  <c r="AS115" i="27"/>
  <c r="AU115" i="27" s="1"/>
  <c r="AP39" i="27"/>
  <c r="AR39" i="27" s="1"/>
  <c r="AI93" i="27"/>
  <c r="AI105" i="27"/>
  <c r="AG103" i="27"/>
  <c r="AI103" i="27" s="1"/>
  <c r="BE80" i="27"/>
  <c r="BG78" i="27"/>
  <c r="AJ36" i="27"/>
  <c r="AL34" i="27"/>
  <c r="AE38" i="27"/>
  <c r="AE40" i="27" s="1"/>
  <c r="BC136" i="27"/>
  <c r="AI90" i="27"/>
  <c r="AG92" i="27"/>
  <c r="AU94" i="27"/>
  <c r="AS96" i="27"/>
  <c r="AE39" i="27"/>
  <c r="BG123" i="27"/>
  <c r="BE121" i="27"/>
  <c r="BG121" i="27" s="1"/>
  <c r="AD67" i="27"/>
  <c r="AR137" i="27"/>
  <c r="AH96" i="27"/>
  <c r="AK38" i="27"/>
  <c r="AK40" i="27" s="1"/>
  <c r="AP67" i="27"/>
  <c r="BD137" i="27"/>
  <c r="AR135" i="27"/>
  <c r="AT92" i="27"/>
  <c r="AL95" i="27"/>
  <c r="BF136" i="27"/>
  <c r="AZ39" i="27"/>
  <c r="AO111" i="27"/>
  <c r="AM109" i="27"/>
  <c r="AO109" i="27" s="1"/>
  <c r="BB39" i="27"/>
  <c r="BD39" i="27" s="1"/>
  <c r="BC39" i="27"/>
  <c r="BA117" i="27"/>
  <c r="AY115" i="27"/>
  <c r="BA115" i="27" s="1"/>
  <c r="AK136" i="27"/>
  <c r="BG90" i="27"/>
  <c r="BE92" i="27"/>
  <c r="BC96" i="27"/>
  <c r="BC38" i="27"/>
  <c r="BC40" i="27" s="1"/>
  <c r="BD105" i="27"/>
  <c r="BB103" i="27"/>
  <c r="BD103" i="27" s="1"/>
  <c r="AS80" i="27"/>
  <c r="AU78" i="27"/>
  <c r="BD91" i="27"/>
  <c r="AO117" i="27"/>
  <c r="AM115" i="27"/>
  <c r="AO115" i="27" s="1"/>
  <c r="BK92" i="29"/>
  <c r="BG92" i="29"/>
  <c r="BJ92" i="29"/>
  <c r="BF92" i="29"/>
  <c r="BD92" i="29"/>
  <c r="AR67" i="27" l="1"/>
  <c r="AP65" i="27"/>
  <c r="AR65" i="27" s="1"/>
  <c r="AX67" i="27"/>
  <c r="AV65" i="27"/>
  <c r="AX65" i="27" s="1"/>
  <c r="BA61" i="27"/>
  <c r="AY59" i="27"/>
  <c r="BA59" i="27" s="1"/>
  <c r="AY40" i="27"/>
  <c r="BA38" i="27"/>
  <c r="BD61" i="27"/>
  <c r="BB59" i="27"/>
  <c r="BD59" i="27" s="1"/>
  <c r="BG67" i="27"/>
  <c r="BE65" i="27"/>
  <c r="BG65" i="27" s="1"/>
  <c r="AG40" i="27"/>
  <c r="AI38" i="27"/>
  <c r="AO67" i="27"/>
  <c r="AM65" i="27"/>
  <c r="AO65" i="27" s="1"/>
  <c r="BE249" i="29"/>
  <c r="AT222" i="29"/>
  <c r="AH249" i="29"/>
  <c r="AG222" i="29"/>
  <c r="BG251" i="29"/>
  <c r="AV222" i="29"/>
  <c r="BK251" i="29"/>
  <c r="AZ222" i="29"/>
  <c r="BH251" i="29"/>
  <c r="AW222" i="29"/>
  <c r="BL251" i="29"/>
  <c r="BA222" i="29"/>
  <c r="BO258" i="29"/>
  <c r="BB258" i="29"/>
  <c r="BM258" i="29" s="1"/>
  <c r="AZ258" i="29"/>
  <c r="BK258" i="29" s="1"/>
  <c r="AX258" i="29"/>
  <c r="BI258" i="29" s="1"/>
  <c r="AV258" i="29"/>
  <c r="BG258" i="29" s="1"/>
  <c r="AT258" i="29"/>
  <c r="BE258" i="29" s="1"/>
  <c r="AR258" i="29"/>
  <c r="AP258" i="29"/>
  <c r="AN258" i="29"/>
  <c r="AL258" i="29"/>
  <c r="AJ258" i="29"/>
  <c r="AF258" i="29"/>
  <c r="F259" i="29" a="1"/>
  <c r="F259" i="29" s="1"/>
  <c r="BC258" i="29"/>
  <c r="BA258" i="29"/>
  <c r="BL258" i="29" s="1"/>
  <c r="AY258" i="29"/>
  <c r="BJ258" i="29" s="1"/>
  <c r="AW258" i="29"/>
  <c r="BH258" i="29" s="1"/>
  <c r="AU258" i="29"/>
  <c r="BF258" i="29" s="1"/>
  <c r="AS258" i="29"/>
  <c r="AQ258" i="29"/>
  <c r="AO258" i="29"/>
  <c r="AM258" i="29"/>
  <c r="AK258" i="29"/>
  <c r="AI258" i="29"/>
  <c r="BD258" i="29" s="1"/>
  <c r="AG258" i="29"/>
  <c r="AH258" i="29" s="1"/>
  <c r="AE258" i="29"/>
  <c r="BD106" i="29"/>
  <c r="AI105" i="29" a="1"/>
  <c r="AI105" i="29" s="1"/>
  <c r="AL61" i="27"/>
  <c r="AJ59" i="27"/>
  <c r="AL59" i="27" s="1"/>
  <c r="AU61" i="27"/>
  <c r="AS59" i="27"/>
  <c r="AU59" i="27" s="1"/>
  <c r="AD40" i="27"/>
  <c r="AF38" i="27"/>
  <c r="AJ40" i="27"/>
  <c r="AL38" i="27"/>
  <c r="AI61" i="27"/>
  <c r="AG59" i="27"/>
  <c r="AI59" i="27" s="1"/>
  <c r="AF61" i="27"/>
  <c r="AD59" i="27"/>
  <c r="AF59" i="27" s="1"/>
  <c r="AR61" i="27"/>
  <c r="AP59" i="27"/>
  <c r="AR59" i="27" s="1"/>
  <c r="BD249" i="29"/>
  <c r="AI222" i="29"/>
  <c r="AU49" i="27"/>
  <c r="AS47" i="27"/>
  <c r="AU47" i="27" s="1"/>
  <c r="AR55" i="27"/>
  <c r="AP53" i="27"/>
  <c r="AR53" i="27" s="1"/>
  <c r="AX55" i="27"/>
  <c r="AV53" i="27"/>
  <c r="AX53" i="27" s="1"/>
  <c r="AX49" i="27"/>
  <c r="AV47" i="27"/>
  <c r="AX47" i="27" s="1"/>
  <c r="AF49" i="27"/>
  <c r="AD47" i="27"/>
  <c r="AF47" i="27" s="1"/>
  <c r="AL55" i="27"/>
  <c r="AJ53" i="27"/>
  <c r="AL53" i="27" s="1"/>
  <c r="AI49" i="27"/>
  <c r="AG47" i="27"/>
  <c r="AI47" i="27" s="1"/>
  <c r="BG55" i="27"/>
  <c r="BE53" i="27"/>
  <c r="BG53" i="27" s="1"/>
  <c r="AL49" i="27"/>
  <c r="AJ47" i="27"/>
  <c r="AL47" i="27" s="1"/>
  <c r="BA49" i="27"/>
  <c r="AY47" i="27"/>
  <c r="BA47" i="27" s="1"/>
  <c r="AU55" i="27"/>
  <c r="AS53" i="27"/>
  <c r="AU53" i="27" s="1"/>
  <c r="AF67" i="27"/>
  <c r="AD65" i="27"/>
  <c r="AF65" i="27" s="1"/>
  <c r="AU67" i="27"/>
  <c r="AS65" i="27"/>
  <c r="AU65" i="27" s="1"/>
  <c r="AL67" i="27"/>
  <c r="AJ65" i="27"/>
  <c r="AL65" i="27" s="1"/>
  <c r="AV40" i="27"/>
  <c r="AX38" i="27"/>
  <c r="AM40" i="27"/>
  <c r="AO38" i="27"/>
  <c r="BD67" i="27"/>
  <c r="BB65" i="27"/>
  <c r="BD65" i="27" s="1"/>
  <c r="BI251" i="29"/>
  <c r="AX222" i="29"/>
  <c r="BM251" i="29"/>
  <c r="BB222" i="29"/>
  <c r="BF251" i="29"/>
  <c r="AU222" i="29"/>
  <c r="BJ251" i="29"/>
  <c r="AY222" i="29"/>
  <c r="AN67" i="27"/>
  <c r="AN65" i="27" s="1"/>
  <c r="AQ67" i="27"/>
  <c r="AQ65" i="27" s="1"/>
  <c r="AK67" i="27"/>
  <c r="AK65" i="27" s="1"/>
  <c r="AZ67" i="27"/>
  <c r="AZ65" i="27" s="1"/>
  <c r="BC67" i="27"/>
  <c r="BC65" i="27" s="1"/>
  <c r="AT67" i="27"/>
  <c r="AT65" i="27" s="1"/>
  <c r="AE67" i="27"/>
  <c r="AE65" i="27" s="1"/>
  <c r="BF67" i="27"/>
  <c r="BF65" i="27" s="1"/>
  <c r="AH67" i="27"/>
  <c r="AH65" i="27" s="1"/>
  <c r="AW67" i="27"/>
  <c r="AW65" i="27" s="1"/>
  <c r="F263" i="30" a="1"/>
  <c r="F263" i="30" s="1"/>
  <c r="BO262" i="30"/>
  <c r="BB262" i="30"/>
  <c r="AZ262" i="30"/>
  <c r="AX262" i="30"/>
  <c r="AV262" i="30"/>
  <c r="AT262" i="30"/>
  <c r="AR262" i="30"/>
  <c r="AP262" i="30"/>
  <c r="AN262" i="30"/>
  <c r="AL262" i="30"/>
  <c r="AJ262" i="30"/>
  <c r="AF262" i="30"/>
  <c r="BC262" i="30"/>
  <c r="BA262" i="30"/>
  <c r="AY262" i="30"/>
  <c r="AW262" i="30"/>
  <c r="AU262" i="30"/>
  <c r="AS262" i="30"/>
  <c r="AQ262" i="30"/>
  <c r="AO262" i="30"/>
  <c r="AM262" i="30"/>
  <c r="AK262" i="30"/>
  <c r="AI262" i="30"/>
  <c r="AG262" i="30"/>
  <c r="AE262" i="30"/>
  <c r="AH106" i="29"/>
  <c r="AG105" i="29" a="1"/>
  <c r="AG105" i="29" s="1"/>
  <c r="BE106" i="29"/>
  <c r="AT105" i="29" a="1"/>
  <c r="AT105" i="29" s="1"/>
  <c r="BB107" i="29"/>
  <c r="AZ107" i="29"/>
  <c r="AX107" i="29"/>
  <c r="AV107" i="29"/>
  <c r="AT107" i="29"/>
  <c r="BE107" i="29" s="1"/>
  <c r="AR107" i="29"/>
  <c r="AR78" i="29" s="1"/>
  <c r="AP107" i="29"/>
  <c r="AP78" i="29" s="1"/>
  <c r="AN107" i="29"/>
  <c r="AN78" i="29" s="1"/>
  <c r="AL107" i="29"/>
  <c r="AL78" i="29" s="1"/>
  <c r="AJ107" i="29"/>
  <c r="AJ78" i="29" s="1"/>
  <c r="F108" i="29" a="1"/>
  <c r="F108" i="29" s="1"/>
  <c r="F109" i="29" s="1" a="1"/>
  <c r="F109" i="29" s="1"/>
  <c r="F110" i="29" s="1" a="1"/>
  <c r="F110" i="29" s="1"/>
  <c r="F111" i="29" s="1" a="1"/>
  <c r="F111" i="29" s="1"/>
  <c r="F112" i="29" s="1" a="1"/>
  <c r="F112" i="29" s="1"/>
  <c r="F113" i="29" s="1" a="1"/>
  <c r="F113" i="29" s="1"/>
  <c r="F114" i="29" s="1" a="1"/>
  <c r="F114" i="29" s="1"/>
  <c r="BC107" i="29"/>
  <c r="BC78" i="29" s="1"/>
  <c r="BA107" i="29"/>
  <c r="AY107" i="29"/>
  <c r="AW107" i="29"/>
  <c r="AU107" i="29"/>
  <c r="AS107" i="29"/>
  <c r="AS78" i="29" s="1"/>
  <c r="AQ107" i="29"/>
  <c r="AQ78" i="29" s="1"/>
  <c r="AO107" i="29"/>
  <c r="AO78" i="29" s="1"/>
  <c r="AM107" i="29"/>
  <c r="AM78" i="29" s="1"/>
  <c r="AK107" i="29"/>
  <c r="AK78" i="29" s="1"/>
  <c r="BG61" i="27"/>
  <c r="BE59" i="27"/>
  <c r="BG59" i="27" s="1"/>
  <c r="AS40" i="27"/>
  <c r="AU38" i="27"/>
  <c r="AX61" i="27"/>
  <c r="AV59" i="27"/>
  <c r="AX59" i="27" s="1"/>
  <c r="BA67" i="27"/>
  <c r="AY65" i="27"/>
  <c r="BA65" i="27" s="1"/>
  <c r="AP40" i="27"/>
  <c r="AR38" i="27"/>
  <c r="BB40" i="27"/>
  <c r="BD38" i="27"/>
  <c r="BB116" i="30"/>
  <c r="BM116" i="30" s="1"/>
  <c r="AZ116" i="30"/>
  <c r="BK116" i="30" s="1"/>
  <c r="AX116" i="30"/>
  <c r="BI116" i="30" s="1"/>
  <c r="AV116" i="30"/>
  <c r="BG116" i="30" s="1"/>
  <c r="AT116" i="30"/>
  <c r="BE116" i="30" s="1"/>
  <c r="AR116" i="30"/>
  <c r="AP116" i="30"/>
  <c r="AN116" i="30"/>
  <c r="AL116" i="30"/>
  <c r="AJ116" i="30"/>
  <c r="AF116" i="30"/>
  <c r="F117" i="30" a="1"/>
  <c r="F117" i="30" s="1"/>
  <c r="F118" i="30" s="1" a="1"/>
  <c r="F118" i="30" s="1"/>
  <c r="BC116" i="30"/>
  <c r="BA116" i="30"/>
  <c r="BL116" i="30" s="1"/>
  <c r="AY116" i="30"/>
  <c r="BJ116" i="30" s="1"/>
  <c r="AW116" i="30"/>
  <c r="BH116" i="30" s="1"/>
  <c r="AU116" i="30"/>
  <c r="BF116" i="30" s="1"/>
  <c r="AS116" i="30"/>
  <c r="AQ116" i="30"/>
  <c r="AO116" i="30"/>
  <c r="AM116" i="30"/>
  <c r="AK116" i="30"/>
  <c r="AI116" i="30"/>
  <c r="BD116" i="30" s="1"/>
  <c r="AG116" i="30"/>
  <c r="AH116" i="30" s="1"/>
  <c r="AE116" i="30"/>
  <c r="AO49" i="27"/>
  <c r="AM47" i="27"/>
  <c r="AO47" i="27" s="1"/>
  <c r="BG49" i="27"/>
  <c r="BE47" i="27"/>
  <c r="BG47" i="27" s="1"/>
  <c r="AO55" i="27"/>
  <c r="AM53" i="27"/>
  <c r="AO53" i="27" s="1"/>
  <c r="BD49" i="27"/>
  <c r="BB47" i="27"/>
  <c r="BD47" i="27" s="1"/>
  <c r="BD55" i="27"/>
  <c r="BB53" i="27"/>
  <c r="BD53" i="27" s="1"/>
  <c r="BA55" i="27"/>
  <c r="AY53" i="27"/>
  <c r="BA53" i="27" s="1"/>
  <c r="AI55" i="27"/>
  <c r="AG53" i="27"/>
  <c r="AI53" i="27" s="1"/>
  <c r="AF55" i="27"/>
  <c r="AD53" i="27"/>
  <c r="AF53" i="27" s="1"/>
  <c r="AR49" i="27"/>
  <c r="AP47" i="27"/>
  <c r="AR47" i="27" s="1"/>
  <c r="BF107" i="29" l="1"/>
  <c r="AU78" i="29"/>
  <c r="BJ107" i="29"/>
  <c r="AY78" i="29"/>
  <c r="BG107" i="29"/>
  <c r="AV78" i="29"/>
  <c r="BK107" i="29"/>
  <c r="AZ78" i="29"/>
  <c r="BE105" i="29"/>
  <c r="AT78" i="29"/>
  <c r="AH105" i="29"/>
  <c r="AG78" i="29"/>
  <c r="BD262" i="30"/>
  <c r="BF262" i="30"/>
  <c r="BJ262" i="30"/>
  <c r="BG262" i="30"/>
  <c r="BK262" i="30"/>
  <c r="BC259" i="29"/>
  <c r="BA259" i="29"/>
  <c r="BL259" i="29" s="1"/>
  <c r="AY259" i="29"/>
  <c r="BJ259" i="29" s="1"/>
  <c r="AW259" i="29"/>
  <c r="BH259" i="29" s="1"/>
  <c r="AU259" i="29"/>
  <c r="BF259" i="29" s="1"/>
  <c r="AS259" i="29"/>
  <c r="AQ259" i="29"/>
  <c r="AO259" i="29"/>
  <c r="AM259" i="29"/>
  <c r="AK259" i="29"/>
  <c r="AI259" i="29"/>
  <c r="BD259" i="29" s="1"/>
  <c r="AG259" i="29"/>
  <c r="AE259" i="29"/>
  <c r="F260" i="29" a="1"/>
  <c r="F260" i="29" s="1"/>
  <c r="BO259" i="29"/>
  <c r="BB259" i="29"/>
  <c r="BM259" i="29" s="1"/>
  <c r="AZ259" i="29"/>
  <c r="BK259" i="29" s="1"/>
  <c r="AX259" i="29"/>
  <c r="BI259" i="29" s="1"/>
  <c r="AV259" i="29"/>
  <c r="BG259" i="29" s="1"/>
  <c r="AT259" i="29"/>
  <c r="BE259" i="29" s="1"/>
  <c r="AR259" i="29"/>
  <c r="AP259" i="29"/>
  <c r="AN259" i="29"/>
  <c r="AL259" i="29"/>
  <c r="AJ259" i="29"/>
  <c r="AF259" i="29"/>
  <c r="BK222" i="29"/>
  <c r="BG222" i="29"/>
  <c r="AH222" i="29"/>
  <c r="BE222" i="29"/>
  <c r="F119" i="30" a="1"/>
  <c r="F119" i="30" s="1"/>
  <c r="BO118" i="30"/>
  <c r="BB118" i="30"/>
  <c r="AZ118" i="30"/>
  <c r="AX118" i="30"/>
  <c r="AV118" i="30"/>
  <c r="AT118" i="30"/>
  <c r="AR118" i="30"/>
  <c r="AP118" i="30"/>
  <c r="AN118" i="30"/>
  <c r="AL118" i="30"/>
  <c r="AJ118" i="30"/>
  <c r="AF118" i="30"/>
  <c r="BC118" i="30"/>
  <c r="BA118" i="30"/>
  <c r="AY118" i="30"/>
  <c r="AW118" i="30"/>
  <c r="AU118" i="30"/>
  <c r="AS118" i="30"/>
  <c r="AQ118" i="30"/>
  <c r="AO118" i="30"/>
  <c r="AM118" i="30"/>
  <c r="AK118" i="30"/>
  <c r="AI118" i="30"/>
  <c r="AG118" i="30"/>
  <c r="AE118" i="30"/>
  <c r="BH107" i="29"/>
  <c r="AW78" i="29"/>
  <c r="BL107" i="29"/>
  <c r="BA78" i="29"/>
  <c r="F115" i="29" a="1"/>
  <c r="F115" i="29" s="1"/>
  <c r="BC114" i="29"/>
  <c r="BA114" i="29"/>
  <c r="BL114" i="29" s="1"/>
  <c r="AY114" i="29"/>
  <c r="BJ114" i="29" s="1"/>
  <c r="AW114" i="29"/>
  <c r="BH114" i="29" s="1"/>
  <c r="AU114" i="29"/>
  <c r="BF114" i="29" s="1"/>
  <c r="AS114" i="29"/>
  <c r="AQ114" i="29"/>
  <c r="AO114" i="29"/>
  <c r="AM114" i="29"/>
  <c r="AK114" i="29"/>
  <c r="AI114" i="29"/>
  <c r="BD114" i="29" s="1"/>
  <c r="AG114" i="29"/>
  <c r="AE114" i="29"/>
  <c r="BO114" i="29"/>
  <c r="BB114" i="29"/>
  <c r="BM114" i="29" s="1"/>
  <c r="AZ114" i="29"/>
  <c r="BK114" i="29" s="1"/>
  <c r="AX114" i="29"/>
  <c r="BI114" i="29" s="1"/>
  <c r="AV114" i="29"/>
  <c r="BG114" i="29" s="1"/>
  <c r="AT114" i="29"/>
  <c r="BE114" i="29" s="1"/>
  <c r="AR114" i="29"/>
  <c r="AP114" i="29"/>
  <c r="AN114" i="29"/>
  <c r="AL114" i="29"/>
  <c r="AJ114" i="29"/>
  <c r="AF114" i="29"/>
  <c r="BI107" i="29"/>
  <c r="AX78" i="29"/>
  <c r="BM107" i="29"/>
  <c r="BB78" i="29"/>
  <c r="AH262" i="30"/>
  <c r="BH262" i="30"/>
  <c r="BL262" i="30"/>
  <c r="BE262" i="30"/>
  <c r="BI262" i="30"/>
  <c r="BM262" i="30"/>
  <c r="F264" i="30" a="1"/>
  <c r="F264" i="30" s="1"/>
  <c r="BO263" i="30"/>
  <c r="BB263" i="30"/>
  <c r="BM263" i="30" s="1"/>
  <c r="AZ263" i="30"/>
  <c r="BK263" i="30" s="1"/>
  <c r="AX263" i="30"/>
  <c r="BI263" i="30" s="1"/>
  <c r="AV263" i="30"/>
  <c r="BG263" i="30" s="1"/>
  <c r="AT263" i="30"/>
  <c r="BE263" i="30" s="1"/>
  <c r="BC263" i="30"/>
  <c r="AY263" i="30"/>
  <c r="BJ263" i="30" s="1"/>
  <c r="AU263" i="30"/>
  <c r="BF263" i="30" s="1"/>
  <c r="AR263" i="30"/>
  <c r="AP263" i="30"/>
  <c r="AN263" i="30"/>
  <c r="AL263" i="30"/>
  <c r="AJ263" i="30"/>
  <c r="AF263" i="30"/>
  <c r="BA263" i="30"/>
  <c r="BL263" i="30" s="1"/>
  <c r="AW263" i="30"/>
  <c r="BH263" i="30" s="1"/>
  <c r="AS263" i="30"/>
  <c r="AQ263" i="30"/>
  <c r="AO263" i="30"/>
  <c r="AM263" i="30"/>
  <c r="AK263" i="30"/>
  <c r="AI263" i="30"/>
  <c r="BD263" i="30" s="1"/>
  <c r="AG263" i="30"/>
  <c r="AH263" i="30" s="1"/>
  <c r="AE263" i="30"/>
  <c r="BJ222" i="29"/>
  <c r="BF222" i="29"/>
  <c r="BM222" i="29"/>
  <c r="BI222" i="29"/>
  <c r="BD222" i="29"/>
  <c r="BD105" i="29"/>
  <c r="AI78" i="29"/>
  <c r="BL222" i="29"/>
  <c r="BH222" i="29"/>
  <c r="BD78" i="29" l="1"/>
  <c r="BM78" i="29"/>
  <c r="BI78" i="29"/>
  <c r="BL78" i="29"/>
  <c r="BH78" i="29"/>
  <c r="AH118" i="30"/>
  <c r="BH118" i="30"/>
  <c r="BL118" i="30"/>
  <c r="BE118" i="30"/>
  <c r="BI118" i="30"/>
  <c r="BM118" i="30"/>
  <c r="F120" i="30" a="1"/>
  <c r="F120" i="30" s="1"/>
  <c r="BO119" i="30"/>
  <c r="BB119" i="30"/>
  <c r="BM119" i="30" s="1"/>
  <c r="AZ119" i="30"/>
  <c r="BK119" i="30" s="1"/>
  <c r="AX119" i="30"/>
  <c r="BI119" i="30" s="1"/>
  <c r="AV119" i="30"/>
  <c r="BG119" i="30" s="1"/>
  <c r="AT119" i="30"/>
  <c r="BE119" i="30" s="1"/>
  <c r="AR119" i="30"/>
  <c r="AP119" i="30"/>
  <c r="AN119" i="30"/>
  <c r="AL119" i="30"/>
  <c r="AJ119" i="30"/>
  <c r="AF119" i="30"/>
  <c r="BC119" i="30"/>
  <c r="BA119" i="30"/>
  <c r="BL119" i="30" s="1"/>
  <c r="AY119" i="30"/>
  <c r="BJ119" i="30" s="1"/>
  <c r="AW119" i="30"/>
  <c r="BH119" i="30" s="1"/>
  <c r="AU119" i="30"/>
  <c r="BF119" i="30" s="1"/>
  <c r="AS119" i="30"/>
  <c r="AQ119" i="30"/>
  <c r="AO119" i="30"/>
  <c r="AM119" i="30"/>
  <c r="AK119" i="30"/>
  <c r="AI119" i="30"/>
  <c r="BD119" i="30" s="1"/>
  <c r="AG119" i="30"/>
  <c r="AH119" i="30" s="1"/>
  <c r="AE119" i="30"/>
  <c r="AH78" i="29"/>
  <c r="BE78" i="29"/>
  <c r="BK78" i="29"/>
  <c r="BG78" i="29"/>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O264" i="30"/>
  <c r="BB264" i="30"/>
  <c r="AZ264" i="30"/>
  <c r="BK264" i="30" s="1"/>
  <c r="AX264" i="30"/>
  <c r="BI264" i="30" s="1"/>
  <c r="AV264" i="30"/>
  <c r="BG264" i="30" s="1"/>
  <c r="AT264" i="30"/>
  <c r="BE264" i="30" s="1"/>
  <c r="AR264" i="30"/>
  <c r="AR261" i="30" s="1"/>
  <c r="AR294" i="30" s="1"/>
  <c r="AP264" i="30"/>
  <c r="AP261" i="30" s="1"/>
  <c r="AP294" i="30" s="1"/>
  <c r="AN264" i="30"/>
  <c r="AN261" i="30" s="1"/>
  <c r="AN294" i="30" s="1"/>
  <c r="AL264" i="30"/>
  <c r="AL261" i="30" s="1"/>
  <c r="AL294" i="30" s="1"/>
  <c r="AJ264" i="30"/>
  <c r="AJ261" i="30" s="1"/>
  <c r="AJ294" i="30" s="1"/>
  <c r="AF264" i="30"/>
  <c r="AF261" i="30" s="1"/>
  <c r="AF294" i="30" s="1"/>
  <c r="BA264" i="30"/>
  <c r="BL264" i="30" s="1"/>
  <c r="AW264" i="30"/>
  <c r="BH264" i="30" s="1"/>
  <c r="AS264" i="30"/>
  <c r="AS261" i="30" s="1"/>
  <c r="AS294" i="30" s="1"/>
  <c r="AO264" i="30"/>
  <c r="AO261" i="30" s="1"/>
  <c r="AO294" i="30" s="1"/>
  <c r="AK264" i="30"/>
  <c r="AK261" i="30" s="1"/>
  <c r="AK294" i="30" s="1"/>
  <c r="AG264" i="30"/>
  <c r="AH264" i="30" s="1"/>
  <c r="BC264" i="30"/>
  <c r="BC261" i="30" s="1"/>
  <c r="BC294" i="30" s="1"/>
  <c r="AY264" i="30"/>
  <c r="BJ264" i="30" s="1"/>
  <c r="AU264" i="30"/>
  <c r="BF264" i="30" s="1"/>
  <c r="AQ264" i="30"/>
  <c r="AQ261" i="30" s="1"/>
  <c r="AQ294" i="30" s="1"/>
  <c r="AM264" i="30"/>
  <c r="AM261" i="30" s="1"/>
  <c r="AM294" i="30" s="1"/>
  <c r="AI264" i="30"/>
  <c r="BD264" i="30" s="1"/>
  <c r="AE264" i="30"/>
  <c r="AE261" i="30" s="1"/>
  <c r="AE294" i="30" s="1"/>
  <c r="AW261" i="30"/>
  <c r="AH114" i="29"/>
  <c r="F116" i="29" a="1"/>
  <c r="F116" i="29" s="1"/>
  <c r="BO115" i="29"/>
  <c r="BB115" i="29"/>
  <c r="BM115" i="29" s="1"/>
  <c r="AZ115" i="29"/>
  <c r="BK115" i="29" s="1"/>
  <c r="AX115" i="29"/>
  <c r="BI115" i="29" s="1"/>
  <c r="AV115" i="29"/>
  <c r="BG115" i="29" s="1"/>
  <c r="AT115" i="29"/>
  <c r="BE115" i="29" s="1"/>
  <c r="AR115" i="29"/>
  <c r="AP115" i="29"/>
  <c r="AN115" i="29"/>
  <c r="AL115" i="29"/>
  <c r="AJ115" i="29"/>
  <c r="AF115" i="29"/>
  <c r="BC115" i="29"/>
  <c r="BA115" i="29"/>
  <c r="BL115" i="29" s="1"/>
  <c r="AY115" i="29"/>
  <c r="BJ115" i="29" s="1"/>
  <c r="AW115" i="29"/>
  <c r="BH115" i="29" s="1"/>
  <c r="AU115" i="29"/>
  <c r="BF115" i="29" s="1"/>
  <c r="AS115" i="29"/>
  <c r="AQ115" i="29"/>
  <c r="AO115" i="29"/>
  <c r="AM115" i="29"/>
  <c r="AK115" i="29"/>
  <c r="AI115" i="29"/>
  <c r="BD115" i="29" s="1"/>
  <c r="AG115" i="29"/>
  <c r="AH115" i="29" s="1"/>
  <c r="AE115" i="29"/>
  <c r="BD118" i="30"/>
  <c r="BF118" i="30"/>
  <c r="BJ118" i="30"/>
  <c r="BG118" i="30"/>
  <c r="BK118" i="30"/>
  <c r="F261" i="29" a="1"/>
  <c r="F261" i="29" s="1"/>
  <c r="F262" i="29" s="1" a="1"/>
  <c r="F262" i="29" s="1"/>
  <c r="BC260" i="29"/>
  <c r="BA260" i="29"/>
  <c r="BL260" i="29" s="1"/>
  <c r="AY260" i="29"/>
  <c r="BJ260" i="29" s="1"/>
  <c r="AW260" i="29"/>
  <c r="BH260" i="29" s="1"/>
  <c r="AU260" i="29"/>
  <c r="BF260" i="29" s="1"/>
  <c r="AS260" i="29"/>
  <c r="AQ260" i="29"/>
  <c r="AO260" i="29"/>
  <c r="AM260" i="29"/>
  <c r="AK260" i="29"/>
  <c r="AI260" i="29"/>
  <c r="BD260" i="29" s="1"/>
  <c r="AG260" i="29"/>
  <c r="AE260" i="29"/>
  <c r="BB260" i="29"/>
  <c r="BM260" i="29" s="1"/>
  <c r="AZ260" i="29"/>
  <c r="BK260" i="29" s="1"/>
  <c r="AX260" i="29"/>
  <c r="BI260" i="29" s="1"/>
  <c r="AV260" i="29"/>
  <c r="BG260" i="29" s="1"/>
  <c r="AT260" i="29"/>
  <c r="BE260" i="29" s="1"/>
  <c r="AR260" i="29"/>
  <c r="AP260" i="29"/>
  <c r="AN260" i="29"/>
  <c r="AL260" i="29"/>
  <c r="AJ260" i="29"/>
  <c r="AF260" i="29"/>
  <c r="AH259" i="29"/>
  <c r="AZ261" i="30"/>
  <c r="AV261" i="30"/>
  <c r="AY261" i="30"/>
  <c r="AU261" i="30"/>
  <c r="AI261" i="30"/>
  <c r="BJ78" i="29"/>
  <c r="BF78" i="29"/>
  <c r="AQ295" i="30" l="1"/>
  <c r="AQ293" i="30"/>
  <c r="AO295" i="30"/>
  <c r="AO293" i="30"/>
  <c r="AF293" i="30"/>
  <c r="AF295" i="30"/>
  <c r="AL295" i="30"/>
  <c r="AL293" i="30"/>
  <c r="AP295" i="30"/>
  <c r="AP293" i="30"/>
  <c r="AE295" i="30"/>
  <c r="AE293" i="30"/>
  <c r="AM295" i="30"/>
  <c r="AM293" i="30"/>
  <c r="BC295" i="30"/>
  <c r="BC293" i="30"/>
  <c r="AK295" i="30"/>
  <c r="AK293" i="30"/>
  <c r="AS295" i="30"/>
  <c r="AS293" i="30"/>
  <c r="AN293" i="30"/>
  <c r="AN295" i="30"/>
  <c r="AR293" i="30"/>
  <c r="AR295" i="30"/>
  <c r="BF261" i="30"/>
  <c r="AU294" i="30"/>
  <c r="BG261" i="30"/>
  <c r="AV294" i="30"/>
  <c r="BD261" i="30"/>
  <c r="AI294" i="30"/>
  <c r="BJ261" i="30"/>
  <c r="AY294" i="30"/>
  <c r="BK261" i="30"/>
  <c r="AZ294" i="30"/>
  <c r="AH260" i="29"/>
  <c r="BC262" i="29"/>
  <c r="BA262" i="29"/>
  <c r="AY262" i="29"/>
  <c r="AW262" i="29"/>
  <c r="AU262" i="29"/>
  <c r="AS262" i="29"/>
  <c r="AQ262" i="29"/>
  <c r="AO262" i="29"/>
  <c r="AM262" i="29"/>
  <c r="AK262" i="29"/>
  <c r="AI262" i="29"/>
  <c r="AG262" i="29"/>
  <c r="AE262" i="29"/>
  <c r="F263" i="29" a="1"/>
  <c r="F263" i="29" s="1"/>
  <c r="BO262" i="29"/>
  <c r="BB262" i="29"/>
  <c r="AZ262" i="29"/>
  <c r="AX262" i="29"/>
  <c r="AV262" i="29"/>
  <c r="AT262" i="29"/>
  <c r="AR262" i="29"/>
  <c r="AP262" i="29"/>
  <c r="AN262" i="29"/>
  <c r="AL262" i="29"/>
  <c r="AJ262" i="29"/>
  <c r="AF262" i="29"/>
  <c r="BA261" i="30"/>
  <c r="BM264" i="30"/>
  <c r="BB261" i="30"/>
  <c r="F280" i="30" a="1"/>
  <c r="F280" i="30" s="1"/>
  <c r="F281" i="30" s="1" a="1"/>
  <c r="F281" i="30" s="1"/>
  <c r="BO279" i="30"/>
  <c r="AJ279" i="30"/>
  <c r="AJ293" i="30" s="1"/>
  <c r="AG261" i="30"/>
  <c r="AX261" i="30"/>
  <c r="BB116" i="29"/>
  <c r="BM116" i="29" s="1"/>
  <c r="AZ116" i="29"/>
  <c r="BK116" i="29" s="1"/>
  <c r="AX116" i="29"/>
  <c r="BI116" i="29" s="1"/>
  <c r="AV116" i="29"/>
  <c r="BG116" i="29" s="1"/>
  <c r="AT116" i="29"/>
  <c r="BE116" i="29" s="1"/>
  <c r="AR116" i="29"/>
  <c r="AP116" i="29"/>
  <c r="AN116" i="29"/>
  <c r="AL116" i="29"/>
  <c r="AJ116" i="29"/>
  <c r="AF116" i="29"/>
  <c r="F117" i="29" a="1"/>
  <c r="F117" i="29" s="1"/>
  <c r="F118" i="29" s="1" a="1"/>
  <c r="F118" i="29" s="1"/>
  <c r="BC116" i="29"/>
  <c r="BA116" i="29"/>
  <c r="BL116" i="29" s="1"/>
  <c r="AY116" i="29"/>
  <c r="BJ116" i="29" s="1"/>
  <c r="AW116" i="29"/>
  <c r="BH116" i="29" s="1"/>
  <c r="AU116" i="29"/>
  <c r="BF116" i="29" s="1"/>
  <c r="AS116" i="29"/>
  <c r="AQ116" i="29"/>
  <c r="AO116" i="29"/>
  <c r="AM116" i="29"/>
  <c r="AK116" i="29"/>
  <c r="AI116" i="29"/>
  <c r="BD116" i="29" s="1"/>
  <c r="AG116" i="29"/>
  <c r="AH116" i="29" s="1"/>
  <c r="AE116" i="29"/>
  <c r="BH261" i="30"/>
  <c r="AW294" i="30"/>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BO120" i="30"/>
  <c r="BB120" i="30"/>
  <c r="BM120" i="30" s="1"/>
  <c r="AZ120" i="30"/>
  <c r="AX120" i="30"/>
  <c r="BI120" i="30" s="1"/>
  <c r="AV120" i="30"/>
  <c r="AT120" i="30"/>
  <c r="BE120" i="30" s="1"/>
  <c r="AR120" i="30"/>
  <c r="AR117" i="30" s="1"/>
  <c r="AR150" i="30" s="1"/>
  <c r="AP120" i="30"/>
  <c r="AP117" i="30" s="1"/>
  <c r="AP150" i="30" s="1"/>
  <c r="AN120" i="30"/>
  <c r="AN117" i="30" s="1"/>
  <c r="AN150" i="30" s="1"/>
  <c r="AL120" i="30"/>
  <c r="AL117" i="30" s="1"/>
  <c r="AL150" i="30" s="1"/>
  <c r="AJ120" i="30"/>
  <c r="AJ117" i="30" s="1"/>
  <c r="AJ150" i="30" s="1"/>
  <c r="AF120" i="30"/>
  <c r="AF117" i="30" s="1"/>
  <c r="AF150" i="30" s="1"/>
  <c r="BC120" i="30"/>
  <c r="BC117" i="30" s="1"/>
  <c r="BC150" i="30" s="1"/>
  <c r="BA120" i="30"/>
  <c r="BL120" i="30" s="1"/>
  <c r="AY120" i="30"/>
  <c r="AW120" i="30"/>
  <c r="BH120" i="30" s="1"/>
  <c r="AU120" i="30"/>
  <c r="AS120" i="30"/>
  <c r="AS117" i="30" s="1"/>
  <c r="AS150" i="30" s="1"/>
  <c r="AQ120" i="30"/>
  <c r="AQ117" i="30" s="1"/>
  <c r="AQ150" i="30" s="1"/>
  <c r="AO120" i="30"/>
  <c r="AO117" i="30" s="1"/>
  <c r="AO150" i="30" s="1"/>
  <c r="AM120" i="30"/>
  <c r="AM117" i="30" s="1"/>
  <c r="AM150" i="30" s="1"/>
  <c r="AK120" i="30"/>
  <c r="AK117" i="30" s="1"/>
  <c r="AK150" i="30" s="1"/>
  <c r="AI120" i="30"/>
  <c r="AG120" i="30"/>
  <c r="AH120" i="30" s="1"/>
  <c r="AE120" i="30"/>
  <c r="AE117" i="30" s="1"/>
  <c r="AE150" i="30" s="1"/>
  <c r="BA117" i="30"/>
  <c r="AW117" i="30"/>
  <c r="AT261" i="30"/>
  <c r="AK151" i="30" l="1"/>
  <c r="AK149" i="30"/>
  <c r="AS151" i="30"/>
  <c r="AS149" i="30"/>
  <c r="AL151" i="30"/>
  <c r="AL149" i="30"/>
  <c r="AO151" i="30"/>
  <c r="AO149" i="30"/>
  <c r="AF151" i="30"/>
  <c r="AF149" i="30"/>
  <c r="AP151" i="30"/>
  <c r="AP149" i="30"/>
  <c r="BH117" i="30"/>
  <c r="AW150" i="30"/>
  <c r="BD120" i="30"/>
  <c r="AI117" i="30"/>
  <c r="AQ151" i="30"/>
  <c r="AQ149" i="30"/>
  <c r="BF120" i="30"/>
  <c r="AU117" i="30"/>
  <c r="BJ120" i="30"/>
  <c r="AY117" i="30"/>
  <c r="BC151" i="30"/>
  <c r="BC149" i="30"/>
  <c r="AJ149" i="30"/>
  <c r="AN151" i="30"/>
  <c r="AN149" i="30"/>
  <c r="AR151" i="30"/>
  <c r="AR149" i="30"/>
  <c r="BG120" i="30"/>
  <c r="AV117" i="30"/>
  <c r="BK120" i="30"/>
  <c r="AZ117" i="30"/>
  <c r="AW295" i="30"/>
  <c r="BH295" i="30" s="1"/>
  <c r="AW293" i="30"/>
  <c r="BH294" i="30"/>
  <c r="BI261" i="30"/>
  <c r="AX294" i="30"/>
  <c r="AG117" i="30"/>
  <c r="AX117" i="30"/>
  <c r="F282" i="30" a="1"/>
  <c r="F282" i="30" s="1"/>
  <c r="BO281" i="30"/>
  <c r="AJ281" i="30"/>
  <c r="AT281" i="30"/>
  <c r="BM261" i="30"/>
  <c r="BB294" i="30"/>
  <c r="BL261" i="30"/>
  <c r="BA294" i="30"/>
  <c r="BG262" i="29"/>
  <c r="BK262" i="29"/>
  <c r="BD262" i="29"/>
  <c r="BF262" i="29"/>
  <c r="BJ262" i="29"/>
  <c r="BK294" i="30"/>
  <c r="AZ293" i="30"/>
  <c r="AZ295" i="30"/>
  <c r="BK295" i="30" s="1"/>
  <c r="AY295" i="30"/>
  <c r="BJ295" i="30" s="1"/>
  <c r="AY293" i="30"/>
  <c r="BJ294" i="30"/>
  <c r="AI295" i="30"/>
  <c r="AI293" i="30"/>
  <c r="BG294" i="30"/>
  <c r="AV293" i="30"/>
  <c r="AV295" i="30"/>
  <c r="BG295" i="30" s="1"/>
  <c r="AU295" i="30"/>
  <c r="BF295" i="30" s="1"/>
  <c r="AU293" i="30"/>
  <c r="BF294" i="30"/>
  <c r="AJ295" i="30"/>
  <c r="AE151" i="30"/>
  <c r="AE149" i="30"/>
  <c r="AM151" i="30"/>
  <c r="AM149" i="30"/>
  <c r="BE261" i="30"/>
  <c r="AT294" i="30"/>
  <c r="BL117" i="30"/>
  <c r="BA150" i="30"/>
  <c r="F136" i="30" a="1"/>
  <c r="F136" i="30" s="1"/>
  <c r="F137" i="30" s="1" a="1"/>
  <c r="F137" i="30" s="1"/>
  <c r="BO135" i="30"/>
  <c r="AJ135" i="30"/>
  <c r="AJ151" i="30" s="1"/>
  <c r="F119" i="29" a="1"/>
  <c r="F119" i="29" s="1"/>
  <c r="BO118" i="29"/>
  <c r="BB118" i="29"/>
  <c r="AZ118" i="29"/>
  <c r="AX118" i="29"/>
  <c r="AV118" i="29"/>
  <c r="AT118" i="29"/>
  <c r="AR118" i="29"/>
  <c r="AP118" i="29"/>
  <c r="AN118" i="29"/>
  <c r="AL118" i="29"/>
  <c r="AJ118" i="29"/>
  <c r="AF118" i="29"/>
  <c r="BC118" i="29"/>
  <c r="BA118" i="29"/>
  <c r="AY118" i="29"/>
  <c r="AW118" i="29"/>
  <c r="AU118" i="29"/>
  <c r="AS118" i="29"/>
  <c r="AQ118" i="29"/>
  <c r="AO118" i="29"/>
  <c r="AM118" i="29"/>
  <c r="AK118" i="29"/>
  <c r="AI118" i="29"/>
  <c r="AG118" i="29"/>
  <c r="AE118" i="29"/>
  <c r="AH261" i="30"/>
  <c r="AG294" i="30"/>
  <c r="AT117" i="30"/>
  <c r="BB117" i="30"/>
  <c r="BE262" i="29"/>
  <c r="BI262" i="29"/>
  <c r="BM262" i="29"/>
  <c r="BC263" i="29"/>
  <c r="BA263" i="29"/>
  <c r="BL263" i="29" s="1"/>
  <c r="AY263" i="29"/>
  <c r="BJ263" i="29" s="1"/>
  <c r="AW263" i="29"/>
  <c r="BH263" i="29" s="1"/>
  <c r="AU263" i="29"/>
  <c r="BF263" i="29" s="1"/>
  <c r="AS263" i="29"/>
  <c r="AQ263" i="29"/>
  <c r="AO263" i="29"/>
  <c r="AM263" i="29"/>
  <c r="AK263" i="29"/>
  <c r="AI263" i="29"/>
  <c r="BD263" i="29" s="1"/>
  <c r="AG263" i="29"/>
  <c r="AE263" i="29"/>
  <c r="F264" i="29" a="1"/>
  <c r="F264" i="29" s="1"/>
  <c r="BO263" i="29"/>
  <c r="BB263" i="29"/>
  <c r="BM263" i="29" s="1"/>
  <c r="AZ263" i="29"/>
  <c r="BK263" i="29" s="1"/>
  <c r="AX263" i="29"/>
  <c r="BI263" i="29" s="1"/>
  <c r="AV263" i="29"/>
  <c r="BG263" i="29" s="1"/>
  <c r="AT263" i="29"/>
  <c r="BE263" i="29" s="1"/>
  <c r="AR263" i="29"/>
  <c r="AP263" i="29"/>
  <c r="AN263" i="29"/>
  <c r="AL263" i="29"/>
  <c r="AJ263" i="29"/>
  <c r="AF263" i="29"/>
  <c r="AH262" i="29"/>
  <c r="BH262" i="29"/>
  <c r="BL262" i="29"/>
  <c r="BM117" i="30" l="1"/>
  <c r="BB150" i="30"/>
  <c r="AG295" i="30"/>
  <c r="AG293" i="30"/>
  <c r="AH293" i="30" s="1"/>
  <c r="AH294" i="30"/>
  <c r="AH295" i="30" s="1"/>
  <c r="BD118" i="29"/>
  <c r="BF118" i="29"/>
  <c r="BJ118" i="29"/>
  <c r="BG118" i="29"/>
  <c r="BK118" i="29"/>
  <c r="F138" i="30" a="1"/>
  <c r="F138" i="30" s="1"/>
  <c r="BO137" i="30"/>
  <c r="AJ137" i="30"/>
  <c r="AT137" i="30"/>
  <c r="BA151" i="30"/>
  <c r="BL151" i="30" s="1"/>
  <c r="BA149" i="30"/>
  <c r="BL150" i="30"/>
  <c r="BE294" i="30"/>
  <c r="AT282" i="30"/>
  <c r="AJ282" i="30"/>
  <c r="F283" i="30" a="1"/>
  <c r="F283" i="30" s="1"/>
  <c r="BO282" i="30"/>
  <c r="AH117" i="30"/>
  <c r="AG150" i="30"/>
  <c r="BK117" i="30"/>
  <c r="AZ150" i="30"/>
  <c r="BG117" i="30"/>
  <c r="AV150" i="30"/>
  <c r="BJ117" i="30"/>
  <c r="AY150" i="30"/>
  <c r="BF117" i="30"/>
  <c r="AU150" i="30"/>
  <c r="BD117" i="30"/>
  <c r="AI150" i="30"/>
  <c r="AW151" i="30"/>
  <c r="BH151" i="30" s="1"/>
  <c r="AW149" i="30"/>
  <c r="BH150" i="30"/>
  <c r="BC264" i="29"/>
  <c r="BC261" i="29" s="1"/>
  <c r="BC294" i="29" s="1"/>
  <c r="BA264" i="29"/>
  <c r="AY264" i="29"/>
  <c r="BJ264" i="29" s="1"/>
  <c r="AW264" i="29"/>
  <c r="AU264" i="29"/>
  <c r="BF264" i="29" s="1"/>
  <c r="AS264" i="29"/>
  <c r="AS261" i="29" s="1"/>
  <c r="AS294" i="29" s="1"/>
  <c r="AQ264" i="29"/>
  <c r="AQ261" i="29" s="1"/>
  <c r="AQ294" i="29" s="1"/>
  <c r="AO264" i="29"/>
  <c r="AO261" i="29" s="1"/>
  <c r="AO294" i="29" s="1"/>
  <c r="AM264" i="29"/>
  <c r="AM261" i="29" s="1"/>
  <c r="AM294" i="29" s="1"/>
  <c r="AK264" i="29"/>
  <c r="AK261" i="29" s="1"/>
  <c r="AK294" i="29" s="1"/>
  <c r="AI264" i="29"/>
  <c r="BD264" i="29" s="1"/>
  <c r="AG264" i="29"/>
  <c r="AE264" i="29"/>
  <c r="AE261" i="29" s="1"/>
  <c r="AE294" i="29" s="1"/>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O264" i="29"/>
  <c r="BB264" i="29"/>
  <c r="BM264" i="29" s="1"/>
  <c r="AZ264" i="29"/>
  <c r="BK264" i="29" s="1"/>
  <c r="AX264" i="29"/>
  <c r="BI264" i="29" s="1"/>
  <c r="AV264" i="29"/>
  <c r="BG264" i="29" s="1"/>
  <c r="AT264" i="29"/>
  <c r="BE264" i="29" s="1"/>
  <c r="AR264" i="29"/>
  <c r="AR261" i="29" s="1"/>
  <c r="AR294" i="29" s="1"/>
  <c r="AP264" i="29"/>
  <c r="AP261" i="29" s="1"/>
  <c r="AP294" i="29" s="1"/>
  <c r="AN264" i="29"/>
  <c r="AN261" i="29" s="1"/>
  <c r="AN294" i="29" s="1"/>
  <c r="AL264" i="29"/>
  <c r="AL261" i="29" s="1"/>
  <c r="AL294" i="29" s="1"/>
  <c r="AJ264" i="29"/>
  <c r="AJ261" i="29" s="1"/>
  <c r="AJ294" i="29" s="1"/>
  <c r="AF264" i="29"/>
  <c r="AF261" i="29" s="1"/>
  <c r="AF294" i="29" s="1"/>
  <c r="AH263" i="29"/>
  <c r="BB261" i="29"/>
  <c r="AX261" i="29"/>
  <c r="AT261" i="29"/>
  <c r="BE117" i="30"/>
  <c r="AT150" i="30"/>
  <c r="AH118" i="29"/>
  <c r="BH118" i="29"/>
  <c r="BL118" i="29"/>
  <c r="BE118" i="29"/>
  <c r="BI118" i="29"/>
  <c r="BM118" i="29"/>
  <c r="F120" i="29" a="1"/>
  <c r="F120" i="29" s="1"/>
  <c r="BO119" i="29"/>
  <c r="BB119" i="29"/>
  <c r="BM119" i="29" s="1"/>
  <c r="AZ119" i="29"/>
  <c r="BK119" i="29" s="1"/>
  <c r="AX119" i="29"/>
  <c r="BI119" i="29" s="1"/>
  <c r="AV119" i="29"/>
  <c r="BG119" i="29" s="1"/>
  <c r="AT119" i="29"/>
  <c r="BE119" i="29" s="1"/>
  <c r="AR119" i="29"/>
  <c r="AP119" i="29"/>
  <c r="AN119" i="29"/>
  <c r="AL119" i="29"/>
  <c r="AJ119" i="29"/>
  <c r="AF119" i="29"/>
  <c r="BC119" i="29"/>
  <c r="BA119" i="29"/>
  <c r="BL119" i="29" s="1"/>
  <c r="AY119" i="29"/>
  <c r="BJ119" i="29" s="1"/>
  <c r="AW119" i="29"/>
  <c r="BH119" i="29" s="1"/>
  <c r="AU119" i="29"/>
  <c r="BF119" i="29" s="1"/>
  <c r="AS119" i="29"/>
  <c r="AQ119" i="29"/>
  <c r="AO119" i="29"/>
  <c r="AM119" i="29"/>
  <c r="AK119" i="29"/>
  <c r="AI119" i="29"/>
  <c r="BD119" i="29" s="1"/>
  <c r="AG119" i="29"/>
  <c r="AH119" i="29" s="1"/>
  <c r="AE119" i="29"/>
  <c r="BD294" i="30"/>
  <c r="AY261" i="29"/>
  <c r="AU261" i="29"/>
  <c r="AI261" i="29"/>
  <c r="BA295" i="30"/>
  <c r="BL295" i="30" s="1"/>
  <c r="BA293" i="30"/>
  <c r="BL294" i="30"/>
  <c r="BM294" i="30"/>
  <c r="BB295" i="30"/>
  <c r="BM295" i="30" s="1"/>
  <c r="BB293" i="30"/>
  <c r="BI117" i="30"/>
  <c r="AX150" i="30"/>
  <c r="BI294" i="30"/>
  <c r="AX295" i="30"/>
  <c r="BI295" i="30" s="1"/>
  <c r="AX293" i="30"/>
  <c r="AN295" i="29" l="1"/>
  <c r="AN293" i="29"/>
  <c r="AE295" i="29"/>
  <c r="AE293" i="29"/>
  <c r="AQ295" i="29"/>
  <c r="AQ293" i="29"/>
  <c r="BC295" i="29"/>
  <c r="BC293" i="29"/>
  <c r="AR295" i="29"/>
  <c r="AR293" i="29"/>
  <c r="AM295" i="29"/>
  <c r="AM293" i="29"/>
  <c r="AF295" i="29"/>
  <c r="AF293" i="29"/>
  <c r="AL295" i="29"/>
  <c r="AL293" i="29"/>
  <c r="AP295" i="29"/>
  <c r="AP293" i="29"/>
  <c r="BF261" i="29"/>
  <c r="AU294" i="29"/>
  <c r="BI150" i="30"/>
  <c r="AX151" i="30"/>
  <c r="BI151" i="30" s="1"/>
  <c r="AX149" i="30"/>
  <c r="BD261" i="29"/>
  <c r="AI294" i="29"/>
  <c r="BJ261" i="29"/>
  <c r="AY294" i="29"/>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BM120" i="29" s="1"/>
  <c r="AZ120" i="29"/>
  <c r="BK120" i="29" s="1"/>
  <c r="AX120" i="29"/>
  <c r="BI120" i="29" s="1"/>
  <c r="AV120" i="29"/>
  <c r="BG120" i="29" s="1"/>
  <c r="AT120" i="29"/>
  <c r="BE120" i="29" s="1"/>
  <c r="AR120" i="29"/>
  <c r="AR117" i="29" s="1"/>
  <c r="AR150" i="29" s="1"/>
  <c r="AP120" i="29"/>
  <c r="AP117" i="29" s="1"/>
  <c r="AP150" i="29" s="1"/>
  <c r="AN120" i="29"/>
  <c r="AN117" i="29" s="1"/>
  <c r="AN150" i="29" s="1"/>
  <c r="AL120" i="29"/>
  <c r="AL117" i="29" s="1"/>
  <c r="AL150" i="29" s="1"/>
  <c r="AJ120" i="29"/>
  <c r="AJ117" i="29" s="1"/>
  <c r="AJ150" i="29" s="1"/>
  <c r="AF120" i="29"/>
  <c r="AF117" i="29" s="1"/>
  <c r="AF150" i="29" s="1"/>
  <c r="BC120" i="29"/>
  <c r="BC117" i="29" s="1"/>
  <c r="BC150" i="29" s="1"/>
  <c r="BA120" i="29"/>
  <c r="BL120" i="29" s="1"/>
  <c r="AY120" i="29"/>
  <c r="BJ120" i="29" s="1"/>
  <c r="AW120" i="29"/>
  <c r="BH120" i="29" s="1"/>
  <c r="AU120" i="29"/>
  <c r="BF120" i="29" s="1"/>
  <c r="AS120" i="29"/>
  <c r="AS117" i="29" s="1"/>
  <c r="AS150" i="29" s="1"/>
  <c r="AQ120" i="29"/>
  <c r="AQ117" i="29" s="1"/>
  <c r="AQ150" i="29" s="1"/>
  <c r="AO120" i="29"/>
  <c r="AO117" i="29" s="1"/>
  <c r="AO150" i="29" s="1"/>
  <c r="AM120" i="29"/>
  <c r="AM117" i="29" s="1"/>
  <c r="AM150" i="29" s="1"/>
  <c r="AK120" i="29"/>
  <c r="AK117" i="29" s="1"/>
  <c r="AK150" i="29" s="1"/>
  <c r="AI120" i="29"/>
  <c r="BD120" i="29" s="1"/>
  <c r="AG120" i="29"/>
  <c r="AH120" i="29" s="1"/>
  <c r="AE120" i="29"/>
  <c r="AE117" i="29" s="1"/>
  <c r="AE150" i="29" s="1"/>
  <c r="BA117" i="29"/>
  <c r="AW117" i="29"/>
  <c r="BI261" i="29"/>
  <c r="AX294" i="29"/>
  <c r="AI151" i="30"/>
  <c r="BD151" i="30" s="1"/>
  <c r="AI149" i="30"/>
  <c r="BD150" i="30"/>
  <c r="AU151" i="30"/>
  <c r="BF151" i="30" s="1"/>
  <c r="AU149" i="30"/>
  <c r="BF150" i="30"/>
  <c r="AY151" i="30"/>
  <c r="BJ151" i="30" s="1"/>
  <c r="AY149" i="30"/>
  <c r="BJ150" i="30"/>
  <c r="BG150" i="30"/>
  <c r="AV151" i="30"/>
  <c r="BG151" i="30" s="1"/>
  <c r="AV149" i="30"/>
  <c r="BK150" i="30"/>
  <c r="AZ151" i="30"/>
  <c r="BK151" i="30" s="1"/>
  <c r="AZ149" i="30"/>
  <c r="AG151" i="30"/>
  <c r="AG149" i="30"/>
  <c r="AH149" i="30" s="1"/>
  <c r="AH150" i="30"/>
  <c r="AH151" i="30" s="1"/>
  <c r="AV261" i="29"/>
  <c r="AZ117" i="29"/>
  <c r="AV117" i="29"/>
  <c r="AY117" i="29"/>
  <c r="AU117" i="29"/>
  <c r="AI117" i="29"/>
  <c r="BM150" i="30"/>
  <c r="BB151" i="30"/>
  <c r="BM151" i="30" s="1"/>
  <c r="BB149" i="30"/>
  <c r="BB117" i="29"/>
  <c r="AX117" i="29"/>
  <c r="AT117" i="29"/>
  <c r="AG117" i="29"/>
  <c r="BE150" i="30"/>
  <c r="AT149" i="30"/>
  <c r="BE261" i="29"/>
  <c r="AT294" i="29"/>
  <c r="BM261" i="29"/>
  <c r="BB294" i="29"/>
  <c r="F280" i="29" a="1"/>
  <c r="F280" i="29" s="1"/>
  <c r="F281" i="29" s="1" a="1"/>
  <c r="F281" i="29" s="1"/>
  <c r="BO279" i="29"/>
  <c r="AJ279" i="29"/>
  <c r="AJ295" i="29" s="1"/>
  <c r="AH264" i="29"/>
  <c r="AG261" i="29"/>
  <c r="AK295" i="29"/>
  <c r="AK293" i="29"/>
  <c r="AO295" i="29"/>
  <c r="AO293" i="29"/>
  <c r="AS295" i="29"/>
  <c r="AS293" i="29"/>
  <c r="BH264" i="29"/>
  <c r="AW261" i="29"/>
  <c r="BL264" i="29"/>
  <c r="BA261" i="29"/>
  <c r="F284" i="30" a="1"/>
  <c r="F284" i="30" s="1"/>
  <c r="AJ283" i="30"/>
  <c r="AZ261" i="29"/>
  <c r="AT138" i="30"/>
  <c r="F139" i="30" a="1"/>
  <c r="F139" i="30" s="1"/>
  <c r="BO138" i="30"/>
  <c r="AJ138" i="30"/>
  <c r="AK151" i="29" l="1"/>
  <c r="AK149" i="29"/>
  <c r="AO151" i="29"/>
  <c r="AO149" i="29"/>
  <c r="AS151" i="29"/>
  <c r="AS149" i="29"/>
  <c r="AF151" i="29"/>
  <c r="AF149" i="29"/>
  <c r="AL151" i="29"/>
  <c r="AL149" i="29"/>
  <c r="AP151" i="29"/>
  <c r="AP149" i="29"/>
  <c r="AE151" i="29"/>
  <c r="AE149" i="29"/>
  <c r="AM151" i="29"/>
  <c r="AM149" i="29"/>
  <c r="AQ151" i="29"/>
  <c r="AQ149" i="29"/>
  <c r="BC151" i="29"/>
  <c r="BC149" i="29"/>
  <c r="AJ149" i="29"/>
  <c r="AN151" i="29"/>
  <c r="AN149" i="29"/>
  <c r="AR151" i="29"/>
  <c r="AR149" i="29"/>
  <c r="BL261" i="29"/>
  <c r="BA294" i="29"/>
  <c r="BH261" i="29"/>
  <c r="AW294" i="29"/>
  <c r="AH261" i="29"/>
  <c r="AG294" i="29"/>
  <c r="BB295" i="29"/>
  <c r="BM295" i="29" s="1"/>
  <c r="BB293" i="29"/>
  <c r="BM294" i="29"/>
  <c r="BE294" i="29"/>
  <c r="BE117" i="29"/>
  <c r="AT150" i="29"/>
  <c r="BM117" i="29"/>
  <c r="BB150" i="29"/>
  <c r="BD117" i="29"/>
  <c r="AI150" i="29"/>
  <c r="BJ117" i="29"/>
  <c r="AY150" i="29"/>
  <c r="BK117" i="29"/>
  <c r="AZ150" i="29"/>
  <c r="AX295" i="29"/>
  <c r="BI295" i="29" s="1"/>
  <c r="AX293" i="29"/>
  <c r="BI294" i="29"/>
  <c r="BH117" i="29"/>
  <c r="AW150" i="29"/>
  <c r="BJ294" i="29"/>
  <c r="AY295" i="29"/>
  <c r="BJ295" i="29" s="1"/>
  <c r="AY293" i="29"/>
  <c r="BD294" i="29"/>
  <c r="AI295" i="29"/>
  <c r="AI293" i="29"/>
  <c r="AJ293" i="29"/>
  <c r="F140" i="30" a="1"/>
  <c r="F140" i="30" s="1"/>
  <c r="AJ139" i="30"/>
  <c r="BK261" i="29"/>
  <c r="AZ294" i="29"/>
  <c r="AT284" i="30"/>
  <c r="F285" i="30" a="1"/>
  <c r="F285" i="30" s="1"/>
  <c r="AJ284" i="30"/>
  <c r="BO284" i="30"/>
  <c r="AT281" i="29"/>
  <c r="F282" i="29" a="1"/>
  <c r="F282" i="29" s="1"/>
  <c r="BO281" i="29"/>
  <c r="AJ281" i="29"/>
  <c r="AH117" i="29"/>
  <c r="AG150" i="29"/>
  <c r="BI117" i="29"/>
  <c r="AX150" i="29"/>
  <c r="BF117" i="29"/>
  <c r="AU150" i="29"/>
  <c r="BG117" i="29"/>
  <c r="AV150" i="29"/>
  <c r="BG261" i="29"/>
  <c r="AV294" i="29"/>
  <c r="BL117" i="29"/>
  <c r="BA150" i="29"/>
  <c r="F136" i="29" a="1"/>
  <c r="F136" i="29" s="1"/>
  <c r="F137" i="29" s="1" a="1"/>
  <c r="F137" i="29" s="1"/>
  <c r="BO135" i="29"/>
  <c r="AJ135" i="29"/>
  <c r="AJ151" i="29" s="1"/>
  <c r="BF294" i="29"/>
  <c r="AU295" i="29"/>
  <c r="BF295" i="29" s="1"/>
  <c r="AU293" i="29"/>
  <c r="BK150" i="29" l="1"/>
  <c r="AZ151" i="29"/>
  <c r="BK151" i="29" s="1"/>
  <c r="AZ149" i="29"/>
  <c r="AY151" i="29"/>
  <c r="BJ151" i="29" s="1"/>
  <c r="AY149" i="29"/>
  <c r="BJ150" i="29"/>
  <c r="AI151" i="29"/>
  <c r="BD151" i="29" s="1"/>
  <c r="AI149" i="29"/>
  <c r="BD150" i="29"/>
  <c r="BM150" i="29"/>
  <c r="BB151" i="29"/>
  <c r="BM151" i="29" s="1"/>
  <c r="BB149" i="29"/>
  <c r="BE150" i="29"/>
  <c r="AT149" i="29"/>
  <c r="AH294" i="29"/>
  <c r="AH295" i="29" s="1"/>
  <c r="AG295" i="29"/>
  <c r="AG293" i="29"/>
  <c r="AH293" i="29" s="1"/>
  <c r="BH294" i="29"/>
  <c r="AW295" i="29"/>
  <c r="BH295" i="29" s="1"/>
  <c r="AW293" i="29"/>
  <c r="BL294" i="29"/>
  <c r="BA295" i="29"/>
  <c r="BL295" i="29" s="1"/>
  <c r="BA293" i="29"/>
  <c r="F138" i="29" a="1"/>
  <c r="F138" i="29" s="1"/>
  <c r="BO137" i="29"/>
  <c r="AJ137" i="29"/>
  <c r="AT137" i="29"/>
  <c r="BA151" i="29"/>
  <c r="BL151" i="29" s="1"/>
  <c r="BA149" i="29"/>
  <c r="BL150" i="29"/>
  <c r="AV295" i="29"/>
  <c r="BG295" i="29" s="1"/>
  <c r="AV293" i="29"/>
  <c r="BG294" i="29"/>
  <c r="BG150" i="29"/>
  <c r="AV151" i="29"/>
  <c r="BG151" i="29" s="1"/>
  <c r="AV149" i="29"/>
  <c r="AU151" i="29"/>
  <c r="BF151" i="29" s="1"/>
  <c r="AU149" i="29"/>
  <c r="BF150" i="29"/>
  <c r="BI150" i="29"/>
  <c r="AX151" i="29"/>
  <c r="BI151" i="29" s="1"/>
  <c r="AX149" i="29"/>
  <c r="AG151" i="29"/>
  <c r="AG149" i="29"/>
  <c r="AH149" i="29" s="1"/>
  <c r="AH150" i="29"/>
  <c r="AH151" i="29" s="1"/>
  <c r="F283" i="29" a="1"/>
  <c r="F283" i="29" s="1"/>
  <c r="BO282" i="29"/>
  <c r="AJ282" i="29"/>
  <c r="AT282" i="29"/>
  <c r="F286" i="30" a="1"/>
  <c r="F286" i="30" s="1"/>
  <c r="BO285" i="30"/>
  <c r="AJ285" i="30"/>
  <c r="AT285" i="30"/>
  <c r="AZ295" i="29"/>
  <c r="BK295" i="29" s="1"/>
  <c r="AZ293" i="29"/>
  <c r="BK294" i="29"/>
  <c r="AT140" i="30"/>
  <c r="F141" i="30" a="1"/>
  <c r="F141" i="30" s="1"/>
  <c r="BO140" i="30"/>
  <c r="AJ140" i="30"/>
  <c r="AW151" i="29"/>
  <c r="BH151" i="29" s="1"/>
  <c r="AW149" i="29"/>
  <c r="BH150" i="29"/>
  <c r="F142" i="30" l="1" a="1"/>
  <c r="F142" i="30" s="1"/>
  <c r="BO141" i="30"/>
  <c r="AJ141" i="30"/>
  <c r="AT141" i="30"/>
  <c r="AT286" i="30"/>
  <c r="F287" i="30" a="1"/>
  <c r="F287" i="30" s="1"/>
  <c r="BO286" i="30"/>
  <c r="AJ286" i="30"/>
  <c r="F284" i="29" a="1"/>
  <c r="F284" i="29" s="1"/>
  <c r="AJ283" i="29"/>
  <c r="AT138" i="29"/>
  <c r="F139" i="29" a="1"/>
  <c r="F139" i="29" s="1"/>
  <c r="BO138" i="29"/>
  <c r="AJ138" i="29"/>
  <c r="F285" i="29" l="1" a="1"/>
  <c r="F285" i="29" s="1"/>
  <c r="BO284" i="29"/>
  <c r="AJ284" i="29"/>
  <c r="AT284" i="29"/>
  <c r="F288" i="30" a="1"/>
  <c r="F288" i="30" s="1"/>
  <c r="BO287" i="30"/>
  <c r="AT287" i="30"/>
  <c r="BE287" i="30" s="1"/>
  <c r="AJ287" i="30"/>
  <c r="F140" i="29" a="1"/>
  <c r="F140" i="29" s="1"/>
  <c r="AJ139" i="29"/>
  <c r="AT142" i="30"/>
  <c r="F143" i="30" a="1"/>
  <c r="F143" i="30" s="1"/>
  <c r="BO142" i="30"/>
  <c r="AJ142" i="30"/>
  <c r="F144" i="30" l="1" a="1"/>
  <c r="F144" i="30" s="1"/>
  <c r="BO143" i="30"/>
  <c r="AT143" i="30"/>
  <c r="BE143" i="30" s="1"/>
  <c r="AJ143" i="30"/>
  <c r="AT140" i="29"/>
  <c r="F141" i="29" a="1"/>
  <c r="F141" i="29" s="1"/>
  <c r="BO140" i="29"/>
  <c r="AJ140" i="29"/>
  <c r="AT288" i="30"/>
  <c r="AJ288" i="30"/>
  <c r="F289" i="30" a="1"/>
  <c r="F289" i="30" s="1"/>
  <c r="BO288" i="30"/>
  <c r="AT285" i="29"/>
  <c r="F286" i="29" a="1"/>
  <c r="F286" i="29" s="1"/>
  <c r="BO285" i="29"/>
  <c r="AJ285" i="29"/>
  <c r="F287" i="29" l="1" a="1"/>
  <c r="F287" i="29" s="1"/>
  <c r="BO286" i="29"/>
  <c r="AJ286" i="29"/>
  <c r="AT286" i="29"/>
  <c r="F142" i="29" a="1"/>
  <c r="F142" i="29" s="1"/>
  <c r="BO141" i="29"/>
  <c r="AJ141" i="29"/>
  <c r="AT141" i="29"/>
  <c r="F290" i="30" a="1"/>
  <c r="F290" i="30" s="1"/>
  <c r="BO289" i="30"/>
  <c r="AJ289" i="30"/>
  <c r="AT289" i="30"/>
  <c r="AT144" i="30"/>
  <c r="F145" i="30" a="1"/>
  <c r="F145" i="30" s="1"/>
  <c r="BO144" i="30"/>
  <c r="AJ144" i="30"/>
  <c r="F146" i="30" l="1" a="1"/>
  <c r="F146" i="30" s="1"/>
  <c r="BO145" i="30"/>
  <c r="AJ145" i="30"/>
  <c r="AT145" i="30"/>
  <c r="AT290" i="30"/>
  <c r="AJ290" i="30"/>
  <c r="F291" i="30" a="1"/>
  <c r="F291" i="30" s="1"/>
  <c r="BO290" i="30"/>
  <c r="AT142" i="29"/>
  <c r="F143" i="29" a="1"/>
  <c r="F143" i="29" s="1"/>
  <c r="BO142" i="29"/>
  <c r="AJ142" i="29"/>
  <c r="F288" i="29" a="1"/>
  <c r="F288" i="29" s="1"/>
  <c r="BO287" i="29"/>
  <c r="AT287" i="29"/>
  <c r="BE287" i="29" s="1"/>
  <c r="AJ287" i="29"/>
  <c r="F144" i="29" l="1" a="1"/>
  <c r="F144" i="29" s="1"/>
  <c r="BO143" i="29"/>
  <c r="AT143" i="29"/>
  <c r="BE143" i="29" s="1"/>
  <c r="AJ143" i="29"/>
  <c r="F289" i="29" a="1"/>
  <c r="F289" i="29" s="1"/>
  <c r="BO288" i="29"/>
  <c r="AJ288" i="29"/>
  <c r="AT288" i="29"/>
  <c r="BO291" i="30"/>
  <c r="AJ291" i="30"/>
  <c r="F292" i="30" a="1"/>
  <c r="F292" i="30" s="1"/>
  <c r="F293" i="30" s="1" a="1"/>
  <c r="F293" i="30" s="1"/>
  <c r="F294" i="30" s="1" a="1"/>
  <c r="F294" i="30" s="1"/>
  <c r="F295" i="30" s="1" a="1"/>
  <c r="F295" i="30" s="1"/>
  <c r="F296" i="30" s="1" a="1"/>
  <c r="F296" i="30" s="1"/>
  <c r="F297" i="30" s="1" a="1"/>
  <c r="F297" i="30" s="1"/>
  <c r="F298" i="30" s="1" a="1"/>
  <c r="F298" i="30" s="1"/>
  <c r="AT291" i="30"/>
  <c r="AT146" i="30"/>
  <c r="F147" i="30" a="1"/>
  <c r="F147" i="30" s="1"/>
  <c r="BO146" i="30"/>
  <c r="AJ146" i="30"/>
  <c r="BO147" i="30" l="1"/>
  <c r="AJ147" i="30"/>
  <c r="F148" i="30" a="1"/>
  <c r="F148" i="30" s="1"/>
  <c r="F149" i="30" s="1" a="1"/>
  <c r="F149" i="30" s="1"/>
  <c r="F150" i="30" s="1" a="1"/>
  <c r="F150" i="30" s="1"/>
  <c r="F151" i="30" s="1" a="1"/>
  <c r="F151" i="30" s="1"/>
  <c r="F152" i="30" s="1" a="1"/>
  <c r="F152" i="30" s="1"/>
  <c r="F153" i="30" s="1" a="1"/>
  <c r="F153" i="30" s="1"/>
  <c r="F154" i="30" s="1" a="1"/>
  <c r="F154" i="30" s="1"/>
  <c r="AT147" i="30"/>
  <c r="F299" i="30" a="1"/>
  <c r="F299" i="30" s="1"/>
  <c r="F300" i="30" s="1" a="1"/>
  <c r="F300" i="30" s="1"/>
  <c r="F301" i="30" s="1" a="1"/>
  <c r="F301" i="30" s="1"/>
  <c r="F302" i="30" s="1" a="1"/>
  <c r="F302" i="30" s="1"/>
  <c r="F303" i="30" s="1" a="1"/>
  <c r="F303" i="30" s="1"/>
  <c r="F304" i="30" s="1" a="1"/>
  <c r="F304" i="30" s="1"/>
  <c r="F305" i="30" s="1" a="1"/>
  <c r="F305" i="30" s="1"/>
  <c r="F306" i="30" s="1" a="1"/>
  <c r="F306" i="30" s="1"/>
  <c r="BC298" i="30"/>
  <c r="BA298" i="30"/>
  <c r="AY298" i="30"/>
  <c r="AW298" i="30"/>
  <c r="AU298" i="30"/>
  <c r="AS298" i="30"/>
  <c r="AQ298" i="30"/>
  <c r="AO298" i="30"/>
  <c r="AM298" i="30"/>
  <c r="AK298" i="30"/>
  <c r="AI298" i="30"/>
  <c r="AG298" i="30"/>
  <c r="AE298" i="30"/>
  <c r="BB298" i="30"/>
  <c r="AX298" i="30"/>
  <c r="AT298" i="30"/>
  <c r="AP298" i="30"/>
  <c r="AL298" i="30"/>
  <c r="AZ298" i="30"/>
  <c r="AV298" i="30"/>
  <c r="AR298" i="30"/>
  <c r="AN298" i="30"/>
  <c r="AJ298" i="30"/>
  <c r="AF298" i="30"/>
  <c r="AT289" i="29"/>
  <c r="F290" i="29" a="1"/>
  <c r="F290" i="29" s="1"/>
  <c r="BO289" i="29"/>
  <c r="AJ289" i="29"/>
  <c r="AT144" i="29"/>
  <c r="F145" i="29" a="1"/>
  <c r="F145" i="29" s="1"/>
  <c r="BO144" i="29"/>
  <c r="AJ144" i="29"/>
  <c r="AJ304" i="30" l="1"/>
  <c r="AJ299" i="30"/>
  <c r="AJ301" i="30" s="1"/>
  <c r="AJ302" i="30" s="1"/>
  <c r="AR305" i="30"/>
  <c r="AR304" i="30"/>
  <c r="AR299" i="30"/>
  <c r="AR301" i="30" s="1"/>
  <c r="AR302" i="30" s="1"/>
  <c r="AZ305" i="30"/>
  <c r="BK305" i="30" s="1"/>
  <c r="AZ304" i="30"/>
  <c r="AZ299" i="30"/>
  <c r="AZ301" i="30" s="1"/>
  <c r="AZ302" i="30" s="1"/>
  <c r="BA300" i="30" s="1" a="1"/>
  <c r="BA300" i="30" s="1"/>
  <c r="BA303" i="30" s="1"/>
  <c r="AP305" i="30"/>
  <c r="AP304" i="30"/>
  <c r="AP299" i="30"/>
  <c r="AP301" i="30" s="1"/>
  <c r="AP302" i="30" s="1"/>
  <c r="AX305" i="30"/>
  <c r="BI305" i="30" s="1"/>
  <c r="AX304" i="30"/>
  <c r="AX299" i="30"/>
  <c r="AX301" i="30" s="1"/>
  <c r="AX302" i="30" s="1"/>
  <c r="AY300" i="30" s="1" a="1"/>
  <c r="AY300" i="30" s="1"/>
  <c r="AY303" i="30" s="1"/>
  <c r="AE299" i="30"/>
  <c r="AE301" i="30" s="1"/>
  <c r="AE302" i="30" s="1"/>
  <c r="AE304" i="30"/>
  <c r="AI299" i="30"/>
  <c r="AI301" i="30" s="1"/>
  <c r="AI302" i="30" s="1"/>
  <c r="AI304" i="30"/>
  <c r="AM299" i="30"/>
  <c r="AM301" i="30" s="1"/>
  <c r="AM302" i="30" s="1"/>
  <c r="AM305" i="30"/>
  <c r="AM304" i="30"/>
  <c r="AQ299" i="30"/>
  <c r="AQ301" i="30" s="1"/>
  <c r="AQ302" i="30" s="1"/>
  <c r="AQ305" i="30"/>
  <c r="AQ304" i="30"/>
  <c r="AU299" i="30"/>
  <c r="AU301" i="30" s="1"/>
  <c r="AU302" i="30" s="1"/>
  <c r="AV300" i="30" s="1" a="1"/>
  <c r="AV300" i="30" s="1"/>
  <c r="AV303" i="30" s="1"/>
  <c r="AU305" i="30"/>
  <c r="BF305" i="30" s="1"/>
  <c r="AU304" i="30"/>
  <c r="AY299" i="30"/>
  <c r="AY301" i="30" s="1"/>
  <c r="AY302" i="30" s="1"/>
  <c r="AZ300" i="30" s="1" a="1"/>
  <c r="AZ300" i="30" s="1"/>
  <c r="AZ303" i="30" s="1"/>
  <c r="AY305" i="30"/>
  <c r="BJ305" i="30" s="1"/>
  <c r="AY304" i="30"/>
  <c r="BC299" i="30"/>
  <c r="BC301" i="30" s="1"/>
  <c r="BC302" i="30" s="1"/>
  <c r="BC305" i="30"/>
  <c r="BC304" i="30"/>
  <c r="F146" i="29" a="1"/>
  <c r="F146" i="29" s="1"/>
  <c r="BO145" i="29"/>
  <c r="AJ145" i="29"/>
  <c r="AT145" i="29"/>
  <c r="F291" i="29" a="1"/>
  <c r="F291" i="29" s="1"/>
  <c r="BO290" i="29"/>
  <c r="AJ290" i="29"/>
  <c r="AT290" i="29"/>
  <c r="AF304" i="30"/>
  <c r="AF299" i="30"/>
  <c r="AF301" i="30" s="1"/>
  <c r="AF302" i="30" s="1"/>
  <c r="AN305" i="30"/>
  <c r="AN304" i="30"/>
  <c r="AN299" i="30"/>
  <c r="AN301" i="30" s="1"/>
  <c r="AN302" i="30" s="1"/>
  <c r="AV305" i="30"/>
  <c r="BG305" i="30" s="1"/>
  <c r="AV304" i="30"/>
  <c r="AV299" i="30"/>
  <c r="AV301" i="30" s="1"/>
  <c r="AV302" i="30" s="1"/>
  <c r="AW300" i="30" s="1" a="1"/>
  <c r="AW300" i="30" s="1"/>
  <c r="AW303" i="30" s="1"/>
  <c r="AL305" i="30"/>
  <c r="AL304" i="30"/>
  <c r="AL299" i="30"/>
  <c r="AL301" i="30" s="1"/>
  <c r="AL302" i="30" s="1"/>
  <c r="AT299" i="30"/>
  <c r="AT301" i="30" s="1"/>
  <c r="BB305" i="30"/>
  <c r="BM305" i="30" s="1"/>
  <c r="BB304" i="30"/>
  <c r="BB299" i="30"/>
  <c r="BB301" i="30" s="1"/>
  <c r="BB302" i="30" s="1"/>
  <c r="BC300" i="30" s="1" a="1"/>
  <c r="BC300" i="30" s="1"/>
  <c r="BC303" i="30" s="1"/>
  <c r="AG299" i="30"/>
  <c r="AH299" i="30" s="1"/>
  <c r="AH298" i="30"/>
  <c r="AG304" i="30"/>
  <c r="AK301" i="30"/>
  <c r="AK302" i="30" s="1"/>
  <c r="AK299" i="30"/>
  <c r="AK305" i="30"/>
  <c r="AK304" i="30"/>
  <c r="AO301" i="30"/>
  <c r="AO302" i="30" s="1"/>
  <c r="AO299" i="30"/>
  <c r="AO305" i="30"/>
  <c r="AO304" i="30"/>
  <c r="AS301" i="30"/>
  <c r="AS302" i="30" s="1"/>
  <c r="AS299" i="30"/>
  <c r="AS305" i="30"/>
  <c r="AS304" i="30"/>
  <c r="AW301" i="30"/>
  <c r="AW302" i="30" s="1"/>
  <c r="AX300" i="30" s="1" a="1"/>
  <c r="AX300" i="30" s="1"/>
  <c r="AX303" i="30" s="1"/>
  <c r="AW299" i="30"/>
  <c r="AW305" i="30"/>
  <c r="BH305" i="30" s="1"/>
  <c r="AW304" i="30"/>
  <c r="BA301" i="30"/>
  <c r="BA302" i="30" s="1"/>
  <c r="BB300" i="30" s="1" a="1"/>
  <c r="BB300" i="30" s="1"/>
  <c r="BB303" i="30" s="1"/>
  <c r="BA299" i="30"/>
  <c r="BA305" i="30"/>
  <c r="BL305" i="30" s="1"/>
  <c r="BA304" i="30"/>
  <c r="F307" i="30" a="1"/>
  <c r="F307" i="30" s="1"/>
  <c r="F308" i="30" s="1" a="1"/>
  <c r="F308" i="30" s="1"/>
  <c r="F309" i="30" s="1" a="1"/>
  <c r="F309" i="30" s="1"/>
  <c r="F310" i="30" s="1" a="1"/>
  <c r="F310" i="30" s="1"/>
  <c r="F311" i="30" s="1" a="1"/>
  <c r="F311" i="30" s="1"/>
  <c r="F312" i="30" s="1" a="1"/>
  <c r="F312" i="30" s="1"/>
  <c r="F313" i="30" s="1" a="1"/>
  <c r="F313" i="30" s="1"/>
  <c r="F314" i="30" s="1" a="1"/>
  <c r="F314" i="30" s="1"/>
  <c r="BC306" i="30"/>
  <c r="BA306" i="30"/>
  <c r="AY306" i="30"/>
  <c r="AW306" i="30"/>
  <c r="AU306" i="30"/>
  <c r="AS306" i="30"/>
  <c r="AQ306" i="30"/>
  <c r="AO306" i="30"/>
  <c r="AM306" i="30"/>
  <c r="AK306" i="30"/>
  <c r="BB306" i="30"/>
  <c r="AZ306" i="30"/>
  <c r="AX306" i="30"/>
  <c r="AV306" i="30"/>
  <c r="AT306" i="30"/>
  <c r="AR306" i="30"/>
  <c r="AP306" i="30"/>
  <c r="AN306" i="30"/>
  <c r="AL306" i="30"/>
  <c r="AJ306" i="30"/>
  <c r="AF306" i="30"/>
  <c r="AG306" i="30"/>
  <c r="AI306" i="30"/>
  <c r="AE306" i="30"/>
  <c r="F155" i="30" a="1"/>
  <c r="F155" i="30" s="1"/>
  <c r="F156" i="30" s="1" a="1"/>
  <c r="F156" i="30" s="1"/>
  <c r="F157" i="30" s="1" a="1"/>
  <c r="F157" i="30" s="1"/>
  <c r="F158" i="30" s="1" a="1"/>
  <c r="F158" i="30" s="1"/>
  <c r="F159" i="30" s="1" a="1"/>
  <c r="F159" i="30" s="1"/>
  <c r="F160" i="30" s="1" a="1"/>
  <c r="F160" i="30" s="1"/>
  <c r="F161" i="30" s="1" a="1"/>
  <c r="F161" i="30" s="1"/>
  <c r="F162" i="30" s="1" a="1"/>
  <c r="F162" i="30" s="1"/>
  <c r="BC154" i="30"/>
  <c r="BA154" i="30"/>
  <c r="AY154" i="30"/>
  <c r="AW154" i="30"/>
  <c r="AU154" i="30"/>
  <c r="AS154" i="30"/>
  <c r="AQ154" i="30"/>
  <c r="AO154" i="30"/>
  <c r="AM154" i="30"/>
  <c r="AK154" i="30"/>
  <c r="AI154" i="30"/>
  <c r="AG154" i="30"/>
  <c r="AE154" i="30"/>
  <c r="BB154" i="30"/>
  <c r="AZ154" i="30"/>
  <c r="AX154" i="30"/>
  <c r="AV154" i="30"/>
  <c r="AT154" i="30"/>
  <c r="AR154" i="30"/>
  <c r="AP154" i="30"/>
  <c r="AN154" i="30"/>
  <c r="AL154" i="30"/>
  <c r="AJ154" i="30"/>
  <c r="AF154" i="30"/>
  <c r="AN161" i="30" l="1"/>
  <c r="AN160" i="30"/>
  <c r="AN157" i="30"/>
  <c r="AN158" i="30" s="1"/>
  <c r="AN155" i="30"/>
  <c r="AR161" i="30"/>
  <c r="AR160" i="30"/>
  <c r="AR157" i="30"/>
  <c r="AR158" i="30" s="1"/>
  <c r="AR155" i="30"/>
  <c r="AV161" i="30"/>
  <c r="BG161" i="30" s="1"/>
  <c r="AV160" i="30"/>
  <c r="AV157" i="30"/>
  <c r="AV158" i="30" s="1"/>
  <c r="AW156" i="30" s="1" a="1"/>
  <c r="AW156" i="30" s="1"/>
  <c r="AW159" i="30" s="1"/>
  <c r="AV155" i="30"/>
  <c r="AZ161" i="30"/>
  <c r="BK161" i="30" s="1"/>
  <c r="AZ160" i="30"/>
  <c r="AZ157" i="30"/>
  <c r="AZ158" i="30" s="1"/>
  <c r="BA156" i="30" s="1" a="1"/>
  <c r="BA156" i="30" s="1"/>
  <c r="BA159" i="30" s="1"/>
  <c r="AZ155" i="30"/>
  <c r="AE157" i="30"/>
  <c r="AE158" i="30" s="1"/>
  <c r="AE155" i="30"/>
  <c r="AE161" i="30"/>
  <c r="AE160" i="30"/>
  <c r="AI157" i="30"/>
  <c r="AI158" i="30" s="1"/>
  <c r="AI155" i="30"/>
  <c r="AI161" i="30"/>
  <c r="BD161" i="30" s="1"/>
  <c r="AI160" i="30"/>
  <c r="AM157" i="30"/>
  <c r="AM158" i="30" s="1"/>
  <c r="AM155" i="30"/>
  <c r="AM161" i="30"/>
  <c r="AM160" i="30"/>
  <c r="AQ157" i="30"/>
  <c r="AQ158" i="30" s="1"/>
  <c r="AQ155" i="30"/>
  <c r="AQ161" i="30"/>
  <c r="AQ160" i="30"/>
  <c r="AU157" i="30"/>
  <c r="AU158" i="30" s="1"/>
  <c r="AV156" i="30" s="1" a="1"/>
  <c r="AV156" i="30" s="1"/>
  <c r="AV159" i="30" s="1"/>
  <c r="AU155" i="30"/>
  <c r="AU161" i="30"/>
  <c r="BF161" i="30" s="1"/>
  <c r="AU160" i="30"/>
  <c r="AY157" i="30"/>
  <c r="AY158" i="30" s="1"/>
  <c r="AZ156" i="30" s="1" a="1"/>
  <c r="AZ156" i="30" s="1"/>
  <c r="AZ159" i="30" s="1"/>
  <c r="AY155" i="30"/>
  <c r="AY161" i="30"/>
  <c r="BJ161" i="30" s="1"/>
  <c r="AY160" i="30"/>
  <c r="BC157" i="30"/>
  <c r="BC158" i="30" s="1"/>
  <c r="BC155" i="30"/>
  <c r="BC161" i="30"/>
  <c r="BC160" i="30"/>
  <c r="AE310" i="30"/>
  <c r="AE308" i="30"/>
  <c r="AE307" i="30"/>
  <c r="AE309" i="30" s="1"/>
  <c r="AG308" i="30"/>
  <c r="AG307" i="30"/>
  <c r="AH306" i="30"/>
  <c r="AJ310" i="30"/>
  <c r="AJ308" i="30"/>
  <c r="AJ307" i="30"/>
  <c r="AJ309" i="30" s="1"/>
  <c r="AN310" i="30"/>
  <c r="AN308" i="30"/>
  <c r="AN307" i="30"/>
  <c r="AN309" i="30" s="1"/>
  <c r="AR310" i="30"/>
  <c r="AR308" i="30"/>
  <c r="AR307" i="30"/>
  <c r="AR309" i="30" s="1"/>
  <c r="AV310" i="30"/>
  <c r="AV308" i="30"/>
  <c r="AV307" i="30"/>
  <c r="AV309" i="30" s="1"/>
  <c r="AZ310" i="30"/>
  <c r="AZ308" i="30"/>
  <c r="AZ307" i="30"/>
  <c r="AZ309" i="30" s="1"/>
  <c r="AK310" i="30"/>
  <c r="AK308" i="30"/>
  <c r="AK307" i="30"/>
  <c r="AK309" i="30" s="1"/>
  <c r="AO310" i="30"/>
  <c r="AO308" i="30"/>
  <c r="AO307" i="30"/>
  <c r="AO309" i="30" s="1"/>
  <c r="AS310" i="30"/>
  <c r="AS308" i="30"/>
  <c r="AS307" i="30"/>
  <c r="AS309" i="30" s="1"/>
  <c r="AW310" i="30"/>
  <c r="AW308" i="30"/>
  <c r="AW307" i="30"/>
  <c r="AW309" i="30" s="1"/>
  <c r="BA310" i="30"/>
  <c r="BA308" i="30"/>
  <c r="BA307" i="30"/>
  <c r="BA309" i="30" s="1"/>
  <c r="AG305" i="30"/>
  <c r="AJ161" i="30"/>
  <c r="AJ160" i="30"/>
  <c r="AJ155" i="30"/>
  <c r="AJ157" i="30" s="1"/>
  <c r="AJ158" i="30" s="1"/>
  <c r="AF161" i="30"/>
  <c r="AF160" i="30"/>
  <c r="AF155" i="30"/>
  <c r="AF157" i="30" s="1"/>
  <c r="AF158" i="30" s="1"/>
  <c r="AL161" i="30"/>
  <c r="AL160" i="30"/>
  <c r="AL155" i="30"/>
  <c r="AL157" i="30" s="1"/>
  <c r="AL158" i="30" s="1"/>
  <c r="AP161" i="30"/>
  <c r="AP160" i="30"/>
  <c r="AP155" i="30"/>
  <c r="AP157" i="30" s="1"/>
  <c r="AP158" i="30" s="1"/>
  <c r="AT161" i="30"/>
  <c r="BE161" i="30" s="1"/>
  <c r="AT160" i="30"/>
  <c r="AT155" i="30"/>
  <c r="AT157" i="30" s="1"/>
  <c r="AT158" i="30" s="1"/>
  <c r="AU156" i="30" s="1" a="1"/>
  <c r="AU156" i="30" s="1"/>
  <c r="AU159" i="30" s="1"/>
  <c r="AX161" i="30"/>
  <c r="BI161" i="30" s="1"/>
  <c r="AX160" i="30"/>
  <c r="AX155" i="30"/>
  <c r="AX157" i="30" s="1"/>
  <c r="AX158" i="30" s="1"/>
  <c r="AY156" i="30" s="1" a="1"/>
  <c r="AY156" i="30" s="1"/>
  <c r="AY159" i="30" s="1"/>
  <c r="BB161" i="30"/>
  <c r="BM161" i="30" s="1"/>
  <c r="BB160" i="30"/>
  <c r="BB155" i="30"/>
  <c r="BB157" i="30" s="1"/>
  <c r="BB158" i="30" s="1"/>
  <c r="BC156" i="30" s="1" a="1"/>
  <c r="BC156" i="30" s="1"/>
  <c r="BC159" i="30" s="1"/>
  <c r="AG155" i="30"/>
  <c r="AH155" i="30" s="1"/>
  <c r="AG161" i="30"/>
  <c r="AG160" i="30"/>
  <c r="AH160" i="30" s="1"/>
  <c r="AH154" i="30"/>
  <c r="AK157" i="30"/>
  <c r="AK158" i="30" s="1"/>
  <c r="AK155" i="30"/>
  <c r="AK161" i="30"/>
  <c r="AK160" i="30"/>
  <c r="AO157" i="30"/>
  <c r="AO158" i="30" s="1"/>
  <c r="AO155" i="30"/>
  <c r="AO161" i="30"/>
  <c r="AO160" i="30"/>
  <c r="AS157" i="30"/>
  <c r="AS158" i="30" s="1"/>
  <c r="AS155" i="30"/>
  <c r="AS161" i="30"/>
  <c r="AS160" i="30"/>
  <c r="AW157" i="30"/>
  <c r="AW158" i="30" s="1"/>
  <c r="AX156" i="30" s="1" a="1"/>
  <c r="AX156" i="30" s="1"/>
  <c r="AX159" i="30" s="1"/>
  <c r="AW155" i="30"/>
  <c r="AW161" i="30"/>
  <c r="BH161" i="30" s="1"/>
  <c r="AW160" i="30"/>
  <c r="BA157" i="30"/>
  <c r="BA158" i="30" s="1"/>
  <c r="BB156" i="30" s="1" a="1"/>
  <c r="BB156" i="30" s="1"/>
  <c r="BB159" i="30" s="1"/>
  <c r="BA155" i="30"/>
  <c r="BA161" i="30"/>
  <c r="BL161" i="30" s="1"/>
  <c r="BA160" i="30"/>
  <c r="BB162" i="30"/>
  <c r="AZ162" i="30"/>
  <c r="AX162" i="30"/>
  <c r="AV162" i="30"/>
  <c r="AT162" i="30"/>
  <c r="AR162" i="30"/>
  <c r="AP162" i="30"/>
  <c r="AN162" i="30"/>
  <c r="AL162" i="30"/>
  <c r="AJ162" i="30"/>
  <c r="AF162" i="30"/>
  <c r="F163" i="30" a="1"/>
  <c r="F163" i="30" s="1"/>
  <c r="F164" i="30" s="1" a="1"/>
  <c r="F164" i="30" s="1"/>
  <c r="F165" i="30" s="1" a="1"/>
  <c r="F165" i="30" s="1"/>
  <c r="F166" i="30" s="1" a="1"/>
  <c r="F166" i="30" s="1"/>
  <c r="F167" i="30" s="1" a="1"/>
  <c r="F167" i="30" s="1"/>
  <c r="F168" i="30" s="1" a="1"/>
  <c r="F168" i="30" s="1"/>
  <c r="F169" i="30" s="1" a="1"/>
  <c r="F169" i="30" s="1"/>
  <c r="F170" i="30" s="1" a="1"/>
  <c r="F170" i="30" s="1"/>
  <c r="BC162" i="30"/>
  <c r="BA162" i="30"/>
  <c r="AY162" i="30"/>
  <c r="AW162" i="30"/>
  <c r="AU162" i="30"/>
  <c r="AS162" i="30"/>
  <c r="AQ162" i="30"/>
  <c r="AO162" i="30"/>
  <c r="AM162" i="30"/>
  <c r="AK162" i="30"/>
  <c r="AI162" i="30"/>
  <c r="AG162" i="30"/>
  <c r="AE162" i="30"/>
  <c r="AI310" i="30"/>
  <c r="AI308" i="30"/>
  <c r="AI307" i="30"/>
  <c r="AI309" i="30" s="1"/>
  <c r="AF310" i="30"/>
  <c r="AF308" i="30"/>
  <c r="AF307" i="30"/>
  <c r="AF309" i="30" s="1"/>
  <c r="AL310" i="30"/>
  <c r="AL308" i="30"/>
  <c r="AL307" i="30"/>
  <c r="AL309" i="30" s="1"/>
  <c r="AP310" i="30"/>
  <c r="AP308" i="30"/>
  <c r="AP307" i="30"/>
  <c r="AP309" i="30" s="1"/>
  <c r="AT308" i="30"/>
  <c r="AT307" i="30"/>
  <c r="AT309" i="30" s="1"/>
  <c r="AX310" i="30"/>
  <c r="AX308" i="30"/>
  <c r="AX307" i="30"/>
  <c r="AX309" i="30" s="1"/>
  <c r="BB310" i="30"/>
  <c r="BB308" i="30"/>
  <c r="BB307" i="30"/>
  <c r="BB309" i="30" s="1"/>
  <c r="AM310" i="30"/>
  <c r="AM308" i="30"/>
  <c r="AM307" i="30"/>
  <c r="AM309" i="30" s="1"/>
  <c r="AQ310" i="30"/>
  <c r="AQ308" i="30"/>
  <c r="AQ307" i="30"/>
  <c r="AQ309" i="30" s="1"/>
  <c r="AU310" i="30"/>
  <c r="AU308" i="30"/>
  <c r="AU307" i="30"/>
  <c r="AU309" i="30" s="1"/>
  <c r="AY310" i="30"/>
  <c r="AY308" i="30"/>
  <c r="AY307" i="30"/>
  <c r="AY309" i="30" s="1"/>
  <c r="BC310" i="30"/>
  <c r="BC308" i="30"/>
  <c r="BC307" i="30"/>
  <c r="BC309" i="30" s="1"/>
  <c r="AH304" i="30"/>
  <c r="AG301" i="30"/>
  <c r="AF305" i="30"/>
  <c r="F292" i="29" a="1"/>
  <c r="F292" i="29" s="1"/>
  <c r="F293" i="29" s="1" a="1"/>
  <c r="F293" i="29" s="1"/>
  <c r="F294" i="29" s="1" a="1"/>
  <c r="F294" i="29" s="1"/>
  <c r="F295" i="29" s="1" a="1"/>
  <c r="F295" i="29" s="1"/>
  <c r="F296" i="29" s="1" a="1"/>
  <c r="F296" i="29" s="1"/>
  <c r="F297" i="29" s="1" a="1"/>
  <c r="F297" i="29" s="1"/>
  <c r="F298" i="29" s="1" a="1"/>
  <c r="F298" i="29" s="1"/>
  <c r="AT291" i="29"/>
  <c r="BO291" i="29"/>
  <c r="AJ291" i="29"/>
  <c r="AT146" i="29"/>
  <c r="F147" i="29" a="1"/>
  <c r="F147" i="29" s="1"/>
  <c r="BO146" i="29"/>
  <c r="AJ146" i="29"/>
  <c r="AI305" i="30"/>
  <c r="AE305" i="30"/>
  <c r="AJ305" i="30"/>
  <c r="BO147" i="29" l="1"/>
  <c r="AJ147" i="29"/>
  <c r="F148" i="29" a="1"/>
  <c r="F148" i="29" s="1"/>
  <c r="F149" i="29" s="1" a="1"/>
  <c r="F149" i="29" s="1"/>
  <c r="F150" i="29" s="1" a="1"/>
  <c r="F150" i="29" s="1"/>
  <c r="F151" i="29" s="1" a="1"/>
  <c r="F151" i="29" s="1"/>
  <c r="F152" i="29" s="1" a="1"/>
  <c r="F152" i="29" s="1"/>
  <c r="F153" i="29" s="1" a="1"/>
  <c r="F153" i="29" s="1"/>
  <c r="F154" i="29" s="1" a="1"/>
  <c r="F154" i="29" s="1"/>
  <c r="AT147" i="29"/>
  <c r="AH162" i="30"/>
  <c r="AG166" i="30"/>
  <c r="AG164" i="30"/>
  <c r="AG163" i="30"/>
  <c r="AK166" i="30"/>
  <c r="AK164" i="30"/>
  <c r="AK163" i="30"/>
  <c r="AK165" i="30" s="1"/>
  <c r="AO166" i="30"/>
  <c r="AO164" i="30"/>
  <c r="AO163" i="30"/>
  <c r="AO165" i="30" s="1"/>
  <c r="AS166" i="30"/>
  <c r="AS164" i="30"/>
  <c r="AS163" i="30"/>
  <c r="AS165" i="30" s="1"/>
  <c r="AW166" i="30"/>
  <c r="AW164" i="30"/>
  <c r="AW163" i="30"/>
  <c r="AW165" i="30" s="1"/>
  <c r="BA166" i="30"/>
  <c r="BA164" i="30"/>
  <c r="BA163" i="30"/>
  <c r="BA165" i="30" s="1"/>
  <c r="AJ166" i="30"/>
  <c r="AJ164" i="30"/>
  <c r="AJ163" i="30"/>
  <c r="AJ165" i="30" s="1"/>
  <c r="AN166" i="30"/>
  <c r="AN164" i="30"/>
  <c r="AN163" i="30"/>
  <c r="AN165" i="30" s="1"/>
  <c r="AR166" i="30"/>
  <c r="AR164" i="30"/>
  <c r="AR163" i="30"/>
  <c r="AR165" i="30" s="1"/>
  <c r="AV166" i="30"/>
  <c r="AV164" i="30"/>
  <c r="AV163" i="30"/>
  <c r="AV165" i="30" s="1"/>
  <c r="AZ166" i="30"/>
  <c r="AZ164" i="30"/>
  <c r="AZ163" i="30"/>
  <c r="AZ165" i="30" s="1"/>
  <c r="AG157" i="30"/>
  <c r="AG100" i="26"/>
  <c r="AG49" i="26"/>
  <c r="AG99" i="26"/>
  <c r="AG43" i="26"/>
  <c r="AG42" i="26"/>
  <c r="AG41" i="26"/>
  <c r="AG91" i="26"/>
  <c r="AG89" i="26"/>
  <c r="AG90" i="26"/>
  <c r="AG36" i="26"/>
  <c r="AG87" i="26"/>
  <c r="AH308" i="30"/>
  <c r="BB298" i="29"/>
  <c r="AZ298" i="29"/>
  <c r="AX298" i="29"/>
  <c r="AV298" i="29"/>
  <c r="AT298" i="29"/>
  <c r="AR298" i="29"/>
  <c r="AP298" i="29"/>
  <c r="AN298" i="29"/>
  <c r="AL298" i="29"/>
  <c r="AJ298" i="29"/>
  <c r="AF298" i="29"/>
  <c r="F299" i="29" a="1"/>
  <c r="F299" i="29" s="1"/>
  <c r="F300" i="29" s="1" a="1"/>
  <c r="F300" i="29" s="1"/>
  <c r="F301" i="29" s="1" a="1"/>
  <c r="F301" i="29" s="1"/>
  <c r="F302" i="29" s="1" a="1"/>
  <c r="F302" i="29" s="1"/>
  <c r="F303" i="29" s="1" a="1"/>
  <c r="F303" i="29" s="1"/>
  <c r="F304" i="29" s="1" a="1"/>
  <c r="F304" i="29" s="1"/>
  <c r="F305" i="29" s="1" a="1"/>
  <c r="F305" i="29" s="1"/>
  <c r="F306" i="29" s="1" a="1"/>
  <c r="F306" i="29" s="1"/>
  <c r="BC298" i="29"/>
  <c r="BA298" i="29"/>
  <c r="AY298" i="29"/>
  <c r="AW298" i="29"/>
  <c r="AU298" i="29"/>
  <c r="AS298" i="29"/>
  <c r="AQ298" i="29"/>
  <c r="AO298" i="29"/>
  <c r="AM298" i="29"/>
  <c r="AK298" i="29"/>
  <c r="AI298" i="29"/>
  <c r="AG298" i="29"/>
  <c r="AE298" i="29"/>
  <c r="AE301" i="29" s="1"/>
  <c r="AG302" i="30"/>
  <c r="AH301" i="30"/>
  <c r="AE166" i="30"/>
  <c r="AE164" i="30"/>
  <c r="AE163" i="30"/>
  <c r="AE165" i="30" s="1"/>
  <c r="AI166" i="30"/>
  <c r="AI164" i="30"/>
  <c r="AI163" i="30"/>
  <c r="AI165" i="30" s="1"/>
  <c r="AM166" i="30"/>
  <c r="AM164" i="30"/>
  <c r="AM163" i="30"/>
  <c r="AM165" i="30" s="1"/>
  <c r="AQ166" i="30"/>
  <c r="AQ164" i="30"/>
  <c r="AQ163" i="30"/>
  <c r="AQ165" i="30" s="1"/>
  <c r="AU166" i="30"/>
  <c r="AU164" i="30"/>
  <c r="AU163" i="30"/>
  <c r="AU165" i="30" s="1"/>
  <c r="AY166" i="30"/>
  <c r="AY164" i="30"/>
  <c r="AY163" i="30"/>
  <c r="AY165" i="30" s="1"/>
  <c r="BC166" i="30"/>
  <c r="BC164" i="30"/>
  <c r="BC163" i="30"/>
  <c r="BC165" i="30" s="1"/>
  <c r="AF166" i="30"/>
  <c r="AF164" i="30"/>
  <c r="AF163" i="30"/>
  <c r="AF165" i="30" s="1"/>
  <c r="AL166" i="30"/>
  <c r="AL164" i="30"/>
  <c r="AL163" i="30"/>
  <c r="AL165" i="30" s="1"/>
  <c r="AP166" i="30"/>
  <c r="AP164" i="30"/>
  <c r="AP163" i="30"/>
  <c r="AP165" i="30" s="1"/>
  <c r="AT166" i="30"/>
  <c r="AT164" i="30"/>
  <c r="AT163" i="30"/>
  <c r="AT165" i="30" s="1"/>
  <c r="AX166" i="30"/>
  <c r="AX164" i="30"/>
  <c r="AX163" i="30"/>
  <c r="AX165" i="30" s="1"/>
  <c r="BB166" i="30"/>
  <c r="BB164" i="30"/>
  <c r="BB163" i="30"/>
  <c r="BB165" i="30" s="1"/>
  <c r="AG50" i="26"/>
  <c r="AG101" i="26"/>
  <c r="AG48" i="26"/>
  <c r="AG94" i="26"/>
  <c r="AG93" i="26"/>
  <c r="AG92" i="26"/>
  <c r="AG40" i="26"/>
  <c r="AG39" i="26"/>
  <c r="AG38" i="26"/>
  <c r="AG37" i="26"/>
  <c r="AG88" i="26"/>
  <c r="AH307" i="30"/>
  <c r="AG309" i="30"/>
  <c r="AH309" i="30" s="1"/>
  <c r="AI299" i="29" l="1"/>
  <c r="AI301" i="29" s="1"/>
  <c r="AI302" i="29" s="1"/>
  <c r="AI304" i="29"/>
  <c r="AM305" i="29"/>
  <c r="AM299" i="29"/>
  <c r="AM301" i="29" s="1"/>
  <c r="AM302" i="29" s="1"/>
  <c r="AM304" i="29"/>
  <c r="AQ305" i="29"/>
  <c r="AQ299" i="29"/>
  <c r="AQ301" i="29" s="1"/>
  <c r="AQ302" i="29" s="1"/>
  <c r="AQ304" i="29"/>
  <c r="AU305" i="29"/>
  <c r="BF305" i="29" s="1"/>
  <c r="AU299" i="29"/>
  <c r="AU301" i="29" s="1"/>
  <c r="AU302" i="29" s="1"/>
  <c r="AV300" i="29" s="1" a="1"/>
  <c r="AV300" i="29" s="1"/>
  <c r="AV303" i="29" s="1"/>
  <c r="AU304" i="29"/>
  <c r="AY305" i="29"/>
  <c r="BJ305" i="29" s="1"/>
  <c r="AY299" i="29"/>
  <c r="AY301" i="29" s="1"/>
  <c r="AY302" i="29" s="1"/>
  <c r="AZ300" i="29" s="1" a="1"/>
  <c r="AZ300" i="29" s="1"/>
  <c r="AZ303" i="29" s="1"/>
  <c r="AY304" i="29"/>
  <c r="BC305" i="29"/>
  <c r="BC299" i="29"/>
  <c r="BC301" i="29" s="1"/>
  <c r="BC302" i="29" s="1"/>
  <c r="BC304" i="29"/>
  <c r="AF304" i="29"/>
  <c r="AF301" i="29"/>
  <c r="AF302" i="29" s="1"/>
  <c r="AF299" i="29"/>
  <c r="AL304" i="29"/>
  <c r="AL305" i="29"/>
  <c r="AL301" i="29"/>
  <c r="AL302" i="29" s="1"/>
  <c r="AL299" i="29"/>
  <c r="AP304" i="29"/>
  <c r="AP305" i="29"/>
  <c r="AP301" i="29"/>
  <c r="AP302" i="29" s="1"/>
  <c r="AP299" i="29"/>
  <c r="AT301" i="29"/>
  <c r="AT299" i="29"/>
  <c r="AX304" i="29"/>
  <c r="AX305" i="29"/>
  <c r="BI305" i="29" s="1"/>
  <c r="AX301" i="29"/>
  <c r="AX302" i="29" s="1"/>
  <c r="AY300" i="29" s="1" a="1"/>
  <c r="AY300" i="29" s="1"/>
  <c r="AY303" i="29" s="1"/>
  <c r="AX299" i="29"/>
  <c r="BB304" i="29"/>
  <c r="BB305" i="29"/>
  <c r="BM305" i="29" s="1"/>
  <c r="BB301" i="29"/>
  <c r="BB302" i="29" s="1"/>
  <c r="BC300" i="29" s="1" a="1"/>
  <c r="BC300" i="29" s="1"/>
  <c r="BC303" i="29" s="1"/>
  <c r="BB299" i="29"/>
  <c r="AG83" i="26"/>
  <c r="AG81" i="26" s="1"/>
  <c r="AG79" i="26" s="1"/>
  <c r="AH163" i="30"/>
  <c r="AG165" i="30"/>
  <c r="AH165" i="30" s="1"/>
  <c r="F155" i="29" a="1"/>
  <c r="F155" i="29" s="1"/>
  <c r="F156" i="29" s="1" a="1"/>
  <c r="F156" i="29" s="1"/>
  <c r="F157" i="29" s="1" a="1"/>
  <c r="F157" i="29" s="1"/>
  <c r="F158" i="29" s="1" a="1"/>
  <c r="F158" i="29" s="1"/>
  <c r="F159" i="29" s="1" a="1"/>
  <c r="F159" i="29" s="1"/>
  <c r="F160" i="29" s="1" a="1"/>
  <c r="F160" i="29" s="1"/>
  <c r="F161" i="29" s="1" a="1"/>
  <c r="F161" i="29" s="1"/>
  <c r="F162" i="29" s="1" a="1"/>
  <c r="F162" i="29" s="1"/>
  <c r="BC154" i="29"/>
  <c r="BA154" i="29"/>
  <c r="AY154" i="29"/>
  <c r="AW154" i="29"/>
  <c r="AU154" i="29"/>
  <c r="AS154" i="29"/>
  <c r="AQ154" i="29"/>
  <c r="AO154" i="29"/>
  <c r="AM154" i="29"/>
  <c r="AK154" i="29"/>
  <c r="AI154" i="29"/>
  <c r="AG154" i="29"/>
  <c r="AE154" i="29"/>
  <c r="BB154" i="29"/>
  <c r="AZ154" i="29"/>
  <c r="AX154" i="29"/>
  <c r="AV154" i="29"/>
  <c r="AT154" i="29"/>
  <c r="AR154" i="29"/>
  <c r="AP154" i="29"/>
  <c r="AN154" i="29"/>
  <c r="AL154" i="29"/>
  <c r="AJ154" i="29"/>
  <c r="AF154" i="29"/>
  <c r="AH302" i="30"/>
  <c r="AG310" i="30"/>
  <c r="AH310" i="30" s="1"/>
  <c r="AH305" i="30" s="1"/>
  <c r="AG301" i="29"/>
  <c r="AG299" i="29"/>
  <c r="AH299" i="29" s="1"/>
  <c r="AH298" i="29"/>
  <c r="AG304" i="29"/>
  <c r="AH304" i="29" s="1"/>
  <c r="AK305" i="29"/>
  <c r="AK299" i="29"/>
  <c r="AK301" i="29" s="1"/>
  <c r="AK302" i="29" s="1"/>
  <c r="AK304" i="29"/>
  <c r="AO305" i="29"/>
  <c r="AO299" i="29"/>
  <c r="AO301" i="29" s="1"/>
  <c r="AO302" i="29" s="1"/>
  <c r="AO304" i="29"/>
  <c r="AS305" i="29"/>
  <c r="AS299" i="29"/>
  <c r="AS301" i="29" s="1"/>
  <c r="AS302" i="29" s="1"/>
  <c r="AS304" i="29"/>
  <c r="AW305" i="29"/>
  <c r="BH305" i="29" s="1"/>
  <c r="AW299" i="29"/>
  <c r="AW301" i="29" s="1"/>
  <c r="AW302" i="29" s="1"/>
  <c r="AX300" i="29" s="1" a="1"/>
  <c r="AX300" i="29" s="1"/>
  <c r="AX303" i="29" s="1"/>
  <c r="AW304" i="29"/>
  <c r="BA305" i="29"/>
  <c r="BL305" i="29" s="1"/>
  <c r="BA299" i="29"/>
  <c r="BA301" i="29" s="1"/>
  <c r="BA302" i="29" s="1"/>
  <c r="BB300" i="29" s="1" a="1"/>
  <c r="BB300" i="29" s="1"/>
  <c r="BB303" i="29" s="1"/>
  <c r="BA304" i="29"/>
  <c r="F307" i="29" a="1"/>
  <c r="F307" i="29" s="1"/>
  <c r="F308" i="29" s="1" a="1"/>
  <c r="F308" i="29" s="1"/>
  <c r="F309" i="29" s="1" a="1"/>
  <c r="F309" i="29" s="1"/>
  <c r="F310" i="29" s="1" a="1"/>
  <c r="F310" i="29" s="1"/>
  <c r="F311" i="29" s="1" a="1"/>
  <c r="F311" i="29" s="1"/>
  <c r="F312" i="29" s="1" a="1"/>
  <c r="F312" i="29" s="1"/>
  <c r="F313" i="29" s="1" a="1"/>
  <c r="F313" i="29" s="1"/>
  <c r="F314" i="29" s="1" a="1"/>
  <c r="F314" i="29" s="1"/>
  <c r="BC306" i="29"/>
  <c r="BA306" i="29"/>
  <c r="AY306" i="29"/>
  <c r="AW306" i="29"/>
  <c r="AU306" i="29"/>
  <c r="AS306" i="29"/>
  <c r="AQ306" i="29"/>
  <c r="AO306" i="29"/>
  <c r="AM306" i="29"/>
  <c r="AK306" i="29"/>
  <c r="AI306" i="29"/>
  <c r="AG306" i="29"/>
  <c r="AG305" i="29" s="1"/>
  <c r="AE306" i="29"/>
  <c r="AE309" i="29" s="1"/>
  <c r="BB306" i="29"/>
  <c r="AZ306" i="29"/>
  <c r="AX306" i="29"/>
  <c r="AV306" i="29"/>
  <c r="AT306" i="29"/>
  <c r="AR306" i="29"/>
  <c r="AP306" i="29"/>
  <c r="AN306" i="29"/>
  <c r="AL306" i="29"/>
  <c r="AJ306" i="29"/>
  <c r="AF306" i="29"/>
  <c r="AF305" i="29" s="1"/>
  <c r="AJ304" i="29"/>
  <c r="AJ305" i="29"/>
  <c r="AJ299" i="29"/>
  <c r="AJ301" i="29" s="1"/>
  <c r="AJ302" i="29" s="1"/>
  <c r="AN304" i="29"/>
  <c r="AN305" i="29"/>
  <c r="AN299" i="29"/>
  <c r="AN301" i="29" s="1"/>
  <c r="AN302" i="29" s="1"/>
  <c r="AR304" i="29"/>
  <c r="AR305" i="29"/>
  <c r="AR299" i="29"/>
  <c r="AR301" i="29" s="1"/>
  <c r="AR302" i="29" s="1"/>
  <c r="AV304" i="29"/>
  <c r="AV305" i="29"/>
  <c r="BG305" i="29" s="1"/>
  <c r="AV299" i="29"/>
  <c r="AV301" i="29" s="1"/>
  <c r="AV302" i="29" s="1"/>
  <c r="AW300" i="29" s="1" a="1"/>
  <c r="AW300" i="29" s="1"/>
  <c r="AW303" i="29" s="1"/>
  <c r="AZ304" i="29"/>
  <c r="AZ305" i="29"/>
  <c r="BK305" i="29" s="1"/>
  <c r="AZ299" i="29"/>
  <c r="AZ301" i="29" s="1"/>
  <c r="AZ302" i="29" s="1"/>
  <c r="BA300" i="29" s="1" a="1"/>
  <c r="BA300" i="29" s="1"/>
  <c r="BA303" i="29" s="1"/>
  <c r="AG32" i="26"/>
  <c r="AG30" i="26" s="1"/>
  <c r="AG28" i="26" s="1"/>
  <c r="AG158" i="30"/>
  <c r="AH158" i="30" s="1"/>
  <c r="AH157" i="30"/>
  <c r="AH164" i="30"/>
  <c r="AH166" i="30"/>
  <c r="AL310" i="29" l="1"/>
  <c r="AL307" i="29"/>
  <c r="AL309" i="29"/>
  <c r="AL308" i="29"/>
  <c r="AT307" i="29"/>
  <c r="AT309" i="29"/>
  <c r="AT308" i="29"/>
  <c r="BB310" i="29"/>
  <c r="BB307" i="29"/>
  <c r="BB309" i="29"/>
  <c r="BB308" i="29"/>
  <c r="AK309" i="29"/>
  <c r="AK308" i="29"/>
  <c r="AK310" i="29"/>
  <c r="AK307" i="29"/>
  <c r="AS309" i="29"/>
  <c r="AS308" i="29"/>
  <c r="AS310" i="29"/>
  <c r="AS307" i="29"/>
  <c r="BA309" i="29"/>
  <c r="BA308" i="29"/>
  <c r="BA310" i="29"/>
  <c r="BA307" i="29"/>
  <c r="AJ161" i="29"/>
  <c r="AJ160" i="29"/>
  <c r="AJ157" i="29"/>
  <c r="AJ158" i="29" s="1"/>
  <c r="AJ155" i="29"/>
  <c r="AR161" i="29"/>
  <c r="AR160" i="29"/>
  <c r="AR157" i="29"/>
  <c r="AR158" i="29" s="1"/>
  <c r="AR155" i="29"/>
  <c r="AG77" i="26"/>
  <c r="AT139" i="30"/>
  <c r="AT139" i="29"/>
  <c r="AJ310" i="29"/>
  <c r="AJ307" i="29"/>
  <c r="AJ309" i="29"/>
  <c r="AJ308" i="29"/>
  <c r="AN310" i="29"/>
  <c r="AN307" i="29"/>
  <c r="AN309" i="29"/>
  <c r="AN308" i="29"/>
  <c r="AR310" i="29"/>
  <c r="AR307" i="29"/>
  <c r="AR309" i="29"/>
  <c r="AR308" i="29"/>
  <c r="AV310" i="29"/>
  <c r="AV307" i="29"/>
  <c r="AV309" i="29"/>
  <c r="AV308" i="29"/>
  <c r="AZ310" i="29"/>
  <c r="AZ307" i="29"/>
  <c r="AZ309" i="29"/>
  <c r="AZ308" i="29"/>
  <c r="AI309" i="29"/>
  <c r="AI308" i="29"/>
  <c r="AI310" i="29"/>
  <c r="AI307" i="29"/>
  <c r="AM309" i="29"/>
  <c r="AM308" i="29"/>
  <c r="AM310" i="29"/>
  <c r="AM307" i="29"/>
  <c r="AQ309" i="29"/>
  <c r="AQ308" i="29"/>
  <c r="AQ310" i="29"/>
  <c r="AQ307" i="29"/>
  <c r="AU309" i="29"/>
  <c r="AU308" i="29"/>
  <c r="AU310" i="29"/>
  <c r="AU307" i="29"/>
  <c r="AY309" i="29"/>
  <c r="AY308" i="29"/>
  <c r="AY310" i="29"/>
  <c r="AY307" i="29"/>
  <c r="BC309" i="29"/>
  <c r="BC308" i="29"/>
  <c r="BC310" i="29"/>
  <c r="BC307" i="29"/>
  <c r="AF161" i="29"/>
  <c r="AF160" i="29"/>
  <c r="AF157" i="29"/>
  <c r="AF158" i="29" s="1"/>
  <c r="AF155" i="29"/>
  <c r="AL161" i="29"/>
  <c r="AL160" i="29"/>
  <c r="AL157" i="29"/>
  <c r="AL158" i="29" s="1"/>
  <c r="AL155" i="29"/>
  <c r="AP161" i="29"/>
  <c r="AP160" i="29"/>
  <c r="AP157" i="29"/>
  <c r="AP158" i="29" s="1"/>
  <c r="AP155" i="29"/>
  <c r="AT161" i="29"/>
  <c r="BE161" i="29" s="1"/>
  <c r="AT160" i="29"/>
  <c r="AT157" i="29"/>
  <c r="AT158" i="29" s="1"/>
  <c r="AU156" i="29" s="1" a="1"/>
  <c r="AU156" i="29" s="1"/>
  <c r="AU159" i="29" s="1"/>
  <c r="AT155" i="29"/>
  <c r="AX161" i="29"/>
  <c r="BI161" i="29" s="1"/>
  <c r="AX160" i="29"/>
  <c r="AX157" i="29"/>
  <c r="AX158" i="29" s="1"/>
  <c r="AY156" i="29" s="1" a="1"/>
  <c r="AY156" i="29" s="1"/>
  <c r="AY159" i="29" s="1"/>
  <c r="AX155" i="29"/>
  <c r="BB161" i="29"/>
  <c r="BM161" i="29" s="1"/>
  <c r="BB160" i="29"/>
  <c r="BB157" i="29"/>
  <c r="BB158" i="29" s="1"/>
  <c r="BC156" i="29" s="1" a="1"/>
  <c r="BC156" i="29" s="1"/>
  <c r="BC159" i="29" s="1"/>
  <c r="BB155" i="29"/>
  <c r="AG157" i="29"/>
  <c r="AG155" i="29"/>
  <c r="AH155" i="29" s="1"/>
  <c r="AG161" i="29"/>
  <c r="AG160" i="29"/>
  <c r="AH160" i="29" s="1"/>
  <c r="AH154" i="29"/>
  <c r="AK155" i="29"/>
  <c r="AK157" i="29" s="1"/>
  <c r="AK158" i="29" s="1"/>
  <c r="AK161" i="29"/>
  <c r="AK160" i="29"/>
  <c r="AO155" i="29"/>
  <c r="AO157" i="29" s="1"/>
  <c r="AO158" i="29" s="1"/>
  <c r="AO161" i="29"/>
  <c r="AO160" i="29"/>
  <c r="AS155" i="29"/>
  <c r="AS157" i="29" s="1"/>
  <c r="AS158" i="29" s="1"/>
  <c r="AS161" i="29"/>
  <c r="AS160" i="29"/>
  <c r="AW155" i="29"/>
  <c r="AW157" i="29" s="1"/>
  <c r="AW158" i="29" s="1"/>
  <c r="AX156" i="29" s="1" a="1"/>
  <c r="AX156" i="29" s="1"/>
  <c r="AX159" i="29" s="1"/>
  <c r="AW161" i="29"/>
  <c r="BH161" i="29" s="1"/>
  <c r="AW160" i="29"/>
  <c r="BA155" i="29"/>
  <c r="BA157" i="29" s="1"/>
  <c r="BA158" i="29" s="1"/>
  <c r="BB156" i="29" s="1" a="1"/>
  <c r="BB156" i="29" s="1"/>
  <c r="BB159" i="29" s="1"/>
  <c r="BA161" i="29"/>
  <c r="BL161" i="29" s="1"/>
  <c r="BA160" i="29"/>
  <c r="BB162" i="29"/>
  <c r="AZ162" i="29"/>
  <c r="AX162" i="29"/>
  <c r="AV162" i="29"/>
  <c r="AT162" i="29"/>
  <c r="AR162" i="29"/>
  <c r="AP162" i="29"/>
  <c r="AN162" i="29"/>
  <c r="AL162" i="29"/>
  <c r="AJ162" i="29"/>
  <c r="AF162" i="29"/>
  <c r="F163" i="29" a="1"/>
  <c r="F163" i="29" s="1"/>
  <c r="F164" i="29" s="1" a="1"/>
  <c r="F164" i="29" s="1"/>
  <c r="F165" i="29" s="1" a="1"/>
  <c r="F165" i="29" s="1"/>
  <c r="F166" i="29" s="1" a="1"/>
  <c r="F166" i="29" s="1"/>
  <c r="F167" i="29" s="1" a="1"/>
  <c r="F167" i="29" s="1"/>
  <c r="F168" i="29" s="1" a="1"/>
  <c r="F168" i="29" s="1"/>
  <c r="F169" i="29" s="1" a="1"/>
  <c r="F169" i="29" s="1"/>
  <c r="F170" i="29" s="1" a="1"/>
  <c r="F170" i="29" s="1"/>
  <c r="BC162" i="29"/>
  <c r="BA162" i="29"/>
  <c r="AY162" i="29"/>
  <c r="AW162" i="29"/>
  <c r="AU162" i="29"/>
  <c r="AS162" i="29"/>
  <c r="AQ162" i="29"/>
  <c r="AO162" i="29"/>
  <c r="AM162" i="29"/>
  <c r="AK162" i="29"/>
  <c r="AI162" i="29"/>
  <c r="AG162" i="29"/>
  <c r="AE162" i="29"/>
  <c r="AH161" i="30"/>
  <c r="AF310" i="29"/>
  <c r="AF307" i="29"/>
  <c r="AF309" i="29" s="1"/>
  <c r="AF308" i="29"/>
  <c r="AP310" i="29"/>
  <c r="AP307" i="29"/>
  <c r="AP309" i="29" s="1"/>
  <c r="AP308" i="29"/>
  <c r="AX310" i="29"/>
  <c r="AX307" i="29"/>
  <c r="AX309" i="29" s="1"/>
  <c r="AX308" i="29"/>
  <c r="AG308" i="29"/>
  <c r="AH308" i="29" s="1"/>
  <c r="AG307" i="29"/>
  <c r="AH307" i="29" s="1"/>
  <c r="AH306" i="29"/>
  <c r="AO309" i="29"/>
  <c r="AO308" i="29"/>
  <c r="AO310" i="29"/>
  <c r="AO307" i="29"/>
  <c r="AW309" i="29"/>
  <c r="AW308" i="29"/>
  <c r="AW310" i="29"/>
  <c r="AW307" i="29"/>
  <c r="AC82" i="31"/>
  <c r="AC31" i="31"/>
  <c r="AG302" i="29"/>
  <c r="AH302" i="29" s="1"/>
  <c r="AH301" i="29"/>
  <c r="AN161" i="29"/>
  <c r="AN160" i="29"/>
  <c r="AN157" i="29"/>
  <c r="AN158" i="29" s="1"/>
  <c r="AN155" i="29"/>
  <c r="AV161" i="29"/>
  <c r="BG161" i="29" s="1"/>
  <c r="AV160" i="29"/>
  <c r="AV157" i="29"/>
  <c r="AV158" i="29" s="1"/>
  <c r="AW156" i="29" s="1" a="1"/>
  <c r="AW156" i="29" s="1"/>
  <c r="AW159" i="29" s="1"/>
  <c r="AV155" i="29"/>
  <c r="AZ161" i="29"/>
  <c r="BK161" i="29" s="1"/>
  <c r="AZ160" i="29"/>
  <c r="AZ157" i="29"/>
  <c r="AZ158" i="29" s="1"/>
  <c r="BA156" i="29" s="1" a="1"/>
  <c r="BA156" i="29" s="1"/>
  <c r="BA159" i="29" s="1"/>
  <c r="AZ155" i="29"/>
  <c r="AE157" i="29"/>
  <c r="AE158" i="29" s="1"/>
  <c r="AE155" i="29"/>
  <c r="AE161" i="29"/>
  <c r="AE160" i="29"/>
  <c r="AI157" i="29"/>
  <c r="AI158" i="29" s="1"/>
  <c r="AI155" i="29"/>
  <c r="AI161" i="29"/>
  <c r="BD161" i="29" s="1"/>
  <c r="AI160" i="29"/>
  <c r="AM157" i="29"/>
  <c r="AM158" i="29" s="1"/>
  <c r="AM155" i="29"/>
  <c r="AM161" i="29"/>
  <c r="AM160" i="29"/>
  <c r="AQ157" i="29"/>
  <c r="AQ158" i="29" s="1"/>
  <c r="AQ155" i="29"/>
  <c r="AQ161" i="29"/>
  <c r="AQ160" i="29"/>
  <c r="AU157" i="29"/>
  <c r="AU158" i="29" s="1"/>
  <c r="AV156" i="29" s="1" a="1"/>
  <c r="AV156" i="29" s="1"/>
  <c r="AV159" i="29" s="1"/>
  <c r="AU155" i="29"/>
  <c r="AU161" i="29"/>
  <c r="BF161" i="29" s="1"/>
  <c r="AU160" i="29"/>
  <c r="AY157" i="29"/>
  <c r="AY158" i="29" s="1"/>
  <c r="AZ156" i="29" s="1" a="1"/>
  <c r="AZ156" i="29" s="1"/>
  <c r="AZ159" i="29" s="1"/>
  <c r="AY155" i="29"/>
  <c r="AY161" i="29"/>
  <c r="BJ161" i="29" s="1"/>
  <c r="AY160" i="29"/>
  <c r="BC157" i="29"/>
  <c r="BC158" i="29" s="1"/>
  <c r="BC155" i="29"/>
  <c r="BC161" i="29"/>
  <c r="BC160" i="29"/>
  <c r="AG128" i="26"/>
  <c r="AT283" i="30"/>
  <c r="AT283" i="29"/>
  <c r="AI305" i="29"/>
  <c r="AT279" i="30" l="1"/>
  <c r="AT279" i="29"/>
  <c r="AH162" i="29"/>
  <c r="AG166" i="29"/>
  <c r="AG164" i="29"/>
  <c r="AG163" i="29"/>
  <c r="AK166" i="29"/>
  <c r="AK164" i="29"/>
  <c r="AK163" i="29"/>
  <c r="AK165" i="29" s="1"/>
  <c r="AO166" i="29"/>
  <c r="AO164" i="29"/>
  <c r="AO163" i="29"/>
  <c r="AO165" i="29" s="1"/>
  <c r="AS166" i="29"/>
  <c r="AS164" i="29"/>
  <c r="AS163" i="29"/>
  <c r="AS165" i="29" s="1"/>
  <c r="AW166" i="29"/>
  <c r="AW164" i="29"/>
  <c r="AW163" i="29"/>
  <c r="AW165" i="29" s="1"/>
  <c r="BA166" i="29"/>
  <c r="BA164" i="29"/>
  <c r="BA163" i="29"/>
  <c r="BA165" i="29" s="1"/>
  <c r="AJ166" i="29"/>
  <c r="AJ164" i="29"/>
  <c r="AJ163" i="29"/>
  <c r="AJ165" i="29" s="1"/>
  <c r="AN166" i="29"/>
  <c r="AN164" i="29"/>
  <c r="AN163" i="29"/>
  <c r="AN165" i="29" s="1"/>
  <c r="AR166" i="29"/>
  <c r="AR164" i="29"/>
  <c r="AR163" i="29"/>
  <c r="AR165" i="29" s="1"/>
  <c r="AV166" i="29"/>
  <c r="AV164" i="29"/>
  <c r="AV163" i="29"/>
  <c r="AV165" i="29" s="1"/>
  <c r="AZ166" i="29"/>
  <c r="AZ164" i="29"/>
  <c r="AZ163" i="29"/>
  <c r="AZ165" i="29" s="1"/>
  <c r="AG158" i="29"/>
  <c r="AH158" i="29" s="1"/>
  <c r="AH157" i="29"/>
  <c r="AG310" i="29"/>
  <c r="AH310" i="29" s="1"/>
  <c r="AG309" i="29"/>
  <c r="AH309" i="29" s="1"/>
  <c r="AH305" i="29" s="1"/>
  <c r="AE166" i="29"/>
  <c r="AE164" i="29"/>
  <c r="AE163" i="29"/>
  <c r="AE165" i="29" s="1"/>
  <c r="AI166" i="29"/>
  <c r="AI164" i="29"/>
  <c r="AI163" i="29"/>
  <c r="AI165" i="29" s="1"/>
  <c r="AM166" i="29"/>
  <c r="AM164" i="29"/>
  <c r="AM163" i="29"/>
  <c r="AM165" i="29" s="1"/>
  <c r="AQ166" i="29"/>
  <c r="AQ164" i="29"/>
  <c r="AQ163" i="29"/>
  <c r="AQ165" i="29" s="1"/>
  <c r="AU166" i="29"/>
  <c r="AU164" i="29"/>
  <c r="AU163" i="29"/>
  <c r="AU165" i="29" s="1"/>
  <c r="AY166" i="29"/>
  <c r="AY164" i="29"/>
  <c r="AY163" i="29"/>
  <c r="AY165" i="29" s="1"/>
  <c r="BC166" i="29"/>
  <c r="BC164" i="29"/>
  <c r="BC163" i="29"/>
  <c r="BC165" i="29" s="1"/>
  <c r="AF166" i="29"/>
  <c r="AF164" i="29"/>
  <c r="AF163" i="29"/>
  <c r="AF165" i="29" s="1"/>
  <c r="AL166" i="29"/>
  <c r="AL164" i="29"/>
  <c r="AL163" i="29"/>
  <c r="AL165" i="29" s="1"/>
  <c r="AP166" i="29"/>
  <c r="AP164" i="29"/>
  <c r="AP163" i="29"/>
  <c r="AP165" i="29" s="1"/>
  <c r="AT166" i="29"/>
  <c r="AT164" i="29"/>
  <c r="AT163" i="29"/>
  <c r="AT165" i="29" s="1"/>
  <c r="AX166" i="29"/>
  <c r="AX164" i="29"/>
  <c r="AX163" i="29"/>
  <c r="AX165" i="29" s="1"/>
  <c r="BB166" i="29"/>
  <c r="BB164" i="29"/>
  <c r="BB163" i="29"/>
  <c r="BB165" i="29" s="1"/>
  <c r="AT135" i="30"/>
  <c r="AT135" i="29"/>
  <c r="BE135" i="30" l="1"/>
  <c r="AT151" i="30"/>
  <c r="BE151" i="30" s="1"/>
  <c r="AH163" i="29"/>
  <c r="AG165" i="29"/>
  <c r="AH165" i="29" s="1"/>
  <c r="BE279" i="29"/>
  <c r="AT293" i="29"/>
  <c r="AT295" i="29"/>
  <c r="BE135" i="29"/>
  <c r="AT151" i="29"/>
  <c r="BE151" i="29" s="1"/>
  <c r="AH164" i="29"/>
  <c r="AH166" i="29"/>
  <c r="BE279" i="30"/>
  <c r="AT295" i="30"/>
  <c r="AT293" i="30"/>
  <c r="BE295" i="30" l="1"/>
  <c r="BD295" i="30"/>
  <c r="AT305" i="30"/>
  <c r="AT304" i="30"/>
  <c r="AT302" i="30"/>
  <c r="BE295" i="29"/>
  <c r="BD295" i="29"/>
  <c r="AT304" i="29"/>
  <c r="AT305" i="29"/>
  <c r="AT302" i="29"/>
  <c r="AH161" i="29"/>
  <c r="AU300" i="29" l="1" a="1"/>
  <c r="AU300" i="29" s="1"/>
  <c r="AU303" i="29" s="1"/>
  <c r="AT310" i="29"/>
  <c r="BE305" i="29"/>
  <c r="BD305" i="29"/>
  <c r="AU300" i="30" a="1"/>
  <c r="AU300" i="30" s="1"/>
  <c r="AU303" i="30" s="1"/>
  <c r="AT310" i="30"/>
  <c r="BE305" i="30"/>
  <c r="BD305" i="30"/>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<sst xmlns="http://schemas.openxmlformats.org/spreadsheetml/2006/main" count="105736" uniqueCount="6433">
  <si>
    <t>Расположение</t>
  </si>
  <si>
    <t>Тип</t>
  </si>
  <si>
    <t>Комментарий</t>
  </si>
  <si>
    <t xml:space="preserve"> (требуется обновление)</t>
  </si>
  <si>
    <t>Код отчёта: EXPERT.VSVO.2026.EIAS</t>
  </si>
  <si>
    <t>Версия отчёта: 1.0.9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</si>
  <si>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</si>
  <si>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</si>
  <si>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</si>
  <si>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</si>
  <si>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</si>
  <si>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</si>
  <si>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</si>
  <si>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</si>
  <si>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</si>
  <si>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</si>
  <si>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</si>
  <si>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</si>
  <si>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</si>
  <si>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</si>
  <si>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</si>
  <si>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</si>
  <si>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</si>
  <si>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</si>
  <si>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</si>
  <si>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</si>
  <si>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</si>
  <si>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</si>
  <si>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</si>
  <si>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</si>
  <si>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</si>
  <si>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</si>
  <si>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</si>
  <si>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</si>
  <si>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</si>
  <si>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</si>
  <si>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</si>
  <si>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</si>
  <si>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</si>
  <si>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</si>
  <si>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</si>
  <si>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отобразить</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</si>
  <si>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</si>
  <si>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</si>
  <si>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</si>
  <si>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</si>
  <si>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</si>
  <si>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</si>
  <si>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</si>
  <si>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</si>
  <si>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</si>
  <si>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</si>
  <si>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</si>
  <si>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</si>
  <si>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</si>
  <si>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</si>
  <si>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</si>
  <si>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</si>
  <si>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</si>
  <si>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</si>
  <si>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</si>
  <si>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</si>
  <si>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</si>
  <si>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</si>
  <si>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</si>
  <si>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</si>
  <si>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</si>
  <si>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</si>
  <si>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</si>
  <si>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</si>
  <si>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</si>
  <si>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</si>
  <si>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</si>
  <si>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</si>
  <si>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</si>
  <si>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</si>
  <si>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</si>
  <si>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</si>
  <si>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</si>
  <si>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</si>
  <si>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</si>
  <si>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</si>
  <si>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</si>
  <si>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</si>
  <si>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</si>
  <si>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</si>
  <si>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</si>
  <si>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</si>
  <si>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</si>
  <si>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</si>
  <si>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</si>
  <si>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</si>
  <si>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</si>
  <si>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</si>
  <si>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</si>
  <si>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</si>
  <si>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</si>
  <si>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</si>
  <si>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</si>
  <si>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</si>
  <si>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</si>
  <si>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</si>
  <si>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</si>
  <si>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экономически обоснованных расходов</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</si>
  <si>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</si>
  <si>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</si>
  <si>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</si>
  <si>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</si>
  <si>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</si>
  <si>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</si>
  <si>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</si>
  <si>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</si>
  <si>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</si>
  <si>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</si>
  <si>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</si>
  <si>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</si>
  <si>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</si>
  <si>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</si>
  <si>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1084205006600</t>
  </si>
  <si>
    <t>ИНН</t>
  </si>
  <si>
    <t>4205153492</t>
  </si>
  <si>
    <t>КПП</t>
  </si>
  <si>
    <t>420501001</t>
  </si>
  <si>
    <t>Код по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</si>
  <si>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</si>
  <si>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</si>
  <si>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</si>
  <si>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</si>
  <si>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</si>
  <si>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</si>
  <si>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</si>
  <si>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</si>
  <si>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</si>
  <si>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</si>
  <si>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</si>
  <si>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(384-2)36-26-83</t>
  </si>
  <si>
    <t>L2_11</t>
  </si>
  <si>
    <t>e-mail</t>
  </si>
  <si>
    <t>krupov@skek.ru</t>
  </si>
  <si>
    <t>L2_12</t>
  </si>
  <si>
    <t>ФИО руководителя</t>
  </si>
  <si>
    <t>Кучеев Андрей Геннадьевич</t>
  </si>
  <si>
    <t>L2_13</t>
  </si>
  <si>
    <t>Должность руководителя</t>
  </si>
  <si>
    <t>И о Генерального директора</t>
  </si>
  <si>
    <t>L2_14</t>
  </si>
  <si>
    <t>Официальный сайт регулируемой организации в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</si>
  <si>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</si>
  <si>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</si>
  <si>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</si>
  <si>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</si>
  <si>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</si>
  <si>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</si>
  <si>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</si>
  <si>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0 %</t>
  </si>
  <si>
    <t>L3_2</t>
  </si>
  <si>
    <t>Преобладающий тип собственности в юридическом лице</t>
  </si>
  <si>
    <t>частная</t>
  </si>
  <si>
    <t>L3_3</t>
  </si>
  <si>
    <t>Наличие раздельного учёта затрат по регулируемым видам деятельности в сфере холодного водоснабжения / водоотведения</t>
  </si>
  <si>
    <t>да</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</si>
  <si>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</si>
  <si>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</si>
  <si>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</si>
  <si>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</si>
  <si>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</si>
  <si>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</si>
  <si>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</si>
  <si>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</si>
  <si>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</si>
  <si>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</si>
  <si>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</si>
  <si>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https://portal.eias.ru/Portal/DownloadPage.aspx?type=12&amp;guid=4cc08830-9db4-4859-9b71-eac88398ac3d</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</si>
  <si>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</si>
  <si>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</si>
  <si>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</si>
  <si>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</si>
  <si>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</si>
  <si>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</si>
  <si>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</si>
  <si>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</si>
  <si>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</si>
  <si>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</si>
  <si>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</si>
  <si>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</si>
  <si>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</si>
  <si>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</si>
  <si>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</si>
  <si>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</si>
  <si>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</si>
  <si>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</si>
  <si>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</si>
  <si>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</si>
  <si>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</si>
  <si>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</si>
  <si>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</si>
  <si>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</si>
  <si>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</si>
  <si>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</si>
  <si>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</si>
  <si>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</si>
  <si>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</si>
  <si>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 xml:space="preserve">ОБ УТВЕРЖДЕНИИ АКТУАЛИЗИРОВАННЫХ СХЕМ ВОДОСНАБЖЕНИЯ И ВОДООТВЕДЕНИЯ ГОРОДА КЕМЕРОВО С РАСЧЕТНЫМИ СРОКАМИ НА 2022 - 2032 ГОДЫ </t>
  </si>
  <si>
    <t>постановление</t>
  </si>
  <si>
    <t>207</t>
  </si>
  <si>
    <t>https://portal.eias.ru/Portal/DownloadPage.aspx?type=12&amp;guid=62376591-dc1d-4c4a-9de2-d7af4aa7ede5</t>
  </si>
  <si>
    <t>HAS_DOC4</t>
  </si>
  <si>
    <t>Наличие закона субъекта по льготным тарифам</t>
  </si>
  <si>
    <t>L4_9</t>
  </si>
  <si>
    <t>закон</t>
  </si>
  <si>
    <t>69-ОЗ</t>
  </si>
  <si>
    <t>https://portal.eias.ru/Portal/DownloadPage.aspx?type=12&amp;guid=4c962a83-8b92-4503-9ba5-a0180547bc71</t>
  </si>
  <si>
    <t>HAS_DOC5</t>
  </si>
  <si>
    <t>L4_10</t>
  </si>
  <si>
    <t>Об утверждении инвестиционной программы ОАО СКЭК" (г.Кемерово) в сфере холодного водоснабжения  и водоотведения Кемеровского городского округа на 2019.-2038 годы"</t>
  </si>
  <si>
    <t>775</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</si>
  <si>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</si>
  <si>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</si>
  <si>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</si>
  <si>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</si>
  <si>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</si>
  <si>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</si>
  <si>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Концессионное соглашение</t>
  </si>
  <si>
    <t>соглашение</t>
  </si>
  <si>
    <t>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</si>
  <si>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</si>
  <si>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</si>
  <si>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</si>
  <si>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</si>
  <si>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</si>
  <si>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</si>
  <si>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</si>
  <si>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</si>
  <si>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</si>
  <si>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Антоненко Евгения Ивановна</t>
  </si>
  <si>
    <t>L5_1</t>
  </si>
  <si>
    <t>Должность исполнителя</t>
  </si>
  <si>
    <t>заместитель начальника отдела</t>
  </si>
  <si>
    <t>L5_2</t>
  </si>
  <si>
    <t>Контактный телефон исполнителя</t>
  </si>
  <si>
    <t>8-3842-36-66-19</t>
  </si>
  <si>
    <t>L5_3</t>
  </si>
  <si>
    <t>e-mail исполнителя</t>
  </si>
  <si>
    <t>antonenko-ei@mail.ru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</si>
  <si>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</si>
  <si>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</si>
  <si>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</si>
  <si>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</si>
  <si>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</si>
  <si>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</si>
  <si>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</si>
  <si>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</si>
  <si>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</si>
  <si>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</si>
  <si>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</si>
  <si>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</si>
  <si>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</si>
  <si>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</si>
  <si>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</si>
  <si>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</si>
  <si>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</si>
  <si>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</si>
  <si>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</si>
  <si>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</si>
  <si>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658</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</si>
  <si>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</si>
  <si>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</si>
  <si>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</si>
  <si>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</si>
  <si>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</si>
  <si>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</si>
  <si>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</si>
  <si>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</si>
  <si>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</si>
  <si>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</si>
  <si>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</si>
  <si>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</si>
  <si>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</si>
  <si>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</si>
  <si>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</si>
  <si>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</si>
  <si>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</si>
  <si>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</si>
  <si>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ХВС.42.26322895.0029</t>
  </si>
  <si>
    <t>тариф на питьевую воду</t>
  </si>
  <si>
    <t>одноставочный</t>
  </si>
  <si>
    <t>Подвоз воды</t>
  </si>
  <si>
    <t>питьевая вода</t>
  </si>
  <si>
    <t>№ 2587, № 2659</t>
  </si>
  <si>
    <t>29.04.2025, 30.04.2025</t>
  </si>
  <si>
    <t>от 18.12.2025 № ОТ исх 2025/0068 (вх. от 18.12.2025 № 8503)</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</si>
  <si>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</si>
  <si>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</si>
  <si>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</si>
  <si>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</si>
  <si>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</si>
  <si>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42 ВС</t>
  </si>
  <si>
    <t>L7_2</t>
  </si>
  <si>
    <t>ФИО уполномоченного по делу</t>
  </si>
  <si>
    <t>L7_3</t>
  </si>
  <si>
    <t>Должность уполномоченного по делу</t>
  </si>
  <si>
    <t>L7_4</t>
  </si>
  <si>
    <t>Контактный телефон уполномоченного по делу</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</si>
  <si>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</si>
  <si>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</si>
  <si>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</si>
  <si>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</si>
  <si>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</si>
  <si>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</si>
  <si>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</si>
  <si>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</si>
  <si>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</si>
  <si>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</si>
  <si>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</si>
  <si>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</si>
  <si>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</si>
  <si>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</si>
  <si>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</si>
  <si>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</si>
  <si>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</si>
  <si>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</si>
  <si>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</si>
  <si>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</si>
  <si>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</si>
  <si>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</si>
  <si>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</si>
  <si>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</si>
  <si>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</si>
  <si>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</si>
  <si>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</si>
  <si>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</si>
  <si>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</si>
  <si>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</si>
  <si>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</si>
  <si>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</si>
  <si>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</si>
  <si>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</si>
  <si>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</si>
  <si>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</si>
  <si>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</si>
  <si>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</si>
  <si>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</si>
  <si>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</si>
  <si>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город Кемерово</t>
  </si>
  <si>
    <t>32701000</t>
  </si>
  <si>
    <t>потребители по адресам: ул. Бодайбинская, пер.3-й Бодайбинский, ул. Линейная, ул. Менжинского, ул. Мариинская, ул. Связная, ул. Таллинская, ул.Стволовая</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</si>
  <si>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</si>
  <si>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</si>
  <si>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</si>
  <si>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</si>
  <si>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</si>
  <si>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</si>
  <si>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</si>
  <si>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</si>
  <si>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</si>
  <si>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</si>
  <si>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</si>
  <si>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</si>
  <si>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</si>
  <si>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</si>
  <si>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</si>
  <si>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</si>
  <si>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</si>
  <si>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</si>
  <si>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</si>
  <si>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</si>
  <si>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</si>
  <si>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</si>
  <si>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</si>
  <si>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</si>
  <si>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</si>
  <si>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</si>
  <si>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</si>
  <si>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</si>
  <si>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</si>
  <si>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</si>
  <si>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</si>
  <si>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</si>
  <si>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</si>
  <si>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</si>
  <si>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</si>
  <si>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</si>
  <si>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</si>
  <si>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</si>
  <si>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</si>
  <si>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</si>
  <si>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</si>
  <si>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</si>
  <si>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</si>
  <si>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</si>
  <si>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</si>
  <si>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</si>
  <si>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Согласно графика подвоз питьевой воды осуществляется автомобилями по маршрутам. Заправка питьевой водой производится в специально оборудованной точке на территории базы АО «КемВод» ул. Волгоградская, 47. Подача питьевой воды в специально оборудованную точку заправки осуществляется из централизованной системы хозяйственно-питьевого водоснабжения г. Кемерово без дополнительной очистки.</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</si>
  <si>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</si>
  <si>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</si>
  <si>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</si>
  <si>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</si>
  <si>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</si>
  <si>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</si>
  <si>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</si>
  <si>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</si>
  <si>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</si>
  <si>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</si>
  <si>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</si>
  <si>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</si>
  <si>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</si>
  <si>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</si>
  <si>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</si>
  <si>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</si>
  <si>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</si>
  <si>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</si>
  <si>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</si>
  <si>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</si>
  <si>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</si>
  <si>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</si>
  <si>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</si>
  <si>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</si>
  <si>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</si>
  <si>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</si>
  <si>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</si>
  <si>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</si>
  <si>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</si>
  <si>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</si>
  <si>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</si>
  <si>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</si>
  <si>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</si>
  <si>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</si>
  <si>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</si>
  <si>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</si>
  <si>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</si>
  <si>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</si>
  <si>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</si>
  <si>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</si>
  <si>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</si>
  <si>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</si>
  <si>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</si>
  <si>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</si>
  <si>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</si>
  <si>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</si>
  <si>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</si>
  <si>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</si>
  <si>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</si>
  <si>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</si>
  <si>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</si>
  <si>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</si>
  <si>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</si>
  <si>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</si>
  <si>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</si>
  <si>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</si>
  <si>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</si>
  <si>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</si>
  <si>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</si>
  <si>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</si>
  <si>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</si>
  <si>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</si>
  <si>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</si>
  <si>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</si>
  <si>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</si>
  <si>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</si>
  <si>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</si>
  <si>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</si>
  <si>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</si>
  <si>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</si>
  <si>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</si>
  <si>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</si>
  <si>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</si>
  <si>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</si>
  <si>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</si>
  <si>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</si>
  <si>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</si>
  <si>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</si>
  <si>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</si>
  <si>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</si>
  <si>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</si>
  <si>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</si>
  <si>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</si>
  <si>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</si>
  <si>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</si>
  <si>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5</t>
  </si>
  <si>
    <t>Доля общехозяйственных расходов</t>
  </si>
  <si>
    <t>P_HOZ_EXP</t>
  </si>
  <si>
    <t>l7</t>
  </si>
  <si>
    <t>6</t>
  </si>
  <si>
    <t>Доля общепроизводственных расходов</t>
  </si>
  <si>
    <t>P_PROD_EXP</t>
  </si>
  <si>
    <t>согласно прогнозу Минэкономразвития России, опубликованном 26.09.2025</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</si>
  <si>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</si>
  <si>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</si>
  <si>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</si>
  <si>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</si>
  <si>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</si>
  <si>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</si>
  <si>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</si>
  <si>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</si>
  <si>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</si>
  <si>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</si>
  <si>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</si>
  <si>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</si>
  <si>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</si>
  <si>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</si>
  <si>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</si>
  <si>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</si>
  <si>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</si>
  <si>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</si>
  <si>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</si>
  <si>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</si>
  <si>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</si>
  <si>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</si>
  <si>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</si>
  <si>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</si>
  <si>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</si>
  <si>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</si>
  <si>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</si>
  <si>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</si>
  <si>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</si>
  <si>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</si>
  <si>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</si>
  <si>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</si>
  <si>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</si>
  <si>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</si>
  <si>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</si>
  <si>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</si>
  <si>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</si>
  <si>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4</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</si>
  <si>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</si>
  <si>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</si>
  <si>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</si>
  <si>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</si>
  <si>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</si>
  <si>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</si>
  <si>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</si>
  <si>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</si>
  <si>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</si>
  <si>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</si>
  <si>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</si>
  <si>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</si>
  <si>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</si>
  <si>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</si>
  <si>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</si>
  <si>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</si>
  <si>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</si>
  <si>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</si>
  <si>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</si>
  <si>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</si>
  <si>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7</t>
  </si>
  <si>
    <t>Потери воды</t>
  </si>
  <si>
    <t>P_VS_LOSS</t>
  </si>
  <si>
    <t>l9_1</t>
  </si>
  <si>
    <t>7.1</t>
  </si>
  <si>
    <t>Уровень потерь воды</t>
  </si>
  <si>
    <t>P_VS_LOSS_PERCENT</t>
  </si>
  <si>
    <t>l10</t>
  </si>
  <si>
    <t>8</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</si>
  <si>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</si>
  <si>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</si>
  <si>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</si>
  <si>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</si>
  <si>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</si>
  <si>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</si>
  <si>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</si>
  <si>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</si>
  <si>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</si>
  <si>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</si>
  <si>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</si>
  <si>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</si>
  <si>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</si>
  <si>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</si>
  <si>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</si>
  <si>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</si>
  <si>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</si>
  <si>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</si>
  <si>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</si>
  <si>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</si>
  <si>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</si>
  <si>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</si>
  <si>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</si>
  <si>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</si>
  <si>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</si>
  <si>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</si>
  <si>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</si>
  <si>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</si>
  <si>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</si>
  <si>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</si>
  <si>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</si>
  <si>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</si>
  <si>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</si>
  <si>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</si>
  <si>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</si>
  <si>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</si>
  <si>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</si>
  <si>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</si>
  <si>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</si>
  <si>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</si>
  <si>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</si>
  <si>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</si>
  <si>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</si>
  <si>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</si>
  <si>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</si>
  <si>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</si>
  <si>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</si>
  <si>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</si>
  <si>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</si>
  <si>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</si>
  <si>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</si>
  <si>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</si>
  <si>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</si>
  <si>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</si>
  <si>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</si>
  <si>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</si>
  <si>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</si>
  <si>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</si>
  <si>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</si>
  <si>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</si>
  <si>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</si>
  <si>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</si>
  <si>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</si>
  <si>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</si>
  <si>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</si>
  <si>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</si>
  <si>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</si>
  <si>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</si>
  <si>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</si>
  <si>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</si>
  <si>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</si>
  <si>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</si>
  <si>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</si>
  <si>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</si>
  <si>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</si>
  <si>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</si>
  <si>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</si>
  <si>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</si>
  <si>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</si>
  <si>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</si>
  <si>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</si>
  <si>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</si>
  <si>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</si>
  <si>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</si>
  <si>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</si>
  <si>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</si>
  <si>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</si>
  <si>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</si>
  <si>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</si>
  <si>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</si>
  <si>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</si>
  <si>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</si>
  <si>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</si>
  <si>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</si>
  <si>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</si>
  <si>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</si>
  <si>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</si>
  <si>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</si>
  <si>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</si>
  <si>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</si>
  <si>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</si>
  <si>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</si>
  <si>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</si>
  <si>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</si>
  <si>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</si>
  <si>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</si>
  <si>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</si>
  <si>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</si>
  <si>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</si>
  <si>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</si>
  <si>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</si>
  <si>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</si>
  <si>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</si>
  <si>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</si>
  <si>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</si>
  <si>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</si>
  <si>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</si>
  <si>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</si>
  <si>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</si>
  <si>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</si>
  <si>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</si>
  <si>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</si>
  <si>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</si>
  <si>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</si>
  <si>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</si>
  <si>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</si>
  <si>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</si>
  <si>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</si>
  <si>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</si>
  <si>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</si>
  <si>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</si>
  <si>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</si>
  <si>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</si>
  <si>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</si>
  <si>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</si>
  <si>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</si>
  <si>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</si>
  <si>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</si>
  <si>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</si>
  <si>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</si>
  <si>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</si>
  <si>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</si>
  <si>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</si>
  <si>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</si>
  <si>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</si>
  <si>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</si>
  <si>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</si>
  <si>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</si>
  <si>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</si>
  <si>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</si>
  <si>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</si>
  <si>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</si>
  <si>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</si>
  <si>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</si>
  <si>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</si>
  <si>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</si>
  <si>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</si>
  <si>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9</t>
  </si>
  <si>
    <t>P_VO_RELEASE_OTHER_TERR</t>
  </si>
  <si>
    <t>l12</t>
  </si>
  <si>
    <t>10</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</si>
  <si>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</si>
  <si>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</si>
  <si>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</si>
  <si>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</si>
  <si>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</si>
  <si>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</si>
  <si>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</si>
  <si>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</si>
  <si>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</si>
  <si>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</si>
  <si>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</si>
  <si>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</si>
  <si>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</si>
  <si>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</si>
  <si>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</si>
  <si>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</si>
  <si>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</si>
  <si>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</si>
  <si>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</si>
  <si>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</si>
  <si>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</si>
  <si>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</si>
  <si>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</si>
  <si>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</si>
  <si>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</si>
  <si>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по скорректированному предложению предприятия</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</si>
  <si>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</si>
  <si>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</si>
  <si>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</si>
  <si>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</si>
  <si>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</si>
  <si>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</si>
  <si>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</si>
  <si>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</si>
  <si>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</si>
  <si>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</si>
  <si>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</si>
  <si>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</si>
  <si>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</si>
  <si>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</si>
  <si>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</si>
  <si>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</si>
  <si>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</si>
  <si>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</si>
  <si>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</si>
  <si>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</si>
  <si>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</si>
  <si>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</si>
  <si>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</si>
  <si>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</si>
  <si>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</si>
  <si>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</si>
  <si>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</si>
  <si>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</si>
  <si>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</si>
  <si>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</si>
  <si>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</si>
  <si>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                  _x000D_
         funcDyn: 'msg1',_x000D_
         blok: 'blok_1',_x000D_
         wsCross: 'ЭЭ',_x000D_
         linkFormula: 'AB-AB',_x000D_
         levelDyn: ''_x000D_
}</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</si>
  <si>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</si>
  <si>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</si>
  <si>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</si>
  <si>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</si>
  <si>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</si>
  <si>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</si>
  <si>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</si>
  <si>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</si>
  <si>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</si>
  <si>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</si>
  <si>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</si>
  <si>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</si>
  <si>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</si>
  <si>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</si>
  <si>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</si>
  <si>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</si>
  <si>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</si>
  <si>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</si>
  <si>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</si>
  <si>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</si>
  <si>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</si>
  <si>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</si>
  <si>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</si>
  <si>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</si>
  <si>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</si>
  <si>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</si>
  <si>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</si>
  <si>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</si>
  <si>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</si>
  <si>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</si>
  <si>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</si>
  <si>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</si>
  <si>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</si>
  <si>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</si>
  <si>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</si>
  <si>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</si>
  <si>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</si>
  <si>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</si>
  <si>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</si>
  <si>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</si>
  <si>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</si>
  <si>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</si>
  <si>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</si>
  <si>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</si>
  <si>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</si>
  <si>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</si>
  <si>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</si>
  <si>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</si>
  <si>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</si>
  <si>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</si>
  <si>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</si>
  <si>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</si>
  <si>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</si>
  <si>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</si>
  <si>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</si>
  <si>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</si>
  <si>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</si>
  <si>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</si>
  <si>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</si>
  <si>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</si>
  <si>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</si>
  <si>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</si>
  <si>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</si>
  <si>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</si>
  <si>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</si>
  <si>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</si>
  <si>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</si>
  <si>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</si>
  <si>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</si>
  <si>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</si>
  <si>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</si>
  <si>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</si>
  <si>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</si>
  <si>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</si>
  <si>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</si>
  <si>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</si>
  <si>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</si>
  <si>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</si>
  <si>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</si>
  <si>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</si>
  <si>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</si>
  <si>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</si>
  <si>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</si>
  <si>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</si>
  <si>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</si>
  <si>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</si>
  <si>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</si>
  <si>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</si>
  <si>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</si>
  <si>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</si>
  <si>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</si>
  <si>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</si>
  <si>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</si>
  <si>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</si>
  <si>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</si>
  <si>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</si>
  <si>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</si>
  <si>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</si>
  <si>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</si>
  <si>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</si>
  <si>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</si>
  <si>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</si>
  <si>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</si>
  <si>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</si>
  <si>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</si>
  <si>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</si>
  <si>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</si>
  <si>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</si>
  <si>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</si>
  <si>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</si>
  <si>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</si>
  <si>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</si>
  <si>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</si>
  <si>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</si>
  <si>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</si>
  <si>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</si>
  <si>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</si>
  <si>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</si>
  <si>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</si>
  <si>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</si>
  <si>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</si>
  <si>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</si>
  <si>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</si>
  <si>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</si>
  <si>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</si>
  <si>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</si>
  <si>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</si>
  <si>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</si>
  <si>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</si>
  <si>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</si>
  <si>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</si>
  <si>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</si>
  <si>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</si>
  <si>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</si>
  <si>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</si>
  <si>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</si>
  <si>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</si>
  <si>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</si>
  <si>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</si>
  <si>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</si>
  <si>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</si>
  <si>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</si>
  <si>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</si>
  <si>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</si>
  <si>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                  _x000D_
         funcDyn: 'msg1',_x000D_
         blok: 'blok_1',_x000D_
         wsCross: 'Амортизация (аналог)',_x000D_
         linkFormula: 'AB-AB',_x000D_
         levelDyn: ''_x000D_
}</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</si>
  <si>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</si>
  <si>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</si>
  <si>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</si>
  <si>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</si>
  <si>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</si>
  <si>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</si>
  <si>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</si>
  <si>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</si>
  <si>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</si>
  <si>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</si>
  <si>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</si>
  <si>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</si>
  <si>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</si>
  <si>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</si>
  <si>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</si>
  <si>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</si>
  <si>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</si>
  <si>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</si>
  <si>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</si>
  <si>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</si>
  <si>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</si>
  <si>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</si>
  <si>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</si>
  <si>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</si>
  <si>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</si>
  <si>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</si>
  <si>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</si>
  <si>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</si>
  <si>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</si>
  <si>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</si>
  <si>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                  _x000D_
         funcDyn: 'msg1',_x000D_
         blok: 'blok_1',_x000D_
         wsCross: 'Покупка',_x000D_
         linkFormula: 'AB-AB',_x000D_
         levelDyn: ''_x000D_
}</t>
  </si>
  <si>
    <t>11</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</si>
  <si>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</si>
  <si>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</si>
  <si>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</si>
  <si>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</si>
  <si>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</si>
  <si>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</si>
  <si>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</si>
  <si>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</si>
  <si>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</si>
  <si>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</si>
  <si>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</si>
  <si>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</si>
  <si>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</si>
  <si>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</si>
  <si>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</si>
  <si>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</si>
  <si>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</si>
  <si>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</si>
  <si>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</si>
  <si>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</si>
  <si>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</si>
  <si>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</si>
  <si>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</si>
  <si>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</si>
  <si>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</si>
  <si>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</si>
  <si>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</si>
  <si>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</si>
  <si>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</si>
  <si>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</si>
  <si>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</si>
  <si>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</si>
  <si>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</si>
  <si>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</si>
  <si>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</si>
  <si>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</si>
  <si>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</si>
  <si>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</si>
  <si>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</si>
  <si>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</si>
  <si>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</si>
  <si>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</si>
  <si>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</si>
  <si>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</si>
  <si>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</si>
  <si>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</si>
  <si>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</si>
  <si>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</si>
  <si>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</si>
  <si>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</si>
  <si>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</si>
  <si>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</si>
  <si>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</si>
  <si>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</si>
  <si>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</si>
  <si>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</si>
  <si>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</si>
  <si>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ОАО «СКЭК»::4205153492::420501001</t>
  </si>
  <si>
    <t>исходя из объема и тарифов принятых в расчет</t>
  </si>
  <si>
    <t>{                  _x000D_
         funcDyn: 'msg1',_x000D_
         blok: 'blok_1',_x000D_
         wsCross: 'ФОТ',_x000D_
         linkFormula: 'AB-AB',_x000D_
         levelDyn: ''_x000D_
}</t>
  </si>
  <si>
    <t>тарифы на 2026 год на питьевую воду установлены постановлением РЭК Кузбасса от 19.12.2025 № 637  на период с 01.01. по 30.09. 58,55 руб./м3, на период с 01.10. по 31.12. 65,58 руб./м3</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</si>
  <si>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</si>
  <si>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</si>
  <si>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</si>
  <si>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</si>
  <si>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</si>
  <si>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</si>
  <si>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</si>
  <si>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</si>
  <si>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</si>
  <si>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</si>
  <si>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</si>
  <si>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</si>
  <si>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</si>
  <si>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</si>
  <si>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</si>
  <si>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</si>
  <si>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</si>
  <si>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</si>
  <si>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</si>
  <si>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</si>
  <si>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</si>
  <si>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</si>
  <si>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</si>
  <si>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</si>
  <si>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</si>
  <si>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</si>
  <si>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</si>
  <si>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</si>
  <si>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</si>
  <si>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</si>
  <si>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</si>
  <si>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</si>
  <si>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</si>
  <si>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</si>
  <si>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</si>
  <si>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</si>
  <si>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</si>
  <si>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</si>
  <si>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</si>
  <si>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</si>
  <si>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</si>
  <si>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</si>
  <si>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</si>
  <si>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</si>
  <si>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</si>
  <si>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</si>
  <si>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</si>
  <si>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</si>
  <si>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</si>
  <si>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</si>
  <si>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</si>
  <si>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</si>
  <si>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</si>
  <si>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</si>
  <si>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</si>
  <si>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</si>
  <si>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</si>
  <si>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</si>
  <si>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</si>
  <si>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</si>
  <si>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</si>
  <si>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</si>
  <si>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</si>
  <si>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</si>
  <si>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</si>
  <si>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</si>
  <si>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</si>
  <si>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</si>
  <si>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</si>
  <si>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</si>
  <si>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</si>
  <si>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</si>
  <si>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</si>
  <si>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</si>
  <si>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</si>
  <si>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</si>
  <si>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</si>
  <si>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</si>
  <si>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</si>
  <si>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</si>
  <si>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</si>
  <si>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</si>
  <si>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</si>
  <si>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</si>
  <si>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</si>
  <si>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</si>
  <si>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</si>
  <si>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</si>
  <si>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</si>
  <si>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</si>
  <si>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</si>
  <si>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</si>
  <si>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</si>
  <si>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</si>
  <si>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</si>
  <si>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</si>
  <si>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</si>
  <si>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</si>
  <si>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</si>
  <si>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</si>
  <si>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</si>
  <si>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</si>
  <si>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</si>
  <si>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</si>
  <si>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</si>
  <si>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</si>
  <si>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</si>
  <si>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</si>
  <si>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</si>
  <si>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</si>
  <si>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</si>
  <si>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</si>
  <si>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</si>
  <si>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</si>
  <si>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</si>
  <si>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</si>
  <si>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</si>
  <si>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</si>
  <si>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</si>
  <si>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</si>
  <si>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</si>
  <si>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</si>
  <si>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</si>
  <si>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</si>
  <si>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</si>
  <si>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</si>
  <si>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</si>
  <si>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</si>
  <si>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</si>
  <si>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</si>
  <si>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</si>
  <si>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</si>
  <si>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</si>
  <si>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</si>
  <si>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</si>
  <si>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</si>
  <si>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</si>
  <si>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</si>
  <si>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                  _x000D_
         funcDyn: 'msg1',_x000D_
         blok: 'blok_1',_x000D_
         wsCross: 'ИП +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</si>
  <si>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</si>
  <si>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</si>
  <si>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</si>
  <si>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</si>
  <si>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</si>
  <si>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</si>
  <si>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</si>
  <si>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</si>
  <si>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</si>
  <si>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</si>
  <si>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</si>
  <si>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</si>
  <si>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</si>
  <si>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</si>
  <si>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</si>
  <si>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</si>
  <si>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</si>
  <si>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</si>
  <si>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</si>
  <si>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</si>
  <si>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</si>
  <si>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</si>
  <si>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</si>
  <si>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</si>
  <si>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</si>
  <si>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</si>
  <si>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</si>
  <si>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</si>
  <si>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</si>
  <si>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</si>
  <si>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</si>
  <si>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</si>
  <si>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</si>
  <si>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</si>
  <si>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</si>
  <si>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</si>
  <si>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</si>
  <si>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</si>
  <si>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</si>
  <si>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</si>
  <si>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</si>
  <si>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</si>
  <si>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</si>
  <si>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</si>
  <si>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</si>
  <si>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</si>
  <si>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</si>
  <si>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</si>
  <si>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</si>
  <si>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</si>
  <si>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</si>
  <si>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</si>
  <si>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</si>
  <si>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</si>
  <si>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</si>
  <si>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</si>
  <si>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</si>
  <si>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</si>
  <si>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</si>
  <si>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</si>
  <si>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</si>
  <si>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</si>
  <si>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</si>
  <si>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</si>
  <si>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</si>
  <si>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</si>
  <si>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</si>
  <si>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</si>
  <si>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</si>
  <si>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</si>
  <si>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</si>
  <si>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</si>
  <si>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</si>
  <si>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</si>
  <si>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</si>
  <si>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</si>
  <si>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</si>
  <si>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</si>
  <si>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</si>
  <si>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</si>
  <si>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</si>
  <si>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</si>
  <si>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</si>
  <si>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</si>
  <si>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</si>
  <si>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</si>
  <si>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</si>
  <si>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</si>
  <si>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</si>
  <si>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</si>
  <si>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</si>
  <si>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</si>
  <si>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</si>
  <si>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</si>
  <si>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</si>
  <si>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</si>
  <si>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</si>
  <si>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</si>
  <si>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</si>
  <si>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</si>
  <si>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</si>
  <si>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</si>
  <si>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</si>
  <si>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</si>
  <si>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</si>
  <si>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</si>
  <si>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</si>
  <si>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</si>
  <si>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</si>
  <si>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</si>
  <si>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</si>
  <si>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</si>
  <si>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</si>
  <si>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</si>
  <si>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</si>
  <si>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</si>
  <si>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</si>
  <si>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</si>
  <si>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</si>
  <si>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</si>
  <si>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</si>
  <si>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</si>
  <si>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</si>
  <si>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</si>
  <si>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</si>
  <si>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</si>
  <si>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</si>
  <si>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</si>
  <si>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</si>
  <si>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</si>
  <si>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</si>
  <si>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</si>
  <si>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</si>
  <si>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</si>
  <si>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</si>
  <si>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</si>
  <si>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</si>
  <si>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</si>
  <si>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</si>
  <si>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</si>
  <si>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</si>
  <si>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</si>
  <si>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</si>
  <si>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</si>
  <si>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</si>
  <si>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</si>
  <si>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</si>
  <si>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</si>
  <si>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</si>
  <si>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</si>
  <si>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</si>
  <si>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</si>
  <si>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</si>
  <si>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</si>
  <si>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</si>
  <si>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</si>
  <si>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</si>
  <si>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</si>
  <si>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</si>
  <si>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</si>
  <si>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</si>
  <si>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</si>
  <si>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</si>
  <si>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</si>
  <si>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</si>
  <si>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</si>
  <si>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</si>
  <si>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</si>
  <si>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</si>
  <si>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</si>
  <si>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</si>
  <si>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</si>
  <si>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</si>
  <si>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</si>
  <si>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</si>
  <si>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</si>
  <si>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</si>
  <si>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</si>
  <si>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</si>
  <si>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</si>
  <si>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</si>
  <si>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</si>
  <si>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</si>
  <si>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</si>
  <si>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</si>
  <si>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</si>
  <si>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</si>
  <si>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</si>
  <si>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</si>
  <si>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</si>
  <si>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</si>
  <si>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</si>
  <si>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</si>
  <si>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</si>
  <si>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</si>
  <si>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</si>
  <si>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</si>
  <si>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</si>
  <si>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</si>
  <si>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</si>
  <si>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</si>
  <si>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</si>
  <si>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</si>
  <si>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</si>
  <si>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</si>
  <si>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</si>
  <si>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</si>
  <si>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</si>
  <si>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</si>
  <si>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</si>
  <si>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</si>
  <si>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</si>
  <si>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</si>
  <si>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</si>
  <si>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</si>
  <si>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</si>
  <si>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</si>
  <si>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</si>
  <si>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</si>
  <si>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</si>
  <si>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</si>
  <si>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</si>
  <si>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</si>
  <si>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</si>
  <si>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</si>
  <si>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</si>
  <si>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</si>
  <si>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</si>
  <si>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</si>
  <si>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</si>
  <si>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</si>
  <si>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</si>
  <si>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</si>
  <si>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</si>
  <si>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</si>
  <si>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</si>
  <si>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</si>
  <si>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</si>
  <si>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</si>
  <si>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</si>
  <si>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</si>
  <si>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</si>
  <si>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</si>
  <si>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</si>
  <si>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</si>
  <si>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</si>
  <si>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</si>
  <si>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</si>
  <si>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</si>
  <si>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</si>
  <si>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</si>
  <si>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</si>
  <si>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</si>
  <si>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</si>
  <si>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</si>
  <si>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</si>
  <si>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</si>
  <si>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</si>
  <si>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</si>
  <si>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</si>
  <si>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</si>
  <si>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</si>
  <si>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</si>
  <si>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</si>
  <si>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</si>
  <si>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</si>
  <si>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</si>
  <si>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</si>
  <si>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</si>
  <si>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</si>
  <si>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</si>
  <si>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</si>
  <si>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</si>
  <si>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</si>
  <si>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</si>
  <si>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</si>
  <si>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</si>
  <si>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</si>
  <si>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</si>
  <si>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</si>
  <si>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</si>
  <si>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</si>
  <si>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</si>
  <si>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</si>
  <si>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</si>
  <si>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</si>
  <si>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</si>
  <si>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</si>
  <si>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</si>
  <si>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</si>
  <si>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</si>
  <si>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</si>
  <si>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</si>
  <si>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</si>
  <si>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</si>
  <si>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</si>
  <si>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</si>
  <si>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</si>
  <si>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</si>
  <si>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</si>
  <si>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</si>
  <si>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</si>
  <si>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</si>
  <si>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</si>
  <si>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</si>
  <si>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</si>
  <si>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</si>
  <si>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</si>
  <si>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</si>
  <si>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</si>
  <si>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</si>
  <si>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</si>
  <si>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</si>
  <si>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</si>
  <si>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</si>
  <si>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</si>
  <si>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</si>
  <si>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</si>
  <si>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</si>
  <si>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</si>
  <si>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</si>
  <si>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</si>
  <si>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</si>
  <si>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</si>
  <si>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</si>
  <si>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</si>
  <si>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</si>
  <si>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</si>
  <si>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</si>
  <si>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</si>
  <si>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</si>
  <si>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</si>
  <si>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</si>
  <si>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</si>
  <si>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</si>
  <si>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</si>
  <si>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</si>
  <si>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</si>
  <si>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</si>
  <si>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</si>
  <si>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</si>
  <si>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</si>
  <si>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</si>
  <si>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</si>
  <si>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</si>
  <si>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</si>
  <si>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</si>
  <si>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</si>
  <si>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</si>
  <si>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</si>
  <si>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</si>
  <si>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</si>
  <si>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</si>
  <si>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</si>
  <si>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</si>
  <si>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</si>
  <si>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</si>
  <si>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</si>
  <si>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</si>
  <si>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</si>
  <si>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</si>
  <si>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</si>
  <si>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</si>
  <si>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</si>
  <si>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</si>
  <si>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</si>
  <si>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</si>
  <si>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</si>
  <si>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</si>
  <si>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</si>
  <si>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</si>
  <si>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</si>
  <si>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</si>
  <si>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</si>
  <si>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</si>
  <si>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</si>
  <si>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</si>
  <si>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</si>
  <si>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</si>
  <si>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</si>
  <si>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</si>
  <si>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</si>
  <si>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</si>
  <si>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</si>
  <si>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</si>
  <si>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</si>
  <si>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</si>
  <si>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</si>
  <si>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</si>
  <si>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</si>
  <si>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</si>
  <si>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</si>
  <si>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</si>
  <si>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</si>
  <si>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</si>
  <si>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</si>
  <si>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</si>
  <si>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</si>
  <si>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</si>
  <si>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</si>
  <si>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</si>
  <si>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</si>
  <si>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</si>
  <si>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</si>
  <si>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</si>
  <si>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</si>
  <si>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</si>
  <si>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</si>
  <si>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</si>
  <si>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</si>
  <si>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</si>
  <si>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</si>
  <si>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</si>
  <si>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</si>
  <si>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</si>
  <si>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</si>
  <si>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</si>
  <si>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</si>
  <si>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</si>
  <si>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</si>
  <si>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</si>
  <si>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</si>
  <si>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</si>
  <si>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</si>
  <si>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</si>
  <si>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</si>
  <si>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</si>
  <si>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</si>
  <si>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</si>
  <si>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</si>
  <si>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</si>
  <si>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</si>
  <si>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</si>
  <si>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</si>
  <si>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</si>
  <si>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</si>
  <si>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</si>
  <si>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</si>
  <si>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</si>
  <si>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</si>
  <si>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</si>
  <si>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</si>
  <si>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</si>
  <si>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</si>
  <si>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</si>
  <si>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</si>
  <si>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</si>
  <si>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</si>
  <si>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</si>
  <si>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</si>
  <si>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</si>
  <si>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</si>
  <si>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</si>
  <si>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</si>
  <si>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</si>
  <si>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</si>
  <si>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</si>
  <si>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</si>
  <si>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</si>
  <si>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</si>
  <si>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</si>
  <si>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</si>
  <si>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</si>
  <si>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</si>
  <si>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</si>
  <si>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</si>
  <si>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</si>
  <si>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</si>
  <si>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</si>
  <si>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</si>
  <si>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</si>
  <si>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</si>
  <si>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</si>
  <si>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</si>
  <si>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</si>
  <si>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</si>
  <si>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</si>
  <si>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</si>
  <si>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</si>
  <si>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</si>
  <si>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</si>
  <si>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</si>
  <si>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</si>
  <si>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</si>
  <si>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</si>
  <si>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</si>
  <si>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</si>
  <si>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</si>
  <si>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</si>
  <si>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</si>
  <si>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</si>
  <si>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</si>
  <si>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</si>
  <si>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</si>
  <si>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</si>
  <si>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</si>
  <si>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</si>
  <si>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</si>
  <si>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</si>
  <si>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</si>
  <si>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</si>
  <si>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</si>
  <si>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</si>
  <si>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</si>
  <si>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</si>
  <si>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</si>
  <si>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</si>
  <si>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</si>
  <si>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</si>
  <si>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</si>
  <si>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</si>
  <si>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</si>
  <si>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</si>
  <si>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</si>
  <si>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</si>
  <si>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</si>
  <si>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</si>
  <si>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12</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</si>
  <si>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</si>
  <si>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13</t>
  </si>
  <si>
    <t>Недополученные доходы, выпадающие расходы</t>
  </si>
  <si>
    <t>14</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</si>
  <si>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</si>
  <si>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</si>
  <si>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</si>
  <si>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</si>
  <si>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</si>
  <si>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</si>
  <si>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</si>
  <si>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</si>
  <si>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</si>
  <si>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</si>
  <si>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</si>
  <si>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</si>
  <si>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</si>
  <si>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</si>
  <si>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</si>
  <si>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</si>
  <si>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</si>
  <si>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</si>
  <si>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</si>
  <si>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</si>
  <si>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</si>
  <si>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</si>
  <si>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</si>
  <si>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</si>
  <si>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</si>
  <si>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</si>
  <si>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</si>
  <si>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</si>
  <si>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</si>
  <si>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</si>
  <si>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</si>
  <si>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</si>
  <si>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</si>
  <si>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</si>
  <si>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</si>
  <si>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</si>
  <si>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</si>
  <si>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</si>
  <si>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</si>
  <si>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</si>
  <si>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</si>
  <si>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</si>
  <si>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</si>
  <si>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</si>
  <si>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</si>
  <si>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</si>
  <si>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</si>
  <si>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</si>
  <si>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</si>
  <si>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</si>
  <si>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</si>
  <si>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</si>
  <si>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</si>
  <si>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</si>
  <si>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</si>
  <si>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</si>
  <si>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</si>
  <si>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</si>
  <si>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</si>
  <si>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</si>
  <si>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</si>
  <si>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</si>
  <si>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</si>
  <si>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</si>
  <si>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</si>
  <si>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</si>
  <si>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</si>
  <si>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</si>
  <si>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</si>
  <si>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</si>
  <si>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</si>
  <si>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</si>
  <si>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</si>
  <si>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</si>
  <si>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</si>
  <si>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</si>
  <si>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</si>
  <si>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</si>
  <si>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</si>
  <si>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</si>
  <si>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</si>
  <si>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https://portal.eias.ru/Portal/DownloadPage.aspx?type=12&amp;guid=d12df577-268e-4571-bc03-3027a897f4a5</t>
  </si>
  <si>
    <t>Расходы на транспорт</t>
  </si>
  <si>
    <t>принято исходя из плана 2025 года с индексом Минэкономразвития России 105,1% (прогноз от 26.09.2025)</t>
  </si>
  <si>
    <t>https://portal.eias.ru/Portal/DownloadPage.aspx?type=12&amp;guid=615bfd94-c9a3-4e77-b09f-cf53783dfda8</t>
  </si>
  <si>
    <t>https://portal.eias.ru/Portal/DownloadPage.aspx?type=12&amp;guid=6cd5b68a-881b-433a-acac-f087ad0976e7</t>
  </si>
  <si>
    <t>https://portal.eias.ru/Portal/DownloadPage.aspx?type=12&amp;guid=39f65d29-f23e-44d7-a836-eecbdb9d54f2</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</si>
  <si>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</si>
  <si>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</si>
  <si>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</si>
  <si>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</si>
  <si>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</si>
  <si>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</si>
  <si>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</si>
  <si>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</si>
  <si>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</si>
  <si>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</si>
  <si>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</si>
  <si>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</si>
  <si>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</si>
  <si>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</si>
  <si>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</si>
  <si>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</si>
  <si>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</si>
  <si>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</si>
  <si>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</si>
  <si>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</si>
  <si>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</si>
  <si>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</si>
  <si>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</si>
  <si>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</si>
  <si>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</si>
  <si>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</si>
  <si>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</si>
  <si>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</si>
  <si>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</si>
  <si>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</si>
  <si>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</si>
  <si>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</si>
  <si>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</si>
  <si>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</si>
  <si>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</si>
  <si>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</si>
  <si>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</si>
  <si>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</si>
  <si>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</si>
  <si>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</si>
  <si>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</si>
  <si>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</si>
  <si>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</si>
  <si>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</si>
  <si>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</si>
  <si>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</si>
  <si>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</si>
  <si>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</si>
  <si>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</si>
  <si>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</si>
  <si>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</si>
  <si>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</si>
  <si>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</si>
  <si>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</si>
  <si>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</si>
  <si>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</si>
  <si>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</si>
  <si>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</si>
  <si>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</si>
  <si>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</si>
  <si>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</si>
  <si>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</si>
  <si>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</si>
  <si>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</si>
  <si>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</si>
  <si>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</si>
  <si>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</si>
  <si>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</si>
  <si>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</si>
  <si>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</si>
  <si>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</si>
  <si>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</si>
  <si>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</si>
  <si>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</si>
  <si>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</si>
  <si>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</si>
  <si>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</si>
  <si>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</si>
  <si>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</si>
  <si>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</si>
  <si>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</si>
  <si>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</si>
  <si>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</si>
  <si>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</si>
  <si>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</si>
  <si>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</si>
  <si>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</si>
  <si>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</si>
  <si>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</si>
  <si>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</si>
  <si>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</si>
  <si>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</si>
  <si>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</si>
  <si>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</si>
  <si>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</si>
  <si>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</si>
  <si>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</si>
  <si>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</si>
  <si>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</si>
  <si>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</si>
  <si>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</si>
  <si>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</si>
  <si>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</si>
  <si>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</si>
  <si>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</si>
  <si>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</si>
  <si>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</si>
  <si>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</si>
  <si>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</si>
  <si>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</si>
  <si>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</si>
  <si>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</si>
  <si>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</si>
  <si>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</si>
  <si>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</si>
  <si>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</si>
  <si>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</si>
  <si>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</si>
  <si>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</si>
  <si>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</si>
  <si>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</si>
  <si>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</si>
  <si>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</si>
  <si>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</si>
  <si>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</si>
  <si>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</si>
  <si>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</si>
  <si>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</si>
  <si>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</si>
  <si>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</si>
  <si>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</si>
  <si>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</si>
  <si>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</si>
  <si>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</si>
  <si>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</si>
  <si>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</si>
  <si>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</si>
  <si>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</si>
  <si>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</si>
  <si>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</si>
  <si>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</si>
  <si>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</si>
  <si>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</si>
  <si>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</si>
  <si>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</si>
  <si>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</si>
  <si>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</si>
  <si>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</si>
  <si>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</si>
  <si>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</si>
  <si>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</si>
  <si>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</si>
  <si>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</si>
  <si>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</si>
  <si>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</si>
  <si>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</si>
  <si>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</si>
  <si>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</si>
  <si>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</si>
  <si>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</si>
  <si>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</si>
  <si>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</si>
  <si>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</si>
  <si>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</si>
  <si>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</si>
  <si>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</si>
  <si>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</si>
  <si>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</si>
  <si>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</si>
  <si>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</si>
  <si>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</si>
  <si>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</si>
  <si>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</si>
  <si>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</si>
  <si>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</si>
  <si>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</si>
  <si>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</si>
  <si>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</si>
  <si>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</si>
  <si>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</si>
  <si>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</si>
  <si>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</si>
  <si>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</si>
  <si>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</si>
  <si>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</si>
  <si>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</si>
  <si>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</si>
  <si>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</si>
  <si>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</si>
  <si>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</si>
  <si>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</si>
  <si>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</si>
  <si>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</si>
  <si>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</si>
  <si>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</si>
  <si>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</si>
  <si>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</si>
  <si>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</si>
  <si>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</si>
  <si>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</si>
  <si>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</si>
  <si>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</si>
  <si>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</si>
  <si>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</si>
  <si>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</si>
  <si>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</si>
  <si>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</si>
  <si>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</si>
  <si>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</si>
  <si>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</si>
  <si>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</si>
  <si>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</si>
  <si>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</si>
  <si>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</si>
  <si>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</si>
  <si>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</si>
  <si>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</si>
  <si>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</si>
  <si>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</si>
  <si>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</si>
  <si>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</si>
  <si>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</si>
  <si>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</si>
  <si>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</si>
  <si>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</si>
  <si>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</si>
  <si>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</si>
  <si>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</si>
  <si>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</si>
  <si>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</si>
  <si>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</si>
  <si>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</si>
  <si>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</si>
  <si>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</si>
  <si>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</si>
  <si>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</si>
  <si>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</si>
  <si>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</si>
  <si>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</si>
  <si>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</si>
  <si>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</si>
  <si>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</si>
  <si>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</si>
  <si>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</si>
  <si>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</si>
  <si>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</si>
  <si>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</si>
  <si>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</si>
  <si>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</si>
  <si>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</si>
  <si>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</si>
  <si>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</si>
  <si>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</si>
  <si>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</si>
  <si>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</si>
  <si>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</si>
  <si>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</si>
  <si>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</si>
  <si>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</si>
  <si>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</si>
  <si>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</si>
  <si>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</si>
  <si>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</si>
  <si>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</si>
  <si>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</si>
  <si>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</si>
  <si>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</si>
  <si>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</si>
  <si>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</si>
  <si>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</si>
  <si>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</si>
  <si>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</si>
  <si>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</si>
  <si>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</si>
  <si>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</si>
  <si>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</si>
  <si>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</si>
  <si>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</si>
  <si>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</si>
  <si>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</si>
  <si>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</si>
  <si>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</si>
  <si>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</si>
  <si>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20.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(Приложения 2.1.2 - 2.1.6 к настоящим Методическим указаниям).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</si>
  <si>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подробное описание в разделе покупка</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</si>
  <si>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</si>
  <si>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</si>
  <si>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</si>
  <si>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</si>
  <si>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</si>
  <si>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</si>
  <si>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</si>
  <si>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</si>
  <si>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</si>
  <si>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</si>
  <si>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</si>
  <si>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</si>
  <si>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</si>
  <si>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</si>
  <si>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</si>
  <si>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</si>
  <si>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</si>
  <si>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</si>
  <si>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</si>
  <si>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</si>
  <si>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</si>
  <si>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</si>
  <si>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</si>
  <si>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</si>
  <si>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</si>
  <si>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</si>
  <si>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</si>
  <si>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</si>
  <si>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</si>
  <si>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</si>
  <si>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</si>
  <si>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</si>
  <si>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</si>
  <si>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</si>
  <si>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</si>
  <si>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</si>
  <si>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</si>
  <si>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</si>
  <si>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</si>
  <si>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</si>
  <si>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</si>
  <si>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</si>
  <si>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</si>
  <si>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</si>
  <si>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</si>
  <si>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</si>
  <si>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</si>
  <si>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</si>
  <si>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</si>
  <si>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</si>
  <si>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</si>
  <si>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</si>
  <si>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</si>
  <si>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</si>
  <si>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</si>
  <si>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</si>
  <si>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</si>
  <si>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</si>
  <si>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</si>
  <si>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</si>
  <si>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</si>
  <si>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</si>
  <si>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</si>
  <si>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</si>
  <si>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</si>
  <si>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</si>
  <si>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</si>
  <si>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</si>
  <si>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</si>
  <si>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</si>
  <si>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</si>
  <si>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</si>
  <si>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</si>
  <si>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</si>
  <si>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</si>
  <si>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</si>
  <si>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</si>
  <si>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</si>
  <si>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</si>
  <si>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</si>
  <si>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</si>
  <si>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</si>
  <si>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</si>
  <si>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</si>
  <si>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</si>
  <si>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</si>
  <si>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</si>
  <si>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</si>
  <si>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</si>
  <si>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</si>
  <si>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</si>
  <si>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</si>
  <si>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</si>
  <si>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</si>
  <si>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</si>
  <si>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</si>
  <si>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</si>
  <si>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</si>
  <si>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</si>
  <si>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</si>
  <si>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</si>
  <si>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</si>
  <si>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</si>
  <si>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</si>
  <si>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</si>
  <si>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</si>
  <si>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</si>
  <si>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</si>
  <si>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</si>
  <si>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</si>
  <si>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</si>
  <si>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</si>
  <si>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</si>
  <si>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</si>
  <si>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</si>
  <si>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</si>
  <si>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</si>
  <si>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</si>
  <si>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</si>
  <si>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</si>
  <si>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</si>
  <si>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</si>
  <si>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</si>
  <si>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</si>
  <si>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</si>
  <si>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</si>
  <si>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</si>
  <si>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</si>
  <si>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</si>
  <si>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</si>
  <si>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</si>
  <si>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</si>
  <si>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</si>
  <si>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</si>
  <si>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</si>
  <si>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</si>
  <si>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</si>
  <si>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</si>
  <si>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</si>
  <si>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</si>
  <si>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</si>
  <si>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</si>
  <si>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</si>
  <si>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</si>
  <si>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</si>
  <si>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</si>
  <si>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</si>
  <si>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</si>
  <si>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</si>
  <si>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</si>
  <si>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</si>
  <si>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</si>
  <si>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</si>
  <si>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</si>
  <si>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</si>
  <si>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</si>
  <si>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</si>
  <si>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</si>
  <si>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</si>
  <si>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</si>
  <si>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</si>
  <si>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</si>
  <si>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</si>
  <si>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</si>
  <si>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</si>
  <si>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</si>
  <si>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</si>
  <si>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</si>
  <si>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</si>
  <si>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</si>
  <si>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</si>
  <si>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</si>
  <si>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</si>
  <si>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</si>
  <si>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</si>
  <si>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</si>
  <si>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</si>
  <si>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</si>
  <si>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</si>
  <si>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</si>
  <si>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</si>
  <si>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</si>
  <si>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</si>
  <si>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</si>
  <si>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</si>
  <si>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</si>
  <si>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</si>
  <si>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</si>
  <si>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</si>
  <si>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</si>
  <si>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</si>
  <si>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</si>
  <si>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</si>
  <si>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</si>
  <si>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</si>
  <si>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</si>
  <si>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</si>
  <si>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</si>
  <si>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</si>
  <si>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</si>
  <si>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</si>
  <si>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</si>
  <si>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</si>
  <si>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</si>
  <si>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</si>
  <si>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</si>
  <si>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</si>
  <si>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</si>
  <si>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</si>
  <si>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</si>
  <si>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</si>
  <si>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</si>
  <si>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</si>
  <si>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</si>
  <si>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</si>
  <si>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</si>
  <si>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</si>
  <si>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</si>
  <si>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</si>
  <si>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</si>
  <si>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</si>
  <si>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</si>
  <si>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</si>
  <si>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</si>
  <si>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</si>
  <si>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</si>
  <si>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</si>
  <si>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</si>
  <si>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</si>
  <si>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</si>
  <si>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</si>
  <si>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</si>
  <si>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</si>
  <si>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</si>
  <si>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</si>
  <si>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</si>
  <si>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</si>
  <si>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</si>
  <si>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</si>
  <si>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</si>
  <si>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</si>
  <si>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</si>
  <si>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</si>
  <si>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</si>
  <si>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</si>
  <si>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</si>
  <si>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</si>
  <si>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</si>
  <si>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</si>
  <si>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</si>
  <si>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</si>
  <si>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</si>
  <si>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</si>
  <si>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</si>
  <si>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</si>
  <si>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</si>
  <si>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</si>
  <si>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</si>
  <si>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</si>
  <si>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</si>
  <si>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</si>
  <si>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</si>
  <si>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</si>
  <si>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</si>
  <si>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</si>
  <si>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</si>
  <si>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</si>
  <si>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</si>
  <si>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</si>
  <si>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</si>
  <si>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</si>
  <si>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</si>
  <si>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</si>
  <si>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</si>
  <si>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</si>
  <si>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</si>
  <si>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</si>
  <si>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</si>
  <si>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</si>
  <si>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</si>
  <si>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</si>
  <si>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</si>
  <si>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</si>
  <si>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</si>
  <si>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</si>
  <si>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</si>
  <si>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</si>
  <si>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</si>
  <si>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</si>
  <si>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</si>
  <si>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</si>
  <si>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</si>
  <si>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</si>
  <si>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</si>
  <si>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</si>
  <si>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</si>
  <si>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</si>
  <si>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</si>
  <si>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</si>
  <si>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</si>
  <si>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</si>
  <si>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</si>
  <si>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</si>
  <si>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</si>
  <si>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</si>
  <si>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</si>
  <si>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</si>
  <si>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</si>
  <si>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</si>
  <si>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</si>
  <si>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</si>
  <si>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</si>
  <si>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</si>
  <si>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</si>
  <si>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</si>
  <si>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</si>
  <si>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</si>
  <si>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</si>
  <si>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</si>
  <si>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</si>
  <si>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</si>
  <si>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</si>
  <si>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</si>
  <si>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</si>
  <si>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</si>
  <si>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</si>
  <si>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</si>
  <si>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</si>
  <si>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</si>
  <si>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</si>
  <si>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</si>
  <si>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</si>
  <si>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</si>
  <si>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</si>
  <si>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</si>
  <si>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</si>
  <si>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</si>
  <si>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</si>
  <si>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</si>
  <si>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</si>
  <si>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</si>
  <si>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</si>
  <si>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</si>
  <si>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</si>
  <si>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</si>
  <si>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</si>
  <si>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</si>
  <si>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</si>
  <si>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</si>
  <si>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</si>
  <si>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</si>
  <si>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</si>
  <si>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</si>
  <si>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</si>
  <si>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</si>
  <si>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</si>
  <si>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</si>
  <si>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</si>
  <si>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</si>
  <si>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</si>
  <si>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</si>
  <si>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</si>
  <si>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</si>
  <si>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</si>
  <si>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</si>
  <si>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</si>
  <si>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</si>
  <si>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</si>
  <si>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</si>
  <si>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</si>
  <si>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</si>
  <si>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</si>
  <si>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</si>
  <si>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</si>
  <si>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</si>
  <si>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</si>
  <si>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</si>
  <si>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</si>
  <si>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</si>
  <si>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</si>
  <si>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</si>
  <si>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</si>
  <si>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</si>
  <si>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</si>
  <si>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</si>
  <si>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</si>
  <si>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</si>
  <si>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</si>
  <si>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</si>
  <si>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</si>
  <si>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</si>
  <si>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</si>
  <si>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</si>
  <si>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</si>
  <si>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</si>
  <si>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</si>
  <si>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</si>
  <si>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</si>
  <si>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</si>
  <si>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</si>
  <si>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</si>
  <si>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</si>
  <si>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</si>
  <si>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</si>
  <si>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</si>
  <si>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</si>
  <si>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</si>
  <si>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</si>
  <si>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</si>
  <si>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</si>
  <si>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</si>
  <si>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</si>
  <si>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</si>
  <si>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</si>
  <si>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</si>
  <si>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</si>
  <si>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</si>
  <si>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</si>
  <si>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</si>
  <si>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</si>
  <si>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</si>
  <si>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</si>
  <si>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</si>
  <si>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</si>
  <si>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</si>
  <si>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</si>
  <si>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</si>
  <si>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</si>
  <si>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</si>
  <si>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</si>
  <si>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</si>
  <si>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</si>
  <si>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</si>
  <si>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</si>
  <si>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</si>
  <si>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</si>
  <si>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</si>
  <si>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</si>
  <si>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</si>
  <si>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</si>
  <si>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</si>
  <si>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</si>
  <si>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</si>
  <si>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</si>
  <si>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</si>
  <si>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</si>
  <si>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</si>
  <si>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</si>
  <si>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</si>
  <si>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</si>
  <si>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</si>
  <si>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</si>
  <si>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</si>
  <si>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</si>
  <si>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</si>
  <si>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</si>
  <si>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</si>
  <si>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</si>
  <si>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</si>
  <si>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</si>
  <si>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</si>
  <si>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</si>
  <si>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</si>
  <si>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</si>
  <si>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</si>
  <si>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</si>
  <si>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</si>
  <si>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</si>
  <si>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</si>
  <si>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</si>
  <si>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</si>
  <si>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</si>
  <si>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</si>
  <si>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</si>
  <si>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</si>
  <si>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</si>
  <si>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</si>
  <si>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</si>
  <si>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</si>
  <si>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</si>
  <si>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</si>
  <si>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</si>
  <si>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</si>
  <si>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</si>
  <si>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</si>
  <si>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</si>
  <si>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</si>
  <si>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</si>
  <si>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</si>
  <si>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</si>
  <si>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</si>
  <si>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</si>
  <si>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</si>
  <si>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</si>
  <si>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</si>
  <si>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</si>
  <si>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</si>
  <si>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</si>
  <si>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</si>
  <si>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</si>
  <si>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</si>
  <si>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</si>
  <si>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</si>
  <si>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</si>
  <si>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</si>
  <si>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</si>
  <si>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</si>
  <si>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</si>
  <si>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</si>
  <si>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</si>
  <si>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</si>
  <si>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</si>
  <si>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</si>
  <si>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</si>
  <si>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</si>
  <si>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</si>
  <si>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</si>
  <si>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</si>
  <si>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</si>
  <si>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</si>
  <si>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</si>
  <si>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</si>
  <si>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</si>
  <si>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</si>
  <si>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</si>
  <si>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</si>
  <si>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</si>
  <si>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</si>
  <si>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</si>
  <si>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</si>
  <si>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</si>
  <si>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</si>
  <si>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</si>
  <si>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</si>
  <si>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</si>
  <si>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</si>
  <si>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</si>
  <si>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</si>
  <si>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</si>
  <si>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</si>
  <si>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</si>
  <si>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</si>
  <si>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</si>
  <si>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</si>
  <si>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</si>
  <si>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</si>
  <si>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</si>
  <si>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</si>
  <si>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</si>
  <si>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</si>
  <si>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</si>
  <si>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</si>
  <si>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</si>
  <si>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</si>
  <si>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</si>
  <si>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</si>
  <si>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</si>
  <si>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</si>
  <si>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</si>
  <si>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</si>
  <si>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</si>
  <si>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</si>
  <si>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</si>
  <si>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</si>
  <si>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</si>
  <si>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</si>
  <si>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</si>
  <si>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</si>
  <si>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</si>
  <si>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</si>
  <si>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</si>
  <si>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</si>
  <si>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</si>
  <si>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</si>
  <si>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</si>
  <si>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</si>
  <si>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</si>
  <si>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</si>
  <si>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</si>
  <si>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</si>
  <si>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</si>
  <si>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</si>
  <si>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</si>
  <si>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</si>
  <si>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</si>
  <si>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</si>
  <si>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</si>
  <si>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</si>
  <si>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</si>
  <si>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</si>
  <si>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</si>
  <si>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</si>
  <si>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</si>
  <si>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</si>
  <si>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</si>
  <si>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</si>
  <si>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</si>
  <si>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</si>
  <si>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</si>
  <si>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</si>
  <si>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</si>
  <si>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</si>
  <si>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</si>
  <si>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</si>
  <si>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</si>
  <si>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</si>
  <si>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</si>
  <si>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</si>
  <si>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</si>
  <si>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</si>
  <si>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</si>
  <si>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</si>
  <si>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</si>
  <si>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</si>
  <si>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</si>
  <si>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</si>
  <si>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</si>
  <si>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</si>
  <si>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</si>
  <si>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</si>
  <si>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</si>
  <si>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</si>
  <si>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</si>
  <si>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</si>
  <si>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</si>
  <si>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</si>
  <si>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</si>
  <si>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</si>
  <si>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</si>
  <si>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</si>
  <si>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</si>
  <si>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</si>
  <si>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</si>
  <si>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</si>
  <si>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</si>
  <si>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</si>
  <si>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</si>
  <si>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</si>
  <si>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</si>
  <si>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</si>
  <si>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</si>
  <si>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</si>
  <si>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</si>
  <si>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</si>
  <si>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</si>
  <si>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</si>
  <si>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</si>
  <si>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</si>
  <si>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</si>
  <si>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</si>
  <si>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</si>
  <si>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</si>
  <si>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</si>
  <si>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</si>
  <si>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</si>
  <si>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</si>
  <si>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</si>
  <si>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</si>
  <si>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</si>
  <si>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</si>
  <si>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</si>
  <si>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</si>
  <si>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</si>
  <si>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</si>
  <si>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</si>
  <si>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</si>
  <si>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</si>
  <si>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</si>
  <si>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</si>
  <si>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</si>
  <si>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</si>
  <si>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</si>
  <si>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</si>
  <si>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</si>
  <si>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</si>
  <si>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</si>
  <si>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</si>
  <si>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</si>
  <si>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</si>
  <si>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</si>
  <si>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</si>
  <si>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</si>
  <si>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</si>
  <si>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</si>
  <si>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</si>
  <si>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</si>
  <si>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</si>
  <si>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</si>
  <si>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</si>
  <si>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</si>
  <si>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</si>
  <si>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</si>
  <si>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</si>
  <si>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</si>
  <si>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</si>
  <si>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</si>
  <si>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</si>
  <si>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</si>
  <si>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</si>
  <si>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</si>
  <si>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</si>
  <si>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</si>
  <si>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</si>
  <si>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</si>
  <si>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</si>
  <si>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</si>
  <si>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</si>
  <si>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</si>
  <si>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</si>
  <si>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</si>
  <si>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</si>
  <si>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</si>
  <si>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</si>
  <si>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</si>
  <si>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</si>
  <si>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</si>
  <si>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</si>
  <si>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</si>
  <si>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</si>
  <si>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</si>
  <si>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</si>
  <si>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</si>
  <si>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</si>
  <si>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</si>
  <si>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</si>
  <si>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</si>
  <si>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</si>
  <si>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</si>
  <si>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</si>
  <si>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</si>
  <si>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</si>
  <si>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</si>
  <si>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</si>
  <si>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</si>
  <si>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</si>
  <si>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</si>
  <si>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</si>
  <si>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</si>
  <si>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</si>
  <si>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</si>
  <si>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</si>
  <si>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</si>
  <si>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</si>
  <si>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</si>
  <si>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</si>
  <si>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</si>
  <si>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</si>
  <si>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</si>
  <si>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</si>
  <si>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</si>
  <si>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</si>
  <si>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</si>
  <si>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</si>
  <si>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</si>
  <si>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</si>
  <si>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</si>
  <si>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</si>
  <si>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</si>
  <si>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</si>
  <si>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</si>
  <si>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</si>
  <si>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</si>
  <si>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</si>
  <si>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</si>
  <si>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</si>
  <si>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</si>
  <si>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</si>
  <si>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</si>
  <si>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</si>
  <si>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</si>
  <si>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</si>
  <si>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</si>
  <si>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</si>
  <si>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</si>
  <si>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</si>
  <si>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</si>
  <si>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</si>
  <si>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</si>
  <si>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</si>
  <si>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</si>
  <si>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</si>
  <si>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</si>
  <si>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</si>
  <si>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</si>
  <si>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</si>
  <si>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</si>
  <si>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</si>
  <si>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</si>
  <si>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</si>
  <si>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</si>
  <si>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</si>
  <si>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</si>
  <si>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</si>
  <si>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</si>
  <si>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</si>
  <si>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</si>
  <si>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</si>
  <si>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</si>
  <si>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</si>
  <si>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</si>
  <si>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</si>
  <si>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</si>
  <si>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</si>
  <si>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</si>
  <si>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</si>
  <si>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</si>
  <si>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</si>
  <si>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</si>
  <si>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</si>
  <si>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</si>
  <si>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</si>
  <si>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</si>
  <si>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</si>
  <si>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</si>
  <si>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</si>
  <si>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</si>
  <si>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</si>
  <si>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</si>
  <si>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</si>
  <si>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</si>
  <si>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</si>
  <si>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</si>
  <si>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</si>
  <si>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</si>
  <si>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</si>
  <si>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</si>
  <si>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</si>
  <si>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</si>
  <si>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</si>
  <si>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</si>
  <si>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</si>
  <si>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</si>
  <si>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</si>
  <si>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</si>
  <si>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</si>
  <si>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</si>
  <si>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</si>
  <si>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</si>
  <si>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</si>
  <si>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</si>
  <si>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</si>
  <si>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</si>
  <si>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</si>
  <si>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</si>
  <si>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</si>
  <si>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</si>
  <si>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</si>
  <si>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</si>
  <si>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</si>
  <si>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</si>
  <si>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</si>
  <si>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</si>
  <si>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</si>
  <si>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</si>
  <si>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</si>
  <si>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</si>
  <si>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</si>
  <si>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</si>
  <si>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</si>
  <si>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</si>
  <si>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</si>
  <si>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</si>
  <si>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</si>
  <si>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</si>
  <si>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</si>
  <si>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</si>
  <si>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</si>
  <si>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</si>
  <si>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</si>
  <si>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</si>
  <si>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</si>
  <si>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</si>
  <si>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</si>
  <si>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</si>
  <si>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</si>
  <si>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</si>
  <si>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</si>
  <si>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</si>
  <si>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</si>
  <si>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</si>
  <si>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</si>
  <si>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</si>
  <si>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</si>
  <si>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</si>
  <si>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</si>
  <si>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</si>
  <si>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</si>
  <si>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</si>
  <si>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</si>
  <si>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</si>
  <si>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</si>
  <si>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</si>
  <si>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</si>
  <si>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</si>
  <si>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</si>
  <si>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</si>
  <si>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</si>
  <si>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</si>
  <si>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</si>
  <si>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</si>
  <si>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</si>
  <si>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</si>
  <si>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</si>
  <si>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</si>
  <si>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</si>
  <si>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</si>
  <si>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</si>
  <si>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</si>
  <si>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</si>
  <si>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</si>
  <si>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</si>
  <si>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</si>
  <si>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</si>
  <si>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</si>
  <si>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</si>
  <si>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</si>
  <si>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</si>
  <si>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</si>
  <si>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</si>
  <si>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</si>
  <si>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</si>
  <si>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</si>
  <si>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</si>
  <si>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</si>
  <si>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</si>
  <si>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</si>
  <si>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</si>
  <si>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</si>
  <si>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</si>
  <si>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</si>
  <si>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</si>
  <si>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</si>
  <si>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</si>
  <si>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</si>
  <si>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</si>
  <si>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</si>
  <si>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</si>
  <si>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</si>
  <si>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</si>
  <si>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</si>
  <si>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</si>
  <si>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</si>
  <si>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</si>
  <si>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</si>
  <si>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</si>
  <si>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</si>
  <si>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</si>
  <si>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</si>
  <si>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</si>
  <si>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</si>
  <si>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</si>
  <si>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</si>
  <si>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</si>
  <si>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</si>
  <si>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</si>
  <si>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</si>
  <si>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</si>
  <si>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</si>
  <si>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</si>
  <si>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</si>
  <si>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</si>
  <si>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</si>
  <si>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</si>
  <si>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</si>
  <si>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</si>
  <si>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</si>
  <si>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</si>
  <si>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</si>
  <si>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</si>
  <si>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</si>
  <si>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</si>
  <si>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</si>
  <si>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</si>
  <si>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</si>
  <si>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</si>
  <si>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</si>
  <si>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</si>
  <si>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</si>
  <si>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</si>
  <si>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</si>
  <si>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</si>
  <si>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</si>
  <si>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</si>
  <si>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</si>
  <si>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</si>
  <si>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</si>
  <si>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</si>
  <si>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</si>
  <si>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</si>
  <si>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</si>
  <si>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</si>
  <si>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</si>
  <si>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</si>
  <si>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</si>
  <si>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</si>
  <si>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</si>
  <si>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</si>
  <si>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</si>
  <si>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</si>
  <si>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</si>
  <si>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</si>
  <si>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</si>
  <si>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</si>
  <si>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</si>
  <si>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</si>
  <si>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</si>
  <si>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</si>
  <si>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</si>
  <si>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</si>
  <si>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</si>
  <si>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</si>
  <si>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</si>
  <si>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</si>
  <si>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</si>
  <si>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</si>
  <si>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</si>
  <si>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</si>
  <si>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</si>
  <si>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</si>
  <si>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</si>
  <si>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</si>
  <si>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</si>
  <si>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</si>
  <si>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</si>
  <si>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</si>
  <si>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</si>
  <si>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</si>
  <si>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</si>
  <si>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</si>
  <si>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</si>
  <si>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</si>
  <si>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</si>
  <si>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</si>
  <si>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</si>
  <si>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</si>
  <si>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</si>
  <si>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</si>
  <si>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</si>
  <si>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</si>
  <si>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</si>
  <si>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</si>
  <si>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</si>
  <si>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</si>
  <si>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</si>
  <si>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</si>
  <si>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</si>
  <si>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</si>
  <si>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</si>
  <si>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</si>
  <si>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</si>
  <si>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</si>
  <si>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</si>
  <si>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</si>
  <si>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</si>
  <si>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</si>
  <si>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</si>
  <si>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</si>
  <si>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</si>
  <si>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</si>
  <si>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</si>
  <si>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</si>
  <si>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</si>
  <si>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</si>
  <si>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</si>
  <si>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</si>
  <si>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</si>
  <si>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</si>
  <si>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</si>
  <si>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</si>
  <si>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</si>
  <si>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</si>
  <si>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</si>
  <si>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</si>
  <si>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</si>
  <si>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</si>
  <si>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</si>
  <si>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</si>
  <si>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</si>
  <si>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</si>
  <si>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</si>
  <si>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</si>
  <si>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</si>
  <si>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</si>
  <si>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</si>
  <si>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</si>
  <si>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</si>
  <si>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</si>
  <si>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</si>
  <si>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</si>
  <si>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</si>
  <si>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</si>
  <si>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</si>
  <si>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</si>
  <si>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</si>
  <si>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</si>
  <si>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</si>
  <si>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</si>
  <si>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</si>
  <si>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</si>
  <si>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</si>
  <si>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</si>
  <si>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</si>
  <si>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</si>
  <si>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</si>
  <si>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</si>
  <si>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</si>
  <si>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</si>
  <si>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</si>
  <si>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</si>
  <si>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</si>
  <si>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</si>
  <si>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</si>
  <si>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</si>
  <si>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</si>
  <si>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</si>
  <si>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</si>
  <si>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</si>
  <si>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</si>
  <si>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</si>
  <si>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</si>
  <si>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</si>
  <si>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</si>
  <si>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</si>
  <si>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</si>
  <si>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</si>
  <si>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</si>
  <si>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</si>
  <si>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</si>
  <si>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</si>
  <si>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</si>
  <si>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</si>
  <si>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</si>
  <si>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</si>
  <si>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</si>
  <si>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</si>
  <si>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</si>
  <si>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</si>
  <si>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</si>
  <si>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</si>
  <si>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</si>
  <si>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</si>
  <si>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</si>
  <si>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</si>
  <si>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</si>
  <si>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</si>
  <si>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</si>
  <si>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</si>
  <si>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</si>
  <si>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</si>
  <si>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</si>
  <si>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</si>
  <si>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</si>
  <si>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</si>
  <si>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</si>
  <si>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</si>
  <si>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</si>
  <si>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</si>
  <si>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</si>
  <si>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</si>
  <si>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</si>
  <si>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</si>
  <si>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</si>
  <si>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</si>
  <si>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</si>
  <si>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</si>
  <si>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</si>
  <si>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</si>
  <si>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</si>
  <si>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</si>
  <si>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</si>
  <si>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</si>
  <si>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</si>
  <si>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</si>
  <si>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</si>
  <si>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</si>
  <si>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</si>
  <si>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</si>
  <si>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</si>
  <si>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</si>
  <si>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</si>
  <si>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</si>
  <si>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</si>
  <si>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</si>
  <si>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</si>
  <si>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</si>
  <si>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</si>
  <si>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</si>
  <si>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</si>
  <si>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</si>
  <si>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</si>
  <si>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</si>
  <si>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</si>
  <si>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</si>
  <si>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</si>
  <si>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</si>
  <si>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</si>
  <si>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</si>
  <si>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</si>
  <si>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</si>
  <si>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</si>
  <si>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</si>
  <si>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</si>
  <si>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</si>
  <si>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</si>
  <si>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</si>
  <si>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</si>
  <si>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</si>
  <si>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</si>
  <si>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</si>
  <si>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</si>
  <si>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</si>
  <si>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</si>
  <si>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</si>
  <si>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</si>
  <si>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</si>
  <si>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</si>
  <si>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</si>
  <si>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</si>
  <si>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</si>
  <si>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</si>
  <si>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</si>
  <si>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</si>
  <si>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</si>
  <si>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</si>
  <si>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</si>
  <si>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</si>
  <si>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</si>
  <si>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</si>
  <si>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</si>
  <si>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</si>
  <si>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</si>
  <si>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</si>
  <si>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</si>
  <si>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</si>
  <si>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</si>
  <si>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</si>
  <si>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</si>
  <si>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</si>
  <si>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</si>
  <si>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</si>
  <si>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</si>
  <si>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</si>
  <si>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</si>
  <si>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</si>
  <si>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</si>
  <si>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</si>
  <si>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</si>
  <si>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</si>
  <si>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</si>
  <si>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</si>
  <si>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</si>
  <si>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</si>
  <si>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</si>
  <si>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</si>
  <si>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</si>
  <si>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</si>
  <si>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</si>
  <si>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</si>
  <si>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</si>
  <si>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</si>
  <si>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</si>
  <si>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</si>
  <si>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</si>
  <si>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</si>
  <si>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</si>
  <si>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</si>
  <si>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</si>
  <si>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</si>
  <si>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</si>
  <si>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</si>
  <si>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</si>
  <si>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</si>
  <si>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</si>
  <si>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</si>
  <si>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</si>
  <si>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</si>
  <si>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</si>
  <si>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</si>
  <si>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</si>
  <si>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</si>
  <si>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</si>
  <si>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</si>
  <si>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</si>
  <si>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</si>
  <si>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</si>
  <si>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</si>
  <si>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</si>
  <si>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</si>
  <si>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</si>
  <si>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</si>
  <si>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</si>
  <si>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</si>
  <si>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</si>
  <si>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</si>
  <si>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</si>
  <si>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</si>
  <si>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</si>
  <si>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</si>
  <si>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</si>
  <si>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</si>
  <si>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</si>
  <si>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</si>
  <si>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</si>
  <si>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</si>
  <si>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</si>
  <si>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</si>
  <si>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</si>
  <si>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</si>
  <si>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</si>
  <si>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</si>
  <si>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</si>
  <si>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</si>
  <si>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</si>
  <si>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</si>
  <si>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</si>
  <si>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</si>
  <si>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</si>
  <si>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</si>
  <si>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</si>
  <si>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</si>
  <si>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</si>
  <si>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</si>
  <si>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</si>
  <si>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</si>
  <si>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</si>
  <si>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</si>
  <si>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</si>
  <si>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</si>
  <si>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</si>
  <si>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</si>
  <si>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</si>
  <si>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</si>
  <si>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</si>
  <si>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</si>
  <si>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</si>
  <si>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</si>
  <si>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</si>
  <si>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</si>
  <si>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</si>
  <si>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</si>
  <si>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</si>
  <si>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</si>
  <si>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</si>
  <si>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</si>
  <si>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</si>
  <si>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</si>
  <si>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</si>
  <si>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</si>
  <si>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</si>
  <si>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</si>
  <si>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</si>
  <si>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</si>
  <si>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</si>
  <si>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</si>
  <si>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</si>
  <si>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</si>
  <si>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</si>
  <si>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</si>
  <si>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</si>
  <si>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</si>
  <si>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</si>
  <si>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</si>
  <si>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</si>
  <si>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</si>
  <si>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</si>
  <si>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</si>
  <si>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</si>
  <si>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</si>
  <si>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</si>
  <si>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</si>
  <si>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</si>
  <si>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</si>
  <si>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</si>
  <si>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</si>
  <si>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</si>
  <si>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</si>
  <si>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</si>
  <si>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</si>
  <si>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</si>
  <si>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</si>
  <si>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</si>
  <si>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</si>
  <si>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</si>
  <si>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</si>
  <si>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</si>
  <si>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</si>
  <si>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</si>
  <si>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</si>
  <si>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</si>
  <si>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</si>
  <si>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</si>
  <si>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</si>
  <si>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</si>
  <si>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</si>
  <si>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</si>
  <si>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</si>
  <si>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</si>
  <si>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</si>
  <si>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</si>
  <si>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</si>
  <si>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</si>
  <si>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</si>
  <si>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</si>
  <si>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</si>
  <si>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</si>
  <si>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</si>
  <si>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</si>
  <si>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</si>
  <si>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</si>
  <si>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</si>
  <si>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</si>
  <si>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</si>
  <si>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</si>
  <si>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</si>
  <si>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</si>
  <si>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</si>
  <si>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</si>
  <si>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</si>
  <si>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</si>
  <si>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</si>
  <si>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</si>
  <si>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</si>
  <si>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</si>
  <si>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</si>
  <si>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</si>
  <si>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</si>
  <si>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</si>
  <si>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</si>
  <si>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</si>
  <si>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</si>
  <si>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</si>
  <si>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</si>
  <si>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</si>
  <si>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</si>
  <si>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</si>
  <si>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</si>
  <si>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</si>
  <si>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</si>
  <si>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</si>
  <si>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</si>
  <si>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</si>
  <si>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</si>
  <si>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</si>
  <si>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</si>
  <si>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</si>
  <si>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</si>
  <si>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</si>
  <si>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</si>
  <si>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</si>
  <si>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</si>
  <si>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</si>
  <si>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</si>
  <si>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</si>
  <si>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</si>
  <si>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</si>
  <si>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</si>
  <si>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</si>
  <si>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</si>
  <si>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</si>
  <si>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</si>
  <si>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</si>
  <si>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</si>
  <si>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</si>
  <si>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</si>
  <si>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</si>
  <si>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</si>
  <si>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</si>
  <si>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</si>
  <si>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</si>
  <si>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</si>
  <si>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</si>
  <si>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</si>
  <si>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</si>
  <si>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</si>
  <si>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</si>
  <si>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</si>
  <si>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</si>
  <si>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</si>
  <si>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</si>
  <si>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Насосная станция  Гидроузел №4</t>
  </si>
  <si>
    <t>НС</t>
  </si>
  <si>
    <t>г Ленинск-Кузнецкий</t>
  </si>
  <si>
    <t>32514000001</t>
  </si>
  <si>
    <t>ул. Суворова</t>
  </si>
  <si>
    <t>209</t>
  </si>
  <si>
    <t>150.0000000000</t>
  </si>
  <si>
    <t>50.0000000000</t>
  </si>
  <si>
    <t>4 подъёма</t>
  </si>
  <si>
    <t>питьевая</t>
  </si>
  <si>
    <t>40.0000000000</t>
  </si>
  <si>
    <t>01.01.1961</t>
  </si>
  <si>
    <t>эксплуатируется</t>
  </si>
  <si>
    <t>муниципальное имущество</t>
  </si>
  <si>
    <t>концессионное соглашение</t>
  </si>
  <si>
    <t>https://portal.eias.ru/Portal/DownloadPage.aspx?type=12&amp;guid=0e8b6c7e-49cc-44a2-8029-ccdb01b64371</t>
  </si>
  <si>
    <t>1/Л-К</t>
  </si>
  <si>
    <t>14.11.2019</t>
  </si>
  <si>
    <t>г Ленинск-Кузнецкий, ул. Суворова, 209</t>
  </si>
  <si>
    <t>Скважина №1</t>
  </si>
  <si>
    <t>д Михайловка</t>
  </si>
  <si>
    <t>32537000126</t>
  </si>
  <si>
    <t>ул Школьная</t>
  </si>
  <si>
    <t>1"б"</t>
  </si>
  <si>
    <t>10.0000000000</t>
  </si>
  <si>
    <t>8.0000000000</t>
  </si>
  <si>
    <t>артезианская скважина</t>
  </si>
  <si>
    <t>80.0000000000</t>
  </si>
  <si>
    <t>01.01.1980</t>
  </si>
  <si>
    <t>https://portal.eias.ru/Portal/DownloadPage.aspx?type=12&amp;guid=e280bcd3-8022-49df-9a12-d5a58e8cfe66</t>
  </si>
  <si>
    <t>2019/ЧМР</t>
  </si>
  <si>
    <t>13.11.2019</t>
  </si>
  <si>
    <t>д Михайловка, ул Школьная, 1"б"</t>
  </si>
  <si>
    <t>скважина №2</t>
  </si>
  <si>
    <t>ул Молодежная</t>
  </si>
  <si>
    <t>1"а"</t>
  </si>
  <si>
    <t>01.01.1982</t>
  </si>
  <si>
    <t>д Михайловка, ул Молодежная, 1"а"</t>
  </si>
  <si>
    <t>Правобережная НС [нет]</t>
  </si>
  <si>
    <t>г Кемерово</t>
  </si>
  <si>
    <t>32701000001</t>
  </si>
  <si>
    <t>ул. Терешковой</t>
  </si>
  <si>
    <t>3750.0000000000</t>
  </si>
  <si>
    <t>1714.6331967213</t>
  </si>
  <si>
    <t>3 подъёма</t>
  </si>
  <si>
    <t>43.7500000000</t>
  </si>
  <si>
    <t>01.02.2007</t>
  </si>
  <si>
    <t>https://portal.eias.ru/Portal/DownloadPage.aspx?type=12&amp;guid=5157f90c-9253-41fb-a824-d1052072a661</t>
  </si>
  <si>
    <t>договор</t>
  </si>
  <si>
    <t>28.12.2018</t>
  </si>
  <si>
    <t>г Кемерово, ул. Терешковой, 14</t>
  </si>
  <si>
    <t>Гидроузел "Рудник" [нет]</t>
  </si>
  <si>
    <t>ул. Мамонтова</t>
  </si>
  <si>
    <t>б/н</t>
  </si>
  <si>
    <t>1875.0000000000</t>
  </si>
  <si>
    <t>480.5943761384</t>
  </si>
  <si>
    <t>21.3300000000</t>
  </si>
  <si>
    <t>12.05.2009</t>
  </si>
  <si>
    <t>г Кемерово, ул. Мамонтова, б/н</t>
  </si>
  <si>
    <t>скважина №14</t>
  </si>
  <si>
    <t>п Акация</t>
  </si>
  <si>
    <t>32546000251</t>
  </si>
  <si>
    <t>ул.Мира</t>
  </si>
  <si>
    <t>25</t>
  </si>
  <si>
    <t>2.0000000000</t>
  </si>
  <si>
    <t>60.0000000000</t>
  </si>
  <si>
    <t>01.01.1990</t>
  </si>
  <si>
    <t>https://portal.eias.ru/Portal/DownloadPage.aspx?type=12&amp;guid=1af1e839-9786-4b0d-9507-dfe76311e92c</t>
  </si>
  <si>
    <t>№7/ЯМО</t>
  </si>
  <si>
    <t>28.09.2021</t>
  </si>
  <si>
    <t>п Акация, ул.Мира, 25</t>
  </si>
  <si>
    <t>1а</t>
  </si>
  <si>
    <t>6.0000000000</t>
  </si>
  <si>
    <t>70.0000000000</t>
  </si>
  <si>
    <t>01.01.1960</t>
  </si>
  <si>
    <t>п Акация, ул.Мира, 1а</t>
  </si>
  <si>
    <t>Скважина №10</t>
  </si>
  <si>
    <t>п Акация, ул.Мира, 21</t>
  </si>
  <si>
    <t>ПНС 52 [нет]</t>
  </si>
  <si>
    <t>ул. Пролетарская</t>
  </si>
  <si>
    <t>22</t>
  </si>
  <si>
    <t>41.6000000000</t>
  </si>
  <si>
    <t>14.3400000000</t>
  </si>
  <si>
    <t>26.3000000000</t>
  </si>
  <si>
    <t>31.10.2008</t>
  </si>
  <si>
    <t>г Кемерово, ул. Пролетарская, 22</t>
  </si>
  <si>
    <t>НС-2 подъема НФС-2 [нет]</t>
  </si>
  <si>
    <t>ул. Советская</t>
  </si>
  <si>
    <t>38</t>
  </si>
  <si>
    <t>10000.0000000000</t>
  </si>
  <si>
    <t>6214.0691029144</t>
  </si>
  <si>
    <t>2 подъёма</t>
  </si>
  <si>
    <t>г Кемерово, ул. Советская, 38</t>
  </si>
  <si>
    <t>Скважина б/н</t>
  </si>
  <si>
    <t>п Новостройка</t>
  </si>
  <si>
    <t>32543000216</t>
  </si>
  <si>
    <t>-</t>
  </si>
  <si>
    <t>6.5000000000</t>
  </si>
  <si>
    <t>0.5800000000</t>
  </si>
  <si>
    <t>100.0000000000</t>
  </si>
  <si>
    <t>01.01.1992</t>
  </si>
  <si>
    <t>https://portal.eias.ru/Portal/DownloadPage.aspx?type=12&amp;guid=150fcd94-7654-4533-9165-48c46bc5f5eb</t>
  </si>
  <si>
    <t>№2023/ЯЯ</t>
  </si>
  <si>
    <t>11.11.2024</t>
  </si>
  <si>
    <t>п Новостройка, -, -</t>
  </si>
  <si>
    <t>Ягуновский водозабор НС-2 подъема [нет]</t>
  </si>
  <si>
    <t>сеть</t>
  </si>
  <si>
    <t>1 км южнее г. Кемерово и 1 км восточнее автодороги Кемерово-Промышленная</t>
  </si>
  <si>
    <t>125.0000000000</t>
  </si>
  <si>
    <t>128.1484517304</t>
  </si>
  <si>
    <t>4205153492.0</t>
  </si>
  <si>
    <t>НС-2 подъема</t>
  </si>
  <si>
    <t>32701000.0</t>
  </si>
  <si>
    <t>32701000001.0</t>
  </si>
  <si>
    <t>без адреса</t>
  </si>
  <si>
    <t>магистральная</t>
  </si>
  <si>
    <t>31.0835000000</t>
  </si>
  <si>
    <t>30.8335000000</t>
  </si>
  <si>
    <t>0.2500000000</t>
  </si>
  <si>
    <t>0.0000000000</t>
  </si>
  <si>
    <t>42.0000000000</t>
  </si>
  <si>
    <t>https://portal.eias.ru/Portal/DownloadPage.aspx?type=12&amp;guid=e60adf38-a8cc-447d-acb0-3634e0bb8ad4</t>
  </si>
  <si>
    <t>г Кемерово, 1 км южнее г. Кемерово и 1 км восточнее автодороги Кемерово-Промышленная, б/н</t>
  </si>
  <si>
    <t>НС-2 подъема Бердовского водозабора</t>
  </si>
  <si>
    <t>666.6000000000</t>
  </si>
  <si>
    <t>385.0324453552</t>
  </si>
  <si>
    <t>1 подъёма</t>
  </si>
  <si>
    <t>31.12.1996</t>
  </si>
  <si>
    <t>г Кемерово, без адреса, б/н</t>
  </si>
  <si>
    <t>Скважина</t>
  </si>
  <si>
    <t>п 1-й</t>
  </si>
  <si>
    <t>32537000156</t>
  </si>
  <si>
    <t>ул. Воронова</t>
  </si>
  <si>
    <t>8а</t>
  </si>
  <si>
    <t>01.01.1973</t>
  </si>
  <si>
    <t>п 1-й, ул. Воронова, 8а</t>
  </si>
  <si>
    <t>с Усть-Чебула</t>
  </si>
  <si>
    <t>32537000236</t>
  </si>
  <si>
    <t>ул. Школьная</t>
  </si>
  <si>
    <t>1в</t>
  </si>
  <si>
    <t>01.01.1989</t>
  </si>
  <si>
    <t>с Усть-Чебула, ул. Школьная, 1в</t>
  </si>
  <si>
    <t>д Курск-Смоленка</t>
  </si>
  <si>
    <t>32537000121</t>
  </si>
  <si>
    <t>ул Советская</t>
  </si>
  <si>
    <t>2"а"</t>
  </si>
  <si>
    <t>01.01.1970</t>
  </si>
  <si>
    <t>д Курск-Смоленка, ул Советская, 2"а"</t>
  </si>
  <si>
    <t>НС-3 ж.р. Кедровка (подача на ж.р. Кедровка) [нет]</t>
  </si>
  <si>
    <t>ж.р. Кедровка, ул. Павленко</t>
  </si>
  <si>
    <t>306.5079690346</t>
  </si>
  <si>
    <t>45.9600000000</t>
  </si>
  <si>
    <t>г Кемерово, ж.р. Кедровка, ул. Павленко, б/н</t>
  </si>
  <si>
    <t>с Алчедат</t>
  </si>
  <si>
    <t>32537000211</t>
  </si>
  <si>
    <t>ул Октябрьская</t>
  </si>
  <si>
    <t>43"в"</t>
  </si>
  <si>
    <t>01.01.1986</t>
  </si>
  <si>
    <t>с Алчедат, ул Октябрьская, 43"в"</t>
  </si>
  <si>
    <t>Скважиная (резервная)</t>
  </si>
  <si>
    <t>ул Юбилейная</t>
  </si>
  <si>
    <t>34"а"</t>
  </si>
  <si>
    <t>с Алчедат, ул Юбилейная, 34"а"</t>
  </si>
  <si>
    <t>сети водоснабжения</t>
  </si>
  <si>
    <t>д Дмитриевка</t>
  </si>
  <si>
    <t>32537000106</t>
  </si>
  <si>
    <t>_</t>
  </si>
  <si>
    <t>13.9200000000</t>
  </si>
  <si>
    <t>32537000.0</t>
  </si>
  <si>
    <t>32537000106.0</t>
  </si>
  <si>
    <t>ул Набережная</t>
  </si>
  <si>
    <t>16а</t>
  </si>
  <si>
    <t>магистральная и разводящая</t>
  </si>
  <si>
    <t>5.3680000000</t>
  </si>
  <si>
    <t>д Дмитриевка, д Дмитриевка, _</t>
  </si>
  <si>
    <t>ПНС 14 [нет]</t>
  </si>
  <si>
    <t>пр. Ленина</t>
  </si>
  <si>
    <t>132 Б</t>
  </si>
  <si>
    <t>20.2100000000</t>
  </si>
  <si>
    <t>69.0000000000</t>
  </si>
  <si>
    <t>30.12.1985</t>
  </si>
  <si>
    <t>г Кемерово, пр. Ленина, 132 Б</t>
  </si>
  <si>
    <t>Сети водоснабжения     д. Юрты-Константиновы</t>
  </si>
  <si>
    <t>д Юрты-Константиновы</t>
  </si>
  <si>
    <t>32546000246</t>
  </si>
  <si>
    <t>32546000.0</t>
  </si>
  <si>
    <t>32546000246.0</t>
  </si>
  <si>
    <t>2.6610000000</t>
  </si>
  <si>
    <t>75.0000000000</t>
  </si>
  <si>
    <t>д Юрты-Константиновы, -, -</t>
  </si>
  <si>
    <t>д Дауровка</t>
  </si>
  <si>
    <t>32546000131</t>
  </si>
  <si>
    <t>ул.Центральная</t>
  </si>
  <si>
    <t>15а</t>
  </si>
  <si>
    <t>1.0000000000</t>
  </si>
  <si>
    <t>д Дауровка, ул.Центральная, 15а</t>
  </si>
  <si>
    <t>Сети водоснабжения     д. Дауровка</t>
  </si>
  <si>
    <t>32546000131.0</t>
  </si>
  <si>
    <t>0.7830000000</t>
  </si>
  <si>
    <t>д Дауровка, -, -</t>
  </si>
  <si>
    <t>д Усть-Сосновка</t>
  </si>
  <si>
    <t>32546000241</t>
  </si>
  <si>
    <t>01.01.1978</t>
  </si>
  <si>
    <t>д Усть-Сосновка, ул.Центральная, 8а</t>
  </si>
  <si>
    <t>д Северная</t>
  </si>
  <si>
    <t>32546000226</t>
  </si>
  <si>
    <t>ул.Молодежная</t>
  </si>
  <si>
    <t>д Северная, ул.Молодежная, 12</t>
  </si>
  <si>
    <t>д Мелково</t>
  </si>
  <si>
    <t>32546000186</t>
  </si>
  <si>
    <t>ул.Речная</t>
  </si>
  <si>
    <t>д Мелково, ул.Речная, 8а</t>
  </si>
  <si>
    <t>Скважина №14/4290</t>
  </si>
  <si>
    <t>с Поломошное</t>
  </si>
  <si>
    <t>32546000351</t>
  </si>
  <si>
    <t>пер.Школьный</t>
  </si>
  <si>
    <t>2б</t>
  </si>
  <si>
    <t>01.01.1985</t>
  </si>
  <si>
    <t>с Поломошное, пер.Школьный, 2б</t>
  </si>
  <si>
    <t>д Курск-Смоленка, ул Советская, 34"а"</t>
  </si>
  <si>
    <t>Зона А [нет]</t>
  </si>
  <si>
    <t>46</t>
  </si>
  <si>
    <t>2083.3000000000</t>
  </si>
  <si>
    <t>1221.3836520947</t>
  </si>
  <si>
    <t>23.5500000000</t>
  </si>
  <si>
    <t>01.09.2008</t>
  </si>
  <si>
    <t>г Кемерово, ул. Терешковой, 46</t>
  </si>
  <si>
    <t>сеть водоснабжения</t>
  </si>
  <si>
    <t>д Шестаково</t>
  </si>
  <si>
    <t>32537000151</t>
  </si>
  <si>
    <t>32537000151.0</t>
  </si>
  <si>
    <t>ул Оренбургская</t>
  </si>
  <si>
    <t>2в</t>
  </si>
  <si>
    <t>0.8250000000</t>
  </si>
  <si>
    <t>д Шестаково, ул Школьная, _</t>
  </si>
  <si>
    <t>Зона Б [нет]</t>
  </si>
  <si>
    <t>ул. Космическая</t>
  </si>
  <si>
    <t>нечётная сторона</t>
  </si>
  <si>
    <t>625.0000000000</t>
  </si>
  <si>
    <t>338.1351320583</t>
  </si>
  <si>
    <t>51.2000000000</t>
  </si>
  <si>
    <t>01.02.1973</t>
  </si>
  <si>
    <t>г Кемерово, ул. Космическая, нечётная сторона</t>
  </si>
  <si>
    <t>Сети водоснабжения     д. Крылово</t>
  </si>
  <si>
    <t>д Крылово</t>
  </si>
  <si>
    <t>32546000171</t>
  </si>
  <si>
    <t>32546000171.0</t>
  </si>
  <si>
    <t>0.7090000000</t>
  </si>
  <si>
    <t>д Крылово, -, -</t>
  </si>
  <si>
    <t>п Яшкинский</t>
  </si>
  <si>
    <t>32546000311</t>
  </si>
  <si>
    <t>ул.Спортивная</t>
  </si>
  <si>
    <t>2а</t>
  </si>
  <si>
    <t>3.0000000000</t>
  </si>
  <si>
    <t>п Яшкинский, ул.Спортивная, 2а</t>
  </si>
  <si>
    <t>ул.Окрайняя</t>
  </si>
  <si>
    <t>24</t>
  </si>
  <si>
    <t>01.01.2003</t>
  </si>
  <si>
    <t>п Яшкинский, ул.Окрайняя, 24</t>
  </si>
  <si>
    <t>ВНС "Лесная поляна" [нет]</t>
  </si>
  <si>
    <t>автодорога г. Кемерово-Лесная поляна</t>
  </si>
  <si>
    <t>120.6303506375</t>
  </si>
  <si>
    <t>15.7000000000</t>
  </si>
  <si>
    <t>30.11.2007</t>
  </si>
  <si>
    <t>г Кемерово, автодорога г. Кемерово-Лесная поляна, б/н</t>
  </si>
  <si>
    <t>д Ольговка</t>
  </si>
  <si>
    <t>32543000146</t>
  </si>
  <si>
    <t>0.7000000000</t>
  </si>
  <si>
    <t>01.01.1975</t>
  </si>
  <si>
    <t>д Ольговка, -, -</t>
  </si>
  <si>
    <t>Скважина №11/4130</t>
  </si>
  <si>
    <t>пгт Яшкино</t>
  </si>
  <si>
    <t>32546000051</t>
  </si>
  <si>
    <t>ул.Ленинская</t>
  </si>
  <si>
    <t>01.01.1965</t>
  </si>
  <si>
    <t>пгт Яшкино, ул.Ленинская, 2а</t>
  </si>
  <si>
    <t>Скважина №5</t>
  </si>
  <si>
    <t>ул.Железнодорожная</t>
  </si>
  <si>
    <t>5.0000000000</t>
  </si>
  <si>
    <t>01.01.1958</t>
  </si>
  <si>
    <t>пгт Яшкино, ул.Железнодорожная, 1а</t>
  </si>
  <si>
    <t>Гидроузел №4 [нет]</t>
  </si>
  <si>
    <t>ул. Мартемьянова</t>
  </si>
  <si>
    <t>291.6000000000</t>
  </si>
  <si>
    <t>171.7312158470</t>
  </si>
  <si>
    <t>19.3900000000</t>
  </si>
  <si>
    <t>31.12.2009</t>
  </si>
  <si>
    <t>г Кемерово, ул. Мартемьянова, б/н</t>
  </si>
  <si>
    <t>Скважина №1           КМ-65</t>
  </si>
  <si>
    <t>р.Яя</t>
  </si>
  <si>
    <t>01.01.1988</t>
  </si>
  <si>
    <t>пгт Яшкино, р.Яя, -</t>
  </si>
  <si>
    <t>Скважина №2           КМ-66</t>
  </si>
  <si>
    <t>Скважина №2/4076</t>
  </si>
  <si>
    <t>с Колмогорово</t>
  </si>
  <si>
    <t>32546000316</t>
  </si>
  <si>
    <t>ул.Мирная</t>
  </si>
  <si>
    <t>108б</t>
  </si>
  <si>
    <t>4.0000000000</t>
  </si>
  <si>
    <t>01.01.1981</t>
  </si>
  <si>
    <t>с Колмогорово, ул.Мирная, 108б</t>
  </si>
  <si>
    <t>ПНС Боровой [нет]</t>
  </si>
  <si>
    <t>п-к Боровой, ул. 2-ая Парковая</t>
  </si>
  <si>
    <t>208.3000000000</t>
  </si>
  <si>
    <t>126.0093351548</t>
  </si>
  <si>
    <t>г Кемерово, п-к Боровой, ул. 2-ая Парковая, б/н</t>
  </si>
  <si>
    <t>Скважина №1/2058</t>
  </si>
  <si>
    <t>108а</t>
  </si>
  <si>
    <t>01.01.1968</t>
  </si>
  <si>
    <t>государственное имущество</t>
  </si>
  <si>
    <t>с Колмогорово, ул.Мирная, 108а</t>
  </si>
  <si>
    <t>Скважина №13/2366</t>
  </si>
  <si>
    <t>ул.70-лет Октября</t>
  </si>
  <si>
    <t>01.01.1969</t>
  </si>
  <si>
    <t>с Поломошное, ул.70-лет Октября, 2б</t>
  </si>
  <si>
    <t>Сети водоснабжения д. Марьевка</t>
  </si>
  <si>
    <t>д Марьевка</t>
  </si>
  <si>
    <t>32543000126</t>
  </si>
  <si>
    <t>17.0000000000</t>
  </si>
  <si>
    <t>2.8000000000</t>
  </si>
  <si>
    <t>32543000.0</t>
  </si>
  <si>
    <t>32543000126.0</t>
  </si>
  <si>
    <t>6.5070000000</t>
  </si>
  <si>
    <t>д Марьевка, -, -</t>
  </si>
  <si>
    <t>Сети водоснабжения с. Новониколаевка</t>
  </si>
  <si>
    <t>с Новониколаевка</t>
  </si>
  <si>
    <t>32543000281</t>
  </si>
  <si>
    <t>19.5000000000</t>
  </si>
  <si>
    <t>2.4100000000</t>
  </si>
  <si>
    <t>32543000281.0</t>
  </si>
  <si>
    <t>10.4920000000</t>
  </si>
  <si>
    <t>с Новониколаевка, -, -</t>
  </si>
  <si>
    <t>с Судженка</t>
  </si>
  <si>
    <t>32543000286</t>
  </si>
  <si>
    <t>ул. Заречная</t>
  </si>
  <si>
    <t>за домом №45</t>
  </si>
  <si>
    <t>0.6000000000</t>
  </si>
  <si>
    <t>с Судженка, ул. Заречная, за домом №45</t>
  </si>
  <si>
    <t>94а</t>
  </si>
  <si>
    <t>2.7000000000</t>
  </si>
  <si>
    <t>с Судженка, ул. Советская, 94а</t>
  </si>
  <si>
    <t>насосная станция  №17</t>
  </si>
  <si>
    <t>пр.Ленина</t>
  </si>
  <si>
    <t>86"б"</t>
  </si>
  <si>
    <t>20.0000000000</t>
  </si>
  <si>
    <t>30.0000000000</t>
  </si>
  <si>
    <t>17.01.1995</t>
  </si>
  <si>
    <t>г Ленинск-Кузнецкий, пр.Ленина, 86"б"</t>
  </si>
  <si>
    <t>ул.65 лет Октября</t>
  </si>
  <si>
    <t>31</t>
  </si>
  <si>
    <t>п Яшкинский, ул.65 лет Октября, 31</t>
  </si>
  <si>
    <t>Сети водоснабжения     с. Красноселка</t>
  </si>
  <si>
    <t>с Красноселка</t>
  </si>
  <si>
    <t>32546000326</t>
  </si>
  <si>
    <t>3.5000000000</t>
  </si>
  <si>
    <t>32546000326.0</t>
  </si>
  <si>
    <t>6.1180000000</t>
  </si>
  <si>
    <t>с Красноселка, -, -</t>
  </si>
  <si>
    <t>д Балахнино</t>
  </si>
  <si>
    <t>32546000106</t>
  </si>
  <si>
    <t>01.01.1979</t>
  </si>
  <si>
    <t>д Балахнино, ул.Центральная, 1а</t>
  </si>
  <si>
    <t>Сети водоснабжения     п. Шахтер</t>
  </si>
  <si>
    <t>п Шахтер</t>
  </si>
  <si>
    <t>32546000306</t>
  </si>
  <si>
    <t>32546000306.0</t>
  </si>
  <si>
    <t>7.2220000000</t>
  </si>
  <si>
    <t>п Шахтер, -, -</t>
  </si>
  <si>
    <t>д Ботьево</t>
  </si>
  <si>
    <t>32546000111</t>
  </si>
  <si>
    <t>ул.Школьная</t>
  </si>
  <si>
    <t>13а</t>
  </si>
  <si>
    <t>д Ботьево, ул.Школьная, 13а</t>
  </si>
  <si>
    <t>Сети водоснабжения п. Новостройка</t>
  </si>
  <si>
    <t>32543000216.0</t>
  </si>
  <si>
    <t>2.6700000000</t>
  </si>
  <si>
    <t>п.ст Судженка</t>
  </si>
  <si>
    <t>32543000231</t>
  </si>
  <si>
    <t>пер. Садовый</t>
  </si>
  <si>
    <t>01.01.1999</t>
  </si>
  <si>
    <t>п.ст Судженка, пер. Садовый, 6</t>
  </si>
  <si>
    <t>водозабор д. Петровка [нет]</t>
  </si>
  <si>
    <t>п. Петровка</t>
  </si>
  <si>
    <t>ул. Красина</t>
  </si>
  <si>
    <t>3.6000000000</t>
  </si>
  <si>
    <t>0.5562386157</t>
  </si>
  <si>
    <t>31.12.1992</t>
  </si>
  <si>
    <t>г Кемерово, п. Петровка, ул. Красина</t>
  </si>
  <si>
    <t>с Нижнеяшкино</t>
  </si>
  <si>
    <t>32546000336</t>
  </si>
  <si>
    <t>ул.Комарова</t>
  </si>
  <si>
    <t>01.01.1967</t>
  </si>
  <si>
    <t>с Нижнеяшкино, ул.Комарова, 12</t>
  </si>
  <si>
    <t>ПНС 17/2 [нет]</t>
  </si>
  <si>
    <t>б-р Строителей</t>
  </si>
  <si>
    <t>4 А</t>
  </si>
  <si>
    <t>33.3000000000</t>
  </si>
  <si>
    <t>4.4700000000</t>
  </si>
  <si>
    <t>87.7100000000</t>
  </si>
  <si>
    <t>01.09.1980</t>
  </si>
  <si>
    <t>г Кемерово, б-р Строителей, 4 А</t>
  </si>
  <si>
    <t>01.01.1971</t>
  </si>
  <si>
    <t>с Нижнеяшкино, -, -</t>
  </si>
  <si>
    <t>ул.Коммунистическая</t>
  </si>
  <si>
    <t>с Нижнеяшкино, ул.Коммунистическая, -</t>
  </si>
  <si>
    <t>Сети водоснабжения     с. Нижнеяшкино</t>
  </si>
  <si>
    <t>32546000336.0</t>
  </si>
  <si>
    <t>3.4560000000</t>
  </si>
  <si>
    <t>с Пача</t>
  </si>
  <si>
    <t>32546000341</t>
  </si>
  <si>
    <t>ул.Лесная</t>
  </si>
  <si>
    <t>01.01.1991</t>
  </si>
  <si>
    <t>с Пача, ул.Лесная, 2в</t>
  </si>
  <si>
    <t>ПНС Лапичево [нет]</t>
  </si>
  <si>
    <t>п. Лапичево, ул. Гвардейская</t>
  </si>
  <si>
    <t>возле дома №22</t>
  </si>
  <si>
    <t>2.9930555556</t>
  </si>
  <si>
    <t>18.0000000000</t>
  </si>
  <si>
    <t>11.08.2011</t>
  </si>
  <si>
    <t>г Кемерово, п. Лапичево, ул. Гвардейская, возле дома №22</t>
  </si>
  <si>
    <t>Скважина №6/2865</t>
  </si>
  <si>
    <t>9б</t>
  </si>
  <si>
    <t>с Колмогорово, ул.Ленинская, 9б</t>
  </si>
  <si>
    <t>Насосная станция №16</t>
  </si>
  <si>
    <t>82"б"</t>
  </si>
  <si>
    <t>г Ленинск-Кузнецкий, пр.Ленина, 82"б"</t>
  </si>
  <si>
    <t>насосная станция</t>
  </si>
  <si>
    <t>ул. Розы Люксембург</t>
  </si>
  <si>
    <t>47"б"</t>
  </si>
  <si>
    <t>15.0000000000</t>
  </si>
  <si>
    <t>25.0000000000</t>
  </si>
  <si>
    <t>г Ленинск-Кузнецкий, ул. Розы Люксембург, 47"б"</t>
  </si>
  <si>
    <t>НФС-2 [нет]</t>
  </si>
  <si>
    <t>ОС</t>
  </si>
  <si>
    <t>8333.3000000000</t>
  </si>
  <si>
    <t>6482.5752504554</t>
  </si>
  <si>
    <t>Насосно-фильтровальная станция (НФС-2)</t>
  </si>
  <si>
    <t>32507000.0</t>
  </si>
  <si>
    <t>п Металлплощадка</t>
  </si>
  <si>
    <t>32507000311.0</t>
  </si>
  <si>
    <t>60.8300000000</t>
  </si>
  <si>
    <t>с Усманка</t>
  </si>
  <si>
    <t>32537000226</t>
  </si>
  <si>
    <t>от скважины по ул.Молодежная,16 в районе  котельной детского сада №13</t>
  </si>
  <si>
    <t>32537000226.0</t>
  </si>
  <si>
    <t>ул Молодежная, в районе котельной детского сада №13</t>
  </si>
  <si>
    <t>3.7280000000</t>
  </si>
  <si>
    <t>с Усманка, от скважины по ул.Молодежная,16 в районе  котельной детского сада №13, _</t>
  </si>
  <si>
    <t>от скважины по ул.Молодежная,16 в районе  центральной котельной  №12</t>
  </si>
  <si>
    <t>ул Молодежная в районе центральной котельной №12</t>
  </si>
  <si>
    <t>2.0630000000</t>
  </si>
  <si>
    <t>с Усманка, от скважины по ул.Молодежная,16 в районе  центральной котельной  №12, _</t>
  </si>
  <si>
    <t>скважина №13</t>
  </si>
  <si>
    <t>23</t>
  </si>
  <si>
    <t>п Акация, ул.Мира, 23</t>
  </si>
  <si>
    <t>Скважина №15/4692а</t>
  </si>
  <si>
    <t>27</t>
  </si>
  <si>
    <t>п Акация, ул.Мира, 27</t>
  </si>
  <si>
    <t>НФС-2, НС-2 подъема (Правый берег)</t>
  </si>
  <si>
    <t>5912.5000000000</t>
  </si>
  <si>
    <t>Правобережная НС, гидроузел "Рудник", НС-3 Рудничного р-на, НС-3 Кировского р-на, ВНС "Лесная поляна", ПНС Боровой</t>
  </si>
  <si>
    <t>Советская</t>
  </si>
  <si>
    <t>567.6464700000</t>
  </si>
  <si>
    <t>420.8364700000</t>
  </si>
  <si>
    <t>83.6000000000</t>
  </si>
  <si>
    <t>26.3800000000</t>
  </si>
  <si>
    <t>15.5700000000</t>
  </si>
  <si>
    <t>21.2600000000</t>
  </si>
  <si>
    <t>Насосная станция 2-ого подъема долина р. Каменушка</t>
  </si>
  <si>
    <t>г Березовский</t>
  </si>
  <si>
    <t>32710000001</t>
  </si>
  <si>
    <t>ул. Н.Барзас</t>
  </si>
  <si>
    <t>180.0000000000</t>
  </si>
  <si>
    <t>120.0000000000</t>
  </si>
  <si>
    <t>01.12.1970</t>
  </si>
  <si>
    <t>аренда</t>
  </si>
  <si>
    <t>https://portal.eias.ru/Portal/DownloadPage.aspx?type=12&amp;guid=1e47cac2-138b-4f0a-8e2d-28ab6d5fc9c4</t>
  </si>
  <si>
    <t>20.06.2002</t>
  </si>
  <si>
    <t>г Березовский, ул. Н.Барзас, нет</t>
  </si>
  <si>
    <t>пгт Верх-Чебула</t>
  </si>
  <si>
    <t>32537000051</t>
  </si>
  <si>
    <t>от скважины №1231 по ул. 40 лет Победы</t>
  </si>
  <si>
    <t>Скважина №1231</t>
  </si>
  <si>
    <t>32537000051.0</t>
  </si>
  <si>
    <t>ул. 40 лет Победы</t>
  </si>
  <si>
    <t>6.1100000000</t>
  </si>
  <si>
    <t>пгт Верх-Чебула, от скважины №1231 по ул. 40 лет Победы, _</t>
  </si>
  <si>
    <t>7.8510000000</t>
  </si>
  <si>
    <t>пгт Верх-Чебула, пгт Верх-Чебула, _</t>
  </si>
  <si>
    <t>НС-3 ж.р. Кедровка [нет]</t>
  </si>
  <si>
    <t>383.2862021858</t>
  </si>
  <si>
    <t>Станция обезжелезивания</t>
  </si>
  <si>
    <t>ул. Павленко</t>
  </si>
  <si>
    <t>ул. Пасова</t>
  </si>
  <si>
    <t>4а</t>
  </si>
  <si>
    <t>пгт Верх-Чебула, ул. Пасова, 4а</t>
  </si>
  <si>
    <t>2"в"</t>
  </si>
  <si>
    <t>д Шестаково, ул Оренбургская, 2"в"</t>
  </si>
  <si>
    <t>п Ленинский</t>
  </si>
  <si>
    <t>32546000261</t>
  </si>
  <si>
    <t>ул.Юбилейная</t>
  </si>
  <si>
    <t>п Ленинский, ул.Юбилейная, 2а</t>
  </si>
  <si>
    <t>Поселковый водозабор</t>
  </si>
  <si>
    <t>пгт Яя</t>
  </si>
  <si>
    <t>32543000051</t>
  </si>
  <si>
    <t>01.12.1900</t>
  </si>
  <si>
    <t>пгт Яя, ул.Юбилейная, 1</t>
  </si>
  <si>
    <t>с Вознесенка</t>
  </si>
  <si>
    <t>32543000261</t>
  </si>
  <si>
    <t>ул. Молодежная</t>
  </si>
  <si>
    <t>около дома №2</t>
  </si>
  <si>
    <t>с Вознесенка, ул. Молодежная, около дома №2</t>
  </si>
  <si>
    <t>ул. Центральная</t>
  </si>
  <si>
    <t>80 метров от дома №18</t>
  </si>
  <si>
    <t>1.1700000000</t>
  </si>
  <si>
    <t>с Вознесенка, ул. Центральная, 80 метров от дома №18</t>
  </si>
  <si>
    <t>Ягуновский водозабор, НС-2 подъема [нет]</t>
  </si>
  <si>
    <t>41.3900000000</t>
  </si>
  <si>
    <t>01.06.2003</t>
  </si>
  <si>
    <t>Сети водоснабжения с. Вознесенка</t>
  </si>
  <si>
    <t>13.0000000000</t>
  </si>
  <si>
    <t>32543000261.0</t>
  </si>
  <si>
    <t>7.0700000000</t>
  </si>
  <si>
    <t>с Вознесенка, -, -</t>
  </si>
  <si>
    <t>Станция подготовки питьевой воды п. Петровский [нет]</t>
  </si>
  <si>
    <t>п. Петровский</t>
  </si>
  <si>
    <t>7.0258424408</t>
  </si>
  <si>
    <t>Станция подготовки питьевой воды п. Петровский</t>
  </si>
  <si>
    <t>г Кемерово, п. Петровский, б/н</t>
  </si>
  <si>
    <t>Сети водоснабжения     д. Усть-Сосновка</t>
  </si>
  <si>
    <t>32546000241.0</t>
  </si>
  <si>
    <t>1.0250000000</t>
  </si>
  <si>
    <t>д Усть-Сосновка, -, -</t>
  </si>
  <si>
    <t>д Кулаково</t>
  </si>
  <si>
    <t>32546000176</t>
  </si>
  <si>
    <t>ул.Животноводов</t>
  </si>
  <si>
    <t>д Кулаково, ул.Животноводов, 1а</t>
  </si>
  <si>
    <t>Скважина №12/4268</t>
  </si>
  <si>
    <t>ул.Бениваленского</t>
  </si>
  <si>
    <t>41а</t>
  </si>
  <si>
    <t>с Поломошное, ул.Бениваленского, 41а</t>
  </si>
  <si>
    <t>42</t>
  </si>
  <si>
    <t>с Поломошное, ул.Центральная, 42</t>
  </si>
  <si>
    <t>НФС-2 НС Пугачёвского водозабора [нет]</t>
  </si>
  <si>
    <t>1791.6000000000</t>
  </si>
  <si>
    <t>303.4157559199</t>
  </si>
  <si>
    <t>01.01.2007</t>
  </si>
  <si>
    <t>Сети водоснабжения     с. Поломошное</t>
  </si>
  <si>
    <t>32546000351.0</t>
  </si>
  <si>
    <t>17.5670000000</t>
  </si>
  <si>
    <t>с Поломошное, -, -</t>
  </si>
  <si>
    <t>Сети водоснабжения д. Ольговка</t>
  </si>
  <si>
    <t>32543000146.0</t>
  </si>
  <si>
    <t>3.4490000000</t>
  </si>
  <si>
    <t>д Сергеевка</t>
  </si>
  <si>
    <t>32543000156</t>
  </si>
  <si>
    <t>0.1200000000</t>
  </si>
  <si>
    <t>д Сергеевка, -, -</t>
  </si>
  <si>
    <t>32537000236.0</t>
  </si>
  <si>
    <t>4.8760000000</t>
  </si>
  <si>
    <t>с Усть-Чебула, с Усть-Чебула, _</t>
  </si>
  <si>
    <t>с Чумай</t>
  </si>
  <si>
    <t>32537000241</t>
  </si>
  <si>
    <t>Скважина №2</t>
  </si>
  <si>
    <t>32537000241.0</t>
  </si>
  <si>
    <t>ул Ленинская</t>
  </si>
  <si>
    <t>125</t>
  </si>
  <si>
    <t>6.4110000000</t>
  </si>
  <si>
    <t>с Чумай, с Чумай, _</t>
  </si>
  <si>
    <t>Сети водоснабжения     п. Яшкинский</t>
  </si>
  <si>
    <t>32546000311.0</t>
  </si>
  <si>
    <t>9.7530000000</t>
  </si>
  <si>
    <t>п Яшкинский, -, -</t>
  </si>
  <si>
    <t>НФС-2 НС руслового водозабора [нет]</t>
  </si>
  <si>
    <t>5000.0000000000</t>
  </si>
  <si>
    <t>865.0941484517</t>
  </si>
  <si>
    <t>61.6800000000</t>
  </si>
  <si>
    <t>01.01.1962</t>
  </si>
  <si>
    <t>д Корчуганово</t>
  </si>
  <si>
    <t>32546000161</t>
  </si>
  <si>
    <t>ул.Клубная</t>
  </si>
  <si>
    <t>2и</t>
  </si>
  <si>
    <t>д Корчуганово, ул.Клубная, 2и</t>
  </si>
  <si>
    <t>Сети водоснабжения     д. Корчуганово</t>
  </si>
  <si>
    <t>32546000161.0</t>
  </si>
  <si>
    <t>1.9500000000</t>
  </si>
  <si>
    <t>д Корчуганово, -, -</t>
  </si>
  <si>
    <t>Петровский водозабор [нет]</t>
  </si>
  <si>
    <t>33.0000000000</t>
  </si>
  <si>
    <t>31.12.1975</t>
  </si>
  <si>
    <t>п.ш. "Южная"</t>
  </si>
  <si>
    <t>г. Березовский</t>
  </si>
  <si>
    <t>63.8000000000</t>
  </si>
  <si>
    <t>Насосная станция №1,2,12 п.ш. "Южная"</t>
  </si>
  <si>
    <t>32710000.0</t>
  </si>
  <si>
    <t>32710000001.0</t>
  </si>
  <si>
    <t>1,2-я НС ул. Таежная, 12-я НС в лесу</t>
  </si>
  <si>
    <t>97.8610000000</t>
  </si>
  <si>
    <t>96.4130000000</t>
  </si>
  <si>
    <t>1.4480000000</t>
  </si>
  <si>
    <t>81.0000000000</t>
  </si>
  <si>
    <t>г Березовский, г. Березовский, нет</t>
  </si>
  <si>
    <t>01.01.1972</t>
  </si>
  <si>
    <t>д Дмитриевка, ул Набережная, 16а</t>
  </si>
  <si>
    <t>32537000156.0</t>
  </si>
  <si>
    <t>ул Воронова</t>
  </si>
  <si>
    <t>3.6940000000</t>
  </si>
  <si>
    <t>п 1-й, п 1-й, _</t>
  </si>
  <si>
    <t>ул.Заречная</t>
  </si>
  <si>
    <t>28.09.202</t>
  </si>
  <si>
    <t>пгт Яшкино, ул.Заречная, 16а</t>
  </si>
  <si>
    <t>ул.Рабочая</t>
  </si>
  <si>
    <t>14б</t>
  </si>
  <si>
    <t>01.01.2004</t>
  </si>
  <si>
    <t>пгт Яшкино, ул.Рабочая, 14б</t>
  </si>
  <si>
    <t>ул.Советская</t>
  </si>
  <si>
    <t>136в</t>
  </si>
  <si>
    <t>пгт Яшкино, ул.Советская, 136в</t>
  </si>
  <si>
    <t>Сети водоснабжения с. Судженка</t>
  </si>
  <si>
    <t>3.3000000000</t>
  </si>
  <si>
    <t>32543000286.0</t>
  </si>
  <si>
    <t>10.5640000000</t>
  </si>
  <si>
    <t>с Судженка, -, -</t>
  </si>
  <si>
    <t>с Улановка</t>
  </si>
  <si>
    <t>32543000291</t>
  </si>
  <si>
    <t>ул. Советская, на въезде в с. Улановка</t>
  </si>
  <si>
    <t>с Улановка, ул. Советская, на въезде в с. Улановка, -</t>
  </si>
  <si>
    <t>ул. Ленина, территория КФХ Цыганков</t>
  </si>
  <si>
    <t>2.2000000000</t>
  </si>
  <si>
    <t>01.01.1976</t>
  </si>
  <si>
    <t>с Улановка, ул. Ленина, территория КФХ Цыганков, -</t>
  </si>
  <si>
    <t>Скважина №2а</t>
  </si>
  <si>
    <t>в 800 м (слева) на северо-запад от 261 км автомобильной дороги Новосибирск-Ленинск-Кузнецкий-Кемерово-Юрга</t>
  </si>
  <si>
    <t>65.0000000000</t>
  </si>
  <si>
    <t>45.0000000000</t>
  </si>
  <si>
    <t>15.07.1966</t>
  </si>
  <si>
    <t>г Ленинск-Кузнецкий, в 800 м (слева) на северо-запад от 261 км автомобильной дороги Новосибирск-Ленинск-Кузнецкий-Кемерово-Юрга, б/н</t>
  </si>
  <si>
    <t>Скважина №4а</t>
  </si>
  <si>
    <t>в 950 м (справа) на северо-запад от 261 км автомобильной дороги Новосибирск-Ленинск-Кузнецкий-Кемерово-Юрга</t>
  </si>
  <si>
    <t>07.05.1957</t>
  </si>
  <si>
    <t>г Ленинск-Кузнецкий, в 950 м (справа) на северо-запад от 261 км автомобильной дороги Новосибирск-Ленинск-Кузнецкий-Кемерово-Юрга, б/н</t>
  </si>
  <si>
    <t>подкачивающая станция</t>
  </si>
  <si>
    <t>с Усманка, ул Молодежная, 16</t>
  </si>
  <si>
    <t>5в</t>
  </si>
  <si>
    <t>с Усманка, ул Молодежная, 5в</t>
  </si>
  <si>
    <t>д Каленово</t>
  </si>
  <si>
    <t>32546000146</t>
  </si>
  <si>
    <t>д Каленово, ул.Мирная, 2а</t>
  </si>
  <si>
    <t>ул.Строительная</t>
  </si>
  <si>
    <t>д Ботьево, ул.Строительная, 24</t>
  </si>
  <si>
    <t>49</t>
  </si>
  <si>
    <t>д Юрты-Константиновы, ул.Мира, 49</t>
  </si>
  <si>
    <t>ул.Новая</t>
  </si>
  <si>
    <t>с Красноселка, ул.Новая, 2а</t>
  </si>
  <si>
    <t>НС-4 ж.р. Промышленновский [нет]</t>
  </si>
  <si>
    <t>ж.р. Промышленновский, ул. Промшоссе</t>
  </si>
  <si>
    <t>57.7400000000</t>
  </si>
  <si>
    <t>01.10.2014</t>
  </si>
  <si>
    <t>г Кемерово, ж.р. Промышленновский, ул. Промшоссе, б/н</t>
  </si>
  <si>
    <t>ул. Механическая</t>
  </si>
  <si>
    <t>44</t>
  </si>
  <si>
    <t>п.ст Судженка, ул. Механическая, 44</t>
  </si>
  <si>
    <t>Сети водоснабжения п.ст. Судженка</t>
  </si>
  <si>
    <t>1.2000000000</t>
  </si>
  <si>
    <t>32543000231.0</t>
  </si>
  <si>
    <t>11.0870000000</t>
  </si>
  <si>
    <t>п.ст Судженка, -, -</t>
  </si>
  <si>
    <t>п Турат</t>
  </si>
  <si>
    <t>32543000236</t>
  </si>
  <si>
    <t>ул. Лесная</t>
  </si>
  <si>
    <t>п Турат, ул. Лесная, 5</t>
  </si>
  <si>
    <t>ПНС 9 [нет]</t>
  </si>
  <si>
    <t>пр. Октябрьский</t>
  </si>
  <si>
    <t>61</t>
  </si>
  <si>
    <t>7.8500000000</t>
  </si>
  <si>
    <t>71.0400000000</t>
  </si>
  <si>
    <t>01.05.1987</t>
  </si>
  <si>
    <t>г Кемерово, пр. Октябрьский, 61</t>
  </si>
  <si>
    <t>Сети водоснабжения     с. Колмогорово</t>
  </si>
  <si>
    <t>32546000316.0</t>
  </si>
  <si>
    <t>13.2320000000</t>
  </si>
  <si>
    <t>с Колмогорово, -, -</t>
  </si>
  <si>
    <t>Врезки в водопроводну сеть с. Колмогорово</t>
  </si>
  <si>
    <t>уличная</t>
  </si>
  <si>
    <t>2.3920000000</t>
  </si>
  <si>
    <t>Наружние сети водоснабжения         с. Колмогорово</t>
  </si>
  <si>
    <t>пер.Ленинский</t>
  </si>
  <si>
    <t>От дома№6 до участка №9</t>
  </si>
  <si>
    <t>0.2170000000</t>
  </si>
  <si>
    <t>с Колмогорово, пер.Ленинский, От дома№6 до участка №9</t>
  </si>
  <si>
    <t>д Морковкино</t>
  </si>
  <si>
    <t>32546000196</t>
  </si>
  <si>
    <t>д Морковкино, ул.Молодежная, 1а</t>
  </si>
  <si>
    <t>ВОС Поселкового водозабора</t>
  </si>
  <si>
    <t>32543000051.0</t>
  </si>
  <si>
    <t>ПНС Греческая деревня [нет]</t>
  </si>
  <si>
    <t>ж.р. Кедровка, ул. Греческая деревня</t>
  </si>
  <si>
    <t>восточнее дома  №118</t>
  </si>
  <si>
    <t>6.9500000000</t>
  </si>
  <si>
    <t>17.3000000000</t>
  </si>
  <si>
    <t>13.07.2012</t>
  </si>
  <si>
    <t>г Кемерово, ж.р. Кедровка, ул. Греческая деревня, восточнее дома  №118</t>
  </si>
  <si>
    <t>5"г"</t>
  </si>
  <si>
    <t>с Усманка, ул Молодежная, 5"г"</t>
  </si>
  <si>
    <t>НС-3 Рудничного р-на [нет]</t>
  </si>
  <si>
    <t>пер. Бакинский</t>
  </si>
  <si>
    <t>15 А</t>
  </si>
  <si>
    <t>527.9696038251</t>
  </si>
  <si>
    <t>60.3700000000</t>
  </si>
  <si>
    <t>01.03.1980</t>
  </si>
  <si>
    <t>г Кемерово, пер. Бакинский, 15 А</t>
  </si>
  <si>
    <t>Сети водоснабжения     п. Акация</t>
  </si>
  <si>
    <t>32546000251.0</t>
  </si>
  <si>
    <t>10.2970000000</t>
  </si>
  <si>
    <t>п Акация, -, -</t>
  </si>
  <si>
    <t>скважина №3</t>
  </si>
  <si>
    <t>д Зырянка</t>
  </si>
  <si>
    <t>32546000136</t>
  </si>
  <si>
    <t>14а</t>
  </si>
  <si>
    <t>д Зырянка, ул.Центральная, 14а</t>
  </si>
  <si>
    <t>Скважина №3661(1)</t>
  </si>
  <si>
    <t>6а</t>
  </si>
  <si>
    <t>01.01.1977</t>
  </si>
  <si>
    <t>д Зырянка, ул.Юбилейная, 6а</t>
  </si>
  <si>
    <t>Сети водоснабжения     д. Кулаково</t>
  </si>
  <si>
    <t>32546000176.0</t>
  </si>
  <si>
    <t>3.1760000000</t>
  </si>
  <si>
    <t>д Кулаково, -, -</t>
  </si>
  <si>
    <t>ст Тутальская</t>
  </si>
  <si>
    <t>32546000361</t>
  </si>
  <si>
    <t>ул.Линейная</t>
  </si>
  <si>
    <t>39а</t>
  </si>
  <si>
    <t>16.0000000000</t>
  </si>
  <si>
    <t>ст Тутальская, ул.Линейная, 39а</t>
  </si>
  <si>
    <t>Ковшевой водозабор с насосной станцией 1-ого подъема долина р. Барзас</t>
  </si>
  <si>
    <t>860.0000000000</t>
  </si>
  <si>
    <t>231.0000000000</t>
  </si>
  <si>
    <t>водозабор</t>
  </si>
  <si>
    <t>68.0000000000</t>
  </si>
  <si>
    <t>01.12.1990</t>
  </si>
  <si>
    <t>Насосная станция №2 п.ш. "Березовская"</t>
  </si>
  <si>
    <t>76.0000000000</t>
  </si>
  <si>
    <t>46.0000000000</t>
  </si>
  <si>
    <t>01.11.1975</t>
  </si>
  <si>
    <t>Насосная станция №1 п.ш. "Южная"</t>
  </si>
  <si>
    <t>ул. Гвардейская</t>
  </si>
  <si>
    <t>14.7100000000</t>
  </si>
  <si>
    <t>01.09.1966</t>
  </si>
  <si>
    <t>г Березовский, ул. Гвардейская, нет</t>
  </si>
  <si>
    <t>Насосная станция №2 п.ш. "Южная"</t>
  </si>
  <si>
    <t>ул. Калинина</t>
  </si>
  <si>
    <t>39.0000000000</t>
  </si>
  <si>
    <t>01.09.2004</t>
  </si>
  <si>
    <t>г Березовский, ул. Калинина, нет</t>
  </si>
  <si>
    <t>Cети водоснабжения</t>
  </si>
  <si>
    <t>ул. Ленина</t>
  </si>
  <si>
    <t>160а</t>
  </si>
  <si>
    <t>26.8500000000</t>
  </si>
  <si>
    <t>д Покровка</t>
  </si>
  <si>
    <t>32537000146</t>
  </si>
  <si>
    <t>32537000146.0</t>
  </si>
  <si>
    <t>ул. Зеленая</t>
  </si>
  <si>
    <t>2.8070000000</t>
  </si>
  <si>
    <t>д Покровка, д Покровка, _</t>
  </si>
  <si>
    <t>пгт Верх-Чебула, ул. Советская, 8</t>
  </si>
  <si>
    <t>пгт Верх-Чебула, ул. 40 лет Победы, 1"б"</t>
  </si>
  <si>
    <t>Сети водоснабжения     пгт. Яя</t>
  </si>
  <si>
    <t>75.6095000000</t>
  </si>
  <si>
    <t>пгт Яя, -, -</t>
  </si>
  <si>
    <t>с Ишим</t>
  </si>
  <si>
    <t>32543000266</t>
  </si>
  <si>
    <t>ул. Декабристов, на въезде в с. Ишим</t>
  </si>
  <si>
    <t>с Ишим, ул. Декабристов, на въезде в с. Ишим, -</t>
  </si>
  <si>
    <t>Сети водоснабжения с. Ишим</t>
  </si>
  <si>
    <t>32543000266.0</t>
  </si>
  <si>
    <t>9.8900000000</t>
  </si>
  <si>
    <t>с Ишим, -, -</t>
  </si>
  <si>
    <t>с Кайла</t>
  </si>
  <si>
    <t>32543000271</t>
  </si>
  <si>
    <t>10а</t>
  </si>
  <si>
    <t>с Кайла, ул. Центральная, 10а</t>
  </si>
  <si>
    <t>п. Барзас, ст. Барзас</t>
  </si>
  <si>
    <t>43.0000000000</t>
  </si>
  <si>
    <t>5.0900000000</t>
  </si>
  <si>
    <t>артезианские скважины</t>
  </si>
  <si>
    <t>ул. Мира, пер. Восточный, ул. ст. Барзас</t>
  </si>
  <si>
    <t>33.6445000000</t>
  </si>
  <si>
    <t>94.0000000000</t>
  </si>
  <si>
    <t>д Соболинка</t>
  </si>
  <si>
    <t>32543000161</t>
  </si>
  <si>
    <t>ул. Таежная</t>
  </si>
  <si>
    <t>около дома №55</t>
  </si>
  <si>
    <t>0.0500000000</t>
  </si>
  <si>
    <t>д Соболинка, ул. Таежная, около дома №55</t>
  </si>
  <si>
    <t>Насосно-фильтровальная станция (НФС)</t>
  </si>
  <si>
    <t>520.0000000000</t>
  </si>
  <si>
    <t>230.9200000000</t>
  </si>
  <si>
    <t>НФС</t>
  </si>
  <si>
    <t>Артезианская скважина</t>
  </si>
  <si>
    <t>2"д"</t>
  </si>
  <si>
    <t>4.5000000000</t>
  </si>
  <si>
    <t>п 1-й, ул Школьная, 2"д"</t>
  </si>
  <si>
    <t>Сети водоснабжения     ст. Тутальская</t>
  </si>
  <si>
    <t>32546000361.0</t>
  </si>
  <si>
    <t>7.6940000000</t>
  </si>
  <si>
    <t>ст Тутальская, -, -</t>
  </si>
  <si>
    <t>ПНС ул. Антипова [нет]</t>
  </si>
  <si>
    <t>ул. Антипова</t>
  </si>
  <si>
    <t>67.5111566485</t>
  </si>
  <si>
    <t>22.9900000000</t>
  </si>
  <si>
    <t>30.11.2008</t>
  </si>
  <si>
    <t>г Кемерово, ул. Антипова, б/н</t>
  </si>
  <si>
    <t>ПНС 11 ЦТП [нет]</t>
  </si>
  <si>
    <t>ул. Аврора</t>
  </si>
  <si>
    <t>47.2600000000</t>
  </si>
  <si>
    <t>39.5000000000</t>
  </si>
  <si>
    <t>30.08.2004</t>
  </si>
  <si>
    <t>г Кемерово, ул. Аврора, 6</t>
  </si>
  <si>
    <t>Сети водоснабжения д. Сергеевка</t>
  </si>
  <si>
    <t>32543000156.0</t>
  </si>
  <si>
    <t>3.5100000000</t>
  </si>
  <si>
    <t>Сети водоснабжения с. Улановка</t>
  </si>
  <si>
    <t>32543000291.0</t>
  </si>
  <si>
    <t>7.5110000000</t>
  </si>
  <si>
    <t>с Улановка, -, -</t>
  </si>
  <si>
    <t>с Яя-Борик</t>
  </si>
  <si>
    <t>32543000296</t>
  </si>
  <si>
    <t>около дома № 1В</t>
  </si>
  <si>
    <t>1.5600000000</t>
  </si>
  <si>
    <t>с Яя-Борик, ул. Центральная, около дома № 1В</t>
  </si>
  <si>
    <t>Скважина м-н Южный</t>
  </si>
  <si>
    <t>мкр Южный</t>
  </si>
  <si>
    <t>20"к"</t>
  </si>
  <si>
    <t>01.01.1995</t>
  </si>
  <si>
    <t>пгт Верх-Чебула, мкр Южный, 20"к"</t>
  </si>
  <si>
    <t>Скважина №2 в пойме р. Кия</t>
  </si>
  <si>
    <t>с Чумай, ул Ленинская, 125</t>
  </si>
  <si>
    <t>нфс</t>
  </si>
  <si>
    <t>11а</t>
  </si>
  <si>
    <t>пгт Яшкино, ул.Молодежная, 11а</t>
  </si>
  <si>
    <t>д Ботьево, ул.Новая, 15</t>
  </si>
  <si>
    <t>Сети водоснабжения     д. Ботьево</t>
  </si>
  <si>
    <t>32546000111.0</t>
  </si>
  <si>
    <t>7.2300000000</t>
  </si>
  <si>
    <t>д Ботьево, -, -</t>
  </si>
  <si>
    <t>Скважина №4027</t>
  </si>
  <si>
    <t>п Дубровка</t>
  </si>
  <si>
    <t>32546000256</t>
  </si>
  <si>
    <t>28а</t>
  </si>
  <si>
    <t>п Дубровка, ул.Мира, 28а</t>
  </si>
  <si>
    <t>Сети водоснабжения     д. Каленово</t>
  </si>
  <si>
    <t>32546000146.0</t>
  </si>
  <si>
    <t>1.0730000000</t>
  </si>
  <si>
    <t>д Каленово, -, -</t>
  </si>
  <si>
    <t>сети водоснабжения (техническая вода)</t>
  </si>
  <si>
    <t>п Новоивановский 4-й</t>
  </si>
  <si>
    <t>32537000206</t>
  </si>
  <si>
    <t>ул Трактовая</t>
  </si>
  <si>
    <t>1ж</t>
  </si>
  <si>
    <t>32537000206.0</t>
  </si>
  <si>
    <t>ул Садовая</t>
  </si>
  <si>
    <t>1г</t>
  </si>
  <si>
    <t>0.9860000000</t>
  </si>
  <si>
    <t>п Новоивановский 4-й, ул Трактовая, 1ж</t>
  </si>
  <si>
    <t>НС-3 ж.р. Кедровка (подача на ж.р. Промышленновский) [нет]</t>
  </si>
  <si>
    <t>61.6026867031</t>
  </si>
  <si>
    <t>46.3700000000</t>
  </si>
  <si>
    <t>09.04.1996</t>
  </si>
  <si>
    <t>п Новоивановский 3-й</t>
  </si>
  <si>
    <t>32537000201</t>
  </si>
  <si>
    <t>ул Крымская</t>
  </si>
  <si>
    <t>1н</t>
  </si>
  <si>
    <t>32537000201.0</t>
  </si>
  <si>
    <t>0.6060000000</t>
  </si>
  <si>
    <t>п Новоивановский 3-й, ул Крымская, 1н</t>
  </si>
  <si>
    <t>ул.Сибирская</t>
  </si>
  <si>
    <t>пгт Яшкино, ул.Сибирская, 2</t>
  </si>
  <si>
    <t>ул.Солнечная</t>
  </si>
  <si>
    <t>01.01.1987</t>
  </si>
  <si>
    <t>пгт Яшкино, ул.Солнечная, 4а</t>
  </si>
  <si>
    <t>ул.Дружбы народов</t>
  </si>
  <si>
    <t>пгт Яшкино, ул.Дружбы народов, 13а</t>
  </si>
  <si>
    <t>ул.Гагарина</t>
  </si>
  <si>
    <t>п Ленинский, ул.Гагарина, 2а</t>
  </si>
  <si>
    <t>Сети водоснабжения с. Яя-Борик</t>
  </si>
  <si>
    <t>32543000296.0</t>
  </si>
  <si>
    <t>6.1620000000</t>
  </si>
  <si>
    <t>с Яя-Борик, -, -</t>
  </si>
  <si>
    <t>Скважина №6а</t>
  </si>
  <si>
    <t>в 1200 м на юг от водонапорной башни в пос.Озеровка по ул.Центральной</t>
  </si>
  <si>
    <t>06.04.1967</t>
  </si>
  <si>
    <t>г Ленинск-Кузнецкий, в 1200 м на юг от водонапорной башни в пос.Озеровка по ул.Центральной, б/н</t>
  </si>
  <si>
    <t>Скважина №7а</t>
  </si>
  <si>
    <t>за придорожной полосой автомобильной дороги Новосибирск-Ленинск-Кузнецкий-Кемерово-Юрга, 259 км+500м(справа)</t>
  </si>
  <si>
    <t>корпус 9</t>
  </si>
  <si>
    <t>24.06.1966</t>
  </si>
  <si>
    <t>г Ленинск-Кузнецкий, за придорожной полосой автомобильной дороги Новосибирск-Ленинск-Кузнецкий-Кемерово-Юрга, 259 км+500м(справа), корпус 9</t>
  </si>
  <si>
    <t>Скважина Никитинская 602</t>
  </si>
  <si>
    <t>п Никитинский</t>
  </si>
  <si>
    <t>32514000256</t>
  </si>
  <si>
    <t>ул. Никитинская</t>
  </si>
  <si>
    <t>2"в" сооружение 1</t>
  </si>
  <si>
    <t>15.11.1994</t>
  </si>
  <si>
    <t>п Никитинский, ул. Никитинская, 2"в" сооружение 1</t>
  </si>
  <si>
    <t>Ягуновский водозабор [нет]</t>
  </si>
  <si>
    <t>139.6958105647</t>
  </si>
  <si>
    <t>Водоподготовительная станция</t>
  </si>
  <si>
    <t>с Ягуново</t>
  </si>
  <si>
    <t>32507000456.0</t>
  </si>
  <si>
    <t>с Николаевка</t>
  </si>
  <si>
    <t>32537000221</t>
  </si>
  <si>
    <t>32537000221.0</t>
  </si>
  <si>
    <t>ул Осипова</t>
  </si>
  <si>
    <t>6.2450000000</t>
  </si>
  <si>
    <t>с Николаевка, с Николаевка, _</t>
  </si>
  <si>
    <t>13"а"</t>
  </si>
  <si>
    <t>с Николаевка, ул Осипова, 13"а"</t>
  </si>
  <si>
    <t>ул.Ленина</t>
  </si>
  <si>
    <t>01.01.2005</t>
  </si>
  <si>
    <t>с Пача, ул.Ленина, 1в</t>
  </si>
  <si>
    <t>Насосная станция №12 п.ш. "Южная"</t>
  </si>
  <si>
    <t>10.0900000000</t>
  </si>
  <si>
    <t>56.0000000000</t>
  </si>
  <si>
    <t>01.02.1992</t>
  </si>
  <si>
    <t>г Березовский, ул. Таежная, нет</t>
  </si>
  <si>
    <t>Скважина №1/4076</t>
  </si>
  <si>
    <t>с Пача, ул.Ленина, 2б</t>
  </si>
  <si>
    <t>Скважина №3/1777</t>
  </si>
  <si>
    <t>с Красноселка, ул.Лесная, 2б</t>
  </si>
  <si>
    <t>Скважина №2/3837</t>
  </si>
  <si>
    <t>1б</t>
  </si>
  <si>
    <t>с Красноселка, ул.Лесная, 1б</t>
  </si>
  <si>
    <t>с Пашково</t>
  </si>
  <si>
    <t>32546000346</t>
  </si>
  <si>
    <t>ул.Зеленая</t>
  </si>
  <si>
    <t>с Пашково, ул.Зеленая, 6а</t>
  </si>
  <si>
    <t>ул. Речная</t>
  </si>
  <si>
    <t>п Турат, ул. Речная, 2</t>
  </si>
  <si>
    <t>Сети водоснабжения п. Турат</t>
  </si>
  <si>
    <t>1.8000000000</t>
  </si>
  <si>
    <t>32543000236.0</t>
  </si>
  <si>
    <t>6.1160000000</t>
  </si>
  <si>
    <t>п Турат, -, -</t>
  </si>
  <si>
    <t>д Арышево</t>
  </si>
  <si>
    <t>32543000106</t>
  </si>
  <si>
    <t>0.2000000000</t>
  </si>
  <si>
    <t>д Арышево, -, -</t>
  </si>
  <si>
    <t>Сети водоснабжения     п. Ленинский</t>
  </si>
  <si>
    <t>32546000261.0</t>
  </si>
  <si>
    <t>6.2680000000</t>
  </si>
  <si>
    <t>п Ленинский, -, -</t>
  </si>
  <si>
    <t>Сети водоснабжения     д. Морковкино</t>
  </si>
  <si>
    <t>32546000196.0</t>
  </si>
  <si>
    <t>1.6360000000</t>
  </si>
  <si>
    <t>д Морковкино, -, -</t>
  </si>
  <si>
    <t>Бывшая деревня Ивановка ул.Лесная</t>
  </si>
  <si>
    <t>д Морковкино, Бывшая деревня Ивановка ул.Лесная, 1г</t>
  </si>
  <si>
    <t>ул.Роза-Люксембург</t>
  </si>
  <si>
    <t>18а</t>
  </si>
  <si>
    <t>2.5000000000</t>
  </si>
  <si>
    <t>0.5000000000</t>
  </si>
  <si>
    <t>с Пашково, ул.Роза-Люксембург, 18а</t>
  </si>
  <si>
    <t>Сети водоснабжения д. Арышево</t>
  </si>
  <si>
    <t>32543000106.0</t>
  </si>
  <si>
    <t>3.4850000000</t>
  </si>
  <si>
    <t>с Усть-Серта</t>
  </si>
  <si>
    <t>32537000231</t>
  </si>
  <si>
    <t>32537000231.0</t>
  </si>
  <si>
    <t>ул Кирова</t>
  </si>
  <si>
    <t>9.3420000000</t>
  </si>
  <si>
    <t>с Усть-Серта, с Усть-Серта, _</t>
  </si>
  <si>
    <t>скважина №6 д.Власково</t>
  </si>
  <si>
    <t>д Власково</t>
  </si>
  <si>
    <t>32546000121</t>
  </si>
  <si>
    <t>ул.Нагорная</t>
  </si>
  <si>
    <t>01.01.1984</t>
  </si>
  <si>
    <t>д Власково, ул.Нагорная, 11а</t>
  </si>
  <si>
    <t>скважина №7 д.Власково</t>
  </si>
  <si>
    <t>01.01.1996</t>
  </si>
  <si>
    <t>д Власково, ул.Центральная, 2а</t>
  </si>
  <si>
    <t>НС-3 Кировского р-на [нет]</t>
  </si>
  <si>
    <t>1250.0000000000</t>
  </si>
  <si>
    <t>703.5878870674</t>
  </si>
  <si>
    <t>д Сосновый Острог</t>
  </si>
  <si>
    <t>32546000236</t>
  </si>
  <si>
    <t>ул.Весенняя</t>
  </si>
  <si>
    <t>0.4000000000</t>
  </si>
  <si>
    <t>д Сосновый Острог, ул.Весенняя, 1а</t>
  </si>
  <si>
    <t>Скважина №20/3671</t>
  </si>
  <si>
    <t>п.ст Литвиново</t>
  </si>
  <si>
    <t>32546000281</t>
  </si>
  <si>
    <t>п.ст Литвиново, ул.Молодежная, 14а</t>
  </si>
  <si>
    <t>ПНС 16 [нет]</t>
  </si>
  <si>
    <t>ул. Волгоградская</t>
  </si>
  <si>
    <t>8 А</t>
  </si>
  <si>
    <t>5.8400000000</t>
  </si>
  <si>
    <t>80.4200000000</t>
  </si>
  <si>
    <t>01.08.1983</t>
  </si>
  <si>
    <t>г Кемерово, ул. Волгоградская, 8 А</t>
  </si>
  <si>
    <t>Скважина №429/2813</t>
  </si>
  <si>
    <t>ул.Октябрьская</t>
  </si>
  <si>
    <t>31а</t>
  </si>
  <si>
    <t>п.ст Литвиново, ул.Октябрьская, 31а</t>
  </si>
  <si>
    <t>Барзасский водоподъем долина р. Барзас (в резерве)</t>
  </si>
  <si>
    <t>249.0000000000</t>
  </si>
  <si>
    <t>92.0000000000</t>
  </si>
  <si>
    <t>п. Барзас</t>
  </si>
  <si>
    <t>ул. Мира, пер. Восточный</t>
  </si>
  <si>
    <t>23.0000000000</t>
  </si>
  <si>
    <t>2.8900000000</t>
  </si>
  <si>
    <t>01.12.1968</t>
  </si>
  <si>
    <t>г Березовский, ул. Мира, пер. Восточный, нет</t>
  </si>
  <si>
    <t>д Орлово-Розово</t>
  </si>
  <si>
    <t>32537000136</t>
  </si>
  <si>
    <t>32537000136.0</t>
  </si>
  <si>
    <t>2.6750000000</t>
  </si>
  <si>
    <t>д Орлово-Розово, д Орлово-Розово, _</t>
  </si>
  <si>
    <t>ул Губернаторская</t>
  </si>
  <si>
    <t>23"а"</t>
  </si>
  <si>
    <t>01.01.2012</t>
  </si>
  <si>
    <t>пгт Верх-Чебула, ул Губернаторская, 23"а"</t>
  </si>
  <si>
    <t>станция повышения давления</t>
  </si>
  <si>
    <t>ул Ленина</t>
  </si>
  <si>
    <t>01.01.2013</t>
  </si>
  <si>
    <t>пгт Верх-Чебула, ул Ленина, 160а</t>
  </si>
  <si>
    <t>ул Зеленая</t>
  </si>
  <si>
    <t>14"а"</t>
  </si>
  <si>
    <t>д Покровка, ул Зеленая, 14"а"</t>
  </si>
  <si>
    <t>НС-2</t>
  </si>
  <si>
    <t>В 150м на север от ж.д. №14 по ул.1-я Осиновка</t>
  </si>
  <si>
    <t>01.01.1955</t>
  </si>
  <si>
    <t>пгт Яшкино, В 150м на север от ж.д. №14 по ул.1-я Осиновка, -</t>
  </si>
  <si>
    <t>д Данковка</t>
  </si>
  <si>
    <t>32543000111</t>
  </si>
  <si>
    <t>д Данковка, ул. Молодежная, -</t>
  </si>
  <si>
    <t>ул. Красная Горка</t>
  </si>
  <si>
    <t>с Кайла, ул. Красная Горка, -</t>
  </si>
  <si>
    <t>Сети водоснабжения с. Кайла</t>
  </si>
  <si>
    <t>32543000271.0</t>
  </si>
  <si>
    <t>7.1300000000</t>
  </si>
  <si>
    <t>с Кайла, -, -</t>
  </si>
  <si>
    <t>с Мальцево</t>
  </si>
  <si>
    <t>32543000276</t>
  </si>
  <si>
    <t>0.1700000000</t>
  </si>
  <si>
    <t>с Мальцево, -, -</t>
  </si>
  <si>
    <t>п. Октябрьский (техническая вода)</t>
  </si>
  <si>
    <t>5.5000000000</t>
  </si>
  <si>
    <t>насосная станция 1</t>
  </si>
  <si>
    <t>НС 1 в лесу</t>
  </si>
  <si>
    <t>технологическая</t>
  </si>
  <si>
    <t>3.1090000000</t>
  </si>
  <si>
    <t>98.0000000000</t>
  </si>
  <si>
    <t>Водозабор- насосная станция 1-го подъема</t>
  </si>
  <si>
    <t>пгт Крапивинский</t>
  </si>
  <si>
    <t>32510000051</t>
  </si>
  <si>
    <t>пгт. Крапивинский</t>
  </si>
  <si>
    <t>корпус 1</t>
  </si>
  <si>
    <t>9600.0000000000</t>
  </si>
  <si>
    <t>2237.0000000000</t>
  </si>
  <si>
    <t>техническая</t>
  </si>
  <si>
    <t>72.0000000000</t>
  </si>
  <si>
    <t>пгт Крапивинский, пгт. Крапивинский, корпус 1</t>
  </si>
  <si>
    <t>п Новоивановский 2-й</t>
  </si>
  <si>
    <t>32537000196</t>
  </si>
  <si>
    <t>ул Весенняя</t>
  </si>
  <si>
    <t>11н</t>
  </si>
  <si>
    <t>32537000196.0</t>
  </si>
  <si>
    <t>0.4440000000</t>
  </si>
  <si>
    <t>п Новоивановский 2-й, ул Весенняя, 11н</t>
  </si>
  <si>
    <t>Скважина №16/433</t>
  </si>
  <si>
    <t>ул.Больничная</t>
  </si>
  <si>
    <t>7а</t>
  </si>
  <si>
    <t>п.ст Литвиново, ул.Больничная, 7а</t>
  </si>
  <si>
    <t>п.ст Литвиново, ул.Железнодорожная, 17</t>
  </si>
  <si>
    <t>п Октябрьский</t>
  </si>
  <si>
    <t>32546000266</t>
  </si>
  <si>
    <t>п Октябрьский, ул.Октябрьская, 20</t>
  </si>
  <si>
    <t>Сети водоснабжения     п. Октябрьский</t>
  </si>
  <si>
    <t>32546000266.0</t>
  </si>
  <si>
    <t>1.3750000000</t>
  </si>
  <si>
    <t>п Октябрьский, -, -</t>
  </si>
  <si>
    <t>Сети водоснабжения д. Соболинка</t>
  </si>
  <si>
    <t>32543000161.0</t>
  </si>
  <si>
    <t>1.2100000000</t>
  </si>
  <si>
    <t>д Соболинка, -, -</t>
  </si>
  <si>
    <t>п Безлесный</t>
  </si>
  <si>
    <t>32543000176</t>
  </si>
  <si>
    <t>1.4700000000</t>
  </si>
  <si>
    <t>п Безлесный, -, -</t>
  </si>
  <si>
    <t>Скважина п - 1-й</t>
  </si>
  <si>
    <t>ул. Филина</t>
  </si>
  <si>
    <t>2г</t>
  </si>
  <si>
    <t>0.4100000000</t>
  </si>
  <si>
    <t>бесхозное имущество</t>
  </si>
  <si>
    <t>передаточный акт</t>
  </si>
  <si>
    <t>https://portal.eias.ru/Portal/DownloadPage.aspx?type=12&amp;guid=f8ca966d-7520-49d6-a936-854e235aa50b</t>
  </si>
  <si>
    <t>бесхозяйный объект</t>
  </si>
  <si>
    <t>736-п</t>
  </si>
  <si>
    <t>09.11.2022</t>
  </si>
  <si>
    <t>п 1-й, ул. Филина, 2г</t>
  </si>
  <si>
    <t>НС-3</t>
  </si>
  <si>
    <t>ул.Куйбышева</t>
  </si>
  <si>
    <t>9а</t>
  </si>
  <si>
    <t>пгт Яшкино, ул.Куйбышева, 9а</t>
  </si>
  <si>
    <t>Сети водоснабжения     п. Дубровка</t>
  </si>
  <si>
    <t>32546000256.0</t>
  </si>
  <si>
    <t>5.7540000000</t>
  </si>
  <si>
    <t>п Дубровка, -, -</t>
  </si>
  <si>
    <t>п.ст Хопкино</t>
  </si>
  <si>
    <t>32546000291</t>
  </si>
  <si>
    <t>33а</t>
  </si>
  <si>
    <t>п.ст Хопкино, ул.Железнодорожная, 33а</t>
  </si>
  <si>
    <t>Сети водоснабжения     п/ст. Хопкино</t>
  </si>
  <si>
    <t>32546000291.0</t>
  </si>
  <si>
    <t>2.7320000000</t>
  </si>
  <si>
    <t>п.ст Хопкино, -, -</t>
  </si>
  <si>
    <t>с Пача, ул.Ленина, 2г</t>
  </si>
  <si>
    <t>ПНС 17/1 [нет]</t>
  </si>
  <si>
    <t>пр. Московский</t>
  </si>
  <si>
    <t>26.4500000000</t>
  </si>
  <si>
    <t>68.5400000000</t>
  </si>
  <si>
    <t>01.05.1988</t>
  </si>
  <si>
    <t>г Кемерово, пр. Московский, 27</t>
  </si>
  <si>
    <t>Скважина №1/4077</t>
  </si>
  <si>
    <t>с Пача, ул.Ленина, 2в</t>
  </si>
  <si>
    <t>ул.Лесоводов</t>
  </si>
  <si>
    <t>29а</t>
  </si>
  <si>
    <t>пгт Яшкино, ул.Лесоводов, 29а</t>
  </si>
  <si>
    <t>ул.Энтузиастов</t>
  </si>
  <si>
    <t>26а</t>
  </si>
  <si>
    <t>6.3000000000</t>
  </si>
  <si>
    <t>пгт Яшкино, ул.Энтузиастов, 26а</t>
  </si>
  <si>
    <t>Скважина №9/4546</t>
  </si>
  <si>
    <t>ул.Колхозная</t>
  </si>
  <si>
    <t>22а</t>
  </si>
  <si>
    <t>пгт Яшкино, ул.Колхозная, 22а</t>
  </si>
  <si>
    <t>Скважина №8/4422</t>
  </si>
  <si>
    <t>ул.Коллективная</t>
  </si>
  <si>
    <t>34а</t>
  </si>
  <si>
    <t>пгт Яшкино, ул.Коллективная, 34а</t>
  </si>
  <si>
    <t>д Саломатово</t>
  </si>
  <si>
    <t>32546000221</t>
  </si>
  <si>
    <t>д Саломатово, ул.Весенняя, 2а</t>
  </si>
  <si>
    <t>Сети водоснабжения     д. Саломатово</t>
  </si>
  <si>
    <t>32546000221.0</t>
  </si>
  <si>
    <t>4.1350000000</t>
  </si>
  <si>
    <t>д Саломатово, -, -</t>
  </si>
  <si>
    <t>пер.Мирный</t>
  </si>
  <si>
    <t>с Пашково, пер.Мирный, 7а</t>
  </si>
  <si>
    <t>ул.Леонова</t>
  </si>
  <si>
    <t>43</t>
  </si>
  <si>
    <t>01.01.1956</t>
  </si>
  <si>
    <t>с Пашково, ул.Леонова, 43</t>
  </si>
  <si>
    <t>Скважина п - Новоивановский</t>
  </si>
  <si>
    <t>п Новоивановский</t>
  </si>
  <si>
    <t>32537000191</t>
  </si>
  <si>
    <t>6.2500000000</t>
  </si>
  <si>
    <t>https://portal.eias.ru/Portal/DownloadPage.aspx?type=12&amp;guid=8b62a477-99cd-4972-94b5-5e89683290da</t>
  </si>
  <si>
    <t>№369-п</t>
  </si>
  <si>
    <t>01.06.2022</t>
  </si>
  <si>
    <t>п Новоивановский, ул. Школьная, 18</t>
  </si>
  <si>
    <t>Скважина Никитинская 534</t>
  </si>
  <si>
    <t>2"б"</t>
  </si>
  <si>
    <t>п Никитинский, ул. Никитинская, 2"б"</t>
  </si>
  <si>
    <t>г. Ленинск-Кузнецкий</t>
  </si>
  <si>
    <t>32510000.0</t>
  </si>
  <si>
    <t>32510000051.0</t>
  </si>
  <si>
    <t>555.1600000000</t>
  </si>
  <si>
    <t>292.4000000000</t>
  </si>
  <si>
    <t>52.6000000000</t>
  </si>
  <si>
    <t>37.2500000000</t>
  </si>
  <si>
    <t>132.9100000000</t>
  </si>
  <si>
    <t>79.9000000000</t>
  </si>
  <si>
    <t>г Ленинск-Кузнецкий, г. Ленинск-Кузнецкий, -</t>
  </si>
  <si>
    <t>ул 60 лет ВЛКСМ</t>
  </si>
  <si>
    <t>19"а"</t>
  </si>
  <si>
    <t>с Усть-Серта, ул 60 лет ВЛКСМ, 19"а"</t>
  </si>
  <si>
    <t>ул Сибирская</t>
  </si>
  <si>
    <t>26"а"</t>
  </si>
  <si>
    <t>с Усть-Серта, ул Сибирская, 26"а"</t>
  </si>
  <si>
    <t>п Чиндатский</t>
  </si>
  <si>
    <t>32543000241</t>
  </si>
  <si>
    <t>ул. Возрождения</t>
  </si>
  <si>
    <t>около дома №13</t>
  </si>
  <si>
    <t>0.1500000000</t>
  </si>
  <si>
    <t>п Чиндатский, ул. Возрождения, около дома №13</t>
  </si>
  <si>
    <t>Сети водоснабжения     д. Власково</t>
  </si>
  <si>
    <t>32546000121.0</t>
  </si>
  <si>
    <t>2.6430000000</t>
  </si>
  <si>
    <t>д Власково, -, -</t>
  </si>
  <si>
    <t>д Нижняя Тайменка</t>
  </si>
  <si>
    <t>32546000206</t>
  </si>
  <si>
    <t>ул.Кирпичная</t>
  </si>
  <si>
    <t>5а</t>
  </si>
  <si>
    <t>д Нижняя Тайменка, ул.Кирпичная, 5а</t>
  </si>
  <si>
    <t>пер.Кедровый</t>
  </si>
  <si>
    <t>1.5000000000</t>
  </si>
  <si>
    <t>с Пашково, пер.Кедровый, 6а</t>
  </si>
  <si>
    <t>Сети водоснабжения     д. Зырянка</t>
  </si>
  <si>
    <t>32546000136.0</t>
  </si>
  <si>
    <t>4.0970000000</t>
  </si>
  <si>
    <t>д Зырянка, -, -</t>
  </si>
  <si>
    <t>Сети водоснабжения     д. Балахнино</t>
  </si>
  <si>
    <t>32546000106.0</t>
  </si>
  <si>
    <t>1.6690000000</t>
  </si>
  <si>
    <t>д Балахнино, -, -</t>
  </si>
  <si>
    <t>Сети водоснабжения п. Чиндатский</t>
  </si>
  <si>
    <t>32543000241.0</t>
  </si>
  <si>
    <t>0.9200000000</t>
  </si>
  <si>
    <t>п Чиндатский, -, -</t>
  </si>
  <si>
    <t>с Бекет</t>
  </si>
  <si>
    <t>32543000251</t>
  </si>
  <si>
    <t>бывший скотный двор</t>
  </si>
  <si>
    <t>0.5700000000</t>
  </si>
  <si>
    <t>с Бекет, бывший скотный двор, -</t>
  </si>
  <si>
    <t>ст. Барзас</t>
  </si>
  <si>
    <t>ул. Станция Барзас</t>
  </si>
  <si>
    <t>01.12.1998</t>
  </si>
  <si>
    <t>г Березовский, ул. Станция Барзас, нет</t>
  </si>
  <si>
    <t>Насосная станция 3-ого подъема</t>
  </si>
  <si>
    <t>ул. Строителей</t>
  </si>
  <si>
    <t>630.0000000000</t>
  </si>
  <si>
    <t>354.3700000000</t>
  </si>
  <si>
    <t>01.12.1971</t>
  </si>
  <si>
    <t>г Березовский, ул. Строителей, 6</t>
  </si>
  <si>
    <t>с Пашково, ул.Коммунистическая, 13а</t>
  </si>
  <si>
    <t>с Пашково, ул.Леонова, 4а</t>
  </si>
  <si>
    <t>Сети водоснабжения д. Данковка</t>
  </si>
  <si>
    <t>32543000111.0</t>
  </si>
  <si>
    <t>3.5700000000</t>
  </si>
  <si>
    <t>д Данковка, -, -</t>
  </si>
  <si>
    <t>Скважина №3588</t>
  </si>
  <si>
    <t>д Емельяновка</t>
  </si>
  <si>
    <t>32543000116</t>
  </si>
  <si>
    <t>за домом 28</t>
  </si>
  <si>
    <t>0.5600000000</t>
  </si>
  <si>
    <t>д Емельяновка, ул. Центральная, за домом 28</t>
  </si>
  <si>
    <t>Сети водоснабжения с. Мальцево</t>
  </si>
  <si>
    <t>32543000276.0</t>
  </si>
  <si>
    <t>2.8500000000</t>
  </si>
  <si>
    <t>Насосная станция 2-го подъема</t>
  </si>
  <si>
    <t>1 км автомобильной дороги Крапивинский-Панфилово</t>
  </si>
  <si>
    <t>8000.0000000000</t>
  </si>
  <si>
    <t>пгт Крапивинский, 1 км автомобильной дороги Крапивинский-Панфилово, б/н</t>
  </si>
  <si>
    <t>Насосная станция 3-го подъема</t>
  </si>
  <si>
    <t>8 км автомобильной дороги Крапивинский-Панфилово</t>
  </si>
  <si>
    <t>8600.0000000000</t>
  </si>
  <si>
    <t>пгт Крапивинский, 8 км автомобильной дороги Крапивинский-Панфилово, б/н</t>
  </si>
  <si>
    <t>Скважина №3662(4750)</t>
  </si>
  <si>
    <t>д Нижняя Тайменка, ул.Центральная, 7а</t>
  </si>
  <si>
    <t>ул.Строителей (АБЗ)</t>
  </si>
  <si>
    <t>п.ст Литвиново, ул.Строителей (АБЗ), 2б</t>
  </si>
  <si>
    <t>Скважина №2382</t>
  </si>
  <si>
    <t>д Литвиново</t>
  </si>
  <si>
    <t>32546000181</t>
  </si>
  <si>
    <t>д Литвиново, ул.Центральная, 5а</t>
  </si>
  <si>
    <t>Сети водоснабжения     п/ст. Литвиново</t>
  </si>
  <si>
    <t>32546000281.0</t>
  </si>
  <si>
    <t>11.9980000000</t>
  </si>
  <si>
    <t>п.ст Литвиново, -, -</t>
  </si>
  <si>
    <t>с Таловка</t>
  </si>
  <si>
    <t>32546000356</t>
  </si>
  <si>
    <t>с Таловка, ул.Молодежная, -</t>
  </si>
  <si>
    <t>ул.Тайгинская</t>
  </si>
  <si>
    <t>01.01.1966</t>
  </si>
  <si>
    <t>с Таловка, ул.Тайгинская, -</t>
  </si>
  <si>
    <t>п Воскресенка (Суровка)</t>
  </si>
  <si>
    <t>32543000181</t>
  </si>
  <si>
    <t>ул. Весенняя</t>
  </si>
  <si>
    <t>п Воскресенка (Суровка), ул. Весенняя, -</t>
  </si>
  <si>
    <t>НФС-2 НС ковшевого водозабора [нет]</t>
  </si>
  <si>
    <t>5671.3300000000</t>
  </si>
  <si>
    <t>35.0000000000</t>
  </si>
  <si>
    <t>01.10.1980</t>
  </si>
  <si>
    <t>ул Центральная 200м на восток от дома №65</t>
  </si>
  <si>
    <t>д Орлово-Розово, ул Центральная 200м на восток от дома №65, _</t>
  </si>
  <si>
    <t>32537000211.0</t>
  </si>
  <si>
    <t>43в</t>
  </si>
  <si>
    <t>5.4610000000</t>
  </si>
  <si>
    <t>с Алчедат, с Алчедат, _</t>
  </si>
  <si>
    <t>Скважина №7/9_54</t>
  </si>
  <si>
    <t>пер. Базарный</t>
  </si>
  <si>
    <t>пгт Яшкино, пер. Базарный, 11а</t>
  </si>
  <si>
    <t>Скважина №12/4627</t>
  </si>
  <si>
    <t>ул.Фестивальная</t>
  </si>
  <si>
    <t>пгт Яшкино, ул.Фестивальная, 7а</t>
  </si>
  <si>
    <t>с Колмогорово, ул.Ленинская, 9а</t>
  </si>
  <si>
    <t>Скважина №3/2865</t>
  </si>
  <si>
    <t>63а</t>
  </si>
  <si>
    <t>01.01.1983</t>
  </si>
  <si>
    <t>с Колмогорово, ул.Мирная, 63а</t>
  </si>
  <si>
    <t>НФС               Насосная станция 5-го подъема</t>
  </si>
  <si>
    <t>п Демьяновка</t>
  </si>
  <si>
    <t>32514000181</t>
  </si>
  <si>
    <t>пер. Новый</t>
  </si>
  <si>
    <t>18, корпус 8</t>
  </si>
  <si>
    <t>п Демьяновка, пер. Новый, 18, корпус 8</t>
  </si>
  <si>
    <t>Насосная станция Демьяновский ГУ Гидроузел №1</t>
  </si>
  <si>
    <t>за придорожной полосой автомобильной дороги Новосибирск-Ленинск-Кузнецкий-Кемерово-Юрга, 259 км+500м(справа) корпус 5</t>
  </si>
  <si>
    <t>корпус 5</t>
  </si>
  <si>
    <t>1600.0000000000</t>
  </si>
  <si>
    <t>10.03.1981</t>
  </si>
  <si>
    <t>п Демьяновка, за придорожной полосой автомобильной дороги Новосибирск-Ленинск-Кузнецкий-Кемерово-Юрга, 259 км+500м(справа) корпус 5, корпус 5</t>
  </si>
  <si>
    <t>3а</t>
  </si>
  <si>
    <t>32537000191.0</t>
  </si>
  <si>
    <t>3.8670000000</t>
  </si>
  <si>
    <t>п Новоивановский, ул Трактовая, 3а</t>
  </si>
  <si>
    <t>Буровая водозаборная разведочно-эксплуатационная скважина</t>
  </si>
  <si>
    <t>1"г"</t>
  </si>
  <si>
    <t>01.01.2018</t>
  </si>
  <si>
    <t>п Новоивановский, ул Садовая, 1"г"</t>
  </si>
  <si>
    <t>32537000126.0</t>
  </si>
  <si>
    <t>1.3630000000</t>
  </si>
  <si>
    <t>ул.Шоссейная</t>
  </si>
  <si>
    <t>23б</t>
  </si>
  <si>
    <t>пгт Яшкино, ул.Шоссейная, 23б</t>
  </si>
  <si>
    <t>136г</t>
  </si>
  <si>
    <t>пгт Яшкино, ул.Советская, 136г</t>
  </si>
  <si>
    <t>Сети водоснабжения п. Безлесный</t>
  </si>
  <si>
    <t>32543000176.0</t>
  </si>
  <si>
    <t>6.2430000000</t>
  </si>
  <si>
    <t>Сети водоснабжения п. Воскресенка</t>
  </si>
  <si>
    <t>32543000181.0</t>
  </si>
  <si>
    <t>1.6500000000</t>
  </si>
  <si>
    <t>п Воскресенка (Суровка), -, -</t>
  </si>
  <si>
    <t>Скважина с - Чумай</t>
  </si>
  <si>
    <t>ул. Подгорная</t>
  </si>
  <si>
    <t>с Чумай, ул. Подгорная, 13а</t>
  </si>
  <si>
    <t>НФС-2, НС-2 подъема (Левый берег)</t>
  </si>
  <si>
    <t>7837.5000000000</t>
  </si>
  <si>
    <t>4499.4359061931</t>
  </si>
  <si>
    <t>зона А, зона Б, гидроузел №4, ПНС 9, ПНС 14, ПНС 16, ПНС 17/1, ПНС 17/2, ПНС 19, ПНС 54, ПНС 11 ЦТП, ПНС 52</t>
  </si>
  <si>
    <t>911.4967000000</t>
  </si>
  <si>
    <t>694.4603000000</t>
  </si>
  <si>
    <t>121.7644000000</t>
  </si>
  <si>
    <t>44.7460000000</t>
  </si>
  <si>
    <t>21.5800000000</t>
  </si>
  <si>
    <t>28.9460000000</t>
  </si>
  <si>
    <t>3.6800000000</t>
  </si>
  <si>
    <t>6.5100000000</t>
  </si>
  <si>
    <t>901.3067000000</t>
  </si>
  <si>
    <t>687.9503000000</t>
  </si>
  <si>
    <t>25.2660000000</t>
  </si>
  <si>
    <t>Барзасский водозабор НС 2-го подъема [нет]</t>
  </si>
  <si>
    <t>369.8568989071</t>
  </si>
  <si>
    <t>НС-3 ж.р. Кедровка, НС-4 ж.р. Промышленновский, ПНС Лапичево, ПНС Греческая деревня</t>
  </si>
  <si>
    <t>231.1645000000</t>
  </si>
  <si>
    <t>197.2350000000</t>
  </si>
  <si>
    <t>33.7995000000</t>
  </si>
  <si>
    <t>0.1300000000</t>
  </si>
  <si>
    <t>21.3600000000</t>
  </si>
  <si>
    <t>209.8045000000</t>
  </si>
  <si>
    <t>12.4395000000</t>
  </si>
  <si>
    <t>1 км южнее г Кемерово и 1 км восточнее автодороги Кемерово-Промышленная</t>
  </si>
  <si>
    <t>158.3000000000</t>
  </si>
  <si>
    <t>62.0800000000</t>
  </si>
  <si>
    <t>г Кемерово, 1 км южнее г Кемерово и 1 км восточнее автодороги Кемерово-Промышленная, б/н</t>
  </si>
  <si>
    <t>г Полысаево</t>
  </si>
  <si>
    <t>32514000006</t>
  </si>
  <si>
    <t>г. Полысаево</t>
  </si>
  <si>
    <t>4000.0000000000</t>
  </si>
  <si>
    <t>1150.0000000000</t>
  </si>
  <si>
    <t>32514000.0</t>
  </si>
  <si>
    <t>32514000006.0</t>
  </si>
  <si>
    <t>167.9900000000</t>
  </si>
  <si>
    <t>156.7000000000</t>
  </si>
  <si>
    <t>3.7900000000</t>
  </si>
  <si>
    <t>7.5000000000</t>
  </si>
  <si>
    <t>https://portal.eias.ru/Portal/DownloadPage.aspx?type=12&amp;guid=b5abaa24-f7b1-46b0-816a-a02115bbccbe</t>
  </si>
  <si>
    <t>https://portal.eias.ru/Portal/DownloadPage.aspx?type=12&amp;guid=e2dfbb37-35b0-4f34-be6b-c51be3651fd2</t>
  </si>
  <si>
    <t>г Полысаево, г. Полысаево, -</t>
  </si>
  <si>
    <t>Сети водоснабжения     с. Пача</t>
  </si>
  <si>
    <t>32546000341.0</t>
  </si>
  <si>
    <t>12.0700000000</t>
  </si>
  <si>
    <t>с Пача, -, -</t>
  </si>
  <si>
    <t>Врезки в водопроводну сеть с. Пача</t>
  </si>
  <si>
    <t>0.5630000000</t>
  </si>
  <si>
    <t>Сети водоснабжения с. Бекет</t>
  </si>
  <si>
    <t>32543000251.0</t>
  </si>
  <si>
    <t>5.6220000000</t>
  </si>
  <si>
    <t>с Бекет, -, -</t>
  </si>
  <si>
    <t>п. Октябрьский</t>
  </si>
  <si>
    <t>1040.0000000000</t>
  </si>
  <si>
    <t>360.0000000000</t>
  </si>
  <si>
    <t>насосные станции 1,2,3-го подъема, Барзасский подъем</t>
  </si>
  <si>
    <t>3-я НС ул. Строителей, 1, 2-я НС в лесу</t>
  </si>
  <si>
    <t>113.5929100000</t>
  </si>
  <si>
    <t>98.5840100000</t>
  </si>
  <si>
    <t>2.9219000000</t>
  </si>
  <si>
    <t>12.0870000000</t>
  </si>
  <si>
    <t>п.ш. "Березовская"</t>
  </si>
  <si>
    <t>в лесу</t>
  </si>
  <si>
    <t>84.6090000000</t>
  </si>
  <si>
    <t>83.5030000000</t>
  </si>
  <si>
    <t>1.1060000000</t>
  </si>
  <si>
    <t>97.0000000000</t>
  </si>
  <si>
    <t>Водопроводные сети пгт Яшкино</t>
  </si>
  <si>
    <t>Насоосная станция</t>
  </si>
  <si>
    <t>32546000051.0</t>
  </si>
  <si>
    <t>65.1940000000</t>
  </si>
  <si>
    <t>пгт Яшкино, -, -</t>
  </si>
  <si>
    <t>ул. Братьев Сидельниковых</t>
  </si>
  <si>
    <t>д Юрты-Константиновы, ул. Братьев Сидельниковых, 1а</t>
  </si>
  <si>
    <t>ПНС 19 [нет]</t>
  </si>
  <si>
    <t>142 А</t>
  </si>
  <si>
    <t>11.9300000000</t>
  </si>
  <si>
    <t>г Кемерово, пр. Ленина, 142 А</t>
  </si>
  <si>
    <t>Скважина №1174</t>
  </si>
  <si>
    <t>Ближе к двум домам по ул. Советская,1а</t>
  </si>
  <si>
    <t>пгт Верх-Чебула, ул. 40 лет Победы, Ближе к двум домам по ул. Советская,1а</t>
  </si>
  <si>
    <t>Сети водоснабжения     с. Пашково</t>
  </si>
  <si>
    <t>32546000346.0</t>
  </si>
  <si>
    <t>9.3620000000</t>
  </si>
  <si>
    <t>с Пашково, -, -</t>
  </si>
  <si>
    <t>ПНС 54 (не работает) [нет]</t>
  </si>
  <si>
    <t>ул. Сибиряков-Гвардейцев</t>
  </si>
  <si>
    <t>19 А</t>
  </si>
  <si>
    <t>87.0800000000</t>
  </si>
  <si>
    <t>01.12.1980</t>
  </si>
  <si>
    <t>г Кемерово, ул. Сибиряков-Гвардейцев, 19 А</t>
  </si>
  <si>
    <t>ул.Верхняя</t>
  </si>
  <si>
    <t>12б</t>
  </si>
  <si>
    <t>д Северная, ул.Верхняя, 12б</t>
  </si>
  <si>
    <t>Сети водоснабжения д. Емельяновка</t>
  </si>
  <si>
    <t>32543000116.0</t>
  </si>
  <si>
    <t>3.0220000000</t>
  </si>
  <si>
    <t>д Емельяновка, -, -</t>
  </si>
  <si>
    <t>Гидроузел №6</t>
  </si>
  <si>
    <t>проезд Межквартальный,</t>
  </si>
  <si>
    <t>д.7, строение 2</t>
  </si>
  <si>
    <t>3600.0000000000</t>
  </si>
  <si>
    <t>504.0000000000</t>
  </si>
  <si>
    <t>г Полысаево, проезд Межквартальный,, д.7, строение 2</t>
  </si>
  <si>
    <t>Насосная пос.Красногорский</t>
  </si>
  <si>
    <t>п Красногорский</t>
  </si>
  <si>
    <t>32514000231</t>
  </si>
  <si>
    <t>ул. Магистральная</t>
  </si>
  <si>
    <t>строение 1</t>
  </si>
  <si>
    <t>200.0000000000</t>
  </si>
  <si>
    <t>33.4000000000</t>
  </si>
  <si>
    <t>п Красногорский, ул. Магистральная, строение 1</t>
  </si>
  <si>
    <t>11"а"</t>
  </si>
  <si>
    <t>с Усть-Серта, ул Кирова, 11"а"</t>
  </si>
  <si>
    <t>32537000121.0</t>
  </si>
  <si>
    <t>8.3930000000</t>
  </si>
  <si>
    <t>д Курск-Смоленка, д Курск-Смоленка, _</t>
  </si>
  <si>
    <t>Сети водоснабжения     д. Нижняя-Тайменка</t>
  </si>
  <si>
    <t>32546000206.0</t>
  </si>
  <si>
    <t>2.4050000000</t>
  </si>
  <si>
    <t>д Нижняя Тайменка, -, -</t>
  </si>
  <si>
    <t>Скважина №8</t>
  </si>
  <si>
    <t>ул.Набережная</t>
  </si>
  <si>
    <t>д Крылово, ул.Набережная, 4а</t>
  </si>
  <si>
    <t>19а</t>
  </si>
  <si>
    <t>д Марьевка, ул. Школьная, 19а</t>
  </si>
  <si>
    <t>ул. Федорова</t>
  </si>
  <si>
    <t>12а</t>
  </si>
  <si>
    <t>1.6000000000</t>
  </si>
  <si>
    <t>д Марьевка, ул. Федорова, 12а</t>
  </si>
  <si>
    <t>напротив дома №11</t>
  </si>
  <si>
    <t>с Новониколаевка, ул. Школьная, напротив дома №11</t>
  </si>
  <si>
    <t>за домом №6</t>
  </si>
  <si>
    <t>0.0100000000</t>
  </si>
  <si>
    <t>с Новониколаевка, ул. Школьная, за домом №6</t>
  </si>
  <si>
    <t>ул. Садовая</t>
  </si>
  <si>
    <t>за домом №1б</t>
  </si>
  <si>
    <t>с Новониколаевка, ул. Садовая, за домом №1б</t>
  </si>
  <si>
    <t>Насосная станция  Гидроузел №2</t>
  </si>
  <si>
    <t>проезд Объездная дорога</t>
  </si>
  <si>
    <t>7500.0000000000</t>
  </si>
  <si>
    <t>г Ленинск-Кузнецкий, проезд Объездная дорога, 13</t>
  </si>
  <si>
    <t>насосная станция Подъем №2</t>
  </si>
  <si>
    <t>пр.Кирова</t>
  </si>
  <si>
    <t>20а</t>
  </si>
  <si>
    <t>400.0000000000</t>
  </si>
  <si>
    <t>г Ленинск-Кузнецкий, пр.Кирова, 20а</t>
  </si>
  <si>
    <t>Сети водоснабжения     д. Литвиново</t>
  </si>
  <si>
    <t>32546000181.0</t>
  </si>
  <si>
    <t>1.8430000000</t>
  </si>
  <si>
    <t>д Литвиново, -, -</t>
  </si>
  <si>
    <t>Сети водоснабжения     с. Таловка</t>
  </si>
  <si>
    <t>32546000356.0</t>
  </si>
  <si>
    <t>7.2970000000</t>
  </si>
  <si>
    <t>с Таловка, -, -</t>
  </si>
  <si>
    <t>с Таловка, ул.Новая, -</t>
  </si>
  <si>
    <t>п Шахтер, ул.Лесная, 9а</t>
  </si>
  <si>
    <t>п Шахтер, ул.Строительная, 4а</t>
  </si>
  <si>
    <t>п Майский / входило в состав сельского поселения Безлесное Яйского муниципального района</t>
  </si>
  <si>
    <t>32543000196</t>
  </si>
  <si>
    <t>п Майский / входило в состав сельского поселения Безлесное Яйского муниципального района, -, -</t>
  </si>
  <si>
    <t>Сети водоснабжения п. Майский</t>
  </si>
  <si>
    <t>32543000196.0</t>
  </si>
  <si>
    <t>2.9750000000</t>
  </si>
  <si>
    <t>НС-3 Рудничного р-на</t>
  </si>
  <si>
    <t>ПНС 19</t>
  </si>
  <si>
    <t>ПНС 9</t>
  </si>
  <si>
    <t>НФС-2 НС руслового водозабора</t>
  </si>
  <si>
    <t>ПНС Лапичево</t>
  </si>
  <si>
    <t>НФС-2 НС Пугачёвского водозабора</t>
  </si>
  <si>
    <t>420501001.0</t>
  </si>
  <si>
    <t>ПНС Греческая деревня</t>
  </si>
  <si>
    <t>Ягуновский водозабор, НС-2 подъема</t>
  </si>
  <si>
    <t>Ягуновский водозабор</t>
  </si>
  <si>
    <t>Зона А</t>
  </si>
  <si>
    <t>зона А, зона Б, ПНС ул. Грузовая, гидроузел №4, Гидроузел Рудник, ПНС 9, ПНС 14, ПНС 16, ПНС 17/1, ПНС 17/2, ПНС 19, ПНС 54, ПНС 11 ЦТП, ПНС 52</t>
  </si>
  <si>
    <t>932.5607000000</t>
  </si>
  <si>
    <t>710.8323000000</t>
  </si>
  <si>
    <t>126.4564000000</t>
  </si>
  <si>
    <t>922.3707000000</t>
  </si>
  <si>
    <t>704.3223000000</t>
  </si>
  <si>
    <t>ПНС ул. Грузовая</t>
  </si>
  <si>
    <t>ул. Грузовая</t>
  </si>
  <si>
    <t>340.0000000000</t>
  </si>
  <si>
    <t>46.7000000000</t>
  </si>
  <si>
    <t>31.10.2024</t>
  </si>
  <si>
    <t>г Кемерово, ул. Грузовая, -</t>
  </si>
  <si>
    <t>Гидроузел "Рудник"</t>
  </si>
  <si>
    <t>ПНС 54 (не работает)</t>
  </si>
  <si>
    <t>10.5031100000</t>
  </si>
  <si>
    <t>НФС-2 НС ковшевого водозабора</t>
  </si>
  <si>
    <t>НФС-2</t>
  </si>
  <si>
    <t>65.3283700000</t>
  </si>
  <si>
    <t>ПНС 14</t>
  </si>
  <si>
    <t>ПНС 11 ЦТП</t>
  </si>
  <si>
    <t>Правобережная НС</t>
  </si>
  <si>
    <t>ПНС 16</t>
  </si>
  <si>
    <t>НС-3 Кировского р-на</t>
  </si>
  <si>
    <t>ПНС 52</t>
  </si>
  <si>
    <t>НС-3 ж.р. Кедровка</t>
  </si>
  <si>
    <t>ПНС ул. Антипова</t>
  </si>
  <si>
    <t>8.4330000000</t>
  </si>
  <si>
    <t>ПНС 17/1</t>
  </si>
  <si>
    <t>г Ленинск-Кузнецкий, ул. Никитинская, 2"б"</t>
  </si>
  <si>
    <t>556.1300000000</t>
  </si>
  <si>
    <t>293.3700000000</t>
  </si>
  <si>
    <t>168.4600000000</t>
  </si>
  <si>
    <t>157.1700000000</t>
  </si>
  <si>
    <t>1.5854500000</t>
  </si>
  <si>
    <t>ВНС "Лесная поляна"</t>
  </si>
  <si>
    <t>НС-3 ж.р. Кедровка (подача на ж.р. Кедровка)</t>
  </si>
  <si>
    <t>Зона Б</t>
  </si>
  <si>
    <t>НС-4 ж.р. Промышленновский</t>
  </si>
  <si>
    <t>НС-2 подъема НФС-2</t>
  </si>
  <si>
    <t>Барзасский водозабор НС 2-го подъема</t>
  </si>
  <si>
    <t>231.1705000000</t>
  </si>
  <si>
    <t>197.2410000000</t>
  </si>
  <si>
    <t>209.8105000000</t>
  </si>
  <si>
    <t>Ягуновский водозабор НС-2 подъема</t>
  </si>
  <si>
    <t>32.7805000000</t>
  </si>
  <si>
    <t>32.5305000000</t>
  </si>
  <si>
    <t>589.7034700000</t>
  </si>
  <si>
    <t>440.6694700000</t>
  </si>
  <si>
    <t>85.8240000000</t>
  </si>
  <si>
    <t>6.4560000000</t>
  </si>
  <si>
    <t>ПНС 17/2</t>
  </si>
  <si>
    <t>НС-2 Петровский водозабор</t>
  </si>
  <si>
    <t>ПНС Боровой</t>
  </si>
  <si>
    <t>НС-2 на д. Петровка</t>
  </si>
  <si>
    <t>1.7900000000</t>
  </si>
  <si>
    <t>30.09.2023</t>
  </si>
  <si>
    <t>Гидроузел №4</t>
  </si>
  <si>
    <t>НС-3 ж.р. Кедровка (подача на ж.р. Промышленновский)</t>
  </si>
  <si>
    <t>5.6436000000</t>
  </si>
  <si>
    <t>г Ленинск-Кузнецкий, ул. Никитинская, 2"в" сооружение 1</t>
  </si>
  <si>
    <t>sce:REESTR.VOTV.SOURCE.2025</t>
  </si>
  <si>
    <t>КНС-4 (ОСК-1)</t>
  </si>
  <si>
    <t>КНС</t>
  </si>
  <si>
    <t>территория ОСК-1</t>
  </si>
  <si>
    <t>833.3000000000</t>
  </si>
  <si>
    <t>217.1300000000</t>
  </si>
  <si>
    <t>низковольтная КНС</t>
  </si>
  <si>
    <t>16.9000000000</t>
  </si>
  <si>
    <t>31.08.2010</t>
  </si>
  <si>
    <t>частная собственность</t>
  </si>
  <si>
    <t>https://portal.eias.ru/Portal/DownloadPage.aspx?type=12&amp;guid=e30434a9-75c5-4e4a-a328-10c2ac837f12</t>
  </si>
  <si>
    <t>6-14-14</t>
  </si>
  <si>
    <t>01.01.2014</t>
  </si>
  <si>
    <t>Водоотведение</t>
  </si>
  <si>
    <t>г Кемерово, территория ОСК-1, б/н</t>
  </si>
  <si>
    <t>Канализационная насосная станция №1</t>
  </si>
  <si>
    <t>пр-кт. Ленина</t>
  </si>
  <si>
    <t>28</t>
  </si>
  <si>
    <t>57.8000000000</t>
  </si>
  <si>
    <t>01.12.1976</t>
  </si>
  <si>
    <t>без номера</t>
  </si>
  <si>
    <t>г Березовский, пр-кт. Ленина, 28</t>
  </si>
  <si>
    <t>ГНС</t>
  </si>
  <si>
    <t>ул. Лесокомбинатовская</t>
  </si>
  <si>
    <t>югозападнее дома №36</t>
  </si>
  <si>
    <t>5197.5329007286</t>
  </si>
  <si>
    <t>высоковольтная КНС</t>
  </si>
  <si>
    <t>43.3300000000</t>
  </si>
  <si>
    <t>01.01.1964</t>
  </si>
  <si>
    <t>г Кемерово, ул. Лесокомбинатовская, югозападнее дома №36</t>
  </si>
  <si>
    <t>КНС (п. Комиссарово)</t>
  </si>
  <si>
    <t>п. Комиссарово</t>
  </si>
  <si>
    <t>7.9400000000</t>
  </si>
  <si>
    <t>31.10.2006</t>
  </si>
  <si>
    <t>г Кемерово, п. Комиссарово, б/н</t>
  </si>
  <si>
    <t>Канализационная насосная станция №7</t>
  </si>
  <si>
    <t>01.12.1959</t>
  </si>
  <si>
    <t>г Березовский, ул. Школьная, б/н</t>
  </si>
  <si>
    <t>КНС 1 Б "Лесная поляна"</t>
  </si>
  <si>
    <t>город-спутник "Лесная поляна"</t>
  </si>
  <si>
    <t>37.1983151184</t>
  </si>
  <si>
    <t>8.4000000000</t>
  </si>
  <si>
    <t>01.11.2001</t>
  </si>
  <si>
    <t>г Кемерово, город-спутник "Лесная поляна", б/н</t>
  </si>
  <si>
    <t>ОСК-2 (Правобережные)</t>
  </si>
  <si>
    <t>Кировский р-он, ул. 40 лет Октября</t>
  </si>
  <si>
    <t>1666.6666666667</t>
  </si>
  <si>
    <t>595.1548269581</t>
  </si>
  <si>
    <t>г Кемерово, Кировский р-он, ул. 40 лет Октября, б/н</t>
  </si>
  <si>
    <t>КНС 1 А "Лесная поляна"</t>
  </si>
  <si>
    <t>416.6000000000</t>
  </si>
  <si>
    <t>153.4727914390</t>
  </si>
  <si>
    <t>30.09.2008</t>
  </si>
  <si>
    <t>Сети водоотведения</t>
  </si>
  <si>
    <t>900.0000000000</t>
  </si>
  <si>
    <t>865.0000000000</t>
  </si>
  <si>
    <t>Главная насосная станция</t>
  </si>
  <si>
    <t>32514000001.0</t>
  </si>
  <si>
    <t>89.0000000000</t>
  </si>
  <si>
    <t>г Ленинск-Кузнецкий, г. Ленинск-Кузнецкий, б/н</t>
  </si>
  <si>
    <t>220.0000000000</t>
  </si>
  <si>
    <t>ул. Молодогвардейцев</t>
  </si>
  <si>
    <t>32</t>
  </si>
  <si>
    <t>г Полысаево, г. Полысаево, б/н</t>
  </si>
  <si>
    <t>КНС "Зелёный остров"</t>
  </si>
  <si>
    <t>Зелёный остров, ул. Хрустальная</t>
  </si>
  <si>
    <t>72</t>
  </si>
  <si>
    <t>29.1600000000</t>
  </si>
  <si>
    <t>24.4800000000</t>
  </si>
  <si>
    <t>31.12.1997</t>
  </si>
  <si>
    <t>отсутствует</t>
  </si>
  <si>
    <t>безвозмездное пользование</t>
  </si>
  <si>
    <t>27.10.2010</t>
  </si>
  <si>
    <t>г Кемерово, Зелёный остров, ул. Хрустальная, 72</t>
  </si>
  <si>
    <t>КНС-2 ПНИ ж.р. Кедровка</t>
  </si>
  <si>
    <t>ж.р. Кедровка ул. Уньга</t>
  </si>
  <si>
    <t>292.7000000000</t>
  </si>
  <si>
    <t>22.0000000000</t>
  </si>
  <si>
    <t>08.01.1998</t>
  </si>
  <si>
    <t>г Кемерово, ж.р. Кедровка ул. Уньга, б/н</t>
  </si>
  <si>
    <t>КНС-1 хоз-быт Кедровка</t>
  </si>
  <si>
    <t>ж.р. Кедровка, ул. Подгорная</t>
  </si>
  <si>
    <t>159.0700000000</t>
  </si>
  <si>
    <t>г Кемерово, ж.р. Кедровка, ул. Подгорная, б/н</t>
  </si>
  <si>
    <t>КНС-3 ж.р. Промышленновский</t>
  </si>
  <si>
    <t>в р-не доиа №66</t>
  </si>
  <si>
    <t>250.0000000000</t>
  </si>
  <si>
    <t>151.8500000000</t>
  </si>
  <si>
    <t>22.4500000000</t>
  </si>
  <si>
    <t>31.01.2011</t>
  </si>
  <si>
    <t>г Кемерово, ж.р. Промышленновский, ул. Промшоссе, в р-не доиа №66</t>
  </si>
  <si>
    <t>КНС-4 ул. Беломорская (ж.р. Промышленновский)</t>
  </si>
  <si>
    <t>ж.р. Промышленновский, ул. Беломорская</t>
  </si>
  <si>
    <t>17.6800000000</t>
  </si>
  <si>
    <t>21.5000000000</t>
  </si>
  <si>
    <t>г Кемерово, ж.р. Промышленновский, ул. Беломорская, б/н</t>
  </si>
  <si>
    <t>1041.6700000000</t>
  </si>
  <si>
    <t>331.1800000000</t>
  </si>
  <si>
    <t>КНС-1, КНС-2, КНС-3, КНС-4, КНС-5</t>
  </si>
  <si>
    <t>г Березовский, г. Березовский, б/н</t>
  </si>
  <si>
    <t>КНС ТЦ "Спутник"</t>
  </si>
  <si>
    <t>ул. Крупской</t>
  </si>
  <si>
    <t>4.9000000000</t>
  </si>
  <si>
    <t>г Полысаево, ул. Крупской, б/н</t>
  </si>
  <si>
    <t>КНС 2/6</t>
  </si>
  <si>
    <t>ул. 3-я Заречная</t>
  </si>
  <si>
    <t>№54</t>
  </si>
  <si>
    <t>5500.0000000000</t>
  </si>
  <si>
    <t>4670.9774590164</t>
  </si>
  <si>
    <t>57.5000000000</t>
  </si>
  <si>
    <t>01.12.1986</t>
  </si>
  <si>
    <t>г Кемерово, ул. 3-я Заречная, №54</t>
  </si>
  <si>
    <t>КНС ул. Победы</t>
  </si>
  <si>
    <t>ул. Победы</t>
  </si>
  <si>
    <t>25.8000000000</t>
  </si>
  <si>
    <t>1.4000000000</t>
  </si>
  <si>
    <t>01.01.2008</t>
  </si>
  <si>
    <t>г Полысаево, ул. Победы, б/н</t>
  </si>
  <si>
    <t>700.0000000000</t>
  </si>
  <si>
    <t>300.0000000000</t>
  </si>
  <si>
    <t>КНС №1</t>
  </si>
  <si>
    <t>ул. Восточная</t>
  </si>
  <si>
    <t>пгт Верх-Чебула, пгт Верх-Чебула, б/н</t>
  </si>
  <si>
    <t>Сети канализации пгт. Яя</t>
  </si>
  <si>
    <t>29.1700000000</t>
  </si>
  <si>
    <t>29.2000000000</t>
  </si>
  <si>
    <t>90.0000000000</t>
  </si>
  <si>
    <t>КНС ул. Чехова</t>
  </si>
  <si>
    <t>ул. Чехова</t>
  </si>
  <si>
    <t>14.6000000000</t>
  </si>
  <si>
    <t>01.01.2019</t>
  </si>
  <si>
    <t>пгт Яя, ул. Чехова, -</t>
  </si>
  <si>
    <t>КНС ул. Восточная</t>
  </si>
  <si>
    <t>24.0000000000</t>
  </si>
  <si>
    <t>01.01.2016</t>
  </si>
  <si>
    <t>пгт Яя, ул. Восточная, -</t>
  </si>
  <si>
    <t>75.9000000000</t>
  </si>
  <si>
    <t>38.3100000000</t>
  </si>
  <si>
    <t>КНС-6, КНС-7, КНС-8</t>
  </si>
  <si>
    <t>КНС (на территории НПО "Прогресс")</t>
  </si>
  <si>
    <t>территория НПО "Прогресс"</t>
  </si>
  <si>
    <t>1666.6000000000</t>
  </si>
  <si>
    <t>753.8500000000</t>
  </si>
  <si>
    <t>47.3700000000</t>
  </si>
  <si>
    <t>01.06.1973</t>
  </si>
  <si>
    <t>г Кемерово, территория НПО "Прогресс", б/н</t>
  </si>
  <si>
    <t>79.1700000000</t>
  </si>
  <si>
    <t>31.1800000000</t>
  </si>
  <si>
    <t>410.0000000000</t>
  </si>
  <si>
    <t>01.01.1998</t>
  </si>
  <si>
    <t>пгт Верх-Чебула, ул. Восточная, б/н</t>
  </si>
  <si>
    <t>КНС №2</t>
  </si>
  <si>
    <t>ул. Октябрьская</t>
  </si>
  <si>
    <t>7.0000000000</t>
  </si>
  <si>
    <t>01.01.2010</t>
  </si>
  <si>
    <t>пгт Верх-Чебула, ул. Октябрьская, б/н</t>
  </si>
  <si>
    <t>КНС ул. Ленинградская</t>
  </si>
  <si>
    <t>ул. Ленинградская</t>
  </si>
  <si>
    <t>01.01.2017</t>
  </si>
  <si>
    <t>пгт Яя, ул. Ленинградская, -</t>
  </si>
  <si>
    <t>Канализационная насосная станция №8</t>
  </si>
  <si>
    <t>ул. Фрунзе</t>
  </si>
  <si>
    <t>160.0000000000</t>
  </si>
  <si>
    <t>01.12.1972</t>
  </si>
  <si>
    <t>г Березовский, ул. Фрунзе, б/н</t>
  </si>
  <si>
    <t>КНС-5 ул. Брюханова ж.р.Кедровка</t>
  </si>
  <si>
    <t>ул. Брюханова ж.р.Кедровка</t>
  </si>
  <si>
    <t>1.2500000000</t>
  </si>
  <si>
    <t>10.03.2016</t>
  </si>
  <si>
    <t>г Кемерово, ул. Брюханова ж.р.Кедровка, -</t>
  </si>
  <si>
    <t>КНС 68 квартал</t>
  </si>
  <si>
    <t>г. Кемерово, пр-т Комсомольский</t>
  </si>
  <si>
    <t>183.0000000000</t>
  </si>
  <si>
    <t>19.2200000000</t>
  </si>
  <si>
    <t>01.01.2015</t>
  </si>
  <si>
    <t>г Кемерово, г. Кемерово, пр-т Комсомольский, -</t>
  </si>
  <si>
    <t>КНС ул. Суворова</t>
  </si>
  <si>
    <t>г. Кемерово, ул. Суворова</t>
  </si>
  <si>
    <t>3.3900000000</t>
  </si>
  <si>
    <t>г Кемерово, г. Кемерово, ул. Суворова, 12</t>
  </si>
  <si>
    <t>КНС №2              кв. Профсоюзный</t>
  </si>
  <si>
    <t>ул. Пирогова</t>
  </si>
  <si>
    <t>9"6"</t>
  </si>
  <si>
    <t>74.0000000000</t>
  </si>
  <si>
    <t>г Ленинск-Кузнецкий, ул. Пирогова, 9"6"</t>
  </si>
  <si>
    <t>КНС №3</t>
  </si>
  <si>
    <t>ул. Чекалина</t>
  </si>
  <si>
    <t>9"б"</t>
  </si>
  <si>
    <t>500.0000000000</t>
  </si>
  <si>
    <t>78.0000000000</t>
  </si>
  <si>
    <t>г Ленинск-Кузнецкий, ул. Чекалина, 9"б"</t>
  </si>
  <si>
    <t>кнс №4</t>
  </si>
  <si>
    <t>ул. Шилина</t>
  </si>
  <si>
    <t>73.0000000000</t>
  </si>
  <si>
    <t>г Ленинск-Кузнецкий, ул. Шилина, 9"б"</t>
  </si>
  <si>
    <t>КНС №5</t>
  </si>
  <si>
    <t>ул. Абая</t>
  </si>
  <si>
    <t>3"а"</t>
  </si>
  <si>
    <t>г Ленинск-Кузнецкий, ул. Абая, 3"а"</t>
  </si>
  <si>
    <t>КНС-2 ж.р. Лесная поляна</t>
  </si>
  <si>
    <t>город Кемерово, ж.р. Лесная поляна, б-р Осенний</t>
  </si>
  <si>
    <t>здание КНС 2</t>
  </si>
  <si>
    <t>14.0000000000</t>
  </si>
  <si>
    <t>15.05.2020</t>
  </si>
  <si>
    <t>https://portal.eias.ru/Portal/DownloadPage.aspx?type=12&amp;guid=a4021adc-81ff-4fd6-916f-c84c6d5471b1</t>
  </si>
  <si>
    <t>собственность</t>
  </si>
  <si>
    <t>КНС-2/2020</t>
  </si>
  <si>
    <t>г Кемерово, город Кемерово, ж.р. Лесная поляна, б-р Осенний, здание КНС 2</t>
  </si>
  <si>
    <t>КНС-1</t>
  </si>
  <si>
    <t>ул.Ворошилова</t>
  </si>
  <si>
    <t>3"б"</t>
  </si>
  <si>
    <t>85.0000000000</t>
  </si>
  <si>
    <t>пгт Яшкино, ул.Ворошилова, 3"б"</t>
  </si>
  <si>
    <t>КНС-2</t>
  </si>
  <si>
    <t>В 500м на северо-восток от жилого д.44 по ул.Ленинская</t>
  </si>
  <si>
    <t>пгт Яшкино, В 500м на северо-восток от жилого д.44 по ул.Ленинская, -</t>
  </si>
  <si>
    <t>КНС Иртыш-Эко-2-ПФ (г/у Рудник)</t>
  </si>
  <si>
    <t>город Кемерово, проспект Кузбасский</t>
  </si>
  <si>
    <t>0.1400000000</t>
  </si>
  <si>
    <t>г Кемерово, город Кемерово, проспект Кузбасский, 6</t>
  </si>
  <si>
    <t>Модульная канализационная станция, г. Кемерово, ж.р. Кедровка, котельная №8</t>
  </si>
  <si>
    <t>г. Кемерово, ж.р. Кедровка</t>
  </si>
  <si>
    <t>31.10.2019</t>
  </si>
  <si>
    <t>собственное имущество</t>
  </si>
  <si>
    <t>https://portal.eias.ru/Portal/DownloadPage.aspx?type=12&amp;guid=2fd08668-5d20-4e8a-be76-f94378e354a9</t>
  </si>
  <si>
    <t>акт приёма-передачи</t>
  </si>
  <si>
    <t>003882</t>
  </si>
  <si>
    <t>г Кемерово, г. Кемерово, ж.р. Кедровка, -</t>
  </si>
  <si>
    <t>КНС ж.к. "5 Звезд"</t>
  </si>
  <si>
    <t>г. Кемерово, пр. Химиков</t>
  </si>
  <si>
    <t>8А</t>
  </si>
  <si>
    <t>12.5000000000</t>
  </si>
  <si>
    <t>2.2500000000</t>
  </si>
  <si>
    <t>https://portal.eias.ru/Portal/DownloadPage.aspx?type=12&amp;guid=1b4d0d23-faa0-45fe-8406-9b3b4b0d3b55</t>
  </si>
  <si>
    <t>г Кемерово, г. Кемерово, пр. Химиков, 8А</t>
  </si>
  <si>
    <t>КНС №6</t>
  </si>
  <si>
    <t>270 "б"</t>
  </si>
  <si>
    <t>77.0000000000</t>
  </si>
  <si>
    <t>г Ленинск-Кузнецкий, ул. Суворова, 270 "б"</t>
  </si>
  <si>
    <t>КНС №7</t>
  </si>
  <si>
    <t>ул. Вокзальная</t>
  </si>
  <si>
    <t>28"б"</t>
  </si>
  <si>
    <t>г Ленинск-Кузнецкий, ул. Вокзальная, 28"б"</t>
  </si>
  <si>
    <t>Канализационная насосная станция №4</t>
  </si>
  <si>
    <t>ул. Энтузиастов</t>
  </si>
  <si>
    <t>01.01.1994</t>
  </si>
  <si>
    <t>г Березовский, ул. Энтузиастов, б/н</t>
  </si>
  <si>
    <t>КНС "ГАИ"</t>
  </si>
  <si>
    <t>ул. Топкинская</t>
  </si>
  <si>
    <t>01.01.2000</t>
  </si>
  <si>
    <t>г Ленинск-Кузнецкий, ул. Топкинская, 2"б"</t>
  </si>
  <si>
    <t>КНС-3</t>
  </si>
  <si>
    <t>ул.Сосновая</t>
  </si>
  <si>
    <t>пгт Яшкино, ул.Сосновая, 2"а"</t>
  </si>
  <si>
    <t>КНС-4</t>
  </si>
  <si>
    <t>в 300м на северо-восток от жилого дома 13 по ул.Полевая</t>
  </si>
  <si>
    <t>пгт Яшкино, в 300м на северо-восток от жилого дома 13 по ул.Полевая, -</t>
  </si>
  <si>
    <t>Сети канализации п. Акация</t>
  </si>
  <si>
    <t>КНС просп. В.В.Михайлова, 5б, Лесная поляна (в резерве)</t>
  </si>
  <si>
    <t>г. Кемерово, ж.р. Лесная поляна, пр. В.В.Михайлова</t>
  </si>
  <si>
    <t>5Б</t>
  </si>
  <si>
    <t>01.01.2020</t>
  </si>
  <si>
    <t>https://portal.eias.ru/Portal/DownloadPage.aspx?type=12&amp;guid=06faf915-b456-4a6c-90ff-4b7134076442</t>
  </si>
  <si>
    <t>г Кемерово, г. Кемерово, ж.р. Лесная поляна, пр. В.В.Михайлова, 5Б</t>
  </si>
  <si>
    <t>КНС просп. В.В. Михайлова, 3, Лесная поляна</t>
  </si>
  <si>
    <t>22.5000000000</t>
  </si>
  <si>
    <t>1.8300000000</t>
  </si>
  <si>
    <t>г Кемерово, г. Кемерово, ж.р. Лесная поляна, пр. В.В.Михайлова, 3</t>
  </si>
  <si>
    <t>КНС № 3 жилой район Лесная Поляна, 400 м юго-западнее бульв. Солнечный</t>
  </si>
  <si>
    <t>ж.р. Лесная Поляна, 400 м юго-западнее бульв. Солнечный</t>
  </si>
  <si>
    <t>720.0000000000</t>
  </si>
  <si>
    <t>87.5000000000</t>
  </si>
  <si>
    <t>01.01.2021</t>
  </si>
  <si>
    <t>г Кемерово, ж.р. Лесная Поляна, 400 м юго-западнее бульв. Солнечный, -</t>
  </si>
  <si>
    <t>ОСК-1 (Левобережные)</t>
  </si>
  <si>
    <t>заводский р-он, северовосток левобережной части</t>
  </si>
  <si>
    <t>10416.6000000000</t>
  </si>
  <si>
    <t>5338.8126138434</t>
  </si>
  <si>
    <t>КНС-4, КНС (п. Комиссарово), КНС-2 (Ягуновка), КНС-3 (Ягуновка), КНС 2 (Рудник), КНС 3 (Рудник), КНС-4 (Рудник), КНС (Мартемьянова), КНС (ул. Кедровская), КНС 1 ("Лесная поляна"), КНС 1 А ("Лесная поляна"), КНС 1 Б ("Лесная поляна"), КНС "Зеленый остров"</t>
  </si>
  <si>
    <t>53.0000000000</t>
  </si>
  <si>
    <t>г Кемерово, заводский р-он, северовосток левобережной части, б/н</t>
  </si>
  <si>
    <t>4166.6000000000</t>
  </si>
  <si>
    <t>ГНС ОСК-2, КНС на территории НПО "Прогресс"</t>
  </si>
  <si>
    <t>территория ПО Прогресс</t>
  </si>
  <si>
    <t>ОСК-3 (Кедровка)</t>
  </si>
  <si>
    <t>ж.р. Кедровка, ул. Чесноковская</t>
  </si>
  <si>
    <t>327.6434426230</t>
  </si>
  <si>
    <t>КНС-4 ул. Беломорская, КНС-3 "Промышленонский", КНС-2 "ПНИ" ж.р. Кедровка, КНС-1 "Хоз.быт" ж.р. Кедровка</t>
  </si>
  <si>
    <t>г Кемерово, ж.р. Кедровка, ул. Чесноковская, б/н</t>
  </si>
  <si>
    <t>37.5000000000</t>
  </si>
  <si>
    <t>КНС (ул. Волгоградская, 44) (ИТК-40)</t>
  </si>
  <si>
    <t>КНС с сетями</t>
  </si>
  <si>
    <t>Ленинский р-он, ул. Волгоградская</t>
  </si>
  <si>
    <t>15.03.1979</t>
  </si>
  <si>
    <t>91.0000000000</t>
  </si>
  <si>
    <t>г Кемерово, Ленинский р-он, ул. Волгоградская, 44</t>
  </si>
  <si>
    <t>Камера гашения по ул. Волгоградская, 45 канализационного коллектора Ду-1000мм [камера гашения по ул. Волгоградская ,45]</t>
  </si>
  <si>
    <t>45</t>
  </si>
  <si>
    <t>78.1000000000</t>
  </si>
  <si>
    <t>г Кемерово, ул. Волгоградская, 45</t>
  </si>
  <si>
    <t>КНС с.Колмогорово</t>
  </si>
  <si>
    <t>Сети канализации п.Ленинский</t>
  </si>
  <si>
    <t>Канализационная насосная станция №2</t>
  </si>
  <si>
    <t>ул. Промышленная</t>
  </si>
  <si>
    <t>80.8900000000</t>
  </si>
  <si>
    <t>01.07.1986</t>
  </si>
  <si>
    <t>г Березовский, ул. Промышленная, 9</t>
  </si>
  <si>
    <t>Канализационная насосная станция №3</t>
  </si>
  <si>
    <t>б-р. Молодежный</t>
  </si>
  <si>
    <t>21.8900000000</t>
  </si>
  <si>
    <t>01.12.1987</t>
  </si>
  <si>
    <t>г Березовский, б-р. Молодежный, 11</t>
  </si>
  <si>
    <t>Сети канализации п.ст.Литвиново</t>
  </si>
  <si>
    <t>КНС 3 (Рудник)</t>
  </si>
  <si>
    <t>ул. О. Кошевого</t>
  </si>
  <si>
    <t>25.1300000000</t>
  </si>
  <si>
    <t>58.6300000000</t>
  </si>
  <si>
    <t>01.06.1998</t>
  </si>
  <si>
    <t>г Кемерово, ул. О. Кошевого, б/н</t>
  </si>
  <si>
    <t>Сети канализации с.Пача</t>
  </si>
  <si>
    <t>ПОС п.ш. "Южная"</t>
  </si>
  <si>
    <t>ул. А.Лужбина</t>
  </si>
  <si>
    <t>Очистные сооружения</t>
  </si>
  <si>
    <t>г Березовский, ул. А.Лужбина, б/н</t>
  </si>
  <si>
    <t>г Полысаево, ул. Садовая, 1</t>
  </si>
  <si>
    <t>32 стр.1</t>
  </si>
  <si>
    <t>648.0000000000</t>
  </si>
  <si>
    <t>127.3000000000</t>
  </si>
  <si>
    <t>г Полысаево, ул. Молодогвардейцев, 32 стр.1</t>
  </si>
  <si>
    <t>КНС 13 квартала</t>
  </si>
  <si>
    <t>На северо-востоке в 218 метрах от угла дома №30 по ул. Молодогвардейцев</t>
  </si>
  <si>
    <t>5.4000000000</t>
  </si>
  <si>
    <t>г Полысаево, На северо-востоке в 218 метрах от угла дома №30 по ул. Молодогвардейцев, б/н</t>
  </si>
  <si>
    <t>Сети канализации с.Поломошное</t>
  </si>
  <si>
    <t>Сети канализации пгт.Яшкино</t>
  </si>
  <si>
    <t>ГОС</t>
  </si>
  <si>
    <t>ул. На площадке Очистные сооружения</t>
  </si>
  <si>
    <t>на площадке очистных сооружений</t>
  </si>
  <si>
    <t>г Березовский, ул. На площадке Очистные сооружения, б/н</t>
  </si>
  <si>
    <t>КНС квартала "Кемеровский"</t>
  </si>
  <si>
    <t>ул. Абрамцева</t>
  </si>
  <si>
    <t>12.0000000000</t>
  </si>
  <si>
    <t>г Ленинск-Кузнецкий, ул. Абрамцева, б/н</t>
  </si>
  <si>
    <t>7291.6666666667</t>
  </si>
  <si>
    <t>61.0000000000</t>
  </si>
  <si>
    <t>КНС "КСК"</t>
  </si>
  <si>
    <t>ул. Тверская</t>
  </si>
  <si>
    <t>70</t>
  </si>
  <si>
    <t>695.0000000000</t>
  </si>
  <si>
    <t>79.0000000000</t>
  </si>
  <si>
    <t>г Ленинск-Кузнецкий, ул. Тверская, 70</t>
  </si>
  <si>
    <t>КНС 2 (Ягуновка)</t>
  </si>
  <si>
    <t>п. Комиссарово, ул. Центральная</t>
  </si>
  <si>
    <t>145.8000000000</t>
  </si>
  <si>
    <t>93.3463114754</t>
  </si>
  <si>
    <t>5.4500000000</t>
  </si>
  <si>
    <t>29.05.2014</t>
  </si>
  <si>
    <t>г Кемерово, п. Комиссарово, ул. Центральная, б/н</t>
  </si>
  <si>
    <t>КНС квартала "Днепровский"</t>
  </si>
  <si>
    <t>На северо-запад в 58 метрах от не жилого здания по ул. Юргинская</t>
  </si>
  <si>
    <t>4/3</t>
  </si>
  <si>
    <t>г Ленинск-Кузнецкий, На северо-запад в 58 метрах от не жилого здания по ул. Юргинская, 4/3</t>
  </si>
  <si>
    <t>ул. Широкая</t>
  </si>
  <si>
    <t>33</t>
  </si>
  <si>
    <t>г Ленинск-Кузнецкий, ул. Широкая, 33</t>
  </si>
  <si>
    <t>КНС 2 (Рудник)</t>
  </si>
  <si>
    <t>ул. Узкоколейная</t>
  </si>
  <si>
    <t>№1 А</t>
  </si>
  <si>
    <t>1.0600000000</t>
  </si>
  <si>
    <t>59.1500000000</t>
  </si>
  <si>
    <t>г Кемерово, ул. Узкоколейная, №1 А</t>
  </si>
  <si>
    <t>Сети канализации п. Яшкинский</t>
  </si>
  <si>
    <t>Сети канализации д.Ботьево</t>
  </si>
  <si>
    <t>КНС 1</t>
  </si>
  <si>
    <t>пр-т Советский</t>
  </si>
  <si>
    <t>№70</t>
  </si>
  <si>
    <t>1189.4217896175</t>
  </si>
  <si>
    <t>г Кемерово, пр-т Советский, №70</t>
  </si>
  <si>
    <t>КНС 3 (Ягуновка), законсервирована</t>
  </si>
  <si>
    <t>п. Пионер, ул. Ирбитская</t>
  </si>
  <si>
    <t>112.5000000000</t>
  </si>
  <si>
    <t>г Кемерово, п. Пионер, ул. Ирбитская, б/н</t>
  </si>
  <si>
    <t>КНС (ул. Кедровская) [нет]</t>
  </si>
  <si>
    <t>ул. Таёжная</t>
  </si>
  <si>
    <t>№10</t>
  </si>
  <si>
    <t>16.6000000000</t>
  </si>
  <si>
    <t>2.4200000000</t>
  </si>
  <si>
    <t>01.11.2002</t>
  </si>
  <si>
    <t>г Кемерово, ул. Таёжная, №10</t>
  </si>
  <si>
    <t>Очистные сооружения города</t>
  </si>
  <si>
    <t>41</t>
  </si>
  <si>
    <t>3050.0000000000</t>
  </si>
  <si>
    <t>г Ленинск-Кузнецкий, ул. Широкая, 41</t>
  </si>
  <si>
    <t>Очистные сооружения п. Никитинский</t>
  </si>
  <si>
    <t>ул.Никитинская</t>
  </si>
  <si>
    <t>2 "а"</t>
  </si>
  <si>
    <t>11.2000000000</t>
  </si>
  <si>
    <t>32514000256.0</t>
  </si>
  <si>
    <t>г Ленинск-Кузнецкий, ул.Никитинская, 2 "а"</t>
  </si>
  <si>
    <t>Сети канализации п. Дубровка</t>
  </si>
  <si>
    <t>Сети канализации с.Колмогорово</t>
  </si>
  <si>
    <t>КНС 1 "Лесная поляна"</t>
  </si>
  <si>
    <t>103.4700000000</t>
  </si>
  <si>
    <t>КНС ул. Школьная</t>
  </si>
  <si>
    <t>4.6000000000</t>
  </si>
  <si>
    <t>пгт Яя, ул. Школьная, -</t>
  </si>
  <si>
    <t>КНС (Мартемьянова)</t>
  </si>
  <si>
    <t>5.6000000000</t>
  </si>
  <si>
    <t>46.3900000000</t>
  </si>
  <si>
    <t>01.03.2001</t>
  </si>
  <si>
    <t>Очистные сооружения (КОС)</t>
  </si>
  <si>
    <t>ул. Пушкина</t>
  </si>
  <si>
    <t>г Ленинск-Кузнецкий, ул. Пушкина, 2"в"</t>
  </si>
  <si>
    <t>ул. Свердлова</t>
  </si>
  <si>
    <t>1842.0000000000</t>
  </si>
  <si>
    <t>г Полысаево, ул. Свердлова, 19а</t>
  </si>
  <si>
    <t>Канализационная насосная станция №6</t>
  </si>
  <si>
    <t>01.12.1962</t>
  </si>
  <si>
    <t>г Березовский, ул. Ленина, 9а</t>
  </si>
  <si>
    <t>Канализационный колодец с перекачным насосом</t>
  </si>
  <si>
    <t>01.12.1994</t>
  </si>
  <si>
    <t>Сети водоотведения (транспортировка)</t>
  </si>
  <si>
    <t>Сети канализации с. Пашково</t>
  </si>
  <si>
    <t>КНС 4 (Рудник)</t>
  </si>
  <si>
    <t>ул. Ногинская</t>
  </si>
  <si>
    <t>№ 10 А</t>
  </si>
  <si>
    <t>60.0900000000</t>
  </si>
  <si>
    <t>51.6100000000</t>
  </si>
  <si>
    <t>г Кемерово, ул. Ногинская, № 10 А</t>
  </si>
  <si>
    <t>ПОС п.ш. "Березовская"</t>
  </si>
  <si>
    <t>г Березовский, ул. Ленина, б/н</t>
  </si>
  <si>
    <t>КНС ул. 65 лет Кузбассу</t>
  </si>
  <si>
    <t>На площадке, ограниченной улицами: ул. Луначарского-ул. Копровая; ул. Бажова-ул. Крупской</t>
  </si>
  <si>
    <t>19.0000000000</t>
  </si>
  <si>
    <t>г Полысаево, На площадке, ограниченной улицами: ул. Луначарского-ул. Копровая; ул. Бажова-ул. Крупской, б/н</t>
  </si>
  <si>
    <t>КНС-1 ж.р. Лесная поляна</t>
  </si>
  <si>
    <t>здание КНС 1</t>
  </si>
  <si>
    <t>65.8000000000</t>
  </si>
  <si>
    <t>https://portal.eias.ru/Portal/DownloadPage.aspx?type=12&amp;guid=eeef887d-554e-4822-9c30-5823ae54bec9</t>
  </si>
  <si>
    <t>КНС-1-НКЛ/2020</t>
  </si>
  <si>
    <t>г Кемерово, город Кемерово, ж.р. Лесная поляна, б-р Осенний, здание КНС 1</t>
  </si>
  <si>
    <t>КНС по ул.Васильева</t>
  </si>
  <si>
    <t>ул. Васильева</t>
  </si>
  <si>
    <t>г Ленинск-Кузнецкий, ул. Васильева, 12</t>
  </si>
  <si>
    <t>КНС ш. Кирова</t>
  </si>
  <si>
    <t>ул. Кирсанова</t>
  </si>
  <si>
    <t>3"в"</t>
  </si>
  <si>
    <t>г Ленинск-Кузнецкий, ул. Кирсанова, 3"в"</t>
  </si>
  <si>
    <t>КНС шахты им. Ярославского</t>
  </si>
  <si>
    <t>ул. Нефтебазы</t>
  </si>
  <si>
    <t>21.0000000000</t>
  </si>
  <si>
    <t>г Ленинск-Кузнецкий, ул. Нефтебазы, 1"б"</t>
  </si>
  <si>
    <t>Сливная станция ЖБО. ОСК-1_г. Кемерово, Левобережные очистные сооружения</t>
  </si>
  <si>
    <t>хозяйственное ведение</t>
  </si>
  <si>
    <t>https://portal.eias.ru/Portal/DownloadPage.aspx?type=12&amp;guid=2e3d9e47-cb46-4f98-9b5f-8fe420171136</t>
  </si>
  <si>
    <t>инвентарная карточка учёта объекта основных средств</t>
  </si>
  <si>
    <t>013534</t>
  </si>
  <si>
    <t>30.11.2024</t>
  </si>
  <si>
    <t>87.7000000000</t>
  </si>
  <si>
    <t>пгт Яшкино, _, _</t>
  </si>
  <si>
    <t>п Никитинский, ул.Никитинская, 2 "а"</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</si>
  <si>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</si>
  <si>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</si>
  <si>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</si>
  <si>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</si>
  <si>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</si>
  <si>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</si>
  <si>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</si>
  <si>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</si>
  <si>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</si>
  <si>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</si>
  <si>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</si>
  <si>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</si>
  <si>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</si>
  <si>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</si>
  <si>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</si>
  <si>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</si>
  <si>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</si>
  <si>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</si>
  <si>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</si>
  <si>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</si>
  <si>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</si>
  <si>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</si>
  <si>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ХВС.42.26322895.0043</t>
  </si>
  <si>
    <t>2026</t>
  </si>
  <si>
    <t>5076, 5133, 5292</t>
  </si>
  <si>
    <t>2025-08-12</t>
  </si>
  <si>
    <t>от 26.08.25 № 5347, а также информация из тарифного дела ОАО СКЭК г. Кемерово</t>
  </si>
  <si>
    <t>2026.0</t>
  </si>
  <si>
    <t>Принят</t>
  </si>
  <si>
    <t>588.13</t>
  </si>
  <si>
    <t>634.75</t>
  </si>
  <si>
    <t>ХВС.42.26322895.0042</t>
  </si>
  <si>
    <t>2025</t>
  </si>
  <si>
    <t>2025.0</t>
  </si>
  <si>
    <t>ХВС.42.26322895.0035</t>
  </si>
  <si>
    <t>тариф на техническую воду</t>
  </si>
  <si>
    <t>Производство (подъём / добыча) воды :: Транспортировка воды :: Сбыт (распределение) воды</t>
  </si>
  <si>
    <t>техническая вода</t>
  </si>
  <si>
    <t>3116</t>
  </si>
  <si>
    <t>2024-04-27</t>
  </si>
  <si>
    <t>от 20.12.2024 № 2024/000665/3 (вх. от 20.12.2024 № 8682)</t>
  </si>
  <si>
    <t>Метод индексации</t>
  </si>
  <si>
    <t>2024</t>
  </si>
  <si>
    <t>5.0</t>
  </si>
  <si>
    <t>20.77</t>
  </si>
  <si>
    <t>ХВС.42.26322895.0034</t>
  </si>
  <si>
    <t>Производство (подъём / добыча) воды :: Очистка воды :: Транспортировка воды :: Сбыт (распределение) воды</t>
  </si>
  <si>
    <t>68.92</t>
  </si>
  <si>
    <t>75.81</t>
  </si>
  <si>
    <t>ХВС.42.26322895.0033</t>
  </si>
  <si>
    <t>3108</t>
  </si>
  <si>
    <t>от 31.05.2024, от 08.10.2024, от 20.12.2024 № 8683</t>
  </si>
  <si>
    <t>9.97</t>
  </si>
  <si>
    <t>11.17</t>
  </si>
  <si>
    <t>ХВС.42.26322895.0032</t>
  </si>
  <si>
    <t>68.32</t>
  </si>
  <si>
    <t>76.52</t>
  </si>
  <si>
    <t>ХВС.42.26322895.0031</t>
  </si>
  <si>
    <t>3031</t>
  </si>
  <si>
    <t>2024-04-26</t>
  </si>
  <si>
    <t>доп.материалы от 14.10.2024, от 17.10.2024 № 7005, от 22.10.2024 № 7126, от 25.10.2024 № 7217 от 20.12.2024 № 8675</t>
  </si>
  <si>
    <t>2021</t>
  </si>
  <si>
    <t>10.0</t>
  </si>
  <si>
    <t>76.79</t>
  </si>
  <si>
    <t>86.00</t>
  </si>
  <si>
    <t>ХВС.42.26322895.0030</t>
  </si>
  <si>
    <t>3024</t>
  </si>
  <si>
    <t>от 20.12.2024 № 2024/000658 (вх. от 20.12.2024 №8686)</t>
  </si>
  <si>
    <t>2019</t>
  </si>
  <si>
    <t>20.0</t>
  </si>
  <si>
    <t>53.23</t>
  </si>
  <si>
    <t>58.56</t>
  </si>
  <si>
    <t>459.34</t>
  </si>
  <si>
    <t>523.14</t>
  </si>
  <si>
    <t>ХВС.42.26322895.0028</t>
  </si>
  <si>
    <t>467.26</t>
  </si>
  <si>
    <t>565.72</t>
  </si>
  <si>
    <t>ХВС.42.26322895.0026</t>
  </si>
  <si>
    <t>5.74</t>
  </si>
  <si>
    <t>22.07</t>
  </si>
  <si>
    <t>ХВС.42.26322895.0025</t>
  </si>
  <si>
    <t>62.88</t>
  </si>
  <si>
    <t>ХВС.42.26322895.0022</t>
  </si>
  <si>
    <t>Оказание услуг на территории: город Ленинск-Кузнецкий (ОКТМО: 32719000) - г Ленинск-Кузнецкий, г Полысаево</t>
  </si>
  <si>
    <t>№ 2988; № 8671</t>
  </si>
  <si>
    <t>47.80</t>
  </si>
  <si>
    <t>53.53</t>
  </si>
  <si>
    <t>ХВС.42.26322895.0021</t>
  </si>
  <si>
    <t>№ 8566</t>
  </si>
  <si>
    <t>2024-12-18</t>
  </si>
  <si>
    <t>№ 8668 от 20.12.2024, № 8802 от 25.12.2024</t>
  </si>
  <si>
    <t>53.91</t>
  </si>
  <si>
    <t>74.94</t>
  </si>
  <si>
    <t>ХВС.42.26322895.0017</t>
  </si>
  <si>
    <t>2819</t>
  </si>
  <si>
    <t>2022-04-29</t>
  </si>
  <si>
    <t>48.57</t>
  </si>
  <si>
    <t>ХВС.42.26322895.0016</t>
  </si>
  <si>
    <t>2551</t>
  </si>
  <si>
    <t>2023-04-28</t>
  </si>
  <si>
    <t>вх. № 3082 от 25.05.2023; № 5835 от 18.10.2023</t>
  </si>
  <si>
    <t>9.29</t>
  </si>
  <si>
    <t>ХВС.42.26322895.0015</t>
  </si>
  <si>
    <t>62.22</t>
  </si>
  <si>
    <t>ХВС.42.26322895.0014</t>
  </si>
  <si>
    <t>66.77</t>
  </si>
  <si>
    <t>ВО.42.26322895.0036</t>
  </si>
  <si>
    <t>тариф на водоотведение</t>
  </si>
  <si>
    <t>Приём сточных вод :: Очистка сточных вод :: Транспортировка сточных вод</t>
  </si>
  <si>
    <t>без дифференциации</t>
  </si>
  <si>
    <t>43.27</t>
  </si>
  <si>
    <t>47.60</t>
  </si>
  <si>
    <t>ВО.42.26322895.0033</t>
  </si>
  <si>
    <t>85.47</t>
  </si>
  <si>
    <t>95.73</t>
  </si>
  <si>
    <t>ВО.42.26322895.0032</t>
  </si>
  <si>
    <t>35.50</t>
  </si>
  <si>
    <t>ВО.42.26322895.0031</t>
  </si>
  <si>
    <t>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t>
  </si>
  <si>
    <t>62.00</t>
  </si>
  <si>
    <t>74.40</t>
  </si>
  <si>
    <t>ВО.42.26322895.0030</t>
  </si>
  <si>
    <t>Оказание услуг на территории: город Кемерово (ОКТМО: 32701000) - г Кемерово, кроме ул. Волгоградская</t>
  </si>
  <si>
    <t>35.84</t>
  </si>
  <si>
    <t>39.42</t>
  </si>
  <si>
    <t>ВО.42.26322895.0027</t>
  </si>
  <si>
    <t>39.48</t>
  </si>
  <si>
    <t>ВО.42.26322895.0025</t>
  </si>
  <si>
    <t>Оказание услуг на территории: город Полысаево (ОКТМО: 32732000) - г Полысаево</t>
  </si>
  <si>
    <t>48.52</t>
  </si>
  <si>
    <t>54.34</t>
  </si>
  <si>
    <t>ВО.42.26322895.0024</t>
  </si>
  <si>
    <t>Оказание услуг на территории: город Ленинск-Кузнецкий (ОКТМО: 32719000) - г Ленинск-Кузнецкий</t>
  </si>
  <si>
    <t>40.56</t>
  </si>
  <si>
    <t>45.43</t>
  </si>
  <si>
    <t>ВО.42.26322895.0023</t>
  </si>
  <si>
    <t>37.06</t>
  </si>
  <si>
    <t>56.45</t>
  </si>
  <si>
    <t>ВО.42.26322895.0022</t>
  </si>
  <si>
    <t>тариф на транспортировку сточных вод</t>
  </si>
  <si>
    <t>Транспортировка сточных вод</t>
  </si>
  <si>
    <t>2989</t>
  </si>
  <si>
    <t>Метод сравнения аналогов</t>
  </si>
  <si>
    <t>ВО.42.26322895.0020</t>
  </si>
  <si>
    <t>водоотведение сточных вод, отводимых потребителями в камеру гашения по ул.Волгоградской, 45 канализационного коллектора ДУ-1000мм</t>
  </si>
  <si>
    <t>56.57</t>
  </si>
  <si>
    <t>ВО.42.26322895.0019</t>
  </si>
  <si>
    <t>водоотведение сточных вод, отводимых потребителями за исключением потребителей, отводящих сточные воды в камеру гашения по ул.Волгоградской, 45 канализационного коллектора ДУ-1000мм</t>
  </si>
  <si>
    <t>32.70</t>
  </si>
  <si>
    <t>ВО.42.26322895.0018</t>
  </si>
  <si>
    <t>77.84</t>
  </si>
  <si>
    <t>ВО.42.26322895.0017</t>
  </si>
  <si>
    <t>31.55</t>
  </si>
  <si>
    <t>36.28</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</si>
  <si>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</si>
  <si>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</si>
  <si>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</si>
  <si>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</si>
  <si>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</si>
  <si>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</si>
  <si>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</si>
  <si>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</si>
  <si>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</si>
  <si>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</si>
  <si>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</si>
  <si>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</si>
  <si>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</si>
  <si>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</si>
  <si>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</si>
  <si>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</si>
  <si>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</si>
  <si>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</si>
  <si>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</si>
  <si>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</si>
  <si>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</si>
  <si>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</si>
  <si>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</si>
  <si>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</si>
  <si>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</si>
  <si>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</si>
  <si>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</si>
  <si>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</si>
  <si>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</si>
  <si>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</si>
  <si>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</si>
  <si>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</si>
  <si>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</si>
  <si>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</si>
  <si>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</si>
  <si>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</si>
  <si>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</si>
  <si>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</si>
  <si>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</si>
  <si>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</si>
  <si>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</si>
  <si>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</si>
  <si>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</si>
  <si>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</si>
  <si>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</si>
  <si>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</si>
  <si>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</si>
  <si>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</si>
  <si>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</si>
  <si>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</si>
  <si>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</si>
  <si>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</si>
  <si>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</si>
  <si>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</si>
  <si>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</si>
  <si>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</si>
  <si>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</si>
  <si>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</si>
  <si>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</si>
  <si>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</si>
  <si>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</si>
  <si>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</si>
  <si>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</si>
  <si>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</si>
  <si>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</si>
  <si>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</si>
  <si>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</si>
  <si>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</si>
  <si>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</si>
  <si>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</si>
  <si>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</si>
  <si>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</si>
  <si>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</si>
  <si>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</si>
  <si>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</si>
  <si>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</si>
  <si>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</si>
  <si>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</si>
  <si>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</si>
  <si>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</si>
  <si>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</si>
  <si>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</si>
  <si>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</si>
  <si>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</si>
  <si>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</si>
  <si>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</si>
  <si>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</si>
  <si>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</si>
  <si>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</si>
  <si>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</si>
  <si>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</si>
  <si>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</si>
  <si>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</si>
  <si>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</si>
  <si>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</si>
  <si>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</si>
  <si>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</si>
  <si>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</si>
  <si>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</si>
  <si>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</si>
  <si>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</si>
  <si>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</si>
  <si>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</si>
  <si>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</si>
  <si>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</si>
  <si>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</si>
  <si>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</si>
  <si>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</si>
  <si>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</si>
  <si>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</si>
  <si>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</si>
  <si>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</si>
  <si>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</si>
  <si>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</si>
  <si>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</si>
  <si>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</si>
  <si>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</si>
  <si>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</si>
  <si>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</si>
  <si>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</si>
  <si>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</si>
  <si>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</si>
  <si>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</si>
  <si>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</si>
  <si>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</si>
  <si>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</si>
  <si>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</si>
  <si>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</si>
  <si>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</si>
  <si>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</si>
  <si>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</si>
  <si>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</si>
  <si>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</si>
  <si>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</si>
  <si>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</si>
  <si>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</si>
  <si>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</si>
  <si>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</si>
  <si>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</si>
  <si>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</si>
  <si>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</si>
  <si>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</si>
  <si>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</si>
  <si>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</si>
  <si>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</si>
  <si>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</si>
  <si>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</si>
  <si>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</si>
  <si>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</si>
  <si>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</si>
  <si>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</si>
  <si>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</si>
  <si>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</si>
  <si>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</si>
  <si>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</si>
  <si>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</si>
  <si>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</si>
  <si>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</si>
  <si>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</si>
  <si>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</si>
  <si>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</si>
  <si>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</si>
  <si>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</si>
  <si>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</si>
  <si>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</si>
  <si>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</si>
  <si>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</si>
  <si>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</si>
  <si>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</si>
  <si>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</si>
  <si>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</si>
  <si>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</si>
  <si>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</si>
  <si>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</si>
  <si>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</si>
  <si>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</si>
  <si>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</si>
  <si>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</si>
  <si>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</si>
  <si>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</si>
  <si>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</si>
  <si>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</si>
  <si>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</si>
  <si>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</si>
  <si>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ВН</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</si>
  <si>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</si>
  <si>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</si>
  <si>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</si>
  <si>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</si>
  <si>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</si>
  <si>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</si>
  <si>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</si>
  <si>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</si>
  <si>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</si>
  <si>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</si>
  <si>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</si>
  <si>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</si>
  <si>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</si>
  <si>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</si>
  <si>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</si>
  <si>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</si>
  <si>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</si>
  <si>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</si>
  <si>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</si>
  <si>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</si>
  <si>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</si>
  <si>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СН2</t>
  </si>
  <si>
    <t>160</t>
  </si>
  <si>
    <t>46-55</t>
  </si>
  <si>
    <t>86-95</t>
  </si>
  <si>
    <t>Владимирская область</t>
  </si>
  <si>
    <t>RU33</t>
  </si>
  <si>
    <t>менее 50 %</t>
  </si>
  <si>
    <t>OKTMO_MR_NAME</t>
  </si>
  <si>
    <t>PERIOD</t>
  </si>
  <si>
    <t>Июнь</t>
  </si>
  <si>
    <t>жидкие бытовые отходы</t>
  </si>
  <si>
    <t>НН</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</si>
  <si>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</si>
  <si>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</si>
  <si>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</si>
  <si>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</si>
  <si>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</si>
  <si>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</si>
  <si>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</si>
  <si>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</si>
  <si>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</si>
  <si>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</si>
  <si>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</si>
  <si>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</si>
  <si>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</si>
  <si>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</si>
  <si>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100 %</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</si>
  <si>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</si>
  <si>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</si>
  <si>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</si>
  <si>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</si>
  <si>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</si>
  <si>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</si>
  <si>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</si>
  <si>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</si>
  <si>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</si>
  <si>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</si>
  <si>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</si>
  <si>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</si>
  <si>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</si>
  <si>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</si>
  <si>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</si>
  <si>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</si>
  <si>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</si>
  <si>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</si>
  <si>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</si>
  <si>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</si>
  <si>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</si>
  <si>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</si>
  <si>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</si>
  <si>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</si>
  <si>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</si>
  <si>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</si>
  <si>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</si>
  <si>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</si>
  <si>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</si>
  <si>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</si>
  <si>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</si>
  <si>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</si>
  <si>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</si>
  <si>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</si>
  <si>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</si>
  <si>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</si>
  <si>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</si>
  <si>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</si>
  <si>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</si>
  <si>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</si>
  <si>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</si>
  <si>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</si>
  <si>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</si>
  <si>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</si>
  <si>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</si>
  <si>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</si>
  <si>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</si>
  <si>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</si>
  <si>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</si>
  <si>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муниципальная</t>
  </si>
  <si>
    <t>500</t>
  </si>
  <si>
    <t>176-185</t>
  </si>
  <si>
    <t>Еврейская автономная область</t>
  </si>
  <si>
    <t>RU79</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</si>
  <si>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</si>
  <si>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</si>
  <si>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</si>
  <si>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</si>
  <si>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</si>
  <si>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</si>
  <si>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</si>
  <si>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</si>
  <si>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</si>
  <si>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</si>
  <si>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</si>
  <si>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</si>
  <si>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</si>
  <si>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</si>
  <si>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</si>
  <si>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</si>
  <si>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</si>
  <si>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</si>
  <si>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</si>
  <si>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</si>
  <si>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</si>
  <si>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</si>
  <si>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</si>
  <si>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</si>
  <si>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</si>
  <si>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</si>
  <si>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</si>
  <si>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</si>
  <si>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</si>
  <si>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</si>
  <si>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</si>
  <si>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</si>
  <si>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</si>
  <si>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</si>
  <si>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</si>
  <si>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</si>
  <si>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</si>
  <si>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</si>
  <si>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</si>
  <si>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</si>
  <si>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</si>
  <si>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</si>
  <si>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</si>
  <si>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</si>
  <si>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</si>
  <si>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лицензия</t>
  </si>
  <si>
    <t>266-275</t>
  </si>
  <si>
    <t>Карачаево-Черкесская республика</t>
  </si>
  <si>
    <t>RU09</t>
  </si>
  <si>
    <t>Республика Карачаево-Черкессия</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</si>
  <si>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</si>
  <si>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</si>
  <si>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</si>
  <si>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</si>
  <si>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</si>
  <si>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</si>
  <si>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</si>
  <si>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</si>
  <si>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</si>
  <si>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</si>
  <si>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</si>
  <si>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</si>
  <si>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</si>
  <si>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</si>
  <si>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</si>
  <si>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</si>
  <si>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</si>
  <si>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</si>
  <si>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</si>
  <si>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</si>
  <si>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</si>
  <si>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</si>
  <si>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</si>
  <si>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</si>
  <si>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</si>
  <si>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</si>
  <si>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</si>
  <si>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</si>
  <si>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</si>
  <si>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</si>
  <si>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</si>
  <si>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</si>
  <si>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</si>
  <si>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</si>
  <si>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</si>
  <si>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</si>
  <si>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</si>
  <si>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</si>
  <si>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</si>
  <si>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</si>
  <si>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</si>
  <si>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</si>
  <si>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</si>
  <si>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</si>
  <si>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</si>
  <si>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</si>
  <si>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</si>
  <si>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</si>
  <si>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</si>
  <si>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</si>
  <si>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</si>
  <si>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</si>
  <si>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</si>
  <si>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</si>
  <si>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</si>
  <si>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</si>
  <si>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</si>
  <si>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</si>
  <si>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</si>
  <si>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</si>
  <si>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</si>
  <si>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</si>
  <si>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</si>
  <si>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</si>
  <si>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</si>
  <si>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</si>
  <si>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</si>
  <si>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</si>
  <si>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</si>
  <si>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</si>
  <si>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</si>
  <si>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</si>
  <si>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</si>
  <si>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</si>
  <si>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</si>
  <si>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</si>
  <si>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</si>
  <si>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</si>
  <si>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</si>
  <si>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</si>
  <si>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</si>
  <si>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</si>
  <si>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</si>
  <si>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</si>
  <si>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</si>
  <si>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</si>
  <si>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</si>
  <si>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</si>
  <si>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</si>
  <si>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</si>
  <si>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</si>
  <si>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</si>
  <si>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</si>
  <si>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</si>
  <si>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</si>
  <si>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</si>
  <si>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</si>
  <si>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</si>
  <si>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</si>
  <si>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</si>
  <si>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</si>
  <si>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</si>
  <si>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</si>
  <si>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</si>
  <si>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</si>
  <si>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</si>
  <si>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</si>
  <si>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</si>
  <si>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</si>
  <si>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</si>
  <si>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</si>
  <si>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</si>
  <si>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</si>
  <si>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</si>
  <si>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</si>
  <si>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</si>
  <si>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</si>
  <si>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</si>
  <si>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</si>
  <si>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</si>
  <si>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</si>
  <si>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</si>
  <si>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</si>
  <si>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</si>
  <si>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</si>
  <si>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</si>
  <si>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</si>
  <si>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</si>
  <si>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</si>
  <si>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</si>
  <si>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</si>
  <si>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</si>
  <si>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</si>
  <si>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</si>
  <si>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</si>
  <si>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</si>
  <si>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</si>
  <si>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</si>
  <si>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</si>
  <si>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</si>
  <si>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</si>
  <si>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</si>
  <si>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</si>
  <si>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</si>
  <si>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</si>
  <si>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</si>
  <si>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</si>
  <si>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</si>
  <si>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</si>
  <si>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</si>
  <si>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</si>
  <si>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</si>
  <si>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</si>
  <si>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</si>
  <si>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</si>
  <si>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</si>
  <si>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</si>
  <si>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</si>
  <si>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</si>
  <si>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</si>
  <si>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</si>
  <si>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</si>
  <si>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</si>
  <si>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</si>
  <si>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</si>
  <si>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</si>
  <si>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</si>
  <si>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</si>
  <si>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</si>
  <si>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</si>
  <si>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</si>
  <si>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</si>
  <si>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</si>
  <si>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</si>
  <si>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</si>
  <si>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</si>
  <si>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</si>
  <si>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</si>
  <si>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</si>
  <si>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</si>
  <si>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</si>
  <si>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</si>
  <si>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</si>
  <si>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</si>
  <si>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</si>
  <si>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</si>
  <si>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</si>
  <si>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</si>
  <si>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</si>
  <si>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</si>
  <si>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</si>
  <si>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</si>
  <si>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</si>
  <si>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</si>
  <si>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</si>
  <si>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</si>
  <si>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</si>
  <si>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</si>
  <si>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</si>
  <si>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</si>
  <si>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</si>
  <si>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</si>
  <si>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</si>
  <si>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</si>
  <si>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</si>
  <si>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</si>
  <si>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</si>
  <si>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</si>
  <si>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</si>
  <si>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</si>
  <si>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</si>
  <si>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</si>
  <si>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</si>
  <si>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</si>
  <si>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</si>
  <si>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</si>
  <si>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</si>
  <si>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</si>
  <si>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</si>
  <si>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</si>
  <si>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</si>
  <si>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</si>
  <si>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</si>
  <si>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</si>
  <si>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</si>
  <si>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</si>
  <si>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</si>
  <si>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</si>
  <si>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</si>
  <si>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</si>
  <si>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</si>
  <si>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</si>
  <si>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</si>
  <si>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</si>
  <si>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</si>
  <si>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</si>
  <si>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</si>
  <si>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</si>
  <si>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</si>
  <si>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</si>
  <si>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</si>
  <si>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</si>
  <si>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</si>
  <si>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</si>
  <si>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</si>
  <si>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</si>
  <si>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</si>
  <si>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</si>
  <si>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</si>
  <si>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</si>
  <si>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</si>
  <si>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</si>
  <si>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</si>
  <si>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</si>
  <si>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</si>
  <si>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</si>
  <si>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</si>
  <si>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</si>
  <si>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</si>
  <si>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</si>
  <si>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</si>
  <si>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</si>
  <si>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</si>
  <si>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</si>
  <si>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</si>
  <si>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</si>
  <si>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</si>
  <si>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</si>
  <si>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</si>
  <si>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</si>
  <si>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</si>
  <si>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</si>
  <si>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</si>
  <si>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</si>
  <si>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</si>
  <si>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</si>
  <si>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</si>
  <si>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</si>
  <si>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</si>
  <si>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</si>
  <si>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</si>
  <si>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</si>
  <si>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</si>
  <si>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</si>
  <si>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</si>
  <si>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</si>
  <si>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</si>
  <si>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</si>
  <si>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</si>
  <si>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</si>
  <si>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</si>
  <si>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</si>
  <si>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</si>
  <si>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</si>
  <si>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</si>
  <si>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</si>
  <si>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</si>
  <si>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</si>
  <si>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</si>
  <si>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</si>
  <si>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</si>
  <si>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</si>
  <si>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</si>
  <si>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</si>
  <si>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</si>
  <si>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</si>
  <si>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</si>
  <si>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</si>
  <si>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</si>
  <si>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</si>
  <si>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</si>
  <si>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</si>
  <si>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</si>
  <si>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</si>
  <si>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</si>
  <si>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</si>
  <si>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</si>
  <si>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</si>
  <si>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</si>
  <si>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</si>
  <si>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</si>
  <si>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</si>
  <si>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</si>
  <si>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</si>
  <si>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</si>
  <si>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</si>
  <si>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</si>
  <si>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</si>
  <si>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</si>
  <si>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</si>
  <si>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</si>
  <si>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</si>
  <si>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</si>
  <si>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</si>
  <si>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</si>
  <si>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</si>
  <si>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</si>
  <si>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</si>
  <si>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</si>
  <si>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</si>
  <si>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</si>
  <si>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</si>
  <si>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</si>
  <si>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</si>
  <si>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</si>
  <si>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</si>
  <si>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</si>
  <si>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</si>
  <si>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</si>
  <si>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</si>
  <si>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</si>
  <si>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</si>
  <si>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</si>
  <si>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</si>
  <si>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</si>
  <si>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</si>
  <si>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</si>
  <si>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</si>
  <si>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</si>
  <si>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</si>
  <si>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</si>
  <si>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</si>
  <si>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</si>
  <si>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</si>
  <si>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</si>
  <si>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</si>
  <si>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</si>
  <si>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</si>
  <si>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</si>
  <si>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</si>
  <si>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</si>
  <si>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</si>
  <si>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</si>
  <si>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</si>
  <si>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</si>
  <si>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</si>
  <si>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</si>
  <si>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</si>
  <si>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</si>
  <si>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</si>
  <si>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</si>
  <si>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</si>
  <si>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</si>
  <si>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</si>
  <si>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</si>
  <si>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</si>
  <si>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Кемерово (ОКТМО: 32701000) - жилые районы Кедровка, Промышленновский</t>
  </si>
  <si>
    <t>Оказание услуг на территории: город Полысаево (ОКТМО: 32732000) - г Ленинск-Кузнецкий, г Полысаево</t>
  </si>
  <si>
    <t>Оказание услуг на территории: город Полысаево (ОКТМО: 32732000) - транспортировка</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</si>
  <si>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</si>
  <si>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</si>
  <si>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Оказание услуг на территории: Яшкинский муниципальный округ (ОКТМО: 32546000) - имущество, переданное по договору аренды</t>
  </si>
  <si>
    <t>Оказание услуг на территории: Яшкинский муниципальный округ (ОКТМО: 32546000) - имущество, переданное по концессионному соглашению</t>
  </si>
  <si>
    <t>Оказание услуг на территории: Яшкинский муниципальный район (ОКТМО: 32646000) - пгт Яшкино</t>
  </si>
  <si>
    <t>Оказание услуг на территории: Яшкинский муниципальный район (ОКТМО: 32646000) - сельские поселения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</si>
</sst>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8" formatCode=";;;"/>
    <numFmt numFmtId="169" formatCode="#,##0.000"/>
    <numFmt numFmtId="170" formatCode="0.000%"/>
    <numFmt numFmtId="171" formatCode="dd\.mm\.yyyy"/>
    <numFmt numFmtId="172" formatCode="0.0"/>
  </numFmts>
  <fonts count="74">
    <font>
      <sz val="9"/>
      <color rgb="FF000000"/>
      <name val="Tahoma"/>
    </font>
    <font>
      <sz val="11"/>
      <color theme="1"/>
      <name val="Calibri"/>
      <scheme val="minor"/>
    </font>
    <font>
      <b/>
      <sz val="11"/>
      <color theme="1"/>
      <name val="Calibri"/>
      <scheme val="minor"/>
    </font>
    <font>
      <sz val="9"/>
      <name val="Tahoma"/>
    </font>
    <font>
      <sz val="10"/>
      <name val="Arial Cyr"/>
    </font>
    <font>
      <sz val="9"/>
      <color theme="1"/>
      <name val="Tahoma"/>
    </font>
    <font>
      <b/>
      <sz val="9"/>
      <name val="Tahoma"/>
    </font>
    <font>
      <sz val="8"/>
      <name val="Tahoma"/>
    </font>
    <font>
      <sz val="9"/>
      <color rgb="FFFFFFFF"/>
      <name val="Tahoma"/>
    </font>
    <font>
      <b/>
      <sz val="10"/>
      <name val="Tahoma"/>
    </font>
    <font>
      <b/>
      <sz val="8"/>
      <name val="Tahoma"/>
    </font>
    <font>
      <sz val="8"/>
      <color rgb="FF0070C0"/>
      <name val="Tahoma"/>
    </font>
    <font>
      <sz val="10"/>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4999847407452621"/>
      <name val="Tahoma"/>
    </font>
    <font>
      <b/>
      <sz val="9"/>
      <color theme="0"/>
      <name val="Tahoma"/>
    </font>
    <font>
      <u/>
      <sz val="10"/>
      <color rgb="FF000080"/>
      <name val="Tahoma"/>
    </font>
    <font>
      <sz val="12"/>
      <color theme="1"/>
      <name val="Tahoma"/>
    </font>
    <font>
      <sz val="16"/>
      <name val="Tahoma"/>
    </font>
    <font>
      <b/>
      <sz val="16"/>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name val="Tahoma"/>
    </font>
    <font>
      <sz val="20"/>
      <name val="Tahoma"/>
    </font>
    <font>
      <sz val="12"/>
      <name val="Tahoma"/>
    </font>
    <font>
      <sz val="18"/>
      <name val="Tahoma"/>
    </font>
    <font>
      <b/>
      <sz val="9"/>
      <color rgb="FFFF0000"/>
      <name val="Tahoma"/>
    </font>
    <font>
      <sz val="8"/>
      <color rgb="FFFF0000"/>
      <name val="Tahoma"/>
    </font>
    <font>
      <sz val="14"/>
      <color theme="0" tint="-0.14999847407452621"/>
      <name val="Calibri"/>
      <scheme val="minor"/>
    </font>
    <font>
      <sz val="16"/>
      <color theme="0"/>
      <name val="Tahoma"/>
    </font>
    <font>
      <sz val="8"/>
      <color theme="0"/>
      <name val="Tahoma"/>
    </font>
    <font>
      <sz val="1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name val="Calibri"/>
      <scheme val="minor"/>
    </font>
    <font>
      <sz val="11"/>
      <name val="Tahoma"/>
    </font>
    <font>
      <u/>
      <sz val="9"/>
      <color theme="10"/>
      <name val="Tahoma"/>
    </font>
    <font>
      <b/>
      <sz val="11"/>
      <color rgb="FF000000"/>
      <name val="Calibri"/>
      <scheme val="minor"/>
    </font>
    <font>
      <b/>
      <u/>
      <sz val="9"/>
      <color theme="10"/>
      <name val="Tahoma"/>
    </font>
    <font>
      <b/>
      <sz val="9"/>
      <color rgb="FFFFFFFF"/>
      <name val="Tahoma"/>
    </font>
    <font>
      <b/>
      <u/>
      <sz val="9"/>
      <color rgb="FFFF0000"/>
      <name val="Tahoma"/>
      <family val="2"/>
      <charset val="204"/>
    </font>
    <font>
      <sz val="9"/>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1">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863">
    <xf numFmtId="49" fontId="0" fillId="0" borderId="0" xfId="0" applyNumberFormat="1" applyFont="1">
      <alignment vertical="top"/>
    </xf>
    <xf numFmtId="49" fontId="3" fillId="0" borderId="0" xfId="1" applyNumberFormat="1" applyFont="1">
      <alignment vertical="top"/>
    </xf>
    <xf numFmtId="0" fontId="1" fillId="0" borderId="0" xfId="3" applyFont="1"/>
    <xf numFmtId="0" fontId="3" fillId="0" borderId="0" xfId="4" applyFont="1">
      <alignment horizontal="left" vertical="center"/>
    </xf>
    <xf numFmtId="49" fontId="3" fillId="0" borderId="0" xfId="0" applyNumberFormat="1" applyFont="1">
      <alignment vertical="top"/>
    </xf>
    <xf numFmtId="49" fontId="3" fillId="0" borderId="1" xfId="0" applyNumberFormat="1"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NumberFormat="1"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3" fillId="0" borderId="2" xfId="0" applyNumberFormat="1" applyFont="1" applyBorder="1" applyAlignment="1">
      <alignment horizontal="right" vertical="center" wrapText="1" indent="1"/>
    </xf>
    <xf numFmtId="0" fontId="8" fillId="0" borderId="0" xfId="0" applyNumberFormat="1" applyFont="1">
      <alignment vertical="top"/>
    </xf>
    <xf numFmtId="49" fontId="8" fillId="0" borderId="0" xfId="0" applyNumberFormat="1" applyFont="1">
      <alignment vertical="top"/>
    </xf>
    <xf numFmtId="49" fontId="3" fillId="0" borderId="0" xfId="0" applyNumberFormat="1"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NumberFormat="1"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NumberFormat="1" applyFont="1" applyAlignment="1">
      <alignment horizontal="right" vertical="center" wrapText="1"/>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Alignment="1">
      <alignment horizontal="right" vertical="center" wrapText="1"/>
    </xf>
    <xf numFmtId="0" fontId="5" fillId="0" borderId="0" xfId="0" applyNumberFormat="1" applyFont="1" applyAlignment="1"/>
    <xf numFmtId="49" fontId="3" fillId="0" borderId="2" xfId="0" applyNumberFormat="1" applyFont="1" applyBorder="1" applyAlignment="1">
      <alignment horizontal="center" vertical="center"/>
    </xf>
    <xf numFmtId="0" fontId="13" fillId="0" borderId="0" xfId="0" applyNumberFormat="1" applyFont="1" applyAlignment="1"/>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0" fillId="0" borderId="0" xfId="0" applyNumberFormat="1" applyFon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0" fontId="5" fillId="0" borderId="0" xfId="0" applyNumberFormat="1" applyFont="1" applyAlignment="1"/>
    <xf numFmtId="0" fontId="5" fillId="0" borderId="0" xfId="0" applyNumberFormat="1" applyFont="1" applyAlignment="1">
      <alignment horizontal="center"/>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NumberFormat="1" applyFont="1" applyAlignment="1">
      <alignment vertical="center" wrapText="1"/>
    </xf>
    <xf numFmtId="49" fontId="19" fillId="11" borderId="0" xfId="0" applyNumberFormat="1"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NumberFormat="1" applyFont="1" applyAlignment="1">
      <alignment vertical="center" wrapText="1"/>
    </xf>
    <xf numFmtId="49" fontId="7" fillId="0" borderId="0" xfId="0" applyNumberFormat="1" applyFont="1">
      <alignment vertical="top"/>
    </xf>
    <xf numFmtId="0" fontId="7" fillId="12" borderId="0" xfId="0" applyNumberFormat="1" applyFont="1" applyFill="1" applyAlignment="1">
      <alignment horizontal="left" vertical="center"/>
    </xf>
    <xf numFmtId="49" fontId="8" fillId="11" borderId="0" xfId="0" applyNumberFormat="1" applyFont="1" applyFill="1" applyAlignment="1">
      <alignment horizontal="center" vertical="center"/>
    </xf>
    <xf numFmtId="49" fontId="3" fillId="13" borderId="0" xfId="0" applyNumberFormat="1" applyFont="1" applyFill="1">
      <alignment vertical="top"/>
    </xf>
    <xf numFmtId="49" fontId="20" fillId="0" borderId="0" xfId="0" applyNumberFormat="1" applyFont="1" applyAlignment="1">
      <alignment horizontal="center" vertical="center" wrapText="1"/>
    </xf>
    <xf numFmtId="49" fontId="21" fillId="14" borderId="9" xfId="0" applyNumberFormat="1" applyFont="1" applyFill="1" applyBorder="1" applyAlignment="1">
      <alignment horizontal="left" vertical="center" wrapText="1"/>
    </xf>
    <xf numFmtId="49" fontId="22" fillId="15" borderId="10"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wrapText="1" indent="1"/>
    </xf>
    <xf numFmtId="49" fontId="22" fillId="15" borderId="12" xfId="0" applyNumberFormat="1" applyFont="1" applyFill="1" applyBorder="1" applyAlignment="1">
      <alignment horizontal="left" vertical="center" wrapText="1" indent="1"/>
    </xf>
    <xf numFmtId="49" fontId="22" fillId="15" borderId="11" xfId="0" applyNumberFormat="1" applyFont="1" applyFill="1" applyBorder="1" applyAlignment="1">
      <alignment vertical="center" wrapText="1"/>
    </xf>
    <xf numFmtId="49" fontId="3" fillId="10" borderId="13" xfId="0" applyNumberFormat="1"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NumberFormat="1"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NumberFormat="1"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NumberFormat="1" applyFont="1" applyFill="1" applyBorder="1" applyAlignment="1" applyProtection="1">
      <alignment horizontal="left" vertical="center" wrapText="1"/>
      <protection locked="0"/>
    </xf>
    <xf numFmtId="0" fontId="0" fillId="0" borderId="2" xfId="0" applyNumberFormat="1" applyFont="1" applyBorder="1" applyAlignment="1">
      <alignment horizontal="center" vertical="center" wrapText="1"/>
    </xf>
    <xf numFmtId="4" fontId="3" fillId="10" borderId="2" xfId="0" applyNumberFormat="1" applyFont="1" applyFill="1" applyBorder="1" applyAlignment="1">
      <alignment horizontal="right" vertical="center"/>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NumberFormat="1"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49" fontId="5" fillId="8" borderId="2" xfId="0" applyNumberFormat="1" applyFont="1" applyFill="1" applyBorder="1" applyAlignment="1" applyProtection="1">
      <alignment horizontal="left" vertical="center" wrapText="1"/>
      <protection locked="0"/>
    </xf>
    <xf numFmtId="49" fontId="24" fillId="0" borderId="19" xfId="0" applyNumberFormat="1" applyFont="1" applyBorder="1" applyAlignment="1">
      <alignment horizontal="left" vertical="center" wrapText="1" indent="4"/>
    </xf>
    <xf numFmtId="49" fontId="24" fillId="0" borderId="0" xfId="0" applyNumberFormat="1" applyFont="1" applyAlignment="1">
      <alignment horizontal="left" vertical="center" wrapText="1" indent="4"/>
    </xf>
    <xf numFmtId="49" fontId="24" fillId="0" borderId="4" xfId="0" applyNumberFormat="1"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NumberFormat="1"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NumberFormat="1" applyFont="1" applyBorder="1" applyAlignment="1">
      <alignment horizontal="center" vertical="center" wrapText="1"/>
    </xf>
    <xf numFmtId="49" fontId="21" fillId="14" borderId="20"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NumberFormat="1" applyFont="1" applyFill="1" applyBorder="1" applyAlignment="1">
      <alignment horizontal="left" vertical="center" wrapText="1" indent="1"/>
    </xf>
    <xf numFmtId="49" fontId="22" fillId="15" borderId="9" xfId="0" applyNumberFormat="1" applyFont="1" applyFill="1" applyBorder="1" applyAlignment="1">
      <alignment horizontal="left" vertical="center" wrapText="1" indent="1"/>
    </xf>
    <xf numFmtId="49" fontId="22" fillId="15" borderId="20"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NumberFormat="1"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NumberFormat="1" applyFont="1" applyBorder="1" applyAlignment="1">
      <alignment vertical="center"/>
    </xf>
    <xf numFmtId="0" fontId="21" fillId="14" borderId="0" xfId="0" applyNumberFormat="1" applyFont="1" applyFill="1" applyAlignment="1">
      <alignment horizontal="left" vertical="center"/>
    </xf>
    <xf numFmtId="49" fontId="7" fillId="0" borderId="0" xfId="0" applyNumberFormat="1"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NumberFormat="1"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NumberFormat="1" applyFont="1" applyFill="1" applyBorder="1" applyAlignment="1">
      <alignment horizontal="left" vertical="center" wrapText="1" indent="1"/>
    </xf>
    <xf numFmtId="49" fontId="22" fillId="15" borderId="26" xfId="0" applyNumberFormat="1" applyFont="1" applyFill="1" applyBorder="1" applyAlignment="1">
      <alignment horizontal="left" vertical="center" wrapText="1" indent="1"/>
    </xf>
    <xf numFmtId="49" fontId="22" fillId="15" borderId="25" xfId="0" applyNumberFormat="1" applyFont="1" applyFill="1" applyBorder="1" applyAlignment="1">
      <alignment horizontal="left" vertical="center" wrapText="1"/>
    </xf>
    <xf numFmtId="49" fontId="22" fillId="15" borderId="27" xfId="0" applyNumberFormat="1"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NumberFormat="1" applyFont="1" applyFill="1" applyBorder="1" applyAlignment="1">
      <alignment horizontal="left" vertical="center"/>
    </xf>
    <xf numFmtId="49" fontId="25" fillId="17" borderId="28" xfId="0" applyNumberFormat="1" applyFont="1" applyFill="1" applyBorder="1" applyAlignment="1">
      <alignment horizontal="left" vertical="center" indent="1"/>
    </xf>
    <xf numFmtId="49" fontId="3" fillId="17" borderId="29" xfId="0" applyNumberFormat="1" applyFont="1" applyFill="1" applyBorder="1" applyAlignment="1">
      <alignment horizontal="left" vertical="center" indent="1"/>
    </xf>
    <xf numFmtId="49" fontId="25" fillId="17" borderId="29" xfId="0" applyNumberFormat="1"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on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ont="1" applyFill="1" applyBorder="1" applyAlignment="1">
      <alignment horizontal="right" vertical="center"/>
    </xf>
    <xf numFmtId="170" fontId="0" fillId="10" borderId="2" xfId="0" applyNumberFormat="1" applyFon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NumberFormat="1" applyFont="1" applyFill="1" applyBorder="1" applyAlignment="1" applyProtection="1">
      <alignment horizontal="left" vertical="center" wrapText="1"/>
      <protection locked="0"/>
    </xf>
    <xf numFmtId="49" fontId="24" fillId="0" borderId="4" xfId="0" applyNumberFormat="1"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NumberFormat="1" applyFont="1" applyFill="1" applyBorder="1" applyAlignment="1">
      <alignment vertical="center" wrapText="1"/>
    </xf>
    <xf numFmtId="49" fontId="6" fillId="10" borderId="14" xfId="0" applyNumberFormat="1"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4" fontId="3" fillId="8" borderId="1" xfId="0" applyNumberFormat="1" applyFont="1" applyFill="1" applyBorder="1" applyAlignment="1" applyProtection="1">
      <alignment horizontal="righ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5" fillId="0" borderId="30" xfId="0" applyNumberFormat="1" applyFont="1" applyBorder="1" applyAlignment="1">
      <alignment horizontal="center" vertical="center" wrapText="1"/>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NumberFormat="1" applyFont="1" applyFill="1" applyBorder="1" applyAlignment="1">
      <alignment horizontal="left" vertical="center"/>
    </xf>
    <xf numFmtId="49" fontId="5" fillId="8" borderId="1" xfId="0" applyNumberFormat="1"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NumberFormat="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2"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NumberFormat="1" applyFont="1" applyBorder="1" applyAlignment="1">
      <alignment horizontal="left" vertical="center" wrapText="1" indent="4"/>
    </xf>
    <xf numFmtId="49" fontId="24" fillId="0" borderId="0" xfId="0" quotePrefix="1" applyNumberFormat="1" applyFont="1" applyAlignment="1">
      <alignment horizontal="left" vertical="center" wrapText="1" indent="4"/>
    </xf>
    <xf numFmtId="49" fontId="3" fillId="7" borderId="1" xfId="0" applyNumberFormat="1" applyFont="1" applyFill="1" applyBorder="1" applyAlignment="1">
      <alignment horizontal="center" vertical="center" wrapText="1"/>
    </xf>
    <xf numFmtId="4" fontId="3" fillId="10" borderId="1" xfId="0" applyNumberFormat="1" applyFont="1" applyFill="1" applyBorder="1" applyAlignment="1">
      <alignment horizontal="right" vertical="center"/>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5" fillId="0" borderId="1" xfId="0" applyNumberFormat="1" applyFont="1" applyBorder="1" applyAlignment="1">
      <alignment horizontal="center"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NumberFormat="1" applyFont="1" applyFill="1" applyBorder="1" applyAlignment="1">
      <alignment horizontal="left" vertical="center" wrapText="1"/>
    </xf>
    <xf numFmtId="49" fontId="5" fillId="0" borderId="0" xfId="0" applyNumberFormat="1" applyFont="1" applyAlignment="1"/>
    <xf numFmtId="49" fontId="24" fillId="18" borderId="29" xfId="0" applyNumberFormat="1" applyFont="1" applyFill="1" applyBorder="1" applyAlignment="1">
      <alignment horizontal="left" vertical="center" wrapText="1"/>
    </xf>
    <xf numFmtId="49" fontId="24" fillId="18" borderId="14" xfId="0" applyNumberFormat="1"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vertical="center"/>
    </xf>
    <xf numFmtId="0" fontId="3" fillId="0" borderId="0" xfId="0" applyNumberFormat="1" applyFont="1" applyAlignment="1">
      <alignment horizontal="left" vertical="center"/>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NumberFormat="1" applyFont="1" applyFill="1" applyBorder="1" applyAlignment="1" applyProtection="1">
      <alignment horizontal="left" vertical="center" wrapText="1" indent="1"/>
      <protection locked="0"/>
    </xf>
    <xf numFmtId="49" fontId="5" fillId="10" borderId="2" xfId="0" applyNumberFormat="1" applyFont="1" applyFill="1" applyBorder="1" applyAlignment="1">
      <alignment horizontal="left" vertical="center" wrapText="1" indent="1"/>
    </xf>
    <xf numFmtId="49" fontId="3" fillId="0" borderId="14" xfId="0" applyNumberFormat="1"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NumberFormat="1" applyFont="1" applyBorder="1" applyAlignment="1">
      <alignment horizontal="right" vertical="center" wrapText="1" indent="1"/>
    </xf>
    <xf numFmtId="49" fontId="22" fillId="15" borderId="27" xfId="0" applyNumberFormat="1"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49" fontId="3" fillId="0" borderId="2" xfId="0" applyNumberFormat="1" applyFont="1" applyBorder="1" applyAlignment="1">
      <alignment horizontal="right" vertical="center" wrapText="1" indent="1"/>
    </xf>
    <xf numFmtId="0" fontId="3" fillId="8" borderId="2" xfId="0" applyNumberFormat="1" applyFont="1" applyFill="1" applyBorder="1" applyAlignment="1" applyProtection="1">
      <alignment horizontal="left" vertical="center" wrapText="1" indent="1"/>
      <protection locked="0"/>
    </xf>
    <xf numFmtId="14" fontId="5" fillId="8" borderId="2" xfId="0" applyNumberFormat="1" applyFont="1" applyFill="1" applyBorder="1" applyAlignment="1" applyProtection="1">
      <alignment horizontal="left" vertical="center" wrapText="1" indent="1"/>
      <protection locked="0"/>
    </xf>
    <xf numFmtId="49" fontId="32" fillId="8" borderId="2" xfId="0" applyNumberFormat="1"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49" fontId="3" fillId="10" borderId="1" xfId="0" applyNumberFormat="1" applyFont="1" applyFill="1" applyBorder="1" applyAlignment="1">
      <alignment horizontal="left" vertical="center" wrapText="1" indent="1"/>
    </xf>
    <xf numFmtId="49" fontId="30" fillId="0" borderId="0" xfId="0" applyNumberFormat="1" applyFont="1">
      <alignment vertical="top"/>
    </xf>
    <xf numFmtId="49" fontId="24" fillId="18" borderId="28" xfId="0" applyNumberFormat="1"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NumberFormat="1" applyFont="1" applyFill="1" applyAlignment="1">
      <alignment horizontal="center" vertical="top"/>
    </xf>
    <xf numFmtId="49" fontId="7" fillId="12" borderId="0" xfId="0" applyNumberFormat="1" applyFont="1" applyFill="1" applyAlignment="1">
      <alignment horizontal="right"/>
    </xf>
    <xf numFmtId="0" fontId="3" fillId="0" borderId="0" xfId="0" applyNumberFormat="1" applyFont="1">
      <alignment vertical="top"/>
    </xf>
    <xf numFmtId="49" fontId="32"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NumberFormat="1" applyFont="1" applyAlignment="1">
      <alignment horizontal="center" vertical="center" wrapText="1"/>
    </xf>
    <xf numFmtId="0" fontId="35" fillId="0" borderId="0" xfId="0" applyNumberFormat="1" applyFont="1" applyAlignment="1">
      <alignment wrapText="1"/>
    </xf>
    <xf numFmtId="49" fontId="36" fillId="0" borderId="0" xfId="0" applyNumberFormat="1" applyFont="1" applyAlignment="1">
      <alignment wrapText="1"/>
    </xf>
    <xf numFmtId="49" fontId="7" fillId="7" borderId="0" xfId="0" applyNumberFormat="1" applyFont="1" applyFill="1" applyAlignment="1">
      <alignment vertical="center" wrapText="1"/>
    </xf>
    <xf numFmtId="49" fontId="10" fillId="21" borderId="0" xfId="0" applyNumberFormat="1" applyFont="1" applyFill="1" applyAlignment="1">
      <alignment vertical="center" wrapText="1"/>
    </xf>
    <xf numFmtId="49" fontId="3" fillId="0" borderId="0" xfId="0" applyNumberFormat="1" applyFont="1" applyAlignment="1">
      <alignment vertical="center"/>
    </xf>
    <xf numFmtId="0" fontId="3" fillId="0" borderId="0" xfId="0" applyNumberFormat="1" applyFont="1" applyAlignment="1"/>
    <xf numFmtId="0" fontId="0" fillId="0" borderId="0" xfId="0" applyNumberFormat="1" applyFont="1" applyAlignment="1">
      <alignment horizontal="center" vertical="center"/>
    </xf>
    <xf numFmtId="0" fontId="0" fillId="0" borderId="0" xfId="0" applyNumberFormat="1" applyFont="1" applyAlignment="1">
      <alignment horizontal="center"/>
    </xf>
    <xf numFmtId="0" fontId="0" fillId="0" borderId="0" xfId="0" applyNumberFormat="1" applyFont="1" applyAlignment="1">
      <alignment horizontal="center" vertical="center" wrapText="1"/>
    </xf>
    <xf numFmtId="49" fontId="0" fillId="0" borderId="0" xfId="0" applyNumberFormat="1" applyFont="1"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NumberFormat="1"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NumberFormat="1" applyFont="1"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Font="1" applyAlignment="1">
      <alignment horizontal="center"/>
    </xf>
    <xf numFmtId="0" fontId="0" fillId="0" borderId="0" xfId="0" applyNumberFormat="1" applyFont="1" applyAlignment="1">
      <alignment horizontal="center" wrapText="1"/>
    </xf>
    <xf numFmtId="0" fontId="40" fillId="0" borderId="0" xfId="0" applyNumberFormat="1" applyFont="1" applyAlignment="1">
      <alignment horizontal="center"/>
    </xf>
    <xf numFmtId="0" fontId="0" fillId="5" borderId="0" xfId="0" applyNumberFormat="1" applyFont="1" applyFill="1" applyAlignment="1">
      <alignment horizontal="center" vertical="center"/>
    </xf>
    <xf numFmtId="0" fontId="0" fillId="5" borderId="0" xfId="0" applyNumberFormat="1" applyFont="1" applyFill="1" applyAlignment="1">
      <alignment horizontal="center"/>
    </xf>
    <xf numFmtId="0" fontId="0" fillId="5" borderId="0" xfId="0" applyNumberFormat="1" applyFont="1" applyFill="1" applyAlignment="1">
      <alignment horizontal="center"/>
    </xf>
    <xf numFmtId="0" fontId="41" fillId="0" borderId="0" xfId="0" applyNumberFormat="1" applyFont="1" applyAlignment="1"/>
    <xf numFmtId="49" fontId="3" fillId="0" borderId="0" xfId="0" applyNumberFormat="1" applyFont="1" applyAlignment="1">
      <alignment vertical="center"/>
    </xf>
    <xf numFmtId="0" fontId="41" fillId="0" borderId="4" xfId="0" applyNumberFormat="1" applyFont="1" applyBorder="1" applyAlignment="1">
      <alignment vertical="center"/>
    </xf>
    <xf numFmtId="49" fontId="42" fillId="0" borderId="0" xfId="0" applyNumberFormat="1" applyFont="1" applyAlignment="1">
      <alignment horizontal="center" vertical="center" wrapText="1"/>
    </xf>
    <xf numFmtId="0" fontId="3" fillId="0" borderId="1" xfId="0" applyNumberFormat="1" applyFont="1" applyBorder="1" applyAlignment="1">
      <alignment horizontal="left" vertical="center" wrapTex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0" fontId="3" fillId="16" borderId="1" xfId="0" applyNumberFormat="1" applyFont="1" applyFill="1" applyBorder="1" applyAlignment="1" applyProtection="1">
      <alignment horizontal="left" vertical="center" wrapText="1" indent="1"/>
      <protection locked="0"/>
    </xf>
    <xf numFmtId="0" fontId="3" fillId="16" borderId="1" xfId="0" applyNumberFormat="1" applyFont="1" applyFill="1" applyBorder="1" applyAlignment="1" applyProtection="1">
      <alignment horizontal="left" vertical="center" wrapText="1" indent="1"/>
      <protection locked="0"/>
    </xf>
    <xf numFmtId="49" fontId="19" fillId="11" borderId="0" xfId="0" applyNumberFormat="1" applyFont="1" applyFill="1" applyAlignment="1">
      <alignment horizontal="center" vertical="center"/>
    </xf>
    <xf numFmtId="49" fontId="7" fillId="12" borderId="0" xfId="0" applyNumberFormat="1" applyFont="1" applyFill="1" applyAlignment="1">
      <alignment vertical="center" wrapText="1"/>
    </xf>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2" borderId="1" xfId="0" quotePrefix="1" applyNumberFormat="1" applyFont="1" applyFill="1" applyBorder="1" applyAlignment="1">
      <alignment vertical="center" wrapText="1"/>
    </xf>
    <xf numFmtId="0" fontId="5" fillId="22" borderId="0" xfId="0" applyNumberFormat="1" applyFont="1" applyFill="1" applyAlignment="1">
      <alignment horizontal="center" vertical="center"/>
    </xf>
    <xf numFmtId="49" fontId="3" fillId="22" borderId="0" xfId="0" applyNumberFormat="1" applyFont="1" applyFill="1" applyAlignment="1">
      <alignment horizontal="center" vertical="center"/>
    </xf>
    <xf numFmtId="0" fontId="3" fillId="22" borderId="0" xfId="0" applyNumberFormat="1" applyFont="1" applyFill="1" applyAlignment="1">
      <alignment horizontal="center" vertical="center"/>
    </xf>
    <xf numFmtId="0" fontId="3" fillId="0" borderId="0" xfId="0" applyNumberFormat="1" applyFont="1" applyAlignment="1">
      <alignment vertical="center" wrapText="1"/>
    </xf>
    <xf numFmtId="0" fontId="3" fillId="0" borderId="0" xfId="0" applyNumberFormat="1" applyFont="1">
      <alignment vertical="top"/>
    </xf>
    <xf numFmtId="0" fontId="43" fillId="0" borderId="0" xfId="0" applyNumberFormat="1" applyFont="1" applyAlignment="1">
      <alignment wrapText="1"/>
    </xf>
    <xf numFmtId="0" fontId="3" fillId="0" borderId="0" xfId="0" applyNumberFormat="1" applyFont="1" applyAlignment="1">
      <alignment horizontal="center" vertical="center" wrapText="1"/>
    </xf>
    <xf numFmtId="0" fontId="3" fillId="0" borderId="0" xfId="0" applyNumberFormat="1" applyFont="1" applyAlignment="1">
      <alignment horizontal="center" wrapText="1"/>
    </xf>
    <xf numFmtId="0" fontId="3" fillId="0" borderId="0" xfId="0" applyNumberFormat="1" applyFont="1" applyAlignment="1">
      <alignment vertical="center" wrapText="1"/>
    </xf>
    <xf numFmtId="0" fontId="3" fillId="0" borderId="0" xfId="0" applyNumberFormat="1" applyFont="1" applyAlignment="1"/>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3" fillId="0" borderId="0" xfId="0" applyNumberFormat="1" applyFont="1">
      <alignment vertical="top"/>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NumberFormat="1" applyFont="1">
      <alignment vertical="top"/>
    </xf>
    <xf numFmtId="0" fontId="3" fillId="0" borderId="0" xfId="0" applyNumberFormat="1" applyFont="1" applyAlignment="1"/>
    <xf numFmtId="0" fontId="5" fillId="0" borderId="0" xfId="0" applyNumberFormat="1" applyFont="1" applyAlignment="1">
      <alignment vertical="center"/>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NumberFormat="1" applyFont="1" applyFill="1" applyBorder="1" applyAlignment="1">
      <alignment horizontal="right" vertical="center" wrapText="1" indent="1"/>
    </xf>
    <xf numFmtId="0" fontId="3" fillId="0" borderId="0" xfId="0" applyNumberFormat="1" applyFont="1" applyAlignment="1">
      <alignment vertical="center"/>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0" borderId="0" xfId="0" applyNumberFormat="1" applyFont="1">
      <alignment vertical="top"/>
    </xf>
    <xf numFmtId="0" fontId="3" fillId="5" borderId="0" xfId="0" applyNumberFormat="1" applyFont="1" applyFill="1" applyAlignment="1">
      <alignment horizontal="center"/>
    </xf>
    <xf numFmtId="0" fontId="3" fillId="22" borderId="0" xfId="0" applyNumberFormat="1" applyFont="1" applyFill="1" applyAlignment="1">
      <alignment horizontal="center" vertical="center"/>
    </xf>
    <xf numFmtId="49" fontId="5" fillId="22" borderId="0" xfId="0" applyNumberFormat="1" applyFont="1" applyFill="1" applyAlignment="1">
      <alignment horizontal="center" vertical="center"/>
    </xf>
    <xf numFmtId="0" fontId="3" fillId="22" borderId="0" xfId="0" applyNumberFormat="1" applyFont="1" applyFill="1" applyAlignment="1">
      <alignment horizontal="left" vertical="center"/>
    </xf>
    <xf numFmtId="0" fontId="3" fillId="0" borderId="0" xfId="0" applyNumberFormat="1" applyFont="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wrapText="1"/>
    </xf>
    <xf numFmtId="0" fontId="5" fillId="0" borderId="0" xfId="0" applyNumberFormat="1" applyFont="1" applyAlignment="1">
      <alignment vertical="center" wrapText="1"/>
    </xf>
    <xf numFmtId="49" fontId="5"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9" fontId="22" fillId="15" borderId="9" xfId="0" applyNumberFormat="1" applyFont="1" applyFill="1" applyBorder="1" applyAlignment="1">
      <alignment vertical="center"/>
    </xf>
    <xf numFmtId="49" fontId="3" fillId="0" borderId="2" xfId="0" applyNumberFormat="1" applyFont="1" applyBorder="1" applyAlignment="1">
      <alignment horizontal="center" vertical="center" wrapText="1"/>
    </xf>
    <xf numFmtId="0" fontId="5" fillId="0" borderId="0" xfId="0" applyNumberFormat="1" applyFont="1" applyAlignment="1">
      <alignment vertical="center"/>
    </xf>
    <xf numFmtId="0" fontId="5" fillId="0" borderId="0" xfId="0" applyNumberFormat="1" applyFont="1" applyAlignment="1"/>
    <xf numFmtId="0" fontId="5" fillId="0" borderId="0" xfId="0" applyNumberFormat="1" applyFont="1" applyAlignment="1">
      <alignment horizontal="left" vertical="center"/>
    </xf>
    <xf numFmtId="0" fontId="5" fillId="0" borderId="1" xfId="0" applyNumberFormat="1" applyFont="1" applyBorder="1" applyAlignment="1">
      <alignment horizontal="center" vertical="center" wrapText="1"/>
    </xf>
    <xf numFmtId="0" fontId="3" fillId="0" borderId="0" xfId="0" applyNumberFormat="1" applyFont="1" applyAlignment="1">
      <alignment horizontal="center" vertical="center"/>
    </xf>
    <xf numFmtId="49" fontId="3" fillId="0" borderId="0" xfId="0" applyNumberFormat="1" applyFont="1" applyAlignment="1">
      <alignment horizontal="center" vertical="center"/>
    </xf>
    <xf numFmtId="0" fontId="3" fillId="0" borderId="0" xfId="0" applyNumberFormat="1" applyFont="1" applyAlignment="1">
      <alignment horizontal="center"/>
    </xf>
    <xf numFmtId="0" fontId="3" fillId="0" borderId="0" xfId="0" applyNumberFormat="1" applyFont="1" applyAlignment="1">
      <alignment horizontal="left" vertical="center"/>
    </xf>
    <xf numFmtId="0" fontId="6" fillId="0" borderId="0" xfId="0" applyNumberFormat="1" applyFont="1" applyAlignment="1">
      <alignment horizontal="center"/>
    </xf>
    <xf numFmtId="0" fontId="6" fillId="0" borderId="0" xfId="0" applyNumberFormat="1" applyFont="1" applyAlignment="1"/>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NumberFormat="1"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0" fillId="0" borderId="0" xfId="0" applyNumberFormat="1" applyFont="1" applyAlignment="1"/>
    <xf numFmtId="0" fontId="3" fillId="5" borderId="0" xfId="0" applyNumberFormat="1" applyFont="1" applyFill="1" applyAlignment="1">
      <alignment horizontal="center"/>
    </xf>
    <xf numFmtId="0" fontId="5" fillId="0" borderId="0" xfId="0" applyNumberFormat="1" applyFont="1" applyAlignment="1">
      <alignment vertical="center"/>
    </xf>
    <xf numFmtId="49" fontId="24" fillId="0" borderId="4" xfId="0" applyNumberFormat="1" applyFont="1" applyBorder="1" applyAlignment="1">
      <alignment vertical="center" wrapText="1"/>
    </xf>
    <xf numFmtId="0" fontId="5" fillId="0" borderId="1" xfId="0" applyNumberFormat="1" applyFont="1" applyBorder="1" applyAlignment="1">
      <alignment horizontal="center" vertical="center" wrapText="1"/>
    </xf>
    <xf numFmtId="169" fontId="21" fillId="14" borderId="9" xfId="0" applyNumberFormat="1" applyFont="1" applyFill="1" applyBorder="1" applyAlignment="1">
      <alignment horizontal="right" vertical="center"/>
    </xf>
    <xf numFmtId="169" fontId="0" fillId="10" borderId="2" xfId="0" applyNumberFormat="1" applyFont="1" applyFill="1" applyBorder="1" applyAlignment="1">
      <alignment vertical="center" wrapTex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49" fontId="3" fillId="0" borderId="2" xfId="0" applyNumberFormat="1" applyFont="1" applyBorder="1" applyAlignment="1">
      <alignment horizontal="left" vertical="center" wrapText="1" indent="3"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0" fontId="5" fillId="0" borderId="0" xfId="0" applyNumberFormat="1" applyFont="1" applyAlignment="1">
      <alignment vertical="center"/>
    </xf>
    <xf numFmtId="0" fontId="5"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0" fontId="5" fillId="0" borderId="0" xfId="0" applyNumberFormat="1" applyFont="1" applyAlignment="1">
      <alignment vertical="center"/>
    </xf>
    <xf numFmtId="49" fontId="6" fillId="0" borderId="29" xfId="0" applyNumberFormat="1" applyFont="1" applyBorder="1" applyAlignment="1">
      <alignment vertical="center" wrapText="1"/>
    </xf>
    <xf numFmtId="49" fontId="3" fillId="0" borderId="2" xfId="0" applyNumberFormat="1"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NumberFormat="1" applyFont="1" applyAlignment="1"/>
    <xf numFmtId="49" fontId="3" fillId="0" borderId="0" xfId="0" applyNumberFormat="1" applyFont="1" applyAlignment="1">
      <alignment horizontal="center" vertical="top"/>
    </xf>
    <xf numFmtId="49" fontId="22" fillId="0" borderId="34" xfId="0" applyNumberFormat="1" applyFont="1" applyBorder="1" applyAlignment="1">
      <alignment horizontal="left" vertical="center" wrapTex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0" fontId="3" fillId="0" borderId="0" xfId="0" applyNumberFormat="1" applyFont="1" applyAlignment="1"/>
    <xf numFmtId="0" fontId="3" fillId="0" borderId="0" xfId="0" applyNumberFormat="1" applyFont="1" applyAlignment="1">
      <alignmen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NumberFormat="1" applyFont="1" applyFill="1" applyAlignment="1">
      <alignment vertical="center" wrapText="1"/>
    </xf>
    <xf numFmtId="0" fontId="5" fillId="0" borderId="14" xfId="0" applyNumberFormat="1" applyFont="1" applyBorder="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alignment vertical="center"/>
    </xf>
    <xf numFmtId="0" fontId="5" fillId="0" borderId="0" xfId="0" applyNumberFormat="1" applyFont="1" applyAlignment="1">
      <alignment vertical="center"/>
    </xf>
    <xf numFmtId="0" fontId="12" fillId="0" borderId="0" xfId="0" applyNumberFormat="1" applyFont="1" applyAlignment="1">
      <alignment horizontal="left" vertical="center"/>
    </xf>
    <xf numFmtId="49" fontId="24" fillId="0" borderId="4" xfId="0" quotePrefix="1" applyNumberFormat="1" applyFont="1" applyBorder="1" applyAlignment="1">
      <alignment horizontal="left" vertical="center" indent="1"/>
    </xf>
    <xf numFmtId="49" fontId="18" fillId="0" borderId="4" xfId="0" applyNumberFormat="1" applyFont="1" applyBorder="1" applyAlignment="1">
      <alignment vertical="center"/>
    </xf>
    <xf numFmtId="49" fontId="18" fillId="0" borderId="0" xfId="0" applyNumberFormat="1" applyFont="1" applyAlignment="1">
      <alignment horizontal="left" vertical="center" wrapText="1" indent="4"/>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21" fillId="14" borderId="0" xfId="0" applyNumberFormat="1" applyFont="1" applyFill="1" applyAlignment="1">
      <alignment horizontal="left" vertical="center"/>
    </xf>
    <xf numFmtId="0" fontId="5" fillId="0" borderId="0" xfId="0" applyNumberFormat="1" applyFont="1" applyAlignment="1"/>
    <xf numFmtId="0" fontId="2" fillId="0" borderId="0" xfId="0" applyNumberFormat="1" applyFont="1" applyAlignment="1"/>
    <xf numFmtId="0" fontId="6" fillId="0" borderId="1" xfId="0" applyNumberFormat="1" applyFont="1" applyBorder="1" applyAlignment="1">
      <alignment vertical="center" wrapText="1"/>
    </xf>
    <xf numFmtId="0" fontId="6" fillId="0" borderId="1" xfId="0" applyNumberFormat="1" applyFont="1" applyBorder="1" applyAlignment="1">
      <alignment horizontal="center" vertical="center"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wrapText="1"/>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NumberFormat="1" applyFont="1" applyBorder="1" applyAlignment="1">
      <alignment horizontal="right" vertical="center" wrapText="1" indent="1"/>
    </xf>
    <xf numFmtId="49" fontId="3" fillId="0" borderId="37" xfId="0" applyNumberFormat="1"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on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NumberFormat="1" applyFont="1" applyFill="1" applyBorder="1" applyAlignment="1" applyProtection="1">
      <alignment horizontal="left" vertical="center" wrapText="1"/>
      <protection locked="0"/>
    </xf>
    <xf numFmtId="170" fontId="0" fillId="10" borderId="37" xfId="0" applyNumberFormat="1" applyFont="1" applyFill="1" applyBorder="1" applyAlignment="1">
      <alignment horizontal="right" vertical="center"/>
    </xf>
    <xf numFmtId="169" fontId="0" fillId="10" borderId="37" xfId="0" applyNumberFormat="1" applyFon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Font="1" applyBorder="1" applyAlignment="1">
      <alignment horizontal="right" vertical="center"/>
    </xf>
    <xf numFmtId="169" fontId="3" fillId="0" borderId="3" xfId="0" applyNumberFormat="1" applyFont="1" applyBorder="1" applyAlignment="1">
      <alignment horizontal="right" vertical="center"/>
    </xf>
    <xf numFmtId="49" fontId="5" fillId="0" borderId="3" xfId="0" applyNumberFormat="1" applyFont="1" applyBorder="1" applyAlignment="1">
      <alignment horizontal="left" vertical="center"/>
    </xf>
    <xf numFmtId="170" fontId="0" fillId="0" borderId="3" xfId="0" applyNumberFormat="1" applyFont="1" applyBorder="1" applyAlignment="1">
      <alignment horizontal="right" vertical="center"/>
    </xf>
    <xf numFmtId="169" fontId="0"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ont="1" applyFill="1" applyBorder="1" applyAlignment="1">
      <alignment horizontal="right" vertical="center"/>
    </xf>
    <xf numFmtId="169" fontId="0" fillId="10" borderId="1" xfId="0" applyNumberFormat="1" applyFon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ont="1" applyFill="1" applyAlignment="1">
      <alignment horizontal="left" vertical="center"/>
    </xf>
    <xf numFmtId="49" fontId="3" fillId="17" borderId="0" xfId="0" applyNumberFormat="1" applyFont="1" applyFill="1">
      <alignment vertical="top"/>
    </xf>
    <xf numFmtId="0" fontId="7" fillId="17" borderId="0" xfId="0" applyNumberFormat="1" applyFont="1" applyFill="1" applyAlignment="1">
      <alignment horizontal="center" vertical="center"/>
    </xf>
    <xf numFmtId="49" fontId="3" fillId="17" borderId="0" xfId="0" applyNumberFormat="1" applyFont="1" applyFill="1" applyAlignment="1">
      <alignment horizontal="center" vertical="top"/>
    </xf>
    <xf numFmtId="49" fontId="3" fillId="17" borderId="0" xfId="0" applyNumberFormat="1" applyFont="1" applyFill="1" applyAlignment="1">
      <alignment vertical="center" wrapText="1"/>
    </xf>
    <xf numFmtId="0" fontId="3" fillId="17" borderId="0" xfId="0" applyNumberFormat="1" applyFont="1" applyFill="1" applyAlignment="1"/>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0" fontId="5" fillId="17" borderId="0" xfId="0" applyNumberFormat="1" applyFont="1" applyFill="1" applyAlignment="1">
      <alignment vertical="center"/>
    </xf>
    <xf numFmtId="49" fontId="3" fillId="17" borderId="0" xfId="0" applyNumberFormat="1" applyFont="1" applyFill="1" applyAlignment="1">
      <alignment horizontal="center" vertical="center" wrapText="1"/>
    </xf>
    <xf numFmtId="49" fontId="3" fillId="17" borderId="0" xfId="0" applyNumberFormat="1" applyFont="1" applyFill="1" applyAlignment="1">
      <alignment horizontal="center" vertical="top"/>
    </xf>
    <xf numFmtId="0" fontId="13" fillId="17" borderId="0" xfId="0" applyNumberFormat="1" applyFont="1" applyFill="1" applyAlignment="1">
      <alignment horizontal="center"/>
    </xf>
    <xf numFmtId="49" fontId="49" fillId="0" borderId="0" xfId="0" applyNumberFormat="1"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NumberFormat="1" applyFont="1" applyFill="1" applyBorder="1" applyAlignment="1">
      <alignment vertical="center"/>
    </xf>
    <xf numFmtId="0" fontId="5" fillId="17" borderId="0" xfId="0" applyNumberFormat="1" applyFont="1" applyFill="1" applyAlignment="1">
      <alignment vertical="center"/>
    </xf>
    <xf numFmtId="0" fontId="3" fillId="17" borderId="0" xfId="0" applyNumberFormat="1" applyFont="1" applyFill="1" applyAlignment="1"/>
    <xf numFmtId="0" fontId="5" fillId="17" borderId="0" xfId="0" applyNumberFormat="1" applyFont="1" applyFill="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0" xfId="0" applyNumberFormat="1" applyFont="1" applyAlignment="1">
      <alignment vertical="center"/>
    </xf>
    <xf numFmtId="0" fontId="0" fillId="0" borderId="0" xfId="0" applyNumberFormat="1" applyFont="1" applyAlignment="1">
      <alignment horizontal="center" vertical="top"/>
    </xf>
    <xf numFmtId="0" fontId="3" fillId="17" borderId="0" xfId="0" applyNumberFormat="1" applyFont="1" applyFill="1">
      <alignment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3" fillId="0" borderId="1" xfId="0" applyNumberFormat="1" applyFont="1" applyBorder="1" applyAlignment="1">
      <alignment horizontal="center" vertical="center" wrapText="1"/>
    </xf>
    <xf numFmtId="0" fontId="6" fillId="17" borderId="0" xfId="0" applyNumberFormat="1" applyFont="1" applyFill="1" applyAlignment="1"/>
    <xf numFmtId="0" fontId="3" fillId="17" borderId="0" xfId="0" applyNumberFormat="1" applyFont="1" applyFill="1" applyAlignment="1">
      <alignment horizontal="center"/>
    </xf>
    <xf numFmtId="49" fontId="3" fillId="17" borderId="0" xfId="0" applyNumberFormat="1" applyFont="1" applyFill="1">
      <alignment vertical="top"/>
    </xf>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6" fillId="17" borderId="0" xfId="0" applyNumberFormat="1" applyFont="1" applyFill="1" applyAlignment="1"/>
    <xf numFmtId="49" fontId="3" fillId="17" borderId="0" xfId="0" applyNumberFormat="1" applyFont="1" applyFill="1">
      <alignment vertical="top"/>
    </xf>
    <xf numFmtId="0" fontId="5" fillId="17" borderId="0" xfId="0" applyNumberFormat="1" applyFont="1" applyFill="1" applyAlignment="1"/>
    <xf numFmtId="0" fontId="5" fillId="17" borderId="0" xfId="0" applyNumberFormat="1" applyFont="1" applyFill="1" applyAlignment="1">
      <alignment horizontal="center"/>
    </xf>
    <xf numFmtId="0" fontId="7" fillId="17" borderId="0" xfId="0" applyNumberFormat="1" applyFont="1" applyFill="1" applyAlignment="1"/>
    <xf numFmtId="0" fontId="10" fillId="17" borderId="0" xfId="0" applyNumberFormat="1" applyFont="1" applyFill="1" applyAlignment="1"/>
    <xf numFmtId="49" fontId="7" fillId="0" borderId="0" xfId="0" applyNumberFormat="1" applyFont="1" applyAlignment="1"/>
    <xf numFmtId="0" fontId="22" fillId="15" borderId="21" xfId="0" applyNumberFormat="1" applyFont="1" applyFill="1" applyBorder="1" applyAlignment="1">
      <alignment horizontal="left" vertical="center" wrapText="1" indent="1"/>
    </xf>
    <xf numFmtId="0" fontId="22" fillId="15" borderId="21" xfId="0" applyNumberFormat="1" applyFont="1" applyFill="1" applyBorder="1" applyAlignment="1">
      <alignment vertical="center"/>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49" fontId="3" fillId="17" borderId="0" xfId="0" applyNumberFormat="1" applyFont="1" applyFill="1">
      <alignment vertical="top"/>
    </xf>
    <xf numFmtId="0" fontId="13" fillId="17" borderId="0" xfId="0" applyNumberFormat="1" applyFont="1" applyFill="1" applyAlignment="1">
      <alignment vertical="center"/>
    </xf>
    <xf numFmtId="0" fontId="3" fillId="16" borderId="1" xfId="0" applyNumberFormat="1" applyFont="1" applyFill="1" applyBorder="1" applyAlignment="1" applyProtection="1">
      <alignment horizontal="left" vertical="center" wrapText="1" indent="1"/>
      <protection locked="0"/>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0" borderId="0" xfId="0" applyNumberFormat="1" applyFont="1" applyAlignment="1"/>
    <xf numFmtId="0" fontId="1" fillId="17" borderId="0" xfId="0" applyNumberFormat="1" applyFont="1" applyFill="1" applyAlignment="1"/>
    <xf numFmtId="0" fontId="5" fillId="0" borderId="0" xfId="0" applyNumberFormat="1" applyFont="1" applyAlignment="1">
      <alignment vertical="center"/>
    </xf>
    <xf numFmtId="0" fontId="2" fillId="17" borderId="0" xfId="0" applyNumberFormat="1" applyFont="1" applyFill="1" applyAlignment="1"/>
    <xf numFmtId="0" fontId="24" fillId="0" borderId="0" xfId="0" applyNumberFormat="1" applyFont="1" applyAlignment="1"/>
    <xf numFmtId="0" fontId="5" fillId="0" borderId="0" xfId="0" applyNumberFormat="1" applyFont="1" applyAlignment="1">
      <alignment horizontal="left" vertical="center"/>
    </xf>
    <xf numFmtId="0" fontId="18" fillId="0" borderId="0" xfId="0" applyNumberFormat="1" applyFont="1" applyAlignment="1">
      <alignment vertical="center"/>
    </xf>
    <xf numFmtId="0" fontId="3" fillId="7" borderId="1" xfId="0" applyNumberFormat="1" applyFont="1" applyFill="1" applyBorder="1" applyAlignment="1">
      <alignment horizontal="center" vertical="center" wrapText="1"/>
    </xf>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5" fillId="17" borderId="0" xfId="0" applyNumberFormat="1" applyFont="1" applyFill="1" applyAlignment="1">
      <alignment vertical="center"/>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5" fillId="17" borderId="0" xfId="0" applyNumberFormat="1" applyFont="1" applyFill="1" applyAlignment="1">
      <alignment vertical="center"/>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5" fillId="0" borderId="0" xfId="0" applyNumberFormat="1" applyFont="1" applyAlignment="1">
      <alignment horizontal="center" vertical="center" wrapText="1"/>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9" xfId="0" applyNumberFormat="1" applyFont="1" applyBorder="1" applyAlignment="1">
      <alignment horizontal="center" vertical="center" wrapText="1"/>
    </xf>
    <xf numFmtId="0" fontId="1" fillId="0" borderId="0" xfId="0" applyNumberFormat="1" applyFont="1" applyAlignment="1"/>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3" fillId="0" borderId="15"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0" fontId="3" fillId="7"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vertical="center" wrapText="1"/>
    </xf>
    <xf numFmtId="49" fontId="22" fillId="15" borderId="1" xfId="0" applyNumberFormat="1" applyFont="1" applyFill="1" applyBorder="1" applyAlignment="1">
      <alignment horizontal="left" vertical="center" indent="1"/>
    </xf>
    <xf numFmtId="49" fontId="3" fillId="12" borderId="0" xfId="0" applyNumberFormat="1" applyFont="1" applyFill="1">
      <alignment vertical="top"/>
    </xf>
    <xf numFmtId="0" fontId="0" fillId="0" borderId="0" xfId="0" applyNumberFormat="1" applyFont="1" applyAlignment="1">
      <alignment horizontal="left" vertical="center"/>
    </xf>
    <xf numFmtId="0" fontId="3" fillId="13" borderId="0" xfId="0" applyNumberFormat="1" applyFont="1" applyFill="1" applyAlignment="1">
      <alignment horizontal="left" vertical="top"/>
    </xf>
    <xf numFmtId="0" fontId="5" fillId="0" borderId="0" xfId="0" applyNumberFormat="1" applyFont="1" applyAlignment="1">
      <alignment horizontal="left" vertical="center"/>
    </xf>
    <xf numFmtId="0" fontId="5" fillId="0" borderId="0" xfId="0" applyNumberFormat="1" applyFont="1" applyAlignment="1">
      <alignment horizontal="left"/>
    </xf>
    <xf numFmtId="0" fontId="0" fillId="0" borderId="0" xfId="0" applyNumberFormat="1" applyFont="1" applyAlignment="1">
      <alignment horizontal="left"/>
    </xf>
    <xf numFmtId="0" fontId="5" fillId="17" borderId="0" xfId="0" applyNumberFormat="1" applyFont="1" applyFill="1" applyAlignment="1">
      <alignment horizontal="left"/>
    </xf>
    <xf numFmtId="0" fontId="1" fillId="0" borderId="0" xfId="0" applyNumberFormat="1" applyFont="1" applyAlignment="1"/>
    <xf numFmtId="0" fontId="48" fillId="0" borderId="0" xfId="0" applyNumberFormat="1" applyFont="1" applyAlignment="1">
      <alignment horizontal="center" vertical="center"/>
    </xf>
    <xf numFmtId="49" fontId="5" fillId="24" borderId="2" xfId="0" applyNumberFormat="1"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NumberFormat="1" applyFont="1" applyFill="1" applyBorder="1" applyAlignment="1">
      <alignment horizontal="left" vertical="center" wrapText="1" indent="1"/>
    </xf>
    <xf numFmtId="0" fontId="3" fillId="0" borderId="0" xfId="0" applyNumberFormat="1" applyFont="1" applyAlignment="1">
      <alignment wrapText="1"/>
    </xf>
    <xf numFmtId="0" fontId="3" fillId="10" borderId="13"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2"/>
    </xf>
    <xf numFmtId="0" fontId="3" fillId="0" borderId="1" xfId="0" applyNumberFormat="1" applyFont="1" applyBorder="1" applyAlignment="1">
      <alignment horizontal="center" vertical="center" wrapText="1"/>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xf>
    <xf numFmtId="4" fontId="3" fillId="8" borderId="1" xfId="0" applyNumberFormat="1" applyFont="1" applyFill="1" applyBorder="1" applyAlignment="1" applyProtection="1">
      <alignment horizontal="right" vertical="center"/>
      <protection locked="0"/>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15" borderId="21" xfId="0" applyNumberFormat="1" applyFont="1" applyFill="1" applyBorder="1" applyAlignment="1">
      <alignment horizontal="left" vertical="center" wrapText="1"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4" fontId="6" fillId="10" borderId="1" xfId="0" applyNumberFormat="1" applyFont="1" applyFill="1" applyBorder="1" applyAlignment="1">
      <alignment horizontal="right" vertical="center"/>
    </xf>
    <xf numFmtId="0" fontId="3" fillId="9" borderId="1" xfId="0" applyNumberFormat="1" applyFont="1" applyFill="1" applyBorder="1" applyAlignment="1">
      <alignment horizontal="center" vertical="center" wrapTex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 fontId="3" fillId="10" borderId="1" xfId="0" applyNumberFormat="1" applyFont="1" applyFill="1" applyBorder="1" applyAlignment="1">
      <alignment horizontal="right" vertical="center"/>
    </xf>
    <xf numFmtId="49" fontId="3" fillId="9" borderId="1" xfId="0" applyNumberFormat="1" applyFont="1" applyFill="1" applyBorder="1" applyAlignment="1">
      <alignment horizontal="center" vertical="center"/>
    </xf>
    <xf numFmtId="169" fontId="6" fillId="10" borderId="1" xfId="0" applyNumberFormat="1" applyFont="1" applyFill="1" applyBorder="1" applyAlignment="1">
      <alignment horizontal="right" vertical="center"/>
    </xf>
    <xf numFmtId="169"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6" fillId="10" borderId="1" xfId="0" applyNumberFormat="1" applyFont="1" applyFill="1" applyBorder="1" applyAlignment="1">
      <alignment horizontal="right" vertical="center"/>
    </xf>
    <xf numFmtId="49" fontId="6" fillId="15" borderId="21" xfId="0" applyNumberFormat="1"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0" fontId="6"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4" fontId="6"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9" fontId="3" fillId="8" borderId="2" xfId="0" applyNumberFormat="1" applyFont="1" applyFill="1" applyBorder="1" applyAlignment="1" applyProtection="1">
      <alignment horizontal="left" vertical="center" wrapText="1"/>
      <protection locked="0"/>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indent="1"/>
    </xf>
    <xf numFmtId="49" fontId="6" fillId="8" borderId="2" xfId="0" applyNumberFormat="1" applyFont="1" applyFill="1" applyBorder="1" applyAlignment="1" applyProtection="1">
      <alignment horizontal="left" vertical="center" wrapText="1"/>
      <protection locked="0"/>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49" fontId="3" fillId="8" borderId="2" xfId="0" applyNumberFormat="1" applyFont="1" applyFill="1" applyBorder="1" applyAlignment="1" applyProtection="1">
      <alignment horizontal="left" vertical="center" wrapText="1"/>
      <protection locked="0"/>
    </xf>
    <xf numFmtId="0" fontId="6"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center" vertical="center"/>
    </xf>
    <xf numFmtId="4" fontId="3"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vertical="center" wrapText="1"/>
    </xf>
    <xf numFmtId="0" fontId="3" fillId="9" borderId="1" xfId="0" applyNumberFormat="1" applyFont="1" applyFill="1" applyBorder="1" applyAlignment="1">
      <alignment horizontal="left" vertical="center" wrapText="1" indent="1"/>
    </xf>
    <xf numFmtId="49" fontId="3" fillId="9" borderId="1" xfId="0" applyNumberFormat="1" applyFont="1" applyFill="1" applyBorder="1" applyAlignment="1">
      <alignment horizontal="center" vertical="center"/>
    </xf>
    <xf numFmtId="0" fontId="3" fillId="9" borderId="1" xfId="0" applyNumberFormat="1" applyFont="1" applyFill="1" applyBorder="1" applyAlignment="1">
      <alignment vertical="center" wrapText="1"/>
    </xf>
    <xf numFmtId="169" fontId="6" fillId="10" borderId="1" xfId="0" applyNumberFormat="1" applyFont="1" applyFill="1" applyBorder="1" applyAlignment="1">
      <alignment horizontal="right" vertical="center"/>
    </xf>
    <xf numFmtId="4" fontId="6" fillId="0" borderId="1" xfId="0" applyNumberFormat="1" applyFont="1" applyBorder="1" applyAlignment="1">
      <alignment horizontal="right" vertical="center"/>
    </xf>
    <xf numFmtId="169" fontId="3" fillId="8" borderId="1" xfId="0" applyNumberFormat="1" applyFont="1" applyFill="1" applyBorder="1" applyAlignment="1" applyProtection="1">
      <alignment horizontal="right" vertical="center"/>
      <protection locked="0"/>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49" fontId="3" fillId="0" borderId="0" xfId="0" applyNumberFormat="1" applyFont="1" applyAlignment="1">
      <alignment horizontal="center" vertical="top"/>
    </xf>
    <xf numFmtId="0" fontId="3" fillId="0" borderId="0" xfId="0" applyNumberFormat="1" applyFont="1" applyAlignment="1">
      <alignment vertical="top" wrapText="1"/>
    </xf>
    <xf numFmtId="0" fontId="3" fillId="0" borderId="0" xfId="0" applyNumberFormat="1" applyFont="1" applyAlignment="1">
      <alignment vertical="top" wrapText="1"/>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horizontal="center"/>
    </xf>
    <xf numFmtId="0" fontId="3" fillId="0" borderId="0" xfId="0" applyNumberFormat="1" applyFont="1" applyAlignment="1">
      <alignment horizontal="center" vertical="center"/>
    </xf>
    <xf numFmtId="0" fontId="3" fillId="17" borderId="0" xfId="0" applyNumberFormat="1" applyFont="1" applyFill="1" applyAlignment="1">
      <alignment vertical="center"/>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NumberFormat="1" applyFont="1" applyFill="1" applyBorder="1" applyAlignment="1" applyProtection="1">
      <alignment horizontal="left" vertical="center" wrapText="1"/>
      <protection locked="0"/>
    </xf>
    <xf numFmtId="49" fontId="3" fillId="8" borderId="1" xfId="0" applyNumberFormat="1" applyFont="1" applyFill="1" applyBorder="1" applyAlignment="1" applyProtection="1">
      <alignment horizontal="left" vertical="center" wrapText="1"/>
      <protection locked="0"/>
    </xf>
    <xf numFmtId="0" fontId="3" fillId="0" borderId="1" xfId="0" applyNumberFormat="1" applyFont="1" applyBorder="1" applyAlignment="1">
      <alignment vertical="center" wrapText="1"/>
    </xf>
    <xf numFmtId="0" fontId="52" fillId="0" borderId="0" xfId="0" applyNumberFormat="1" applyFont="1" applyAlignment="1"/>
    <xf numFmtId="0" fontId="3" fillId="0" borderId="0" xfId="0" applyNumberFormat="1" applyFont="1" applyAlignment="1">
      <alignment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NumberFormat="1" applyFont="1" applyAlignment="1">
      <alignment horizontal="left" vertical="center" wrapText="1" indent="4"/>
    </xf>
    <xf numFmtId="0" fontId="3" fillId="17" borderId="0" xfId="0" applyNumberFormat="1" applyFont="1" applyFill="1" applyAlignment="1">
      <alignment vertical="center" wrapText="1"/>
    </xf>
    <xf numFmtId="0" fontId="3" fillId="0" borderId="2" xfId="0" applyNumberFormat="1" applyFont="1" applyBorder="1" applyAlignment="1">
      <alignment horizontal="center" vertical="center" wrapText="1"/>
    </xf>
    <xf numFmtId="0" fontId="3" fillId="0" borderId="28" xfId="0" applyNumberFormat="1" applyFont="1" applyBorder="1" applyAlignment="1">
      <alignment horizontal="center" vertical="center" wrapText="1"/>
    </xf>
    <xf numFmtId="0" fontId="3" fillId="17" borderId="0" xfId="0" applyNumberFormat="1" applyFont="1" applyFill="1">
      <alignment vertical="top"/>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0" xfId="0" applyNumberFormat="1" applyFont="1" applyAlignment="1">
      <alignment horizontal="center" vertical="center" wrapText="1"/>
    </xf>
    <xf numFmtId="0" fontId="3" fillId="17" borderId="0" xfId="0" applyNumberFormat="1" applyFont="1" applyFill="1" applyAlignment="1">
      <alignment horizontal="center" vertical="center" wrapText="1"/>
    </xf>
    <xf numFmtId="0" fontId="3" fillId="0" borderId="1" xfId="0" applyNumberFormat="1" applyFont="1" applyBorder="1" applyAlignment="1">
      <alignment horizontal="center" vertical="center" wrapText="1"/>
    </xf>
    <xf numFmtId="4" fontId="3" fillId="8" borderId="1" xfId="0" applyNumberFormat="1" applyFont="1" applyFill="1" applyBorder="1" applyAlignment="1" applyProtection="1">
      <alignment horizontal="right" vertical="center"/>
      <protection locked="0"/>
    </xf>
    <xf numFmtId="0" fontId="3" fillId="7" borderId="1" xfId="0" applyNumberFormat="1" applyFont="1" applyFill="1" applyBorder="1" applyAlignment="1">
      <alignment horizontal="center" vertical="center" wrapText="1"/>
    </xf>
    <xf numFmtId="0" fontId="3" fillId="0" borderId="1" xfId="0" applyNumberFormat="1" applyFont="1" applyBorder="1" applyAlignment="1">
      <alignment horizontal="left" vertical="center" wrapText="1" indent="2"/>
    </xf>
    <xf numFmtId="4" fontId="3" fillId="8" borderId="1" xfId="0" applyNumberFormat="1" applyFont="1" applyFill="1" applyBorder="1" applyAlignment="1" applyProtection="1">
      <alignment horizontal="right" vertical="center" wrapText="1"/>
      <protection locked="0"/>
    </xf>
    <xf numFmtId="0" fontId="7" fillId="0" borderId="0" xfId="0" applyNumberFormat="1" applyFont="1" applyAlignment="1"/>
    <xf numFmtId="0" fontId="3" fillId="0" borderId="1" xfId="0" applyNumberFormat="1" applyFont="1" applyBorder="1" applyAlignment="1">
      <alignment horizontal="center" vertical="center"/>
    </xf>
    <xf numFmtId="0" fontId="3" fillId="0" borderId="0" xfId="0" applyNumberFormat="1" applyFont="1" applyAlignment="1"/>
    <xf numFmtId="0" fontId="3" fillId="17" borderId="0" xfId="0" applyNumberFormat="1" applyFont="1" applyFill="1" applyAlignment="1"/>
    <xf numFmtId="0" fontId="3" fillId="0" borderId="1" xfId="0" applyNumberFormat="1" applyFont="1" applyBorder="1" applyAlignment="1">
      <alignment horizontal="center"/>
    </xf>
    <xf numFmtId="0" fontId="3" fillId="0" borderId="0" xfId="0" applyNumberFormat="1" applyFont="1" applyAlignment="1">
      <alignment horizontal="center"/>
    </xf>
    <xf numFmtId="4" fontId="5" fillId="10" borderId="1" xfId="0" applyNumberFormat="1" applyFont="1" applyFill="1" applyBorder="1" applyAlignment="1">
      <alignment horizontal="right" vertical="center" wrapText="1"/>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3" fillId="17" borderId="29" xfId="0" applyNumberFormat="1" applyFont="1" applyFill="1" applyBorder="1" applyAlignment="1">
      <alignment horizontal="left" vertical="center" indent="1"/>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 xfId="0" applyNumberFormat="1" applyFont="1" applyBorder="1" applyAlignment="1">
      <alignment horizontal="left" vertical="center" wrapText="1"/>
    </xf>
    <xf numFmtId="0" fontId="3" fillId="0" borderId="29" xfId="0" applyNumberFormat="1" applyFont="1" applyBorder="1" applyAlignment="1">
      <alignment horizontal="center" vertical="center"/>
    </xf>
    <xf numFmtId="0" fontId="3" fillId="0" borderId="2" xfId="0" applyNumberFormat="1" applyFont="1" applyBorder="1" applyAlignment="1">
      <alignment horizontal="left" vertical="center" wrapText="1" indent="1"/>
    </xf>
    <xf numFmtId="0" fontId="6" fillId="0" borderId="0" xfId="0" applyNumberFormat="1" applyFont="1" applyAlignment="1">
      <alignment horizontal="center" vertical="center"/>
    </xf>
    <xf numFmtId="0" fontId="3" fillId="17" borderId="14" xfId="0" applyNumberFormat="1" applyFont="1" applyFill="1" applyBorder="1" applyAlignment="1">
      <alignment horizontal="left" vertical="center" indent="1"/>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NumberFormat="1" applyFont="1" applyAlignment="1"/>
    <xf numFmtId="0" fontId="13"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NumberFormat="1"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0" fontId="3" fillId="0" borderId="0" xfId="0" applyNumberFormat="1" applyFont="1" applyAlignment="1">
      <alignment horizontal="left"/>
    </xf>
    <xf numFmtId="49" fontId="47" fillId="0" borderId="0" xfId="0" applyNumberFormat="1"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3" fillId="0" borderId="0" xfId="0" applyNumberFormat="1" applyFont="1" applyAlignment="1">
      <alignment vertical="center"/>
    </xf>
    <xf numFmtId="0" fontId="13" fillId="13" borderId="0" xfId="0" applyNumberFormat="1" applyFont="1" applyFill="1" applyAlignment="1">
      <alignment horizontal="left" vertical="top"/>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 fontId="6" fillId="10" borderId="1" xfId="0" applyNumberFormat="1" applyFont="1" applyFill="1" applyBorder="1" applyAlignment="1">
      <alignment horizontal="right" vertical="center" wrapText="1"/>
    </xf>
    <xf numFmtId="49" fontId="22" fillId="15" borderId="27" xfId="0" applyNumberFormat="1"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3" fillId="16" borderId="1" xfId="0" applyNumberFormat="1" applyFont="1" applyFill="1" applyBorder="1" applyAlignment="1" applyProtection="1">
      <alignment horizontal="left" vertical="center" wrapText="1" indent="1"/>
      <protection locked="0"/>
    </xf>
    <xf numFmtId="169"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169" fontId="3" fillId="10" borderId="1" xfId="0" applyNumberFormat="1" applyFont="1" applyFill="1" applyBorder="1" applyAlignment="1">
      <alignment horizontal="right" vertical="center"/>
    </xf>
    <xf numFmtId="49" fontId="5" fillId="8" borderId="2" xfId="0" applyNumberFormat="1" applyFont="1" applyFill="1" applyBorder="1" applyAlignment="1" applyProtection="1">
      <alignment horizontal="right" vertical="center"/>
      <protection locked="0"/>
    </xf>
    <xf numFmtId="0" fontId="3" fillId="0" borderId="0" xfId="0" applyNumberFormat="1" applyFont="1" applyAlignment="1">
      <alignment horizontal="left" vertical="center" wrapText="1"/>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NumberFormat="1" applyFont="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7" fillId="0" borderId="0" xfId="0" applyNumberFormat="1" applyFont="1" applyAlignment="1">
      <alignment vertical="center"/>
    </xf>
    <xf numFmtId="0" fontId="1" fillId="0" borderId="0" xfId="0" applyNumberFormat="1" applyFont="1" applyAlignment="1">
      <alignment vertical="center"/>
    </xf>
    <xf numFmtId="0" fontId="13" fillId="0" borderId="0" xfId="0" applyNumberFormat="1" applyFont="1" applyAlignment="1">
      <alignment horizontal="center" vertical="center"/>
    </xf>
    <xf numFmtId="0" fontId="33" fillId="0" borderId="0" xfId="0" applyNumberFormat="1" applyFont="1" applyAlignment="1">
      <alignment horizontal="left" vertical="top"/>
    </xf>
    <xf numFmtId="49" fontId="3" fillId="0" borderId="45" xfId="0" applyNumberFormat="1" applyFont="1" applyBorder="1">
      <alignment vertical="top"/>
    </xf>
    <xf numFmtId="0" fontId="8" fillId="0" borderId="0" xfId="0" applyNumberFormat="1" applyFont="1" applyAlignment="1">
      <alignment vertical="center" wrapText="1"/>
    </xf>
    <xf numFmtId="0" fontId="3" fillId="0" borderId="0" xfId="0" applyNumberFormat="1" applyFont="1">
      <alignment vertical="top"/>
    </xf>
    <xf numFmtId="0" fontId="0" fillId="5" borderId="0" xfId="0" applyNumberFormat="1" applyFont="1" applyFill="1" applyAlignment="1">
      <alignment horizontal="center" vertical="center" wrapText="1"/>
    </xf>
    <xf numFmtId="0" fontId="3" fillId="17" borderId="0" xfId="0" applyNumberFormat="1" applyFont="1" applyFill="1" applyAlignment="1">
      <alignment horizontal="left" vertical="center"/>
    </xf>
    <xf numFmtId="0" fontId="3" fillId="17" borderId="0" xfId="0" applyNumberFormat="1" applyFont="1" applyFill="1" applyAlignment="1">
      <alignment vertical="center" wrapText="1"/>
    </xf>
    <xf numFmtId="0" fontId="8" fillId="17" borderId="0" xfId="0" applyNumberFormat="1" applyFont="1" applyFill="1" applyAlignment="1">
      <alignment vertical="center" wrapText="1"/>
    </xf>
    <xf numFmtId="0" fontId="3" fillId="17" borderId="0" xfId="0" applyNumberFormat="1" applyFont="1" applyFill="1">
      <alignment vertical="top"/>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0" fontId="1" fillId="0" borderId="0" xfId="0" applyNumberFormat="1" applyFont="1" applyAlignment="1"/>
    <xf numFmtId="49" fontId="5" fillId="0" borderId="2" xfId="0" applyNumberFormat="1"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0" fontId="17" fillId="0" borderId="0" xfId="0" applyNumberFormat="1" applyFont="1" applyAlignment="1">
      <alignment vertical="center"/>
    </xf>
    <xf numFmtId="0" fontId="33" fillId="0" borderId="0" xfId="0" applyNumberFormat="1" applyFont="1" applyAlignment="1">
      <alignment horizontal="center" vertical="center"/>
    </xf>
    <xf numFmtId="0" fontId="17" fillId="17" borderId="0" xfId="0" applyNumberFormat="1" applyFont="1" applyFill="1" applyAlignment="1">
      <alignment vertical="center"/>
    </xf>
    <xf numFmtId="0" fontId="7" fillId="0" borderId="0" xfId="0" applyNumberFormat="1" applyFont="1" applyAlignment="1">
      <alignment vertical="center"/>
    </xf>
    <xf numFmtId="0" fontId="17" fillId="0" borderId="0" xfId="0" applyNumberFormat="1" applyFont="1" applyAlignment="1">
      <alignment vertical="center" wrapText="1"/>
    </xf>
    <xf numFmtId="0" fontId="3" fillId="0" borderId="0" xfId="0" applyNumberFormat="1" applyFont="1" applyAlignment="1"/>
    <xf numFmtId="0" fontId="10" fillId="0" borderId="0" xfId="0" applyNumberFormat="1" applyFont="1" applyAlignment="1">
      <alignment vertical="center" wrapText="1"/>
    </xf>
    <xf numFmtId="0" fontId="10" fillId="0" borderId="0" xfId="0" applyNumberFormat="1" applyFont="1" applyAlignment="1">
      <alignment horizontal="center" vertical="center" wrapText="1"/>
    </xf>
    <xf numFmtId="0" fontId="10" fillId="0" borderId="0" xfId="0" applyNumberFormat="1" applyFont="1" applyAlignment="1">
      <alignment vertical="center"/>
    </xf>
    <xf numFmtId="0" fontId="1" fillId="0" borderId="0" xfId="0" applyNumberFormat="1" applyFont="1" applyAlignment="1"/>
    <xf numFmtId="49" fontId="6" fillId="0" borderId="0" xfId="0" applyNumberFormat="1"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3" fillId="2" borderId="0" xfId="0" applyNumberFormat="1" applyFont="1" applyFill="1">
      <alignment vertical="top"/>
    </xf>
    <xf numFmtId="0" fontId="8" fillId="2" borderId="0" xfId="0" applyNumberFormat="1" applyFont="1" applyFill="1">
      <alignment vertical="top"/>
    </xf>
    <xf numFmtId="0" fontId="3" fillId="2" borderId="0" xfId="0" applyNumberFormat="1" applyFont="1" applyFill="1" applyAlignment="1"/>
    <xf numFmtId="0" fontId="3" fillId="2" borderId="0" xfId="0" applyNumberFormat="1" applyFont="1" applyFill="1">
      <alignment vertical="top"/>
    </xf>
    <xf numFmtId="0" fontId="0" fillId="17" borderId="0" xfId="0" applyNumberFormat="1" applyFont="1" applyFill="1" applyAlignment="1">
      <alignment horizontal="center" vertical="center" wrapText="1"/>
    </xf>
    <xf numFmtId="49" fontId="3" fillId="2" borderId="0" xfId="0" applyNumberFormat="1" applyFont="1" applyFill="1" applyAlignment="1">
      <alignment vertical="center" wrapText="1"/>
    </xf>
    <xf numFmtId="49" fontId="3" fillId="2" borderId="0" xfId="0" applyNumberFormat="1" applyFont="1" applyFill="1">
      <alignment vertical="top"/>
    </xf>
    <xf numFmtId="0" fontId="13" fillId="2" borderId="0" xfId="0" applyNumberFormat="1" applyFont="1" applyFill="1" applyAlignment="1"/>
    <xf numFmtId="49" fontId="3" fillId="2" borderId="0" xfId="0" applyNumberFormat="1" applyFont="1" applyFill="1">
      <alignment vertical="top"/>
    </xf>
    <xf numFmtId="49" fontId="8" fillId="17" borderId="0" xfId="0" applyNumberFormat="1" applyFont="1" applyFill="1">
      <alignment vertical="top"/>
    </xf>
    <xf numFmtId="49" fontId="13"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ont="1" applyFill="1" applyAlignment="1">
      <alignment horizontal="center"/>
    </xf>
    <xf numFmtId="0" fontId="5" fillId="2" borderId="0" xfId="0" applyNumberFormat="1" applyFont="1" applyFill="1" applyAlignment="1">
      <alignment vertical="center"/>
    </xf>
    <xf numFmtId="0" fontId="0" fillId="2" borderId="0" xfId="0" applyNumberFormat="1" applyFon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49" fontId="3" fillId="2" borderId="0" xfId="0" applyNumberFormat="1" applyFont="1" applyFill="1">
      <alignment vertical="top"/>
    </xf>
    <xf numFmtId="0" fontId="5" fillId="2" borderId="0" xfId="0" applyNumberFormat="1" applyFont="1" applyFill="1" applyAlignment="1">
      <alignment vertical="center"/>
    </xf>
    <xf numFmtId="0" fontId="13" fillId="0" borderId="0" xfId="0" applyNumberFormat="1" applyFont="1" applyAlignment="1"/>
    <xf numFmtId="0" fontId="13" fillId="0" borderId="0" xfId="0" applyNumberFormat="1" applyFont="1" applyAlignment="1">
      <alignment vertical="center"/>
    </xf>
    <xf numFmtId="0" fontId="5" fillId="0" borderId="0" xfId="0" applyNumberFormat="1" applyFont="1" applyAlignment="1"/>
    <xf numFmtId="0" fontId="13" fillId="2" borderId="0" xfId="0" applyNumberFormat="1" applyFont="1" applyFill="1" applyAlignment="1"/>
    <xf numFmtId="0" fontId="3" fillId="2" borderId="0" xfId="0" applyNumberFormat="1" applyFont="1" applyFill="1" applyAlignment="1"/>
    <xf numFmtId="0" fontId="3" fillId="2" borderId="0" xfId="0" applyNumberFormat="1" applyFont="1" applyFill="1" applyAlignment="1">
      <alignment horizontal="center"/>
    </xf>
    <xf numFmtId="0" fontId="5" fillId="2" borderId="0" xfId="0" applyNumberFormat="1" applyFont="1" applyFill="1" applyAlignment="1">
      <alignment vertical="center"/>
    </xf>
    <xf numFmtId="49" fontId="3" fillId="2" borderId="0" xfId="0" applyNumberFormat="1" applyFont="1" applyFill="1" applyAlignment="1">
      <alignment horizontal="center"/>
    </xf>
    <xf numFmtId="0" fontId="0" fillId="17" borderId="0" xfId="0" applyNumberFormat="1" applyFon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xf numFmtId="0" fontId="3" fillId="2" borderId="0" xfId="0" applyNumberFormat="1" applyFont="1" applyFill="1" applyAlignment="1">
      <alignment horizontal="center"/>
    </xf>
    <xf numFmtId="0" fontId="3" fillId="2" borderId="0" xfId="0" applyNumberFormat="1" applyFont="1" applyFill="1" applyAlignment="1">
      <alignment horizontal="left" vertical="top"/>
    </xf>
    <xf numFmtId="0" fontId="6" fillId="2" borderId="0" xfId="0" applyNumberFormat="1" applyFont="1" applyFill="1" applyAlignment="1"/>
    <xf numFmtId="0" fontId="5" fillId="2" borderId="0" xfId="0" applyNumberFormat="1" applyFont="1" applyFill="1" applyAlignment="1">
      <alignment vertical="center"/>
    </xf>
    <xf numFmtId="0" fontId="0" fillId="2" borderId="0" xfId="0" applyNumberFormat="1" applyFont="1" applyFill="1" applyAlignment="1">
      <alignment horizontal="center"/>
    </xf>
    <xf numFmtId="0" fontId="5" fillId="2" borderId="0" xfId="0" applyNumberFormat="1" applyFont="1" applyFill="1" applyAlignment="1"/>
    <xf numFmtId="0" fontId="5" fillId="2" borderId="0" xfId="0" applyNumberFormat="1" applyFont="1" applyFill="1" applyAlignment="1">
      <alignment horizontal="center"/>
    </xf>
    <xf numFmtId="0" fontId="3" fillId="2" borderId="0" xfId="0" applyNumberFormat="1" applyFont="1" applyFill="1" applyAlignment="1">
      <alignment horizontal="left" vertical="top"/>
    </xf>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0" fontId="5" fillId="2" borderId="0" xfId="0" applyNumberFormat="1" applyFont="1" applyFill="1" applyAlignment="1">
      <alignment horizontal="center" vertical="center" wrapText="1"/>
    </xf>
    <xf numFmtId="0" fontId="5" fillId="17" borderId="0" xfId="0" applyNumberFormat="1" applyFont="1" applyFill="1" applyAlignment="1">
      <alignment horizontal="center" vertical="center" wrapText="1"/>
    </xf>
    <xf numFmtId="49" fontId="3" fillId="2" borderId="0" xfId="0" applyNumberFormat="1" applyFont="1" applyFill="1">
      <alignment vertical="top"/>
    </xf>
    <xf numFmtId="0" fontId="0" fillId="17" borderId="0" xfId="0" applyNumberFormat="1" applyFont="1" applyFill="1" applyAlignment="1">
      <alignment horizontal="center"/>
    </xf>
    <xf numFmtId="49" fontId="5" fillId="2" borderId="0" xfId="0" applyNumberFormat="1" applyFont="1" applyFill="1" applyAlignment="1"/>
    <xf numFmtId="0" fontId="24" fillId="2" borderId="0" xfId="0" applyNumberFormat="1" applyFont="1" applyFill="1" applyAlignment="1"/>
    <xf numFmtId="0" fontId="3" fillId="2" borderId="0" xfId="0" applyNumberFormat="1" applyFont="1" applyFill="1" applyAlignment="1">
      <alignment horizontal="center" vertical="center"/>
    </xf>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NumberFormat="1" applyFont="1" applyFill="1" applyAlignment="1">
      <alignment vertical="center"/>
    </xf>
    <xf numFmtId="0" fontId="3" fillId="2" borderId="0" xfId="0" applyNumberFormat="1" applyFont="1" applyFill="1">
      <alignment vertical="top"/>
    </xf>
    <xf numFmtId="0" fontId="1" fillId="17" borderId="0" xfId="0" applyNumberFormat="1" applyFont="1" applyFill="1" applyAlignment="1"/>
    <xf numFmtId="0" fontId="1" fillId="2" borderId="0" xfId="0" applyNumberFormat="1" applyFont="1" applyFill="1" applyAlignment="1"/>
    <xf numFmtId="0" fontId="5" fillId="2" borderId="0" xfId="0" applyNumberFormat="1"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NumberFormat="1" applyFont="1" applyFill="1" applyAlignment="1">
      <alignment vertical="center"/>
    </xf>
    <xf numFmtId="0" fontId="13" fillId="2" borderId="0" xfId="0" applyNumberFormat="1" applyFont="1" applyFill="1" applyAlignment="1">
      <alignment horizontal="left"/>
    </xf>
    <xf numFmtId="0" fontId="5" fillId="2" borderId="0" xfId="0" applyNumberFormat="1" applyFont="1" applyFill="1" applyAlignment="1">
      <alignment vertical="center"/>
    </xf>
    <xf numFmtId="0" fontId="5" fillId="2" borderId="0" xfId="0" applyNumberFormat="1" applyFont="1" applyFill="1" applyAlignment="1">
      <alignment vertical="center"/>
    </xf>
    <xf numFmtId="171" fontId="5" fillId="8" borderId="2" xfId="0" applyNumberFormat="1" applyFont="1" applyFill="1" applyBorder="1" applyAlignment="1" applyProtection="1">
      <alignment horizontal="left" vertical="center" wrapText="1" indent="1"/>
      <protection locked="0"/>
    </xf>
    <xf numFmtId="49" fontId="5" fillId="2" borderId="0" xfId="0" applyNumberFormat="1" applyFont="1" applyFill="1" applyAlignment="1"/>
    <xf numFmtId="49" fontId="3" fillId="0" borderId="0" xfId="0" applyNumberFormat="1" applyFont="1" applyAlignment="1"/>
    <xf numFmtId="0" fontId="3" fillId="12" borderId="0" xfId="0" applyNumberFormat="1" applyFont="1" applyFill="1" applyAlignment="1"/>
    <xf numFmtId="0" fontId="1" fillId="0" borderId="0" xfId="0" applyNumberFormat="1" applyFont="1" applyAlignment="1"/>
    <xf numFmtId="49" fontId="3" fillId="0" borderId="0" xfId="0" applyNumberFormat="1" applyFont="1" applyAlignment="1">
      <alignment horizontal="left" vertical="top"/>
    </xf>
    <xf numFmtId="49" fontId="3" fillId="0" borderId="0" xfId="0" applyNumberFormat="1" applyFont="1" applyAlignment="1">
      <alignment horizontal="left" vertical="top"/>
    </xf>
    <xf numFmtId="169" fontId="3" fillId="10" borderId="2" xfId="0" applyNumberFormat="1" applyFont="1" applyFill="1" applyBorder="1" applyAlignment="1">
      <alignment horizontal="right" vertical="center" wrapText="1"/>
    </xf>
    <xf numFmtId="4" fontId="3" fillId="10" borderId="2" xfId="0" applyNumberFormat="1" applyFont="1" applyFill="1" applyBorder="1" applyAlignment="1">
      <alignment horizontal="right" vertical="center" wrapText="1"/>
    </xf>
    <xf numFmtId="4" fontId="3" fillId="0" borderId="0" xfId="0" applyNumberFormat="1" applyFont="1" applyAlignment="1"/>
    <xf numFmtId="49" fontId="49" fillId="0" borderId="0" xfId="0" applyNumberFormat="1" applyFont="1" applyAlignment="1">
      <alignment vertical="top" wrapText="1"/>
    </xf>
    <xf numFmtId="0" fontId="3" fillId="0" borderId="1"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6" fillId="9" borderId="2"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1"/>
    </xf>
    <xf numFmtId="4" fontId="3" fillId="10" borderId="1" xfId="0" applyNumberFormat="1" applyFont="1" applyFill="1" applyBorder="1" applyAlignment="1">
      <alignment horizontal="right" vertical="center" wrapText="1"/>
    </xf>
    <xf numFmtId="4" fontId="3" fillId="10" borderId="2" xfId="0" applyNumberFormat="1" applyFont="1" applyFill="1" applyBorder="1" applyAlignment="1">
      <alignment vertical="center"/>
    </xf>
    <xf numFmtId="169" fontId="3" fillId="8" borderId="2" xfId="0" applyNumberFormat="1" applyFont="1" applyFill="1" applyBorder="1" applyAlignment="1" applyProtection="1">
      <alignment horizontal="right" vertical="center"/>
      <protection locked="0"/>
    </xf>
    <xf numFmtId="169" fontId="3" fillId="10" borderId="2" xfId="0" applyNumberFormat="1" applyFont="1" applyFill="1" applyBorder="1" applyAlignment="1">
      <alignment vertical="center"/>
    </xf>
    <xf numFmtId="49" fontId="6" fillId="15" borderId="25" xfId="0" applyNumberFormat="1" applyFont="1" applyFill="1" applyBorder="1" applyAlignment="1">
      <alignment horizontal="left" vertical="center" wrapText="1" indent="1"/>
    </xf>
    <xf numFmtId="49" fontId="6" fillId="15" borderId="26" xfId="0" applyNumberFormat="1" applyFont="1" applyFill="1" applyBorder="1" applyAlignment="1">
      <alignment horizontal="left" vertical="center" wrapText="1" inden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169" fontId="3" fillId="10" borderId="2" xfId="0" applyNumberFormat="1" applyFont="1" applyFill="1" applyBorder="1" applyAlignment="1">
      <alignment vertical="center"/>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0" borderId="0" xfId="0" applyNumberFormat="1" applyFont="1">
      <alignment vertical="top"/>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3" fillId="0" borderId="1" xfId="0" applyNumberFormat="1" applyFont="1" applyBorder="1" applyAlignment="1">
      <alignment horizontal="left" vertical="center" wrapText="1" indent="1"/>
    </xf>
    <xf numFmtId="0" fontId="3" fillId="9" borderId="1" xfId="0" applyNumberFormat="1" applyFont="1" applyFill="1" applyBorder="1" applyAlignment="1">
      <alignment horizontal="left" vertical="center" wrapText="1" indent="1"/>
    </xf>
    <xf numFmtId="169" fontId="3" fillId="10" borderId="1" xfId="0" applyNumberFormat="1" applyFont="1" applyFill="1" applyBorder="1" applyAlignment="1">
      <alignment horizontal="right" vertical="center"/>
    </xf>
    <xf numFmtId="4" fontId="3" fillId="10"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4" fontId="3" fillId="10" borderId="1" xfId="0" applyNumberFormat="1" applyFont="1" applyFill="1" applyBorder="1" applyAlignment="1">
      <alignment horizontal="right" vertical="center"/>
    </xf>
    <xf numFmtId="49" fontId="3" fillId="0" borderId="2" xfId="0" applyNumberFormat="1" applyFont="1" applyBorder="1" applyAlignment="1">
      <alignment horizontal="left" vertical="center" wrapText="1"/>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49" fontId="3" fillId="0" borderId="29"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6" fillId="0" borderId="0" xfId="0" applyNumberFormat="1" applyFont="1">
      <alignment vertical="top"/>
    </xf>
    <xf numFmtId="0" fontId="35" fillId="0" borderId="0" xfId="0" applyNumberFormat="1" applyFont="1" applyAlignment="1">
      <alignment wrapText="1"/>
    </xf>
    <xf numFmtId="49" fontId="38" fillId="0" borderId="0" xfId="0" applyNumberFormat="1" applyFont="1" applyAlignment="1">
      <alignment wrapText="1"/>
    </xf>
    <xf numFmtId="49" fontId="38" fillId="0" borderId="0" xfId="0" applyNumberFormat="1" applyFont="1" applyAlignment="1">
      <alignment vertical="center" wrapText="1"/>
    </xf>
    <xf numFmtId="49" fontId="36" fillId="0" borderId="0" xfId="0" applyNumberFormat="1" applyFont="1" applyAlignment="1">
      <alignment wrapText="1"/>
    </xf>
    <xf numFmtId="49" fontId="38" fillId="0" borderId="0" xfId="0" applyNumberFormat="1" applyFont="1" applyAlignment="1">
      <alignment horizontal="center" wrapText="1"/>
    </xf>
    <xf numFmtId="0" fontId="56" fillId="0" borderId="0" xfId="0" applyNumberFormat="1" applyFont="1" applyAlignment="1">
      <alignment horizontal="center" vertical="center" wrapText="1"/>
    </xf>
    <xf numFmtId="49" fontId="57" fillId="0" borderId="0" xfId="0" applyNumberFormat="1" applyFont="1" applyAlignment="1">
      <alignment horizontal="center" wrapText="1"/>
    </xf>
    <xf numFmtId="49" fontId="38" fillId="0" borderId="0" xfId="0" applyNumberFormat="1" applyFont="1" applyAlignment="1">
      <alignment horizontal="center" vertical="center" wrapText="1"/>
    </xf>
    <xf numFmtId="49" fontId="58" fillId="0" borderId="0" xfId="0" applyNumberFormat="1" applyFont="1" applyAlignment="1">
      <alignment wrapText="1"/>
    </xf>
    <xf numFmtId="0" fontId="9" fillId="0" borderId="0" xfId="0" applyNumberFormat="1" applyFont="1" applyAlignment="1">
      <alignment horizontal="left" vertical="center" wrapText="1"/>
    </xf>
    <xf numFmtId="49" fontId="3" fillId="0" borderId="0" xfId="0" applyNumberFormat="1"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ont="1" applyFill="1" applyBorder="1" applyAlignment="1">
      <alignment horizontal="center" vertical="center" wrapText="1"/>
    </xf>
    <xf numFmtId="0" fontId="0" fillId="20"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NumberFormat="1" applyFont="1" applyAlignment="1"/>
    <xf numFmtId="0" fontId="3" fillId="25" borderId="2" xfId="0" applyNumberFormat="1" applyFont="1" applyFill="1" applyBorder="1" applyAlignment="1">
      <alignment horizontal="left" vertical="center" wrapText="1" indent="1"/>
    </xf>
    <xf numFmtId="0" fontId="5" fillId="0" borderId="0" xfId="0" applyNumberFormat="1" applyFont="1" applyAlignment="1"/>
    <xf numFmtId="0" fontId="5" fillId="0" borderId="0" xfId="0" applyNumberFormat="1" applyFont="1" applyAlignment="1">
      <alignment horizontal="left"/>
    </xf>
    <xf numFmtId="0" fontId="5" fillId="2" borderId="0" xfId="0" applyNumberFormat="1" applyFont="1" applyFill="1" applyAlignment="1"/>
    <xf numFmtId="0" fontId="0" fillId="2" borderId="0" xfId="0" applyNumberFormat="1" applyFont="1" applyFill="1" applyAlignment="1">
      <alignment horizontal="center"/>
    </xf>
    <xf numFmtId="0" fontId="5" fillId="17" borderId="0" xfId="0" applyNumberFormat="1" applyFont="1" applyFill="1" applyAlignment="1"/>
    <xf numFmtId="0" fontId="3" fillId="17" borderId="0" xfId="0" applyNumberFormat="1" applyFont="1" applyFill="1" applyAlignment="1"/>
    <xf numFmtId="0" fontId="3" fillId="2" borderId="0" xfId="0" applyNumberFormat="1" applyFont="1" applyFill="1" applyAlignment="1"/>
    <xf numFmtId="0" fontId="0" fillId="0" borderId="0" xfId="0" applyNumberFormat="1" applyFont="1" applyAlignment="1">
      <alignment horizontal="center" vertical="center"/>
    </xf>
    <xf numFmtId="0" fontId="5" fillId="2" borderId="0" xfId="0" applyNumberFormat="1" applyFont="1" applyFill="1" applyAlignment="1">
      <alignment horizontal="center"/>
    </xf>
    <xf numFmtId="0" fontId="3" fillId="0" borderId="0" xfId="0" applyNumberFormat="1" applyFont="1">
      <alignment vertical="top"/>
    </xf>
    <xf numFmtId="0" fontId="5" fillId="0" borderId="0" xfId="0" applyNumberFormat="1" applyFont="1" applyAlignment="1">
      <alignment vertical="center" wrapText="1"/>
    </xf>
    <xf numFmtId="49" fontId="3" fillId="2" borderId="0" xfId="0" applyNumberFormat="1" applyFont="1" applyFill="1">
      <alignment vertical="top"/>
    </xf>
    <xf numFmtId="0" fontId="0" fillId="0" borderId="0" xfId="0" applyNumberFormat="1" applyFont="1" applyAlignment="1">
      <alignment horizontal="center" vertical="center" wrapText="1"/>
    </xf>
    <xf numFmtId="0" fontId="5" fillId="2" borderId="0" xfId="0" applyNumberFormat="1" applyFont="1" applyFill="1" applyAlignment="1">
      <alignment vertical="center" wrapText="1"/>
    </xf>
    <xf numFmtId="49" fontId="3" fillId="0" borderId="0" xfId="4" applyNumberFormat="1" applyFont="1">
      <alignment horizontal="left" vertical="center"/>
    </xf>
    <xf numFmtId="49" fontId="0" fillId="0" borderId="9"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3" fontId="0" fillId="0" borderId="9" xfId="0" applyNumberFormat="1" applyFont="1" applyBorder="1" applyAlignment="1">
      <alignment horizontal="center" vertical="center" wrapText="1"/>
    </xf>
    <xf numFmtId="0" fontId="21" fillId="14" borderId="15" xfId="0" applyNumberFormat="1" applyFont="1" applyFill="1" applyBorder="1" applyAlignment="1">
      <alignment horizontal="left" vertical="center"/>
    </xf>
    <xf numFmtId="0" fontId="21" fillId="14" borderId="9" xfId="0" applyNumberFormat="1" applyFont="1" applyFill="1" applyBorder="1" applyAlignment="1">
      <alignment horizontal="left" vertical="center"/>
    </xf>
    <xf numFmtId="169" fontId="21" fillId="14" borderId="9" xfId="0" applyNumberFormat="1" applyFont="1" applyFill="1" applyBorder="1" applyAlignment="1">
      <alignment horizontal="right" vertical="center"/>
    </xf>
    <xf numFmtId="49" fontId="34" fillId="0" borderId="0" xfId="0" applyNumberFormat="1" applyFont="1" applyAlignment="1">
      <alignment horizontal="center" vertical="center" wrapText="1"/>
    </xf>
    <xf numFmtId="169" fontId="0" fillId="10" borderId="2" xfId="0" applyNumberFormat="1" applyFont="1" applyFill="1" applyBorder="1" applyAlignment="1">
      <alignment vertical="center" wrapText="1"/>
    </xf>
    <xf numFmtId="49" fontId="22" fillId="15" borderId="22" xfId="0" applyNumberFormat="1" applyFont="1" applyFill="1" applyBorder="1" applyAlignment="1">
      <alignment vertical="center"/>
    </xf>
    <xf numFmtId="49" fontId="22" fillId="15" borderId="23" xfId="0" applyNumberFormat="1" applyFont="1" applyFill="1" applyBorder="1" applyAlignment="1">
      <alignment vertical="center"/>
    </xf>
    <xf numFmtId="49" fontId="22" fillId="15" borderId="47" xfId="0" applyNumberFormat="1" applyFont="1" applyFill="1" applyBorder="1" applyAlignment="1">
      <alignment vertical="center"/>
    </xf>
    <xf numFmtId="0" fontId="3" fillId="0" borderId="0" xfId="0" applyNumberFormat="1" applyFont="1">
      <alignment vertical="top"/>
    </xf>
    <xf numFmtId="0" fontId="5" fillId="0" borderId="0" xfId="0" applyNumberFormat="1" applyFont="1" applyAlignment="1">
      <alignment wrapText="1"/>
    </xf>
    <xf numFmtId="49" fontId="34" fillId="0" borderId="0" xfId="0" applyNumberFormat="1" applyFont="1" applyAlignment="1">
      <alignment horizontal="center" vertical="center" wrapText="1"/>
    </xf>
    <xf numFmtId="4" fontId="6" fillId="8" borderId="1"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xf>
    <xf numFmtId="49" fontId="3" fillId="2" borderId="0" xfId="0" applyNumberFormat="1" applyFont="1" applyFill="1">
      <alignment vertical="top"/>
    </xf>
    <xf numFmtId="0" fontId="3" fillId="17" borderId="0" xfId="0" applyNumberFormat="1" applyFont="1" applyFill="1">
      <alignment vertical="top"/>
    </xf>
    <xf numFmtId="49" fontId="3" fillId="17" borderId="0" xfId="0" applyNumberFormat="1" applyFont="1" applyFill="1">
      <alignment vertical="top"/>
    </xf>
    <xf numFmtId="0" fontId="3" fillId="2" borderId="0" xfId="0" applyNumberFormat="1" applyFont="1" applyFill="1">
      <alignment vertical="top"/>
    </xf>
    <xf numFmtId="0" fontId="0" fillId="0" borderId="0" xfId="0" applyNumberFormat="1" applyFont="1" applyAlignment="1">
      <alignment horizontal="center"/>
    </xf>
    <xf numFmtId="0" fontId="21" fillId="14" borderId="21" xfId="0" applyNumberFormat="1" applyFont="1" applyFill="1" applyBorder="1" applyAlignment="1">
      <alignment horizontal="left" vertical="center"/>
    </xf>
    <xf numFmtId="49" fontId="21" fillId="14" borderId="9" xfId="0" applyNumberFormat="1" applyFont="1" applyFill="1" applyBorder="1" applyAlignment="1">
      <alignment horizontal="left" vertical="center" wrapText="1"/>
    </xf>
    <xf numFmtId="49" fontId="21" fillId="14" borderId="20" xfId="0" applyNumberFormat="1" applyFont="1" applyFill="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NumberFormat="1" applyFont="1" applyBorder="1" applyAlignment="1">
      <alignment horizontal="center" vertical="center" wrapText="1"/>
    </xf>
    <xf numFmtId="49" fontId="3" fillId="0" borderId="37" xfId="0" applyNumberFormat="1" applyFont="1" applyBorder="1" applyAlignment="1">
      <alignment horizontal="left" vertical="center" wrapText="1" indent="1"/>
    </xf>
    <xf numFmtId="4" fontId="3" fillId="8" borderId="37" xfId="0" applyNumberFormat="1" applyFont="1" applyFill="1" applyBorder="1" applyAlignment="1" applyProtection="1">
      <alignment horizontal="right" vertical="center" wrapText="1"/>
      <protection locked="0"/>
    </xf>
    <xf numFmtId="169" fontId="3" fillId="10" borderId="2" xfId="0" applyNumberFormat="1" applyFont="1" applyFill="1" applyBorder="1" applyAlignment="1">
      <alignment horizontal="right" vertical="center" wrapText="1"/>
    </xf>
    <xf numFmtId="1"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49" fontId="6" fillId="0" borderId="2" xfId="0" applyNumberFormat="1" applyFont="1" applyBorder="1" applyAlignment="1">
      <alignment horizontal="center"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0" fontId="3" fillId="0" borderId="0" xfId="0" applyNumberFormat="1" applyFont="1" applyAlignment="1"/>
    <xf numFmtId="0" fontId="3" fillId="0" borderId="1" xfId="0" applyNumberFormat="1" applyFont="1" applyBorder="1" applyAlignment="1">
      <alignment horizontal="center" vertical="center"/>
    </xf>
    <xf numFmtId="49" fontId="0" fillId="0" borderId="0" xfId="0" applyNumberFormat="1" applyFont="1" applyAlignment="1">
      <alignment horizontal="center" vertical="top"/>
    </xf>
    <xf numFmtId="49" fontId="3" fillId="17" borderId="0" xfId="0" applyNumberFormat="1" applyFont="1" applyFill="1">
      <alignment vertical="top"/>
    </xf>
    <xf numFmtId="0" fontId="0" fillId="5" borderId="0" xfId="0" applyNumberFormat="1" applyFont="1" applyFill="1" applyAlignment="1">
      <alignment horizontal="center" vertical="center"/>
    </xf>
    <xf numFmtId="0" fontId="5" fillId="2" borderId="0" xfId="0" applyNumberFormat="1" applyFont="1" applyFill="1" applyAlignment="1"/>
    <xf numFmtId="0" fontId="21" fillId="14" borderId="15" xfId="0" applyNumberFormat="1" applyFont="1" applyFill="1" applyBorder="1" applyAlignment="1">
      <alignment horizontal="left" vertical="center"/>
    </xf>
    <xf numFmtId="0" fontId="34" fillId="0" borderId="0" xfId="0" applyNumberFormat="1" applyFont="1" applyAlignment="1">
      <alignment horizontal="center" vertical="center" wrapText="1"/>
    </xf>
    <xf numFmtId="49" fontId="6" fillId="15" borderId="21" xfId="0" applyNumberFormat="1" applyFont="1" applyFill="1" applyBorder="1" applyAlignment="1">
      <alignment horizontal="left" vertical="center" wrapText="1" indent="1"/>
    </xf>
    <xf numFmtId="49" fontId="22" fillId="15" borderId="11" xfId="0" applyNumberFormat="1" applyFont="1" applyFill="1" applyBorder="1" applyAlignment="1">
      <alignment horizontal="left" vertical="center" indent="1"/>
    </xf>
    <xf numFmtId="49" fontId="6" fillId="15" borderId="9" xfId="0" applyNumberFormat="1" applyFont="1" applyFill="1" applyBorder="1" applyAlignment="1">
      <alignment horizontal="left" vertical="center" wrapText="1" indent="1"/>
    </xf>
    <xf numFmtId="49" fontId="6" fillId="15" borderId="20" xfId="0" applyNumberFormat="1" applyFont="1" applyFill="1" applyBorder="1" applyAlignment="1">
      <alignment horizontal="left" vertical="center" wrapText="1" indent="1"/>
    </xf>
    <xf numFmtId="0" fontId="48" fillId="0" borderId="0" xfId="0" applyNumberFormat="1" applyFont="1" applyAlignment="1">
      <alignment vertical="center"/>
    </xf>
    <xf numFmtId="4" fontId="6" fillId="8" borderId="1" xfId="0" applyNumberFormat="1" applyFont="1" applyFill="1" applyBorder="1" applyAlignment="1" applyProtection="1">
      <alignment horizontal="right" vertical="center"/>
      <protection locked="0"/>
    </xf>
    <xf numFmtId="0" fontId="5" fillId="0" borderId="0" xfId="0" applyNumberFormat="1" applyFont="1" applyAlignment="1">
      <alignment vertical="top" wrapText="1"/>
    </xf>
    <xf numFmtId="0" fontId="20" fillId="0" borderId="0" xfId="0" applyNumberFormat="1" applyFont="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0" fontId="3" fillId="8" borderId="2" xfId="0" applyNumberFormat="1" applyFont="1" applyFill="1" applyBorder="1" applyAlignment="1">
      <alignment horizontal="left" vertical="center" wrapText="1"/>
    </xf>
    <xf numFmtId="169" fontId="3"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169" fontId="3" fillId="8" borderId="13" xfId="0" applyNumberFormat="1" applyFont="1" applyFill="1" applyBorder="1" applyAlignment="1" applyProtection="1">
      <alignment horizontal="right" vertical="center"/>
      <protection locked="0"/>
    </xf>
    <xf numFmtId="0" fontId="0" fillId="5" borderId="0" xfId="0" applyNumberFormat="1" applyFont="1" applyFill="1" applyAlignment="1">
      <alignment horizontal="center" vertical="center"/>
    </xf>
    <xf numFmtId="4" fontId="21" fillId="14" borderId="20" xfId="0" applyNumberFormat="1" applyFont="1" applyFill="1" applyBorder="1" applyAlignment="1">
      <alignment horizontal="right" vertical="center" wrapTex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wrapText="1" shrinkToFit="1"/>
    </xf>
    <xf numFmtId="49" fontId="6" fillId="0" borderId="28"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1" shrinkToFit="1"/>
    </xf>
    <xf numFmtId="49" fontId="3" fillId="0" borderId="28"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indent="3" shrinkToFit="1"/>
    </xf>
    <xf numFmtId="49" fontId="3" fillId="0" borderId="2" xfId="0" applyNumberFormat="1" applyFont="1" applyBorder="1" applyAlignment="1">
      <alignment horizontal="left" vertical="center" wrapText="1" indent="4" shrinkToFit="1"/>
    </xf>
    <xf numFmtId="0" fontId="34" fillId="0" borderId="0" xfId="0" applyNumberFormat="1" applyFont="1" applyAlignment="1">
      <alignment horizontal="center" vertical="center" wrapText="1"/>
    </xf>
    <xf numFmtId="0" fontId="17" fillId="0" borderId="0" xfId="0" applyNumberFormat="1" applyFont="1" applyAlignment="1">
      <alignment vertical="center"/>
    </xf>
    <xf numFmtId="0" fontId="3" fillId="15" borderId="28" xfId="0" applyNumberFormat="1" applyFont="1" applyFill="1" applyBorder="1" applyAlignment="1">
      <alignment horizontal="center" vertical="center" wrapText="1" shrinkToFit="1"/>
    </xf>
    <xf numFmtId="49" fontId="22" fillId="15" borderId="23" xfId="0" applyNumberFormat="1" applyFont="1" applyFill="1" applyBorder="1" applyAlignment="1">
      <alignment horizontal="left" vertical="center" indent="2"/>
    </xf>
    <xf numFmtId="49" fontId="3" fillId="15" borderId="29" xfId="0" applyNumberFormat="1" applyFont="1" applyFill="1" applyBorder="1" applyAlignment="1">
      <alignment horizontal="center" vertical="center" wrapText="1" shrinkToFit="1"/>
    </xf>
    <xf numFmtId="49" fontId="6" fillId="0" borderId="2" xfId="0" applyNumberFormat="1" applyFont="1" applyBorder="1" applyAlignment="1">
      <alignment horizontal="left" vertical="center" wrapText="1" indent="2" shrinkToFit="1"/>
    </xf>
    <xf numFmtId="0" fontId="3" fillId="0" borderId="2" xfId="0" applyNumberFormat="1" applyFont="1" applyBorder="1" applyAlignment="1">
      <alignment horizontal="left" vertical="center" wrapText="1" indent="1" shrinkToFit="1"/>
    </xf>
    <xf numFmtId="0" fontId="5" fillId="0" borderId="0" xfId="0" applyNumberFormat="1" applyFont="1" applyAlignment="1">
      <alignment vertical="top" wrapText="1"/>
    </xf>
    <xf numFmtId="0" fontId="6" fillId="0" borderId="0" xfId="0" applyNumberFormat="1" applyFont="1" applyAlignment="1">
      <alignment horizontal="center" vertical="center" wrapText="1" shrinkToFit="1"/>
    </xf>
    <xf numFmtId="49" fontId="6" fillId="0" borderId="0" xfId="0" applyNumberFormat="1" applyFont="1" applyAlignment="1">
      <alignment horizontal="left" vertical="center" wrapText="1" shrinkToFit="1"/>
    </xf>
    <xf numFmtId="49" fontId="6" fillId="0" borderId="0" xfId="0" applyNumberFormat="1" applyFont="1" applyAlignment="1">
      <alignment horizontal="center" vertical="center" wrapText="1" shrinkToFit="1"/>
    </xf>
    <xf numFmtId="0" fontId="3" fillId="0" borderId="0" xfId="0" applyNumberFormat="1" applyFont="1">
      <alignment vertical="top"/>
    </xf>
    <xf numFmtId="0" fontId="3" fillId="2" borderId="0" xfId="0" applyNumberFormat="1" applyFont="1" applyFill="1">
      <alignment vertical="top"/>
    </xf>
    <xf numFmtId="0" fontId="3" fillId="17" borderId="0" xfId="0" applyNumberFormat="1" applyFont="1" applyFill="1">
      <alignment vertical="top"/>
    </xf>
    <xf numFmtId="0" fontId="34" fillId="0" borderId="0" xfId="0" applyNumberFormat="1" applyFont="1" applyAlignment="1">
      <alignment horizontal="center" vertical="center" wrapText="1"/>
    </xf>
    <xf numFmtId="0" fontId="3" fillId="14" borderId="9" xfId="0" applyNumberFormat="1" applyFont="1" applyFill="1" applyBorder="1" applyAlignment="1">
      <alignment horizontal="left" vertical="center"/>
    </xf>
    <xf numFmtId="49" fontId="3" fillId="14" borderId="9" xfId="0" applyNumberFormat="1" applyFont="1" applyFill="1" applyBorder="1" applyAlignment="1">
      <alignment horizontal="left" vertical="center" wrapText="1"/>
    </xf>
    <xf numFmtId="49" fontId="3" fillId="14" borderId="20"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 xfId="0" applyNumberFormat="1" applyFont="1" applyBorder="1" applyAlignment="1">
      <alignment horizontal="left" vertical="center" wrapText="1" shrinkToFit="1"/>
    </xf>
    <xf numFmtId="49" fontId="3" fillId="0" borderId="29" xfId="0" applyNumberFormat="1" applyFont="1" applyBorder="1" applyAlignment="1">
      <alignment horizontal="left" vertical="center" wrapText="1" indent="1" shrinkToFit="1"/>
    </xf>
    <xf numFmtId="49" fontId="6" fillId="0" borderId="29" xfId="0" applyNumberFormat="1" applyFont="1" applyBorder="1" applyAlignment="1">
      <alignment vertical="center" wrapText="1"/>
    </xf>
    <xf numFmtId="0" fontId="7" fillId="0" borderId="0" xfId="0" applyNumberFormat="1" applyFont="1" applyAlignment="1">
      <alignment vertical="center"/>
    </xf>
    <xf numFmtId="49" fontId="3" fillId="0" borderId="29" xfId="0" applyNumberFormat="1" applyFont="1" applyBorder="1" applyAlignment="1">
      <alignment horizontal="left" vertical="center" wrapText="1" indent="1"/>
    </xf>
    <xf numFmtId="169" fontId="3" fillId="8"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left" vertical="center" wrapText="1" indent="1"/>
    </xf>
    <xf numFmtId="0" fontId="34" fillId="0" borderId="0" xfId="0" applyNumberFormat="1" applyFont="1" applyAlignment="1">
      <alignment horizontal="center" vertical="center" wrapText="1"/>
    </xf>
    <xf numFmtId="0" fontId="1" fillId="0" borderId="0" xfId="0" applyNumberFormat="1" applyFont="1" applyAlignment="1"/>
    <xf numFmtId="0" fontId="35" fillId="0" borderId="0" xfId="0" applyNumberFormat="1" applyFont="1" applyAlignment="1">
      <alignment wrapText="1"/>
    </xf>
    <xf numFmtId="0" fontId="3" fillId="0" borderId="0" xfId="0" applyNumberFormat="1" applyFont="1" applyAlignment="1">
      <alignment horizontal="left" vertical="center"/>
    </xf>
    <xf numFmtId="0" fontId="5" fillId="0" borderId="0" xfId="0" applyNumberFormat="1" applyFont="1" applyAlignment="1">
      <alignment wrapText="1"/>
    </xf>
    <xf numFmtId="0" fontId="5" fillId="0" borderId="0" xfId="0" applyNumberFormat="1" applyFont="1" applyAlignment="1">
      <alignment vertical="center"/>
    </xf>
    <xf numFmtId="0" fontId="5" fillId="17" borderId="0" xfId="0" applyNumberFormat="1" applyFont="1" applyFill="1" applyAlignment="1">
      <alignment vertical="center"/>
    </xf>
    <xf numFmtId="0" fontId="5" fillId="2" borderId="0" xfId="0" applyNumberFormat="1" applyFont="1" applyFill="1" applyAlignment="1">
      <alignment vertical="center"/>
    </xf>
    <xf numFmtId="0" fontId="5" fillId="0" borderId="0" xfId="0" applyNumberFormat="1" applyFont="1" applyAlignment="1"/>
    <xf numFmtId="49" fontId="24" fillId="0" borderId="4" xfId="0" quotePrefix="1" applyNumberFormat="1" applyFont="1" applyBorder="1" applyAlignment="1">
      <alignment horizontal="left" vertical="center"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1" fillId="0" borderId="4" xfId="0" applyNumberFormat="1" applyFont="1" applyBorder="1" applyAlignment="1"/>
    <xf numFmtId="0" fontId="13" fillId="0" borderId="0" xfId="0" applyNumberFormat="1" applyFont="1" applyAlignment="1">
      <alignment vertical="center"/>
    </xf>
    <xf numFmtId="49" fontId="22" fillId="15" borderId="23" xfId="0" applyNumberFormat="1" applyFont="1" applyFill="1" applyBorder="1" applyAlignment="1">
      <alignment vertical="center"/>
    </xf>
    <xf numFmtId="49"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3" borderId="28"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center"/>
    </xf>
    <xf numFmtId="0" fontId="24" fillId="0" borderId="0" xfId="0" applyNumberFormat="1" applyFont="1" applyAlignment="1">
      <alignment horizontal="left" vertical="center"/>
    </xf>
    <xf numFmtId="0" fontId="34" fillId="0" borderId="43" xfId="0" applyNumberFormat="1" applyFont="1" applyBorder="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0" borderId="3" xfId="0" applyNumberFormat="1" applyFont="1" applyBorder="1" applyAlignment="1">
      <alignment horizontal="center" vertical="center" wrapText="1"/>
    </xf>
    <xf numFmtId="4" fontId="5" fillId="10" borderId="1" xfId="0" applyNumberFormat="1" applyFont="1" applyFill="1" applyBorder="1" applyAlignment="1">
      <alignment horizontal="right" vertical="center" wrapText="1"/>
    </xf>
    <xf numFmtId="4" fontId="5" fillId="8" borderId="1" xfId="0" applyNumberFormat="1" applyFont="1" applyFill="1" applyBorder="1" applyAlignment="1" applyProtection="1">
      <alignment horizontal="right" vertical="center" wrapText="1"/>
      <protection locked="0"/>
    </xf>
    <xf numFmtId="4" fontId="5" fillId="15" borderId="20" xfId="0" applyNumberFormat="1" applyFont="1" applyFill="1" applyBorder="1" applyAlignment="1">
      <alignment horizontal="right" vertical="center" wrapText="1"/>
    </xf>
    <xf numFmtId="49" fontId="22" fillId="15" borderId="23" xfId="0" applyNumberFormat="1" applyFont="1" applyFill="1" applyBorder="1" applyAlignment="1">
      <alignment horizontal="left" vertical="center" indent="2"/>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13" fillId="0" borderId="0" xfId="0" applyNumberFormat="1" applyFont="1" applyAlignment="1">
      <alignment horizontal="left" vertical="center"/>
    </xf>
    <xf numFmtId="0" fontId="3" fillId="17" borderId="0" xfId="0" applyNumberFormat="1" applyFont="1" applyFill="1" applyAlignment="1">
      <alignment vertical="center"/>
    </xf>
    <xf numFmtId="0" fontId="3" fillId="0" borderId="0" xfId="0" applyNumberFormat="1" applyFont="1" applyAlignment="1">
      <alignment vertical="center"/>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20" xfId="0" applyNumberFormat="1" applyFont="1" applyFill="1" applyBorder="1" applyAlignment="1">
      <alignment vertical="center"/>
    </xf>
    <xf numFmtId="0" fontId="3" fillId="3" borderId="28"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2" fillId="15" borderId="21" xfId="0" applyNumberFormat="1" applyFont="1" applyFill="1" applyBorder="1" applyAlignment="1">
      <alignment vertical="center"/>
    </xf>
    <xf numFmtId="49" fontId="22" fillId="15" borderId="9" xfId="0" applyNumberFormat="1" applyFont="1" applyFill="1" applyBorder="1" applyAlignment="1">
      <alignment vertical="center"/>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4" fontId="5" fillId="8" borderId="1" xfId="0" applyNumberFormat="1" applyFont="1" applyFill="1" applyBorder="1" applyAlignment="1" applyProtection="1">
      <alignment horizontal="right" vertical="center" wrapText="1"/>
      <protection locked="0"/>
    </xf>
    <xf numFmtId="4" fontId="3"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5" fillId="0" borderId="0" xfId="0" applyNumberFormat="1" applyFont="1" applyAlignment="1"/>
    <xf numFmtId="0" fontId="5" fillId="0" borderId="0" xfId="0" applyNumberFormat="1" applyFont="1" applyAlignment="1">
      <alignment horizontal="left"/>
    </xf>
    <xf numFmtId="0" fontId="5" fillId="22" borderId="0" xfId="0" applyNumberFormat="1" applyFont="1" applyFill="1" applyAlignment="1">
      <alignment horizontal="center" vertical="center"/>
    </xf>
    <xf numFmtId="0" fontId="0" fillId="5" borderId="0" xfId="0" applyNumberFormat="1" applyFont="1" applyFill="1" applyAlignment="1">
      <alignment horizontal="center"/>
    </xf>
    <xf numFmtId="0" fontId="0" fillId="0" borderId="0" xfId="0" applyNumberFormat="1" applyFont="1" applyAlignment="1">
      <alignment horizontal="left"/>
    </xf>
    <xf numFmtId="0" fontId="0" fillId="0" borderId="0" xfId="0" applyNumberFormat="1" applyFont="1" applyAlignment="1">
      <alignment horizontal="center" wrapText="1"/>
    </xf>
    <xf numFmtId="0" fontId="0" fillId="0" borderId="0" xfId="0" applyNumberFormat="1" applyFont="1" applyAlignment="1">
      <alignment horizontal="center"/>
    </xf>
    <xf numFmtId="0" fontId="5" fillId="17" borderId="0" xfId="0" applyNumberFormat="1" applyFont="1" applyFill="1" applyAlignment="1"/>
    <xf numFmtId="0" fontId="5" fillId="17" borderId="0" xfId="0" applyNumberFormat="1" applyFont="1" applyFill="1" applyAlignment="1">
      <alignment horizontal="left"/>
    </xf>
    <xf numFmtId="0" fontId="3" fillId="17" borderId="0" xfId="0" applyNumberFormat="1" applyFont="1" applyFill="1" applyAlignment="1"/>
    <xf numFmtId="0" fontId="5" fillId="17" borderId="0" xfId="0" applyNumberFormat="1" applyFont="1" applyFill="1" applyAlignment="1">
      <alignment wrapText="1"/>
    </xf>
    <xf numFmtId="0" fontId="5" fillId="2" borderId="0" xfId="0" applyNumberFormat="1" applyFont="1" applyFill="1" applyAlignment="1"/>
    <xf numFmtId="0" fontId="0" fillId="2" borderId="0" xfId="0" applyNumberFormat="1" applyFont="1" applyFill="1" applyAlignment="1">
      <alignment horizontal="center"/>
    </xf>
    <xf numFmtId="0" fontId="5" fillId="2" borderId="0" xfId="0" applyNumberFormat="1" applyFont="1" applyFill="1" applyAlignment="1">
      <alignment horizontal="left"/>
    </xf>
    <xf numFmtId="0" fontId="3" fillId="2" borderId="0" xfId="0" applyNumberFormat="1" applyFont="1" applyFill="1" applyAlignment="1"/>
    <xf numFmtId="0" fontId="5" fillId="2" borderId="0" xfId="0" applyNumberFormat="1" applyFont="1" applyFill="1" applyAlignment="1">
      <alignment wrapText="1"/>
    </xf>
    <xf numFmtId="0" fontId="3" fillId="0" borderId="0" xfId="0" applyNumberFormat="1" applyFont="1" applyAlignment="1">
      <alignment vertical="center"/>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5" fillId="0" borderId="0" xfId="0" applyNumberFormat="1" applyFont="1" applyAlignment="1">
      <alignment horizontal="center" vertical="center"/>
    </xf>
    <xf numFmtId="0" fontId="6" fillId="0" borderId="48" xfId="0" quotePrefix="1" applyNumberFormat="1" applyFont="1" applyBorder="1" applyAlignment="1">
      <alignment horizontal="left" vertical="center" indent="1"/>
    </xf>
    <xf numFmtId="0" fontId="23" fillId="0" borderId="48" xfId="0" applyNumberFormat="1" applyFont="1" applyBorder="1" applyAlignment="1">
      <alignment vertical="center"/>
    </xf>
    <xf numFmtId="0" fontId="23" fillId="0" borderId="48" xfId="0" applyNumberFormat="1" applyFont="1" applyBorder="1" applyAlignment="1"/>
    <xf numFmtId="0" fontId="5" fillId="17" borderId="0" xfId="0" applyNumberFormat="1" applyFont="1" applyFill="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14" fillId="0" borderId="0" xfId="0" applyNumberFormat="1" applyFont="1" applyAlignment="1">
      <alignment vertical="center" wrapText="1"/>
    </xf>
    <xf numFmtId="0" fontId="3" fillId="0" borderId="2" xfId="0" applyNumberFormat="1" applyFont="1" applyBorder="1" applyAlignment="1">
      <alignment horizontal="center" vertical="center" wrapText="1"/>
    </xf>
    <xf numFmtId="0" fontId="3" fillId="26" borderId="2" xfId="0" applyNumberFormat="1" applyFont="1" applyFill="1" applyBorder="1" applyAlignment="1">
      <alignment horizontal="center" vertical="center" wrapText="1"/>
    </xf>
    <xf numFmtId="0" fontId="5" fillId="0" borderId="2" xfId="0" applyNumberFormat="1" applyFont="1" applyBorder="1" applyAlignment="1">
      <alignment horizontal="center" vertical="center" wrapText="1"/>
    </xf>
    <xf numFmtId="0" fontId="5" fillId="26" borderId="49" xfId="0" applyNumberFormat="1" applyFont="1" applyFill="1" applyBorder="1" applyAlignment="1">
      <alignment horizontal="center" vertical="center" wrapText="1"/>
    </xf>
    <xf numFmtId="0" fontId="3" fillId="0" borderId="0" xfId="0" applyNumberFormat="1" applyFont="1">
      <alignment vertical="top"/>
    </xf>
    <xf numFmtId="0" fontId="0" fillId="0" borderId="0" xfId="0" applyNumberFormat="1" applyFont="1" applyAlignment="1">
      <alignment horizontal="center" vertical="top"/>
    </xf>
    <xf numFmtId="0" fontId="3" fillId="17" borderId="0" xfId="0" applyNumberFormat="1" applyFont="1" applyFill="1">
      <alignment vertical="top"/>
    </xf>
    <xf numFmtId="0" fontId="3" fillId="0" borderId="50" xfId="0" applyNumberFormat="1" applyFont="1" applyBorder="1" applyAlignment="1">
      <alignment horizontal="center" vertical="center" wrapText="1"/>
    </xf>
    <xf numFmtId="0" fontId="5" fillId="0" borderId="0" xfId="0" applyNumberFormat="1" applyFont="1" applyAlignment="1">
      <alignment vertical="center" wrapText="1"/>
    </xf>
    <xf numFmtId="0" fontId="5" fillId="0" borderId="0" xfId="0" applyNumberFormat="1" applyFont="1" applyAlignment="1">
      <alignment horizontal="right" vertical="center"/>
    </xf>
    <xf numFmtId="0" fontId="0" fillId="0" borderId="0" xfId="0" applyNumberFormat="1" applyFont="1" applyAlignment="1">
      <alignment horizontal="center" vertical="center" wrapText="1"/>
    </xf>
    <xf numFmtId="0" fontId="5" fillId="17" borderId="0" xfId="0" applyNumberFormat="1" applyFont="1" applyFill="1" applyAlignment="1">
      <alignment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NumberFormat="1" applyFont="1" applyFill="1" applyBorder="1" applyAlignment="1">
      <alignment horizontal="left" vertical="center" wrapText="1"/>
    </xf>
    <xf numFmtId="0" fontId="3" fillId="0" borderId="2" xfId="0" applyNumberFormat="1" applyFont="1" applyBorder="1" applyAlignment="1">
      <alignment horizontal="center" vertical="center"/>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169" fontId="5" fillId="8" borderId="2" xfId="0" applyNumberFormat="1" applyFont="1" applyFill="1" applyBorder="1" applyAlignment="1" applyProtection="1">
      <alignment horizontal="right" vertical="center"/>
      <protection locked="0"/>
    </xf>
    <xf numFmtId="0" fontId="5" fillId="0" borderId="2" xfId="0" applyNumberFormat="1" applyFont="1" applyBorder="1" applyAlignment="1">
      <alignment horizontal="left" vertical="center" wrapText="1"/>
    </xf>
    <xf numFmtId="0" fontId="5" fillId="0" borderId="0" xfId="0" applyNumberFormat="1" applyFont="1" applyAlignment="1">
      <alignment wrapText="1"/>
    </xf>
    <xf numFmtId="0" fontId="3" fillId="0" borderId="0" xfId="0" applyNumberFormat="1" applyFont="1" applyAlignment="1"/>
    <xf numFmtId="0" fontId="5" fillId="22" borderId="0" xfId="0" applyNumberFormat="1" applyFont="1" applyFill="1" applyAlignment="1">
      <alignment horizontal="center" vertical="center"/>
    </xf>
    <xf numFmtId="0" fontId="0" fillId="27" borderId="0" xfId="0" applyNumberFormat="1" applyFont="1" applyFill="1" applyAlignment="1">
      <alignment horizontal="center" vertical="center"/>
    </xf>
    <xf numFmtId="49" fontId="22" fillId="15" borderId="23" xfId="0" applyNumberFormat="1" applyFont="1" applyFill="1" applyBorder="1" applyAlignment="1">
      <alignment vertical="center"/>
    </xf>
    <xf numFmtId="0" fontId="5" fillId="15" borderId="9" xfId="0" applyNumberFormat="1" applyFont="1" applyFill="1" applyBorder="1" applyAlignment="1">
      <alignment vertical="center"/>
    </xf>
    <xf numFmtId="0" fontId="3" fillId="22" borderId="0" xfId="0" applyNumberFormat="1" applyFont="1" applyFill="1" applyAlignment="1">
      <alignment horizontal="center" vertical="center"/>
    </xf>
    <xf numFmtId="49" fontId="3" fillId="0" borderId="0" xfId="0" applyNumberFormat="1" applyFont="1">
      <alignment vertical="top"/>
    </xf>
    <xf numFmtId="49" fontId="3" fillId="22" borderId="0" xfId="0" applyNumberFormat="1" applyFont="1" applyFill="1" applyAlignment="1">
      <alignment horizontal="center" vertical="center"/>
    </xf>
    <xf numFmtId="0" fontId="5" fillId="0" borderId="0" xfId="0" applyNumberFormat="1" applyFont="1" applyAlignment="1">
      <alignment horizontal="center" vertical="center"/>
    </xf>
    <xf numFmtId="49" fontId="3" fillId="0" borderId="0" xfId="0" applyNumberFormat="1" applyFont="1" applyAlignment="1">
      <alignment horizontal="center" vertical="center"/>
    </xf>
    <xf numFmtId="4" fontId="6" fillId="10" borderId="1" xfId="0" applyNumberFormat="1" applyFont="1" applyFill="1" applyBorder="1" applyAlignment="1">
      <alignment horizontal="right" vertical="center"/>
    </xf>
    <xf numFmtId="0" fontId="3" fillId="0" borderId="0" xfId="0" applyNumberFormat="1" applyFont="1" applyAlignment="1">
      <alignment vertical="top" wrapTex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horizontal="center"/>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0" xfId="0" applyNumberFormat="1" applyFont="1" applyAlignment="1">
      <alignment horizontal="center"/>
    </xf>
    <xf numFmtId="49" fontId="0" fillId="0" borderId="0" xfId="0" applyNumberFormat="1" applyFont="1">
      <alignment vertical="top"/>
    </xf>
    <xf numFmtId="0" fontId="3" fillId="10" borderId="1" xfId="0" applyNumberFormat="1" applyFont="1" applyFill="1" applyBorder="1" applyAlignment="1">
      <alignment horizontal="left" vertical="center" wrapText="1" indent="1"/>
    </xf>
    <xf numFmtId="49" fontId="5" fillId="10" borderId="2" xfId="0" applyNumberFormat="1" applyFont="1" applyFill="1" applyBorder="1" applyAlignment="1">
      <alignment horizontal="left" vertical="center" wrapText="1" indent="1"/>
    </xf>
    <xf numFmtId="49" fontId="32" fillId="8"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lignment horizontal="left" vertical="center" wrapText="1" indent="1"/>
    </xf>
    <xf numFmtId="49" fontId="5" fillId="8"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indent="1"/>
    </xf>
    <xf numFmtId="49" fontId="3" fillId="16" borderId="2" xfId="0" applyNumberFormat="1" applyFont="1" applyFill="1" applyBorder="1" applyAlignment="1">
      <alignment horizontal="left" vertical="center" wrapText="1" indent="1"/>
    </xf>
    <xf numFmtId="171" fontId="5" fillId="16" borderId="2" xfId="0" applyNumberFormat="1" applyFont="1" applyFill="1" applyBorder="1" applyAlignment="1">
      <alignment horizontal="left" vertical="center" wrapText="1" indent="1"/>
    </xf>
    <xf numFmtId="49" fontId="32" fillId="8" borderId="2" xfId="0" applyNumberFormat="1" applyFont="1" applyFill="1" applyBorder="1" applyAlignment="1">
      <alignment horizontal="left" vertical="center" wrapText="1" indent="1"/>
    </xf>
    <xf numFmtId="49" fontId="64" fillId="8" borderId="2" xfId="0" applyNumberFormat="1" applyFont="1" applyFill="1" applyBorder="1" applyAlignment="1" applyProtection="1">
      <alignment horizontal="left" vertical="center" wrapText="1" indent="1"/>
      <protection locked="0"/>
    </xf>
    <xf numFmtId="49" fontId="3" fillId="8" borderId="2" xfId="0" applyNumberFormat="1" applyFont="1" applyFill="1" applyBorder="1" applyAlignment="1" applyProtection="1">
      <alignment horizontal="left" vertical="center" wrapText="1" indent="1"/>
      <protection locked="0"/>
    </xf>
    <xf numFmtId="49" fontId="3" fillId="16" borderId="2" xfId="0" applyNumberFormat="1" applyFont="1" applyFill="1" applyBorder="1" applyAlignment="1" applyProtection="1">
      <alignment horizontal="left" vertical="center" wrapText="1" indent="1"/>
      <protection locked="0"/>
    </xf>
    <xf numFmtId="49" fontId="64" fillId="8" borderId="2"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pplyProtection="1">
      <alignment horizontal="left" vertical="center" wrapText="1" indent="1"/>
      <protection locked="0"/>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0" fontId="3" fillId="16" borderId="1" xfId="0" applyNumberFormat="1" applyFont="1" applyFill="1" applyBorder="1" applyAlignment="1">
      <alignment horizontal="left" vertical="center" wrapText="1" indent="1"/>
    </xf>
    <xf numFmtId="49" fontId="3" fillId="16" borderId="2" xfId="0" applyNumberFormat="1"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NumberFormat="1"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NumberFormat="1" applyFont="1" applyFill="1" applyBorder="1" applyAlignment="1">
      <alignment horizontal="left" vertical="center" wrapText="1"/>
    </xf>
    <xf numFmtId="49" fontId="3" fillId="16" borderId="1" xfId="0" applyNumberFormat="1" applyFont="1" applyFill="1" applyBorder="1" applyAlignment="1">
      <alignment horizontal="center" vertical="center" wrapText="1"/>
    </xf>
    <xf numFmtId="4" fontId="3" fillId="8" borderId="2" xfId="0" applyNumberFormat="1" applyFont="1" applyFill="1" applyBorder="1" applyAlignment="1">
      <alignment horizontal="right" vertical="center"/>
    </xf>
    <xf numFmtId="49" fontId="3" fillId="8" borderId="1" xfId="0" applyNumberFormat="1" applyFont="1" applyFill="1" applyBorder="1" applyAlignment="1">
      <alignment horizontal="left" vertical="center" wrapText="1"/>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NumberFormat="1" applyFont="1" applyFill="1" applyBorder="1" applyAlignment="1">
      <alignment horizontal="left" vertical="center" wrapText="1"/>
    </xf>
    <xf numFmtId="169" fontId="0" fillId="8" borderId="2" xfId="0" applyNumberFormat="1" applyFon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ont="1" applyFill="1" applyBorder="1" applyAlignment="1">
      <alignment horizontal="right" vertical="center"/>
    </xf>
    <xf numFmtId="169" fontId="3" fillId="8" borderId="1" xfId="0" applyNumberFormat="1" applyFont="1" applyFill="1" applyBorder="1" applyAlignment="1">
      <alignment horizontal="right" vertical="center"/>
    </xf>
    <xf numFmtId="49" fontId="5"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169" fontId="5" fillId="8" borderId="37" xfId="0" applyNumberFormat="1" applyFont="1" applyFill="1" applyBorder="1" applyAlignment="1">
      <alignment horizontal="right" vertical="center"/>
    </xf>
    <xf numFmtId="169" fontId="0" fillId="8" borderId="37" xfId="0" applyNumberFormat="1" applyFon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NumberFormat="1"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49" fontId="3" fillId="8"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0" fontId="1" fillId="0" borderId="0" xfId="1" applyNumberFormat="1" applyFont="1" applyAlignment="1"/>
    <xf numFmtId="0" fontId="35" fillId="0" borderId="0" xfId="1" applyNumberFormat="1" applyFont="1" applyAlignment="1">
      <alignment wrapText="1"/>
    </xf>
    <xf numFmtId="169" fontId="5" fillId="8" borderId="2" xfId="0" applyNumberFormat="1" applyFont="1" applyFill="1" applyBorder="1" applyAlignment="1">
      <alignment horizontal="right" vertical="center"/>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0" fillId="16" borderId="1" xfId="0" applyNumberFormat="1" applyFont="1" applyFill="1" applyBorder="1" applyAlignment="1">
      <alignment horizontal="left" vertical="center" wrapText="1"/>
    </xf>
    <xf numFmtId="0" fontId="0" fillId="8" borderId="1" xfId="0" applyNumberFormat="1" applyFont="1" applyFill="1" applyBorder="1" applyAlignment="1">
      <alignment horizontal="left" vertical="center" wrapText="1"/>
    </xf>
    <xf numFmtId="3" fontId="0" fillId="8" borderId="1" xfId="0" applyNumberFormat="1" applyFont="1" applyFill="1" applyBorder="1" applyAlignment="1">
      <alignment horizontal="left" vertical="center" wrapText="1"/>
    </xf>
    <xf numFmtId="4" fontId="0" fillId="8" borderId="1" xfId="0" applyNumberFormat="1" applyFont="1" applyFill="1" applyBorder="1" applyAlignment="1">
      <alignment horizontal="right" vertical="center" wrapText="1"/>
    </xf>
    <xf numFmtId="0" fontId="0" fillId="8" borderId="1" xfId="0" applyNumberFormat="1" applyFont="1" applyFill="1" applyBorder="1" applyAlignment="1">
      <alignment horizontal="left" vertical="center" wrapText="1" indent="1"/>
    </xf>
    <xf numFmtId="169" fontId="0" fillId="8" borderId="1" xfId="0" applyNumberFormat="1" applyFont="1" applyFill="1" applyBorder="1" applyAlignment="1">
      <alignment horizontal="right" vertical="center" wrapText="1"/>
    </xf>
    <xf numFmtId="169" fontId="0" fillId="8" borderId="2" xfId="0" applyNumberFormat="1" applyFont="1" applyFill="1" applyBorder="1" applyAlignment="1">
      <alignment vertical="center" wrapText="1"/>
    </xf>
    <xf numFmtId="49" fontId="0" fillId="8" borderId="1" xfId="0" applyNumberFormat="1" applyFont="1" applyFill="1" applyBorder="1" applyAlignment="1">
      <alignment horizontal="left" vertical="center" wrapText="1"/>
    </xf>
    <xf numFmtId="0" fontId="3" fillId="16" borderId="2" xfId="0" applyNumberFormat="1" applyFont="1" applyFill="1" applyBorder="1" applyAlignment="1">
      <alignment horizontal="left" vertical="center" wrapText="1"/>
    </xf>
    <xf numFmtId="0" fontId="0" fillId="0" borderId="0" xfId="0" applyNumberFormat="1" applyFont="1" applyAlignment="1">
      <alignment vertical="center" wrapText="1"/>
    </xf>
    <xf numFmtId="4" fontId="5" fillId="8" borderId="1" xfId="0" applyNumberFormat="1" applyFont="1" applyFill="1" applyBorder="1" applyAlignment="1">
      <alignment horizontal="right" vertical="center"/>
    </xf>
    <xf numFmtId="0" fontId="0" fillId="0" borderId="0" xfId="0" applyNumberFormat="1" applyFont="1" applyAlignment="1">
      <alignment vertical="center" wrapText="1"/>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0" fontId="3" fillId="8" borderId="1"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0" fontId="3" fillId="0" borderId="1" xfId="0" applyNumberFormat="1" applyFont="1" applyBorder="1" applyAlignment="1">
      <alignment horizontal="center" vertical="center" wrapText="1"/>
    </xf>
    <xf numFmtId="49"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3"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8" borderId="2" xfId="0" applyNumberFormat="1" applyFont="1" applyFill="1" applyBorder="1" applyAlignment="1">
      <alignment horizontal="left" vertical="center" wrapText="1"/>
    </xf>
    <xf numFmtId="49" fontId="3" fillId="16" borderId="1" xfId="0" applyNumberFormat="1" applyFont="1" applyFill="1" applyBorder="1" applyAlignment="1">
      <alignment horizontal="left" vertical="center" wrapText="1" indent="1"/>
    </xf>
    <xf numFmtId="0" fontId="15" fillId="0" borderId="0" xfId="0" applyNumberFormat="1" applyFont="1" applyAlignment="1"/>
    <xf numFmtId="0" fontId="15" fillId="0" borderId="0" xfId="0" applyNumberFormat="1" applyFont="1" applyAlignment="1"/>
    <xf numFmtId="169" fontId="3" fillId="8" borderId="1" xfId="0" applyNumberFormat="1" applyFont="1" applyFill="1" applyBorder="1" applyAlignment="1">
      <alignment horizontal="right" vertical="center" wrapText="1"/>
    </xf>
    <xf numFmtId="0" fontId="15" fillId="0" borderId="0" xfId="0" applyNumberFormat="1" applyFont="1" applyAlignment="1"/>
    <xf numFmtId="4" fontId="0" fillId="8" borderId="1" xfId="0" applyNumberFormat="1" applyFont="1" applyFill="1" applyBorder="1" applyAlignment="1">
      <alignment horizontal="right" vertical="center" wrapText="1"/>
    </xf>
    <xf numFmtId="49" fontId="6" fillId="8" borderId="1" xfId="0" applyNumberFormat="1"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169" fontId="3" fillId="8" borderId="2" xfId="0" applyNumberFormat="1" applyFont="1" applyFill="1" applyBorder="1" applyAlignment="1">
      <alignment horizontal="right" vertical="center"/>
    </xf>
    <xf numFmtId="49" fontId="3" fillId="16" borderId="2" xfId="0" applyNumberFormat="1" applyFont="1" applyFill="1" applyBorder="1" applyAlignment="1">
      <alignment horizontal="left" vertical="center" wrapText="1"/>
    </xf>
    <xf numFmtId="4" fontId="3" fillId="8" borderId="2" xfId="0" applyNumberFormat="1" applyFont="1" applyFill="1" applyBorder="1" applyAlignment="1">
      <alignment horizontal="right" vertical="center"/>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3" fillId="16" borderId="2" xfId="0" applyNumberFormat="1" applyFont="1" applyFill="1" applyBorder="1" applyAlignment="1">
      <alignment horizontal="left" vertical="center" wrapText="1"/>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49" fontId="3" fillId="8" borderId="2" xfId="0" applyNumberFormat="1" applyFont="1" applyFill="1" applyBorder="1" applyAlignment="1">
      <alignment horizontal="left" vertical="center" wrapText="1"/>
    </xf>
    <xf numFmtId="0" fontId="3" fillId="8" borderId="2" xfId="0" applyNumberFormat="1" applyFont="1" applyFill="1" applyBorder="1" applyAlignment="1">
      <alignment horizontal="left" vertical="center" wrapText="1"/>
    </xf>
    <xf numFmtId="49" fontId="6" fillId="8" borderId="2" xfId="0" applyNumberFormat="1" applyFont="1" applyFill="1" applyBorder="1" applyAlignment="1">
      <alignment horizontal="left" vertical="center" wrapText="1"/>
    </xf>
    <xf numFmtId="4"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xf>
    <xf numFmtId="49" fontId="3" fillId="8" borderId="2" xfId="0" applyNumberFormat="1" applyFont="1" applyFill="1" applyBorder="1" applyAlignment="1">
      <alignment horizontal="left" vertical="center" wrapText="1"/>
    </xf>
    <xf numFmtId="4" fontId="6" fillId="0" borderId="1" xfId="0" applyNumberFormat="1" applyFont="1" applyBorder="1" applyAlignment="1">
      <alignment horizontal="right" vertical="center"/>
    </xf>
    <xf numFmtId="169" fontId="3" fillId="8" borderId="1" xfId="0" applyNumberFormat="1" applyFont="1" applyFill="1" applyBorder="1" applyAlignment="1">
      <alignment horizontal="right" vertical="center"/>
    </xf>
    <xf numFmtId="4" fontId="6" fillId="8" borderId="1" xfId="0" applyNumberFormat="1" applyFont="1" applyFill="1" applyBorder="1" applyAlignment="1">
      <alignment horizontal="right" vertical="center"/>
    </xf>
    <xf numFmtId="4" fontId="3" fillId="8" borderId="1" xfId="0" applyNumberFormat="1" applyFont="1" applyFill="1" applyBorder="1" applyAlignment="1">
      <alignment horizontal="right" vertical="center"/>
    </xf>
    <xf numFmtId="49" fontId="64" fillId="8" borderId="2" xfId="0" applyNumberFormat="1" applyFont="1" applyFill="1" applyBorder="1" applyAlignment="1" applyProtection="1">
      <alignment horizontal="left" vertical="center" wrapText="1"/>
      <protection locked="0"/>
    </xf>
    <xf numFmtId="0" fontId="65" fillId="0" borderId="0" xfId="0" applyNumberFormat="1" applyFont="1" applyAlignment="1"/>
    <xf numFmtId="0" fontId="65" fillId="0" borderId="0" xfId="0" applyNumberFormat="1" applyFont="1" applyAlignment="1"/>
    <xf numFmtId="49" fontId="66" fillId="8" borderId="2" xfId="0" applyNumberFormat="1" applyFont="1" applyFill="1" applyBorder="1" applyAlignment="1" applyProtection="1">
      <alignment horizontal="left" vertical="center" wrapText="1"/>
      <protection locked="0"/>
    </xf>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0" fontId="65" fillId="0" borderId="0" xfId="0" applyNumberFormat="1" applyFont="1" applyAlignment="1"/>
    <xf numFmtId="169"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169" fontId="3" fillId="8" borderId="1" xfId="0" applyNumberFormat="1" applyFont="1" applyFill="1" applyBorder="1" applyAlignment="1" applyProtection="1">
      <alignment horizontal="right" vertical="center"/>
      <protection locked="0"/>
    </xf>
    <xf numFmtId="4" fontId="67"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67"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protection locked="0"/>
    </xf>
    <xf numFmtId="4" fontId="3" fillId="8" borderId="1" xfId="0" applyNumberFormat="1" applyFont="1" applyFill="1" applyBorder="1" applyAlignment="1" applyProtection="1">
      <alignment horizontal="right" vertical="center" wrapText="1"/>
      <protection locked="0"/>
    </xf>
    <xf numFmtId="169" fontId="3" fillId="8" borderId="1" xfId="0" applyNumberFormat="1" applyFont="1" applyFill="1" applyBorder="1" applyAlignment="1" applyProtection="1">
      <alignment horizontal="right" vertical="center"/>
      <protection locked="0"/>
    </xf>
    <xf numFmtId="4" fontId="6" fillId="8" borderId="1" xfId="0" applyNumberFormat="1" applyFont="1" applyFill="1" applyBorder="1" applyAlignment="1" applyProtection="1">
      <alignment horizontal="right" vertical="center"/>
      <protection locked="0"/>
    </xf>
    <xf numFmtId="0" fontId="37" fillId="0" borderId="0" xfId="0" applyNumberFormat="1" applyFont="1" applyAlignment="1">
      <alignment vertical="center" wrapText="1"/>
    </xf>
    <xf numFmtId="49" fontId="3" fillId="8" borderId="2" xfId="0" applyNumberFormat="1" applyFont="1" applyFill="1" applyBorder="1" applyAlignment="1" applyProtection="1">
      <alignment horizontal="left" vertical="center" wrapText="1"/>
      <protection locked="0"/>
    </xf>
    <xf numFmtId="49" fontId="6" fillId="8" borderId="2" xfId="0" applyNumberFormat="1" applyFont="1" applyFill="1" applyBorder="1" applyAlignment="1" applyProtection="1">
      <alignment horizontal="lef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9"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4" fontId="3" fillId="8" borderId="1" xfId="0" applyNumberFormat="1" applyFont="1" applyFill="1" applyBorder="1" applyAlignment="1" applyProtection="1">
      <alignment horizontal="right" vertical="center" wrapText="1"/>
      <protection locked="0"/>
    </xf>
    <xf numFmtId="0" fontId="3" fillId="8" borderId="2"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169" fontId="3" fillId="7" borderId="24" xfId="0" applyNumberFormat="1" applyFont="1" applyFill="1" applyBorder="1" applyAlignment="1">
      <alignment horizontal="right" vertical="center"/>
    </xf>
    <xf numFmtId="0" fontId="33" fillId="0" borderId="0" xfId="0" applyNumberFormat="1" applyFont="1" applyAlignment="1">
      <alignmen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xf>
    <xf numFmtId="49" fontId="0" fillId="0" borderId="0" xfId="0" applyNumberFormat="1" applyFont="1">
      <alignment vertical="top"/>
    </xf>
    <xf numFmtId="4" fontId="5" fillId="8" borderId="1" xfId="0" applyNumberFormat="1" applyFont="1" applyFill="1" applyBorder="1" applyAlignment="1">
      <alignment horizontal="right" vertical="center" wrapText="1"/>
    </xf>
    <xf numFmtId="49" fontId="3" fillId="16" borderId="2" xfId="0" applyNumberFormat="1" applyFont="1" applyFill="1" applyBorder="1" applyAlignment="1">
      <alignment horizontal="left" vertical="center" wrapText="1" indent="1" shrinkToFi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vertical="center" wrapTex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NumberFormat="1" applyFont="1" applyFill="1" applyBorder="1" applyAlignment="1">
      <alignment horizontal="left" vertical="center"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12" fillId="17" borderId="36" xfId="0" applyNumberFormat="1" applyFont="1" applyFill="1" applyBorder="1" applyAlignment="1">
      <alignment horizontal="right" vertical="center" wrapText="1" indent="1"/>
    </xf>
    <xf numFmtId="0" fontId="12" fillId="17" borderId="53"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36" xfId="0" applyNumberFormat="1" applyFont="1" applyBorder="1" applyAlignment="1">
      <alignment vertical="center" wrapText="1"/>
    </xf>
    <xf numFmtId="0" fontId="40" fillId="0" borderId="0" xfId="0" applyNumberFormat="1" applyFont="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NumberFormat="1" applyFont="1" applyAlignment="1">
      <alignment vertical="top" wrapText="1"/>
    </xf>
    <xf numFmtId="0" fontId="3" fillId="0" borderId="2"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 xfId="0" applyNumberFormat="1" applyFont="1" applyBorder="1" applyAlignment="1">
      <alignment horizontal="center" vertical="center" textRotation="90" wrapTex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8"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NumberFormat="1"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NumberFormat="1"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7" fillId="0" borderId="0" xfId="0" applyNumberFormat="1" applyFont="1" applyAlignment="1">
      <alignment horizontal="center" vertical="center"/>
    </xf>
    <xf numFmtId="49" fontId="6" fillId="29" borderId="2" xfId="0" applyNumberFormat="1" applyFont="1" applyFill="1" applyBorder="1" applyAlignment="1">
      <alignment horizontal="left" vertical="center" wrapText="1" indent="4"/>
    </xf>
    <xf numFmtId="0" fontId="7" fillId="0" borderId="57" xfId="0" applyNumberFormat="1" applyFont="1" applyBorder="1" applyAlignment="1">
      <alignment vertical="center"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top"/>
    </xf>
    <xf numFmtId="49" fontId="49" fillId="0" borderId="0" xfId="0" applyNumberFormat="1" applyFont="1" applyAlignment="1">
      <alignment horizontal="center" vertical="top" wrapText="1"/>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3" xfId="0" applyNumberFormat="1" applyFont="1" applyBorder="1" applyAlignment="1">
      <alignment horizontal="center" vertical="center"/>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NumberFormat="1" applyFont="1" applyFill="1" applyBorder="1" applyAlignment="1">
      <alignment horizontal="left" vertical="center" wrapText="1"/>
    </xf>
    <xf numFmtId="49" fontId="3" fillId="8" borderId="29" xfId="0" applyNumberFormat="1" applyFont="1" applyFill="1" applyBorder="1" applyAlignment="1">
      <alignment horizontal="left" vertical="center" wrapText="1"/>
    </xf>
    <xf numFmtId="49" fontId="3" fillId="8" borderId="14" xfId="0" applyNumberFormat="1"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NumberFormat="1" applyFont="1" applyAlignment="1">
      <alignment horizontal="center" vertical="center" wrapText="1" shrinkToFit="1"/>
    </xf>
    <xf numFmtId="49"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28" xfId="0" applyNumberFormat="1" applyFont="1" applyFill="1" applyBorder="1" applyAlignment="1" applyProtection="1">
      <alignment horizontal="left" vertical="center" wrapText="1"/>
      <protection locked="0"/>
    </xf>
    <xf numFmtId="49" fontId="3" fillId="8" borderId="29" xfId="0" applyNumberFormat="1" applyFont="1" applyFill="1" applyBorder="1" applyAlignment="1" applyProtection="1">
      <alignment horizontal="left" vertical="center" wrapText="1"/>
      <protection locked="0"/>
    </xf>
    <xf numFmtId="49" fontId="3" fillId="8" borderId="14" xfId="0" applyNumberFormat="1"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6" fillId="0" borderId="0" xfId="0" applyNumberFormat="1" applyFont="1" applyAlignment="1">
      <alignment horizontal="center"/>
    </xf>
    <xf numFmtId="49" fontId="0" fillId="0" borderId="1"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49" fontId="0" fillId="0" borderId="67" xfId="0" applyNumberFormat="1" applyFont="1" applyBorder="1" applyAlignment="1">
      <alignment horizontal="center" vertical="center" wrapText="1"/>
    </xf>
    <xf numFmtId="49" fontId="0" fillId="0" borderId="66" xfId="0" applyNumberFormat="1" applyFont="1" applyBorder="1" applyAlignment="1">
      <alignment horizontal="center" vertical="center" wrapText="1"/>
    </xf>
    <xf numFmtId="3" fontId="0" fillId="0" borderId="1" xfId="0" applyNumberFormat="1" applyFon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NumberFormat="1" applyFont="1" applyFill="1" applyBorder="1" applyAlignment="1" applyProtection="1">
      <alignment horizontal="left" vertical="top" wrapText="1"/>
      <protection locked="0"/>
    </xf>
    <xf numFmtId="49" fontId="52" fillId="8" borderId="66" xfId="0" applyNumberFormat="1"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49" fontId="3" fillId="8" borderId="21" xfId="0" applyNumberFormat="1" applyFont="1" applyFill="1" applyBorder="1" applyAlignment="1">
      <alignment horizontal="left" vertical="top" wrapText="1"/>
    </xf>
    <xf numFmtId="49" fontId="3" fillId="8" borderId="9" xfId="0" applyNumberFormat="1" applyFont="1" applyFill="1" applyBorder="1" applyAlignment="1">
      <alignment horizontal="left" vertical="top" wrapText="1"/>
    </xf>
    <xf numFmtId="49" fontId="3" fillId="8" borderId="9"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lignment horizontal="left" vertical="top" wrapText="1"/>
    </xf>
    <xf numFmtId="49" fontId="3" fillId="8" borderId="21" xfId="0" applyNumberFormat="1" applyFont="1" applyFill="1" applyBorder="1" applyAlignment="1" applyProtection="1">
      <alignment horizontal="left" vertical="top" wrapText="1"/>
      <protection locked="0"/>
    </xf>
    <xf numFmtId="49" fontId="3" fillId="8" borderId="20" xfId="0" applyNumberFormat="1"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8" borderId="66" xfId="0" applyNumberFormat="1" applyFont="1" applyFill="1" applyBorder="1" applyAlignment="1">
      <alignment horizontal="left" vertical="top" wrapText="1"/>
    </xf>
    <xf numFmtId="49" fontId="52" fillId="8" borderId="66" xfId="0" applyNumberFormat="1" applyFont="1" applyFill="1" applyBorder="1" applyAlignment="1">
      <alignment horizontal="left" vertical="top"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24" fillId="0" borderId="4" xfId="0" quotePrefix="1" applyNumberFormat="1" applyFont="1" applyBorder="1" applyAlignment="1">
      <alignment horizontal="left" vertical="center" wrapText="1" indent="1"/>
    </xf>
    <xf numFmtId="49" fontId="24" fillId="0" borderId="4" xfId="0" applyNumberFormat="1"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NumberFormat="1"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5" fillId="9" borderId="1" xfId="0" applyNumberFormat="1" applyFont="1" applyFill="1" applyBorder="1" applyAlignment="1">
      <alignment horizontal="center" vertical="center" wrapText="1"/>
    </xf>
    <xf numFmtId="49" fontId="63" fillId="8" borderId="66" xfId="0" applyNumberFormat="1" applyFont="1" applyFill="1" applyBorder="1" applyAlignment="1" applyProtection="1">
      <alignment horizontal="left" vertical="top" wrapText="1"/>
      <protection locked="0"/>
    </xf>
    <xf numFmtId="49" fontId="63" fillId="8" borderId="66" xfId="0" applyNumberFormat="1" applyFont="1" applyFill="1" applyBorder="1" applyAlignment="1">
      <alignment horizontal="left" vertical="top" wrapText="1"/>
    </xf>
    <xf numFmtId="0" fontId="41" fillId="0" borderId="1" xfId="0" applyNumberFormat="1" applyFont="1" applyBorder="1" applyAlignment="1">
      <alignment vertical="center"/>
    </xf>
    <xf numFmtId="0" fontId="5" fillId="0" borderId="1" xfId="0" applyNumberFormat="1" applyFont="1" applyBorder="1" applyAlignment="1">
      <alignment vertical="center" wrapText="1"/>
    </xf>
    <xf numFmtId="0" fontId="5" fillId="0" borderId="1" xfId="0" applyNumberFormat="1" applyFont="1" applyBorder="1" applyAlignment="1"/>
    <xf numFmtId="49" fontId="3" fillId="8" borderId="1" xfId="0" applyNumberFormat="1" applyFont="1" applyFill="1" applyBorder="1" applyAlignment="1" applyProtection="1">
      <alignment horizontal="left" vertical="top" wrapText="1"/>
      <protection locked="0"/>
    </xf>
    <xf numFmtId="49" fontId="3" fillId="8" borderId="1" xfId="0" applyNumberFormat="1" applyFont="1" applyFill="1" applyBorder="1" applyAlignment="1">
      <alignment horizontal="left" vertical="top" wrapText="1"/>
    </xf>
    <xf numFmtId="49" fontId="3" fillId="0" borderId="1" xfId="0" applyNumberFormat="1" applyFont="1" applyBorder="1" applyAlignment="1">
      <alignment horizontal="center" vertical="center" wrapText="1"/>
    </xf>
    <xf numFmtId="49" fontId="3" fillId="6" borderId="1" xfId="0" applyNumberFormat="1" applyFont="1" applyFill="1" applyBorder="1" applyAlignment="1">
      <alignment horizontal="left" vertical="top" wrapText="1"/>
    </xf>
    <xf numFmtId="49" fontId="52" fillId="0" borderId="1" xfId="0" applyNumberFormat="1" applyFont="1" applyBorder="1" applyAlignment="1">
      <alignment horizontal="left" vertical="top" wrapText="1"/>
    </xf>
    <xf numFmtId="49" fontId="52" fillId="8" borderId="1" xfId="0" applyNumberFormat="1" applyFont="1" applyFill="1" applyBorder="1" applyAlignment="1" applyProtection="1">
      <alignment horizontal="left" vertical="top" wrapText="1"/>
      <protection locked="0"/>
    </xf>
    <xf numFmtId="49" fontId="52" fillId="8" borderId="1" xfId="0" applyNumberFormat="1"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49" fontId="22" fillId="15" borderId="21" xfId="0" applyNumberFormat="1" applyFont="1" applyFill="1" applyBorder="1" applyAlignment="1">
      <alignment horizontal="left" vertical="center" indent="1"/>
    </xf>
    <xf numFmtId="49" fontId="22" fillId="15" borderId="9" xfId="0" applyNumberFormat="1"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NumberFormat="1" applyFont="1" applyFill="1" applyBorder="1" applyAlignment="1">
      <alignment horizontal="left" vertical="center" wrapText="1"/>
    </xf>
    <xf numFmtId="49" fontId="3" fillId="8" borderId="13" xfId="0" applyNumberFormat="1"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NumberFormat="1" applyFont="1" applyFill="1" applyBorder="1" applyAlignment="1">
      <alignment horizontal="left" vertical="center" wrapText="1"/>
    </xf>
    <xf numFmtId="49" fontId="3" fillId="16" borderId="21" xfId="0" applyNumberFormat="1" applyFont="1" applyFill="1" applyBorder="1" applyAlignment="1">
      <alignment horizontal="left" vertical="center" wrapText="1"/>
    </xf>
    <xf numFmtId="49" fontId="3" fillId="8" borderId="18" xfId="0" applyNumberFormat="1"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wrapText="1" indent="1"/>
    </xf>
    <xf numFmtId="49" fontId="24" fillId="0" borderId="4" xfId="0" applyNumberFormat="1" applyFont="1" applyBorder="1" applyAlignment="1">
      <alignment vertical="center" wrapText="1"/>
    </xf>
    <xf numFmtId="49" fontId="24" fillId="0" borderId="4" xfId="0" applyNumberFormat="1" applyFont="1" applyBorder="1" applyAlignment="1">
      <alignment horizontal="center" vertical="center" wrapText="1"/>
    </xf>
    <xf numFmtId="0" fontId="3" fillId="0" borderId="0" xfId="0" applyNumberFormat="1" applyFont="1" applyAlignment="1">
      <alignment horizontal="left"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cellXfs>
  <cellStyles count="34">
    <cellStyle name="Обычный" xfId="0" builtinId="0"/>
    <cellStyle name="Обычный 10 2" xfId="1"/>
    <cellStyle name="Обычный 10 3" xfId="2"/>
    <cellStyle name="Обычный 11 4 3 3 2 3 3" xfId="3"/>
    <cellStyle name="Обычный 11 4 3 3 2 3 3 2" xfId="3"/>
    <cellStyle name="Обычный 11 4 3 3 2 3 3 2 2" xfId="3"/>
    <cellStyle name="Обычный 11 4 3 3 2 3 3 3" xfId="3"/>
    <cellStyle name="Обычный 12 3 2 2 3" xfId="3"/>
    <cellStyle name="Обычный 12 3 2 2 3 2" xfId="3"/>
    <cellStyle name="Обычный 12 3 2 2 3 2 2" xfId="3"/>
    <cellStyle name="Обычный 12 3 2 2 3 2 2 2" xfId="3"/>
    <cellStyle name="Обычный 12 3 2 2 3 2 2 2 2" xfId="3"/>
    <cellStyle name="Обычный 12 3 2 2 3 2 2 3" xfId="3"/>
    <cellStyle name="Обычный 12 3 2 2 3 2 3" xfId="3"/>
    <cellStyle name="Обычный 12 3 2 2 3 3" xfId="3"/>
    <cellStyle name="Обычный 12 3 2 2 3 3 2" xfId="3"/>
    <cellStyle name="Обычный 12 3 2 2 3 4" xfId="3"/>
    <cellStyle name="Обычный 12 3 2 2 3 4 2" xfId="3"/>
    <cellStyle name="Обычный 12 3 2 2 3 5" xfId="3"/>
    <cellStyle name="Обычный 12 3 2 2 3 5 2" xfId="3"/>
    <cellStyle name="Обычный 12 3 2 2 3 6" xfId="3"/>
    <cellStyle name="Обычный 2" xfId="1"/>
    <cellStyle name="Обычный 2 15" xfId="3"/>
    <cellStyle name="Обычный 2 2" xfId="3"/>
    <cellStyle name="Обычный 3" xfId="3"/>
    <cellStyle name="Обычный 3 2" xfId="3"/>
    <cellStyle name="Обычный 3 2 2" xfId="3"/>
    <cellStyle name="Обычный 3 3" xfId="3"/>
    <cellStyle name="Обычный 4" xfId="2"/>
    <cellStyle name="Обычный 4 2" xfId="3"/>
    <cellStyle name="Обычный 4 2 2" xfId="3"/>
    <cellStyle name="Обычный 4 2 2 2" xfId="3"/>
    <cellStyle name="Обычный 4 2 3" xfId="3"/>
    <cellStyle name="Обычный_SIMPLE_1_massive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eetMetadata" Target="metadata.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8.xml.rels><?xml version="1.0" encoding="UTF-8" standalone="yes"?>
<Relationships xmlns="http://schemas.openxmlformats.org/package/2006/relationships"><Relationship Id="rId8" Type="http://schemas.openxmlformats.org/officeDocument/2006/relationships/hyperlink" Target="https://portal.eias.ru/Portal/DownloadPage.aspx?type=12&amp;guid=d12df577-268e-4571-bc03-3027a897f4a5" TargetMode="External"/><Relationship Id="rId3" Type="http://schemas.openxmlformats.org/officeDocument/2006/relationships/hyperlink" Target="https://portal.eias.ru/Portal/DownloadPage.aspx?type=12&amp;guid=d12df577-268e-4571-bc03-3027a897f4a5" TargetMode="External"/><Relationship Id="rId7" Type="http://schemas.openxmlformats.org/officeDocument/2006/relationships/hyperlink" Target="https://portal.eias.ru/Portal/DownloadPage.aspx?type=12&amp;guid=d12df577-268e-4571-bc03-3027a897f4a5" TargetMode="External"/><Relationship Id="rId2" Type="http://schemas.openxmlformats.org/officeDocument/2006/relationships/hyperlink" Target="https://portal.eias.ru/Portal/DownloadPage.aspx?type=12&amp;guid=d12df577-268e-4571-bc03-3027a897f4a5" TargetMode="External"/><Relationship Id="rId1" Type="http://schemas.openxmlformats.org/officeDocument/2006/relationships/hyperlink" Target="https://portal.eias.ru/Portal/DownloadPage.aspx?type=12&amp;guid=d12df577-268e-4571-bc03-3027a897f4a5" TargetMode="External"/><Relationship Id="rId6" Type="http://schemas.openxmlformats.org/officeDocument/2006/relationships/hyperlink" Target="https://portal.eias.ru/Portal/DownloadPage.aspx?type=12&amp;guid=6cd5b68a-881b-433a-acac-f087ad0976e7" TargetMode="External"/><Relationship Id="rId5" Type="http://schemas.openxmlformats.org/officeDocument/2006/relationships/hyperlink" Target="https://portal.eias.ru/Portal/DownloadPage.aspx?type=12&amp;guid=615bfd94-c9a3-4e77-b09f-cf53783dfda8" TargetMode="External"/><Relationship Id="rId4" Type="http://schemas.openxmlformats.org/officeDocument/2006/relationships/hyperlink" Target="https://portal.eias.ru/Portal/DownloadPage.aspx?type=12&amp;guid=d12df577-268e-4571-bc03-3027a897f4a5" TargetMode="External"/><Relationship Id="rId9" Type="http://schemas.openxmlformats.org/officeDocument/2006/relationships/hyperlink" Target="https://portal.eias.ru/Portal/DownloadPage.aspx?type=12&amp;guid=39f65d29-f23e-44d7-a836-eecbdb9d54f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portal.eias.ru/Portal/DownloadPage.aspx?type=12&amp;guid=62376591-dc1d-4c4a-9de2-d7af4aa7ede5" TargetMode="External"/><Relationship Id="rId2" Type="http://schemas.openxmlformats.org/officeDocument/2006/relationships/hyperlink" Target="https://portal.eias.ru/Portal/DownloadPage.aspx?type=12&amp;guid=62376591-dc1d-4c4a-9de2-d7af4aa7ede5" TargetMode="External"/><Relationship Id="rId1" Type="http://schemas.openxmlformats.org/officeDocument/2006/relationships/hyperlink" Target="https://portal.eias.ru/Portal/DownloadPage.aspx?type=12&amp;guid=4cc08830-9db4-4859-9b71-eac88398ac3d" TargetMode="External"/><Relationship Id="rId6" Type="http://schemas.openxmlformats.org/officeDocument/2006/relationships/hyperlink" Target="mailto:antonenko-ei@mail.ru" TargetMode="External"/><Relationship Id="rId5" Type="http://schemas.openxmlformats.org/officeDocument/2006/relationships/hyperlink" Target="mailto:antonenko-ei@mail.ru" TargetMode="External"/><Relationship Id="rId4"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C1"/>
  <sheetViews>
    <sheetView workbookViewId="0"/>
  </sheetViews>
  <sheetFormatPr defaultRowHeight="11.25" customHeight="1"/>
  <cols>
    <col min="1" max="1" width="37.140625" style="1314" customWidth="1"/>
    <col min="2" max="2" width="25.7109375" style="1314" customWidth="1"/>
    <col min="3" max="3" width="64.5703125" style="1314" customWidth="1"/>
  </cols>
  <sheetData>
    <row r="1" spans="1:3" ht="11.25" customHeight="1">
      <c r="A1" s="1034" t="s">
        <v>0</v>
      </c>
      <c r="B1" s="889" t="s">
        <v>1</v>
      </c>
      <c r="C1" s="889"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4E2"/>
    <outlinePr summaryBelow="0" summaryRight="0"/>
    <pageSetUpPr fitToPage="1"/>
  </sheetPr>
  <dimension ref="A1:BN3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c r="A1" s="1377"/>
      <c r="B1" s="1378"/>
      <c r="C1" s="1378"/>
      <c r="D1" s="1378"/>
      <c r="E1" s="1259"/>
      <c r="F1" s="1260" t="s">
        <v>311</v>
      </c>
      <c r="G1" s="1378"/>
      <c r="H1" s="1378"/>
      <c r="I1" s="1378"/>
      <c r="J1" s="1378"/>
      <c r="K1" s="1378"/>
      <c r="L1" s="1378"/>
      <c r="M1" s="1378"/>
      <c r="N1" s="1378"/>
      <c r="O1" s="1378"/>
      <c r="P1" s="1378"/>
      <c r="Q1" s="1378"/>
      <c r="R1" s="1378"/>
      <c r="S1" s="1378"/>
      <c r="T1" s="1378"/>
      <c r="U1" s="1378"/>
      <c r="V1" s="1261" t="s">
        <v>92</v>
      </c>
      <c r="W1" s="1261" t="s">
        <v>97</v>
      </c>
      <c r="X1" s="1261" t="s">
        <v>93</v>
      </c>
      <c r="Y1" s="1261" t="s">
        <v>95</v>
      </c>
      <c r="Z1" s="1261" t="s">
        <v>99</v>
      </c>
      <c r="AA1" s="1377"/>
      <c r="AB1" s="1377"/>
      <c r="AC1" s="1377"/>
      <c r="AD1" s="1378"/>
      <c r="AE1" s="1378"/>
      <c r="AF1" s="1378"/>
      <c r="AG1" s="1378"/>
      <c r="AH1" s="1378"/>
      <c r="AI1" s="1204"/>
      <c r="AJ1" s="1204"/>
      <c r="AK1" s="1204"/>
      <c r="AL1" s="1204"/>
      <c r="AM1" s="1204"/>
      <c r="AN1" s="1204"/>
      <c r="AO1" s="1204"/>
      <c r="AP1" s="1204"/>
      <c r="AQ1" s="1204"/>
      <c r="AR1" s="1378"/>
      <c r="AS1" s="1204"/>
      <c r="AT1" s="1204"/>
      <c r="AU1" s="1204"/>
      <c r="AV1" s="1204"/>
      <c r="AW1" s="1204"/>
      <c r="AX1" s="1204"/>
      <c r="AY1" s="1204"/>
      <c r="AZ1" s="1204"/>
      <c r="BA1" s="1204"/>
      <c r="BB1" s="338"/>
      <c r="BC1" s="1071" t="s">
        <v>314</v>
      </c>
      <c r="BD1" s="338"/>
      <c r="BE1" s="338"/>
      <c r="BF1" s="338"/>
      <c r="BG1" s="338"/>
      <c r="BH1" s="338"/>
      <c r="BI1" s="338"/>
      <c r="BJ1" s="338"/>
      <c r="BK1" s="338"/>
      <c r="BL1" s="338"/>
      <c r="BM1" s="338"/>
      <c r="BN1" s="338"/>
    </row>
    <row r="2" spans="1:66" ht="11.25" hidden="1" customHeight="1">
      <c r="A2" s="1378"/>
      <c r="B2" s="1262" t="s">
        <v>18</v>
      </c>
      <c r="C2" s="1378"/>
      <c r="D2" s="1378"/>
      <c r="E2" s="1378"/>
      <c r="F2" s="1263"/>
      <c r="G2" s="1378"/>
      <c r="H2" s="1378"/>
      <c r="I2" s="1378"/>
      <c r="J2" s="1378"/>
      <c r="K2" s="1378"/>
      <c r="L2" s="1378"/>
      <c r="M2" s="1378"/>
      <c r="N2" s="1378"/>
      <c r="O2" s="1378"/>
      <c r="P2" s="1378"/>
      <c r="Q2" s="1378"/>
      <c r="R2" s="1378"/>
      <c r="S2" s="1378"/>
      <c r="T2" s="1378"/>
      <c r="U2" s="1378"/>
      <c r="V2" s="1378"/>
      <c r="W2" s="1378"/>
      <c r="X2" s="1378"/>
      <c r="Y2" s="1378"/>
      <c r="Z2" s="1378"/>
      <c r="AA2" s="1378"/>
      <c r="AB2" s="1378"/>
      <c r="AC2" s="1264"/>
      <c r="AD2" s="1378"/>
      <c r="AE2" s="1378"/>
      <c r="AF2" s="1378"/>
      <c r="AG2" s="1378"/>
      <c r="AH2" s="1378"/>
      <c r="AI2" s="1262" t="b">
        <f t="shared" ref="AI2:AQ2" si="0">AI6&lt;last_year_vis</f>
        <v>0</v>
      </c>
      <c r="AJ2" s="1262" t="b">
        <f t="shared" si="0"/>
        <v>0</v>
      </c>
      <c r="AK2" s="1262" t="b">
        <f t="shared" si="0"/>
        <v>0</v>
      </c>
      <c r="AL2" s="1262" t="b">
        <f t="shared" si="0"/>
        <v>0</v>
      </c>
      <c r="AM2" s="1262" t="b">
        <f t="shared" si="0"/>
        <v>0</v>
      </c>
      <c r="AN2" s="1262" t="b">
        <f t="shared" si="0"/>
        <v>0</v>
      </c>
      <c r="AO2" s="1262" t="b">
        <f t="shared" si="0"/>
        <v>0</v>
      </c>
      <c r="AP2" s="1262" t="b">
        <f t="shared" si="0"/>
        <v>0</v>
      </c>
      <c r="AQ2" s="1262" t="b">
        <f t="shared" si="0"/>
        <v>0</v>
      </c>
      <c r="AR2" s="1378"/>
      <c r="AS2" s="1262" t="b">
        <f t="shared" ref="AS2:BA2" si="1">AS6&lt;last_year_vis</f>
        <v>0</v>
      </c>
      <c r="AT2" s="1262" t="b">
        <f t="shared" si="1"/>
        <v>0</v>
      </c>
      <c r="AU2" s="1262" t="b">
        <f t="shared" si="1"/>
        <v>0</v>
      </c>
      <c r="AV2" s="1262" t="b">
        <f t="shared" si="1"/>
        <v>0</v>
      </c>
      <c r="AW2" s="1262" t="b">
        <f t="shared" si="1"/>
        <v>0</v>
      </c>
      <c r="AX2" s="1262" t="b">
        <f t="shared" si="1"/>
        <v>0</v>
      </c>
      <c r="AY2" s="1262" t="b">
        <f t="shared" si="1"/>
        <v>0</v>
      </c>
      <c r="AZ2" s="1262" t="b">
        <f t="shared" si="1"/>
        <v>0</v>
      </c>
      <c r="BA2" s="1262" t="b">
        <f t="shared" si="1"/>
        <v>0</v>
      </c>
      <c r="BB2" s="338"/>
      <c r="BC2" s="1072"/>
      <c r="BD2" s="291"/>
      <c r="BE2" s="291"/>
      <c r="BF2" s="291"/>
      <c r="BG2" s="291"/>
      <c r="BH2" s="291"/>
      <c r="BI2" s="338"/>
      <c r="BJ2" s="338"/>
      <c r="BK2" s="338"/>
      <c r="BL2" s="338"/>
      <c r="BM2" s="338"/>
      <c r="BN2" s="338"/>
    </row>
    <row r="3" spans="1:66" ht="11.25" hidden="1" customHeight="1">
      <c r="A3" s="1378"/>
      <c r="B3" s="1378"/>
      <c r="C3" s="1378"/>
      <c r="D3" s="1378"/>
      <c r="E3" s="1259"/>
      <c r="F3" s="1378"/>
      <c r="G3" s="1378"/>
      <c r="H3" s="1378"/>
      <c r="I3" s="1378"/>
      <c r="J3" s="1378"/>
      <c r="K3" s="1378"/>
      <c r="L3" s="1378"/>
      <c r="M3" s="1378"/>
      <c r="N3" s="1378"/>
      <c r="O3" s="1378"/>
      <c r="P3" s="1378"/>
      <c r="Q3" s="1378"/>
      <c r="R3" s="1378"/>
      <c r="S3" s="1378"/>
      <c r="T3" s="1378"/>
      <c r="U3" s="1378"/>
      <c r="V3" s="1378"/>
      <c r="W3" s="1378"/>
      <c r="X3" s="1378"/>
      <c r="Y3" s="1378"/>
      <c r="Z3" s="1378"/>
      <c r="AA3" s="1378"/>
      <c r="AB3" s="1378"/>
      <c r="AC3" s="1378"/>
      <c r="AD3" s="1378"/>
      <c r="AE3" s="1378"/>
      <c r="AF3" s="1378"/>
      <c r="AG3" s="1378"/>
      <c r="AH3" s="1378"/>
      <c r="AI3" s="1204"/>
      <c r="AJ3" s="1204"/>
      <c r="AK3" s="1204"/>
      <c r="AL3" s="1204"/>
      <c r="AM3" s="1204"/>
      <c r="AN3" s="1204"/>
      <c r="AO3" s="1204"/>
      <c r="AP3" s="1204"/>
      <c r="AQ3" s="1204"/>
      <c r="AR3" s="1378"/>
      <c r="AS3" s="1204"/>
      <c r="AT3" s="1204"/>
      <c r="AU3" s="1204"/>
      <c r="AV3" s="1204"/>
      <c r="AW3" s="1204"/>
      <c r="AX3" s="1204"/>
      <c r="AY3" s="1204"/>
      <c r="AZ3" s="1204"/>
      <c r="BA3" s="1204"/>
      <c r="BB3" s="338"/>
      <c r="BC3" s="338"/>
      <c r="BD3" s="338"/>
      <c r="BE3" s="338"/>
      <c r="BF3" s="338"/>
      <c r="BG3" s="338"/>
      <c r="BH3" s="338"/>
      <c r="BI3" s="338"/>
      <c r="BJ3" s="338"/>
      <c r="BK3" s="338"/>
      <c r="BL3" s="338"/>
      <c r="BM3" s="338"/>
      <c r="BN3" s="338"/>
    </row>
    <row r="4" spans="1:66" ht="11.25" hidden="1" customHeight="1">
      <c r="A4" s="1378"/>
      <c r="B4" s="1378"/>
      <c r="C4" s="1378"/>
      <c r="D4" s="1378"/>
      <c r="E4" s="1259"/>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c r="AD4" s="1378"/>
      <c r="AE4" s="1378"/>
      <c r="AF4" s="1378"/>
      <c r="AG4" s="1378"/>
      <c r="AH4" s="1378"/>
      <c r="AI4" s="1204"/>
      <c r="AJ4" s="1204"/>
      <c r="AK4" s="1204"/>
      <c r="AL4" s="1204"/>
      <c r="AM4" s="1204"/>
      <c r="AN4" s="1204"/>
      <c r="AO4" s="1204"/>
      <c r="AP4" s="1204"/>
      <c r="AQ4" s="1204"/>
      <c r="AR4" s="1378"/>
      <c r="AS4" s="1204"/>
      <c r="AT4" s="1204"/>
      <c r="AU4" s="1204"/>
      <c r="AV4" s="1204"/>
      <c r="AW4" s="1204"/>
      <c r="AX4" s="1204"/>
      <c r="AY4" s="1204"/>
      <c r="AZ4" s="1204"/>
      <c r="BA4" s="1204"/>
      <c r="BB4" s="338"/>
      <c r="BC4" s="338"/>
      <c r="BD4" s="338"/>
      <c r="BE4" s="338"/>
      <c r="BF4" s="338"/>
      <c r="BG4" s="338"/>
      <c r="BH4" s="338"/>
      <c r="BI4" s="338"/>
      <c r="BJ4" s="338"/>
      <c r="BK4" s="338"/>
      <c r="BL4" s="338"/>
      <c r="BM4" s="338"/>
      <c r="BN4" s="338"/>
    </row>
    <row r="5" spans="1:66" ht="11.25" hidden="1" customHeight="1">
      <c r="A5" s="1259"/>
      <c r="B5" s="1265"/>
      <c r="C5" s="1259"/>
      <c r="D5" s="1259"/>
      <c r="E5" s="1266" t="s">
        <v>19</v>
      </c>
      <c r="F5" s="1267"/>
      <c r="G5" s="1378"/>
      <c r="H5" s="1378"/>
      <c r="I5" s="1378"/>
      <c r="J5" s="1378"/>
      <c r="K5" s="1378"/>
      <c r="L5" s="1378"/>
      <c r="M5" s="1378"/>
      <c r="N5" s="1378"/>
      <c r="O5" s="1378"/>
      <c r="P5" s="1378"/>
      <c r="Q5" s="1378"/>
      <c r="R5" s="1378"/>
      <c r="S5" s="1378"/>
      <c r="T5" s="1378"/>
      <c r="U5" s="1378"/>
      <c r="V5" s="1378"/>
      <c r="W5" s="1378"/>
      <c r="X5" s="1378"/>
      <c r="Y5" s="1378"/>
      <c r="Z5" s="1378"/>
      <c r="AA5" s="1266">
        <v>3</v>
      </c>
      <c r="AB5" s="1268">
        <v>11</v>
      </c>
      <c r="AC5" s="1269">
        <v>40</v>
      </c>
      <c r="AD5" s="1266">
        <v>15</v>
      </c>
      <c r="AE5" s="1266">
        <v>15</v>
      </c>
      <c r="AF5" s="1266">
        <v>15</v>
      </c>
      <c r="AG5" s="1266">
        <v>15</v>
      </c>
      <c r="AH5" s="1266">
        <v>15</v>
      </c>
      <c r="AI5" s="1266">
        <v>15</v>
      </c>
      <c r="AJ5" s="1266">
        <v>15</v>
      </c>
      <c r="AK5" s="1266">
        <v>15</v>
      </c>
      <c r="AL5" s="1266">
        <v>15</v>
      </c>
      <c r="AM5" s="1266">
        <v>15</v>
      </c>
      <c r="AN5" s="1266">
        <v>15</v>
      </c>
      <c r="AO5" s="1266">
        <v>15</v>
      </c>
      <c r="AP5" s="1266">
        <v>15</v>
      </c>
      <c r="AQ5" s="1266">
        <v>15</v>
      </c>
      <c r="AR5" s="1266">
        <v>15</v>
      </c>
      <c r="AS5" s="1266">
        <v>15</v>
      </c>
      <c r="AT5" s="1266">
        <v>15</v>
      </c>
      <c r="AU5" s="1266">
        <v>15</v>
      </c>
      <c r="AV5" s="1266">
        <v>15</v>
      </c>
      <c r="AW5" s="1266">
        <v>15</v>
      </c>
      <c r="AX5" s="1266">
        <v>15</v>
      </c>
      <c r="AY5" s="1266">
        <v>15</v>
      </c>
      <c r="AZ5" s="1266">
        <v>15</v>
      </c>
      <c r="BA5" s="1266">
        <v>15</v>
      </c>
      <c r="BB5" s="338"/>
      <c r="BC5" s="1071"/>
      <c r="BD5" s="291"/>
      <c r="BE5" s="291"/>
      <c r="BF5" s="291"/>
      <c r="BG5" s="291"/>
      <c r="BH5" s="291"/>
      <c r="BI5" s="338"/>
      <c r="BJ5" s="338"/>
      <c r="BK5" s="338"/>
      <c r="BL5" s="338"/>
      <c r="BM5" s="338"/>
      <c r="BN5" s="338"/>
    </row>
    <row r="6" spans="1:66" ht="11.25" hidden="1" customHeight="1">
      <c r="A6" s="1378"/>
      <c r="B6" s="1378"/>
      <c r="C6" s="1378"/>
      <c r="D6" s="1378"/>
      <c r="E6" s="1378"/>
      <c r="F6" s="1378"/>
      <c r="G6" s="1378"/>
      <c r="H6" s="1378"/>
      <c r="I6" s="1378"/>
      <c r="J6" s="1378"/>
      <c r="K6" s="1378"/>
      <c r="L6" s="1378"/>
      <c r="M6" s="1378"/>
      <c r="N6" s="1378"/>
      <c r="O6" s="1378"/>
      <c r="P6" s="1378"/>
      <c r="Q6" s="1378"/>
      <c r="R6" s="1378"/>
      <c r="S6" s="1378"/>
      <c r="T6" s="1378"/>
      <c r="U6" s="1378"/>
      <c r="V6" s="1378"/>
      <c r="W6" s="1378"/>
      <c r="X6" s="1378"/>
      <c r="Y6" s="1378"/>
      <c r="Z6" s="1378"/>
      <c r="AA6" s="1378"/>
      <c r="AB6" s="1378"/>
      <c r="AC6" s="1378"/>
      <c r="AD6" s="1378"/>
      <c r="AE6" s="1259">
        <f>god-2</f>
        <v>2024</v>
      </c>
      <c r="AF6" s="1259">
        <f>god-2</f>
        <v>2024</v>
      </c>
      <c r="AG6" s="1259">
        <f>god-1</f>
        <v>2025</v>
      </c>
      <c r="AH6" s="1259" cm="1">
        <f t="array" ref="AH6">god</f>
        <v>2026</v>
      </c>
      <c r="AI6" s="1259">
        <f>god+1</f>
        <v>2027</v>
      </c>
      <c r="AJ6" s="1259">
        <f>god+2</f>
        <v>2028</v>
      </c>
      <c r="AK6" s="1259">
        <f>god+3</f>
        <v>2029</v>
      </c>
      <c r="AL6" s="1259">
        <f>god+4</f>
        <v>2030</v>
      </c>
      <c r="AM6" s="1259">
        <f>god+5</f>
        <v>2031</v>
      </c>
      <c r="AN6" s="1259">
        <f>god+6</f>
        <v>2032</v>
      </c>
      <c r="AO6" s="1259">
        <f>god+7</f>
        <v>2033</v>
      </c>
      <c r="AP6" s="1259">
        <f>god+8</f>
        <v>2034</v>
      </c>
      <c r="AQ6" s="1259">
        <f>god+9</f>
        <v>2035</v>
      </c>
      <c r="AR6" s="1259" cm="1">
        <f t="array" ref="AR6">god</f>
        <v>2026</v>
      </c>
      <c r="AS6" s="1259">
        <f>god+1</f>
        <v>2027</v>
      </c>
      <c r="AT6" s="1259">
        <f>god+2</f>
        <v>2028</v>
      </c>
      <c r="AU6" s="1259">
        <f>god+3</f>
        <v>2029</v>
      </c>
      <c r="AV6" s="1259">
        <f>god+4</f>
        <v>2030</v>
      </c>
      <c r="AW6" s="1259">
        <f>god+5</f>
        <v>2031</v>
      </c>
      <c r="AX6" s="1259">
        <f>god+6</f>
        <v>2032</v>
      </c>
      <c r="AY6" s="1259">
        <f>god+7</f>
        <v>2033</v>
      </c>
      <c r="AZ6" s="1259">
        <f>god+8</f>
        <v>2034</v>
      </c>
      <c r="BA6" s="1259">
        <f>god+9</f>
        <v>2035</v>
      </c>
      <c r="BB6" s="338"/>
      <c r="BC6" s="338"/>
      <c r="BD6" s="338"/>
      <c r="BE6" s="338"/>
      <c r="BF6" s="338"/>
      <c r="BG6" s="338"/>
      <c r="BH6" s="338"/>
      <c r="BI6" s="338"/>
      <c r="BJ6" s="338"/>
      <c r="BK6" s="338"/>
      <c r="BL6" s="338"/>
      <c r="BM6" s="338"/>
      <c r="BN6" s="338"/>
    </row>
    <row r="7" spans="1:66" ht="11.25" hidden="1" customHeight="1">
      <c r="A7" s="1378"/>
      <c r="B7" s="1378"/>
      <c r="C7" s="1378"/>
      <c r="D7" s="1378"/>
      <c r="E7" s="1378"/>
      <c r="F7" s="1378"/>
      <c r="G7" s="1378"/>
      <c r="H7" s="1378"/>
      <c r="I7" s="1378"/>
      <c r="J7" s="1378"/>
      <c r="K7" s="1378"/>
      <c r="L7" s="1378"/>
      <c r="M7" s="1378"/>
      <c r="N7" s="1378"/>
      <c r="O7" s="1378"/>
      <c r="P7" s="1378"/>
      <c r="Q7" s="1378"/>
      <c r="R7" s="1378"/>
      <c r="S7" s="1378"/>
      <c r="T7" s="1378"/>
      <c r="U7" s="1378"/>
      <c r="V7" s="1378"/>
      <c r="W7" s="1378"/>
      <c r="X7" s="1378"/>
      <c r="Y7" s="1378"/>
      <c r="Z7" s="1378"/>
      <c r="AA7" s="1378"/>
      <c r="AB7" s="1378"/>
      <c r="AC7" s="1378"/>
      <c r="AD7" s="1378"/>
      <c r="AE7" s="1259" t="str" cm="1">
        <f t="array" ref="AE7">AE25</f>
        <v>Принято органом регулирования</v>
      </c>
      <c r="AF7" s="1259" t="str" cm="1">
        <f t="array" ref="AF7">AF25</f>
        <v>Факт по данным организации</v>
      </c>
      <c r="AG7" s="1259" t="str" cm="1">
        <f t="array" ref="AG7">AG25</f>
        <v>Принято органом регулирования</v>
      </c>
      <c r="AH7" s="1259" t="str" cm="1">
        <f t="array" ref="AH7">AH25</f>
        <v>Предложение организации</v>
      </c>
      <c r="AI7" s="1259" t="str" cm="1">
        <f t="array" ref="AI7">AI25</f>
        <v>Предложение организации</v>
      </c>
      <c r="AJ7" s="1259" t="str" cm="1">
        <f t="array" ref="AJ7">AJ25</f>
        <v>Предложение организации</v>
      </c>
      <c r="AK7" s="1259" t="str" cm="1">
        <f t="array" ref="AK7">AK25</f>
        <v>Предложение организации</v>
      </c>
      <c r="AL7" s="1259" t="str" cm="1">
        <f t="array" ref="AL7">AL25</f>
        <v>Предложение организации</v>
      </c>
      <c r="AM7" s="1259" t="str" cm="1">
        <f t="array" ref="AM7">AM25</f>
        <v>Предложение организации</v>
      </c>
      <c r="AN7" s="1259" t="str" cm="1">
        <f t="array" ref="AN7">AN25</f>
        <v>Предложение организации</v>
      </c>
      <c r="AO7" s="1259" t="str" cm="1">
        <f t="array" ref="AO7">AO25</f>
        <v>Предложение организации</v>
      </c>
      <c r="AP7" s="1259" t="str" cm="1">
        <f t="array" ref="AP7">AP25</f>
        <v>Предложение организации</v>
      </c>
      <c r="AQ7" s="1259" t="str" cm="1">
        <f t="array" ref="AQ7">AQ25</f>
        <v>Предложение организации</v>
      </c>
      <c r="AR7" s="1259" t="str" cm="1">
        <f t="array" ref="AR7">AR25</f>
        <v>Принято органом регулирования</v>
      </c>
      <c r="AS7" s="1259" t="str" cm="1">
        <f t="array" ref="AS7">AS25</f>
        <v>Принято органом регулирования</v>
      </c>
      <c r="AT7" s="1259" t="str" cm="1">
        <f t="array" ref="AT7">AT25</f>
        <v>Принято органом регулирования</v>
      </c>
      <c r="AU7" s="1259" t="str" cm="1">
        <f t="array" ref="AU7">AU25</f>
        <v>Принято органом регулирования</v>
      </c>
      <c r="AV7" s="1259" t="str" cm="1">
        <f t="array" ref="AV7">AV25</f>
        <v>Принято органом регулирования</v>
      </c>
      <c r="AW7" s="1259" t="str" cm="1">
        <f t="array" ref="AW7">AW25</f>
        <v>Принято органом регулирования</v>
      </c>
      <c r="AX7" s="1259" t="str" cm="1">
        <f t="array" ref="AX7">AX25</f>
        <v>Принято органом регулирования</v>
      </c>
      <c r="AY7" s="1259" t="str" cm="1">
        <f t="array" ref="AY7">AY25</f>
        <v>Принято органом регулирования</v>
      </c>
      <c r="AZ7" s="1259" t="str" cm="1">
        <f t="array" ref="AZ7">AZ25</f>
        <v>Принято органом регулирования</v>
      </c>
      <c r="BA7" s="1259" t="str" cm="1">
        <f t="array" ref="BA7">BA25</f>
        <v>Принято органом регулирования</v>
      </c>
      <c r="BB7" s="338"/>
      <c r="BC7" s="338"/>
      <c r="BD7" s="338"/>
      <c r="BE7" s="338"/>
      <c r="BF7" s="338"/>
      <c r="BG7" s="338"/>
      <c r="BH7" s="338"/>
      <c r="BI7" s="338"/>
      <c r="BJ7" s="338"/>
      <c r="BK7" s="338"/>
      <c r="BL7" s="338"/>
      <c r="BM7" s="338"/>
      <c r="BN7" s="338"/>
    </row>
    <row r="8" spans="1:66" ht="11.25" hidden="1" customHeight="1">
      <c r="A8" s="1378"/>
      <c r="B8" s="1378"/>
      <c r="C8" s="1378"/>
      <c r="D8" s="1378"/>
      <c r="E8" s="1378"/>
      <c r="F8" s="1378"/>
      <c r="G8" s="1378"/>
      <c r="H8" s="1378"/>
      <c r="I8" s="1378"/>
      <c r="J8" s="1378"/>
      <c r="K8" s="1378"/>
      <c r="L8" s="1378"/>
      <c r="M8" s="1378"/>
      <c r="N8" s="1378"/>
      <c r="O8" s="1378"/>
      <c r="P8" s="1378"/>
      <c r="Q8" s="1378"/>
      <c r="R8" s="1378"/>
      <c r="S8" s="1378"/>
      <c r="T8" s="1378"/>
      <c r="U8" s="1378"/>
      <c r="V8" s="1378"/>
      <c r="W8" s="1378"/>
      <c r="X8" s="1378"/>
      <c r="Y8" s="1378"/>
      <c r="Z8" s="1378"/>
      <c r="AA8" s="1378"/>
      <c r="AB8" s="1378"/>
      <c r="AC8" s="1378"/>
      <c r="AD8" s="1378"/>
      <c r="AE8" s="1259" t="str">
        <f t="shared" ref="AE8:BA8" si="2">AE6&amp;AE7</f>
        <v>2024Принято органом регулирования</v>
      </c>
      <c r="AF8" s="1259" t="str">
        <f t="shared" si="2"/>
        <v>2024Факт по данным организации</v>
      </c>
      <c r="AG8" s="1259" t="str">
        <f t="shared" si="2"/>
        <v>2025Принято органом регулирования</v>
      </c>
      <c r="AH8" s="1259" t="str">
        <f t="shared" si="2"/>
        <v>2026Предложение организации</v>
      </c>
      <c r="AI8" s="1259" t="str">
        <f t="shared" si="2"/>
        <v>2027Предложение организации</v>
      </c>
      <c r="AJ8" s="1259" t="str">
        <f t="shared" si="2"/>
        <v>2028Предложение организации</v>
      </c>
      <c r="AK8" s="1259" t="str">
        <f t="shared" si="2"/>
        <v>2029Предложение организации</v>
      </c>
      <c r="AL8" s="1259" t="str">
        <f t="shared" si="2"/>
        <v>2030Предложение организации</v>
      </c>
      <c r="AM8" s="1259" t="str">
        <f t="shared" si="2"/>
        <v>2031Предложение организации</v>
      </c>
      <c r="AN8" s="1259" t="str">
        <f t="shared" si="2"/>
        <v>2032Предложение организации</v>
      </c>
      <c r="AO8" s="1259" t="str">
        <f t="shared" si="2"/>
        <v>2033Предложение организации</v>
      </c>
      <c r="AP8" s="1259" t="str">
        <f t="shared" si="2"/>
        <v>2034Предложение организации</v>
      </c>
      <c r="AQ8" s="1259" t="str">
        <f t="shared" si="2"/>
        <v>2035Предложение организации</v>
      </c>
      <c r="AR8" s="1259" t="str">
        <f t="shared" si="2"/>
        <v>2026Принято органом регулирования</v>
      </c>
      <c r="AS8" s="1259" t="str">
        <f t="shared" si="2"/>
        <v>2027Принято органом регулирования</v>
      </c>
      <c r="AT8" s="1259" t="str">
        <f t="shared" si="2"/>
        <v>2028Принято органом регулирования</v>
      </c>
      <c r="AU8" s="1259" t="str">
        <f t="shared" si="2"/>
        <v>2029Принято органом регулирования</v>
      </c>
      <c r="AV8" s="1259" t="str">
        <f t="shared" si="2"/>
        <v>2030Принято органом регулирования</v>
      </c>
      <c r="AW8" s="1259" t="str">
        <f t="shared" si="2"/>
        <v>2031Принято органом регулирования</v>
      </c>
      <c r="AX8" s="1259" t="str">
        <f t="shared" si="2"/>
        <v>2032Принято органом регулирования</v>
      </c>
      <c r="AY8" s="1259" t="str">
        <f t="shared" si="2"/>
        <v>2033Принято органом регулирования</v>
      </c>
      <c r="AZ8" s="1259" t="str">
        <f t="shared" si="2"/>
        <v>2034Принято органом регулирования</v>
      </c>
      <c r="BA8" s="1259" t="str">
        <f t="shared" si="2"/>
        <v>2035Принято органом регулирования</v>
      </c>
      <c r="BB8" s="338"/>
      <c r="BC8" s="338"/>
      <c r="BD8" s="338"/>
      <c r="BE8" s="338"/>
      <c r="BF8" s="338"/>
      <c r="BG8" s="338"/>
      <c r="BH8" s="338"/>
      <c r="BI8" s="338"/>
      <c r="BJ8" s="338"/>
      <c r="BK8" s="338"/>
      <c r="BL8" s="338"/>
      <c r="BM8" s="338"/>
      <c r="BN8" s="338"/>
    </row>
    <row r="9" spans="1:66" ht="11.25" hidden="1" customHeight="1">
      <c r="A9" s="1270" t="s">
        <v>355</v>
      </c>
      <c r="B9" s="1271"/>
      <c r="C9" s="1378"/>
      <c r="D9" s="1378"/>
      <c r="E9" s="1378"/>
      <c r="F9" s="1272"/>
      <c r="G9" s="1378"/>
      <c r="H9" s="1378"/>
      <c r="I9" s="1378"/>
      <c r="J9" s="1378"/>
      <c r="K9" s="1378"/>
      <c r="L9" s="1378"/>
      <c r="M9" s="1378"/>
      <c r="N9" s="1378"/>
      <c r="O9" s="1378"/>
      <c r="P9" s="1378"/>
      <c r="Q9" s="1378"/>
      <c r="R9" s="1378"/>
      <c r="S9" s="1378"/>
      <c r="T9" s="1378"/>
      <c r="U9" s="1378"/>
      <c r="V9" s="1378"/>
      <c r="W9" s="1378"/>
      <c r="X9" s="1378"/>
      <c r="Y9" s="1378"/>
      <c r="Z9" s="1378"/>
      <c r="AA9" s="1378"/>
      <c r="AB9" s="1273"/>
      <c r="AC9" s="1274"/>
      <c r="AD9" s="1378"/>
      <c r="AE9" s="1270" cm="1">
        <f t="array" ref="AE9">AE6</f>
        <v>2024</v>
      </c>
      <c r="AF9" s="1270" cm="1">
        <f t="array" ref="AF9">AF6</f>
        <v>2024</v>
      </c>
      <c r="AG9" s="1270" cm="1">
        <f t="array" ref="AG9">AG6</f>
        <v>2025</v>
      </c>
      <c r="AH9" s="1270" cm="1">
        <f t="array" ref="AH9">AH6</f>
        <v>2026</v>
      </c>
      <c r="AI9" s="1270" cm="1">
        <f t="array" ref="AI9">AI6</f>
        <v>2027</v>
      </c>
      <c r="AJ9" s="1270" cm="1">
        <f t="array" ref="AJ9">AJ6</f>
        <v>2028</v>
      </c>
      <c r="AK9" s="1270" cm="1">
        <f t="array" ref="AK9">AK6</f>
        <v>2029</v>
      </c>
      <c r="AL9" s="1270" cm="1">
        <f t="array" ref="AL9">AL6</f>
        <v>2030</v>
      </c>
      <c r="AM9" s="1270" cm="1">
        <f t="array" ref="AM9">AM6</f>
        <v>2031</v>
      </c>
      <c r="AN9" s="1270" cm="1">
        <f t="array" ref="AN9">AN6</f>
        <v>2032</v>
      </c>
      <c r="AO9" s="1270" cm="1">
        <f t="array" ref="AO9">AO6</f>
        <v>2033</v>
      </c>
      <c r="AP9" s="1270" cm="1">
        <f t="array" ref="AP9">AP6</f>
        <v>2034</v>
      </c>
      <c r="AQ9" s="1270" cm="1">
        <f t="array" ref="AQ9">AQ6</f>
        <v>2035</v>
      </c>
      <c r="AR9" s="1270" cm="1">
        <f t="array" ref="AR9">AR6</f>
        <v>2026</v>
      </c>
      <c r="AS9" s="1270" cm="1">
        <f t="array" ref="AS9">AS6</f>
        <v>2027</v>
      </c>
      <c r="AT9" s="1270" cm="1">
        <f t="array" ref="AT9">AT6</f>
        <v>2028</v>
      </c>
      <c r="AU9" s="1270" cm="1">
        <f t="array" ref="AU9">AU6</f>
        <v>2029</v>
      </c>
      <c r="AV9" s="1270" cm="1">
        <f t="array" ref="AV9">AV6</f>
        <v>2030</v>
      </c>
      <c r="AW9" s="1270" cm="1">
        <f t="array" ref="AW9">AW6</f>
        <v>2031</v>
      </c>
      <c r="AX9" s="1270" cm="1">
        <f t="array" ref="AX9">AX6</f>
        <v>2032</v>
      </c>
      <c r="AY9" s="1270" cm="1">
        <f t="array" ref="AY9">AY6</f>
        <v>2033</v>
      </c>
      <c r="AZ9" s="1270" cm="1">
        <f t="array" ref="AZ9">AZ6</f>
        <v>2034</v>
      </c>
      <c r="BA9" s="1270" cm="1">
        <f t="array" ref="BA9">BA6</f>
        <v>2035</v>
      </c>
      <c r="BB9" s="338"/>
      <c r="BC9" s="338"/>
      <c r="BD9" s="291"/>
      <c r="BE9" s="291"/>
      <c r="BF9" s="291"/>
      <c r="BG9" s="291"/>
      <c r="BH9" s="291"/>
      <c r="BI9" s="338"/>
      <c r="BJ9" s="338"/>
      <c r="BK9" s="338"/>
      <c r="BL9" s="338"/>
      <c r="BM9" s="338"/>
      <c r="BN9" s="338"/>
    </row>
    <row r="10" spans="1:66" ht="11.25" hidden="1" customHeight="1">
      <c r="A10" s="1270" t="s">
        <v>356</v>
      </c>
      <c r="B10" s="1271"/>
      <c r="C10" s="1378"/>
      <c r="D10" s="1378"/>
      <c r="E10" s="1378"/>
      <c r="F10" s="1272"/>
      <c r="G10" s="1378"/>
      <c r="H10" s="1378"/>
      <c r="I10" s="1378"/>
      <c r="J10" s="1378"/>
      <c r="K10" s="1378"/>
      <c r="L10" s="1378"/>
      <c r="M10" s="1378"/>
      <c r="N10" s="1378"/>
      <c r="O10" s="1378"/>
      <c r="P10" s="1378"/>
      <c r="Q10" s="1378"/>
      <c r="R10" s="1378"/>
      <c r="S10" s="1378"/>
      <c r="T10" s="1378"/>
      <c r="U10" s="1378"/>
      <c r="V10" s="1378"/>
      <c r="W10" s="1378"/>
      <c r="X10" s="1378"/>
      <c r="Y10" s="1378"/>
      <c r="Z10" s="1378"/>
      <c r="AA10" s="1378"/>
      <c r="AB10" s="1273"/>
      <c r="AC10" s="1274"/>
      <c r="AD10" s="1378"/>
      <c r="AE10" s="1270" t="str" cm="1">
        <f t="array" ref="AE10">AE25</f>
        <v>Принято органом регулирования</v>
      </c>
      <c r="AF10" s="1270" t="str" cm="1">
        <f t="array" ref="AF10">AF25</f>
        <v>Факт по данным организации</v>
      </c>
      <c r="AG10" s="1270" t="str" cm="1">
        <f t="array" ref="AG10">AG25</f>
        <v>Принято органом регулирования</v>
      </c>
      <c r="AH10" s="1270" t="str" cm="1">
        <f t="array" ref="AH10">AH25</f>
        <v>Предложение организации</v>
      </c>
      <c r="AI10" s="1270" t="str" cm="1">
        <f t="array" ref="AI10">AI25</f>
        <v>Предложение организации</v>
      </c>
      <c r="AJ10" s="1270" t="str" cm="1">
        <f t="array" ref="AJ10">AJ25</f>
        <v>Предложение организации</v>
      </c>
      <c r="AK10" s="1270" t="str" cm="1">
        <f t="array" ref="AK10">AK25</f>
        <v>Предложение организации</v>
      </c>
      <c r="AL10" s="1270" t="str" cm="1">
        <f t="array" ref="AL10">AL25</f>
        <v>Предложение организации</v>
      </c>
      <c r="AM10" s="1270" t="str" cm="1">
        <f t="array" ref="AM10">AM25</f>
        <v>Предложение организации</v>
      </c>
      <c r="AN10" s="1270" t="str" cm="1">
        <f t="array" ref="AN10">AN25</f>
        <v>Предложение организации</v>
      </c>
      <c r="AO10" s="1270" t="str" cm="1">
        <f t="array" ref="AO10">AO25</f>
        <v>Предложение организации</v>
      </c>
      <c r="AP10" s="1270" t="str" cm="1">
        <f t="array" ref="AP10">AP25</f>
        <v>Предложение организации</v>
      </c>
      <c r="AQ10" s="1270" t="str" cm="1">
        <f t="array" ref="AQ10">AQ25</f>
        <v>Предложение организации</v>
      </c>
      <c r="AR10" s="1270" t="str" cm="1">
        <f t="array" ref="AR10">AR25</f>
        <v>Принято органом регулирования</v>
      </c>
      <c r="AS10" s="1270" t="str" cm="1">
        <f t="array" ref="AS10">AS25</f>
        <v>Принято органом регулирования</v>
      </c>
      <c r="AT10" s="1270" t="str" cm="1">
        <f t="array" ref="AT10">AT25</f>
        <v>Принято органом регулирования</v>
      </c>
      <c r="AU10" s="1270" t="str" cm="1">
        <f t="array" ref="AU10">AU25</f>
        <v>Принято органом регулирования</v>
      </c>
      <c r="AV10" s="1270" t="str" cm="1">
        <f t="array" ref="AV10">AV25</f>
        <v>Принято органом регулирования</v>
      </c>
      <c r="AW10" s="1270" t="str" cm="1">
        <f t="array" ref="AW10">AW25</f>
        <v>Принято органом регулирования</v>
      </c>
      <c r="AX10" s="1270" t="str" cm="1">
        <f t="array" ref="AX10">AX25</f>
        <v>Принято органом регулирования</v>
      </c>
      <c r="AY10" s="1270" t="str" cm="1">
        <f t="array" ref="AY10">AY25</f>
        <v>Принято органом регулирования</v>
      </c>
      <c r="AZ10" s="1270" t="str" cm="1">
        <f t="array" ref="AZ10">AZ25</f>
        <v>Принято органом регулирования</v>
      </c>
      <c r="BA10" s="1270" t="str" cm="1">
        <f t="array" ref="BA10">BA25</f>
        <v>Принято органом регулирования</v>
      </c>
      <c r="BB10" s="338"/>
      <c r="BC10" s="338"/>
      <c r="BD10" s="291"/>
      <c r="BE10" s="291"/>
      <c r="BF10" s="291"/>
      <c r="BG10" s="291"/>
      <c r="BH10" s="291"/>
      <c r="BI10" s="338"/>
      <c r="BJ10" s="338"/>
      <c r="BK10" s="338"/>
      <c r="BL10" s="338"/>
      <c r="BM10" s="338"/>
      <c r="BN10" s="338"/>
    </row>
    <row r="11" spans="1:66" ht="11.25" hidden="1" customHeight="1">
      <c r="A11" s="1378"/>
      <c r="B11" s="1378"/>
      <c r="C11" s="1378"/>
      <c r="D11" s="1378"/>
      <c r="E11" s="1378"/>
      <c r="F11" s="1378"/>
      <c r="G11" s="1378"/>
      <c r="H11" s="1378"/>
      <c r="I11" s="1378"/>
      <c r="J11" s="1378"/>
      <c r="K11" s="1378"/>
      <c r="L11" s="1378"/>
      <c r="M11" s="1378"/>
      <c r="N11" s="1378"/>
      <c r="O11" s="1378"/>
      <c r="P11" s="1378"/>
      <c r="Q11" s="1378"/>
      <c r="R11" s="1378"/>
      <c r="S11" s="1378"/>
      <c r="T11" s="1378"/>
      <c r="U11" s="1378"/>
      <c r="V11" s="1378"/>
      <c r="W11" s="1378"/>
      <c r="X11" s="1378"/>
      <c r="Y11" s="1378"/>
      <c r="Z11" s="1378"/>
      <c r="AA11" s="1378"/>
      <c r="AB11" s="1378"/>
      <c r="AC11" s="1378"/>
      <c r="AD11" s="1378"/>
      <c r="AE11" s="1378"/>
      <c r="AF11" s="1378"/>
      <c r="AG11" s="1378"/>
      <c r="AH11" s="1378"/>
      <c r="AI11" s="1204"/>
      <c r="AJ11" s="1204"/>
      <c r="AK11" s="1204"/>
      <c r="AL11" s="1204"/>
      <c r="AM11" s="1204"/>
      <c r="AN11" s="1204"/>
      <c r="AO11" s="1204"/>
      <c r="AP11" s="1204"/>
      <c r="AQ11" s="1204"/>
      <c r="AR11" s="1378"/>
      <c r="AS11" s="1204"/>
      <c r="AT11" s="1204"/>
      <c r="AU11" s="1204"/>
      <c r="AV11" s="1204"/>
      <c r="AW11" s="1204"/>
      <c r="AX11" s="1204"/>
      <c r="AY11" s="1204"/>
      <c r="AZ11" s="1204"/>
      <c r="BA11" s="1204"/>
      <c r="BB11" s="338"/>
      <c r="BC11" s="338"/>
      <c r="BD11" s="338"/>
      <c r="BE11" s="338"/>
      <c r="BF11" s="338"/>
      <c r="BG11" s="338"/>
      <c r="BH11" s="338"/>
      <c r="BI11" s="338"/>
      <c r="BJ11" s="338"/>
      <c r="BK11" s="338"/>
      <c r="BL11" s="338"/>
      <c r="BM11" s="338"/>
      <c r="BN11" s="338"/>
    </row>
    <row r="12" spans="1:66" ht="11.25" hidden="1" customHeight="1">
      <c r="A12" s="1378"/>
      <c r="B12" s="1378"/>
      <c r="C12" s="1378"/>
      <c r="D12" s="1378"/>
      <c r="E12" s="1378"/>
      <c r="F12" s="1378"/>
      <c r="G12" s="1378"/>
      <c r="H12" s="1378"/>
      <c r="I12" s="1378"/>
      <c r="J12" s="1378"/>
      <c r="K12" s="1378"/>
      <c r="L12" s="1378"/>
      <c r="M12" s="1378"/>
      <c r="N12" s="1378"/>
      <c r="O12" s="1378"/>
      <c r="P12" s="1378"/>
      <c r="Q12" s="1378"/>
      <c r="R12" s="1378"/>
      <c r="S12" s="1378"/>
      <c r="T12" s="1378"/>
      <c r="U12" s="1378"/>
      <c r="V12" s="1378"/>
      <c r="W12" s="1378"/>
      <c r="X12" s="1378"/>
      <c r="Y12" s="1378"/>
      <c r="Z12" s="1378"/>
      <c r="AA12" s="1378"/>
      <c r="AB12" s="1378"/>
      <c r="AC12" s="1378"/>
      <c r="AD12" s="1378"/>
      <c r="AE12" s="1378"/>
      <c r="AF12" s="1378"/>
      <c r="AG12" s="1378"/>
      <c r="AH12" s="1378"/>
      <c r="AI12" s="1204"/>
      <c r="AJ12" s="1204"/>
      <c r="AK12" s="1204"/>
      <c r="AL12" s="1204"/>
      <c r="AM12" s="1204"/>
      <c r="AN12" s="1204"/>
      <c r="AO12" s="1204"/>
      <c r="AP12" s="1204"/>
      <c r="AQ12" s="1204"/>
      <c r="AR12" s="1378"/>
      <c r="AS12" s="1204"/>
      <c r="AT12" s="1204"/>
      <c r="AU12" s="1204"/>
      <c r="AV12" s="1204"/>
      <c r="AW12" s="1204"/>
      <c r="AX12" s="1204"/>
      <c r="AY12" s="1204"/>
      <c r="AZ12" s="1204"/>
      <c r="BA12" s="1204"/>
      <c r="BB12" s="338"/>
      <c r="BC12" s="338"/>
      <c r="BD12" s="338"/>
      <c r="BE12" s="338"/>
      <c r="BF12" s="338"/>
      <c r="BG12" s="338"/>
      <c r="BH12" s="338"/>
      <c r="BI12" s="338"/>
      <c r="BJ12" s="338"/>
      <c r="BK12" s="338"/>
      <c r="BL12" s="338"/>
      <c r="BM12" s="338"/>
      <c r="BN12" s="338"/>
    </row>
    <row r="13" spans="1:66" ht="11.25" hidden="1" customHeight="1">
      <c r="A13" s="1378"/>
      <c r="B13" s="1378"/>
      <c r="C13" s="1378"/>
      <c r="D13" s="1378"/>
      <c r="E13" s="1378"/>
      <c r="F13" s="1378"/>
      <c r="G13" s="1378"/>
      <c r="H13" s="1378"/>
      <c r="I13" s="1378"/>
      <c r="J13" s="1378"/>
      <c r="K13" s="1378"/>
      <c r="L13" s="1378"/>
      <c r="M13" s="1378"/>
      <c r="N13" s="1378"/>
      <c r="O13" s="1378"/>
      <c r="P13" s="1378"/>
      <c r="Q13" s="1378"/>
      <c r="R13" s="1378"/>
      <c r="S13" s="1378"/>
      <c r="T13" s="1378"/>
      <c r="U13" s="1378"/>
      <c r="V13" s="1378"/>
      <c r="W13" s="1378"/>
      <c r="X13" s="1378"/>
      <c r="Y13" s="1378"/>
      <c r="Z13" s="1378"/>
      <c r="AA13" s="1378"/>
      <c r="AB13" s="1378"/>
      <c r="AC13" s="1378"/>
      <c r="AD13" s="1378"/>
      <c r="AE13" s="1378"/>
      <c r="AF13" s="1378"/>
      <c r="AG13" s="1378"/>
      <c r="AH13" s="1378"/>
      <c r="AI13" s="1204"/>
      <c r="AJ13" s="1204"/>
      <c r="AK13" s="1204"/>
      <c r="AL13" s="1204"/>
      <c r="AM13" s="1204"/>
      <c r="AN13" s="1204"/>
      <c r="AO13" s="1204"/>
      <c r="AP13" s="1204"/>
      <c r="AQ13" s="1204"/>
      <c r="AR13" s="1378"/>
      <c r="AS13" s="1204"/>
      <c r="AT13" s="1204"/>
      <c r="AU13" s="1204"/>
      <c r="AV13" s="1204"/>
      <c r="AW13" s="1204"/>
      <c r="AX13" s="1204"/>
      <c r="AY13" s="1204"/>
      <c r="AZ13" s="1204"/>
      <c r="BA13" s="1204"/>
      <c r="BB13" s="338"/>
      <c r="BC13" s="338"/>
      <c r="BD13" s="338"/>
      <c r="BE13" s="338"/>
      <c r="BF13" s="338"/>
      <c r="BG13" s="338"/>
      <c r="BH13" s="338"/>
      <c r="BI13" s="338"/>
      <c r="BJ13" s="338"/>
      <c r="BK13" s="338"/>
      <c r="BL13" s="338"/>
      <c r="BM13" s="338"/>
      <c r="BN13" s="338"/>
    </row>
    <row r="14" spans="1:66" ht="11.25" hidden="1" customHeight="1">
      <c r="A14" s="1378"/>
      <c r="B14" s="1378"/>
      <c r="C14" s="1378"/>
      <c r="D14" s="1378"/>
      <c r="E14" s="1378"/>
      <c r="F14" s="1378"/>
      <c r="G14" s="1378"/>
      <c r="H14" s="1378"/>
      <c r="I14" s="1378"/>
      <c r="J14" s="1378"/>
      <c r="K14" s="1378"/>
      <c r="L14" s="1378"/>
      <c r="M14" s="1378"/>
      <c r="N14" s="1378"/>
      <c r="O14" s="1378"/>
      <c r="P14" s="1378"/>
      <c r="Q14" s="1378"/>
      <c r="R14" s="1378"/>
      <c r="S14" s="1378"/>
      <c r="T14" s="1378"/>
      <c r="U14" s="1378"/>
      <c r="V14" s="1378"/>
      <c r="W14" s="1378"/>
      <c r="X14" s="1378"/>
      <c r="Y14" s="1378"/>
      <c r="Z14" s="1378"/>
      <c r="AA14" s="1378"/>
      <c r="AB14" s="1378"/>
      <c r="AC14" s="1378"/>
      <c r="AD14" s="1378"/>
      <c r="AE14" s="1378"/>
      <c r="AF14" s="1378"/>
      <c r="AG14" s="1378"/>
      <c r="AH14" s="1378"/>
      <c r="AI14" s="1204"/>
      <c r="AJ14" s="1204"/>
      <c r="AK14" s="1204"/>
      <c r="AL14" s="1204"/>
      <c r="AM14" s="1204"/>
      <c r="AN14" s="1204"/>
      <c r="AO14" s="1204"/>
      <c r="AP14" s="1204"/>
      <c r="AQ14" s="1204"/>
      <c r="AR14" s="1378"/>
      <c r="AS14" s="1204"/>
      <c r="AT14" s="1204"/>
      <c r="AU14" s="1204"/>
      <c r="AV14" s="1204"/>
      <c r="AW14" s="1204"/>
      <c r="AX14" s="1204"/>
      <c r="AY14" s="1204"/>
      <c r="AZ14" s="1204"/>
      <c r="BA14" s="1204"/>
      <c r="BB14" s="338"/>
      <c r="BC14" s="338"/>
      <c r="BD14" s="338"/>
      <c r="BE14" s="338"/>
      <c r="BF14" s="338"/>
      <c r="BG14" s="338"/>
      <c r="BH14" s="338"/>
      <c r="BI14" s="338"/>
      <c r="BJ14" s="338"/>
      <c r="BK14" s="338"/>
      <c r="BL14" s="338"/>
      <c r="BM14" s="338"/>
      <c r="BN14" s="338"/>
    </row>
    <row r="15" spans="1:66" ht="11.25" hidden="1" customHeight="1">
      <c r="A15" s="1378"/>
      <c r="B15" s="1378"/>
      <c r="C15" s="1378"/>
      <c r="D15" s="1378"/>
      <c r="E15" s="1378"/>
      <c r="F15" s="1378"/>
      <c r="G15" s="1378"/>
      <c r="H15" s="1378"/>
      <c r="I15" s="1378"/>
      <c r="J15" s="1378"/>
      <c r="K15" s="1378"/>
      <c r="L15" s="1378"/>
      <c r="M15" s="1378"/>
      <c r="N15" s="1378"/>
      <c r="O15" s="1378"/>
      <c r="P15" s="1378"/>
      <c r="Q15" s="1378"/>
      <c r="R15" s="1378"/>
      <c r="S15" s="1378"/>
      <c r="T15" s="1378"/>
      <c r="U15" s="1378"/>
      <c r="V15" s="1378"/>
      <c r="W15" s="1378"/>
      <c r="X15" s="1378"/>
      <c r="Y15" s="1378"/>
      <c r="Z15" s="1378"/>
      <c r="AA15" s="1378"/>
      <c r="AB15" s="1378"/>
      <c r="AC15" s="1378"/>
      <c r="AD15" s="1378"/>
      <c r="AE15" s="1378"/>
      <c r="AF15" s="1378"/>
      <c r="AG15" s="1378"/>
      <c r="AH15" s="1378"/>
      <c r="AI15" s="1204"/>
      <c r="AJ15" s="1204"/>
      <c r="AK15" s="1204"/>
      <c r="AL15" s="1204"/>
      <c r="AM15" s="1204"/>
      <c r="AN15" s="1204"/>
      <c r="AO15" s="1204"/>
      <c r="AP15" s="1204"/>
      <c r="AQ15" s="1204"/>
      <c r="AR15" s="1378"/>
      <c r="AS15" s="1204"/>
      <c r="AT15" s="1204"/>
      <c r="AU15" s="1204"/>
      <c r="AV15" s="1204"/>
      <c r="AW15" s="1204"/>
      <c r="AX15" s="1204"/>
      <c r="AY15" s="1204"/>
      <c r="AZ15" s="1204"/>
      <c r="BA15" s="1204"/>
      <c r="BB15" s="338"/>
      <c r="BC15" s="338"/>
      <c r="BD15" s="338"/>
      <c r="BE15" s="338"/>
      <c r="BF15" s="338"/>
      <c r="BG15" s="338"/>
      <c r="BH15" s="338"/>
      <c r="BI15" s="338"/>
      <c r="BJ15" s="338"/>
      <c r="BK15" s="338"/>
      <c r="BL15" s="338"/>
      <c r="BM15" s="338"/>
      <c r="BN15" s="338"/>
    </row>
    <row r="16" spans="1:66" ht="11.25" hidden="1" customHeight="1">
      <c r="A16" s="1378"/>
      <c r="B16" s="1378"/>
      <c r="C16" s="1378"/>
      <c r="D16" s="1378"/>
      <c r="E16" s="1378"/>
      <c r="F16" s="1378"/>
      <c r="G16" s="1378"/>
      <c r="H16" s="1378"/>
      <c r="I16" s="1378"/>
      <c r="J16" s="1378"/>
      <c r="K16" s="1378"/>
      <c r="L16" s="1378"/>
      <c r="M16" s="1378"/>
      <c r="N16" s="1378"/>
      <c r="O16" s="1378"/>
      <c r="P16" s="1378"/>
      <c r="Q16" s="1378"/>
      <c r="R16" s="1378"/>
      <c r="S16" s="1378"/>
      <c r="T16" s="1378"/>
      <c r="U16" s="1378"/>
      <c r="V16" s="1378"/>
      <c r="W16" s="1378"/>
      <c r="X16" s="1378"/>
      <c r="Y16" s="1378"/>
      <c r="Z16" s="1378"/>
      <c r="AA16" s="1378"/>
      <c r="AB16" s="1378"/>
      <c r="AC16" s="1378"/>
      <c r="AD16" s="1378"/>
      <c r="AE16" s="1378"/>
      <c r="AF16" s="1378"/>
      <c r="AG16" s="1378"/>
      <c r="AH16" s="1378"/>
      <c r="AI16" s="1204"/>
      <c r="AJ16" s="1204"/>
      <c r="AK16" s="1204"/>
      <c r="AL16" s="1204"/>
      <c r="AM16" s="1204"/>
      <c r="AN16" s="1204"/>
      <c r="AO16" s="1204"/>
      <c r="AP16" s="1204"/>
      <c r="AQ16" s="1204"/>
      <c r="AR16" s="1378"/>
      <c r="AS16" s="1204"/>
      <c r="AT16" s="1204"/>
      <c r="AU16" s="1204"/>
      <c r="AV16" s="1204"/>
      <c r="AW16" s="1204"/>
      <c r="AX16" s="1204"/>
      <c r="AY16" s="1204"/>
      <c r="AZ16" s="1204"/>
      <c r="BA16" s="1204"/>
      <c r="BB16" s="338"/>
      <c r="BC16" s="338"/>
      <c r="BD16" s="338"/>
      <c r="BE16" s="338"/>
      <c r="BF16" s="338"/>
      <c r="BG16" s="338"/>
      <c r="BH16" s="338"/>
      <c r="BI16" s="338"/>
      <c r="BJ16" s="338"/>
      <c r="BK16" s="338"/>
      <c r="BL16" s="338"/>
      <c r="BM16" s="338"/>
      <c r="BN16" s="338"/>
    </row>
    <row r="17" spans="1:66" ht="11.25" hidden="1" customHeight="1">
      <c r="A17" s="1378"/>
      <c r="B17" s="1378"/>
      <c r="C17" s="1378"/>
      <c r="D17" s="1378"/>
      <c r="E17" s="1378"/>
      <c r="F17" s="1378"/>
      <c r="G17" s="1378"/>
      <c r="H17" s="1378"/>
      <c r="I17" s="1378"/>
      <c r="J17" s="1378"/>
      <c r="K17" s="1378"/>
      <c r="L17" s="1378"/>
      <c r="M17" s="1378"/>
      <c r="N17" s="1378"/>
      <c r="O17" s="1378"/>
      <c r="P17" s="1378"/>
      <c r="Q17" s="1378"/>
      <c r="R17" s="1378"/>
      <c r="S17" s="1378"/>
      <c r="T17" s="1378"/>
      <c r="U17" s="1378"/>
      <c r="V17" s="1378"/>
      <c r="W17" s="1378"/>
      <c r="X17" s="1378"/>
      <c r="Y17" s="1378"/>
      <c r="Z17" s="1378"/>
      <c r="AA17" s="1378"/>
      <c r="AB17" s="1378"/>
      <c r="AC17" s="1378"/>
      <c r="AD17" s="1378"/>
      <c r="AE17" s="1378"/>
      <c r="AF17" s="1378"/>
      <c r="AG17" s="1378"/>
      <c r="AH17" s="1378"/>
      <c r="AI17" s="1204"/>
      <c r="AJ17" s="1204"/>
      <c r="AK17" s="1204"/>
      <c r="AL17" s="1204"/>
      <c r="AM17" s="1204"/>
      <c r="AN17" s="1204"/>
      <c r="AO17" s="1204"/>
      <c r="AP17" s="1204"/>
      <c r="AQ17" s="1204"/>
      <c r="AR17" s="1378"/>
      <c r="AS17" s="1204"/>
      <c r="AT17" s="1204"/>
      <c r="AU17" s="1204"/>
      <c r="AV17" s="1204"/>
      <c r="AW17" s="1204"/>
      <c r="AX17" s="1204"/>
      <c r="AY17" s="1204"/>
      <c r="AZ17" s="1204"/>
      <c r="BA17" s="1204"/>
      <c r="BB17" s="338"/>
      <c r="BC17" s="338"/>
      <c r="BD17" s="338"/>
      <c r="BE17" s="338"/>
      <c r="BF17" s="338"/>
      <c r="BG17" s="338"/>
      <c r="BH17" s="338"/>
      <c r="BI17" s="338"/>
      <c r="BJ17" s="338"/>
      <c r="BK17" s="338"/>
      <c r="BL17" s="338"/>
      <c r="BM17" s="338"/>
      <c r="BN17" s="338"/>
    </row>
    <row r="18" spans="1:66" ht="11.25" hidden="1" customHeight="1">
      <c r="A18" s="1378"/>
      <c r="B18" s="1378"/>
      <c r="C18" s="1378"/>
      <c r="D18" s="1378"/>
      <c r="E18" s="1378"/>
      <c r="F18" s="1378"/>
      <c r="G18" s="1378"/>
      <c r="H18" s="1378"/>
      <c r="I18" s="1378"/>
      <c r="J18" s="1378"/>
      <c r="K18" s="1378"/>
      <c r="L18" s="1378"/>
      <c r="M18" s="1378"/>
      <c r="N18" s="1378"/>
      <c r="O18" s="1378"/>
      <c r="P18" s="1378"/>
      <c r="Q18" s="1378"/>
      <c r="R18" s="1378"/>
      <c r="S18" s="1378"/>
      <c r="T18" s="1378"/>
      <c r="U18" s="1378"/>
      <c r="V18" s="1378"/>
      <c r="W18" s="1378"/>
      <c r="X18" s="1378"/>
      <c r="Y18" s="1378"/>
      <c r="Z18" s="1378"/>
      <c r="AA18" s="1378"/>
      <c r="AB18" s="1378"/>
      <c r="AC18" s="1378"/>
      <c r="AD18" s="1378"/>
      <c r="AE18" s="1378"/>
      <c r="AF18" s="1378"/>
      <c r="AG18" s="1378"/>
      <c r="AH18" s="1378"/>
      <c r="AI18" s="1204"/>
      <c r="AJ18" s="1204"/>
      <c r="AK18" s="1204"/>
      <c r="AL18" s="1204"/>
      <c r="AM18" s="1204"/>
      <c r="AN18" s="1204"/>
      <c r="AO18" s="1204"/>
      <c r="AP18" s="1204"/>
      <c r="AQ18" s="1204"/>
      <c r="AR18" s="1378"/>
      <c r="AS18" s="1204"/>
      <c r="AT18" s="1204"/>
      <c r="AU18" s="1204"/>
      <c r="AV18" s="1204"/>
      <c r="AW18" s="1204"/>
      <c r="AX18" s="1204"/>
      <c r="AY18" s="1204"/>
      <c r="AZ18" s="1204"/>
      <c r="BA18" s="1204"/>
      <c r="BB18" s="338"/>
      <c r="BC18" s="338"/>
      <c r="BD18" s="338"/>
      <c r="BE18" s="338"/>
      <c r="BF18" s="338"/>
      <c r="BG18" s="338"/>
      <c r="BH18" s="338"/>
      <c r="BI18" s="338"/>
      <c r="BJ18" s="338"/>
      <c r="BK18" s="338"/>
      <c r="BL18" s="338"/>
      <c r="BM18" s="338"/>
      <c r="BN18" s="338"/>
    </row>
    <row r="19" spans="1:66" ht="11.25" hidden="1" customHeight="1">
      <c r="A19" s="1378"/>
      <c r="B19" s="1378"/>
      <c r="C19" s="1378"/>
      <c r="D19" s="1378"/>
      <c r="E19" s="1378"/>
      <c r="F19" s="1378"/>
      <c r="G19" s="1378"/>
      <c r="H19" s="1378"/>
      <c r="I19" s="1378"/>
      <c r="J19" s="1378"/>
      <c r="K19" s="1378"/>
      <c r="L19" s="1378"/>
      <c r="M19" s="1378"/>
      <c r="N19" s="1378"/>
      <c r="O19" s="1378"/>
      <c r="P19" s="1378"/>
      <c r="Q19" s="1378"/>
      <c r="R19" s="1378"/>
      <c r="S19" s="1378"/>
      <c r="T19" s="1378"/>
      <c r="U19" s="1378"/>
      <c r="V19" s="1378"/>
      <c r="W19" s="1378"/>
      <c r="X19" s="1378"/>
      <c r="Y19" s="1378"/>
      <c r="Z19" s="1378"/>
      <c r="AA19" s="1378"/>
      <c r="AB19" s="1378"/>
      <c r="AC19" s="1378"/>
      <c r="AD19" s="1378"/>
      <c r="AE19" s="1378"/>
      <c r="AF19" s="1378"/>
      <c r="AG19" s="1378"/>
      <c r="AH19" s="1378"/>
      <c r="AI19" s="1204"/>
      <c r="AJ19" s="1204"/>
      <c r="AK19" s="1204"/>
      <c r="AL19" s="1204"/>
      <c r="AM19" s="1204"/>
      <c r="AN19" s="1204"/>
      <c r="AO19" s="1204"/>
      <c r="AP19" s="1204"/>
      <c r="AQ19" s="1204"/>
      <c r="AR19" s="1378"/>
      <c r="AS19" s="1204"/>
      <c r="AT19" s="1204"/>
      <c r="AU19" s="1204"/>
      <c r="AV19" s="1204"/>
      <c r="AW19" s="1204"/>
      <c r="AX19" s="1204"/>
      <c r="AY19" s="1204"/>
      <c r="AZ19" s="1204"/>
      <c r="BA19" s="1204"/>
      <c r="BB19" s="338"/>
      <c r="BC19" s="338"/>
      <c r="BD19" s="338"/>
      <c r="BE19" s="338"/>
      <c r="BF19" s="338"/>
      <c r="BG19" s="338"/>
      <c r="BH19" s="338"/>
      <c r="BI19" s="338"/>
      <c r="BJ19" s="338"/>
      <c r="BK19" s="338"/>
      <c r="BL19" s="338"/>
      <c r="BM19" s="338"/>
      <c r="BN19" s="338"/>
    </row>
    <row r="20" spans="1:66" ht="11.25" hidden="1" customHeight="1">
      <c r="A20" s="1378"/>
      <c r="B20" s="1378"/>
      <c r="C20" s="1378"/>
      <c r="D20" s="1378"/>
      <c r="E20" s="1378"/>
      <c r="F20" s="1378"/>
      <c r="G20" s="1378"/>
      <c r="H20" s="1378"/>
      <c r="I20" s="1378"/>
      <c r="J20" s="1378"/>
      <c r="K20" s="1378"/>
      <c r="L20" s="1378"/>
      <c r="M20" s="1378"/>
      <c r="N20" s="1378"/>
      <c r="O20" s="1378"/>
      <c r="P20" s="1378"/>
      <c r="Q20" s="1378"/>
      <c r="R20" s="1378"/>
      <c r="S20" s="1378"/>
      <c r="T20" s="1378"/>
      <c r="U20" s="1378"/>
      <c r="V20" s="1378"/>
      <c r="W20" s="1378"/>
      <c r="X20" s="1378"/>
      <c r="Y20" s="1378"/>
      <c r="Z20" s="1378"/>
      <c r="AA20" s="1378"/>
      <c r="AB20" s="1378"/>
      <c r="AC20" s="1378"/>
      <c r="AD20" s="1378"/>
      <c r="AE20" s="1378"/>
      <c r="AF20" s="1378"/>
      <c r="AG20" s="1378"/>
      <c r="AH20" s="1378"/>
      <c r="AI20" s="1204"/>
      <c r="AJ20" s="1204"/>
      <c r="AK20" s="1204"/>
      <c r="AL20" s="1204"/>
      <c r="AM20" s="1204"/>
      <c r="AN20" s="1204"/>
      <c r="AO20" s="1204"/>
      <c r="AP20" s="1204"/>
      <c r="AQ20" s="1204"/>
      <c r="AR20" s="1378"/>
      <c r="AS20" s="1204"/>
      <c r="AT20" s="1204"/>
      <c r="AU20" s="1204"/>
      <c r="AV20" s="1204"/>
      <c r="AW20" s="1204"/>
      <c r="AX20" s="1204"/>
      <c r="AY20" s="1204"/>
      <c r="AZ20" s="1204"/>
      <c r="BA20" s="1204"/>
      <c r="BB20" s="338"/>
      <c r="BC20" s="338"/>
      <c r="BD20" s="338"/>
      <c r="BE20" s="338"/>
      <c r="BF20" s="338"/>
      <c r="BG20" s="338"/>
      <c r="BH20" s="338"/>
      <c r="BI20" s="338"/>
      <c r="BJ20" s="338"/>
      <c r="BK20" s="338"/>
      <c r="BL20" s="338"/>
      <c r="BM20" s="338"/>
      <c r="BN20" s="338"/>
    </row>
    <row r="21" spans="1:66" ht="14.65" customHeight="1">
      <c r="A21" s="1378"/>
      <c r="B21" s="1378"/>
      <c r="C21" s="1378"/>
      <c r="D21" s="1378"/>
      <c r="E21" s="1266">
        <v>15</v>
      </c>
      <c r="F21" s="1378"/>
      <c r="G21" s="1378"/>
      <c r="H21" s="1378"/>
      <c r="I21" s="1378"/>
      <c r="J21" s="1378"/>
      <c r="K21" s="1378"/>
      <c r="L21" s="1378"/>
      <c r="M21" s="1378"/>
      <c r="N21" s="1378"/>
      <c r="O21" s="1378"/>
      <c r="P21" s="1378"/>
      <c r="Q21" s="1378"/>
      <c r="R21" s="1378"/>
      <c r="S21" s="1378"/>
      <c r="T21" s="1378"/>
      <c r="U21" s="1378"/>
      <c r="V21" s="1378"/>
      <c r="W21" s="1378"/>
      <c r="X21" s="1378"/>
      <c r="Y21" s="1378"/>
      <c r="Z21" s="1378"/>
      <c r="AA21" s="1275"/>
      <c r="AB21" s="1378"/>
      <c r="AC21" s="1276" t="str" cm="1">
        <f t="array" ref="AC21">tpl_title</f>
        <v>Кемеровская область / 2026 / ОАО «СКЭК» (ИНН:4205153492, КПП:420501001) / ДПР: 2026-2026</v>
      </c>
      <c r="AD21" s="1277"/>
      <c r="AE21" s="1278"/>
      <c r="AF21" s="1378"/>
      <c r="AG21" s="1378"/>
      <c r="AH21" s="1378"/>
      <c r="AI21" s="1204"/>
      <c r="AJ21" s="1204"/>
      <c r="AK21" s="1204"/>
      <c r="AL21" s="1204"/>
      <c r="AM21" s="1204"/>
      <c r="AN21" s="1204"/>
      <c r="AO21" s="1204"/>
      <c r="AP21" s="1204"/>
      <c r="AQ21" s="1204"/>
      <c r="AR21" s="1378"/>
      <c r="AS21" s="1204"/>
      <c r="AT21" s="1204"/>
      <c r="AU21" s="1204"/>
      <c r="AV21" s="1204"/>
      <c r="AW21" s="1204"/>
      <c r="AX21" s="1204"/>
      <c r="AY21" s="1204"/>
      <c r="AZ21" s="1204"/>
      <c r="BA21" s="1204"/>
      <c r="BB21" s="338"/>
      <c r="BC21" s="338"/>
      <c r="BD21" s="338"/>
      <c r="BE21" s="338"/>
      <c r="BF21" s="338"/>
      <c r="BG21" s="338"/>
      <c r="BH21" s="338"/>
      <c r="BI21" s="338"/>
      <c r="BJ21" s="338"/>
      <c r="BK21" s="338"/>
      <c r="BL21" s="338"/>
      <c r="BM21" s="338"/>
      <c r="BN21" s="338"/>
    </row>
    <row r="22" spans="1:66" ht="21.95" customHeight="1">
      <c r="A22" s="1378"/>
      <c r="B22" s="1378"/>
      <c r="C22" s="1378"/>
      <c r="D22" s="1378"/>
      <c r="E22" s="1266">
        <v>22.5</v>
      </c>
      <c r="F22" s="1378"/>
      <c r="G22" s="1378"/>
      <c r="H22" s="1378"/>
      <c r="I22" s="1378"/>
      <c r="J22" s="1378"/>
      <c r="K22" s="1378"/>
      <c r="L22" s="1378"/>
      <c r="M22" s="1378"/>
      <c r="N22" s="1378"/>
      <c r="O22" s="1378"/>
      <c r="P22" s="1378"/>
      <c r="Q22" s="1378"/>
      <c r="R22" s="1378"/>
      <c r="S22" s="1378"/>
      <c r="T22" s="1378"/>
      <c r="U22" s="1378"/>
      <c r="V22" s="1378"/>
      <c r="W22" s="1378"/>
      <c r="X22" s="1378"/>
      <c r="Y22" s="1378"/>
      <c r="Z22" s="1378"/>
      <c r="AA22" s="1378"/>
      <c r="AB22" s="1279" t="s">
        <v>439</v>
      </c>
      <c r="AC22" s="1280"/>
      <c r="AD22" s="1280"/>
      <c r="AE22" s="1280"/>
      <c r="AF22" s="1280"/>
      <c r="AG22" s="1281"/>
      <c r="AH22" s="1281"/>
      <c r="AI22" s="1281"/>
      <c r="AJ22" s="1281"/>
      <c r="AK22" s="1281"/>
      <c r="AL22" s="1281"/>
      <c r="AM22" s="1281"/>
      <c r="AN22" s="1281"/>
      <c r="AO22" s="1281"/>
      <c r="AP22" s="1281"/>
      <c r="AQ22" s="1281"/>
      <c r="AR22" s="1281"/>
      <c r="AS22" s="1281"/>
      <c r="AT22" s="1281"/>
      <c r="AU22" s="1281"/>
      <c r="AV22" s="1281"/>
      <c r="AW22" s="1281"/>
      <c r="AX22" s="1281"/>
      <c r="AY22" s="1281"/>
      <c r="AZ22" s="1281"/>
      <c r="BA22" s="1281"/>
      <c r="BB22" s="338"/>
      <c r="BC22" s="338"/>
      <c r="BD22" s="338"/>
      <c r="BE22" s="338"/>
      <c r="BF22" s="338"/>
      <c r="BG22" s="338"/>
      <c r="BH22" s="338"/>
      <c r="BI22" s="338"/>
      <c r="BJ22" s="338"/>
      <c r="BK22" s="338"/>
      <c r="BL22" s="338"/>
      <c r="BM22" s="338"/>
      <c r="BN22" s="338"/>
    </row>
    <row r="23" spans="1:66" ht="14.65" customHeight="1">
      <c r="A23" s="1378"/>
      <c r="B23" s="1265"/>
      <c r="C23" s="1378"/>
      <c r="D23" s="1378"/>
      <c r="E23" s="1282">
        <v>15</v>
      </c>
      <c r="F23" s="1260"/>
      <c r="G23" s="1378"/>
      <c r="H23" s="1378"/>
      <c r="I23" s="1378"/>
      <c r="J23" s="1378"/>
      <c r="K23" s="1378"/>
      <c r="L23" s="1378"/>
      <c r="M23" s="1378"/>
      <c r="N23" s="1378"/>
      <c r="O23" s="1378"/>
      <c r="P23" s="1378"/>
      <c r="Q23" s="1378"/>
      <c r="R23" s="1378"/>
      <c r="S23" s="1378"/>
      <c r="T23" s="1378"/>
      <c r="U23" s="1378"/>
      <c r="V23" s="1378"/>
      <c r="W23" s="1378"/>
      <c r="X23" s="1378"/>
      <c r="Y23" s="1378"/>
      <c r="Z23" s="1378"/>
      <c r="AA23" s="1265"/>
      <c r="AB23" s="1283"/>
      <c r="AC23" s="1284"/>
      <c r="AD23" s="1285"/>
      <c r="AE23" s="1286"/>
      <c r="AF23" s="1378"/>
      <c r="AG23" s="1378"/>
      <c r="AH23" s="1378"/>
      <c r="AI23" s="1204"/>
      <c r="AJ23" s="1204"/>
      <c r="AK23" s="1204"/>
      <c r="AL23" s="1204"/>
      <c r="AM23" s="1204"/>
      <c r="AN23" s="1204"/>
      <c r="AO23" s="1204"/>
      <c r="AP23" s="1204"/>
      <c r="AQ23" s="1204"/>
      <c r="AR23" s="1378"/>
      <c r="AS23" s="1204"/>
      <c r="AT23" s="1204"/>
      <c r="AU23" s="1204"/>
      <c r="AV23" s="1204"/>
      <c r="AW23" s="1204"/>
      <c r="AX23" s="1204"/>
      <c r="AY23" s="1204"/>
      <c r="AZ23" s="1204"/>
      <c r="BA23" s="1204"/>
      <c r="BB23" s="338"/>
      <c r="BC23" s="1077"/>
      <c r="BD23" s="291"/>
      <c r="BE23" s="291"/>
      <c r="BF23" s="291"/>
      <c r="BG23" s="291"/>
      <c r="BH23" s="291"/>
      <c r="BI23" s="338"/>
      <c r="BJ23" s="338"/>
      <c r="BK23" s="338"/>
      <c r="BL23" s="338"/>
      <c r="BM23" s="338"/>
      <c r="BN23" s="338"/>
    </row>
    <row r="24" spans="1:66" ht="14.65" customHeight="1">
      <c r="A24" s="1378"/>
      <c r="B24" s="1378"/>
      <c r="C24" s="1378"/>
      <c r="D24" s="1378"/>
      <c r="E24" s="1266">
        <v>15</v>
      </c>
      <c r="F24" s="1378"/>
      <c r="G24" s="1378"/>
      <c r="H24" s="1378"/>
      <c r="I24" s="1378"/>
      <c r="J24" s="1378"/>
      <c r="K24" s="1378"/>
      <c r="L24" s="1378"/>
      <c r="M24" s="1378"/>
      <c r="N24" s="1378"/>
      <c r="O24" s="1378"/>
      <c r="P24" s="1378"/>
      <c r="Q24" s="1378"/>
      <c r="R24" s="1378"/>
      <c r="S24" s="1378"/>
      <c r="T24" s="1378"/>
      <c r="U24" s="1378"/>
      <c r="V24" s="1378"/>
      <c r="W24" s="1378"/>
      <c r="X24" s="1378"/>
      <c r="Y24" s="1378"/>
      <c r="Z24" s="1378"/>
      <c r="AA24" s="1378"/>
      <c r="AB24" s="1756" t="s">
        <v>21</v>
      </c>
      <c r="AC24" s="1756" t="s">
        <v>416</v>
      </c>
      <c r="AD24" s="1756" t="s">
        <v>360</v>
      </c>
      <c r="AE24" s="1287" t="str">
        <f>god-2&amp;" год"</f>
        <v>2024 год</v>
      </c>
      <c r="AF24" s="1288" t="str">
        <f>god-2&amp;" год"</f>
        <v>2024 год</v>
      </c>
      <c r="AG24" s="1287" t="str">
        <f>god-1&amp;" год"</f>
        <v>2025 год</v>
      </c>
      <c r="AH24" s="1288" t="str">
        <f>god&amp;" год"</f>
        <v>2026 год</v>
      </c>
      <c r="AI24" s="1288" t="str">
        <f>god+1&amp;" год"</f>
        <v>2027 год</v>
      </c>
      <c r="AJ24" s="1288" t="str">
        <f>god+2&amp;" год"</f>
        <v>2028 год</v>
      </c>
      <c r="AK24" s="1288" t="str">
        <f>god+3&amp;" год"</f>
        <v>2029 год</v>
      </c>
      <c r="AL24" s="1288" t="str">
        <f>god+4&amp;" год"</f>
        <v>2030 год</v>
      </c>
      <c r="AM24" s="1288" t="str">
        <f>god+5&amp;" год"</f>
        <v>2031 год</v>
      </c>
      <c r="AN24" s="1288" t="str">
        <f>god+6&amp;" год"</f>
        <v>2032 год</v>
      </c>
      <c r="AO24" s="1288" t="str">
        <f>god+7&amp;" год"</f>
        <v>2033 год</v>
      </c>
      <c r="AP24" s="1288" t="str">
        <f>god+8&amp;" год"</f>
        <v>2034 год</v>
      </c>
      <c r="AQ24" s="1288" t="str">
        <f>god+9&amp;" год"</f>
        <v>2035 год</v>
      </c>
      <c r="AR24" s="1287" t="str">
        <f>god&amp;" год"</f>
        <v>2026 год</v>
      </c>
      <c r="AS24" s="1287" t="str">
        <f>god+1&amp;" год"</f>
        <v>2027 год</v>
      </c>
      <c r="AT24" s="1287" t="str">
        <f>god+2&amp;" год"</f>
        <v>2028 год</v>
      </c>
      <c r="AU24" s="1287" t="str">
        <f>god+3&amp;" год"</f>
        <v>2029 год</v>
      </c>
      <c r="AV24" s="1287" t="str">
        <f>god+4&amp;" год"</f>
        <v>2030 год</v>
      </c>
      <c r="AW24" s="1287" t="str">
        <f>god+5&amp;" год"</f>
        <v>2031 год</v>
      </c>
      <c r="AX24" s="1287" t="str">
        <f>god+6&amp;" год"</f>
        <v>2032 год</v>
      </c>
      <c r="AY24" s="1287" t="str">
        <f>god+7&amp;" год"</f>
        <v>2033 год</v>
      </c>
      <c r="AZ24" s="1287" t="str">
        <f>god+8&amp;" год"</f>
        <v>2034 год</v>
      </c>
      <c r="BA24" s="1287" t="str">
        <f>god+9&amp;" год"</f>
        <v>2035 год</v>
      </c>
      <c r="BB24" s="338"/>
      <c r="BC24" s="338"/>
      <c r="BD24" s="338"/>
      <c r="BE24" s="338"/>
      <c r="BF24" s="338"/>
      <c r="BG24" s="338"/>
      <c r="BH24" s="338"/>
      <c r="BI24" s="338"/>
      <c r="BJ24" s="338"/>
      <c r="BK24" s="338"/>
      <c r="BL24" s="338"/>
      <c r="BM24" s="338"/>
      <c r="BN24" s="338"/>
    </row>
    <row r="25" spans="1:66" ht="67.349999999999994" customHeight="1">
      <c r="A25" s="1378"/>
      <c r="B25" s="1378"/>
      <c r="C25" s="1378"/>
      <c r="D25" s="1378"/>
      <c r="E25" s="1266">
        <v>69</v>
      </c>
      <c r="F25" s="1378"/>
      <c r="G25" s="1378"/>
      <c r="H25" s="1378"/>
      <c r="I25" s="1378"/>
      <c r="J25" s="1378"/>
      <c r="K25" s="1378"/>
      <c r="L25" s="1378"/>
      <c r="M25" s="1378"/>
      <c r="N25" s="1378"/>
      <c r="O25" s="1378"/>
      <c r="P25" s="1378"/>
      <c r="Q25" s="1378"/>
      <c r="R25" s="1378"/>
      <c r="S25" s="1378"/>
      <c r="T25" s="1378"/>
      <c r="U25" s="1378"/>
      <c r="V25" s="1378"/>
      <c r="W25" s="1378"/>
      <c r="X25" s="1378"/>
      <c r="Y25" s="1378"/>
      <c r="Z25" s="1378"/>
      <c r="AA25" s="1378"/>
      <c r="AB25" s="1756"/>
      <c r="AC25" s="1756"/>
      <c r="AD25" s="1756"/>
      <c r="AE25" s="1289" t="s">
        <v>352</v>
      </c>
      <c r="AF25" s="1290" t="s">
        <v>417</v>
      </c>
      <c r="AG25" s="1287" t="s">
        <v>352</v>
      </c>
      <c r="AH25" s="1290" t="s">
        <v>353</v>
      </c>
      <c r="AI25" s="1290" t="s">
        <v>353</v>
      </c>
      <c r="AJ25" s="1290" t="s">
        <v>353</v>
      </c>
      <c r="AK25" s="1290" t="s">
        <v>353</v>
      </c>
      <c r="AL25" s="1290" t="s">
        <v>353</v>
      </c>
      <c r="AM25" s="1290" t="s">
        <v>353</v>
      </c>
      <c r="AN25" s="1290" t="s">
        <v>353</v>
      </c>
      <c r="AO25" s="1290" t="s">
        <v>353</v>
      </c>
      <c r="AP25" s="1290" t="s">
        <v>353</v>
      </c>
      <c r="AQ25" s="1290" t="s">
        <v>353</v>
      </c>
      <c r="AR25" s="1287" t="s">
        <v>352</v>
      </c>
      <c r="AS25" s="1287" t="s">
        <v>352</v>
      </c>
      <c r="AT25" s="1287" t="s">
        <v>352</v>
      </c>
      <c r="AU25" s="1287" t="s">
        <v>352</v>
      </c>
      <c r="AV25" s="1287" t="s">
        <v>352</v>
      </c>
      <c r="AW25" s="1287" t="s">
        <v>352</v>
      </c>
      <c r="AX25" s="1287" t="s">
        <v>352</v>
      </c>
      <c r="AY25" s="1287" t="s">
        <v>352</v>
      </c>
      <c r="AZ25" s="1287" t="s">
        <v>352</v>
      </c>
      <c r="BA25" s="1287" t="s">
        <v>352</v>
      </c>
      <c r="BB25" s="338"/>
      <c r="BC25" s="338"/>
      <c r="BD25" s="338"/>
      <c r="BE25" s="338"/>
      <c r="BF25" s="338"/>
      <c r="BG25" s="338"/>
      <c r="BH25" s="338"/>
      <c r="BI25" s="338"/>
      <c r="BJ25" s="338"/>
      <c r="BK25" s="338"/>
      <c r="BL25" s="338"/>
      <c r="BM25" s="338"/>
      <c r="BN25" s="338"/>
    </row>
    <row r="26" spans="1:66" s="1324" customFormat="1" ht="11.25" hidden="1" customHeight="1">
      <c r="A26" s="1291"/>
      <c r="B26" s="1292"/>
      <c r="C26" s="1291"/>
      <c r="D26" s="1291"/>
      <c r="E26" s="1293">
        <v>0</v>
      </c>
      <c r="F26" s="1377"/>
      <c r="G26" s="1291"/>
      <c r="H26" s="1291"/>
      <c r="I26" s="1291"/>
      <c r="J26" s="1291"/>
      <c r="K26" s="1291"/>
      <c r="L26" s="1291"/>
      <c r="M26" s="1291"/>
      <c r="N26" s="1291"/>
      <c r="O26" s="1291"/>
      <c r="P26" s="1291"/>
      <c r="Q26" s="1291"/>
      <c r="R26" s="1291"/>
      <c r="S26" s="1291"/>
      <c r="T26" s="1291"/>
      <c r="U26" s="1291"/>
      <c r="V26" s="1291"/>
      <c r="W26" s="1291"/>
      <c r="X26" s="1291"/>
      <c r="Y26" s="1291"/>
      <c r="Z26" s="1291"/>
      <c r="AA26" s="1378"/>
      <c r="AB26" s="1294"/>
      <c r="AC26" s="1295"/>
      <c r="AD26" s="1278"/>
      <c r="AE26" s="1296"/>
      <c r="AF26" s="1296"/>
      <c r="AG26" s="1296"/>
      <c r="AH26" s="1296"/>
      <c r="AI26" s="1296"/>
      <c r="AJ26" s="1296"/>
      <c r="AK26" s="1296"/>
      <c r="AL26" s="1296"/>
      <c r="AM26" s="1296"/>
      <c r="AN26" s="1296"/>
      <c r="AO26" s="1296"/>
      <c r="AP26" s="1296"/>
      <c r="AQ26" s="1296"/>
      <c r="AR26" s="1296"/>
      <c r="AS26" s="1296"/>
      <c r="AT26" s="1296"/>
      <c r="AU26" s="1296"/>
      <c r="AV26" s="1296"/>
      <c r="AW26" s="1296"/>
      <c r="AX26" s="1296"/>
      <c r="AY26" s="1296"/>
      <c r="AZ26" s="1296"/>
      <c r="BA26" s="1296"/>
      <c r="BB26" s="338"/>
      <c r="BC26" s="1080"/>
      <c r="BD26" s="291"/>
      <c r="BE26" s="291"/>
      <c r="BF26" s="291"/>
      <c r="BG26" s="291"/>
      <c r="BH26" s="291"/>
      <c r="BI26" s="338"/>
      <c r="BJ26" s="338"/>
      <c r="BK26" s="338"/>
      <c r="BL26" s="338"/>
      <c r="BM26" s="338"/>
      <c r="BN26" s="338"/>
    </row>
    <row r="27" spans="1:66" s="1322" customFormat="1" ht="14.65" hidden="1" customHeight="1">
      <c r="A27" s="1204"/>
      <c r="B27" s="1297"/>
      <c r="C27" s="1204"/>
      <c r="D27" s="1204"/>
      <c r="E27" s="1298">
        <v>15</v>
      </c>
      <c r="F27" s="1260" cm="1">
        <f t="array" ref="F27">Y27</f>
        <v>0</v>
      </c>
      <c r="G27" s="1204"/>
      <c r="H27" s="1204"/>
      <c r="I27" s="1204"/>
      <c r="J27" s="1204"/>
      <c r="K27" s="1204"/>
      <c r="L27" s="1204"/>
      <c r="M27" s="1204"/>
      <c r="N27" s="1204"/>
      <c r="O27" s="1204"/>
      <c r="P27" s="1204"/>
      <c r="Q27" s="1204"/>
      <c r="R27" s="1204"/>
      <c r="S27" s="1204"/>
      <c r="T27" s="1204"/>
      <c r="U27" s="1204"/>
      <c r="V27" s="1261" t="b">
        <f>Y27&gt;0</f>
        <v>0</v>
      </c>
      <c r="W27" s="1204"/>
      <c r="X27" s="1295" t="s">
        <v>270</v>
      </c>
      <c r="Y27" s="1732">
        <v>0</v>
      </c>
      <c r="Z27" s="1757"/>
      <c r="AA27" s="1204"/>
      <c r="AB27" s="1299" t="str" cm="1">
        <f t="array" ref="AB27">INDEX('Общие сведения'!$AG$179:$AG$208,MATCH($Y27,'Общие сведения'!$Z$179:$Z$208,0))</f>
        <v xml:space="preserve">Тариф 0 () - </v>
      </c>
      <c r="AC27" s="1300"/>
      <c r="AD27" s="1301"/>
      <c r="AE27" s="1301"/>
      <c r="AF27" s="1301"/>
      <c r="AG27" s="1301"/>
      <c r="AH27" s="1301"/>
      <c r="AI27" s="1301"/>
      <c r="AJ27" s="1301"/>
      <c r="AK27" s="1301"/>
      <c r="AL27" s="1301"/>
      <c r="AM27" s="1301"/>
      <c r="AN27" s="1301"/>
      <c r="AO27" s="1301"/>
      <c r="AP27" s="1301"/>
      <c r="AQ27" s="1301"/>
      <c r="AR27" s="1301"/>
      <c r="AS27" s="1301"/>
      <c r="AT27" s="1301"/>
      <c r="AU27" s="1301"/>
      <c r="AV27" s="1301"/>
      <c r="AW27" s="1301"/>
      <c r="AX27" s="1301"/>
      <c r="AY27" s="1301"/>
      <c r="AZ27" s="1301"/>
      <c r="BA27" s="1301"/>
      <c r="BB27" s="338"/>
      <c r="BC27" s="1082"/>
      <c r="BD27" s="291"/>
      <c r="BE27" s="291"/>
      <c r="BF27" s="291"/>
      <c r="BG27" s="291"/>
      <c r="BH27" s="291"/>
      <c r="BI27" s="338"/>
      <c r="BJ27" s="338"/>
      <c r="BK27" s="338"/>
      <c r="BL27" s="338"/>
      <c r="BM27" s="338"/>
      <c r="BN27" s="338"/>
    </row>
    <row r="28" spans="1:66" ht="21.95" hidden="1" customHeight="1">
      <c r="A28" s="1204"/>
      <c r="B28" s="1203"/>
      <c r="C28" s="1204"/>
      <c r="D28" s="1204"/>
      <c r="E28" s="1266">
        <v>22.5</v>
      </c>
      <c r="F28" s="1205" cm="1">
        <f t="array" aca="1" ref="F28" ca="1">OFFSET(E28,-1,1)</f>
        <v>0</v>
      </c>
      <c r="G28" s="1204"/>
      <c r="H28" s="1204"/>
      <c r="I28" s="1204"/>
      <c r="J28" s="1204"/>
      <c r="K28" s="1204"/>
      <c r="L28" s="1204"/>
      <c r="M28" s="1204"/>
      <c r="N28" s="1204"/>
      <c r="O28" s="1204"/>
      <c r="P28" s="1204"/>
      <c r="Q28" s="1204"/>
      <c r="R28" s="1204"/>
      <c r="S28" s="1204"/>
      <c r="T28" s="1204"/>
      <c r="U28" s="1204"/>
      <c r="V28" s="1261" t="b" cm="1">
        <f t="array" ref="V28">V27</f>
        <v>0</v>
      </c>
      <c r="W28" s="1204"/>
      <c r="X28" s="1204"/>
      <c r="Y28" s="1732"/>
      <c r="Z28" s="1757"/>
      <c r="AA28" s="1204"/>
      <c r="AB28" s="1302">
        <v>1</v>
      </c>
      <c r="AC28" s="1303" t="s">
        <v>439</v>
      </c>
      <c r="AD28" s="1304"/>
      <c r="AE28" s="1379"/>
      <c r="AF28" s="1379"/>
      <c r="AG28" s="1379"/>
      <c r="AH28" s="1379"/>
      <c r="AI28" s="1379"/>
      <c r="AJ28" s="1379"/>
      <c r="AK28" s="1379"/>
      <c r="AL28" s="1379"/>
      <c r="AM28" s="1379"/>
      <c r="AN28" s="1379"/>
      <c r="AO28" s="1379"/>
      <c r="AP28" s="1379"/>
      <c r="AQ28" s="1379"/>
      <c r="AR28" s="1379"/>
      <c r="AS28" s="1379"/>
      <c r="AT28" s="1379"/>
      <c r="AU28" s="1379"/>
      <c r="AV28" s="1379"/>
      <c r="AW28" s="1379"/>
      <c r="AX28" s="1379"/>
      <c r="AY28" s="1379"/>
      <c r="AZ28" s="1379"/>
      <c r="BA28" s="1379"/>
      <c r="BB28" s="338"/>
      <c r="BC28" s="1071" t="s">
        <v>487</v>
      </c>
      <c r="BD28" s="338"/>
      <c r="BE28" s="338"/>
      <c r="BF28" s="338"/>
      <c r="BG28" s="338"/>
      <c r="BH28" s="338"/>
      <c r="BI28" s="338"/>
      <c r="BJ28" s="338"/>
      <c r="BK28" s="338"/>
      <c r="BL28" s="338"/>
      <c r="BM28" s="338"/>
      <c r="BN28" s="338"/>
    </row>
    <row r="29" spans="1:66" ht="23.45" hidden="1" customHeight="1">
      <c r="A29" s="1204"/>
      <c r="B29" s="1204"/>
      <c r="C29" s="1204"/>
      <c r="D29" s="1204"/>
      <c r="E29" s="1266">
        <v>24</v>
      </c>
      <c r="F29" s="1205" cm="1">
        <f t="array" aca="1" ref="F29" ca="1">OFFSET(E29,-1,1)</f>
        <v>0</v>
      </c>
      <c r="G29" s="1204"/>
      <c r="H29" s="1204"/>
      <c r="I29" s="1204"/>
      <c r="J29" s="1204"/>
      <c r="K29" s="1204"/>
      <c r="L29" s="1204"/>
      <c r="M29" s="1204"/>
      <c r="N29" s="1204"/>
      <c r="O29" s="1204"/>
      <c r="P29" s="1204"/>
      <c r="Q29" s="1204"/>
      <c r="R29" s="1204"/>
      <c r="S29" s="1204"/>
      <c r="T29" s="1204"/>
      <c r="U29" s="1204"/>
      <c r="V29" s="1261" t="b" cm="1">
        <f t="array" ref="V29">V28</f>
        <v>0</v>
      </c>
      <c r="W29" s="1204"/>
      <c r="X29" s="1204"/>
      <c r="Y29" s="1732"/>
      <c r="Z29" s="1757"/>
      <c r="AA29" s="1204"/>
      <c r="AB29" s="1302">
        <v>2</v>
      </c>
      <c r="AC29" s="1303" t="s">
        <v>488</v>
      </c>
      <c r="AD29" s="1304" t="s">
        <v>423</v>
      </c>
      <c r="AE29" s="1379"/>
      <c r="AF29" s="1379"/>
      <c r="AG29" s="1379"/>
      <c r="AH29" s="1379"/>
      <c r="AI29" s="1379"/>
      <c r="AJ29" s="1379"/>
      <c r="AK29" s="1379"/>
      <c r="AL29" s="1379"/>
      <c r="AM29" s="1379"/>
      <c r="AN29" s="1379"/>
      <c r="AO29" s="1379"/>
      <c r="AP29" s="1379"/>
      <c r="AQ29" s="1379"/>
      <c r="AR29" s="1379"/>
      <c r="AS29" s="1379"/>
      <c r="AT29" s="1379"/>
      <c r="AU29" s="1379"/>
      <c r="AV29" s="1379"/>
      <c r="AW29" s="1379"/>
      <c r="AX29" s="1379"/>
      <c r="AY29" s="1379"/>
      <c r="AZ29" s="1379"/>
      <c r="BA29" s="1379"/>
      <c r="BB29" s="338"/>
      <c r="BC29" s="1071" t="s">
        <v>489</v>
      </c>
      <c r="BD29" s="338"/>
      <c r="BE29" s="338"/>
      <c r="BF29" s="338"/>
      <c r="BG29" s="338"/>
      <c r="BH29" s="338"/>
      <c r="BI29" s="338"/>
      <c r="BJ29" s="338"/>
      <c r="BK29" s="338"/>
      <c r="BL29" s="338"/>
      <c r="BM29" s="338"/>
      <c r="BN29" s="338"/>
    </row>
    <row r="30" spans="1:66" ht="69.400000000000006" hidden="1" customHeight="1">
      <c r="A30" s="1204"/>
      <c r="B30" s="1204"/>
      <c r="C30" s="1204"/>
      <c r="D30" s="1204"/>
      <c r="E30" s="1266">
        <v>71.25</v>
      </c>
      <c r="F30" s="1205" cm="1">
        <f t="array" aca="1" ref="F30" ca="1">OFFSET(E30,-1,1)</f>
        <v>0</v>
      </c>
      <c r="G30" s="1204"/>
      <c r="H30" s="1204"/>
      <c r="I30" s="1204"/>
      <c r="J30" s="1204"/>
      <c r="K30" s="1204"/>
      <c r="L30" s="1204"/>
      <c r="M30" s="1204"/>
      <c r="N30" s="1204"/>
      <c r="O30" s="1204"/>
      <c r="P30" s="1204"/>
      <c r="Q30" s="1204"/>
      <c r="R30" s="1204"/>
      <c r="S30" s="1204"/>
      <c r="T30" s="1204"/>
      <c r="U30" s="1204"/>
      <c r="V30" s="1261" t="b" cm="1">
        <f t="array" ref="V30">V29</f>
        <v>0</v>
      </c>
      <c r="W30" s="1204"/>
      <c r="X30" s="1204"/>
      <c r="Y30" s="1732"/>
      <c r="Z30" s="1757"/>
      <c r="AA30" s="1204"/>
      <c r="AB30" s="1302">
        <v>3</v>
      </c>
      <c r="AC30" s="1306" t="s">
        <v>490</v>
      </c>
      <c r="AD30" s="1304" t="s">
        <v>423</v>
      </c>
      <c r="AE30" s="1379"/>
      <c r="AF30" s="1379"/>
      <c r="AG30" s="1379"/>
      <c r="AH30" s="1379"/>
      <c r="AI30" s="1379"/>
      <c r="AJ30" s="1379"/>
      <c r="AK30" s="1379"/>
      <c r="AL30" s="1379"/>
      <c r="AM30" s="1379"/>
      <c r="AN30" s="1379"/>
      <c r="AO30" s="1379"/>
      <c r="AP30" s="1379"/>
      <c r="AQ30" s="1379"/>
      <c r="AR30" s="1379"/>
      <c r="AS30" s="1379"/>
      <c r="AT30" s="1379"/>
      <c r="AU30" s="1379"/>
      <c r="AV30" s="1379"/>
      <c r="AW30" s="1379"/>
      <c r="AX30" s="1379"/>
      <c r="AY30" s="1379"/>
      <c r="AZ30" s="1379"/>
      <c r="BA30" s="1379"/>
      <c r="BB30" s="338"/>
      <c r="BC30" s="1071" t="s">
        <v>491</v>
      </c>
      <c r="BD30" s="338"/>
      <c r="BE30" s="338"/>
      <c r="BF30" s="338"/>
      <c r="BG30" s="338"/>
      <c r="BH30" s="338"/>
      <c r="BI30" s="338"/>
      <c r="BJ30" s="338"/>
      <c r="BK30" s="338"/>
      <c r="BL30" s="338"/>
      <c r="BM30" s="338"/>
      <c r="BN30" s="338"/>
    </row>
    <row r="31" spans="1:66" ht="24.2" hidden="1" customHeight="1">
      <c r="A31" s="1204"/>
      <c r="B31" s="1203"/>
      <c r="C31" s="1204"/>
      <c r="D31" s="1204"/>
      <c r="E31" s="1266">
        <v>24.75</v>
      </c>
      <c r="F31" s="1205" cm="1">
        <f t="array" aca="1" ref="F31" ca="1">OFFSET(E31,-1,1)</f>
        <v>0</v>
      </c>
      <c r="G31" s="1204"/>
      <c r="H31" s="1204"/>
      <c r="I31" s="1204"/>
      <c r="J31" s="1204"/>
      <c r="K31" s="1204"/>
      <c r="L31" s="1204"/>
      <c r="M31" s="1204"/>
      <c r="N31" s="1204"/>
      <c r="O31" s="1204"/>
      <c r="P31" s="1204"/>
      <c r="Q31" s="1204"/>
      <c r="R31" s="1204"/>
      <c r="S31" s="1204"/>
      <c r="T31" s="1204"/>
      <c r="U31" s="1204"/>
      <c r="V31" s="1261" t="b" cm="1">
        <f t="array" ref="V31">V30</f>
        <v>0</v>
      </c>
      <c r="W31" s="1204"/>
      <c r="X31" s="1204"/>
      <c r="Y31" s="1732"/>
      <c r="Z31" s="1757"/>
      <c r="AA31" s="1204"/>
      <c r="AB31" s="1302">
        <v>4</v>
      </c>
      <c r="AC31" s="1303" t="s">
        <v>428</v>
      </c>
      <c r="AD31" s="1304"/>
      <c r="AE31" s="1379"/>
      <c r="AF31" s="1379"/>
      <c r="AG31" s="1379"/>
      <c r="AH31" s="1379"/>
      <c r="AI31" s="1379"/>
      <c r="AJ31" s="1379"/>
      <c r="AK31" s="1379"/>
      <c r="AL31" s="1379"/>
      <c r="AM31" s="1379"/>
      <c r="AN31" s="1379"/>
      <c r="AO31" s="1379"/>
      <c r="AP31" s="1379"/>
      <c r="AQ31" s="1379"/>
      <c r="AR31" s="1379"/>
      <c r="AS31" s="1379"/>
      <c r="AT31" s="1379"/>
      <c r="AU31" s="1379"/>
      <c r="AV31" s="1379"/>
      <c r="AW31" s="1379"/>
      <c r="AX31" s="1379"/>
      <c r="AY31" s="1379"/>
      <c r="AZ31" s="1379"/>
      <c r="BA31" s="1379"/>
      <c r="BB31" s="338"/>
      <c r="BC31" s="1071" t="s">
        <v>492</v>
      </c>
      <c r="BD31" s="338"/>
      <c r="BE31" s="338"/>
      <c r="BF31" s="338"/>
      <c r="BG31" s="338"/>
      <c r="BH31" s="338"/>
      <c r="BI31" s="338"/>
      <c r="BJ31" s="338"/>
      <c r="BK31" s="338"/>
      <c r="BL31" s="338"/>
      <c r="BM31" s="338"/>
      <c r="BN31" s="338"/>
    </row>
    <row r="32" spans="1:66" s="1380" customFormat="1" ht="14.25" customHeight="1">
      <c r="A32" s="1204"/>
      <c r="B32" s="1297"/>
      <c r="C32" s="1204"/>
      <c r="D32" s="1204"/>
      <c r="E32" s="1298">
        <v>15</v>
      </c>
      <c r="F32" s="1260" t="str" cm="1">
        <f t="array" ref="F32">Y32</f>
        <v>1</v>
      </c>
      <c r="G32" s="1204"/>
      <c r="H32" s="1204"/>
      <c r="I32" s="1204"/>
      <c r="J32" s="1204"/>
      <c r="K32" s="1204"/>
      <c r="L32" s="1204"/>
      <c r="M32" s="1204"/>
      <c r="N32" s="1204"/>
      <c r="O32" s="1204"/>
      <c r="P32" s="1204"/>
      <c r="Q32" s="1204"/>
      <c r="R32" s="1204"/>
      <c r="S32" s="1204"/>
      <c r="T32" s="1204"/>
      <c r="U32" s="1204"/>
      <c r="V32" s="1261" t="b">
        <f>Y32&gt;0</f>
        <v>1</v>
      </c>
      <c r="W32" s="1204"/>
      <c r="X32" s="1295" t="str" cm="1">
        <f t="array" ref="X32">Сценарии!$AB$55</f>
        <v>Тариф 1 (Водоснабжение) - тариф на питьевую воду</v>
      </c>
      <c r="Y32" s="1732" t="s">
        <v>281</v>
      </c>
      <c r="Z32" s="1757"/>
      <c r="AA32" s="1204"/>
      <c r="AB32" s="1299" t="str" cm="1">
        <f t="array" ref="AB32">Сценарии!$AB$55</f>
        <v>Тариф 1 (Водоснабжение) - тариф на питьевую воду</v>
      </c>
      <c r="AC32" s="1300"/>
      <c r="AD32" s="1301"/>
      <c r="AE32" s="1301"/>
      <c r="AF32" s="1301"/>
      <c r="AG32" s="1301"/>
      <c r="AH32" s="1301"/>
      <c r="AI32" s="1301"/>
      <c r="AJ32" s="1301"/>
      <c r="AK32" s="1301"/>
      <c r="AL32" s="1301"/>
      <c r="AM32" s="1301"/>
      <c r="AN32" s="1301"/>
      <c r="AO32" s="1301"/>
      <c r="AP32" s="1301"/>
      <c r="AQ32" s="1301"/>
      <c r="AR32" s="1301"/>
      <c r="AS32" s="1301"/>
      <c r="AT32" s="1301"/>
      <c r="AU32" s="1301"/>
      <c r="AV32" s="1301"/>
      <c r="AW32" s="1301"/>
      <c r="AX32" s="1301"/>
      <c r="AY32" s="1301"/>
      <c r="AZ32" s="1301"/>
      <c r="BA32" s="1301"/>
      <c r="BB32" s="338"/>
      <c r="BC32" s="1082"/>
      <c r="BD32" s="291"/>
      <c r="BE32" s="291"/>
      <c r="BF32" s="291"/>
      <c r="BG32" s="291"/>
      <c r="BH32" s="291"/>
      <c r="BI32" s="338"/>
      <c r="BJ32" s="338"/>
      <c r="BK32" s="338"/>
      <c r="BL32" s="338"/>
      <c r="BM32" s="338"/>
      <c r="BN32" s="338"/>
    </row>
    <row r="33" spans="1:66" s="1327" customFormat="1" ht="21.75" customHeight="1">
      <c r="A33" s="1204"/>
      <c r="B33" s="1203"/>
      <c r="C33" s="1204"/>
      <c r="D33" s="1204"/>
      <c r="E33" s="1266">
        <v>22.5</v>
      </c>
      <c r="F33" s="1205" t="str" cm="1">
        <f t="array" aca="1" ref="F33" ca="1">OFFSET(E33,-1,1)</f>
        <v>1</v>
      </c>
      <c r="G33" s="1204"/>
      <c r="H33" s="1204"/>
      <c r="I33" s="1204"/>
      <c r="J33" s="1204"/>
      <c r="K33" s="1204"/>
      <c r="L33" s="1204"/>
      <c r="M33" s="1204"/>
      <c r="N33" s="1204"/>
      <c r="O33" s="1204"/>
      <c r="P33" s="1204"/>
      <c r="Q33" s="1204"/>
      <c r="R33" s="1204"/>
      <c r="S33" s="1204"/>
      <c r="T33" s="1204"/>
      <c r="U33" s="1204"/>
      <c r="V33" s="1261" t="b" cm="1">
        <f t="array" ref="V33">V32</f>
        <v>1</v>
      </c>
      <c r="W33" s="1204"/>
      <c r="X33" s="1204"/>
      <c r="Y33" s="1732"/>
      <c r="Z33" s="1757"/>
      <c r="AA33" s="1204"/>
      <c r="AB33" s="1302">
        <v>1</v>
      </c>
      <c r="AC33" s="1303" t="s">
        <v>439</v>
      </c>
      <c r="AD33" s="1304"/>
      <c r="AE33" s="1305"/>
      <c r="AF33" s="1305"/>
      <c r="AG33" s="1305"/>
      <c r="AH33" s="1305"/>
      <c r="AI33" s="1305"/>
      <c r="AJ33" s="1305"/>
      <c r="AK33" s="1305"/>
      <c r="AL33" s="1305"/>
      <c r="AM33" s="1305"/>
      <c r="AN33" s="1305"/>
      <c r="AO33" s="1305"/>
      <c r="AP33" s="1305"/>
      <c r="AQ33" s="1305"/>
      <c r="AR33" s="1305"/>
      <c r="AS33" s="1305"/>
      <c r="AT33" s="1305"/>
      <c r="AU33" s="1305"/>
      <c r="AV33" s="1305"/>
      <c r="AW33" s="1305"/>
      <c r="AX33" s="1305"/>
      <c r="AY33" s="1305"/>
      <c r="AZ33" s="1305"/>
      <c r="BA33" s="1305"/>
      <c r="BB33" s="338"/>
      <c r="BC33" s="1071" t="s">
        <v>487</v>
      </c>
      <c r="BD33" s="338"/>
      <c r="BE33" s="338"/>
      <c r="BF33" s="338"/>
      <c r="BG33" s="338"/>
      <c r="BH33" s="338"/>
      <c r="BI33" s="338"/>
      <c r="BJ33" s="338"/>
      <c r="BK33" s="338"/>
      <c r="BL33" s="338"/>
      <c r="BM33" s="338"/>
      <c r="BN33" s="338"/>
    </row>
    <row r="34" spans="1:66" s="1327" customFormat="1" ht="23.25" customHeight="1">
      <c r="A34" s="1204"/>
      <c r="B34" s="1204"/>
      <c r="C34" s="1204"/>
      <c r="D34" s="1204"/>
      <c r="E34" s="1266">
        <v>24</v>
      </c>
      <c r="F34" s="1205" t="str" cm="1">
        <f t="array" aca="1" ref="F34" ca="1">OFFSET(E34,-1,1)</f>
        <v>1</v>
      </c>
      <c r="G34" s="1204"/>
      <c r="H34" s="1204"/>
      <c r="I34" s="1204"/>
      <c r="J34" s="1204"/>
      <c r="K34" s="1204"/>
      <c r="L34" s="1204"/>
      <c r="M34" s="1204"/>
      <c r="N34" s="1204"/>
      <c r="O34" s="1204"/>
      <c r="P34" s="1204"/>
      <c r="Q34" s="1204"/>
      <c r="R34" s="1204"/>
      <c r="S34" s="1204"/>
      <c r="T34" s="1204"/>
      <c r="U34" s="1204"/>
      <c r="V34" s="1261" t="b" cm="1">
        <f t="array" ref="V34">V33</f>
        <v>1</v>
      </c>
      <c r="W34" s="1204"/>
      <c r="X34" s="1204"/>
      <c r="Y34" s="1732"/>
      <c r="Z34" s="1757"/>
      <c r="AA34" s="1204"/>
      <c r="AB34" s="1302">
        <v>2</v>
      </c>
      <c r="AC34" s="1303" t="s">
        <v>488</v>
      </c>
      <c r="AD34" s="1304" t="s">
        <v>423</v>
      </c>
      <c r="AE34" s="1305"/>
      <c r="AF34" s="1305"/>
      <c r="AG34" s="1305"/>
      <c r="AH34" s="1305"/>
      <c r="AI34" s="1305"/>
      <c r="AJ34" s="1305"/>
      <c r="AK34" s="1305"/>
      <c r="AL34" s="1305"/>
      <c r="AM34" s="1305"/>
      <c r="AN34" s="1305"/>
      <c r="AO34" s="1305"/>
      <c r="AP34" s="1305"/>
      <c r="AQ34" s="1305"/>
      <c r="AR34" s="1305"/>
      <c r="AS34" s="1305"/>
      <c r="AT34" s="1305"/>
      <c r="AU34" s="1305"/>
      <c r="AV34" s="1305"/>
      <c r="AW34" s="1305"/>
      <c r="AX34" s="1305"/>
      <c r="AY34" s="1305"/>
      <c r="AZ34" s="1305"/>
      <c r="BA34" s="1305"/>
      <c r="BB34" s="338"/>
      <c r="BC34" s="1071" t="s">
        <v>489</v>
      </c>
      <c r="BD34" s="338"/>
      <c r="BE34" s="338"/>
      <c r="BF34" s="338"/>
      <c r="BG34" s="338"/>
      <c r="BH34" s="338"/>
      <c r="BI34" s="338"/>
      <c r="BJ34" s="338"/>
      <c r="BK34" s="338"/>
      <c r="BL34" s="338"/>
      <c r="BM34" s="338"/>
      <c r="BN34" s="338"/>
    </row>
    <row r="35" spans="1:66" s="1327" customFormat="1" ht="69" customHeight="1">
      <c r="A35" s="1204"/>
      <c r="B35" s="1204"/>
      <c r="C35" s="1204"/>
      <c r="D35" s="1204"/>
      <c r="E35" s="1266">
        <v>71.25</v>
      </c>
      <c r="F35" s="1205" t="str" cm="1">
        <f t="array" aca="1" ref="F35" ca="1">OFFSET(E35,-1,1)</f>
        <v>1</v>
      </c>
      <c r="G35" s="1204"/>
      <c r="H35" s="1204"/>
      <c r="I35" s="1204"/>
      <c r="J35" s="1204"/>
      <c r="K35" s="1204"/>
      <c r="L35" s="1204"/>
      <c r="M35" s="1204"/>
      <c r="N35" s="1204"/>
      <c r="O35" s="1204"/>
      <c r="P35" s="1204"/>
      <c r="Q35" s="1204"/>
      <c r="R35" s="1204"/>
      <c r="S35" s="1204"/>
      <c r="T35" s="1204"/>
      <c r="U35" s="1204"/>
      <c r="V35" s="1261" t="b" cm="1">
        <f t="array" ref="V35">V34</f>
        <v>1</v>
      </c>
      <c r="W35" s="1204"/>
      <c r="X35" s="1204"/>
      <c r="Y35" s="1732"/>
      <c r="Z35" s="1757"/>
      <c r="AA35" s="1204"/>
      <c r="AB35" s="1302">
        <v>3</v>
      </c>
      <c r="AC35" s="1306" t="s">
        <v>490</v>
      </c>
      <c r="AD35" s="1304" t="s">
        <v>423</v>
      </c>
      <c r="AE35" s="1305"/>
      <c r="AF35" s="1305"/>
      <c r="AG35" s="1305"/>
      <c r="AH35" s="1305"/>
      <c r="AI35" s="1305"/>
      <c r="AJ35" s="1305"/>
      <c r="AK35" s="1305"/>
      <c r="AL35" s="1305"/>
      <c r="AM35" s="1305"/>
      <c r="AN35" s="1305"/>
      <c r="AO35" s="1305"/>
      <c r="AP35" s="1305"/>
      <c r="AQ35" s="1305"/>
      <c r="AR35" s="1305"/>
      <c r="AS35" s="1305"/>
      <c r="AT35" s="1305"/>
      <c r="AU35" s="1305"/>
      <c r="AV35" s="1305"/>
      <c r="AW35" s="1305"/>
      <c r="AX35" s="1305"/>
      <c r="AY35" s="1305"/>
      <c r="AZ35" s="1305"/>
      <c r="BA35" s="1305"/>
      <c r="BB35" s="338"/>
      <c r="BC35" s="1071" t="s">
        <v>491</v>
      </c>
      <c r="BD35" s="338"/>
      <c r="BE35" s="338"/>
      <c r="BF35" s="338"/>
      <c r="BG35" s="338"/>
      <c r="BH35" s="338"/>
      <c r="BI35" s="338"/>
      <c r="BJ35" s="338"/>
      <c r="BK35" s="338"/>
      <c r="BL35" s="338"/>
      <c r="BM35" s="338"/>
      <c r="BN35" s="338"/>
    </row>
    <row r="36" spans="1:66" s="1327" customFormat="1" ht="24" customHeight="1">
      <c r="A36" s="1204"/>
      <c r="B36" s="1203"/>
      <c r="C36" s="1204"/>
      <c r="D36" s="1204"/>
      <c r="E36" s="1266">
        <v>24.75</v>
      </c>
      <c r="F36" s="1205" t="str" cm="1">
        <f t="array" aca="1" ref="F36" ca="1">OFFSET(E36,-1,1)</f>
        <v>1</v>
      </c>
      <c r="G36" s="1204"/>
      <c r="H36" s="1204"/>
      <c r="I36" s="1204"/>
      <c r="J36" s="1204"/>
      <c r="K36" s="1204"/>
      <c r="L36" s="1204"/>
      <c r="M36" s="1204"/>
      <c r="N36" s="1204"/>
      <c r="O36" s="1204"/>
      <c r="P36" s="1204"/>
      <c r="Q36" s="1204"/>
      <c r="R36" s="1204"/>
      <c r="S36" s="1204"/>
      <c r="T36" s="1204"/>
      <c r="U36" s="1204"/>
      <c r="V36" s="1261" t="b" cm="1">
        <f t="array" ref="V36">V35</f>
        <v>1</v>
      </c>
      <c r="W36" s="1204"/>
      <c r="X36" s="1204"/>
      <c r="Y36" s="1732"/>
      <c r="Z36" s="1757"/>
      <c r="AA36" s="1204"/>
      <c r="AB36" s="1302">
        <v>4</v>
      </c>
      <c r="AC36" s="1303" t="s">
        <v>428</v>
      </c>
      <c r="AD36" s="1304"/>
      <c r="AE36" s="1305"/>
      <c r="AF36" s="1305"/>
      <c r="AG36" s="1305"/>
      <c r="AH36" s="1305"/>
      <c r="AI36" s="1305"/>
      <c r="AJ36" s="1305"/>
      <c r="AK36" s="1305"/>
      <c r="AL36" s="1305"/>
      <c r="AM36" s="1305"/>
      <c r="AN36" s="1305"/>
      <c r="AO36" s="1305"/>
      <c r="AP36" s="1305"/>
      <c r="AQ36" s="1305"/>
      <c r="AR36" s="1305"/>
      <c r="AS36" s="1305"/>
      <c r="AT36" s="1305"/>
      <c r="AU36" s="1305"/>
      <c r="AV36" s="1305"/>
      <c r="AW36" s="1305"/>
      <c r="AX36" s="1305"/>
      <c r="AY36" s="1305"/>
      <c r="AZ36" s="1305"/>
      <c r="BA36" s="1305"/>
      <c r="BB36" s="338"/>
      <c r="BC36" s="1071" t="s">
        <v>492</v>
      </c>
      <c r="BD36" s="338"/>
      <c r="BE36" s="338"/>
      <c r="BF36" s="338"/>
      <c r="BG36" s="338"/>
      <c r="BH36" s="338"/>
      <c r="BI36" s="338"/>
      <c r="BJ36" s="338"/>
      <c r="BK36" s="338"/>
      <c r="BL36" s="338"/>
      <c r="BM36" s="338"/>
      <c r="BN36" s="338"/>
    </row>
    <row r="37" spans="1:66" ht="10.7" customHeight="1">
      <c r="A37" s="1259"/>
      <c r="B37" s="1265"/>
      <c r="C37" s="1259"/>
      <c r="D37" s="1259"/>
      <c r="E37" s="1266">
        <v>11</v>
      </c>
      <c r="F37" s="1260" t="str" cm="1">
        <f t="array" aca="1" ref="F37" ca="1">OFFSET(E37,-1,1)</f>
        <v>1</v>
      </c>
      <c r="G37" s="1259"/>
      <c r="H37" s="1259"/>
      <c r="I37" s="1259"/>
      <c r="J37" s="1259"/>
      <c r="K37" s="1259"/>
      <c r="L37" s="1259"/>
      <c r="M37" s="1259"/>
      <c r="N37" s="1259"/>
      <c r="O37" s="1259"/>
      <c r="P37" s="1259"/>
      <c r="Q37" s="1259"/>
      <c r="R37" s="1259"/>
      <c r="S37" s="1259"/>
      <c r="T37" s="1259"/>
      <c r="U37" s="1259"/>
      <c r="V37" s="1259"/>
      <c r="W37" s="1307" t="s">
        <v>177</v>
      </c>
      <c r="X37" s="1381" t="s">
        <v>493</v>
      </c>
      <c r="Y37" s="1259"/>
      <c r="Z37" s="1259"/>
      <c r="AA37" s="1259"/>
      <c r="AB37" s="1308"/>
      <c r="AC37" s="1307"/>
      <c r="AD37" s="1259"/>
      <c r="AE37" s="1259"/>
      <c r="AF37" s="1259"/>
      <c r="AG37" s="1259"/>
      <c r="AH37" s="1259"/>
      <c r="AI37" s="1259"/>
      <c r="AJ37" s="1259"/>
      <c r="AK37" s="1259"/>
      <c r="AL37" s="1259"/>
      <c r="AM37" s="1259"/>
      <c r="AN37" s="1259"/>
      <c r="AO37" s="1259"/>
      <c r="AP37" s="1259"/>
      <c r="AQ37" s="1259"/>
      <c r="AR37" s="1259"/>
      <c r="AS37" s="1259"/>
      <c r="AT37" s="1259"/>
      <c r="AU37" s="1259"/>
      <c r="AV37" s="1259"/>
      <c r="AW37" s="1259"/>
      <c r="AX37" s="1259"/>
      <c r="AY37" s="1259"/>
      <c r="AZ37" s="1259"/>
      <c r="BA37" s="1259"/>
      <c r="BB37" s="1069"/>
      <c r="BC37" s="1071"/>
      <c r="BD37" s="291"/>
      <c r="BE37" s="291"/>
      <c r="BF37" s="291"/>
      <c r="BG37" s="291"/>
      <c r="BH37" s="291"/>
      <c r="BI37" s="1069"/>
      <c r="BJ37" s="1069"/>
      <c r="BK37" s="1069"/>
      <c r="BL37" s="1069"/>
      <c r="BM37" s="1069"/>
      <c r="BN37" s="1069"/>
    </row>
  </sheetData>
  <sheetProtection formatColumns="0" formatRows="0" insertRows="0" deleteColumns="0" deleteRows="0" sort="0" autoFilter="0"/>
  <mergeCells count="7">
    <mergeCell ref="Y32:Y36"/>
    <mergeCell ref="Z32:Z36"/>
    <mergeCell ref="AB24:AB25"/>
    <mergeCell ref="AC24:AC25"/>
    <mergeCell ref="AD24:AD25"/>
    <mergeCell ref="Y27:Y31"/>
    <mergeCell ref="Z27:Z31"/>
  </mergeCells>
  <dataValidations count="2">
    <dataValidation allowBlank="1" showErrorMessage="1" errorTitle="Ошибка" error="Допускается ввод только неотрицательных чисел!" sqref="AE26:BA26"/>
    <dataValidation type="decimal" allowBlank="1" showErrorMessage="1" errorTitle="Ошибка" error="Допускается ввод только неотрицательных чисел!" sqref="BA28:BA31 BA33:BA36 AZ28:AZ31 AZ33:AZ36 AY28:AY31 AY33:AY36 AX28:AX31 AX33:AX36 AW28:AW31 AW33:AW36 AV28:AV31 AV33:AV36 AU28:AU31 AU33:AU36 AT28:AT31 AT33:AT36 AS28:AS31 AS33:AS36 AR28:AR31 AR33:AR36 AQ28:AQ31 AQ33:AQ36 AP28:AP31 AP33:AP36 AO28:AO31 AO33:AO36 AN28:AN31 AN33:AN36 AM28:AM31 AM33:AM36 AL28:AL31 AL33:AL36 AK28:AK31 AK33:AK36 AJ28:AJ31 AJ33:AJ36 AI28:AI31 AI33:AI36 AH28:AH31 AH33:AH36 AG28:AG31 AG33:AG36 AF28:AF31 AF33:AF36 AE28:AE31 AE33:AE36">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F214"/>
  <sheetViews>
    <sheetView showGridLines="0" workbookViewId="0">
      <pane xSplit="30" ySplit="25" topLeftCell="AE26" activePane="bottomRight" state="frozen"/>
      <selection pane="topRight" activeCell="AE1" sqref="AE1"/>
      <selection pane="bottomLeft" activeCell="A26" sqref="A26"/>
      <selection pane="bottomRight" activeCell="BC145" sqref="BC145"/>
    </sheetView>
  </sheetViews>
  <sheetFormatPr defaultColWidth="9.140625" defaultRowHeight="11.25" customHeight="1"/>
  <cols>
    <col min="1" max="1" width="3.5703125" style="1207" hidden="1" customWidth="1"/>
    <col min="2" max="2" width="8.85546875" style="1076" hidden="1" customWidth="1"/>
    <col min="3" max="4" width="3.5703125" style="1207" hidden="1" customWidth="1"/>
    <col min="5" max="5" width="3.5703125" style="1208" hidden="1" customWidth="1"/>
    <col min="6" max="6" width="13.28515625" style="1225" hidden="1" customWidth="1"/>
    <col min="7" max="7" width="11.42578125" style="1207" hidden="1" customWidth="1"/>
    <col min="8" max="8" width="9.7109375" style="1207" hidden="1" customWidth="1"/>
    <col min="9" max="9" width="6.42578125" style="1207" hidden="1" customWidth="1"/>
    <col min="10" max="10" width="3.5703125" style="1207" hidden="1" customWidth="1"/>
    <col min="11" max="11" width="6.140625" style="1207" hidden="1" customWidth="1"/>
    <col min="12" max="15" width="3.5703125" style="1207" hidden="1" customWidth="1"/>
    <col min="16" max="17" width="3.5703125" style="1187" hidden="1" customWidth="1"/>
    <col min="18" max="18" width="7.7109375" style="1187" hidden="1" customWidth="1"/>
    <col min="19" max="19" width="10" style="1187" hidden="1" customWidth="1"/>
    <col min="20" max="20" width="10.42578125" style="1187" hidden="1" customWidth="1"/>
    <col min="21" max="21" width="5.85546875" style="1187" hidden="1" customWidth="1"/>
    <col min="22" max="22" width="6.140625" style="1207" hidden="1" customWidth="1"/>
    <col min="23" max="23" width="5.5703125" style="1187" hidden="1" customWidth="1"/>
    <col min="24" max="24" width="5.28515625" style="1207" hidden="1" customWidth="1"/>
    <col min="25" max="26" width="3.5703125" style="1207" hidden="1" customWidth="1"/>
    <col min="27" max="27" width="3" style="1207" customWidth="1"/>
    <col min="28" max="28" width="11" style="1079" customWidth="1"/>
    <col min="29" max="29" width="50" style="1079" customWidth="1"/>
    <col min="30" max="30" width="10.28515625" style="1079" customWidth="1"/>
    <col min="31" max="35" width="13" style="1207" customWidth="1"/>
    <col min="36" max="44" width="13" style="1207" hidden="1" customWidth="1"/>
    <col min="45" max="45" width="13" style="1207" customWidth="1"/>
    <col min="46" max="54" width="13" style="1207" hidden="1" customWidth="1"/>
    <col min="55" max="55" width="46.7109375" style="1079" customWidth="1"/>
    <col min="56" max="56" width="3" style="1207" customWidth="1"/>
    <col min="57" max="57" width="9.140625" style="1207" hidden="1"/>
    <col min="58" max="58" width="9.140625" style="1209" hidden="1"/>
  </cols>
  <sheetData>
    <row r="1" spans="1:58" ht="11.25" hidden="1" customHeight="1">
      <c r="E1" s="17"/>
      <c r="F1" s="261" t="s">
        <v>311</v>
      </c>
      <c r="H1" s="17" t="s">
        <v>322</v>
      </c>
      <c r="T1" s="381" t="s">
        <v>92</v>
      </c>
      <c r="U1" s="381" t="s">
        <v>97</v>
      </c>
      <c r="V1" s="381" t="s">
        <v>93</v>
      </c>
      <c r="W1" s="381" t="s">
        <v>94</v>
      </c>
      <c r="X1" s="381" t="s">
        <v>95</v>
      </c>
      <c r="Y1" s="381" t="s">
        <v>99</v>
      </c>
      <c r="Z1" s="381" t="s">
        <v>313</v>
      </c>
      <c r="AA1" s="381" t="s">
        <v>96</v>
      </c>
      <c r="AC1" s="381" t="s">
        <v>98</v>
      </c>
      <c r="BF1" s="917" t="s">
        <v>314</v>
      </c>
    </row>
    <row r="2" spans="1:58" s="1076" customFormat="1" ht="11.25" hidden="1" customHeight="1">
      <c r="B2" s="362" t="s">
        <v>18</v>
      </c>
      <c r="F2" s="660"/>
      <c r="P2" s="572"/>
      <c r="Q2" s="572"/>
      <c r="R2" s="572"/>
      <c r="S2" s="572"/>
      <c r="T2" s="572"/>
      <c r="U2" s="572"/>
      <c r="W2" s="572"/>
      <c r="AB2" s="346"/>
      <c r="AC2" s="346"/>
      <c r="AD2" s="346"/>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C2" s="346"/>
      <c r="BF2" s="918"/>
    </row>
    <row r="3" spans="1:58" ht="11.25" hidden="1" customHeight="1">
      <c r="E3" s="17"/>
    </row>
    <row r="4" spans="1:58" ht="11.25" hidden="1" customHeight="1">
      <c r="E4" s="17"/>
    </row>
    <row r="5" spans="1:58" s="1208" customFormat="1" ht="11.25" hidden="1" customHeight="1">
      <c r="A5" s="17"/>
      <c r="B5" s="344"/>
      <c r="C5" s="17"/>
      <c r="D5" s="17"/>
      <c r="E5" s="549" t="s">
        <v>19</v>
      </c>
      <c r="F5" s="534"/>
      <c r="P5" s="573"/>
      <c r="Q5" s="573"/>
      <c r="R5" s="573"/>
      <c r="S5" s="573"/>
      <c r="T5" s="573"/>
      <c r="U5" s="573"/>
      <c r="W5" s="573"/>
      <c r="AA5" s="549">
        <v>3</v>
      </c>
      <c r="AB5" s="547">
        <v>11</v>
      </c>
      <c r="AC5" s="547">
        <v>50</v>
      </c>
      <c r="AD5" s="547">
        <v>10.29</v>
      </c>
      <c r="AE5" s="549">
        <v>13</v>
      </c>
      <c r="AF5" s="549">
        <v>13</v>
      </c>
      <c r="AG5" s="549">
        <v>13</v>
      </c>
      <c r="AH5" s="549">
        <v>13</v>
      </c>
      <c r="AI5" s="549">
        <v>13</v>
      </c>
      <c r="AJ5" s="549">
        <v>13</v>
      </c>
      <c r="AK5" s="549">
        <v>13</v>
      </c>
      <c r="AL5" s="549">
        <v>13</v>
      </c>
      <c r="AM5" s="549">
        <v>13</v>
      </c>
      <c r="AN5" s="549">
        <v>13</v>
      </c>
      <c r="AO5" s="549">
        <v>13</v>
      </c>
      <c r="AP5" s="549">
        <v>13</v>
      </c>
      <c r="AQ5" s="549">
        <v>13</v>
      </c>
      <c r="AR5" s="549">
        <v>13</v>
      </c>
      <c r="AS5" s="549">
        <v>13</v>
      </c>
      <c r="AT5" s="549">
        <v>13</v>
      </c>
      <c r="AU5" s="549">
        <v>13</v>
      </c>
      <c r="AV5" s="549">
        <v>13</v>
      </c>
      <c r="AW5" s="549">
        <v>13</v>
      </c>
      <c r="AX5" s="549">
        <v>13</v>
      </c>
      <c r="AY5" s="549">
        <v>13</v>
      </c>
      <c r="AZ5" s="549">
        <v>13</v>
      </c>
      <c r="BA5" s="549">
        <v>13</v>
      </c>
      <c r="BB5" s="549">
        <v>13</v>
      </c>
      <c r="BC5" s="547">
        <v>20</v>
      </c>
      <c r="BD5" s="549">
        <v>3</v>
      </c>
      <c r="BF5" s="917"/>
    </row>
    <row r="6" spans="1:58" ht="11.25" hidden="1" customHeight="1">
      <c r="A6" s="17" t="s">
        <v>350</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17" t="s">
        <v>351</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1209" customFormat="1" ht="11.25" hidden="1" customHeight="1">
      <c r="A9" s="917" t="s">
        <v>355</v>
      </c>
      <c r="B9" s="918"/>
      <c r="F9" s="919"/>
      <c r="P9" s="903"/>
      <c r="Q9" s="903"/>
      <c r="R9" s="903"/>
      <c r="S9" s="903"/>
      <c r="T9" s="903"/>
      <c r="U9" s="903"/>
      <c r="W9" s="903"/>
      <c r="AB9" s="915"/>
      <c r="AC9" s="915"/>
      <c r="AD9" s="915"/>
      <c r="AE9" s="917" cm="1">
        <f t="array" ref="AE9">AE6</f>
        <v>2024</v>
      </c>
      <c r="AF9" s="917" cm="1">
        <f t="array" ref="AF9">AF6</f>
        <v>2024</v>
      </c>
      <c r="AG9" s="917" cm="1">
        <f t="array" ref="AG9">AG6</f>
        <v>2024</v>
      </c>
      <c r="AH9" s="917" cm="1">
        <f t="array" ref="AH9">AH6</f>
        <v>2025</v>
      </c>
      <c r="AI9" s="917" cm="1">
        <f t="array" ref="AI9">AI6</f>
        <v>2026</v>
      </c>
      <c r="AJ9" s="917" cm="1">
        <f t="array" ref="AJ9">AJ6</f>
        <v>2027</v>
      </c>
      <c r="AK9" s="917" cm="1">
        <f t="array" ref="AK9">AK6</f>
        <v>2028</v>
      </c>
      <c r="AL9" s="917" cm="1">
        <f t="array" ref="AL9">AL6</f>
        <v>2029</v>
      </c>
      <c r="AM9" s="917" cm="1">
        <f t="array" ref="AM9">AM6</f>
        <v>2030</v>
      </c>
      <c r="AN9" s="917" cm="1">
        <f t="array" ref="AN9">AN6</f>
        <v>2031</v>
      </c>
      <c r="AO9" s="917" cm="1">
        <f t="array" ref="AO9">AO6</f>
        <v>2032</v>
      </c>
      <c r="AP9" s="917" cm="1">
        <f t="array" ref="AP9">AP6</f>
        <v>2033</v>
      </c>
      <c r="AQ9" s="917" cm="1">
        <f t="array" ref="AQ9">AQ6</f>
        <v>2034</v>
      </c>
      <c r="AR9" s="917" cm="1">
        <f t="array" ref="AR9">AR6</f>
        <v>2035</v>
      </c>
      <c r="AS9" s="917" cm="1">
        <f t="array" ref="AS9">AS6</f>
        <v>2026</v>
      </c>
      <c r="AT9" s="917" cm="1">
        <f t="array" ref="AT9">AT6</f>
        <v>2027</v>
      </c>
      <c r="AU9" s="917" cm="1">
        <f t="array" ref="AU9">AU6</f>
        <v>2028</v>
      </c>
      <c r="AV9" s="917" cm="1">
        <f t="array" ref="AV9">AV6</f>
        <v>2029</v>
      </c>
      <c r="AW9" s="917" cm="1">
        <f t="array" ref="AW9">AW6</f>
        <v>2030</v>
      </c>
      <c r="AX9" s="917" cm="1">
        <f t="array" ref="AX9">AX6</f>
        <v>2031</v>
      </c>
      <c r="AY9" s="917" cm="1">
        <f t="array" ref="AY9">AY6</f>
        <v>2032</v>
      </c>
      <c r="AZ9" s="917" cm="1">
        <f t="array" ref="AZ9">AZ6</f>
        <v>2033</v>
      </c>
      <c r="BA9" s="917" cm="1">
        <f t="array" ref="BA9">BA6</f>
        <v>2034</v>
      </c>
      <c r="BB9" s="917" cm="1">
        <f t="array" ref="BB9">BB6</f>
        <v>2035</v>
      </c>
      <c r="BC9" s="915"/>
    </row>
    <row r="10" spans="1:58" s="1209" customFormat="1" ht="11.25" hidden="1" customHeight="1">
      <c r="A10" s="917" t="s">
        <v>356</v>
      </c>
      <c r="B10" s="918"/>
      <c r="F10" s="919"/>
      <c r="P10" s="903"/>
      <c r="Q10" s="903"/>
      <c r="R10" s="903"/>
      <c r="S10" s="903"/>
      <c r="T10" s="903"/>
      <c r="U10" s="903"/>
      <c r="W10" s="903"/>
      <c r="AB10" s="915"/>
      <c r="AC10" s="915"/>
      <c r="AD10" s="915"/>
      <c r="AE10" s="917" t="str" cm="1">
        <f t="array" ref="AE10">AE25</f>
        <v>Принято органом регулирования</v>
      </c>
      <c r="AF10" s="917" t="str" cm="1">
        <f t="array" ref="AF10">AF25</f>
        <v>Факт по данным организации</v>
      </c>
      <c r="AG10" s="917" t="str" cm="1">
        <f t="array" ref="AG10">AG25</f>
        <v>Факт, принятый органом регулирования</v>
      </c>
      <c r="AH10" s="917" t="str" cm="1">
        <f t="array" ref="AH10">AH25</f>
        <v>Принято органом регулирования</v>
      </c>
      <c r="AI10" s="917" t="str" cm="1">
        <f t="array" ref="AI10">AI25</f>
        <v>Предложение организации</v>
      </c>
      <c r="AJ10" s="917" t="str" cm="1">
        <f t="array" ref="AJ10">AJ25</f>
        <v>Предложение организации</v>
      </c>
      <c r="AK10" s="917" t="str" cm="1">
        <f t="array" ref="AK10">AK25</f>
        <v>Предложение организации</v>
      </c>
      <c r="AL10" s="917" t="str" cm="1">
        <f t="array" ref="AL10">AL25</f>
        <v>Предложение организации</v>
      </c>
      <c r="AM10" s="917" t="str" cm="1">
        <f t="array" ref="AM10">AM25</f>
        <v>Предложение организации</v>
      </c>
      <c r="AN10" s="917" t="str" cm="1">
        <f t="array" ref="AN10">AN25</f>
        <v>Предложение организации</v>
      </c>
      <c r="AO10" s="917" t="str" cm="1">
        <f t="array" ref="AO10">AO25</f>
        <v>Предложение организации</v>
      </c>
      <c r="AP10" s="917" t="str" cm="1">
        <f t="array" ref="AP10">AP25</f>
        <v>Предложение организации</v>
      </c>
      <c r="AQ10" s="917" t="str" cm="1">
        <f t="array" ref="AQ10">AQ25</f>
        <v>Предложение организации</v>
      </c>
      <c r="AR10" s="917" t="str" cm="1">
        <f t="array" ref="AR10">AR25</f>
        <v>Предложение организации</v>
      </c>
      <c r="AS10" s="917" t="str" cm="1">
        <f t="array" ref="AS10">AS25</f>
        <v>Принято органом регулирования</v>
      </c>
      <c r="AT10" s="917" t="str" cm="1">
        <f t="array" ref="AT10">AT25</f>
        <v>Принято органом регулирования</v>
      </c>
      <c r="AU10" s="917" t="str" cm="1">
        <f t="array" ref="AU10">AU25</f>
        <v>Принято органом регулирования</v>
      </c>
      <c r="AV10" s="917" t="str" cm="1">
        <f t="array" ref="AV10">AV25</f>
        <v>Принято органом регулирования</v>
      </c>
      <c r="AW10" s="917" t="str" cm="1">
        <f t="array" ref="AW10">AW25</f>
        <v>Принято органом регулирования</v>
      </c>
      <c r="AX10" s="917" t="str" cm="1">
        <f t="array" ref="AX10">AX25</f>
        <v>Принято органом регулирования</v>
      </c>
      <c r="AY10" s="917" t="str" cm="1">
        <f t="array" ref="AY10">AY25</f>
        <v>Принято органом регулирования</v>
      </c>
      <c r="AZ10" s="917" t="str" cm="1">
        <f t="array" ref="AZ10">AZ25</f>
        <v>Принято органом регулирования</v>
      </c>
      <c r="BA10" s="917" t="str" cm="1">
        <f t="array" ref="BA10">BA25</f>
        <v>Принято органом регулирования</v>
      </c>
      <c r="BB10" s="917" t="str" cm="1">
        <f t="array" ref="BB10">BB25</f>
        <v>Принято органом регулирования</v>
      </c>
      <c r="BC10" s="915"/>
    </row>
    <row r="11" spans="1:58" s="1209" customFormat="1" ht="11.25" hidden="1" customHeight="1">
      <c r="A11" s="917" t="s">
        <v>357</v>
      </c>
      <c r="B11" s="918"/>
      <c r="F11" s="919"/>
      <c r="P11" s="903"/>
      <c r="Q11" s="903"/>
      <c r="R11" s="903"/>
      <c r="S11" s="903"/>
      <c r="T11" s="903"/>
      <c r="U11" s="903"/>
      <c r="W11" s="903"/>
      <c r="AB11" s="915"/>
      <c r="AC11" s="915"/>
      <c r="AD11" s="915"/>
      <c r="BC11" s="915" t="str" cm="1">
        <f t="array" ref="BC11">BC24</f>
        <v>Ссылка на правовую норму (основание для принятия показателя в расчет тарифа)</v>
      </c>
    </row>
    <row r="12" spans="1:58" ht="11.25" hidden="1" customHeight="1">
      <c r="AD12" s="17"/>
    </row>
    <row r="13" spans="1:58" ht="11.25" hidden="1" customHeight="1"/>
    <row r="14" spans="1:58" ht="11.25" hidden="1" customHeight="1"/>
    <row r="15" spans="1:58" ht="11.25" hidden="1" customHeight="1"/>
    <row r="16" spans="1:58" ht="11.25" hidden="1" customHeight="1"/>
    <row r="17" spans="1:58" ht="11.25" hidden="1" customHeight="1"/>
    <row r="18" spans="1:58" ht="11.25" hidden="1" customHeight="1"/>
    <row r="19" spans="1:58" ht="11.25" hidden="1" customHeight="1"/>
    <row r="20" spans="1:58" ht="11.25" hidden="1" customHeight="1"/>
    <row r="21" spans="1:58" ht="14.65" customHeight="1">
      <c r="E21" s="549">
        <v>15</v>
      </c>
      <c r="AA21" s="574"/>
      <c r="AC21" s="3" t="str" cm="1">
        <f t="array" ref="AC21">tpl_title</f>
        <v>Кемеровская область / 2026 / ОАО «СКЭК» (ИНН:4205153492, КПП:420501001) / ДПР: 2026-2026</v>
      </c>
    </row>
    <row r="22" spans="1:58" s="1242" customFormat="1" ht="19.5" customHeight="1">
      <c r="B22" s="344"/>
      <c r="E22" s="550">
        <v>20</v>
      </c>
      <c r="F22" s="3"/>
      <c r="AB22" s="231" t="s">
        <v>45</v>
      </c>
      <c r="AC22" s="114"/>
      <c r="AD22" s="114"/>
      <c r="AE22" s="114"/>
      <c r="AF22" s="114"/>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c r="BF22" s="920"/>
    </row>
    <row r="23" spans="1:58" ht="10.9" customHeight="1">
      <c r="E23" s="549">
        <v>11.25</v>
      </c>
    </row>
    <row r="24" spans="1:58" s="1079" customFormat="1" ht="14.65" customHeight="1">
      <c r="B24" s="344"/>
      <c r="E24" s="547">
        <v>15</v>
      </c>
      <c r="F24" s="125"/>
      <c r="AB24" s="1760" t="s">
        <v>21</v>
      </c>
      <c r="AC24" s="1761" t="s">
        <v>359</v>
      </c>
      <c r="AD24" s="1758" t="s">
        <v>360</v>
      </c>
      <c r="AE24" s="492"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59" t="s">
        <v>494</v>
      </c>
      <c r="BF24" s="915"/>
    </row>
    <row r="25" spans="1:58" s="1079" customFormat="1" ht="68.45" customHeight="1">
      <c r="B25" s="344"/>
      <c r="E25" s="547">
        <v>70.25</v>
      </c>
      <c r="F25" s="125"/>
      <c r="AB25" s="1760"/>
      <c r="AC25" s="1761"/>
      <c r="AD25" s="1758"/>
      <c r="AE25" s="493" t="s">
        <v>352</v>
      </c>
      <c r="AF25" s="1019" t="s">
        <v>417</v>
      </c>
      <c r="AG25" s="11" t="s">
        <v>418</v>
      </c>
      <c r="AH25" s="11" t="s">
        <v>352</v>
      </c>
      <c r="AI25" s="1023" t="s">
        <v>353</v>
      </c>
      <c r="AJ25" s="1023" t="s">
        <v>353</v>
      </c>
      <c r="AK25" s="1023" t="s">
        <v>353</v>
      </c>
      <c r="AL25" s="1023" t="s">
        <v>353</v>
      </c>
      <c r="AM25" s="1023" t="s">
        <v>353</v>
      </c>
      <c r="AN25" s="1023" t="s">
        <v>353</v>
      </c>
      <c r="AO25" s="1023" t="s">
        <v>353</v>
      </c>
      <c r="AP25" s="1023" t="s">
        <v>353</v>
      </c>
      <c r="AQ25" s="1023" t="s">
        <v>353</v>
      </c>
      <c r="AR25" s="1023" t="s">
        <v>353</v>
      </c>
      <c r="AS25" s="272" t="s">
        <v>352</v>
      </c>
      <c r="AT25" s="272" t="s">
        <v>352</v>
      </c>
      <c r="AU25" s="272" t="s">
        <v>352</v>
      </c>
      <c r="AV25" s="272" t="s">
        <v>352</v>
      </c>
      <c r="AW25" s="272" t="s">
        <v>352</v>
      </c>
      <c r="AX25" s="272" t="s">
        <v>352</v>
      </c>
      <c r="AY25" s="272" t="s">
        <v>352</v>
      </c>
      <c r="AZ25" s="272" t="s">
        <v>352</v>
      </c>
      <c r="BA25" s="272" t="s">
        <v>352</v>
      </c>
      <c r="BB25" s="272" t="s">
        <v>352</v>
      </c>
      <c r="BC25" s="1759"/>
      <c r="BF25" s="915"/>
    </row>
    <row r="26" spans="1:58" s="1327" customFormat="1" ht="15" hidden="1" customHeight="1">
      <c r="A26" s="415"/>
      <c r="B26" s="575"/>
      <c r="C26" s="415"/>
      <c r="D26" s="415"/>
      <c r="E26" s="576">
        <v>0</v>
      </c>
      <c r="F26" s="661"/>
      <c r="G26" s="415"/>
      <c r="H26" s="415"/>
      <c r="I26" s="415"/>
      <c r="J26" s="415"/>
      <c r="K26" s="415"/>
      <c r="L26" s="415"/>
      <c r="M26" s="415"/>
      <c r="N26" s="415"/>
      <c r="O26" s="415"/>
      <c r="P26" s="415"/>
      <c r="Q26" s="415"/>
      <c r="R26" s="580" t="s">
        <v>269</v>
      </c>
      <c r="S26" s="580" t="s">
        <v>495</v>
      </c>
      <c r="T26" s="381"/>
      <c r="U26" s="415"/>
      <c r="V26" s="415"/>
      <c r="W26" s="415"/>
      <c r="X26" s="415"/>
      <c r="Y26" s="415"/>
      <c r="Z26" s="415"/>
      <c r="AA26" s="415"/>
      <c r="AC26" s="19"/>
      <c r="AD26" s="19"/>
      <c r="AE26" s="19"/>
      <c r="AF26" s="19"/>
      <c r="AQ26" s="20"/>
      <c r="BF26" s="906"/>
    </row>
    <row r="27" spans="1:58" ht="14.65" hidden="1" customHeight="1">
      <c r="E27" s="549">
        <v>15</v>
      </c>
      <c r="F27" s="261" cm="1">
        <f t="array" ref="F27">X27</f>
        <v>0</v>
      </c>
      <c r="T27" s="381" t="b">
        <f>X27&gt;0</f>
        <v>0</v>
      </c>
      <c r="V27" s="17" t="s">
        <v>270</v>
      </c>
      <c r="X27" s="1755">
        <v>0</v>
      </c>
      <c r="Y27" s="1734"/>
      <c r="AB27" s="99" t="str" cm="1">
        <f t="array" ref="AB27">INDEX('Общие сведения'!$AG$179:$AG$208,MATCH($X27,'Общие сведения'!$Z$179:$Z$208,0))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row>
    <row r="28" spans="1:58" ht="14.65" hidden="1" customHeight="1">
      <c r="E28" s="549">
        <v>15</v>
      </c>
      <c r="F28" s="3" cm="1">
        <f t="array" aca="1" ref="F28" ca="1">OFFSET(E28,-1,1)</f>
        <v>0</v>
      </c>
      <c r="R28" s="332" t="b" cm="1">
        <f t="array" ref="R28">INDEX('Общие сведения'!$AN$179:$AN$208,MATCH($X27,'Общие сведения'!$Z$179:$Z$208,0))</f>
        <v>0</v>
      </c>
      <c r="S28" s="332" t="b">
        <f>IF(ISERROR(SEARCH("Водоснабжение",AB27)),FALSE,TRUE)</f>
        <v>0</v>
      </c>
      <c r="T28" s="381" t="b">
        <f>AND(X27&gt;0,S28,NOT(R28))</f>
        <v>0</v>
      </c>
      <c r="X28" s="1755"/>
      <c r="Y28" s="1734"/>
      <c r="AB28" s="158" t="s">
        <v>281</v>
      </c>
      <c r="AC28" s="241" t="s">
        <v>496</v>
      </c>
      <c r="AD28" s="11"/>
      <c r="AE28" s="486" cm="1">
        <f t="array" ref="AE28">INDEX('Общие сведения'!$AH$179:$AH$208,MATCH($X27,'Общие сведения'!$Z$179:$Z$208,0))</f>
        <v>0</v>
      </c>
      <c r="AF28" s="274"/>
      <c r="AG28" s="274"/>
      <c r="AH28" s="274"/>
      <c r="AI28" s="274"/>
      <c r="AJ28" s="274"/>
      <c r="AK28" s="274"/>
      <c r="AL28" s="274"/>
      <c r="AM28" s="274"/>
      <c r="AN28" s="274"/>
      <c r="AO28" s="274"/>
      <c r="AP28" s="274"/>
      <c r="AQ28" s="274"/>
      <c r="AR28" s="274"/>
      <c r="AS28" s="274"/>
      <c r="AT28" s="274"/>
      <c r="AU28" s="274"/>
      <c r="AV28" s="274"/>
      <c r="AW28" s="274"/>
      <c r="AX28" s="274"/>
      <c r="AY28" s="274"/>
      <c r="AZ28" s="274"/>
      <c r="BA28" s="274"/>
      <c r="BB28" s="275"/>
      <c r="BC28" s="1361"/>
      <c r="BF28" s="917" t="s">
        <v>497</v>
      </c>
    </row>
    <row r="29" spans="1:58" ht="14.65" hidden="1" customHeight="1">
      <c r="E29" s="549">
        <v>15</v>
      </c>
      <c r="F29" s="3" cm="1">
        <f t="array" aca="1" ref="F29" ca="1">OFFSET(E29,-1,1)</f>
        <v>0</v>
      </c>
      <c r="H29" s="17" t="s">
        <v>327</v>
      </c>
      <c r="T29" s="381" t="b" cm="1">
        <f t="array" ref="T29">T28</f>
        <v>0</v>
      </c>
      <c r="X29" s="1755"/>
      <c r="Y29" s="1734"/>
      <c r="AB29" s="158" t="s">
        <v>224</v>
      </c>
      <c r="AC29" s="242" t="s">
        <v>498</v>
      </c>
      <c r="AD29" s="12" t="s">
        <v>499</v>
      </c>
      <c r="AE29" s="229">
        <f t="shared" ref="AE29:BB29" si="2">AE38+AE33-AE36</f>
        <v>0</v>
      </c>
      <c r="AF29" s="229">
        <f t="shared" si="2"/>
        <v>0</v>
      </c>
      <c r="AG29" s="229">
        <f t="shared" si="2"/>
        <v>0</v>
      </c>
      <c r="AH29" s="229">
        <f t="shared" si="2"/>
        <v>0</v>
      </c>
      <c r="AI29" s="229">
        <f t="shared" si="2"/>
        <v>0</v>
      </c>
      <c r="AJ29" s="229">
        <f t="shared" si="2"/>
        <v>0</v>
      </c>
      <c r="AK29" s="229">
        <f t="shared" si="2"/>
        <v>0</v>
      </c>
      <c r="AL29" s="229">
        <f t="shared" si="2"/>
        <v>0</v>
      </c>
      <c r="AM29" s="229">
        <f t="shared" si="2"/>
        <v>0</v>
      </c>
      <c r="AN29" s="229">
        <f t="shared" si="2"/>
        <v>0</v>
      </c>
      <c r="AO29" s="229">
        <f t="shared" si="2"/>
        <v>0</v>
      </c>
      <c r="AP29" s="229">
        <f t="shared" si="2"/>
        <v>0</v>
      </c>
      <c r="AQ29" s="229">
        <f t="shared" si="2"/>
        <v>0</v>
      </c>
      <c r="AR29" s="229">
        <f t="shared" si="2"/>
        <v>0</v>
      </c>
      <c r="AS29" s="229">
        <f t="shared" si="2"/>
        <v>0</v>
      </c>
      <c r="AT29" s="229">
        <f t="shared" si="2"/>
        <v>0</v>
      </c>
      <c r="AU29" s="229">
        <f t="shared" si="2"/>
        <v>0</v>
      </c>
      <c r="AV29" s="229">
        <f t="shared" si="2"/>
        <v>0</v>
      </c>
      <c r="AW29" s="229">
        <f t="shared" si="2"/>
        <v>0</v>
      </c>
      <c r="AX29" s="229">
        <f t="shared" si="2"/>
        <v>0</v>
      </c>
      <c r="AY29" s="229">
        <f t="shared" si="2"/>
        <v>0</v>
      </c>
      <c r="AZ29" s="229">
        <f t="shared" si="2"/>
        <v>0</v>
      </c>
      <c r="BA29" s="229">
        <f t="shared" si="2"/>
        <v>0</v>
      </c>
      <c r="BB29" s="229">
        <f t="shared" si="2"/>
        <v>0</v>
      </c>
      <c r="BC29" s="1361"/>
      <c r="BF29" s="917" t="s">
        <v>500</v>
      </c>
    </row>
    <row r="30" spans="1:58" ht="14.65" hidden="1" customHeight="1">
      <c r="E30" s="549">
        <v>15</v>
      </c>
      <c r="F30" s="3" cm="1">
        <f t="array" aca="1" ref="F30" ca="1">OFFSET(E30,-1,1)</f>
        <v>0</v>
      </c>
      <c r="H30" s="17" t="s">
        <v>501</v>
      </c>
      <c r="T30" s="381" t="b" cm="1">
        <f t="array" ref="T30">T29</f>
        <v>0</v>
      </c>
      <c r="X30" s="1755"/>
      <c r="Y30" s="1734"/>
      <c r="AB30" s="158" t="s">
        <v>502</v>
      </c>
      <c r="AC30" s="111" t="s">
        <v>503</v>
      </c>
      <c r="AD30" s="12" t="s">
        <v>499</v>
      </c>
      <c r="AE30" s="1373"/>
      <c r="AF30" s="1373"/>
      <c r="AG30" s="1373"/>
      <c r="AH30" s="1373"/>
      <c r="AI30" s="195"/>
      <c r="AJ30" s="1373"/>
      <c r="AK30" s="1373"/>
      <c r="AL30" s="1373"/>
      <c r="AM30" s="1373"/>
      <c r="AN30" s="1373"/>
      <c r="AO30" s="1373"/>
      <c r="AP30" s="1373"/>
      <c r="AQ30" s="1373"/>
      <c r="AR30" s="1373"/>
      <c r="AS30" s="195"/>
      <c r="AT30" s="1373"/>
      <c r="AU30" s="1373"/>
      <c r="AV30" s="1373"/>
      <c r="AW30" s="1373"/>
      <c r="AX30" s="1373"/>
      <c r="AY30" s="1373"/>
      <c r="AZ30" s="1373"/>
      <c r="BA30" s="1373"/>
      <c r="BB30" s="1373"/>
      <c r="BC30" s="1375"/>
      <c r="BF30" s="917" t="s">
        <v>504</v>
      </c>
    </row>
    <row r="31" spans="1:58" ht="14.65" hidden="1" customHeight="1">
      <c r="E31" s="549">
        <v>15</v>
      </c>
      <c r="F31" s="3" cm="1">
        <f t="array" aca="1" ref="F31" ca="1">OFFSET(E31,-1,1)</f>
        <v>0</v>
      </c>
      <c r="H31" s="17" t="s">
        <v>505</v>
      </c>
      <c r="T31" s="381" t="b" cm="1">
        <f t="array" ref="T31">T30</f>
        <v>0</v>
      </c>
      <c r="X31" s="1755"/>
      <c r="Y31" s="1734"/>
      <c r="AB31" s="158" t="s">
        <v>506</v>
      </c>
      <c r="AC31" s="111" t="s">
        <v>507</v>
      </c>
      <c r="AD31" s="12" t="s">
        <v>499</v>
      </c>
      <c r="AE31" s="1373"/>
      <c r="AF31" s="1373"/>
      <c r="AG31" s="1373"/>
      <c r="AH31" s="1373"/>
      <c r="AI31" s="195"/>
      <c r="AJ31" s="1373"/>
      <c r="AK31" s="1373"/>
      <c r="AL31" s="1373"/>
      <c r="AM31" s="1373"/>
      <c r="AN31" s="1373"/>
      <c r="AO31" s="1373"/>
      <c r="AP31" s="1373"/>
      <c r="AQ31" s="1373"/>
      <c r="AR31" s="1373"/>
      <c r="AS31" s="195"/>
      <c r="AT31" s="1373"/>
      <c r="AU31" s="1373"/>
      <c r="AV31" s="1373"/>
      <c r="AW31" s="1373"/>
      <c r="AX31" s="1373"/>
      <c r="AY31" s="1373"/>
      <c r="AZ31" s="1373"/>
      <c r="BA31" s="1373"/>
      <c r="BB31" s="1373"/>
      <c r="BC31" s="1375"/>
      <c r="BF31" s="917" t="s">
        <v>508</v>
      </c>
    </row>
    <row r="32" spans="1:58" ht="21.95" hidden="1" customHeight="1">
      <c r="E32" s="549">
        <v>22.5</v>
      </c>
      <c r="F32" s="3" cm="1">
        <f t="array" aca="1" ref="F32" ca="1">OFFSET(E32,-1,1)</f>
        <v>0</v>
      </c>
      <c r="H32" s="17" t="s">
        <v>509</v>
      </c>
      <c r="T32" s="381" t="b" cm="1">
        <f t="array" ref="T32">T31</f>
        <v>0</v>
      </c>
      <c r="X32" s="1755"/>
      <c r="Y32" s="1734"/>
      <c r="AB32" s="158" t="s">
        <v>510</v>
      </c>
      <c r="AC32" s="242" t="s">
        <v>511</v>
      </c>
      <c r="AD32" s="12" t="s">
        <v>499</v>
      </c>
      <c r="AE32" s="1373"/>
      <c r="AF32" s="1373"/>
      <c r="AG32" s="1373"/>
      <c r="AH32" s="1373"/>
      <c r="AI32" s="195"/>
      <c r="AJ32" s="1373"/>
      <c r="AK32" s="1373"/>
      <c r="AL32" s="1373"/>
      <c r="AM32" s="1373"/>
      <c r="AN32" s="1373"/>
      <c r="AO32" s="1373"/>
      <c r="AP32" s="1373"/>
      <c r="AQ32" s="1373"/>
      <c r="AR32" s="1373"/>
      <c r="AS32" s="195"/>
      <c r="AT32" s="1373"/>
      <c r="AU32" s="1373"/>
      <c r="AV32" s="1373"/>
      <c r="AW32" s="1373"/>
      <c r="AX32" s="1373"/>
      <c r="AY32" s="1373"/>
      <c r="AZ32" s="1373"/>
      <c r="BA32" s="1373"/>
      <c r="BB32" s="1373"/>
      <c r="BC32" s="1375"/>
      <c r="BF32" s="917" t="s">
        <v>512</v>
      </c>
    </row>
    <row r="33" spans="5:58" ht="14.65" hidden="1" customHeight="1">
      <c r="E33" s="549">
        <v>15</v>
      </c>
      <c r="F33" s="3" cm="1">
        <f t="array" aca="1" ref="F33" ca="1">OFFSET(E33,-1,1)</f>
        <v>0</v>
      </c>
      <c r="H33" s="17" t="s">
        <v>326</v>
      </c>
      <c r="T33" s="381" t="b" cm="1">
        <f t="array" ref="T33">T32</f>
        <v>0</v>
      </c>
      <c r="X33" s="1755"/>
      <c r="Y33" s="1734"/>
      <c r="AB33" s="158" t="s">
        <v>321</v>
      </c>
      <c r="AC33" s="242" t="s">
        <v>513</v>
      </c>
      <c r="AD33" s="12" t="s">
        <v>499</v>
      </c>
      <c r="AE33" s="229">
        <f t="shared" ref="AE33:BB33" si="3">SUM(AE34:AE35)</f>
        <v>0</v>
      </c>
      <c r="AF33" s="229">
        <f t="shared" si="3"/>
        <v>0</v>
      </c>
      <c r="AG33" s="229">
        <f t="shared" si="3"/>
        <v>0</v>
      </c>
      <c r="AH33" s="229">
        <f t="shared" si="3"/>
        <v>0</v>
      </c>
      <c r="AI33" s="229">
        <f t="shared" si="3"/>
        <v>0</v>
      </c>
      <c r="AJ33" s="229">
        <f t="shared" si="3"/>
        <v>0</v>
      </c>
      <c r="AK33" s="229">
        <f t="shared" si="3"/>
        <v>0</v>
      </c>
      <c r="AL33" s="229">
        <f t="shared" si="3"/>
        <v>0</v>
      </c>
      <c r="AM33" s="229">
        <f t="shared" si="3"/>
        <v>0</v>
      </c>
      <c r="AN33" s="229">
        <f t="shared" si="3"/>
        <v>0</v>
      </c>
      <c r="AO33" s="229">
        <f t="shared" si="3"/>
        <v>0</v>
      </c>
      <c r="AP33" s="229">
        <f t="shared" si="3"/>
        <v>0</v>
      </c>
      <c r="AQ33" s="229">
        <f t="shared" si="3"/>
        <v>0</v>
      </c>
      <c r="AR33" s="229">
        <f t="shared" si="3"/>
        <v>0</v>
      </c>
      <c r="AS33" s="229">
        <f t="shared" si="3"/>
        <v>0</v>
      </c>
      <c r="AT33" s="229">
        <f t="shared" si="3"/>
        <v>0</v>
      </c>
      <c r="AU33" s="229">
        <f t="shared" si="3"/>
        <v>0</v>
      </c>
      <c r="AV33" s="229">
        <f t="shared" si="3"/>
        <v>0</v>
      </c>
      <c r="AW33" s="229">
        <f t="shared" si="3"/>
        <v>0</v>
      </c>
      <c r="AX33" s="229">
        <f t="shared" si="3"/>
        <v>0</v>
      </c>
      <c r="AY33" s="229">
        <f t="shared" si="3"/>
        <v>0</v>
      </c>
      <c r="AZ33" s="229">
        <f t="shared" si="3"/>
        <v>0</v>
      </c>
      <c r="BA33" s="229">
        <f t="shared" si="3"/>
        <v>0</v>
      </c>
      <c r="BB33" s="229">
        <f t="shared" si="3"/>
        <v>0</v>
      </c>
      <c r="BC33" s="1375"/>
      <c r="BF33" s="917" t="s">
        <v>514</v>
      </c>
    </row>
    <row r="34" spans="5:58" ht="14.65" hidden="1" customHeight="1">
      <c r="E34" s="549">
        <v>15</v>
      </c>
      <c r="F34" s="3" cm="1">
        <f t="array" aca="1" ref="F34" ca="1">OFFSET(E34,-1,1)</f>
        <v>0</v>
      </c>
      <c r="H34" s="17" t="s">
        <v>515</v>
      </c>
      <c r="T34" s="381" t="b" cm="1">
        <f t="array" ref="T34">T33</f>
        <v>0</v>
      </c>
      <c r="X34" s="1755"/>
      <c r="Y34" s="1734"/>
      <c r="AB34" s="158" t="s">
        <v>516</v>
      </c>
      <c r="AC34" s="111" t="s">
        <v>517</v>
      </c>
      <c r="AD34" s="12" t="s">
        <v>499</v>
      </c>
      <c r="AE34" s="1373"/>
      <c r="AF34" s="1373"/>
      <c r="AG34" s="1373"/>
      <c r="AH34" s="1373"/>
      <c r="AI34" s="195"/>
      <c r="AJ34" s="1373"/>
      <c r="AK34" s="1373"/>
      <c r="AL34" s="1373"/>
      <c r="AM34" s="1373"/>
      <c r="AN34" s="1373"/>
      <c r="AO34" s="1373"/>
      <c r="AP34" s="1373"/>
      <c r="AQ34" s="1373"/>
      <c r="AR34" s="1373"/>
      <c r="AS34" s="195"/>
      <c r="AT34" s="1373"/>
      <c r="AU34" s="1373"/>
      <c r="AV34" s="1373"/>
      <c r="AW34" s="1373"/>
      <c r="AX34" s="1373"/>
      <c r="AY34" s="1373"/>
      <c r="AZ34" s="1373"/>
      <c r="BA34" s="1373"/>
      <c r="BB34" s="1373"/>
      <c r="BC34" s="1375"/>
      <c r="BF34" s="917" t="s">
        <v>518</v>
      </c>
    </row>
    <row r="35" spans="5:58" ht="14.65" hidden="1" customHeight="1">
      <c r="E35" s="549">
        <v>15</v>
      </c>
      <c r="F35" s="3" cm="1">
        <f t="array" aca="1" ref="F35" ca="1">OFFSET(E35,-1,1)</f>
        <v>0</v>
      </c>
      <c r="H35" s="17" t="s">
        <v>519</v>
      </c>
      <c r="T35" s="381" t="b" cm="1">
        <f t="array" ref="T35">T34</f>
        <v>0</v>
      </c>
      <c r="X35" s="1755"/>
      <c r="Y35" s="1734"/>
      <c r="AB35" s="158" t="s">
        <v>520</v>
      </c>
      <c r="AC35" s="111" t="s">
        <v>521</v>
      </c>
      <c r="AD35" s="12" t="s">
        <v>499</v>
      </c>
      <c r="AE35" s="1373"/>
      <c r="AF35" s="1373"/>
      <c r="AG35" s="1373"/>
      <c r="AH35" s="1373"/>
      <c r="AI35" s="195"/>
      <c r="AJ35" s="1373"/>
      <c r="AK35" s="1373"/>
      <c r="AL35" s="1373"/>
      <c r="AM35" s="1373"/>
      <c r="AN35" s="1373"/>
      <c r="AO35" s="1373"/>
      <c r="AP35" s="1373"/>
      <c r="AQ35" s="1373"/>
      <c r="AR35" s="1373"/>
      <c r="AS35" s="195"/>
      <c r="AT35" s="1373"/>
      <c r="AU35" s="1373"/>
      <c r="AV35" s="1373"/>
      <c r="AW35" s="1373"/>
      <c r="AX35" s="1373"/>
      <c r="AY35" s="1373"/>
      <c r="AZ35" s="1373"/>
      <c r="BA35" s="1373"/>
      <c r="BB35" s="1373"/>
      <c r="BC35" s="1375"/>
      <c r="BF35" s="917" t="s">
        <v>522</v>
      </c>
    </row>
    <row r="36" spans="5:58" ht="14.65" hidden="1" customHeight="1">
      <c r="E36" s="549">
        <v>15</v>
      </c>
      <c r="F36" s="3" cm="1">
        <f t="array" aca="1" ref="F36" ca="1">OFFSET(E36,-1,1)</f>
        <v>0</v>
      </c>
      <c r="H36" s="17" t="s">
        <v>477</v>
      </c>
      <c r="T36" s="381" t="b" cm="1">
        <f t="array" ref="T36">T35</f>
        <v>0</v>
      </c>
      <c r="X36" s="1755"/>
      <c r="Y36" s="1734"/>
      <c r="AB36" s="158" t="s">
        <v>523</v>
      </c>
      <c r="AC36" s="241" t="s">
        <v>524</v>
      </c>
      <c r="AD36" s="12" t="s">
        <v>499</v>
      </c>
      <c r="AE36" s="1360"/>
      <c r="AF36" s="1360"/>
      <c r="AG36" s="1360"/>
      <c r="AH36" s="1360"/>
      <c r="AI36" s="192"/>
      <c r="AJ36" s="1360"/>
      <c r="AK36" s="1360"/>
      <c r="AL36" s="1360"/>
      <c r="AM36" s="1360"/>
      <c r="AN36" s="1360"/>
      <c r="AO36" s="1360"/>
      <c r="AP36" s="1360"/>
      <c r="AQ36" s="1360"/>
      <c r="AR36" s="1360"/>
      <c r="AS36" s="192"/>
      <c r="AT36" s="1360"/>
      <c r="AU36" s="1360"/>
      <c r="AV36" s="1360"/>
      <c r="AW36" s="1360"/>
      <c r="AX36" s="1360"/>
      <c r="AY36" s="1360"/>
      <c r="AZ36" s="1360"/>
      <c r="BA36" s="1360"/>
      <c r="BB36" s="1360"/>
      <c r="BC36" s="1375"/>
      <c r="BF36" s="917" t="s">
        <v>525</v>
      </c>
    </row>
    <row r="37" spans="5:58" ht="14.65" hidden="1" customHeight="1">
      <c r="E37" s="549">
        <v>15</v>
      </c>
      <c r="F37" s="3" cm="1">
        <f t="array" aca="1" ref="F37" ca="1">OFFSET(E37,-1,1)</f>
        <v>0</v>
      </c>
      <c r="H37" s="17" t="s">
        <v>481</v>
      </c>
      <c r="T37" s="381" t="b" cm="1">
        <f t="array" ref="T37">T36</f>
        <v>0</v>
      </c>
      <c r="X37" s="1755"/>
      <c r="Y37" s="1734"/>
      <c r="AB37" s="158" t="s">
        <v>478</v>
      </c>
      <c r="AC37" s="241" t="s">
        <v>526</v>
      </c>
      <c r="AD37" s="12" t="s">
        <v>499</v>
      </c>
      <c r="AE37" s="1373"/>
      <c r="AF37" s="1373"/>
      <c r="AG37" s="1373"/>
      <c r="AH37" s="1373"/>
      <c r="AI37" s="195"/>
      <c r="AJ37" s="1373"/>
      <c r="AK37" s="1373"/>
      <c r="AL37" s="1373"/>
      <c r="AM37" s="1373"/>
      <c r="AN37" s="1373"/>
      <c r="AO37" s="1373"/>
      <c r="AP37" s="1373"/>
      <c r="AQ37" s="1373"/>
      <c r="AR37" s="1373"/>
      <c r="AS37" s="195"/>
      <c r="AT37" s="1373"/>
      <c r="AU37" s="1373"/>
      <c r="AV37" s="1373"/>
      <c r="AW37" s="1373"/>
      <c r="AX37" s="1373"/>
      <c r="AY37" s="1373"/>
      <c r="AZ37" s="1373"/>
      <c r="BA37" s="1373"/>
      <c r="BB37" s="1373"/>
      <c r="BC37" s="1375"/>
      <c r="BF37" s="917" t="s">
        <v>527</v>
      </c>
    </row>
    <row r="38" spans="5:58" ht="14.65" hidden="1" customHeight="1">
      <c r="E38" s="549">
        <v>15</v>
      </c>
      <c r="F38" s="3" cm="1">
        <f t="array" aca="1" ref="F38" ca="1">OFFSET(E38,-1,1)</f>
        <v>0</v>
      </c>
      <c r="H38" s="17" t="s">
        <v>528</v>
      </c>
      <c r="T38" s="381" t="b" cm="1">
        <f t="array" ref="T38">T37</f>
        <v>0</v>
      </c>
      <c r="X38" s="1755"/>
      <c r="Y38" s="1734"/>
      <c r="AB38" s="158" t="s">
        <v>482</v>
      </c>
      <c r="AC38" s="242" t="s">
        <v>529</v>
      </c>
      <c r="AD38" s="12" t="s">
        <v>499</v>
      </c>
      <c r="AE38" s="229">
        <f t="shared" ref="AE38:BB38" si="4">AE44+AE42</f>
        <v>0</v>
      </c>
      <c r="AF38" s="229">
        <f t="shared" si="4"/>
        <v>0</v>
      </c>
      <c r="AG38" s="229">
        <f t="shared" si="4"/>
        <v>0</v>
      </c>
      <c r="AH38" s="229">
        <f t="shared" si="4"/>
        <v>0</v>
      </c>
      <c r="AI38" s="229">
        <f t="shared" si="4"/>
        <v>0</v>
      </c>
      <c r="AJ38" s="229">
        <f t="shared" si="4"/>
        <v>0</v>
      </c>
      <c r="AK38" s="229">
        <f t="shared" si="4"/>
        <v>0</v>
      </c>
      <c r="AL38" s="229">
        <f t="shared" si="4"/>
        <v>0</v>
      </c>
      <c r="AM38" s="229">
        <f t="shared" si="4"/>
        <v>0</v>
      </c>
      <c r="AN38" s="229">
        <f t="shared" si="4"/>
        <v>0</v>
      </c>
      <c r="AO38" s="229">
        <f t="shared" si="4"/>
        <v>0</v>
      </c>
      <c r="AP38" s="229">
        <f t="shared" si="4"/>
        <v>0</v>
      </c>
      <c r="AQ38" s="229">
        <f t="shared" si="4"/>
        <v>0</v>
      </c>
      <c r="AR38" s="229">
        <f t="shared" si="4"/>
        <v>0</v>
      </c>
      <c r="AS38" s="229">
        <f t="shared" si="4"/>
        <v>0</v>
      </c>
      <c r="AT38" s="229">
        <f t="shared" si="4"/>
        <v>0</v>
      </c>
      <c r="AU38" s="229">
        <f t="shared" si="4"/>
        <v>0</v>
      </c>
      <c r="AV38" s="229">
        <f t="shared" si="4"/>
        <v>0</v>
      </c>
      <c r="AW38" s="229">
        <f t="shared" si="4"/>
        <v>0</v>
      </c>
      <c r="AX38" s="229">
        <f t="shared" si="4"/>
        <v>0</v>
      </c>
      <c r="AY38" s="229">
        <f t="shared" si="4"/>
        <v>0</v>
      </c>
      <c r="AZ38" s="229">
        <f t="shared" si="4"/>
        <v>0</v>
      </c>
      <c r="BA38" s="229">
        <f t="shared" si="4"/>
        <v>0</v>
      </c>
      <c r="BB38" s="229">
        <f t="shared" si="4"/>
        <v>0</v>
      </c>
      <c r="BC38" s="1375"/>
      <c r="BF38" s="917" t="s">
        <v>530</v>
      </c>
    </row>
    <row r="39" spans="5:58" ht="21.95" hidden="1" customHeight="1">
      <c r="E39" s="549">
        <v>22.5</v>
      </c>
      <c r="F39" s="3" cm="1">
        <f t="array" aca="1" ref="F39" ca="1">OFFSET(E39,-1,1)</f>
        <v>0</v>
      </c>
      <c r="H39" s="17" t="s">
        <v>531</v>
      </c>
      <c r="T39" s="381" t="b" cm="1">
        <f t="array" ref="T39">T38</f>
        <v>0</v>
      </c>
      <c r="X39" s="1755"/>
      <c r="Y39" s="1734"/>
      <c r="AB39" s="158" t="s">
        <v>532</v>
      </c>
      <c r="AC39" s="111" t="s">
        <v>533</v>
      </c>
      <c r="AD39" s="12" t="s">
        <v>499</v>
      </c>
      <c r="AE39" s="1373"/>
      <c r="AF39" s="1373"/>
      <c r="AG39" s="1373"/>
      <c r="AH39" s="1373"/>
      <c r="AI39" s="195"/>
      <c r="AJ39" s="1373"/>
      <c r="AK39" s="1373"/>
      <c r="AL39" s="1373"/>
      <c r="AM39" s="1373"/>
      <c r="AN39" s="1373"/>
      <c r="AO39" s="1373"/>
      <c r="AP39" s="1373"/>
      <c r="AQ39" s="1373"/>
      <c r="AR39" s="1373"/>
      <c r="AS39" s="195"/>
      <c r="AT39" s="1373"/>
      <c r="AU39" s="1373"/>
      <c r="AV39" s="1373"/>
      <c r="AW39" s="1373"/>
      <c r="AX39" s="1373"/>
      <c r="AY39" s="1373"/>
      <c r="AZ39" s="1373"/>
      <c r="BA39" s="1373"/>
      <c r="BB39" s="1373"/>
      <c r="BC39" s="1375"/>
      <c r="BF39" s="917" t="s">
        <v>534</v>
      </c>
    </row>
    <row r="40" spans="5:58" ht="14.65" hidden="1" customHeight="1">
      <c r="E40" s="549">
        <v>15</v>
      </c>
      <c r="F40" s="3" cm="1">
        <f t="array" aca="1" ref="F40" ca="1">OFFSET(E40,-1,1)</f>
        <v>0</v>
      </c>
      <c r="H40" s="17" t="s">
        <v>535</v>
      </c>
      <c r="T40" s="381" t="b" cm="1">
        <f t="array" ref="T40">T39</f>
        <v>0</v>
      </c>
      <c r="X40" s="1755"/>
      <c r="Y40" s="1734"/>
      <c r="AB40" s="158" t="s">
        <v>536</v>
      </c>
      <c r="AC40" s="111" t="s">
        <v>537</v>
      </c>
      <c r="AD40" s="12" t="s">
        <v>499</v>
      </c>
      <c r="AE40" s="1373"/>
      <c r="AF40" s="1373"/>
      <c r="AG40" s="1373"/>
      <c r="AH40" s="1373"/>
      <c r="AI40" s="195"/>
      <c r="AJ40" s="1373"/>
      <c r="AK40" s="1373"/>
      <c r="AL40" s="1373"/>
      <c r="AM40" s="1373"/>
      <c r="AN40" s="1373"/>
      <c r="AO40" s="1373"/>
      <c r="AP40" s="1373"/>
      <c r="AQ40" s="1373"/>
      <c r="AR40" s="1373"/>
      <c r="AS40" s="195"/>
      <c r="AT40" s="1373"/>
      <c r="AU40" s="1373"/>
      <c r="AV40" s="1373"/>
      <c r="AW40" s="1373"/>
      <c r="AX40" s="1373"/>
      <c r="AY40" s="1373"/>
      <c r="AZ40" s="1373"/>
      <c r="BA40" s="1373"/>
      <c r="BB40" s="1373"/>
      <c r="BC40" s="1375"/>
      <c r="BF40" s="917" t="s">
        <v>538</v>
      </c>
    </row>
    <row r="41" spans="5:58" ht="21.95" hidden="1" customHeight="1">
      <c r="E41" s="549">
        <v>22.5</v>
      </c>
      <c r="F41" s="3" cm="1">
        <f t="array" aca="1" ref="F41" ca="1">OFFSET(E41,-1,1)</f>
        <v>0</v>
      </c>
      <c r="H41" s="17" t="s">
        <v>539</v>
      </c>
      <c r="T41" s="381" t="b" cm="1">
        <f t="array" ref="T41">T40</f>
        <v>0</v>
      </c>
      <c r="X41" s="1755"/>
      <c r="Y41" s="1734"/>
      <c r="AB41" s="158" t="s">
        <v>540</v>
      </c>
      <c r="AC41" s="111" t="s">
        <v>541</v>
      </c>
      <c r="AD41" s="12" t="s">
        <v>499</v>
      </c>
      <c r="AE41" s="1373"/>
      <c r="AF41" s="1373"/>
      <c r="AG41" s="1373"/>
      <c r="AH41" s="1373"/>
      <c r="AI41" s="195"/>
      <c r="AJ41" s="1373"/>
      <c r="AK41" s="1373"/>
      <c r="AL41" s="1373"/>
      <c r="AM41" s="1373"/>
      <c r="AN41" s="1373"/>
      <c r="AO41" s="1373"/>
      <c r="AP41" s="1373"/>
      <c r="AQ41" s="1373"/>
      <c r="AR41" s="1373"/>
      <c r="AS41" s="195"/>
      <c r="AT41" s="1373"/>
      <c r="AU41" s="1373"/>
      <c r="AV41" s="1373"/>
      <c r="AW41" s="1373"/>
      <c r="AX41" s="1373"/>
      <c r="AY41" s="1373"/>
      <c r="AZ41" s="1373"/>
      <c r="BA41" s="1373"/>
      <c r="BB41" s="1373"/>
      <c r="BC41" s="1375"/>
      <c r="BF41" s="917" t="s">
        <v>542</v>
      </c>
    </row>
    <row r="42" spans="5:58" ht="14.65" hidden="1" customHeight="1">
      <c r="E42" s="549">
        <v>15</v>
      </c>
      <c r="F42" s="3" cm="1">
        <f t="array" aca="1" ref="F42" ca="1">OFFSET(E42,-1,1)</f>
        <v>0</v>
      </c>
      <c r="H42" s="17" t="s">
        <v>543</v>
      </c>
      <c r="T42" s="381" t="b" cm="1">
        <f t="array" ref="T42">T41</f>
        <v>0</v>
      </c>
      <c r="X42" s="1755"/>
      <c r="Y42" s="1734"/>
      <c r="AB42" s="158" t="s">
        <v>544</v>
      </c>
      <c r="AC42" s="241" t="s">
        <v>545</v>
      </c>
      <c r="AD42" s="12" t="s">
        <v>499</v>
      </c>
      <c r="AE42" s="1373"/>
      <c r="AF42" s="1373"/>
      <c r="AG42" s="1373"/>
      <c r="AH42" s="1373"/>
      <c r="AI42" s="195"/>
      <c r="AJ42" s="1373"/>
      <c r="AK42" s="1373"/>
      <c r="AL42" s="1373"/>
      <c r="AM42" s="1373"/>
      <c r="AN42" s="1373"/>
      <c r="AO42" s="1373"/>
      <c r="AP42" s="1373"/>
      <c r="AQ42" s="1373"/>
      <c r="AR42" s="1373"/>
      <c r="AS42" s="195"/>
      <c r="AT42" s="1373"/>
      <c r="AU42" s="1373"/>
      <c r="AV42" s="1373"/>
      <c r="AW42" s="1373"/>
      <c r="AX42" s="1373"/>
      <c r="AY42" s="1373"/>
      <c r="AZ42" s="1373"/>
      <c r="BA42" s="1373"/>
      <c r="BB42" s="1373"/>
      <c r="BC42" s="1375"/>
      <c r="BF42" s="917" t="s">
        <v>546</v>
      </c>
    </row>
    <row r="43" spans="5:58" ht="14.65" hidden="1" customHeight="1">
      <c r="E43" s="549">
        <v>15</v>
      </c>
      <c r="F43" s="3" cm="1">
        <f t="array" aca="1" ref="F43" ca="1">OFFSET(E43,-1,1)</f>
        <v>0</v>
      </c>
      <c r="H43" s="17" t="s">
        <v>547</v>
      </c>
      <c r="T43" s="381" t="b" cm="1">
        <f t="array" ref="T43">T42</f>
        <v>0</v>
      </c>
      <c r="X43" s="1755"/>
      <c r="Y43" s="1734"/>
      <c r="AB43" s="158" t="s">
        <v>548</v>
      </c>
      <c r="AC43" s="243" t="s">
        <v>549</v>
      </c>
      <c r="AD43" s="12" t="s">
        <v>423</v>
      </c>
      <c r="AE43" s="1354">
        <f t="shared" ref="AE43:BB43" si="5">IF(AE38=0,0,AE42/AE38*100)</f>
        <v>0</v>
      </c>
      <c r="AF43" s="1354">
        <f t="shared" si="5"/>
        <v>0</v>
      </c>
      <c r="AG43" s="1354">
        <f t="shared" si="5"/>
        <v>0</v>
      </c>
      <c r="AH43" s="1354">
        <f t="shared" si="5"/>
        <v>0</v>
      </c>
      <c r="AI43" s="60">
        <f t="shared" si="5"/>
        <v>0</v>
      </c>
      <c r="AJ43" s="1354">
        <f t="shared" si="5"/>
        <v>0</v>
      </c>
      <c r="AK43" s="1354">
        <f t="shared" si="5"/>
        <v>0</v>
      </c>
      <c r="AL43" s="1354">
        <f t="shared" si="5"/>
        <v>0</v>
      </c>
      <c r="AM43" s="1354">
        <f t="shared" si="5"/>
        <v>0</v>
      </c>
      <c r="AN43" s="1354">
        <f t="shared" si="5"/>
        <v>0</v>
      </c>
      <c r="AO43" s="1354">
        <f t="shared" si="5"/>
        <v>0</v>
      </c>
      <c r="AP43" s="1354">
        <f t="shared" si="5"/>
        <v>0</v>
      </c>
      <c r="AQ43" s="1354">
        <f t="shared" si="5"/>
        <v>0</v>
      </c>
      <c r="AR43" s="1354">
        <f t="shared" si="5"/>
        <v>0</v>
      </c>
      <c r="AS43" s="60">
        <f t="shared" si="5"/>
        <v>0</v>
      </c>
      <c r="AT43" s="1354">
        <f t="shared" si="5"/>
        <v>0</v>
      </c>
      <c r="AU43" s="1354">
        <f t="shared" si="5"/>
        <v>0</v>
      </c>
      <c r="AV43" s="1354">
        <f t="shared" si="5"/>
        <v>0</v>
      </c>
      <c r="AW43" s="1354">
        <f t="shared" si="5"/>
        <v>0</v>
      </c>
      <c r="AX43" s="1354">
        <f t="shared" si="5"/>
        <v>0</v>
      </c>
      <c r="AY43" s="1354">
        <f t="shared" si="5"/>
        <v>0</v>
      </c>
      <c r="AZ43" s="1354">
        <f t="shared" si="5"/>
        <v>0</v>
      </c>
      <c r="BA43" s="1354">
        <f t="shared" si="5"/>
        <v>0</v>
      </c>
      <c r="BB43" s="1354">
        <f t="shared" si="5"/>
        <v>0</v>
      </c>
      <c r="BC43" s="1375"/>
      <c r="BF43" s="917" t="s">
        <v>550</v>
      </c>
    </row>
    <row r="44" spans="5:58" ht="14.65" hidden="1" customHeight="1">
      <c r="E44" s="549">
        <v>15</v>
      </c>
      <c r="F44" s="3" cm="1">
        <f t="array" aca="1" ref="F44" ca="1">OFFSET(E44,-1,1)</f>
        <v>0</v>
      </c>
      <c r="H44" s="17" t="s">
        <v>551</v>
      </c>
      <c r="T44" s="381" t="b" cm="1">
        <f t="array" ref="T44">T43</f>
        <v>0</v>
      </c>
      <c r="X44" s="1755"/>
      <c r="Y44" s="1734"/>
      <c r="AB44" s="158" t="s">
        <v>552</v>
      </c>
      <c r="AC44" s="241" t="s">
        <v>553</v>
      </c>
      <c r="AD44" s="12" t="s">
        <v>499</v>
      </c>
      <c r="AE44" s="229">
        <f t="shared" ref="AE44:BB44" si="6">AE45+AE49+AE52+AE62</f>
        <v>0</v>
      </c>
      <c r="AF44" s="229">
        <f t="shared" si="6"/>
        <v>0</v>
      </c>
      <c r="AG44" s="229">
        <f t="shared" si="6"/>
        <v>0</v>
      </c>
      <c r="AH44" s="229">
        <f t="shared" si="6"/>
        <v>0</v>
      </c>
      <c r="AI44" s="229">
        <f t="shared" si="6"/>
        <v>0</v>
      </c>
      <c r="AJ44" s="229">
        <f t="shared" si="6"/>
        <v>0</v>
      </c>
      <c r="AK44" s="229">
        <f t="shared" si="6"/>
        <v>0</v>
      </c>
      <c r="AL44" s="229">
        <f t="shared" si="6"/>
        <v>0</v>
      </c>
      <c r="AM44" s="229">
        <f t="shared" si="6"/>
        <v>0</v>
      </c>
      <c r="AN44" s="229">
        <f t="shared" si="6"/>
        <v>0</v>
      </c>
      <c r="AO44" s="229">
        <f t="shared" si="6"/>
        <v>0</v>
      </c>
      <c r="AP44" s="229">
        <f t="shared" si="6"/>
        <v>0</v>
      </c>
      <c r="AQ44" s="229">
        <f t="shared" si="6"/>
        <v>0</v>
      </c>
      <c r="AR44" s="229">
        <f t="shared" si="6"/>
        <v>0</v>
      </c>
      <c r="AS44" s="229">
        <f t="shared" si="6"/>
        <v>0</v>
      </c>
      <c r="AT44" s="229">
        <f t="shared" si="6"/>
        <v>0</v>
      </c>
      <c r="AU44" s="229">
        <f t="shared" si="6"/>
        <v>0</v>
      </c>
      <c r="AV44" s="229">
        <f t="shared" si="6"/>
        <v>0</v>
      </c>
      <c r="AW44" s="229">
        <f t="shared" si="6"/>
        <v>0</v>
      </c>
      <c r="AX44" s="229">
        <f t="shared" si="6"/>
        <v>0</v>
      </c>
      <c r="AY44" s="229">
        <f t="shared" si="6"/>
        <v>0</v>
      </c>
      <c r="AZ44" s="229">
        <f t="shared" si="6"/>
        <v>0</v>
      </c>
      <c r="BA44" s="229">
        <f t="shared" si="6"/>
        <v>0</v>
      </c>
      <c r="BB44" s="229">
        <f t="shared" si="6"/>
        <v>0</v>
      </c>
      <c r="BC44" s="1375"/>
      <c r="BF44" s="917" t="s">
        <v>554</v>
      </c>
    </row>
    <row r="45" spans="5:58" ht="14.65" hidden="1" customHeight="1">
      <c r="E45" s="549">
        <v>15</v>
      </c>
      <c r="F45" s="3" cm="1">
        <f t="array" aca="1" ref="F45" ca="1">OFFSET(E45,-1,1)</f>
        <v>0</v>
      </c>
      <c r="G45" s="17" t="str">
        <f>IF(OwnNeedsInPO="да","ПО","")</f>
        <v>ПО</v>
      </c>
      <c r="H45" s="17" t="s">
        <v>555</v>
      </c>
      <c r="T45" s="381" t="b" cm="1">
        <f t="array" ref="T45">T44</f>
        <v>0</v>
      </c>
      <c r="X45" s="1755"/>
      <c r="Y45" s="1734"/>
      <c r="AB45" s="158" t="s">
        <v>556</v>
      </c>
      <c r="AC45" s="111" t="s">
        <v>557</v>
      </c>
      <c r="AD45" s="12" t="s">
        <v>499</v>
      </c>
      <c r="AE45" s="229">
        <f t="shared" ref="AE45:BB45" si="7">SUM(AE46:AE48)</f>
        <v>0</v>
      </c>
      <c r="AF45" s="229">
        <f t="shared" si="7"/>
        <v>0</v>
      </c>
      <c r="AG45" s="229">
        <f t="shared" si="7"/>
        <v>0</v>
      </c>
      <c r="AH45" s="229">
        <f t="shared" si="7"/>
        <v>0</v>
      </c>
      <c r="AI45" s="229">
        <f t="shared" si="7"/>
        <v>0</v>
      </c>
      <c r="AJ45" s="229">
        <f t="shared" si="7"/>
        <v>0</v>
      </c>
      <c r="AK45" s="229">
        <f t="shared" si="7"/>
        <v>0</v>
      </c>
      <c r="AL45" s="229">
        <f t="shared" si="7"/>
        <v>0</v>
      </c>
      <c r="AM45" s="229">
        <f t="shared" si="7"/>
        <v>0</v>
      </c>
      <c r="AN45" s="229">
        <f t="shared" si="7"/>
        <v>0</v>
      </c>
      <c r="AO45" s="229">
        <f t="shared" si="7"/>
        <v>0</v>
      </c>
      <c r="AP45" s="229">
        <f t="shared" si="7"/>
        <v>0</v>
      </c>
      <c r="AQ45" s="229">
        <f t="shared" si="7"/>
        <v>0</v>
      </c>
      <c r="AR45" s="229">
        <f t="shared" si="7"/>
        <v>0</v>
      </c>
      <c r="AS45" s="229">
        <f t="shared" si="7"/>
        <v>0</v>
      </c>
      <c r="AT45" s="229">
        <f t="shared" si="7"/>
        <v>0</v>
      </c>
      <c r="AU45" s="229">
        <f t="shared" si="7"/>
        <v>0</v>
      </c>
      <c r="AV45" s="229">
        <f t="shared" si="7"/>
        <v>0</v>
      </c>
      <c r="AW45" s="229">
        <f t="shared" si="7"/>
        <v>0</v>
      </c>
      <c r="AX45" s="229">
        <f t="shared" si="7"/>
        <v>0</v>
      </c>
      <c r="AY45" s="229">
        <f t="shared" si="7"/>
        <v>0</v>
      </c>
      <c r="AZ45" s="229">
        <f t="shared" si="7"/>
        <v>0</v>
      </c>
      <c r="BA45" s="229">
        <f t="shared" si="7"/>
        <v>0</v>
      </c>
      <c r="BB45" s="229">
        <f t="shared" si="7"/>
        <v>0</v>
      </c>
      <c r="BC45" s="1375"/>
      <c r="BF45" s="917" t="s">
        <v>558</v>
      </c>
    </row>
    <row r="46" spans="5:58" ht="14.65" hidden="1" customHeight="1">
      <c r="E46" s="549">
        <v>15</v>
      </c>
      <c r="F46" s="3" cm="1">
        <f t="array" aca="1" ref="F46" ca="1">OFFSET(E46,-1,1)</f>
        <v>0</v>
      </c>
      <c r="H46" s="17" t="s">
        <v>559</v>
      </c>
      <c r="T46" s="381" t="b" cm="1">
        <f t="array" ref="T46">T45</f>
        <v>0</v>
      </c>
      <c r="X46" s="1755"/>
      <c r="Y46" s="1734"/>
      <c r="AB46" s="158" t="s">
        <v>560</v>
      </c>
      <c r="AC46" s="244" t="s">
        <v>561</v>
      </c>
      <c r="AD46" s="12" t="s">
        <v>499</v>
      </c>
      <c r="AE46" s="1373"/>
      <c r="AF46" s="1373"/>
      <c r="AG46" s="1373"/>
      <c r="AH46" s="1373"/>
      <c r="AI46" s="195"/>
      <c r="AJ46" s="1373"/>
      <c r="AK46" s="1373"/>
      <c r="AL46" s="1373"/>
      <c r="AM46" s="1373"/>
      <c r="AN46" s="1373"/>
      <c r="AO46" s="1373"/>
      <c r="AP46" s="1373"/>
      <c r="AQ46" s="1373"/>
      <c r="AR46" s="1373"/>
      <c r="AS46" s="195"/>
      <c r="AT46" s="1373"/>
      <c r="AU46" s="1373"/>
      <c r="AV46" s="1373"/>
      <c r="AW46" s="1373"/>
      <c r="AX46" s="1373"/>
      <c r="AY46" s="1373"/>
      <c r="AZ46" s="1373"/>
      <c r="BA46" s="1373"/>
      <c r="BB46" s="1373"/>
      <c r="BC46" s="1375"/>
      <c r="BF46" s="917" t="s">
        <v>562</v>
      </c>
    </row>
    <row r="47" spans="5:58" ht="14.65" hidden="1" customHeight="1">
      <c r="E47" s="549">
        <v>15</v>
      </c>
      <c r="F47" s="3" cm="1">
        <f t="array" aca="1" ref="F47" ca="1">OFFSET(E47,-1,1)</f>
        <v>0</v>
      </c>
      <c r="H47" s="17" t="s">
        <v>563</v>
      </c>
      <c r="T47" s="381" t="b" cm="1">
        <f t="array" ref="T47">T46</f>
        <v>0</v>
      </c>
      <c r="X47" s="1755"/>
      <c r="Y47" s="1734"/>
      <c r="AB47" s="158" t="s">
        <v>564</v>
      </c>
      <c r="AC47" s="244" t="s">
        <v>565</v>
      </c>
      <c r="AD47" s="12" t="s">
        <v>499</v>
      </c>
      <c r="AE47" s="1373"/>
      <c r="AF47" s="1373"/>
      <c r="AG47" s="1373"/>
      <c r="AH47" s="1373"/>
      <c r="AI47" s="195"/>
      <c r="AJ47" s="1373"/>
      <c r="AK47" s="1373"/>
      <c r="AL47" s="1373"/>
      <c r="AM47" s="1373"/>
      <c r="AN47" s="1373"/>
      <c r="AO47" s="1373"/>
      <c r="AP47" s="1373"/>
      <c r="AQ47" s="1373"/>
      <c r="AR47" s="1373"/>
      <c r="AS47" s="195"/>
      <c r="AT47" s="1373"/>
      <c r="AU47" s="1373"/>
      <c r="AV47" s="1373"/>
      <c r="AW47" s="1373"/>
      <c r="AX47" s="1373"/>
      <c r="AY47" s="1373"/>
      <c r="AZ47" s="1373"/>
      <c r="BA47" s="1373"/>
      <c r="BB47" s="1373"/>
      <c r="BC47" s="1375"/>
      <c r="BF47" s="917" t="s">
        <v>566</v>
      </c>
    </row>
    <row r="48" spans="5:58" ht="14.65" hidden="1" customHeight="1">
      <c r="E48" s="549">
        <v>15</v>
      </c>
      <c r="F48" s="3" cm="1">
        <f t="array" aca="1" ref="F48" ca="1">OFFSET(E48,-1,1)</f>
        <v>0</v>
      </c>
      <c r="H48" s="17" t="s">
        <v>567</v>
      </c>
      <c r="T48" s="381" t="b" cm="1">
        <f t="array" ref="T48">T47</f>
        <v>0</v>
      </c>
      <c r="X48" s="1755"/>
      <c r="Y48" s="1734"/>
      <c r="AB48" s="158" t="s">
        <v>568</v>
      </c>
      <c r="AC48" s="244" t="s">
        <v>569</v>
      </c>
      <c r="AD48" s="12" t="s">
        <v>499</v>
      </c>
      <c r="AE48" s="1373"/>
      <c r="AF48" s="1373"/>
      <c r="AG48" s="1373"/>
      <c r="AH48" s="1373"/>
      <c r="AI48" s="195"/>
      <c r="AJ48" s="1373"/>
      <c r="AK48" s="1373"/>
      <c r="AL48" s="1373"/>
      <c r="AM48" s="1373"/>
      <c r="AN48" s="1373"/>
      <c r="AO48" s="1373"/>
      <c r="AP48" s="1373"/>
      <c r="AQ48" s="1373"/>
      <c r="AR48" s="1373"/>
      <c r="AS48" s="195"/>
      <c r="AT48" s="1373"/>
      <c r="AU48" s="1373"/>
      <c r="AV48" s="1373"/>
      <c r="AW48" s="1373"/>
      <c r="AX48" s="1373"/>
      <c r="AY48" s="1373"/>
      <c r="AZ48" s="1373"/>
      <c r="BA48" s="1373"/>
      <c r="BB48" s="1373"/>
      <c r="BC48" s="1375"/>
      <c r="BF48" s="917" t="s">
        <v>570</v>
      </c>
    </row>
    <row r="49" spans="1:58" ht="14.65" hidden="1" customHeight="1">
      <c r="E49" s="549">
        <v>15</v>
      </c>
      <c r="F49" s="3" cm="1">
        <f t="array" aca="1" ref="F49" ca="1">OFFSET(E49,-1,1)</f>
        <v>0</v>
      </c>
      <c r="G49" s="17" t="s">
        <v>571</v>
      </c>
      <c r="H49" s="17" t="s">
        <v>572</v>
      </c>
      <c r="T49" s="381" t="b" cm="1">
        <f t="array" ref="T49">T48</f>
        <v>0</v>
      </c>
      <c r="X49" s="1755"/>
      <c r="Y49" s="1734"/>
      <c r="AB49" s="158" t="s">
        <v>573</v>
      </c>
      <c r="AC49" s="111" t="s">
        <v>574</v>
      </c>
      <c r="AD49" s="12" t="s">
        <v>499</v>
      </c>
      <c r="AE49" s="229">
        <f t="shared" ref="AE49:BB49" si="8">SUM(AE50:AE51)</f>
        <v>0</v>
      </c>
      <c r="AF49" s="229">
        <f t="shared" si="8"/>
        <v>0</v>
      </c>
      <c r="AG49" s="229">
        <f t="shared" si="8"/>
        <v>0</v>
      </c>
      <c r="AH49" s="229">
        <f t="shared" si="8"/>
        <v>0</v>
      </c>
      <c r="AI49" s="229">
        <f t="shared" si="8"/>
        <v>0</v>
      </c>
      <c r="AJ49" s="229">
        <f t="shared" si="8"/>
        <v>0</v>
      </c>
      <c r="AK49" s="229">
        <f t="shared" si="8"/>
        <v>0</v>
      </c>
      <c r="AL49" s="229">
        <f t="shared" si="8"/>
        <v>0</v>
      </c>
      <c r="AM49" s="229">
        <f t="shared" si="8"/>
        <v>0</v>
      </c>
      <c r="AN49" s="229">
        <f t="shared" si="8"/>
        <v>0</v>
      </c>
      <c r="AO49" s="229">
        <f t="shared" si="8"/>
        <v>0</v>
      </c>
      <c r="AP49" s="229">
        <f t="shared" si="8"/>
        <v>0</v>
      </c>
      <c r="AQ49" s="229">
        <f t="shared" si="8"/>
        <v>0</v>
      </c>
      <c r="AR49" s="229">
        <f t="shared" si="8"/>
        <v>0</v>
      </c>
      <c r="AS49" s="229">
        <f t="shared" si="8"/>
        <v>0</v>
      </c>
      <c r="AT49" s="229">
        <f t="shared" si="8"/>
        <v>0</v>
      </c>
      <c r="AU49" s="229">
        <f t="shared" si="8"/>
        <v>0</v>
      </c>
      <c r="AV49" s="229">
        <f t="shared" si="8"/>
        <v>0</v>
      </c>
      <c r="AW49" s="229">
        <f t="shared" si="8"/>
        <v>0</v>
      </c>
      <c r="AX49" s="229">
        <f t="shared" si="8"/>
        <v>0</v>
      </c>
      <c r="AY49" s="229">
        <f t="shared" si="8"/>
        <v>0</v>
      </c>
      <c r="AZ49" s="229">
        <f t="shared" si="8"/>
        <v>0</v>
      </c>
      <c r="BA49" s="229">
        <f t="shared" si="8"/>
        <v>0</v>
      </c>
      <c r="BB49" s="229">
        <f t="shared" si="8"/>
        <v>0</v>
      </c>
      <c r="BC49" s="1375"/>
      <c r="BF49" s="917" t="s">
        <v>575</v>
      </c>
    </row>
    <row r="50" spans="1:58" ht="14.65" hidden="1" customHeight="1">
      <c r="E50" s="549">
        <v>15</v>
      </c>
      <c r="F50" s="3" cm="1">
        <f t="array" aca="1" ref="F50" ca="1">OFFSET(E50,-1,1)</f>
        <v>0</v>
      </c>
      <c r="H50" s="17" t="s">
        <v>576</v>
      </c>
      <c r="T50" s="381" t="b" cm="1">
        <f t="array" ref="T50">T49</f>
        <v>0</v>
      </c>
      <c r="X50" s="1755"/>
      <c r="Y50" s="1734"/>
      <c r="AB50" s="158" t="s">
        <v>577</v>
      </c>
      <c r="AC50" s="244" t="s">
        <v>578</v>
      </c>
      <c r="AD50" s="12" t="s">
        <v>499</v>
      </c>
      <c r="AE50" s="1373"/>
      <c r="AF50" s="1373"/>
      <c r="AG50" s="1373"/>
      <c r="AH50" s="1373"/>
      <c r="AI50" s="195"/>
      <c r="AJ50" s="1373"/>
      <c r="AK50" s="1373"/>
      <c r="AL50" s="1373"/>
      <c r="AM50" s="1373"/>
      <c r="AN50" s="1373"/>
      <c r="AO50" s="1373"/>
      <c r="AP50" s="1373"/>
      <c r="AQ50" s="1373"/>
      <c r="AR50" s="1373"/>
      <c r="AS50" s="195"/>
      <c r="AT50" s="1373"/>
      <c r="AU50" s="1373"/>
      <c r="AV50" s="1373"/>
      <c r="AW50" s="1373"/>
      <c r="AX50" s="1373"/>
      <c r="AY50" s="1373"/>
      <c r="AZ50" s="1373"/>
      <c r="BA50" s="1373"/>
      <c r="BB50" s="1373"/>
      <c r="BC50" s="1375"/>
      <c r="BF50" s="917" t="s">
        <v>579</v>
      </c>
    </row>
    <row r="51" spans="1:58" ht="14.65" hidden="1" customHeight="1">
      <c r="E51" s="549">
        <v>15</v>
      </c>
      <c r="F51" s="3" cm="1">
        <f t="array" aca="1" ref="F51" ca="1">OFFSET(E51,-1,1)</f>
        <v>0</v>
      </c>
      <c r="H51" s="17" t="s">
        <v>580</v>
      </c>
      <c r="T51" s="381" t="b" cm="1">
        <f t="array" ref="T51">T50</f>
        <v>0</v>
      </c>
      <c r="X51" s="1755"/>
      <c r="Y51" s="1734"/>
      <c r="AB51" s="158" t="s">
        <v>581</v>
      </c>
      <c r="AC51" s="244" t="s">
        <v>582</v>
      </c>
      <c r="AD51" s="12" t="s">
        <v>499</v>
      </c>
      <c r="AE51" s="1373"/>
      <c r="AF51" s="1373"/>
      <c r="AG51" s="1373"/>
      <c r="AH51" s="1373"/>
      <c r="AI51" s="195"/>
      <c r="AJ51" s="1373"/>
      <c r="AK51" s="1373"/>
      <c r="AL51" s="1373"/>
      <c r="AM51" s="1373"/>
      <c r="AN51" s="1373"/>
      <c r="AO51" s="1373"/>
      <c r="AP51" s="1373"/>
      <c r="AQ51" s="1373"/>
      <c r="AR51" s="1373"/>
      <c r="AS51" s="195"/>
      <c r="AT51" s="1373"/>
      <c r="AU51" s="1373"/>
      <c r="AV51" s="1373"/>
      <c r="AW51" s="1373"/>
      <c r="AX51" s="1373"/>
      <c r="AY51" s="1373"/>
      <c r="AZ51" s="1373"/>
      <c r="BA51" s="1373"/>
      <c r="BB51" s="1373"/>
      <c r="BC51" s="1375"/>
      <c r="BF51" s="917" t="s">
        <v>583</v>
      </c>
    </row>
    <row r="52" spans="1:58" ht="14.65" hidden="1" customHeight="1">
      <c r="E52" s="549">
        <v>15</v>
      </c>
      <c r="F52" s="3" cm="1">
        <f t="array" aca="1" ref="F52" ca="1">OFFSET(E52,-1,1)</f>
        <v>0</v>
      </c>
      <c r="G52" s="17" t="s">
        <v>571</v>
      </c>
      <c r="H52" s="17" t="s">
        <v>584</v>
      </c>
      <c r="T52" s="381" t="b" cm="1">
        <f t="array" ref="T52">T51</f>
        <v>0</v>
      </c>
      <c r="X52" s="1755"/>
      <c r="Y52" s="1734"/>
      <c r="AB52" s="158" t="s">
        <v>585</v>
      </c>
      <c r="AC52" s="111" t="s">
        <v>586</v>
      </c>
      <c r="AD52" s="12" t="s">
        <v>499</v>
      </c>
      <c r="AE52" s="229">
        <f t="shared" ref="AE52:BB52" si="9">AE53+AE56+AE59</f>
        <v>0</v>
      </c>
      <c r="AF52" s="229">
        <f t="shared" si="9"/>
        <v>0</v>
      </c>
      <c r="AG52" s="229">
        <f t="shared" si="9"/>
        <v>0</v>
      </c>
      <c r="AH52" s="229">
        <f t="shared" si="9"/>
        <v>0</v>
      </c>
      <c r="AI52" s="229">
        <f t="shared" si="9"/>
        <v>0</v>
      </c>
      <c r="AJ52" s="229">
        <f t="shared" si="9"/>
        <v>0</v>
      </c>
      <c r="AK52" s="229">
        <f t="shared" si="9"/>
        <v>0</v>
      </c>
      <c r="AL52" s="229">
        <f t="shared" si="9"/>
        <v>0</v>
      </c>
      <c r="AM52" s="229">
        <f t="shared" si="9"/>
        <v>0</v>
      </c>
      <c r="AN52" s="229">
        <f t="shared" si="9"/>
        <v>0</v>
      </c>
      <c r="AO52" s="229">
        <f t="shared" si="9"/>
        <v>0</v>
      </c>
      <c r="AP52" s="229">
        <f t="shared" si="9"/>
        <v>0</v>
      </c>
      <c r="AQ52" s="229">
        <f t="shared" si="9"/>
        <v>0</v>
      </c>
      <c r="AR52" s="229">
        <f t="shared" si="9"/>
        <v>0</v>
      </c>
      <c r="AS52" s="229">
        <f t="shared" si="9"/>
        <v>0</v>
      </c>
      <c r="AT52" s="229">
        <f t="shared" si="9"/>
        <v>0</v>
      </c>
      <c r="AU52" s="229">
        <f t="shared" si="9"/>
        <v>0</v>
      </c>
      <c r="AV52" s="229">
        <f t="shared" si="9"/>
        <v>0</v>
      </c>
      <c r="AW52" s="229">
        <f t="shared" si="9"/>
        <v>0</v>
      </c>
      <c r="AX52" s="229">
        <f t="shared" si="9"/>
        <v>0</v>
      </c>
      <c r="AY52" s="229">
        <f t="shared" si="9"/>
        <v>0</v>
      </c>
      <c r="AZ52" s="229">
        <f t="shared" si="9"/>
        <v>0</v>
      </c>
      <c r="BA52" s="229">
        <f t="shared" si="9"/>
        <v>0</v>
      </c>
      <c r="BB52" s="229">
        <f t="shared" si="9"/>
        <v>0</v>
      </c>
      <c r="BC52" s="1375"/>
      <c r="BF52" s="917" t="s">
        <v>587</v>
      </c>
    </row>
    <row r="53" spans="1:58" ht="14.65" hidden="1" customHeight="1">
      <c r="E53" s="549">
        <v>15</v>
      </c>
      <c r="F53" s="3" cm="1">
        <f t="array" aca="1" ref="F53" ca="1">OFFSET(E53,-1,1)</f>
        <v>0</v>
      </c>
      <c r="H53" s="17" t="s">
        <v>588</v>
      </c>
      <c r="T53" s="381" t="b" cm="1">
        <f t="array" ref="T53">T52</f>
        <v>0</v>
      </c>
      <c r="X53" s="1755"/>
      <c r="Y53" s="1734"/>
      <c r="AB53" s="158" t="s">
        <v>589</v>
      </c>
      <c r="AC53" s="244" t="s">
        <v>590</v>
      </c>
      <c r="AD53" s="12" t="s">
        <v>499</v>
      </c>
      <c r="AE53" s="229">
        <f t="shared" ref="AE53:BB53" si="10">SUM(AE54:AE55)</f>
        <v>0</v>
      </c>
      <c r="AF53" s="229">
        <f t="shared" si="10"/>
        <v>0</v>
      </c>
      <c r="AG53" s="229">
        <f t="shared" si="10"/>
        <v>0</v>
      </c>
      <c r="AH53" s="229">
        <f t="shared" si="10"/>
        <v>0</v>
      </c>
      <c r="AI53" s="229">
        <f t="shared" si="10"/>
        <v>0</v>
      </c>
      <c r="AJ53" s="229">
        <f t="shared" si="10"/>
        <v>0</v>
      </c>
      <c r="AK53" s="229">
        <f t="shared" si="10"/>
        <v>0</v>
      </c>
      <c r="AL53" s="229">
        <f t="shared" si="10"/>
        <v>0</v>
      </c>
      <c r="AM53" s="229">
        <f t="shared" si="10"/>
        <v>0</v>
      </c>
      <c r="AN53" s="229">
        <f t="shared" si="10"/>
        <v>0</v>
      </c>
      <c r="AO53" s="229">
        <f t="shared" si="10"/>
        <v>0</v>
      </c>
      <c r="AP53" s="229">
        <f t="shared" si="10"/>
        <v>0</v>
      </c>
      <c r="AQ53" s="229">
        <f t="shared" si="10"/>
        <v>0</v>
      </c>
      <c r="AR53" s="229">
        <f t="shared" si="10"/>
        <v>0</v>
      </c>
      <c r="AS53" s="229">
        <f t="shared" si="10"/>
        <v>0</v>
      </c>
      <c r="AT53" s="229">
        <f t="shared" si="10"/>
        <v>0</v>
      </c>
      <c r="AU53" s="229">
        <f t="shared" si="10"/>
        <v>0</v>
      </c>
      <c r="AV53" s="229">
        <f t="shared" si="10"/>
        <v>0</v>
      </c>
      <c r="AW53" s="229">
        <f t="shared" si="10"/>
        <v>0</v>
      </c>
      <c r="AX53" s="229">
        <f t="shared" si="10"/>
        <v>0</v>
      </c>
      <c r="AY53" s="229">
        <f t="shared" si="10"/>
        <v>0</v>
      </c>
      <c r="AZ53" s="229">
        <f t="shared" si="10"/>
        <v>0</v>
      </c>
      <c r="BA53" s="229">
        <f t="shared" si="10"/>
        <v>0</v>
      </c>
      <c r="BB53" s="229">
        <f t="shared" si="10"/>
        <v>0</v>
      </c>
      <c r="BC53" s="1375"/>
      <c r="BF53" s="917" t="s">
        <v>591</v>
      </c>
    </row>
    <row r="54" spans="1:58" ht="14.65" hidden="1" customHeight="1">
      <c r="E54" s="549">
        <v>15</v>
      </c>
      <c r="F54" s="3" cm="1">
        <f t="array" aca="1" ref="F54" ca="1">OFFSET(E54,-1,1)</f>
        <v>0</v>
      </c>
      <c r="H54" s="17" t="s">
        <v>592</v>
      </c>
      <c r="T54" s="381" t="b" cm="1">
        <f t="array" ref="T54">T53</f>
        <v>0</v>
      </c>
      <c r="X54" s="1755"/>
      <c r="Y54" s="1734"/>
      <c r="AB54" s="158" t="s">
        <v>593</v>
      </c>
      <c r="AC54" s="245" t="s">
        <v>578</v>
      </c>
      <c r="AD54" s="12" t="s">
        <v>499</v>
      </c>
      <c r="AE54" s="1373"/>
      <c r="AF54" s="1373"/>
      <c r="AG54" s="1373"/>
      <c r="AH54" s="1373"/>
      <c r="AI54" s="195"/>
      <c r="AJ54" s="1373"/>
      <c r="AK54" s="1373"/>
      <c r="AL54" s="1373"/>
      <c r="AM54" s="1373"/>
      <c r="AN54" s="1373"/>
      <c r="AO54" s="1373"/>
      <c r="AP54" s="1373"/>
      <c r="AQ54" s="1373"/>
      <c r="AR54" s="1373"/>
      <c r="AS54" s="195"/>
      <c r="AT54" s="1373"/>
      <c r="AU54" s="1373"/>
      <c r="AV54" s="1373"/>
      <c r="AW54" s="1373"/>
      <c r="AX54" s="1373"/>
      <c r="AY54" s="1373"/>
      <c r="AZ54" s="1373"/>
      <c r="BA54" s="1373"/>
      <c r="BB54" s="1373"/>
      <c r="BC54" s="1375"/>
      <c r="BF54" s="917" t="s">
        <v>594</v>
      </c>
    </row>
    <row r="55" spans="1:58" ht="14.65" hidden="1" customHeight="1">
      <c r="E55" s="549">
        <v>15</v>
      </c>
      <c r="F55" s="3" cm="1">
        <f t="array" aca="1" ref="F55" ca="1">OFFSET(E55,-1,1)</f>
        <v>0</v>
      </c>
      <c r="H55" s="17" t="s">
        <v>595</v>
      </c>
      <c r="T55" s="381" t="b" cm="1">
        <f t="array" ref="T55">T54</f>
        <v>0</v>
      </c>
      <c r="X55" s="1755"/>
      <c r="Y55" s="1734"/>
      <c r="AB55" s="158" t="s">
        <v>596</v>
      </c>
      <c r="AC55" s="245" t="s">
        <v>582</v>
      </c>
      <c r="AD55" s="12" t="s">
        <v>499</v>
      </c>
      <c r="AE55" s="1373"/>
      <c r="AF55" s="1373"/>
      <c r="AG55" s="1373"/>
      <c r="AH55" s="1373"/>
      <c r="AI55" s="195"/>
      <c r="AJ55" s="1373"/>
      <c r="AK55" s="1373"/>
      <c r="AL55" s="1373"/>
      <c r="AM55" s="1373"/>
      <c r="AN55" s="1373"/>
      <c r="AO55" s="1373"/>
      <c r="AP55" s="1373"/>
      <c r="AQ55" s="1373"/>
      <c r="AR55" s="1373"/>
      <c r="AS55" s="195"/>
      <c r="AT55" s="1373"/>
      <c r="AU55" s="1373"/>
      <c r="AV55" s="1373"/>
      <c r="AW55" s="1373"/>
      <c r="AX55" s="1373"/>
      <c r="AY55" s="1373"/>
      <c r="AZ55" s="1373"/>
      <c r="BA55" s="1373"/>
      <c r="BB55" s="1373"/>
      <c r="BC55" s="1375"/>
      <c r="BF55" s="917" t="s">
        <v>597</v>
      </c>
    </row>
    <row r="56" spans="1:58" ht="14.65" hidden="1" customHeight="1">
      <c r="E56" s="549">
        <v>15</v>
      </c>
      <c r="F56" s="3" cm="1">
        <f t="array" aca="1" ref="F56" ca="1">OFFSET(E56,-1,1)</f>
        <v>0</v>
      </c>
      <c r="G56" s="17" t="s">
        <v>598</v>
      </c>
      <c r="H56" s="17" t="s">
        <v>599</v>
      </c>
      <c r="T56" s="381" t="b" cm="1">
        <f t="array" ref="T56">T55</f>
        <v>0</v>
      </c>
      <c r="X56" s="1755"/>
      <c r="Y56" s="1734"/>
      <c r="AB56" s="158" t="s">
        <v>600</v>
      </c>
      <c r="AC56" s="244" t="s">
        <v>601</v>
      </c>
      <c r="AD56" s="12" t="s">
        <v>499</v>
      </c>
      <c r="AE56" s="229">
        <f t="shared" ref="AE56:BB56" si="11">SUM(AE57:AE58)</f>
        <v>0</v>
      </c>
      <c r="AF56" s="229">
        <f t="shared" si="11"/>
        <v>0</v>
      </c>
      <c r="AG56" s="229">
        <f t="shared" si="11"/>
        <v>0</v>
      </c>
      <c r="AH56" s="229">
        <f t="shared" si="11"/>
        <v>0</v>
      </c>
      <c r="AI56" s="229">
        <f t="shared" si="11"/>
        <v>0</v>
      </c>
      <c r="AJ56" s="229">
        <f t="shared" si="11"/>
        <v>0</v>
      </c>
      <c r="AK56" s="229">
        <f t="shared" si="11"/>
        <v>0</v>
      </c>
      <c r="AL56" s="229">
        <f t="shared" si="11"/>
        <v>0</v>
      </c>
      <c r="AM56" s="229">
        <f t="shared" si="11"/>
        <v>0</v>
      </c>
      <c r="AN56" s="229">
        <f t="shared" si="11"/>
        <v>0</v>
      </c>
      <c r="AO56" s="229">
        <f t="shared" si="11"/>
        <v>0</v>
      </c>
      <c r="AP56" s="229">
        <f t="shared" si="11"/>
        <v>0</v>
      </c>
      <c r="AQ56" s="229">
        <f t="shared" si="11"/>
        <v>0</v>
      </c>
      <c r="AR56" s="229">
        <f t="shared" si="11"/>
        <v>0</v>
      </c>
      <c r="AS56" s="229">
        <f t="shared" si="11"/>
        <v>0</v>
      </c>
      <c r="AT56" s="229">
        <f t="shared" si="11"/>
        <v>0</v>
      </c>
      <c r="AU56" s="229">
        <f t="shared" si="11"/>
        <v>0</v>
      </c>
      <c r="AV56" s="229">
        <f t="shared" si="11"/>
        <v>0</v>
      </c>
      <c r="AW56" s="229">
        <f t="shared" si="11"/>
        <v>0</v>
      </c>
      <c r="AX56" s="229">
        <f t="shared" si="11"/>
        <v>0</v>
      </c>
      <c r="AY56" s="229">
        <f t="shared" si="11"/>
        <v>0</v>
      </c>
      <c r="AZ56" s="229">
        <f t="shared" si="11"/>
        <v>0</v>
      </c>
      <c r="BA56" s="229">
        <f t="shared" si="11"/>
        <v>0</v>
      </c>
      <c r="BB56" s="229">
        <f t="shared" si="11"/>
        <v>0</v>
      </c>
      <c r="BC56" s="1375"/>
      <c r="BF56" s="917" t="s">
        <v>602</v>
      </c>
    </row>
    <row r="57" spans="1:58" ht="14.65" hidden="1" customHeight="1">
      <c r="E57" s="549">
        <v>15</v>
      </c>
      <c r="F57" s="3" cm="1">
        <f t="array" aca="1" ref="F57" ca="1">OFFSET(E57,-1,1)</f>
        <v>0</v>
      </c>
      <c r="H57" s="17" t="s">
        <v>603</v>
      </c>
      <c r="T57" s="381" t="b" cm="1">
        <f t="array" ref="T57">T56</f>
        <v>0</v>
      </c>
      <c r="X57" s="1755"/>
      <c r="Y57" s="1734"/>
      <c r="AB57" s="158" t="s">
        <v>604</v>
      </c>
      <c r="AC57" s="245" t="s">
        <v>578</v>
      </c>
      <c r="AD57" s="12" t="s">
        <v>499</v>
      </c>
      <c r="AE57" s="1373"/>
      <c r="AF57" s="1373"/>
      <c r="AG57" s="1373"/>
      <c r="AH57" s="1373"/>
      <c r="AI57" s="195"/>
      <c r="AJ57" s="1373"/>
      <c r="AK57" s="1373"/>
      <c r="AL57" s="1373"/>
      <c r="AM57" s="1373"/>
      <c r="AN57" s="1373"/>
      <c r="AO57" s="1373"/>
      <c r="AP57" s="1373"/>
      <c r="AQ57" s="1373"/>
      <c r="AR57" s="1373"/>
      <c r="AS57" s="195"/>
      <c r="AT57" s="1373"/>
      <c r="AU57" s="1373"/>
      <c r="AV57" s="1373"/>
      <c r="AW57" s="1373"/>
      <c r="AX57" s="1373"/>
      <c r="AY57" s="1373"/>
      <c r="AZ57" s="1373"/>
      <c r="BA57" s="1373"/>
      <c r="BB57" s="1373"/>
      <c r="BC57" s="1375"/>
      <c r="BF57" s="917" t="s">
        <v>605</v>
      </c>
    </row>
    <row r="58" spans="1:58" ht="14.65" hidden="1" customHeight="1">
      <c r="E58" s="549">
        <v>15</v>
      </c>
      <c r="F58" s="3" cm="1">
        <f t="array" aca="1" ref="F58" ca="1">OFFSET(E58,-1,1)</f>
        <v>0</v>
      </c>
      <c r="H58" s="17" t="s">
        <v>606</v>
      </c>
      <c r="T58" s="381" t="b" cm="1">
        <f t="array" ref="T58">T57</f>
        <v>0</v>
      </c>
      <c r="X58" s="1755"/>
      <c r="Y58" s="1734"/>
      <c r="AB58" s="158" t="s">
        <v>607</v>
      </c>
      <c r="AC58" s="245" t="s">
        <v>582</v>
      </c>
      <c r="AD58" s="12" t="s">
        <v>499</v>
      </c>
      <c r="AE58" s="1373"/>
      <c r="AF58" s="1373"/>
      <c r="AG58" s="1373"/>
      <c r="AH58" s="1373"/>
      <c r="AI58" s="195"/>
      <c r="AJ58" s="1373"/>
      <c r="AK58" s="1373"/>
      <c r="AL58" s="1373"/>
      <c r="AM58" s="1373"/>
      <c r="AN58" s="1373"/>
      <c r="AO58" s="1373"/>
      <c r="AP58" s="1373"/>
      <c r="AQ58" s="1373"/>
      <c r="AR58" s="1373"/>
      <c r="AS58" s="195"/>
      <c r="AT58" s="1373"/>
      <c r="AU58" s="1373"/>
      <c r="AV58" s="1373"/>
      <c r="AW58" s="1373"/>
      <c r="AX58" s="1373"/>
      <c r="AY58" s="1373"/>
      <c r="AZ58" s="1373"/>
      <c r="BA58" s="1373"/>
      <c r="BB58" s="1373"/>
      <c r="BC58" s="1375"/>
      <c r="BF58" s="917" t="s">
        <v>608</v>
      </c>
    </row>
    <row r="59" spans="1:58" ht="14.65" hidden="1" customHeight="1">
      <c r="E59" s="549">
        <v>15</v>
      </c>
      <c r="F59" s="3" cm="1">
        <f t="array" aca="1" ref="F59" ca="1">OFFSET(E59,-1,1)</f>
        <v>0</v>
      </c>
      <c r="H59" s="17" t="s">
        <v>609</v>
      </c>
      <c r="T59" s="381" t="b" cm="1">
        <f t="array" ref="T59">T58</f>
        <v>0</v>
      </c>
      <c r="X59" s="1755"/>
      <c r="Y59" s="1734"/>
      <c r="AB59" s="158" t="s">
        <v>610</v>
      </c>
      <c r="AC59" s="244" t="s">
        <v>611</v>
      </c>
      <c r="AD59" s="12" t="s">
        <v>499</v>
      </c>
      <c r="AE59" s="229">
        <f t="shared" ref="AE59:BB59" si="12">SUM(AE60:AE61)</f>
        <v>0</v>
      </c>
      <c r="AF59" s="229">
        <f t="shared" si="12"/>
        <v>0</v>
      </c>
      <c r="AG59" s="229">
        <f t="shared" si="12"/>
        <v>0</v>
      </c>
      <c r="AH59" s="229">
        <f t="shared" si="12"/>
        <v>0</v>
      </c>
      <c r="AI59" s="229">
        <f t="shared" si="12"/>
        <v>0</v>
      </c>
      <c r="AJ59" s="229">
        <f t="shared" si="12"/>
        <v>0</v>
      </c>
      <c r="AK59" s="229">
        <f t="shared" si="12"/>
        <v>0</v>
      </c>
      <c r="AL59" s="229">
        <f t="shared" si="12"/>
        <v>0</v>
      </c>
      <c r="AM59" s="229">
        <f t="shared" si="12"/>
        <v>0</v>
      </c>
      <c r="AN59" s="229">
        <f t="shared" si="12"/>
        <v>0</v>
      </c>
      <c r="AO59" s="229">
        <f t="shared" si="12"/>
        <v>0</v>
      </c>
      <c r="AP59" s="229">
        <f t="shared" si="12"/>
        <v>0</v>
      </c>
      <c r="AQ59" s="229">
        <f t="shared" si="12"/>
        <v>0</v>
      </c>
      <c r="AR59" s="229">
        <f t="shared" si="12"/>
        <v>0</v>
      </c>
      <c r="AS59" s="229">
        <f t="shared" si="12"/>
        <v>0</v>
      </c>
      <c r="AT59" s="229">
        <f t="shared" si="12"/>
        <v>0</v>
      </c>
      <c r="AU59" s="229">
        <f t="shared" si="12"/>
        <v>0</v>
      </c>
      <c r="AV59" s="229">
        <f t="shared" si="12"/>
        <v>0</v>
      </c>
      <c r="AW59" s="229">
        <f t="shared" si="12"/>
        <v>0</v>
      </c>
      <c r="AX59" s="229">
        <f t="shared" si="12"/>
        <v>0</v>
      </c>
      <c r="AY59" s="229">
        <f t="shared" si="12"/>
        <v>0</v>
      </c>
      <c r="AZ59" s="229">
        <f t="shared" si="12"/>
        <v>0</v>
      </c>
      <c r="BA59" s="229">
        <f t="shared" si="12"/>
        <v>0</v>
      </c>
      <c r="BB59" s="229">
        <f t="shared" si="12"/>
        <v>0</v>
      </c>
      <c r="BC59" s="1375"/>
      <c r="BF59" s="917" t="s">
        <v>612</v>
      </c>
    </row>
    <row r="60" spans="1:58" ht="14.65" hidden="1" customHeight="1">
      <c r="E60" s="549">
        <v>15</v>
      </c>
      <c r="F60" s="3" cm="1">
        <f t="array" aca="1" ref="F60" ca="1">OFFSET(E60,-1,1)</f>
        <v>0</v>
      </c>
      <c r="H60" s="17" t="s">
        <v>613</v>
      </c>
      <c r="T60" s="381" t="b" cm="1">
        <f t="array" ref="T60">T59</f>
        <v>0</v>
      </c>
      <c r="X60" s="1755"/>
      <c r="Y60" s="1734"/>
      <c r="AB60" s="158" t="s">
        <v>614</v>
      </c>
      <c r="AC60" s="245" t="s">
        <v>578</v>
      </c>
      <c r="AD60" s="12" t="s">
        <v>499</v>
      </c>
      <c r="AE60" s="1373"/>
      <c r="AF60" s="1373"/>
      <c r="AG60" s="1373"/>
      <c r="AH60" s="1373"/>
      <c r="AI60" s="195"/>
      <c r="AJ60" s="1373"/>
      <c r="AK60" s="1373"/>
      <c r="AL60" s="1373"/>
      <c r="AM60" s="1373"/>
      <c r="AN60" s="1373"/>
      <c r="AO60" s="1373"/>
      <c r="AP60" s="1373"/>
      <c r="AQ60" s="1373"/>
      <c r="AR60" s="1373"/>
      <c r="AS60" s="195"/>
      <c r="AT60" s="1373"/>
      <c r="AU60" s="1373"/>
      <c r="AV60" s="1373"/>
      <c r="AW60" s="1373"/>
      <c r="AX60" s="1373"/>
      <c r="AY60" s="1373"/>
      <c r="AZ60" s="1373"/>
      <c r="BA60" s="1373"/>
      <c r="BB60" s="1373"/>
      <c r="BC60" s="1375"/>
      <c r="BF60" s="917" t="s">
        <v>615</v>
      </c>
    </row>
    <row r="61" spans="1:58" ht="14.65" hidden="1" customHeight="1">
      <c r="E61" s="549">
        <v>15</v>
      </c>
      <c r="F61" s="3" cm="1">
        <f t="array" aca="1" ref="F61" ca="1">OFFSET(E61,-1,1)</f>
        <v>0</v>
      </c>
      <c r="H61" s="17" t="s">
        <v>616</v>
      </c>
      <c r="T61" s="381" t="b" cm="1">
        <f t="array" ref="T61">T60</f>
        <v>0</v>
      </c>
      <c r="X61" s="1755"/>
      <c r="Y61" s="1734"/>
      <c r="AB61" s="158" t="s">
        <v>617</v>
      </c>
      <c r="AC61" s="245" t="s">
        <v>582</v>
      </c>
      <c r="AD61" s="12" t="s">
        <v>499</v>
      </c>
      <c r="AE61" s="1373"/>
      <c r="AF61" s="1373"/>
      <c r="AG61" s="1373"/>
      <c r="AH61" s="1373"/>
      <c r="AI61" s="195"/>
      <c r="AJ61" s="1373"/>
      <c r="AK61" s="1373"/>
      <c r="AL61" s="1373"/>
      <c r="AM61" s="1373"/>
      <c r="AN61" s="1373"/>
      <c r="AO61" s="1373"/>
      <c r="AP61" s="1373"/>
      <c r="AQ61" s="1373"/>
      <c r="AR61" s="1373"/>
      <c r="AS61" s="195"/>
      <c r="AT61" s="1373"/>
      <c r="AU61" s="1373"/>
      <c r="AV61" s="1373"/>
      <c r="AW61" s="1373"/>
      <c r="AX61" s="1373"/>
      <c r="AY61" s="1373"/>
      <c r="AZ61" s="1373"/>
      <c r="BA61" s="1373"/>
      <c r="BB61" s="1373"/>
      <c r="BC61" s="1361"/>
      <c r="BF61" s="917" t="s">
        <v>618</v>
      </c>
    </row>
    <row r="62" spans="1:58" ht="21.95" hidden="1" customHeight="1">
      <c r="E62" s="549">
        <v>22.5</v>
      </c>
      <c r="F62" s="3" cm="1">
        <f t="array" aca="1" ref="F62" ca="1">OFFSET(E62,-1,1)</f>
        <v>0</v>
      </c>
      <c r="H62" s="17" t="s">
        <v>619</v>
      </c>
      <c r="I62" s="385"/>
      <c r="J62" s="385"/>
      <c r="T62" s="381" t="b" cm="1">
        <f t="array" ref="T62">T61</f>
        <v>0</v>
      </c>
      <c r="X62" s="1755"/>
      <c r="Y62" s="1734"/>
      <c r="AB62" s="158" t="s">
        <v>620</v>
      </c>
      <c r="AC62" s="246" t="s">
        <v>621</v>
      </c>
      <c r="AD62" s="12" t="s">
        <v>499</v>
      </c>
      <c r="AE62" s="1360"/>
      <c r="AF62" s="1360"/>
      <c r="AG62" s="1360"/>
      <c r="AH62" s="1360"/>
      <c r="AI62" s="192"/>
      <c r="AJ62" s="1360"/>
      <c r="AK62" s="1360"/>
      <c r="AL62" s="1360"/>
      <c r="AM62" s="1360"/>
      <c r="AN62" s="1360"/>
      <c r="AO62" s="1360"/>
      <c r="AP62" s="1360"/>
      <c r="AQ62" s="1360"/>
      <c r="AR62" s="1360"/>
      <c r="AS62" s="192"/>
      <c r="AT62" s="1360"/>
      <c r="AU62" s="1360"/>
      <c r="AV62" s="1360"/>
      <c r="AW62" s="1360"/>
      <c r="AX62" s="1360"/>
      <c r="AY62" s="1360"/>
      <c r="AZ62" s="1360"/>
      <c r="BA62" s="1360"/>
      <c r="BB62" s="1360"/>
      <c r="BC62" s="1361"/>
      <c r="BF62" s="917" t="s">
        <v>622</v>
      </c>
    </row>
    <row r="63" spans="1:58" ht="14.65" hidden="1" customHeight="1">
      <c r="E63" s="549">
        <v>15</v>
      </c>
      <c r="F63" s="261" cm="1">
        <f t="array" aca="1" ref="F63" ca="1">OFFSET(E63,-1,1)</f>
        <v>0</v>
      </c>
      <c r="T63" s="381" t="b" cm="1">
        <f t="array" ref="T63">T62</f>
        <v>0</v>
      </c>
      <c r="X63" s="1755"/>
      <c r="Y63" s="1734"/>
      <c r="AB63" s="158" t="s">
        <v>623</v>
      </c>
      <c r="AC63" s="246" t="s">
        <v>624</v>
      </c>
      <c r="AD63" s="12" t="s">
        <v>499</v>
      </c>
      <c r="AE63" s="1360"/>
      <c r="AF63" s="1360"/>
      <c r="AG63" s="1360"/>
      <c r="AH63" s="1360"/>
      <c r="AI63" s="192"/>
      <c r="AJ63" s="1360"/>
      <c r="AK63" s="1360"/>
      <c r="AL63" s="1360"/>
      <c r="AM63" s="1360"/>
      <c r="AN63" s="1360"/>
      <c r="AO63" s="1360"/>
      <c r="AP63" s="1360"/>
      <c r="AQ63" s="1360"/>
      <c r="AR63" s="1360"/>
      <c r="AS63" s="192"/>
      <c r="AT63" s="1360"/>
      <c r="AU63" s="1360"/>
      <c r="AV63" s="1360"/>
      <c r="AW63" s="1360"/>
      <c r="AX63" s="1360"/>
      <c r="AY63" s="1360"/>
      <c r="AZ63" s="1360"/>
      <c r="BA63" s="1360"/>
      <c r="BB63" s="1360"/>
      <c r="BC63" s="1361"/>
      <c r="BF63" s="917" t="s">
        <v>625</v>
      </c>
    </row>
    <row r="64" spans="1:58" s="1327" customFormat="1" ht="11.25" hidden="1" customHeight="1">
      <c r="A64" s="385"/>
      <c r="B64" s="575"/>
      <c r="C64" s="385"/>
      <c r="D64" s="385"/>
      <c r="E64" s="577" t="s">
        <v>363</v>
      </c>
      <c r="F64" s="1083" cm="1">
        <f t="array" aca="1" ref="F64" ca="1">OFFSET(E64,-1,1)</f>
        <v>0</v>
      </c>
      <c r="G64" s="385"/>
      <c r="H64" s="385"/>
      <c r="K64" s="17"/>
      <c r="L64" s="385"/>
      <c r="M64" s="385"/>
      <c r="N64" s="385"/>
      <c r="O64" s="385"/>
      <c r="P64" s="385"/>
      <c r="Q64" s="385"/>
      <c r="R64" s="332"/>
      <c r="S64" s="332"/>
      <c r="T64" s="381" t="b">
        <v>0</v>
      </c>
      <c r="U64" s="385"/>
      <c r="V64" s="385"/>
      <c r="W64" s="385"/>
      <c r="X64" s="1755"/>
      <c r="Y64" s="1734"/>
      <c r="Z64" s="385"/>
      <c r="AA64" s="385"/>
      <c r="AC64" s="19"/>
      <c r="AD64" s="19"/>
      <c r="AE64" s="256"/>
      <c r="AF64" s="256"/>
      <c r="AG64" s="256"/>
      <c r="AH64" s="256"/>
      <c r="AI64" s="256"/>
      <c r="AJ64" s="257"/>
      <c r="AK64" s="256"/>
      <c r="AL64" s="256"/>
      <c r="AM64" s="256"/>
      <c r="AN64" s="256"/>
      <c r="AO64" s="256"/>
      <c r="AP64" s="256"/>
      <c r="AQ64" s="256"/>
      <c r="AR64" s="256"/>
      <c r="AS64" s="256"/>
      <c r="AT64" s="256"/>
      <c r="AU64" s="256"/>
      <c r="AV64" s="256"/>
      <c r="AW64" s="256"/>
      <c r="AX64" s="256"/>
      <c r="AY64" s="256"/>
      <c r="AZ64" s="256"/>
      <c r="BA64" s="256"/>
      <c r="BB64" s="256"/>
      <c r="BF64" s="921"/>
    </row>
    <row r="65" spans="1:58" ht="14.65" hidden="1" customHeight="1">
      <c r="E65" s="549">
        <v>15</v>
      </c>
      <c r="F65" s="3" cm="1">
        <f t="array" aca="1" ref="F65" ca="1">OFFSET(E65,-1,1)</f>
        <v>0</v>
      </c>
      <c r="R65" s="332" t="b" cm="1">
        <f t="array" ref="R65">INDEX('Общие сведения'!$AN$179:$AN$208,MATCH($X27,'Общие сведения'!$Z$179:$Z$208,0))</f>
        <v>0</v>
      </c>
      <c r="S65" s="332" t="b">
        <f>IF(ISERROR(SEARCH("Водоснабжение",AB27)),FALSE,TRUE)</f>
        <v>0</v>
      </c>
      <c r="T65" s="381" t="b">
        <f>AND(X27&gt;0,S65,R65)</f>
        <v>0</v>
      </c>
      <c r="X65" s="1755"/>
      <c r="Y65" s="1734"/>
      <c r="AB65" s="158" t="s">
        <v>281</v>
      </c>
      <c r="AC65" s="240" t="s">
        <v>496</v>
      </c>
      <c r="AD65" s="117"/>
      <c r="AE65" s="486" cm="1">
        <f t="array" ref="AE65">INDEX('Общие сведения'!$AH$179:$AH$208,MATCH($X27,'Общие сведения'!$Z$179:$Z$208,0))</f>
        <v>0</v>
      </c>
      <c r="AF65" s="274"/>
      <c r="AG65" s="274"/>
      <c r="AH65" s="274"/>
      <c r="AI65" s="274"/>
      <c r="AJ65" s="274"/>
      <c r="AK65" s="274"/>
      <c r="AL65" s="274"/>
      <c r="AM65" s="274"/>
      <c r="AN65" s="274"/>
      <c r="AO65" s="274"/>
      <c r="AP65" s="274"/>
      <c r="AQ65" s="274"/>
      <c r="AR65" s="274"/>
      <c r="AS65" s="274"/>
      <c r="AT65" s="274"/>
      <c r="AU65" s="274"/>
      <c r="AV65" s="274"/>
      <c r="AW65" s="274"/>
      <c r="AX65" s="274"/>
      <c r="AY65" s="274"/>
      <c r="AZ65" s="274"/>
      <c r="BA65" s="274"/>
      <c r="BB65" s="275"/>
      <c r="BC65" s="1361"/>
      <c r="BF65" s="917" t="s">
        <v>626</v>
      </c>
    </row>
    <row r="66" spans="1:58" ht="14.65" hidden="1" customHeight="1">
      <c r="E66" s="549">
        <v>15</v>
      </c>
      <c r="F66" s="3" cm="1">
        <f t="array" aca="1" ref="F66" ca="1">OFFSET(E66,-1,1)</f>
        <v>0</v>
      </c>
      <c r="H66" s="17" t="s">
        <v>327</v>
      </c>
      <c r="T66" s="381" t="b" cm="1">
        <f t="array" ref="T66">T65</f>
        <v>0</v>
      </c>
      <c r="X66" s="1755"/>
      <c r="Y66" s="1734"/>
      <c r="AB66" s="158" t="s">
        <v>224</v>
      </c>
      <c r="AC66" s="247" t="s">
        <v>627</v>
      </c>
      <c r="AD66" s="12" t="s">
        <v>499</v>
      </c>
      <c r="AE66" s="258">
        <f t="shared" ref="AE66:BB66" si="13">AE70+AE72+AE75+AE78</f>
        <v>0</v>
      </c>
      <c r="AF66" s="258">
        <f t="shared" si="13"/>
        <v>0</v>
      </c>
      <c r="AG66" s="258">
        <f t="shared" si="13"/>
        <v>0</v>
      </c>
      <c r="AH66" s="258">
        <f t="shared" si="13"/>
        <v>0</v>
      </c>
      <c r="AI66" s="258">
        <f t="shared" si="13"/>
        <v>0</v>
      </c>
      <c r="AJ66" s="258">
        <f t="shared" si="13"/>
        <v>0</v>
      </c>
      <c r="AK66" s="258">
        <f t="shared" si="13"/>
        <v>0</v>
      </c>
      <c r="AL66" s="258">
        <f t="shared" si="13"/>
        <v>0</v>
      </c>
      <c r="AM66" s="258">
        <f t="shared" si="13"/>
        <v>0</v>
      </c>
      <c r="AN66" s="258">
        <f t="shared" si="13"/>
        <v>0</v>
      </c>
      <c r="AO66" s="258">
        <f t="shared" si="13"/>
        <v>0</v>
      </c>
      <c r="AP66" s="258">
        <f t="shared" si="13"/>
        <v>0</v>
      </c>
      <c r="AQ66" s="258">
        <f t="shared" si="13"/>
        <v>0</v>
      </c>
      <c r="AR66" s="258">
        <f t="shared" si="13"/>
        <v>0</v>
      </c>
      <c r="AS66" s="258">
        <f t="shared" si="13"/>
        <v>0</v>
      </c>
      <c r="AT66" s="258">
        <f t="shared" si="13"/>
        <v>0</v>
      </c>
      <c r="AU66" s="258">
        <f t="shared" si="13"/>
        <v>0</v>
      </c>
      <c r="AV66" s="258">
        <f t="shared" si="13"/>
        <v>0</v>
      </c>
      <c r="AW66" s="258">
        <f t="shared" si="13"/>
        <v>0</v>
      </c>
      <c r="AX66" s="258">
        <f t="shared" si="13"/>
        <v>0</v>
      </c>
      <c r="AY66" s="258">
        <f t="shared" si="13"/>
        <v>0</v>
      </c>
      <c r="AZ66" s="258">
        <f t="shared" si="13"/>
        <v>0</v>
      </c>
      <c r="BA66" s="258">
        <f t="shared" si="13"/>
        <v>0</v>
      </c>
      <c r="BB66" s="258">
        <f t="shared" si="13"/>
        <v>0</v>
      </c>
      <c r="BC66" s="1361"/>
      <c r="BF66" s="917" t="s">
        <v>628</v>
      </c>
    </row>
    <row r="67" spans="1:58" ht="14.65" hidden="1" customHeight="1">
      <c r="E67" s="549">
        <v>15</v>
      </c>
      <c r="F67" s="3" cm="1">
        <f t="array" aca="1" ref="F67" ca="1">OFFSET(E67,-1,1)</f>
        <v>0</v>
      </c>
      <c r="H67" s="17" t="s">
        <v>501</v>
      </c>
      <c r="T67" s="381" t="b" cm="1">
        <f t="array" ref="T67">T66</f>
        <v>0</v>
      </c>
      <c r="X67" s="1755"/>
      <c r="Y67" s="1734"/>
      <c r="AB67" s="158" t="s">
        <v>502</v>
      </c>
      <c r="AC67" s="248" t="s">
        <v>629</v>
      </c>
      <c r="AD67" s="12" t="s">
        <v>499</v>
      </c>
      <c r="AE67" s="1360"/>
      <c r="AF67" s="1360"/>
      <c r="AG67" s="1360"/>
      <c r="AH67" s="1360"/>
      <c r="AI67" s="192"/>
      <c r="AJ67" s="1360"/>
      <c r="AK67" s="1360"/>
      <c r="AL67" s="1360"/>
      <c r="AM67" s="1360"/>
      <c r="AN67" s="1360"/>
      <c r="AO67" s="1360"/>
      <c r="AP67" s="1360"/>
      <c r="AQ67" s="1360"/>
      <c r="AR67" s="1360"/>
      <c r="AS67" s="192"/>
      <c r="AT67" s="1360"/>
      <c r="AU67" s="1360"/>
      <c r="AV67" s="1360"/>
      <c r="AW67" s="1360"/>
      <c r="AX67" s="1360"/>
      <c r="AY67" s="1360"/>
      <c r="AZ67" s="1360"/>
      <c r="BA67" s="1360"/>
      <c r="BB67" s="1360"/>
      <c r="BC67" s="1361"/>
      <c r="BF67" s="917" t="s">
        <v>630</v>
      </c>
    </row>
    <row r="68" spans="1:58" ht="14.65" hidden="1" customHeight="1">
      <c r="E68" s="549">
        <v>15</v>
      </c>
      <c r="F68" s="3" cm="1">
        <f t="array" aca="1" ref="F68" ca="1">OFFSET(E68,-1,1)</f>
        <v>0</v>
      </c>
      <c r="H68" s="17" t="s">
        <v>505</v>
      </c>
      <c r="T68" s="381" t="b" cm="1">
        <f t="array" ref="T68">T67</f>
        <v>0</v>
      </c>
      <c r="X68" s="1755"/>
      <c r="Y68" s="1734"/>
      <c r="AB68" s="158" t="s">
        <v>506</v>
      </c>
      <c r="AC68" s="248" t="s">
        <v>631</v>
      </c>
      <c r="AD68" s="12" t="s">
        <v>499</v>
      </c>
      <c r="AE68" s="1360"/>
      <c r="AF68" s="1360"/>
      <c r="AG68" s="1360"/>
      <c r="AH68" s="1360"/>
      <c r="AI68" s="192"/>
      <c r="AJ68" s="1360"/>
      <c r="AK68" s="1360"/>
      <c r="AL68" s="1360"/>
      <c r="AM68" s="1360"/>
      <c r="AN68" s="1360"/>
      <c r="AO68" s="1360"/>
      <c r="AP68" s="1360"/>
      <c r="AQ68" s="1360"/>
      <c r="AR68" s="1360"/>
      <c r="AS68" s="192"/>
      <c r="AT68" s="1360"/>
      <c r="AU68" s="1360"/>
      <c r="AV68" s="1360"/>
      <c r="AW68" s="1360"/>
      <c r="AX68" s="1360"/>
      <c r="AY68" s="1360"/>
      <c r="AZ68" s="1360"/>
      <c r="BA68" s="1360"/>
      <c r="BB68" s="1360"/>
      <c r="BC68" s="1361"/>
      <c r="BF68" s="917" t="s">
        <v>632</v>
      </c>
    </row>
    <row r="69" spans="1:58" ht="21.95" hidden="1" customHeight="1">
      <c r="E69" s="549">
        <v>22.5</v>
      </c>
      <c r="F69" s="3" cm="1">
        <f t="array" aca="1" ref="F69" ca="1">OFFSET(E69,-1,1)</f>
        <v>0</v>
      </c>
      <c r="H69" s="17" t="s">
        <v>509</v>
      </c>
      <c r="T69" s="381" t="b" cm="1">
        <f t="array" ref="T69">T68</f>
        <v>0</v>
      </c>
      <c r="X69" s="1755"/>
      <c r="Y69" s="1734"/>
      <c r="AB69" s="158" t="s">
        <v>510</v>
      </c>
      <c r="AC69" s="248" t="s">
        <v>633</v>
      </c>
      <c r="AD69" s="12" t="s">
        <v>499</v>
      </c>
      <c r="AE69" s="1360"/>
      <c r="AF69" s="1360"/>
      <c r="AG69" s="1360"/>
      <c r="AH69" s="1360"/>
      <c r="AI69" s="192"/>
      <c r="AJ69" s="1360"/>
      <c r="AK69" s="1360"/>
      <c r="AL69" s="1360"/>
      <c r="AM69" s="1360"/>
      <c r="AN69" s="1360"/>
      <c r="AO69" s="1360"/>
      <c r="AP69" s="1360"/>
      <c r="AQ69" s="1360"/>
      <c r="AR69" s="1360"/>
      <c r="AS69" s="192"/>
      <c r="AT69" s="1360"/>
      <c r="AU69" s="1360"/>
      <c r="AV69" s="1360"/>
      <c r="AW69" s="1360"/>
      <c r="AX69" s="1360"/>
      <c r="AY69" s="1360"/>
      <c r="AZ69" s="1360"/>
      <c r="BA69" s="1360"/>
      <c r="BB69" s="1360"/>
      <c r="BC69" s="1361"/>
      <c r="BF69" s="917" t="s">
        <v>634</v>
      </c>
    </row>
    <row r="70" spans="1:58" ht="14.65" hidden="1" customHeight="1">
      <c r="E70" s="549">
        <v>15</v>
      </c>
      <c r="F70" s="3" cm="1">
        <f t="array" aca="1" ref="F70" ca="1">OFFSET(E70,-1,1)</f>
        <v>0</v>
      </c>
      <c r="H70" s="17" t="s">
        <v>326</v>
      </c>
      <c r="T70" s="381" t="b" cm="1">
        <f t="array" ref="T70">T69</f>
        <v>0</v>
      </c>
      <c r="X70" s="1755"/>
      <c r="Y70" s="1734"/>
      <c r="AB70" s="158" t="s">
        <v>321</v>
      </c>
      <c r="AC70" s="240" t="s">
        <v>545</v>
      </c>
      <c r="AD70" s="12" t="s">
        <v>499</v>
      </c>
      <c r="AE70" s="1360"/>
      <c r="AF70" s="1360"/>
      <c r="AG70" s="1360"/>
      <c r="AH70" s="1360"/>
      <c r="AI70" s="192"/>
      <c r="AJ70" s="1360"/>
      <c r="AK70" s="1360"/>
      <c r="AL70" s="1360"/>
      <c r="AM70" s="1360"/>
      <c r="AN70" s="1360"/>
      <c r="AO70" s="1360"/>
      <c r="AP70" s="1360"/>
      <c r="AQ70" s="1360"/>
      <c r="AR70" s="1360"/>
      <c r="AS70" s="192"/>
      <c r="AT70" s="1360"/>
      <c r="AU70" s="1360"/>
      <c r="AV70" s="1360"/>
      <c r="AW70" s="1360"/>
      <c r="AX70" s="1360"/>
      <c r="AY70" s="1360"/>
      <c r="AZ70" s="1360"/>
      <c r="BA70" s="1360"/>
      <c r="BB70" s="1360"/>
      <c r="BC70" s="1361"/>
      <c r="BF70" s="917" t="s">
        <v>635</v>
      </c>
    </row>
    <row r="71" spans="1:58" ht="14.65" hidden="1" customHeight="1">
      <c r="E71" s="549">
        <v>15</v>
      </c>
      <c r="F71" s="3" cm="1">
        <f t="array" aca="1" ref="F71" ca="1">OFFSET(E71,-1,1)</f>
        <v>0</v>
      </c>
      <c r="H71" s="17" t="s">
        <v>515</v>
      </c>
      <c r="T71" s="381" t="b" cm="1">
        <f t="array" ref="T71">T70</f>
        <v>0</v>
      </c>
      <c r="X71" s="1755"/>
      <c r="Y71" s="1734"/>
      <c r="AB71" s="158" t="s">
        <v>516</v>
      </c>
      <c r="AC71" s="243" t="s">
        <v>549</v>
      </c>
      <c r="AD71" s="12" t="s">
        <v>423</v>
      </c>
      <c r="AE71" s="1354">
        <f t="shared" ref="AE71:BB71" si="14">IF(AE66=0,0,AE70/AE66*100)</f>
        <v>0</v>
      </c>
      <c r="AF71" s="1354">
        <f t="shared" si="14"/>
        <v>0</v>
      </c>
      <c r="AG71" s="1354">
        <f t="shared" si="14"/>
        <v>0</v>
      </c>
      <c r="AH71" s="1354">
        <f t="shared" si="14"/>
        <v>0</v>
      </c>
      <c r="AI71" s="60">
        <f t="shared" si="14"/>
        <v>0</v>
      </c>
      <c r="AJ71" s="1354">
        <f t="shared" si="14"/>
        <v>0</v>
      </c>
      <c r="AK71" s="1354">
        <f t="shared" si="14"/>
        <v>0</v>
      </c>
      <c r="AL71" s="1354">
        <f t="shared" si="14"/>
        <v>0</v>
      </c>
      <c r="AM71" s="1354">
        <f t="shared" si="14"/>
        <v>0</v>
      </c>
      <c r="AN71" s="1354">
        <f t="shared" si="14"/>
        <v>0</v>
      </c>
      <c r="AO71" s="1354">
        <f t="shared" si="14"/>
        <v>0</v>
      </c>
      <c r="AP71" s="1354">
        <f t="shared" si="14"/>
        <v>0</v>
      </c>
      <c r="AQ71" s="1354">
        <f t="shared" si="14"/>
        <v>0</v>
      </c>
      <c r="AR71" s="1354">
        <f t="shared" si="14"/>
        <v>0</v>
      </c>
      <c r="AS71" s="60">
        <f t="shared" si="14"/>
        <v>0</v>
      </c>
      <c r="AT71" s="1354">
        <f t="shared" si="14"/>
        <v>0</v>
      </c>
      <c r="AU71" s="1354">
        <f t="shared" si="14"/>
        <v>0</v>
      </c>
      <c r="AV71" s="1354">
        <f t="shared" si="14"/>
        <v>0</v>
      </c>
      <c r="AW71" s="1354">
        <f t="shared" si="14"/>
        <v>0</v>
      </c>
      <c r="AX71" s="1354">
        <f t="shared" si="14"/>
        <v>0</v>
      </c>
      <c r="AY71" s="1354">
        <f t="shared" si="14"/>
        <v>0</v>
      </c>
      <c r="AZ71" s="1354">
        <f t="shared" si="14"/>
        <v>0</v>
      </c>
      <c r="BA71" s="1354">
        <f t="shared" si="14"/>
        <v>0</v>
      </c>
      <c r="BB71" s="1354">
        <f t="shared" si="14"/>
        <v>0</v>
      </c>
      <c r="BC71" s="1375"/>
      <c r="BF71" s="917" t="s">
        <v>636</v>
      </c>
    </row>
    <row r="72" spans="1:58" ht="14.65" hidden="1" customHeight="1">
      <c r="E72" s="549">
        <v>15</v>
      </c>
      <c r="F72" s="3" cm="1">
        <f t="array" aca="1" ref="F72" ca="1">OFFSET(E72,-1,1)</f>
        <v>0</v>
      </c>
      <c r="H72" s="17" t="s">
        <v>477</v>
      </c>
      <c r="T72" s="381" t="b" cm="1">
        <f t="array" ref="T72">T71</f>
        <v>0</v>
      </c>
      <c r="X72" s="1755"/>
      <c r="Y72" s="1734"/>
      <c r="AB72" s="158" t="s">
        <v>523</v>
      </c>
      <c r="AC72" s="247" t="s">
        <v>557</v>
      </c>
      <c r="AD72" s="12" t="s">
        <v>499</v>
      </c>
      <c r="AE72" s="258">
        <f t="shared" ref="AE72:BB72" si="15">AE73+AE74</f>
        <v>0</v>
      </c>
      <c r="AF72" s="258">
        <f t="shared" si="15"/>
        <v>0</v>
      </c>
      <c r="AG72" s="258">
        <f t="shared" si="15"/>
        <v>0</v>
      </c>
      <c r="AH72" s="258">
        <f t="shared" si="15"/>
        <v>0</v>
      </c>
      <c r="AI72" s="258">
        <f t="shared" si="15"/>
        <v>0</v>
      </c>
      <c r="AJ72" s="258">
        <f t="shared" si="15"/>
        <v>0</v>
      </c>
      <c r="AK72" s="258">
        <f t="shared" si="15"/>
        <v>0</v>
      </c>
      <c r="AL72" s="258">
        <f t="shared" si="15"/>
        <v>0</v>
      </c>
      <c r="AM72" s="258">
        <f t="shared" si="15"/>
        <v>0</v>
      </c>
      <c r="AN72" s="258">
        <f t="shared" si="15"/>
        <v>0</v>
      </c>
      <c r="AO72" s="258">
        <f t="shared" si="15"/>
        <v>0</v>
      </c>
      <c r="AP72" s="258">
        <f t="shared" si="15"/>
        <v>0</v>
      </c>
      <c r="AQ72" s="258">
        <f t="shared" si="15"/>
        <v>0</v>
      </c>
      <c r="AR72" s="258">
        <f t="shared" si="15"/>
        <v>0</v>
      </c>
      <c r="AS72" s="258">
        <f t="shared" si="15"/>
        <v>0</v>
      </c>
      <c r="AT72" s="258">
        <f t="shared" si="15"/>
        <v>0</v>
      </c>
      <c r="AU72" s="258">
        <f t="shared" si="15"/>
        <v>0</v>
      </c>
      <c r="AV72" s="258">
        <f t="shared" si="15"/>
        <v>0</v>
      </c>
      <c r="AW72" s="258">
        <f t="shared" si="15"/>
        <v>0</v>
      </c>
      <c r="AX72" s="258">
        <f t="shared" si="15"/>
        <v>0</v>
      </c>
      <c r="AY72" s="258">
        <f t="shared" si="15"/>
        <v>0</v>
      </c>
      <c r="AZ72" s="258">
        <f t="shared" si="15"/>
        <v>0</v>
      </c>
      <c r="BA72" s="258">
        <f t="shared" si="15"/>
        <v>0</v>
      </c>
      <c r="BB72" s="258">
        <f t="shared" si="15"/>
        <v>0</v>
      </c>
      <c r="BC72" s="1361"/>
      <c r="BF72" s="917" t="s">
        <v>637</v>
      </c>
    </row>
    <row r="73" spans="1:58" ht="14.65" hidden="1" customHeight="1">
      <c r="E73" s="549">
        <v>15</v>
      </c>
      <c r="F73" s="3" cm="1">
        <f t="array" aca="1" ref="F73" ca="1">OFFSET(E73,-1,1)</f>
        <v>0</v>
      </c>
      <c r="H73" s="17" t="s">
        <v>638</v>
      </c>
      <c r="T73" s="381" t="b" cm="1">
        <f t="array" ref="T73">T72</f>
        <v>0</v>
      </c>
      <c r="X73" s="1755"/>
      <c r="Y73" s="1734"/>
      <c r="AB73" s="158" t="s">
        <v>639</v>
      </c>
      <c r="AC73" s="248" t="s">
        <v>561</v>
      </c>
      <c r="AD73" s="12" t="s">
        <v>499</v>
      </c>
      <c r="AE73" s="1360"/>
      <c r="AF73" s="1360"/>
      <c r="AG73" s="1360"/>
      <c r="AH73" s="1360"/>
      <c r="AI73" s="192"/>
      <c r="AJ73" s="1360"/>
      <c r="AK73" s="1360"/>
      <c r="AL73" s="1360"/>
      <c r="AM73" s="1360"/>
      <c r="AN73" s="1360"/>
      <c r="AO73" s="1360"/>
      <c r="AP73" s="1360"/>
      <c r="AQ73" s="1360"/>
      <c r="AR73" s="1360"/>
      <c r="AS73" s="192"/>
      <c r="AT73" s="1360"/>
      <c r="AU73" s="1360"/>
      <c r="AV73" s="1360"/>
      <c r="AW73" s="1360"/>
      <c r="AX73" s="1360"/>
      <c r="AY73" s="1360"/>
      <c r="AZ73" s="1360"/>
      <c r="BA73" s="1360"/>
      <c r="BB73" s="1360"/>
      <c r="BC73" s="1361"/>
      <c r="BF73" s="917" t="s">
        <v>640</v>
      </c>
    </row>
    <row r="74" spans="1:58" ht="14.65" hidden="1" customHeight="1">
      <c r="E74" s="549">
        <v>15</v>
      </c>
      <c r="F74" s="3" cm="1">
        <f t="array" aca="1" ref="F74" ca="1">OFFSET(E74,-1,1)</f>
        <v>0</v>
      </c>
      <c r="H74" s="17" t="s">
        <v>641</v>
      </c>
      <c r="T74" s="381" t="b" cm="1">
        <f t="array" ref="T74">T73</f>
        <v>0</v>
      </c>
      <c r="X74" s="1755"/>
      <c r="Y74" s="1734"/>
      <c r="AB74" s="158" t="s">
        <v>642</v>
      </c>
      <c r="AC74" s="248" t="s">
        <v>565</v>
      </c>
      <c r="AD74" s="12" t="s">
        <v>499</v>
      </c>
      <c r="AE74" s="1360"/>
      <c r="AF74" s="1360"/>
      <c r="AG74" s="1360"/>
      <c r="AH74" s="1360"/>
      <c r="AI74" s="192"/>
      <c r="AJ74" s="1360"/>
      <c r="AK74" s="1360"/>
      <c r="AL74" s="1360"/>
      <c r="AM74" s="1360"/>
      <c r="AN74" s="1360"/>
      <c r="AO74" s="1360"/>
      <c r="AP74" s="1360"/>
      <c r="AQ74" s="1360"/>
      <c r="AR74" s="1360"/>
      <c r="AS74" s="192"/>
      <c r="AT74" s="1360"/>
      <c r="AU74" s="1360"/>
      <c r="AV74" s="1360"/>
      <c r="AW74" s="1360"/>
      <c r="AX74" s="1360"/>
      <c r="AY74" s="1360"/>
      <c r="AZ74" s="1360"/>
      <c r="BA74" s="1360"/>
      <c r="BB74" s="1360"/>
      <c r="BC74" s="1361"/>
      <c r="BF74" s="917" t="s">
        <v>643</v>
      </c>
    </row>
    <row r="75" spans="1:58" ht="14.65" hidden="1" customHeight="1">
      <c r="E75" s="549">
        <v>15</v>
      </c>
      <c r="F75" s="3" cm="1">
        <f t="array" aca="1" ref="F75" ca="1">OFFSET(E75,-1,1)</f>
        <v>0</v>
      </c>
      <c r="G75" s="17" t="s">
        <v>571</v>
      </c>
      <c r="H75" s="17" t="s">
        <v>481</v>
      </c>
      <c r="T75" s="381" t="b" cm="1">
        <f t="array" ref="T75">T74</f>
        <v>0</v>
      </c>
      <c r="X75" s="1755"/>
      <c r="Y75" s="1734"/>
      <c r="AB75" s="158" t="s">
        <v>478</v>
      </c>
      <c r="AC75" s="247" t="s">
        <v>574</v>
      </c>
      <c r="AD75" s="12" t="s">
        <v>499</v>
      </c>
      <c r="AE75" s="258">
        <f t="shared" ref="AE75:BB75" si="16">AE76+AE77</f>
        <v>0</v>
      </c>
      <c r="AF75" s="258">
        <f t="shared" si="16"/>
        <v>0</v>
      </c>
      <c r="AG75" s="258">
        <f t="shared" si="16"/>
        <v>0</v>
      </c>
      <c r="AH75" s="258">
        <f t="shared" si="16"/>
        <v>0</v>
      </c>
      <c r="AI75" s="258">
        <f t="shared" si="16"/>
        <v>0</v>
      </c>
      <c r="AJ75" s="258">
        <f t="shared" si="16"/>
        <v>0</v>
      </c>
      <c r="AK75" s="258">
        <f t="shared" si="16"/>
        <v>0</v>
      </c>
      <c r="AL75" s="258">
        <f t="shared" si="16"/>
        <v>0</v>
      </c>
      <c r="AM75" s="258">
        <f t="shared" si="16"/>
        <v>0</v>
      </c>
      <c r="AN75" s="258">
        <f t="shared" si="16"/>
        <v>0</v>
      </c>
      <c r="AO75" s="258">
        <f t="shared" si="16"/>
        <v>0</v>
      </c>
      <c r="AP75" s="258">
        <f t="shared" si="16"/>
        <v>0</v>
      </c>
      <c r="AQ75" s="258">
        <f t="shared" si="16"/>
        <v>0</v>
      </c>
      <c r="AR75" s="258">
        <f t="shared" si="16"/>
        <v>0</v>
      </c>
      <c r="AS75" s="258">
        <f t="shared" si="16"/>
        <v>0</v>
      </c>
      <c r="AT75" s="258">
        <f t="shared" si="16"/>
        <v>0</v>
      </c>
      <c r="AU75" s="258">
        <f t="shared" si="16"/>
        <v>0</v>
      </c>
      <c r="AV75" s="258">
        <f t="shared" si="16"/>
        <v>0</v>
      </c>
      <c r="AW75" s="258">
        <f t="shared" si="16"/>
        <v>0</v>
      </c>
      <c r="AX75" s="258">
        <f t="shared" si="16"/>
        <v>0</v>
      </c>
      <c r="AY75" s="258">
        <f t="shared" si="16"/>
        <v>0</v>
      </c>
      <c r="AZ75" s="258">
        <f t="shared" si="16"/>
        <v>0</v>
      </c>
      <c r="BA75" s="258">
        <f t="shared" si="16"/>
        <v>0</v>
      </c>
      <c r="BB75" s="258">
        <f t="shared" si="16"/>
        <v>0</v>
      </c>
      <c r="BC75" s="1361"/>
      <c r="BF75" s="917" t="s">
        <v>644</v>
      </c>
    </row>
    <row r="76" spans="1:58" ht="14.65" hidden="1" customHeight="1">
      <c r="E76" s="549">
        <v>15</v>
      </c>
      <c r="F76" s="3" cm="1">
        <f t="array" aca="1" ref="F76" ca="1">OFFSET(E76,-1,1)</f>
        <v>0</v>
      </c>
      <c r="H76" s="17" t="s">
        <v>645</v>
      </c>
      <c r="T76" s="381" t="b" cm="1">
        <f t="array" ref="T76">T75</f>
        <v>0</v>
      </c>
      <c r="X76" s="1755"/>
      <c r="Y76" s="1734"/>
      <c r="AB76" s="158" t="s">
        <v>646</v>
      </c>
      <c r="AC76" s="248" t="s">
        <v>578</v>
      </c>
      <c r="AD76" s="12" t="s">
        <v>499</v>
      </c>
      <c r="AE76" s="1360"/>
      <c r="AF76" s="1360"/>
      <c r="AG76" s="1360"/>
      <c r="AH76" s="1360"/>
      <c r="AI76" s="192"/>
      <c r="AJ76" s="1360"/>
      <c r="AK76" s="1360"/>
      <c r="AL76" s="1360"/>
      <c r="AM76" s="1360"/>
      <c r="AN76" s="1360"/>
      <c r="AO76" s="1360"/>
      <c r="AP76" s="1360"/>
      <c r="AQ76" s="1360"/>
      <c r="AR76" s="1360"/>
      <c r="AS76" s="192"/>
      <c r="AT76" s="1360"/>
      <c r="AU76" s="1360"/>
      <c r="AV76" s="1360"/>
      <c r="AW76" s="1360"/>
      <c r="AX76" s="1360"/>
      <c r="AY76" s="1360"/>
      <c r="AZ76" s="1360"/>
      <c r="BA76" s="1360"/>
      <c r="BB76" s="1360"/>
      <c r="BC76" s="1361"/>
      <c r="BF76" s="917" t="s">
        <v>647</v>
      </c>
    </row>
    <row r="77" spans="1:58" ht="14.65" hidden="1" customHeight="1">
      <c r="E77" s="549">
        <v>15</v>
      </c>
      <c r="F77" s="3" cm="1">
        <f t="array" aca="1" ref="F77" ca="1">OFFSET(E77,-1,1)</f>
        <v>0</v>
      </c>
      <c r="H77" s="17" t="s">
        <v>648</v>
      </c>
      <c r="T77" s="381" t="b" cm="1">
        <f t="array" ref="T77">T76</f>
        <v>0</v>
      </c>
      <c r="X77" s="1755"/>
      <c r="Y77" s="1734"/>
      <c r="AB77" s="158" t="s">
        <v>649</v>
      </c>
      <c r="AC77" s="248" t="s">
        <v>582</v>
      </c>
      <c r="AD77" s="12" t="s">
        <v>499</v>
      </c>
      <c r="AE77" s="1360"/>
      <c r="AF77" s="1360"/>
      <c r="AG77" s="1360"/>
      <c r="AH77" s="1360"/>
      <c r="AI77" s="192"/>
      <c r="AJ77" s="1360"/>
      <c r="AK77" s="1360"/>
      <c r="AL77" s="1360"/>
      <c r="AM77" s="1360"/>
      <c r="AN77" s="1360"/>
      <c r="AO77" s="1360"/>
      <c r="AP77" s="1360"/>
      <c r="AQ77" s="1360"/>
      <c r="AR77" s="1360"/>
      <c r="AS77" s="192"/>
      <c r="AT77" s="1360"/>
      <c r="AU77" s="1360"/>
      <c r="AV77" s="1360"/>
      <c r="AW77" s="1360"/>
      <c r="AX77" s="1360"/>
      <c r="AY77" s="1360"/>
      <c r="AZ77" s="1360"/>
      <c r="BA77" s="1360"/>
      <c r="BB77" s="1360"/>
      <c r="BC77" s="1361"/>
      <c r="BF77" s="917" t="s">
        <v>650</v>
      </c>
    </row>
    <row r="78" spans="1:58" ht="21.95" hidden="1" customHeight="1">
      <c r="E78" s="549">
        <v>22.5</v>
      </c>
      <c r="F78" s="3" cm="1">
        <f t="array" aca="1" ref="F78" ca="1">OFFSET(E78,-1,1)</f>
        <v>0</v>
      </c>
      <c r="H78" s="17" t="s">
        <v>528</v>
      </c>
      <c r="I78" s="385"/>
      <c r="J78" s="385"/>
      <c r="T78" s="381" t="b" cm="1">
        <f t="array" ref="T78">T77</f>
        <v>0</v>
      </c>
      <c r="X78" s="1755"/>
      <c r="Y78" s="1734"/>
      <c r="AB78" s="158" t="s">
        <v>482</v>
      </c>
      <c r="AC78" s="249" t="s">
        <v>621</v>
      </c>
      <c r="AD78" s="12" t="s">
        <v>499</v>
      </c>
      <c r="AE78" s="1360"/>
      <c r="AF78" s="1360"/>
      <c r="AG78" s="1360"/>
      <c r="AH78" s="1360"/>
      <c r="AI78" s="192"/>
      <c r="AJ78" s="1360"/>
      <c r="AK78" s="1360"/>
      <c r="AL78" s="1360"/>
      <c r="AM78" s="1360"/>
      <c r="AN78" s="1360"/>
      <c r="AO78" s="1360"/>
      <c r="AP78" s="1360"/>
      <c r="AQ78" s="1360"/>
      <c r="AR78" s="1360"/>
      <c r="AS78" s="192"/>
      <c r="AT78" s="1360"/>
      <c r="AU78" s="1360"/>
      <c r="AV78" s="1360"/>
      <c r="AW78" s="1360"/>
      <c r="AX78" s="1360"/>
      <c r="AY78" s="1360"/>
      <c r="AZ78" s="1360"/>
      <c r="BA78" s="1360"/>
      <c r="BB78" s="1360"/>
      <c r="BC78" s="1361"/>
      <c r="BF78" s="917" t="s">
        <v>651</v>
      </c>
    </row>
    <row r="79" spans="1:58" ht="14.65" hidden="1" customHeight="1">
      <c r="E79" s="549">
        <v>15</v>
      </c>
      <c r="F79" s="261" cm="1">
        <f t="array" aca="1" ref="F79" ca="1">OFFSET(E79,-1,1)</f>
        <v>0</v>
      </c>
      <c r="T79" s="381" t="b" cm="1">
        <f t="array" ref="T79">T78</f>
        <v>0</v>
      </c>
      <c r="X79" s="1755"/>
      <c r="Y79" s="1734"/>
      <c r="AB79" s="158" t="s">
        <v>623</v>
      </c>
      <c r="AC79" s="246" t="s">
        <v>624</v>
      </c>
      <c r="AD79" s="12" t="s">
        <v>499</v>
      </c>
      <c r="AE79" s="1360"/>
      <c r="AF79" s="1360"/>
      <c r="AG79" s="1360"/>
      <c r="AH79" s="1360"/>
      <c r="AI79" s="192"/>
      <c r="AJ79" s="1360"/>
      <c r="AK79" s="1360"/>
      <c r="AL79" s="1360"/>
      <c r="AM79" s="1360"/>
      <c r="AN79" s="1360"/>
      <c r="AO79" s="1360"/>
      <c r="AP79" s="1360"/>
      <c r="AQ79" s="1360"/>
      <c r="AR79" s="1360"/>
      <c r="AS79" s="192"/>
      <c r="AT79" s="1360"/>
      <c r="AU79" s="1360"/>
      <c r="AV79" s="1360"/>
      <c r="AW79" s="1360"/>
      <c r="AX79" s="1360"/>
      <c r="AY79" s="1360"/>
      <c r="AZ79" s="1360"/>
      <c r="BA79" s="1360"/>
      <c r="BB79" s="1360"/>
      <c r="BC79" s="1361"/>
      <c r="BF79" s="917" t="s">
        <v>652</v>
      </c>
    </row>
    <row r="80" spans="1:58" s="1327" customFormat="1" ht="11.25" hidden="1" customHeight="1">
      <c r="A80" s="385"/>
      <c r="B80" s="575"/>
      <c r="C80" s="385"/>
      <c r="D80" s="385"/>
      <c r="E80" s="577" t="s">
        <v>363</v>
      </c>
      <c r="F80" s="1083" cm="1">
        <f t="array" aca="1" ref="F80" ca="1">OFFSET(E80,-1,1)</f>
        <v>0</v>
      </c>
      <c r="G80" s="385"/>
      <c r="H80" s="385"/>
      <c r="K80" s="17"/>
      <c r="L80" s="385"/>
      <c r="M80" s="385"/>
      <c r="N80" s="385"/>
      <c r="O80" s="385"/>
      <c r="P80" s="385"/>
      <c r="Q80" s="385"/>
      <c r="R80" s="332"/>
      <c r="S80" s="385"/>
      <c r="T80" s="381" t="b">
        <v>0</v>
      </c>
      <c r="U80" s="385"/>
      <c r="V80" s="385"/>
      <c r="W80" s="385"/>
      <c r="X80" s="1755"/>
      <c r="Y80" s="1734"/>
      <c r="Z80" s="385"/>
      <c r="AA80" s="385"/>
      <c r="AC80" s="19"/>
      <c r="AD80" s="19"/>
      <c r="AE80" s="256"/>
      <c r="AF80" s="256"/>
      <c r="AG80" s="256"/>
      <c r="AH80" s="256"/>
      <c r="AI80" s="256"/>
      <c r="AJ80" s="257"/>
      <c r="AK80" s="256"/>
      <c r="AL80" s="256"/>
      <c r="AM80" s="256"/>
      <c r="AN80" s="256"/>
      <c r="AO80" s="256"/>
      <c r="AP80" s="256"/>
      <c r="AQ80" s="256"/>
      <c r="AR80" s="256"/>
      <c r="AS80" s="256"/>
      <c r="AT80" s="256"/>
      <c r="AU80" s="256"/>
      <c r="AV80" s="256"/>
      <c r="AW80" s="256"/>
      <c r="AX80" s="256"/>
      <c r="AY80" s="256"/>
      <c r="AZ80" s="256"/>
      <c r="BA80" s="256"/>
      <c r="BB80" s="256"/>
      <c r="BF80" s="921"/>
    </row>
    <row r="81" spans="5:58" ht="14.65" hidden="1" customHeight="1">
      <c r="E81" s="549">
        <v>15</v>
      </c>
      <c r="F81" s="3" cm="1">
        <f t="array" aca="1" ref="F81" ca="1">OFFSET(E81,-1,1)</f>
        <v>0</v>
      </c>
      <c r="R81" s="332" t="b" cm="1">
        <f t="array" ref="R81">INDEX('Общие сведения'!$AN$179:$AN$208,MATCH($X27,'Общие сведения'!$Z$179:$Z$208,0))</f>
        <v>0</v>
      </c>
      <c r="S81" s="398" t="b">
        <f>IF(ISERROR(SEARCH("Водоотведение",AB27)),FALSE,TRUE)</f>
        <v>0</v>
      </c>
      <c r="T81" s="381" t="b">
        <f>AND(X27&gt;0,S81,NOT(R81))</f>
        <v>0</v>
      </c>
      <c r="X81" s="1755"/>
      <c r="Y81" s="1734"/>
      <c r="AB81" s="158" t="s">
        <v>281</v>
      </c>
      <c r="AC81" s="56" t="s">
        <v>653</v>
      </c>
      <c r="AD81" s="116"/>
      <c r="AE81" s="486" cm="1">
        <f t="array" ref="AE81">INDEX('Общие сведения'!$AH$179:$AH$208,MATCH($X27,'Общие сведения'!$Z$179:$Z$208,0))</f>
        <v>0</v>
      </c>
      <c r="AF81" s="274"/>
      <c r="AG81" s="274"/>
      <c r="AH81" s="274"/>
      <c r="AI81" s="274"/>
      <c r="AJ81" s="274"/>
      <c r="AK81" s="274"/>
      <c r="AL81" s="274"/>
      <c r="AM81" s="274"/>
      <c r="AN81" s="274"/>
      <c r="AO81" s="274"/>
      <c r="AP81" s="274"/>
      <c r="AQ81" s="274"/>
      <c r="AR81" s="274"/>
      <c r="AS81" s="274"/>
      <c r="AT81" s="274"/>
      <c r="AU81" s="274"/>
      <c r="AV81" s="274"/>
      <c r="AW81" s="274"/>
      <c r="AX81" s="274"/>
      <c r="AY81" s="274"/>
      <c r="AZ81" s="274"/>
      <c r="BA81" s="274"/>
      <c r="BB81" s="275"/>
      <c r="BC81" s="1361"/>
      <c r="BF81" s="917" t="s">
        <v>654</v>
      </c>
    </row>
    <row r="82" spans="5:58" ht="14.65" hidden="1" customHeight="1">
      <c r="E82" s="549">
        <v>15</v>
      </c>
      <c r="F82" s="3" cm="1">
        <f t="array" aca="1" ref="F82" ca="1">OFFSET(E82,-1,1)</f>
        <v>0</v>
      </c>
      <c r="H82" s="17" t="s">
        <v>327</v>
      </c>
      <c r="T82" s="381" t="b" cm="1">
        <f t="array" ref="T82">T81</f>
        <v>0</v>
      </c>
      <c r="X82" s="1755"/>
      <c r="Y82" s="1734"/>
      <c r="AB82" s="158" t="s">
        <v>224</v>
      </c>
      <c r="AC82" s="56" t="s">
        <v>655</v>
      </c>
      <c r="AD82" s="12" t="s">
        <v>499</v>
      </c>
      <c r="AE82" s="259">
        <f t="shared" ref="AE82:BB82" si="17">AE83+AE84+AE97</f>
        <v>0</v>
      </c>
      <c r="AF82" s="259">
        <f t="shared" si="17"/>
        <v>0</v>
      </c>
      <c r="AG82" s="259">
        <f t="shared" si="17"/>
        <v>0</v>
      </c>
      <c r="AH82" s="259">
        <f t="shared" si="17"/>
        <v>0</v>
      </c>
      <c r="AI82" s="259">
        <f t="shared" si="17"/>
        <v>0</v>
      </c>
      <c r="AJ82" s="259">
        <f t="shared" si="17"/>
        <v>0</v>
      </c>
      <c r="AK82" s="259">
        <f t="shared" si="17"/>
        <v>0</v>
      </c>
      <c r="AL82" s="259">
        <f t="shared" si="17"/>
        <v>0</v>
      </c>
      <c r="AM82" s="259">
        <f t="shared" si="17"/>
        <v>0</v>
      </c>
      <c r="AN82" s="259">
        <f t="shared" si="17"/>
        <v>0</v>
      </c>
      <c r="AO82" s="259">
        <f t="shared" si="17"/>
        <v>0</v>
      </c>
      <c r="AP82" s="259">
        <f t="shared" si="17"/>
        <v>0</v>
      </c>
      <c r="AQ82" s="259">
        <f t="shared" si="17"/>
        <v>0</v>
      </c>
      <c r="AR82" s="259">
        <f t="shared" si="17"/>
        <v>0</v>
      </c>
      <c r="AS82" s="259">
        <f t="shared" si="17"/>
        <v>0</v>
      </c>
      <c r="AT82" s="259">
        <f t="shared" si="17"/>
        <v>0</v>
      </c>
      <c r="AU82" s="259">
        <f t="shared" si="17"/>
        <v>0</v>
      </c>
      <c r="AV82" s="259">
        <f t="shared" si="17"/>
        <v>0</v>
      </c>
      <c r="AW82" s="259">
        <f t="shared" si="17"/>
        <v>0</v>
      </c>
      <c r="AX82" s="259">
        <f t="shared" si="17"/>
        <v>0</v>
      </c>
      <c r="AY82" s="259">
        <f t="shared" si="17"/>
        <v>0</v>
      </c>
      <c r="AZ82" s="259">
        <f t="shared" si="17"/>
        <v>0</v>
      </c>
      <c r="BA82" s="259">
        <f t="shared" si="17"/>
        <v>0</v>
      </c>
      <c r="BB82" s="259">
        <f t="shared" si="17"/>
        <v>0</v>
      </c>
      <c r="BC82" s="1361"/>
      <c r="BF82" s="917" t="s">
        <v>656</v>
      </c>
    </row>
    <row r="83" spans="5:58" ht="14.65" hidden="1" customHeight="1">
      <c r="E83" s="549">
        <v>15</v>
      </c>
      <c r="F83" s="3" cm="1">
        <f t="array" aca="1" ref="F83" ca="1">OFFSET(E83,-1,1)</f>
        <v>0</v>
      </c>
      <c r="G83" s="17" t="str">
        <f>IF(OwnNeedsInPO="да","ПО","")</f>
        <v>ПО</v>
      </c>
      <c r="H83" s="17" t="s">
        <v>326</v>
      </c>
      <c r="T83" s="381" t="b" cm="1">
        <f t="array" ref="T83">T82</f>
        <v>0</v>
      </c>
      <c r="X83" s="1755"/>
      <c r="Y83" s="1734"/>
      <c r="AB83" s="158" t="s">
        <v>321</v>
      </c>
      <c r="AC83" s="56" t="s">
        <v>657</v>
      </c>
      <c r="AD83" s="12" t="s">
        <v>499</v>
      </c>
      <c r="AE83" s="1360"/>
      <c r="AF83" s="1360"/>
      <c r="AG83" s="1360"/>
      <c r="AH83" s="1360"/>
      <c r="AI83" s="192"/>
      <c r="AJ83" s="1360"/>
      <c r="AK83" s="1360"/>
      <c r="AL83" s="1360"/>
      <c r="AM83" s="1360"/>
      <c r="AN83" s="1360"/>
      <c r="AO83" s="1360"/>
      <c r="AP83" s="1360"/>
      <c r="AQ83" s="1360"/>
      <c r="AR83" s="1360"/>
      <c r="AS83" s="192"/>
      <c r="AT83" s="1360"/>
      <c r="AU83" s="1360"/>
      <c r="AV83" s="1360"/>
      <c r="AW83" s="1360"/>
      <c r="AX83" s="1360"/>
      <c r="AY83" s="1360"/>
      <c r="AZ83" s="1360"/>
      <c r="BA83" s="1360"/>
      <c r="BB83" s="1360"/>
      <c r="BC83" s="1361"/>
      <c r="BF83" s="917" t="s">
        <v>658</v>
      </c>
    </row>
    <row r="84" spans="5:58" ht="14.65" hidden="1" customHeight="1">
      <c r="E84" s="549">
        <v>15</v>
      </c>
      <c r="F84" s="3" cm="1">
        <f t="array" aca="1" ref="F84" ca="1">OFFSET(E84,-1,1)</f>
        <v>0</v>
      </c>
      <c r="G84" s="17" t="s">
        <v>571</v>
      </c>
      <c r="H84" s="17" t="s">
        <v>477</v>
      </c>
      <c r="T84" s="381" t="b" cm="1">
        <f t="array" ref="T84">T83</f>
        <v>0</v>
      </c>
      <c r="X84" s="1755"/>
      <c r="Y84" s="1734"/>
      <c r="AB84" s="158" t="s">
        <v>523</v>
      </c>
      <c r="AC84" s="57" t="s">
        <v>659</v>
      </c>
      <c r="AD84" s="12" t="s">
        <v>499</v>
      </c>
      <c r="AE84" s="258">
        <f t="shared" ref="AE84:BB84" si="18">AE85+AE88+AE91+AE94</f>
        <v>0</v>
      </c>
      <c r="AF84" s="258">
        <f t="shared" si="18"/>
        <v>0</v>
      </c>
      <c r="AG84" s="258">
        <f t="shared" si="18"/>
        <v>0</v>
      </c>
      <c r="AH84" s="258">
        <f t="shared" si="18"/>
        <v>0</v>
      </c>
      <c r="AI84" s="258">
        <f t="shared" si="18"/>
        <v>0</v>
      </c>
      <c r="AJ84" s="258">
        <f t="shared" si="18"/>
        <v>0</v>
      </c>
      <c r="AK84" s="258">
        <f t="shared" si="18"/>
        <v>0</v>
      </c>
      <c r="AL84" s="258">
        <f t="shared" si="18"/>
        <v>0</v>
      </c>
      <c r="AM84" s="258">
        <f t="shared" si="18"/>
        <v>0</v>
      </c>
      <c r="AN84" s="258">
        <f t="shared" si="18"/>
        <v>0</v>
      </c>
      <c r="AO84" s="258">
        <f t="shared" si="18"/>
        <v>0</v>
      </c>
      <c r="AP84" s="258">
        <f t="shared" si="18"/>
        <v>0</v>
      </c>
      <c r="AQ84" s="258">
        <f t="shared" si="18"/>
        <v>0</v>
      </c>
      <c r="AR84" s="258">
        <f t="shared" si="18"/>
        <v>0</v>
      </c>
      <c r="AS84" s="258">
        <f t="shared" si="18"/>
        <v>0</v>
      </c>
      <c r="AT84" s="258">
        <f t="shared" si="18"/>
        <v>0</v>
      </c>
      <c r="AU84" s="258">
        <f t="shared" si="18"/>
        <v>0</v>
      </c>
      <c r="AV84" s="258">
        <f t="shared" si="18"/>
        <v>0</v>
      </c>
      <c r="AW84" s="258">
        <f t="shared" si="18"/>
        <v>0</v>
      </c>
      <c r="AX84" s="258">
        <f t="shared" si="18"/>
        <v>0</v>
      </c>
      <c r="AY84" s="258">
        <f t="shared" si="18"/>
        <v>0</v>
      </c>
      <c r="AZ84" s="258">
        <f t="shared" si="18"/>
        <v>0</v>
      </c>
      <c r="BA84" s="258">
        <f t="shared" si="18"/>
        <v>0</v>
      </c>
      <c r="BB84" s="258">
        <f t="shared" si="18"/>
        <v>0</v>
      </c>
      <c r="BC84" s="1361"/>
      <c r="BF84" s="917" t="s">
        <v>660</v>
      </c>
    </row>
    <row r="85" spans="5:58" ht="14.65" hidden="1" customHeight="1">
      <c r="E85" s="549">
        <v>15</v>
      </c>
      <c r="F85" s="3" cm="1">
        <f t="array" aca="1" ref="F85" ca="1">OFFSET(E85,-1,1)</f>
        <v>0</v>
      </c>
      <c r="H85" s="17" t="s">
        <v>638</v>
      </c>
      <c r="T85" s="381" t="b" cm="1">
        <f t="array" ref="T85">T84</f>
        <v>0</v>
      </c>
      <c r="X85" s="1755"/>
      <c r="Y85" s="1734"/>
      <c r="AB85" s="158" t="s">
        <v>639</v>
      </c>
      <c r="AC85" s="111" t="s">
        <v>590</v>
      </c>
      <c r="AD85" s="12" t="s">
        <v>499</v>
      </c>
      <c r="AE85" s="258">
        <f t="shared" ref="AE85:BB85" si="19">AE86+AE87</f>
        <v>0</v>
      </c>
      <c r="AF85" s="258">
        <f t="shared" si="19"/>
        <v>0</v>
      </c>
      <c r="AG85" s="258">
        <f t="shared" si="19"/>
        <v>0</v>
      </c>
      <c r="AH85" s="258">
        <f t="shared" si="19"/>
        <v>0</v>
      </c>
      <c r="AI85" s="258">
        <f t="shared" si="19"/>
        <v>0</v>
      </c>
      <c r="AJ85" s="258">
        <f t="shared" si="19"/>
        <v>0</v>
      </c>
      <c r="AK85" s="258">
        <f t="shared" si="19"/>
        <v>0</v>
      </c>
      <c r="AL85" s="258">
        <f t="shared" si="19"/>
        <v>0</v>
      </c>
      <c r="AM85" s="258">
        <f t="shared" si="19"/>
        <v>0</v>
      </c>
      <c r="AN85" s="258">
        <f t="shared" si="19"/>
        <v>0</v>
      </c>
      <c r="AO85" s="258">
        <f t="shared" si="19"/>
        <v>0</v>
      </c>
      <c r="AP85" s="258">
        <f t="shared" si="19"/>
        <v>0</v>
      </c>
      <c r="AQ85" s="258">
        <f t="shared" si="19"/>
        <v>0</v>
      </c>
      <c r="AR85" s="258">
        <f t="shared" si="19"/>
        <v>0</v>
      </c>
      <c r="AS85" s="258">
        <f t="shared" si="19"/>
        <v>0</v>
      </c>
      <c r="AT85" s="258">
        <f t="shared" si="19"/>
        <v>0</v>
      </c>
      <c r="AU85" s="258">
        <f t="shared" si="19"/>
        <v>0</v>
      </c>
      <c r="AV85" s="258">
        <f t="shared" si="19"/>
        <v>0</v>
      </c>
      <c r="AW85" s="258">
        <f t="shared" si="19"/>
        <v>0</v>
      </c>
      <c r="AX85" s="258">
        <f t="shared" si="19"/>
        <v>0</v>
      </c>
      <c r="AY85" s="258">
        <f t="shared" si="19"/>
        <v>0</v>
      </c>
      <c r="AZ85" s="258">
        <f t="shared" si="19"/>
        <v>0</v>
      </c>
      <c r="BA85" s="258">
        <f t="shared" si="19"/>
        <v>0</v>
      </c>
      <c r="BB85" s="258">
        <f t="shared" si="19"/>
        <v>0</v>
      </c>
      <c r="BC85" s="1361"/>
      <c r="BF85" s="917" t="s">
        <v>661</v>
      </c>
    </row>
    <row r="86" spans="5:58" ht="14.65" hidden="1" customHeight="1">
      <c r="E86" s="549">
        <v>15</v>
      </c>
      <c r="F86" s="3" cm="1">
        <f t="array" aca="1" ref="F86" ca="1">OFFSET(E86,-1,1)</f>
        <v>0</v>
      </c>
      <c r="H86" s="17" t="s">
        <v>662</v>
      </c>
      <c r="T86" s="381" t="b" cm="1">
        <f t="array" ref="T86">T85</f>
        <v>0</v>
      </c>
      <c r="X86" s="1755"/>
      <c r="Y86" s="1734"/>
      <c r="AB86" s="158" t="s">
        <v>663</v>
      </c>
      <c r="AC86" s="250" t="s">
        <v>578</v>
      </c>
      <c r="AD86" s="12" t="s">
        <v>499</v>
      </c>
      <c r="AE86" s="1360"/>
      <c r="AF86" s="1360"/>
      <c r="AG86" s="1360"/>
      <c r="AH86" s="1360"/>
      <c r="AI86" s="192"/>
      <c r="AJ86" s="1360"/>
      <c r="AK86" s="1360"/>
      <c r="AL86" s="1360"/>
      <c r="AM86" s="1360"/>
      <c r="AN86" s="1360"/>
      <c r="AO86" s="1360"/>
      <c r="AP86" s="1360"/>
      <c r="AQ86" s="1360"/>
      <c r="AR86" s="1360"/>
      <c r="AS86" s="192"/>
      <c r="AT86" s="1360"/>
      <c r="AU86" s="1360"/>
      <c r="AV86" s="1360"/>
      <c r="AW86" s="1360"/>
      <c r="AX86" s="1360"/>
      <c r="AY86" s="1360"/>
      <c r="AZ86" s="1360"/>
      <c r="BA86" s="1360"/>
      <c r="BB86" s="1360"/>
      <c r="BC86" s="1361"/>
      <c r="BF86" s="917" t="s">
        <v>664</v>
      </c>
    </row>
    <row r="87" spans="5:58" ht="14.65" hidden="1" customHeight="1">
      <c r="E87" s="549">
        <v>15</v>
      </c>
      <c r="F87" s="3" cm="1">
        <f t="array" aca="1" ref="F87" ca="1">OFFSET(E87,-1,1)</f>
        <v>0</v>
      </c>
      <c r="H87" s="17" t="s">
        <v>665</v>
      </c>
      <c r="T87" s="381" t="b" cm="1">
        <f t="array" ref="T87">T86</f>
        <v>0</v>
      </c>
      <c r="X87" s="1755"/>
      <c r="Y87" s="1734"/>
      <c r="AB87" s="158" t="s">
        <v>666</v>
      </c>
      <c r="AC87" s="250" t="s">
        <v>582</v>
      </c>
      <c r="AD87" s="12" t="s">
        <v>499</v>
      </c>
      <c r="AE87" s="1360"/>
      <c r="AF87" s="1360"/>
      <c r="AG87" s="1360"/>
      <c r="AH87" s="1360"/>
      <c r="AI87" s="192"/>
      <c r="AJ87" s="1360"/>
      <c r="AK87" s="1360"/>
      <c r="AL87" s="1360"/>
      <c r="AM87" s="1360"/>
      <c r="AN87" s="1360"/>
      <c r="AO87" s="1360"/>
      <c r="AP87" s="1360"/>
      <c r="AQ87" s="1360"/>
      <c r="AR87" s="1360"/>
      <c r="AS87" s="192"/>
      <c r="AT87" s="1360"/>
      <c r="AU87" s="1360"/>
      <c r="AV87" s="1360"/>
      <c r="AW87" s="1360"/>
      <c r="AX87" s="1360"/>
      <c r="AY87" s="1360"/>
      <c r="AZ87" s="1360"/>
      <c r="BA87" s="1360"/>
      <c r="BB87" s="1360"/>
      <c r="BC87" s="1361"/>
      <c r="BF87" s="917" t="s">
        <v>667</v>
      </c>
    </row>
    <row r="88" spans="5:58" ht="14.65" hidden="1" customHeight="1">
      <c r="E88" s="549">
        <v>15</v>
      </c>
      <c r="F88" s="3" cm="1">
        <f t="array" aca="1" ref="F88" ca="1">OFFSET(E88,-1,1)</f>
        <v>0</v>
      </c>
      <c r="G88" s="17" t="s">
        <v>598</v>
      </c>
      <c r="H88" s="17" t="s">
        <v>641</v>
      </c>
      <c r="T88" s="381" t="b" cm="1">
        <f t="array" ref="T88">T87</f>
        <v>0</v>
      </c>
      <c r="X88" s="1755"/>
      <c r="Y88" s="1734"/>
      <c r="AB88" s="158" t="s">
        <v>642</v>
      </c>
      <c r="AC88" s="111" t="s">
        <v>601</v>
      </c>
      <c r="AD88" s="12" t="s">
        <v>499</v>
      </c>
      <c r="AE88" s="258">
        <f t="shared" ref="AE88:BB88" si="20">AE89+AE90</f>
        <v>0</v>
      </c>
      <c r="AF88" s="258">
        <f t="shared" si="20"/>
        <v>0</v>
      </c>
      <c r="AG88" s="258">
        <f t="shared" si="20"/>
        <v>0</v>
      </c>
      <c r="AH88" s="258">
        <f t="shared" si="20"/>
        <v>0</v>
      </c>
      <c r="AI88" s="258">
        <f t="shared" si="20"/>
        <v>0</v>
      </c>
      <c r="AJ88" s="258">
        <f t="shared" si="20"/>
        <v>0</v>
      </c>
      <c r="AK88" s="258">
        <f t="shared" si="20"/>
        <v>0</v>
      </c>
      <c r="AL88" s="258">
        <f t="shared" si="20"/>
        <v>0</v>
      </c>
      <c r="AM88" s="258">
        <f t="shared" si="20"/>
        <v>0</v>
      </c>
      <c r="AN88" s="258">
        <f t="shared" si="20"/>
        <v>0</v>
      </c>
      <c r="AO88" s="258">
        <f t="shared" si="20"/>
        <v>0</v>
      </c>
      <c r="AP88" s="258">
        <f t="shared" si="20"/>
        <v>0</v>
      </c>
      <c r="AQ88" s="258">
        <f t="shared" si="20"/>
        <v>0</v>
      </c>
      <c r="AR88" s="258">
        <f t="shared" si="20"/>
        <v>0</v>
      </c>
      <c r="AS88" s="258">
        <f t="shared" si="20"/>
        <v>0</v>
      </c>
      <c r="AT88" s="258">
        <f t="shared" si="20"/>
        <v>0</v>
      </c>
      <c r="AU88" s="258">
        <f t="shared" si="20"/>
        <v>0</v>
      </c>
      <c r="AV88" s="258">
        <f t="shared" si="20"/>
        <v>0</v>
      </c>
      <c r="AW88" s="258">
        <f t="shared" si="20"/>
        <v>0</v>
      </c>
      <c r="AX88" s="258">
        <f t="shared" si="20"/>
        <v>0</v>
      </c>
      <c r="AY88" s="258">
        <f t="shared" si="20"/>
        <v>0</v>
      </c>
      <c r="AZ88" s="258">
        <f t="shared" si="20"/>
        <v>0</v>
      </c>
      <c r="BA88" s="258">
        <f t="shared" si="20"/>
        <v>0</v>
      </c>
      <c r="BB88" s="258">
        <f t="shared" si="20"/>
        <v>0</v>
      </c>
      <c r="BC88" s="1361"/>
      <c r="BF88" s="917" t="s">
        <v>668</v>
      </c>
    </row>
    <row r="89" spans="5:58" ht="14.65" hidden="1" customHeight="1">
      <c r="E89" s="549">
        <v>15</v>
      </c>
      <c r="F89" s="3" cm="1">
        <f t="array" aca="1" ref="F89" ca="1">OFFSET(E89,-1,1)</f>
        <v>0</v>
      </c>
      <c r="H89" s="17" t="s">
        <v>669</v>
      </c>
      <c r="T89" s="381" t="b" cm="1">
        <f t="array" ref="T89">T88</f>
        <v>0</v>
      </c>
      <c r="X89" s="1755"/>
      <c r="Y89" s="1734"/>
      <c r="AB89" s="158" t="s">
        <v>670</v>
      </c>
      <c r="AC89" s="250" t="s">
        <v>578</v>
      </c>
      <c r="AD89" s="12" t="s">
        <v>499</v>
      </c>
      <c r="AE89" s="1360"/>
      <c r="AF89" s="1360"/>
      <c r="AG89" s="1360"/>
      <c r="AH89" s="1360"/>
      <c r="AI89" s="192"/>
      <c r="AJ89" s="1360"/>
      <c r="AK89" s="1360"/>
      <c r="AL89" s="1360"/>
      <c r="AM89" s="1360"/>
      <c r="AN89" s="1360"/>
      <c r="AO89" s="1360"/>
      <c r="AP89" s="1360"/>
      <c r="AQ89" s="1360"/>
      <c r="AR89" s="1360"/>
      <c r="AS89" s="192"/>
      <c r="AT89" s="1360"/>
      <c r="AU89" s="1360"/>
      <c r="AV89" s="1360"/>
      <c r="AW89" s="1360"/>
      <c r="AX89" s="1360"/>
      <c r="AY89" s="1360"/>
      <c r="AZ89" s="1360"/>
      <c r="BA89" s="1360"/>
      <c r="BB89" s="1360"/>
      <c r="BC89" s="1361"/>
      <c r="BF89" s="917" t="s">
        <v>671</v>
      </c>
    </row>
    <row r="90" spans="5:58" ht="14.65" hidden="1" customHeight="1">
      <c r="E90" s="549">
        <v>15</v>
      </c>
      <c r="F90" s="3" cm="1">
        <f t="array" aca="1" ref="F90" ca="1">OFFSET(E90,-1,1)</f>
        <v>0</v>
      </c>
      <c r="H90" s="17" t="s">
        <v>672</v>
      </c>
      <c r="T90" s="381" t="b" cm="1">
        <f t="array" ref="T90">T89</f>
        <v>0</v>
      </c>
      <c r="X90" s="1755"/>
      <c r="Y90" s="1734"/>
      <c r="AB90" s="158" t="s">
        <v>673</v>
      </c>
      <c r="AC90" s="250" t="s">
        <v>582</v>
      </c>
      <c r="AD90" s="12" t="s">
        <v>499</v>
      </c>
      <c r="AE90" s="1360"/>
      <c r="AF90" s="1360"/>
      <c r="AG90" s="1360"/>
      <c r="AH90" s="1360"/>
      <c r="AI90" s="192"/>
      <c r="AJ90" s="1360"/>
      <c r="AK90" s="1360"/>
      <c r="AL90" s="1360"/>
      <c r="AM90" s="1360"/>
      <c r="AN90" s="1360"/>
      <c r="AO90" s="1360"/>
      <c r="AP90" s="1360"/>
      <c r="AQ90" s="1360"/>
      <c r="AR90" s="1360"/>
      <c r="AS90" s="192"/>
      <c r="AT90" s="1360"/>
      <c r="AU90" s="1360"/>
      <c r="AV90" s="1360"/>
      <c r="AW90" s="1360"/>
      <c r="AX90" s="1360"/>
      <c r="AY90" s="1360"/>
      <c r="AZ90" s="1360"/>
      <c r="BA90" s="1360"/>
      <c r="BB90" s="1360"/>
      <c r="BC90" s="1361"/>
      <c r="BF90" s="917" t="s">
        <v>674</v>
      </c>
    </row>
    <row r="91" spans="5:58" ht="14.65" hidden="1" customHeight="1">
      <c r="E91" s="549">
        <v>15</v>
      </c>
      <c r="F91" s="3" cm="1">
        <f t="array" aca="1" ref="F91" ca="1">OFFSET(E91,-1,1)</f>
        <v>0</v>
      </c>
      <c r="H91" s="17" t="s">
        <v>675</v>
      </c>
      <c r="T91" s="381" t="b" cm="1">
        <f t="array" ref="T91">T90</f>
        <v>0</v>
      </c>
      <c r="X91" s="1755"/>
      <c r="Y91" s="1734"/>
      <c r="AB91" s="158" t="s">
        <v>676</v>
      </c>
      <c r="AC91" s="111" t="s">
        <v>611</v>
      </c>
      <c r="AD91" s="12" t="s">
        <v>499</v>
      </c>
      <c r="AE91" s="258">
        <f t="shared" ref="AE91:BB91" si="21">AE92+AE93</f>
        <v>0</v>
      </c>
      <c r="AF91" s="258">
        <f t="shared" si="21"/>
        <v>0</v>
      </c>
      <c r="AG91" s="258">
        <f t="shared" si="21"/>
        <v>0</v>
      </c>
      <c r="AH91" s="258">
        <f t="shared" si="21"/>
        <v>0</v>
      </c>
      <c r="AI91" s="258">
        <f t="shared" si="21"/>
        <v>0</v>
      </c>
      <c r="AJ91" s="258">
        <f t="shared" si="21"/>
        <v>0</v>
      </c>
      <c r="AK91" s="258">
        <f t="shared" si="21"/>
        <v>0</v>
      </c>
      <c r="AL91" s="258">
        <f t="shared" si="21"/>
        <v>0</v>
      </c>
      <c r="AM91" s="258">
        <f t="shared" si="21"/>
        <v>0</v>
      </c>
      <c r="AN91" s="258">
        <f t="shared" si="21"/>
        <v>0</v>
      </c>
      <c r="AO91" s="258">
        <f t="shared" si="21"/>
        <v>0</v>
      </c>
      <c r="AP91" s="258">
        <f t="shared" si="21"/>
        <v>0</v>
      </c>
      <c r="AQ91" s="258">
        <f t="shared" si="21"/>
        <v>0</v>
      </c>
      <c r="AR91" s="258">
        <f t="shared" si="21"/>
        <v>0</v>
      </c>
      <c r="AS91" s="258">
        <f t="shared" si="21"/>
        <v>0</v>
      </c>
      <c r="AT91" s="258">
        <f t="shared" si="21"/>
        <v>0</v>
      </c>
      <c r="AU91" s="258">
        <f t="shared" si="21"/>
        <v>0</v>
      </c>
      <c r="AV91" s="258">
        <f t="shared" si="21"/>
        <v>0</v>
      </c>
      <c r="AW91" s="258">
        <f t="shared" si="21"/>
        <v>0</v>
      </c>
      <c r="AX91" s="258">
        <f t="shared" si="21"/>
        <v>0</v>
      </c>
      <c r="AY91" s="258">
        <f t="shared" si="21"/>
        <v>0</v>
      </c>
      <c r="AZ91" s="258">
        <f t="shared" si="21"/>
        <v>0</v>
      </c>
      <c r="BA91" s="258">
        <f t="shared" si="21"/>
        <v>0</v>
      </c>
      <c r="BB91" s="258">
        <f t="shared" si="21"/>
        <v>0</v>
      </c>
      <c r="BC91" s="1361"/>
      <c r="BF91" s="917" t="s">
        <v>677</v>
      </c>
    </row>
    <row r="92" spans="5:58" ht="14.65" hidden="1" customHeight="1">
      <c r="E92" s="549">
        <v>15</v>
      </c>
      <c r="F92" s="3" cm="1">
        <f t="array" aca="1" ref="F92" ca="1">OFFSET(E92,-1,1)</f>
        <v>0</v>
      </c>
      <c r="H92" s="17" t="s">
        <v>678</v>
      </c>
      <c r="T92" s="381" t="b" cm="1">
        <f t="array" ref="T92">T91</f>
        <v>0</v>
      </c>
      <c r="X92" s="1755"/>
      <c r="Y92" s="1734"/>
      <c r="AB92" s="158" t="s">
        <v>679</v>
      </c>
      <c r="AC92" s="250" t="s">
        <v>578</v>
      </c>
      <c r="AD92" s="12" t="s">
        <v>499</v>
      </c>
      <c r="AE92" s="1360"/>
      <c r="AF92" s="1360"/>
      <c r="AG92" s="1360"/>
      <c r="AH92" s="1360"/>
      <c r="AI92" s="192"/>
      <c r="AJ92" s="1360"/>
      <c r="AK92" s="1360"/>
      <c r="AL92" s="1360"/>
      <c r="AM92" s="1360"/>
      <c r="AN92" s="1360"/>
      <c r="AO92" s="1360"/>
      <c r="AP92" s="1360"/>
      <c r="AQ92" s="1360"/>
      <c r="AR92" s="1360"/>
      <c r="AS92" s="192"/>
      <c r="AT92" s="1360"/>
      <c r="AU92" s="1360"/>
      <c r="AV92" s="1360"/>
      <c r="AW92" s="1360"/>
      <c r="AX92" s="1360"/>
      <c r="AY92" s="1360"/>
      <c r="AZ92" s="1360"/>
      <c r="BA92" s="1360"/>
      <c r="BB92" s="1360"/>
      <c r="BC92" s="1361"/>
      <c r="BF92" s="917" t="s">
        <v>680</v>
      </c>
    </row>
    <row r="93" spans="5:58" ht="14.65" hidden="1" customHeight="1">
      <c r="E93" s="549">
        <v>15</v>
      </c>
      <c r="F93" s="3" cm="1">
        <f t="array" aca="1" ref="F93" ca="1">OFFSET(E93,-1,1)</f>
        <v>0</v>
      </c>
      <c r="H93" s="17" t="s">
        <v>681</v>
      </c>
      <c r="T93" s="381" t="b" cm="1">
        <f t="array" ref="T93">T92</f>
        <v>0</v>
      </c>
      <c r="X93" s="1755"/>
      <c r="Y93" s="1734"/>
      <c r="AB93" s="158" t="s">
        <v>682</v>
      </c>
      <c r="AC93" s="250" t="s">
        <v>582</v>
      </c>
      <c r="AD93" s="12" t="s">
        <v>499</v>
      </c>
      <c r="AE93" s="1360"/>
      <c r="AF93" s="1360"/>
      <c r="AG93" s="1360"/>
      <c r="AH93" s="1360"/>
      <c r="AI93" s="192"/>
      <c r="AJ93" s="1360"/>
      <c r="AK93" s="1360"/>
      <c r="AL93" s="1360"/>
      <c r="AM93" s="1360"/>
      <c r="AN93" s="1360"/>
      <c r="AO93" s="1360"/>
      <c r="AP93" s="1360"/>
      <c r="AQ93" s="1360"/>
      <c r="AR93" s="1360"/>
      <c r="AS93" s="192"/>
      <c r="AT93" s="1360"/>
      <c r="AU93" s="1360"/>
      <c r="AV93" s="1360"/>
      <c r="AW93" s="1360"/>
      <c r="AX93" s="1360"/>
      <c r="AY93" s="1360"/>
      <c r="AZ93" s="1360"/>
      <c r="BA93" s="1360"/>
      <c r="BB93" s="1360"/>
      <c r="BC93" s="1361"/>
      <c r="BF93" s="917" t="s">
        <v>683</v>
      </c>
    </row>
    <row r="94" spans="5:58" ht="14.65" hidden="1" customHeight="1">
      <c r="E94" s="549">
        <v>15</v>
      </c>
      <c r="F94" s="3" cm="1">
        <f t="array" aca="1" ref="F94" ca="1">OFFSET(E94,-1,1)</f>
        <v>0</v>
      </c>
      <c r="H94" s="17" t="s">
        <v>684</v>
      </c>
      <c r="T94" s="381" t="b" cm="1">
        <f t="array" ref="T94">T93</f>
        <v>0</v>
      </c>
      <c r="X94" s="1755"/>
      <c r="Y94" s="1734"/>
      <c r="AB94" s="158" t="s">
        <v>685</v>
      </c>
      <c r="AC94" s="111" t="s">
        <v>686</v>
      </c>
      <c r="AD94" s="12" t="s">
        <v>499</v>
      </c>
      <c r="AE94" s="258">
        <f t="shared" ref="AE94:BB94" si="22">AE95+AE96</f>
        <v>0</v>
      </c>
      <c r="AF94" s="258">
        <f t="shared" si="22"/>
        <v>0</v>
      </c>
      <c r="AG94" s="258">
        <f t="shared" si="22"/>
        <v>0</v>
      </c>
      <c r="AH94" s="258">
        <f t="shared" si="22"/>
        <v>0</v>
      </c>
      <c r="AI94" s="258">
        <f t="shared" si="22"/>
        <v>0</v>
      </c>
      <c r="AJ94" s="258">
        <f t="shared" si="22"/>
        <v>0</v>
      </c>
      <c r="AK94" s="258">
        <f t="shared" si="22"/>
        <v>0</v>
      </c>
      <c r="AL94" s="258">
        <f t="shared" si="22"/>
        <v>0</v>
      </c>
      <c r="AM94" s="258">
        <f t="shared" si="22"/>
        <v>0</v>
      </c>
      <c r="AN94" s="258">
        <f t="shared" si="22"/>
        <v>0</v>
      </c>
      <c r="AO94" s="258">
        <f t="shared" si="22"/>
        <v>0</v>
      </c>
      <c r="AP94" s="258">
        <f t="shared" si="22"/>
        <v>0</v>
      </c>
      <c r="AQ94" s="258">
        <f t="shared" si="22"/>
        <v>0</v>
      </c>
      <c r="AR94" s="258">
        <f t="shared" si="22"/>
        <v>0</v>
      </c>
      <c r="AS94" s="258">
        <f t="shared" si="22"/>
        <v>0</v>
      </c>
      <c r="AT94" s="258">
        <f t="shared" si="22"/>
        <v>0</v>
      </c>
      <c r="AU94" s="258">
        <f t="shared" si="22"/>
        <v>0</v>
      </c>
      <c r="AV94" s="258">
        <f t="shared" si="22"/>
        <v>0</v>
      </c>
      <c r="AW94" s="258">
        <f t="shared" si="22"/>
        <v>0</v>
      </c>
      <c r="AX94" s="258">
        <f t="shared" si="22"/>
        <v>0</v>
      </c>
      <c r="AY94" s="258">
        <f t="shared" si="22"/>
        <v>0</v>
      </c>
      <c r="AZ94" s="258">
        <f t="shared" si="22"/>
        <v>0</v>
      </c>
      <c r="BA94" s="258">
        <f t="shared" si="22"/>
        <v>0</v>
      </c>
      <c r="BB94" s="258">
        <f t="shared" si="22"/>
        <v>0</v>
      </c>
      <c r="BC94" s="1361"/>
      <c r="BF94" s="917" t="s">
        <v>687</v>
      </c>
    </row>
    <row r="95" spans="5:58" ht="14.65" hidden="1" customHeight="1">
      <c r="E95" s="549">
        <v>15</v>
      </c>
      <c r="F95" s="3" cm="1">
        <f t="array" aca="1" ref="F95" ca="1">OFFSET(E95,-1,1)</f>
        <v>0</v>
      </c>
      <c r="H95" s="17" t="s">
        <v>688</v>
      </c>
      <c r="T95" s="381" t="b" cm="1">
        <f t="array" ref="T95">T94</f>
        <v>0</v>
      </c>
      <c r="X95" s="1755"/>
      <c r="Y95" s="1734"/>
      <c r="AB95" s="158" t="s">
        <v>689</v>
      </c>
      <c r="AC95" s="244" t="s">
        <v>578</v>
      </c>
      <c r="AD95" s="12" t="s">
        <v>499</v>
      </c>
      <c r="AE95" s="1360"/>
      <c r="AF95" s="1360"/>
      <c r="AG95" s="1360"/>
      <c r="AH95" s="1360"/>
      <c r="AI95" s="192"/>
      <c r="AJ95" s="1360"/>
      <c r="AK95" s="1360"/>
      <c r="AL95" s="1360"/>
      <c r="AM95" s="1360"/>
      <c r="AN95" s="1360"/>
      <c r="AO95" s="1360"/>
      <c r="AP95" s="1360"/>
      <c r="AQ95" s="1360"/>
      <c r="AR95" s="1360"/>
      <c r="AS95" s="192"/>
      <c r="AT95" s="1360"/>
      <c r="AU95" s="1360"/>
      <c r="AV95" s="1360"/>
      <c r="AW95" s="1360"/>
      <c r="AX95" s="1360"/>
      <c r="AY95" s="1360"/>
      <c r="AZ95" s="1360"/>
      <c r="BA95" s="1360"/>
      <c r="BB95" s="1360"/>
      <c r="BC95" s="1361"/>
      <c r="BF95" s="917" t="s">
        <v>690</v>
      </c>
    </row>
    <row r="96" spans="5:58" ht="14.65" hidden="1" customHeight="1">
      <c r="E96" s="549">
        <v>15</v>
      </c>
      <c r="F96" s="3" cm="1">
        <f t="array" aca="1" ref="F96" ca="1">OFFSET(E96,-1,1)</f>
        <v>0</v>
      </c>
      <c r="H96" s="17" t="s">
        <v>691</v>
      </c>
      <c r="T96" s="381" t="b" cm="1">
        <f t="array" ref="T96">T95</f>
        <v>0</v>
      </c>
      <c r="X96" s="1755"/>
      <c r="Y96" s="1734"/>
      <c r="AB96" s="158" t="s">
        <v>692</v>
      </c>
      <c r="AC96" s="244" t="s">
        <v>582</v>
      </c>
      <c r="AD96" s="12" t="s">
        <v>499</v>
      </c>
      <c r="AE96" s="1360"/>
      <c r="AF96" s="1360"/>
      <c r="AG96" s="1360"/>
      <c r="AH96" s="1360"/>
      <c r="AI96" s="192"/>
      <c r="AJ96" s="1360"/>
      <c r="AK96" s="1360"/>
      <c r="AL96" s="1360"/>
      <c r="AM96" s="1360"/>
      <c r="AN96" s="1360"/>
      <c r="AO96" s="1360"/>
      <c r="AP96" s="1360"/>
      <c r="AQ96" s="1360"/>
      <c r="AR96" s="1360"/>
      <c r="AS96" s="192"/>
      <c r="AT96" s="1360"/>
      <c r="AU96" s="1360"/>
      <c r="AV96" s="1360"/>
      <c r="AW96" s="1360"/>
      <c r="AX96" s="1360"/>
      <c r="AY96" s="1360"/>
      <c r="AZ96" s="1360"/>
      <c r="BA96" s="1360"/>
      <c r="BB96" s="1360"/>
      <c r="BC96" s="1361"/>
      <c r="BF96" s="917" t="s">
        <v>693</v>
      </c>
    </row>
    <row r="97" spans="1:58" ht="21.95" hidden="1" customHeight="1">
      <c r="E97" s="549">
        <v>22.5</v>
      </c>
      <c r="F97" s="3" cm="1">
        <f t="array" aca="1" ref="F97" ca="1">OFFSET(E97,-1,1)</f>
        <v>0</v>
      </c>
      <c r="H97" s="17" t="s">
        <v>694</v>
      </c>
      <c r="T97" s="381" t="b" cm="1">
        <f t="array" ref="T97">T96</f>
        <v>0</v>
      </c>
      <c r="X97" s="1755"/>
      <c r="Y97" s="1734"/>
      <c r="AB97" s="158" t="s">
        <v>695</v>
      </c>
      <c r="AC97" s="251" t="s">
        <v>541</v>
      </c>
      <c r="AD97" s="12" t="s">
        <v>499</v>
      </c>
      <c r="AE97" s="1360"/>
      <c r="AF97" s="1360"/>
      <c r="AG97" s="1360"/>
      <c r="AH97" s="1360"/>
      <c r="AI97" s="192"/>
      <c r="AJ97" s="1360"/>
      <c r="AK97" s="1360"/>
      <c r="AL97" s="1360"/>
      <c r="AM97" s="1360"/>
      <c r="AN97" s="1360"/>
      <c r="AO97" s="1360"/>
      <c r="AP97" s="1360"/>
      <c r="AQ97" s="1360"/>
      <c r="AR97" s="1360"/>
      <c r="AS97" s="192"/>
      <c r="AT97" s="1360"/>
      <c r="AU97" s="1360"/>
      <c r="AV97" s="1360"/>
      <c r="AW97" s="1360"/>
      <c r="AX97" s="1360"/>
      <c r="AY97" s="1360"/>
      <c r="AZ97" s="1360"/>
      <c r="BA97" s="1360"/>
      <c r="BB97" s="1360"/>
      <c r="BC97" s="1361"/>
      <c r="BF97" s="917" t="s">
        <v>696</v>
      </c>
    </row>
    <row r="98" spans="1:58" ht="14.65" hidden="1" customHeight="1">
      <c r="E98" s="549">
        <v>15</v>
      </c>
      <c r="F98" s="3" cm="1">
        <f t="array" aca="1" ref="F98" ca="1">OFFSET(E98,-1,1)</f>
        <v>0</v>
      </c>
      <c r="H98" s="17" t="s">
        <v>481</v>
      </c>
      <c r="T98" s="381" t="b" cm="1">
        <f t="array" ref="T98">T97</f>
        <v>0</v>
      </c>
      <c r="X98" s="1755"/>
      <c r="Y98" s="1734"/>
      <c r="AB98" s="158" t="s">
        <v>478</v>
      </c>
      <c r="AC98" s="56" t="s">
        <v>697</v>
      </c>
      <c r="AD98" s="12" t="s">
        <v>499</v>
      </c>
      <c r="AE98" s="1360"/>
      <c r="AF98" s="1360"/>
      <c r="AG98" s="1360"/>
      <c r="AH98" s="1360"/>
      <c r="AI98" s="192"/>
      <c r="AJ98" s="1360"/>
      <c r="AK98" s="1360"/>
      <c r="AL98" s="1360"/>
      <c r="AM98" s="1360"/>
      <c r="AN98" s="1360"/>
      <c r="AO98" s="1360"/>
      <c r="AP98" s="1360"/>
      <c r="AQ98" s="1360"/>
      <c r="AR98" s="1360"/>
      <c r="AS98" s="192"/>
      <c r="AT98" s="1360"/>
      <c r="AU98" s="1360"/>
      <c r="AV98" s="1360"/>
      <c r="AW98" s="1360"/>
      <c r="AX98" s="1360"/>
      <c r="AY98" s="1360"/>
      <c r="AZ98" s="1360"/>
      <c r="BA98" s="1360"/>
      <c r="BB98" s="1360"/>
      <c r="BC98" s="1361"/>
      <c r="BF98" s="917" t="s">
        <v>698</v>
      </c>
    </row>
    <row r="99" spans="1:58" ht="14.65" hidden="1" customHeight="1">
      <c r="E99" s="549">
        <v>15</v>
      </c>
      <c r="F99" s="3" cm="1">
        <f t="array" aca="1" ref="F99" ca="1">OFFSET(E99,-1,1)</f>
        <v>0</v>
      </c>
      <c r="H99" s="17" t="s">
        <v>528</v>
      </c>
      <c r="T99" s="381" t="b" cm="1">
        <f t="array" ref="T99">T98</f>
        <v>0</v>
      </c>
      <c r="X99" s="1755"/>
      <c r="Y99" s="1734"/>
      <c r="AB99" s="158" t="s">
        <v>482</v>
      </c>
      <c r="AC99" s="56" t="s">
        <v>699</v>
      </c>
      <c r="AD99" s="12" t="s">
        <v>499</v>
      </c>
      <c r="AE99" s="1360"/>
      <c r="AF99" s="1360"/>
      <c r="AG99" s="1360"/>
      <c r="AH99" s="1360"/>
      <c r="AI99" s="192"/>
      <c r="AJ99" s="1360"/>
      <c r="AK99" s="1360"/>
      <c r="AL99" s="1360"/>
      <c r="AM99" s="1360"/>
      <c r="AN99" s="1360"/>
      <c r="AO99" s="1360"/>
      <c r="AP99" s="1360"/>
      <c r="AQ99" s="1360"/>
      <c r="AR99" s="1360"/>
      <c r="AS99" s="192"/>
      <c r="AT99" s="1360"/>
      <c r="AU99" s="1360"/>
      <c r="AV99" s="1360"/>
      <c r="AW99" s="1360"/>
      <c r="AX99" s="1360"/>
      <c r="AY99" s="1360"/>
      <c r="AZ99" s="1360"/>
      <c r="BA99" s="1360"/>
      <c r="BB99" s="1360"/>
      <c r="BC99" s="1361"/>
      <c r="BF99" s="917" t="s">
        <v>700</v>
      </c>
    </row>
    <row r="100" spans="1:58" ht="14.65" hidden="1" customHeight="1">
      <c r="E100" s="549">
        <v>15</v>
      </c>
      <c r="F100" s="3" cm="1">
        <f t="array" aca="1" ref="F100" ca="1">OFFSET(E100,-1,1)</f>
        <v>0</v>
      </c>
      <c r="H100" s="17" t="s">
        <v>543</v>
      </c>
      <c r="T100" s="381" t="b" cm="1">
        <f t="array" ref="T100">T99</f>
        <v>0</v>
      </c>
      <c r="X100" s="1755"/>
      <c r="Y100" s="1734"/>
      <c r="AB100" s="158" t="s">
        <v>544</v>
      </c>
      <c r="AC100" s="56" t="s">
        <v>701</v>
      </c>
      <c r="AD100" s="12" t="s">
        <v>499</v>
      </c>
      <c r="AE100" s="1360"/>
      <c r="AF100" s="1360"/>
      <c r="AG100" s="1360"/>
      <c r="AH100" s="1360"/>
      <c r="AI100" s="192"/>
      <c r="AJ100" s="1360"/>
      <c r="AK100" s="1360"/>
      <c r="AL100" s="1360"/>
      <c r="AM100" s="1360"/>
      <c r="AN100" s="1360"/>
      <c r="AO100" s="1360"/>
      <c r="AP100" s="1360"/>
      <c r="AQ100" s="1360"/>
      <c r="AR100" s="1360"/>
      <c r="AS100" s="192"/>
      <c r="AT100" s="1360"/>
      <c r="AU100" s="1360"/>
      <c r="AV100" s="1360"/>
      <c r="AW100" s="1360"/>
      <c r="AX100" s="1360"/>
      <c r="AY100" s="1360"/>
      <c r="AZ100" s="1360"/>
      <c r="BA100" s="1360"/>
      <c r="BB100" s="1360"/>
      <c r="BC100" s="1361"/>
      <c r="BF100" s="917" t="s">
        <v>702</v>
      </c>
    </row>
    <row r="101" spans="1:58" ht="14.65" hidden="1" customHeight="1">
      <c r="E101" s="549">
        <v>15</v>
      </c>
      <c r="F101" s="3" cm="1">
        <f t="array" aca="1" ref="F101" ca="1">OFFSET(E101,-1,1)</f>
        <v>0</v>
      </c>
      <c r="H101" s="17" t="s">
        <v>551</v>
      </c>
      <c r="T101" s="381" t="b" cm="1">
        <f t="array" ref="T101">T100</f>
        <v>0</v>
      </c>
      <c r="X101" s="1755"/>
      <c r="Y101" s="1734"/>
      <c r="AB101" s="158" t="s">
        <v>552</v>
      </c>
      <c r="AC101" s="57" t="s">
        <v>703</v>
      </c>
      <c r="AD101" s="12" t="s">
        <v>499</v>
      </c>
      <c r="AE101" s="258">
        <f t="shared" ref="AE101:BB101" si="23">AE102+AE103</f>
        <v>0</v>
      </c>
      <c r="AF101" s="258">
        <f t="shared" si="23"/>
        <v>0</v>
      </c>
      <c r="AG101" s="258">
        <f t="shared" si="23"/>
        <v>0</v>
      </c>
      <c r="AH101" s="258">
        <f t="shared" si="23"/>
        <v>0</v>
      </c>
      <c r="AI101" s="258">
        <f t="shared" si="23"/>
        <v>0</v>
      </c>
      <c r="AJ101" s="258">
        <f t="shared" si="23"/>
        <v>0</v>
      </c>
      <c r="AK101" s="258">
        <f t="shared" si="23"/>
        <v>0</v>
      </c>
      <c r="AL101" s="258">
        <f t="shared" si="23"/>
        <v>0</v>
      </c>
      <c r="AM101" s="258">
        <f t="shared" si="23"/>
        <v>0</v>
      </c>
      <c r="AN101" s="258">
        <f t="shared" si="23"/>
        <v>0</v>
      </c>
      <c r="AO101" s="258">
        <f t="shared" si="23"/>
        <v>0</v>
      </c>
      <c r="AP101" s="258">
        <f t="shared" si="23"/>
        <v>0</v>
      </c>
      <c r="AQ101" s="258">
        <f t="shared" si="23"/>
        <v>0</v>
      </c>
      <c r="AR101" s="258">
        <f t="shared" si="23"/>
        <v>0</v>
      </c>
      <c r="AS101" s="258">
        <f t="shared" si="23"/>
        <v>0</v>
      </c>
      <c r="AT101" s="258">
        <f t="shared" si="23"/>
        <v>0</v>
      </c>
      <c r="AU101" s="258">
        <f t="shared" si="23"/>
        <v>0</v>
      </c>
      <c r="AV101" s="258">
        <f t="shared" si="23"/>
        <v>0</v>
      </c>
      <c r="AW101" s="258">
        <f t="shared" si="23"/>
        <v>0</v>
      </c>
      <c r="AX101" s="258">
        <f t="shared" si="23"/>
        <v>0</v>
      </c>
      <c r="AY101" s="258">
        <f t="shared" si="23"/>
        <v>0</v>
      </c>
      <c r="AZ101" s="258">
        <f t="shared" si="23"/>
        <v>0</v>
      </c>
      <c r="BA101" s="258">
        <f t="shared" si="23"/>
        <v>0</v>
      </c>
      <c r="BB101" s="258">
        <f t="shared" si="23"/>
        <v>0</v>
      </c>
      <c r="BC101" s="1361"/>
      <c r="BF101" s="917" t="s">
        <v>704</v>
      </c>
    </row>
    <row r="102" spans="1:58" ht="14.65" hidden="1" customHeight="1">
      <c r="E102" s="549">
        <v>15</v>
      </c>
      <c r="F102" s="3" cm="1">
        <f t="array" aca="1" ref="F102" ca="1">OFFSET(E102,-1,1)</f>
        <v>0</v>
      </c>
      <c r="H102" s="17" t="s">
        <v>555</v>
      </c>
      <c r="T102" s="381" t="b" cm="1">
        <f t="array" ref="T102">T101</f>
        <v>0</v>
      </c>
      <c r="X102" s="1755"/>
      <c r="Y102" s="1734"/>
      <c r="AB102" s="158" t="s">
        <v>556</v>
      </c>
      <c r="AC102" s="111" t="s">
        <v>705</v>
      </c>
      <c r="AD102" s="12" t="s">
        <v>499</v>
      </c>
      <c r="AE102" s="1360"/>
      <c r="AF102" s="1360"/>
      <c r="AG102" s="1360"/>
      <c r="AH102" s="1360"/>
      <c r="AI102" s="192"/>
      <c r="AJ102" s="1360"/>
      <c r="AK102" s="1360"/>
      <c r="AL102" s="1360"/>
      <c r="AM102" s="1360"/>
      <c r="AN102" s="1360"/>
      <c r="AO102" s="1360"/>
      <c r="AP102" s="1360"/>
      <c r="AQ102" s="1360"/>
      <c r="AR102" s="1360"/>
      <c r="AS102" s="192"/>
      <c r="AT102" s="1360"/>
      <c r="AU102" s="1360"/>
      <c r="AV102" s="1360"/>
      <c r="AW102" s="1360"/>
      <c r="AX102" s="1360"/>
      <c r="AY102" s="1360"/>
      <c r="AZ102" s="1360"/>
      <c r="BA102" s="1360"/>
      <c r="BB102" s="1360"/>
      <c r="BC102" s="1361"/>
      <c r="BF102" s="917" t="s">
        <v>706</v>
      </c>
    </row>
    <row r="103" spans="1:58" ht="14.65" hidden="1" customHeight="1">
      <c r="E103" s="549">
        <v>15</v>
      </c>
      <c r="F103" s="3" cm="1">
        <f t="array" aca="1" ref="F103" ca="1">OFFSET(E103,-1,1)</f>
        <v>0</v>
      </c>
      <c r="H103" s="17" t="s">
        <v>572</v>
      </c>
      <c r="T103" s="381" t="b" cm="1">
        <f t="array" ref="T103">T102</f>
        <v>0</v>
      </c>
      <c r="X103" s="1755"/>
      <c r="Y103" s="1734"/>
      <c r="AB103" s="158" t="s">
        <v>573</v>
      </c>
      <c r="AC103" s="111" t="s">
        <v>707</v>
      </c>
      <c r="AD103" s="12" t="s">
        <v>499</v>
      </c>
      <c r="AE103" s="1360"/>
      <c r="AF103" s="1360"/>
      <c r="AG103" s="1360"/>
      <c r="AH103" s="1360"/>
      <c r="AI103" s="192"/>
      <c r="AJ103" s="1360"/>
      <c r="AK103" s="1360"/>
      <c r="AL103" s="1360"/>
      <c r="AM103" s="1360"/>
      <c r="AN103" s="1360"/>
      <c r="AO103" s="1360"/>
      <c r="AP103" s="1360"/>
      <c r="AQ103" s="1360"/>
      <c r="AR103" s="1360"/>
      <c r="AS103" s="192"/>
      <c r="AT103" s="1360"/>
      <c r="AU103" s="1360"/>
      <c r="AV103" s="1360"/>
      <c r="AW103" s="1360"/>
      <c r="AX103" s="1360"/>
      <c r="AY103" s="1360"/>
      <c r="AZ103" s="1360"/>
      <c r="BA103" s="1360"/>
      <c r="BB103" s="1360"/>
      <c r="BC103" s="1361"/>
      <c r="BF103" s="917" t="s">
        <v>708</v>
      </c>
    </row>
    <row r="104" spans="1:58" ht="21.95" hidden="1" customHeight="1">
      <c r="E104" s="549">
        <v>22.5</v>
      </c>
      <c r="F104" s="3" cm="1">
        <f t="array" aca="1" ref="F104" ca="1">OFFSET(E104,-1,1)</f>
        <v>0</v>
      </c>
      <c r="H104" s="17" t="s">
        <v>709</v>
      </c>
      <c r="T104" s="381" t="b" cm="1">
        <f t="array" ref="T104">T103</f>
        <v>0</v>
      </c>
      <c r="X104" s="1755"/>
      <c r="Y104" s="1734"/>
      <c r="AB104" s="158" t="s">
        <v>710</v>
      </c>
      <c r="AC104" s="252" t="s">
        <v>621</v>
      </c>
      <c r="AD104" s="12" t="s">
        <v>499</v>
      </c>
      <c r="AE104" s="1360"/>
      <c r="AF104" s="1360"/>
      <c r="AG104" s="1360"/>
      <c r="AH104" s="1360"/>
      <c r="AI104" s="192"/>
      <c r="AJ104" s="1360"/>
      <c r="AK104" s="1360"/>
      <c r="AL104" s="1360"/>
      <c r="AM104" s="1360"/>
      <c r="AN104" s="1360"/>
      <c r="AO104" s="1360"/>
      <c r="AP104" s="1360"/>
      <c r="AQ104" s="1360"/>
      <c r="AR104" s="1360"/>
      <c r="AS104" s="192"/>
      <c r="AT104" s="1360"/>
      <c r="AU104" s="1360"/>
      <c r="AV104" s="1360"/>
      <c r="AW104" s="1360"/>
      <c r="AX104" s="1360"/>
      <c r="AY104" s="1360"/>
      <c r="AZ104" s="1360"/>
      <c r="BA104" s="1360"/>
      <c r="BB104" s="1360"/>
      <c r="BC104" s="1361"/>
      <c r="BF104" s="917" t="s">
        <v>711</v>
      </c>
    </row>
    <row r="105" spans="1:58" ht="14.65" hidden="1" customHeight="1">
      <c r="E105" s="549">
        <v>15</v>
      </c>
      <c r="F105" s="3" cm="1">
        <f t="array" aca="1" ref="F105" ca="1">OFFSET(E105,-1,1)</f>
        <v>0</v>
      </c>
      <c r="H105" s="17" t="s">
        <v>712</v>
      </c>
      <c r="T105" s="381" t="b" cm="1">
        <f t="array" ref="T105">T104</f>
        <v>0</v>
      </c>
      <c r="X105" s="1755"/>
      <c r="Y105" s="1734"/>
      <c r="AB105" s="158" t="s">
        <v>713</v>
      </c>
      <c r="AC105" s="56" t="s">
        <v>714</v>
      </c>
      <c r="AD105" s="12" t="s">
        <v>499</v>
      </c>
      <c r="AE105" s="1360"/>
      <c r="AF105" s="1360"/>
      <c r="AG105" s="1360"/>
      <c r="AH105" s="1360"/>
      <c r="AI105" s="192"/>
      <c r="AJ105" s="1360"/>
      <c r="AK105" s="1360"/>
      <c r="AL105" s="1360"/>
      <c r="AM105" s="1360"/>
      <c r="AN105" s="1360"/>
      <c r="AO105" s="1360"/>
      <c r="AP105" s="1360"/>
      <c r="AQ105" s="1360"/>
      <c r="AR105" s="1360"/>
      <c r="AS105" s="192"/>
      <c r="AT105" s="1360"/>
      <c r="AU105" s="1360"/>
      <c r="AV105" s="1360"/>
      <c r="AW105" s="1360"/>
      <c r="AX105" s="1360"/>
      <c r="AY105" s="1360"/>
      <c r="AZ105" s="1360"/>
      <c r="BA105" s="1360"/>
      <c r="BB105" s="1360"/>
      <c r="BC105" s="1361"/>
      <c r="BF105" s="917" t="s">
        <v>715</v>
      </c>
    </row>
    <row r="106" spans="1:58" s="1327" customFormat="1" ht="11.25" hidden="1" customHeight="1">
      <c r="A106" s="385"/>
      <c r="B106" s="575"/>
      <c r="C106" s="385"/>
      <c r="D106" s="385"/>
      <c r="E106" s="577" t="s">
        <v>363</v>
      </c>
      <c r="F106" s="1083" cm="1">
        <f t="array" aca="1" ref="F106" ca="1">OFFSET(E106,-1,1)</f>
        <v>0</v>
      </c>
      <c r="G106" s="385"/>
      <c r="H106" s="385"/>
      <c r="I106" s="385"/>
      <c r="J106" s="385"/>
      <c r="K106" s="17"/>
      <c r="L106" s="385"/>
      <c r="M106" s="385"/>
      <c r="N106" s="385"/>
      <c r="O106" s="385"/>
      <c r="P106" s="385"/>
      <c r="Q106" s="385"/>
      <c r="R106" s="332"/>
      <c r="S106" s="332"/>
      <c r="T106" s="381" t="b">
        <v>0</v>
      </c>
      <c r="U106" s="385"/>
      <c r="V106" s="385"/>
      <c r="W106" s="385"/>
      <c r="X106" s="1755"/>
      <c r="Y106" s="1734"/>
      <c r="Z106" s="385"/>
      <c r="AA106" s="385"/>
      <c r="AC106" s="19"/>
      <c r="AD106" s="19"/>
      <c r="AE106" s="256"/>
      <c r="AF106" s="256"/>
      <c r="AG106" s="256"/>
      <c r="AH106" s="256"/>
      <c r="AI106" s="256"/>
      <c r="AJ106" s="257"/>
      <c r="AK106" s="256"/>
      <c r="AL106" s="256"/>
      <c r="AM106" s="256"/>
      <c r="AN106" s="256"/>
      <c r="AO106" s="256"/>
      <c r="AP106" s="256"/>
      <c r="AQ106" s="256"/>
      <c r="AR106" s="256"/>
      <c r="AS106" s="256"/>
      <c r="AT106" s="256"/>
      <c r="AU106" s="256"/>
      <c r="AV106" s="256"/>
      <c r="AW106" s="256"/>
      <c r="AX106" s="256"/>
      <c r="AY106" s="256"/>
      <c r="AZ106" s="256"/>
      <c r="BA106" s="256"/>
      <c r="BB106" s="256"/>
      <c r="BF106" s="921"/>
    </row>
    <row r="107" spans="1:58" ht="14.65" hidden="1" customHeight="1">
      <c r="E107" s="549">
        <v>15</v>
      </c>
      <c r="F107" s="3" cm="1">
        <f t="array" aca="1" ref="F107" ca="1">OFFSET(E107,-1,1)</f>
        <v>0</v>
      </c>
      <c r="R107" s="332" t="b" cm="1">
        <f t="array" ref="R107">INDEX('Общие сведения'!$AN$179:$AN$208,MATCH($X27,'Общие сведения'!$Z$179:$Z$208,0))</f>
        <v>0</v>
      </c>
      <c r="S107" s="398" t="b">
        <f>IF(ISERROR(SEARCH("Водоотведение",AB27)),FALSE,TRUE)</f>
        <v>0</v>
      </c>
      <c r="T107" s="381" t="b">
        <f>AND(X27&gt;0,S107,R107)</f>
        <v>0</v>
      </c>
      <c r="X107" s="1755"/>
      <c r="Y107" s="1734"/>
      <c r="AB107" s="158" t="s">
        <v>281</v>
      </c>
      <c r="AC107" s="6" t="s">
        <v>653</v>
      </c>
      <c r="AD107" s="116"/>
      <c r="AE107" s="486" cm="1">
        <f t="array" ref="AE107">INDEX('Общие сведения'!$AH$179:$AH$208,MATCH($X27,'Общие сведения'!$Z$179:$Z$208,0))</f>
        <v>0</v>
      </c>
      <c r="AF107" s="274"/>
      <c r="AG107" s="274"/>
      <c r="AH107" s="274"/>
      <c r="AI107" s="274"/>
      <c r="AJ107" s="274"/>
      <c r="AK107" s="274"/>
      <c r="AL107" s="274"/>
      <c r="AM107" s="274"/>
      <c r="AN107" s="274"/>
      <c r="AO107" s="274"/>
      <c r="AP107" s="274"/>
      <c r="AQ107" s="274"/>
      <c r="AR107" s="274"/>
      <c r="AS107" s="274"/>
      <c r="AT107" s="274"/>
      <c r="AU107" s="274"/>
      <c r="AV107" s="274"/>
      <c r="AW107" s="274"/>
      <c r="AX107" s="274"/>
      <c r="AY107" s="274"/>
      <c r="AZ107" s="274"/>
      <c r="BA107" s="274"/>
      <c r="BB107" s="275"/>
      <c r="BC107" s="1361"/>
      <c r="BF107" s="917" t="s">
        <v>716</v>
      </c>
    </row>
    <row r="108" spans="1:58" ht="14.65" hidden="1" customHeight="1">
      <c r="E108" s="549">
        <v>15</v>
      </c>
      <c r="F108" s="3" cm="1">
        <f t="array" aca="1" ref="F108" ca="1">OFFSET(E108,-1,1)</f>
        <v>0</v>
      </c>
      <c r="H108" s="17" t="s">
        <v>327</v>
      </c>
      <c r="T108" s="381" t="b" cm="1">
        <f t="array" ref="T108">T107</f>
        <v>0</v>
      </c>
      <c r="X108" s="1755"/>
      <c r="Y108" s="1734"/>
      <c r="AB108" s="158" t="s">
        <v>224</v>
      </c>
      <c r="AC108" s="253" t="s">
        <v>717</v>
      </c>
      <c r="AD108" s="12" t="s">
        <v>499</v>
      </c>
      <c r="AE108" s="258">
        <f t="shared" ref="AE108:BB108" si="24">AE109+AE111+AE110</f>
        <v>0</v>
      </c>
      <c r="AF108" s="258">
        <f t="shared" si="24"/>
        <v>0</v>
      </c>
      <c r="AG108" s="258">
        <f t="shared" si="24"/>
        <v>0</v>
      </c>
      <c r="AH108" s="258">
        <f t="shared" si="24"/>
        <v>0</v>
      </c>
      <c r="AI108" s="258">
        <f t="shared" si="24"/>
        <v>0</v>
      </c>
      <c r="AJ108" s="258">
        <f t="shared" si="24"/>
        <v>0</v>
      </c>
      <c r="AK108" s="258">
        <f t="shared" si="24"/>
        <v>0</v>
      </c>
      <c r="AL108" s="258">
        <f t="shared" si="24"/>
        <v>0</v>
      </c>
      <c r="AM108" s="258">
        <f t="shared" si="24"/>
        <v>0</v>
      </c>
      <c r="AN108" s="258">
        <f t="shared" si="24"/>
        <v>0</v>
      </c>
      <c r="AO108" s="258">
        <f t="shared" si="24"/>
        <v>0</v>
      </c>
      <c r="AP108" s="258">
        <f t="shared" si="24"/>
        <v>0</v>
      </c>
      <c r="AQ108" s="258">
        <f t="shared" si="24"/>
        <v>0</v>
      </c>
      <c r="AR108" s="258">
        <f t="shared" si="24"/>
        <v>0</v>
      </c>
      <c r="AS108" s="258">
        <f t="shared" si="24"/>
        <v>0</v>
      </c>
      <c r="AT108" s="258">
        <f t="shared" si="24"/>
        <v>0</v>
      </c>
      <c r="AU108" s="258">
        <f t="shared" si="24"/>
        <v>0</v>
      </c>
      <c r="AV108" s="258">
        <f t="shared" si="24"/>
        <v>0</v>
      </c>
      <c r="AW108" s="258">
        <f t="shared" si="24"/>
        <v>0</v>
      </c>
      <c r="AX108" s="258">
        <f t="shared" si="24"/>
        <v>0</v>
      </c>
      <c r="AY108" s="258">
        <f t="shared" si="24"/>
        <v>0</v>
      </c>
      <c r="AZ108" s="258">
        <f t="shared" si="24"/>
        <v>0</v>
      </c>
      <c r="BA108" s="258">
        <f t="shared" si="24"/>
        <v>0</v>
      </c>
      <c r="BB108" s="258">
        <f t="shared" si="24"/>
        <v>0</v>
      </c>
      <c r="BC108" s="1361"/>
      <c r="BF108" s="917" t="s">
        <v>718</v>
      </c>
    </row>
    <row r="109" spans="1:58" ht="14.65" hidden="1" customHeight="1">
      <c r="E109" s="549">
        <v>15</v>
      </c>
      <c r="F109" s="3" cm="1">
        <f t="array" aca="1" ref="F109" ca="1">OFFSET(E109,-1,1)</f>
        <v>0</v>
      </c>
      <c r="H109" s="17" t="s">
        <v>501</v>
      </c>
      <c r="T109" s="381" t="b" cm="1">
        <f t="array" ref="T109">T108</f>
        <v>0</v>
      </c>
      <c r="X109" s="1755"/>
      <c r="Y109" s="1734"/>
      <c r="AB109" s="158" t="s">
        <v>502</v>
      </c>
      <c r="AC109" s="132" t="s">
        <v>719</v>
      </c>
      <c r="AD109" s="12" t="s">
        <v>499</v>
      </c>
      <c r="AE109" s="1373"/>
      <c r="AF109" s="1373"/>
      <c r="AG109" s="1373"/>
      <c r="AH109" s="1373"/>
      <c r="AI109" s="195"/>
      <c r="AJ109" s="1373"/>
      <c r="AK109" s="1373"/>
      <c r="AL109" s="1373"/>
      <c r="AM109" s="1373"/>
      <c r="AN109" s="1373"/>
      <c r="AO109" s="1373"/>
      <c r="AP109" s="1373"/>
      <c r="AQ109" s="1373"/>
      <c r="AR109" s="1373"/>
      <c r="AS109" s="195"/>
      <c r="AT109" s="1373"/>
      <c r="AU109" s="1373"/>
      <c r="AV109" s="1373"/>
      <c r="AW109" s="1373"/>
      <c r="AX109" s="1373"/>
      <c r="AY109" s="1373"/>
      <c r="AZ109" s="1373"/>
      <c r="BA109" s="1373"/>
      <c r="BB109" s="1373"/>
      <c r="BC109" s="1361"/>
      <c r="BF109" s="917" t="s">
        <v>720</v>
      </c>
    </row>
    <row r="110" spans="1:58" ht="14.65" hidden="1" customHeight="1">
      <c r="E110" s="549">
        <v>15</v>
      </c>
      <c r="F110" s="3" cm="1">
        <f t="array" aca="1" ref="F110" ca="1">OFFSET(E110,-1,1)</f>
        <v>0</v>
      </c>
      <c r="H110" s="17" t="s">
        <v>505</v>
      </c>
      <c r="T110" s="381" t="b" cm="1">
        <f t="array" ref="T110">T109</f>
        <v>0</v>
      </c>
      <c r="X110" s="1755"/>
      <c r="Y110" s="1734"/>
      <c r="AB110" s="158" t="s">
        <v>506</v>
      </c>
      <c r="AC110" s="132" t="s">
        <v>721</v>
      </c>
      <c r="AD110" s="12" t="s">
        <v>499</v>
      </c>
      <c r="AE110" s="1373"/>
      <c r="AF110" s="1373"/>
      <c r="AG110" s="1373"/>
      <c r="AH110" s="1373"/>
      <c r="AI110" s="195"/>
      <c r="AJ110" s="1373"/>
      <c r="AK110" s="1373"/>
      <c r="AL110" s="1373"/>
      <c r="AM110" s="1373"/>
      <c r="AN110" s="1373"/>
      <c r="AO110" s="1373"/>
      <c r="AP110" s="1373"/>
      <c r="AQ110" s="1373"/>
      <c r="AR110" s="1373"/>
      <c r="AS110" s="195"/>
      <c r="AT110" s="1373"/>
      <c r="AU110" s="1373"/>
      <c r="AV110" s="1373"/>
      <c r="AW110" s="1373"/>
      <c r="AX110" s="1373"/>
      <c r="AY110" s="1373"/>
      <c r="AZ110" s="1373"/>
      <c r="BA110" s="1373"/>
      <c r="BB110" s="1373"/>
      <c r="BC110" s="1361"/>
      <c r="BF110" s="917" t="s">
        <v>722</v>
      </c>
    </row>
    <row r="111" spans="1:58" ht="21.95" hidden="1" customHeight="1">
      <c r="E111" s="549">
        <v>22.5</v>
      </c>
      <c r="F111" s="3" cm="1">
        <f t="array" aca="1" ref="F111" ca="1">OFFSET(E111,-1,1)</f>
        <v>0</v>
      </c>
      <c r="H111" s="17" t="s">
        <v>509</v>
      </c>
      <c r="T111" s="381" t="b" cm="1">
        <f t="array" ref="T111">T110</f>
        <v>0</v>
      </c>
      <c r="X111" s="1755"/>
      <c r="Y111" s="1734"/>
      <c r="AB111" s="158" t="s">
        <v>510</v>
      </c>
      <c r="AC111" s="132" t="s">
        <v>621</v>
      </c>
      <c r="AD111" s="12" t="s">
        <v>499</v>
      </c>
      <c r="AE111" s="1373"/>
      <c r="AF111" s="1373"/>
      <c r="AG111" s="1373"/>
      <c r="AH111" s="1373"/>
      <c r="AI111" s="195"/>
      <c r="AJ111" s="1373"/>
      <c r="AK111" s="1373"/>
      <c r="AL111" s="1373"/>
      <c r="AM111" s="1373"/>
      <c r="AN111" s="1373"/>
      <c r="AO111" s="1373"/>
      <c r="AP111" s="1373"/>
      <c r="AQ111" s="1373"/>
      <c r="AR111" s="1373"/>
      <c r="AS111" s="195"/>
      <c r="AT111" s="1373"/>
      <c r="AU111" s="1373"/>
      <c r="AV111" s="1373"/>
      <c r="AW111" s="1373"/>
      <c r="AX111" s="1373"/>
      <c r="AY111" s="1373"/>
      <c r="AZ111" s="1373"/>
      <c r="BA111" s="1373"/>
      <c r="BB111" s="1373"/>
      <c r="BC111" s="1361"/>
      <c r="BF111" s="917" t="s">
        <v>723</v>
      </c>
    </row>
    <row r="112" spans="1:58" ht="21.95" hidden="1" customHeight="1">
      <c r="E112" s="549">
        <v>22.5</v>
      </c>
      <c r="F112" s="3" cm="1">
        <f t="array" aca="1" ref="F112" ca="1">OFFSET(E112,-1,1)</f>
        <v>0</v>
      </c>
      <c r="G112" s="17" t="s">
        <v>571</v>
      </c>
      <c r="H112" s="17" t="s">
        <v>326</v>
      </c>
      <c r="T112" s="381" t="b" cm="1">
        <f t="array" ref="T112">T111</f>
        <v>0</v>
      </c>
      <c r="X112" s="1755"/>
      <c r="Y112" s="1734"/>
      <c r="AB112" s="158" t="s">
        <v>321</v>
      </c>
      <c r="AC112" s="253" t="s">
        <v>724</v>
      </c>
      <c r="AD112" s="12" t="s">
        <v>499</v>
      </c>
      <c r="AE112" s="258">
        <f t="shared" ref="AE112:BB112" si="25">AE113+AE114+AE117</f>
        <v>0</v>
      </c>
      <c r="AF112" s="258">
        <f t="shared" si="25"/>
        <v>0</v>
      </c>
      <c r="AG112" s="258">
        <f t="shared" si="25"/>
        <v>0</v>
      </c>
      <c r="AH112" s="258">
        <f t="shared" si="25"/>
        <v>0</v>
      </c>
      <c r="AI112" s="258">
        <f t="shared" si="25"/>
        <v>0</v>
      </c>
      <c r="AJ112" s="258">
        <f t="shared" si="25"/>
        <v>0</v>
      </c>
      <c r="AK112" s="258">
        <f t="shared" si="25"/>
        <v>0</v>
      </c>
      <c r="AL112" s="258">
        <f t="shared" si="25"/>
        <v>0</v>
      </c>
      <c r="AM112" s="258">
        <f t="shared" si="25"/>
        <v>0</v>
      </c>
      <c r="AN112" s="258">
        <f t="shared" si="25"/>
        <v>0</v>
      </c>
      <c r="AO112" s="258">
        <f t="shared" si="25"/>
        <v>0</v>
      </c>
      <c r="AP112" s="258">
        <f t="shared" si="25"/>
        <v>0</v>
      </c>
      <c r="AQ112" s="258">
        <f t="shared" si="25"/>
        <v>0</v>
      </c>
      <c r="AR112" s="258">
        <f t="shared" si="25"/>
        <v>0</v>
      </c>
      <c r="AS112" s="258">
        <f t="shared" si="25"/>
        <v>0</v>
      </c>
      <c r="AT112" s="258">
        <f t="shared" si="25"/>
        <v>0</v>
      </c>
      <c r="AU112" s="258">
        <f t="shared" si="25"/>
        <v>0</v>
      </c>
      <c r="AV112" s="258">
        <f t="shared" si="25"/>
        <v>0</v>
      </c>
      <c r="AW112" s="258">
        <f t="shared" si="25"/>
        <v>0</v>
      </c>
      <c r="AX112" s="258">
        <f t="shared" si="25"/>
        <v>0</v>
      </c>
      <c r="AY112" s="258">
        <f t="shared" si="25"/>
        <v>0</v>
      </c>
      <c r="AZ112" s="258">
        <f t="shared" si="25"/>
        <v>0</v>
      </c>
      <c r="BA112" s="258">
        <f t="shared" si="25"/>
        <v>0</v>
      </c>
      <c r="BB112" s="258">
        <f t="shared" si="25"/>
        <v>0</v>
      </c>
      <c r="BC112" s="1361"/>
      <c r="BF112" s="917" t="s">
        <v>725</v>
      </c>
    </row>
    <row r="113" spans="1:58" ht="14.65" hidden="1" customHeight="1">
      <c r="E113" s="549">
        <v>15</v>
      </c>
      <c r="F113" s="3" cm="1">
        <f t="array" aca="1" ref="F113" ca="1">OFFSET(E113,-1,1)</f>
        <v>0</v>
      </c>
      <c r="H113" s="17" t="s">
        <v>515</v>
      </c>
      <c r="T113" s="381" t="b" cm="1">
        <f t="array" ref="T113">T112</f>
        <v>0</v>
      </c>
      <c r="X113" s="1755"/>
      <c r="Y113" s="1734"/>
      <c r="AB113" s="158" t="s">
        <v>516</v>
      </c>
      <c r="AC113" s="132" t="s">
        <v>726</v>
      </c>
      <c r="AD113" s="12" t="s">
        <v>499</v>
      </c>
      <c r="AE113" s="1373"/>
      <c r="AF113" s="1373"/>
      <c r="AG113" s="1373"/>
      <c r="AH113" s="1373"/>
      <c r="AI113" s="195"/>
      <c r="AJ113" s="1373"/>
      <c r="AK113" s="1373"/>
      <c r="AL113" s="1373"/>
      <c r="AM113" s="1373"/>
      <c r="AN113" s="1373"/>
      <c r="AO113" s="1373"/>
      <c r="AP113" s="1373"/>
      <c r="AQ113" s="1373"/>
      <c r="AR113" s="1373"/>
      <c r="AS113" s="195"/>
      <c r="AT113" s="1373"/>
      <c r="AU113" s="1373"/>
      <c r="AV113" s="1373"/>
      <c r="AW113" s="1373"/>
      <c r="AX113" s="1373"/>
      <c r="AY113" s="1373"/>
      <c r="AZ113" s="1373"/>
      <c r="BA113" s="1373"/>
      <c r="BB113" s="1373"/>
      <c r="BC113" s="1361"/>
      <c r="BF113" s="917" t="s">
        <v>727</v>
      </c>
    </row>
    <row r="114" spans="1:58" ht="14.65" hidden="1" customHeight="1">
      <c r="E114" s="549">
        <v>15</v>
      </c>
      <c r="F114" s="3" cm="1">
        <f t="array" aca="1" ref="F114" ca="1">OFFSET(E114,-1,1)</f>
        <v>0</v>
      </c>
      <c r="H114" s="17" t="s">
        <v>519</v>
      </c>
      <c r="T114" s="381" t="b" cm="1">
        <f t="array" ref="T114">T113</f>
        <v>0</v>
      </c>
      <c r="X114" s="1755"/>
      <c r="Y114" s="1734"/>
      <c r="AB114" s="158" t="s">
        <v>520</v>
      </c>
      <c r="AC114" s="254" t="s">
        <v>728</v>
      </c>
      <c r="AD114" s="12" t="s">
        <v>499</v>
      </c>
      <c r="AE114" s="258">
        <f t="shared" ref="AE114:BB114" si="26">AE115+AE116</f>
        <v>0</v>
      </c>
      <c r="AF114" s="258">
        <f t="shared" si="26"/>
        <v>0</v>
      </c>
      <c r="AG114" s="258">
        <f t="shared" si="26"/>
        <v>0</v>
      </c>
      <c r="AH114" s="258">
        <f t="shared" si="26"/>
        <v>0</v>
      </c>
      <c r="AI114" s="258">
        <f t="shared" si="26"/>
        <v>0</v>
      </c>
      <c r="AJ114" s="258">
        <f t="shared" si="26"/>
        <v>0</v>
      </c>
      <c r="AK114" s="258">
        <f t="shared" si="26"/>
        <v>0</v>
      </c>
      <c r="AL114" s="258">
        <f t="shared" si="26"/>
        <v>0</v>
      </c>
      <c r="AM114" s="258">
        <f t="shared" si="26"/>
        <v>0</v>
      </c>
      <c r="AN114" s="258">
        <f t="shared" si="26"/>
        <v>0</v>
      </c>
      <c r="AO114" s="258">
        <f t="shared" si="26"/>
        <v>0</v>
      </c>
      <c r="AP114" s="258">
        <f t="shared" si="26"/>
        <v>0</v>
      </c>
      <c r="AQ114" s="258">
        <f t="shared" si="26"/>
        <v>0</v>
      </c>
      <c r="AR114" s="258">
        <f t="shared" si="26"/>
        <v>0</v>
      </c>
      <c r="AS114" s="258">
        <f t="shared" si="26"/>
        <v>0</v>
      </c>
      <c r="AT114" s="258">
        <f t="shared" si="26"/>
        <v>0</v>
      </c>
      <c r="AU114" s="258">
        <f t="shared" si="26"/>
        <v>0</v>
      </c>
      <c r="AV114" s="258">
        <f t="shared" si="26"/>
        <v>0</v>
      </c>
      <c r="AW114" s="258">
        <f t="shared" si="26"/>
        <v>0</v>
      </c>
      <c r="AX114" s="258">
        <f t="shared" si="26"/>
        <v>0</v>
      </c>
      <c r="AY114" s="258">
        <f t="shared" si="26"/>
        <v>0</v>
      </c>
      <c r="AZ114" s="258">
        <f t="shared" si="26"/>
        <v>0</v>
      </c>
      <c r="BA114" s="258">
        <f t="shared" si="26"/>
        <v>0</v>
      </c>
      <c r="BB114" s="258">
        <f t="shared" si="26"/>
        <v>0</v>
      </c>
      <c r="BC114" s="1361"/>
      <c r="BF114" s="917" t="s">
        <v>729</v>
      </c>
    </row>
    <row r="115" spans="1:58" ht="14.65" hidden="1" customHeight="1">
      <c r="E115" s="549">
        <v>15</v>
      </c>
      <c r="F115" s="3" cm="1">
        <f t="array" aca="1" ref="F115" ca="1">OFFSET(E115,-1,1)</f>
        <v>0</v>
      </c>
      <c r="H115" s="17" t="s">
        <v>730</v>
      </c>
      <c r="T115" s="381" t="b" cm="1">
        <f t="array" ref="T115">T114</f>
        <v>0</v>
      </c>
      <c r="X115" s="1755"/>
      <c r="Y115" s="1734"/>
      <c r="AB115" s="158" t="s">
        <v>731</v>
      </c>
      <c r="AC115" s="255" t="s">
        <v>578</v>
      </c>
      <c r="AD115" s="12" t="s">
        <v>499</v>
      </c>
      <c r="AE115" s="1373"/>
      <c r="AF115" s="1373"/>
      <c r="AG115" s="1373"/>
      <c r="AH115" s="1373"/>
      <c r="AI115" s="195"/>
      <c r="AJ115" s="1373"/>
      <c r="AK115" s="1373"/>
      <c r="AL115" s="1373"/>
      <c r="AM115" s="1373"/>
      <c r="AN115" s="1373"/>
      <c r="AO115" s="1373"/>
      <c r="AP115" s="1373"/>
      <c r="AQ115" s="1373"/>
      <c r="AR115" s="1373"/>
      <c r="AS115" s="195"/>
      <c r="AT115" s="1373"/>
      <c r="AU115" s="1373"/>
      <c r="AV115" s="1373"/>
      <c r="AW115" s="1373"/>
      <c r="AX115" s="1373"/>
      <c r="AY115" s="1373"/>
      <c r="AZ115" s="1373"/>
      <c r="BA115" s="1373"/>
      <c r="BB115" s="1373"/>
      <c r="BC115" s="1361"/>
      <c r="BF115" s="917" t="s">
        <v>732</v>
      </c>
    </row>
    <row r="116" spans="1:58" ht="14.65" hidden="1" customHeight="1">
      <c r="E116" s="549">
        <v>15</v>
      </c>
      <c r="F116" s="3" cm="1">
        <f t="array" aca="1" ref="F116" ca="1">OFFSET(E116,-1,1)</f>
        <v>0</v>
      </c>
      <c r="H116" s="17" t="s">
        <v>733</v>
      </c>
      <c r="T116" s="381" t="b" cm="1">
        <f t="array" ref="T116">T115</f>
        <v>0</v>
      </c>
      <c r="X116" s="1755"/>
      <c r="Y116" s="1734"/>
      <c r="AB116" s="158" t="s">
        <v>734</v>
      </c>
      <c r="AC116" s="255" t="s">
        <v>582</v>
      </c>
      <c r="AD116" s="12" t="s">
        <v>499</v>
      </c>
      <c r="AE116" s="1373"/>
      <c r="AF116" s="1373"/>
      <c r="AG116" s="1373"/>
      <c r="AH116" s="1373"/>
      <c r="AI116" s="195"/>
      <c r="AJ116" s="1373"/>
      <c r="AK116" s="1373"/>
      <c r="AL116" s="1373"/>
      <c r="AM116" s="1373"/>
      <c r="AN116" s="1373"/>
      <c r="AO116" s="1373"/>
      <c r="AP116" s="1373"/>
      <c r="AQ116" s="1373"/>
      <c r="AR116" s="1373"/>
      <c r="AS116" s="195"/>
      <c r="AT116" s="1373"/>
      <c r="AU116" s="1373"/>
      <c r="AV116" s="1373"/>
      <c r="AW116" s="1373"/>
      <c r="AX116" s="1373"/>
      <c r="AY116" s="1373"/>
      <c r="AZ116" s="1373"/>
      <c r="BA116" s="1373"/>
      <c r="BB116" s="1373"/>
      <c r="BC116" s="1361"/>
      <c r="BF116" s="917" t="s">
        <v>735</v>
      </c>
    </row>
    <row r="117" spans="1:58" ht="21.95" hidden="1" customHeight="1">
      <c r="E117" s="549">
        <v>22.5</v>
      </c>
      <c r="F117" s="3" cm="1">
        <f t="array" aca="1" ref="F117" ca="1">OFFSET(E117,-1,1)</f>
        <v>0</v>
      </c>
      <c r="H117" s="17" t="s">
        <v>736</v>
      </c>
      <c r="T117" s="381" t="b" cm="1">
        <f t="array" ref="T117">T116</f>
        <v>0</v>
      </c>
      <c r="X117" s="1755"/>
      <c r="Y117" s="1734"/>
      <c r="AB117" s="158" t="s">
        <v>737</v>
      </c>
      <c r="AC117" s="249" t="s">
        <v>541</v>
      </c>
      <c r="AD117" s="12" t="s">
        <v>499</v>
      </c>
      <c r="AE117" s="1360"/>
      <c r="AF117" s="1360"/>
      <c r="AG117" s="1360"/>
      <c r="AH117" s="1360"/>
      <c r="AI117" s="192"/>
      <c r="AJ117" s="1360"/>
      <c r="AK117" s="1360"/>
      <c r="AL117" s="1360"/>
      <c r="AM117" s="1360"/>
      <c r="AN117" s="1360"/>
      <c r="AO117" s="1360"/>
      <c r="AP117" s="1360"/>
      <c r="AQ117" s="1360"/>
      <c r="AR117" s="1360"/>
      <c r="AS117" s="192"/>
      <c r="AT117" s="1360"/>
      <c r="AU117" s="1360"/>
      <c r="AV117" s="1360"/>
      <c r="AW117" s="1360"/>
      <c r="AX117" s="1360"/>
      <c r="AY117" s="1360"/>
      <c r="AZ117" s="1360"/>
      <c r="BA117" s="1360"/>
      <c r="BB117" s="1360"/>
      <c r="BC117" s="1361"/>
      <c r="BF117" s="917" t="s">
        <v>738</v>
      </c>
    </row>
    <row r="118" spans="1:58" s="1327" customFormat="1" ht="14.25" customHeight="1">
      <c r="A118" s="1207"/>
      <c r="B118" s="1076"/>
      <c r="C118" s="1207"/>
      <c r="D118" s="1207"/>
      <c r="E118" s="549">
        <v>15</v>
      </c>
      <c r="F118" s="261" t="str" cm="1">
        <f t="array" ref="F118">X118</f>
        <v>1</v>
      </c>
      <c r="G118" s="1207"/>
      <c r="H118" s="1207"/>
      <c r="I118" s="1207"/>
      <c r="J118" s="1207"/>
      <c r="K118" s="1207"/>
      <c r="L118" s="1207"/>
      <c r="M118" s="1207"/>
      <c r="N118" s="1207"/>
      <c r="O118" s="1207"/>
      <c r="P118" s="1187"/>
      <c r="Q118" s="1187"/>
      <c r="R118" s="1187"/>
      <c r="S118" s="1187"/>
      <c r="T118" s="381" t="b">
        <f>X118&gt;0</f>
        <v>1</v>
      </c>
      <c r="U118" s="1187"/>
      <c r="V118" s="17" t="str" cm="1">
        <f t="array" ref="V118">ИИКА!$AB$32</f>
        <v>Тариф 1 (Водоснабжение) - тариф на питьевую воду</v>
      </c>
      <c r="W118" s="1187"/>
      <c r="X118" s="1755" t="s">
        <v>281</v>
      </c>
      <c r="Y118" s="1734"/>
      <c r="Z118" s="1207"/>
      <c r="AA118" s="1207"/>
      <c r="AB118" s="99" t="str" cm="1">
        <f t="array" ref="AB118">ИИКА!$AB$32</f>
        <v>Тариф 1 (Водоснабжение) - тариф на питьевую воду</v>
      </c>
      <c r="AC118" s="99"/>
      <c r="AD118" s="99"/>
      <c r="AE118" s="99"/>
      <c r="AF118" s="99"/>
      <c r="AG118" s="99"/>
      <c r="AH118" s="99"/>
      <c r="AI118" s="99"/>
      <c r="AJ118" s="99"/>
      <c r="AK118" s="99"/>
      <c r="AL118" s="99"/>
      <c r="AM118" s="99"/>
      <c r="AN118" s="99"/>
      <c r="AO118" s="99"/>
      <c r="AP118" s="99"/>
      <c r="AQ118" s="99"/>
      <c r="AR118" s="99"/>
      <c r="AS118" s="99"/>
      <c r="AT118" s="99"/>
      <c r="AU118" s="99"/>
      <c r="AV118" s="99"/>
      <c r="AW118" s="99"/>
      <c r="AX118" s="99"/>
      <c r="AY118" s="99"/>
      <c r="AZ118" s="99"/>
      <c r="BA118" s="99"/>
      <c r="BB118" s="99"/>
      <c r="BC118" s="99"/>
      <c r="BD118" s="1207"/>
      <c r="BE118" s="1207"/>
      <c r="BF118" s="1209"/>
    </row>
    <row r="119" spans="1:58" s="1327" customFormat="1" ht="14.25" customHeight="1">
      <c r="A119" s="1207"/>
      <c r="B119" s="1076"/>
      <c r="C119" s="1207"/>
      <c r="D119" s="1207"/>
      <c r="E119" s="549">
        <v>15</v>
      </c>
      <c r="F119" s="3" t="str" cm="1">
        <f t="array" aca="1" ref="F119" ca="1">OFFSET(E119,-1,1)</f>
        <v>1</v>
      </c>
      <c r="G119" s="1207"/>
      <c r="H119" s="1207"/>
      <c r="I119" s="1207"/>
      <c r="J119" s="1207"/>
      <c r="K119" s="1207"/>
      <c r="L119" s="1207"/>
      <c r="M119" s="1207"/>
      <c r="N119" s="1207"/>
      <c r="O119" s="1207"/>
      <c r="P119" s="1187"/>
      <c r="Q119" s="1187"/>
      <c r="R119" s="332" t="b" cm="1">
        <f t="array" ref="R119">INDEX('Общие сведения'!$AN$179:$AN$208,MATCH($X118,'Общие сведения'!$Z$179:$Z$208,0))</f>
        <v>0</v>
      </c>
      <c r="S119" s="332" t="b">
        <f>IF(ISERROR(SEARCH("Водоснабжение",AB118)),FALSE,TRUE)</f>
        <v>1</v>
      </c>
      <c r="T119" s="381" t="b">
        <f>AND(X118&gt;0,S119,NOT(R119))</f>
        <v>1</v>
      </c>
      <c r="U119" s="1187"/>
      <c r="V119" s="1207"/>
      <c r="W119" s="1187"/>
      <c r="X119" s="1755"/>
      <c r="Y119" s="1734"/>
      <c r="Z119" s="1207"/>
      <c r="AA119" s="1207"/>
      <c r="AB119" s="158" t="s">
        <v>281</v>
      </c>
      <c r="AC119" s="241" t="s">
        <v>496</v>
      </c>
      <c r="AD119" s="11"/>
      <c r="AE119" s="486" t="str" cm="1">
        <f t="array" ref="AE119">INDEX('Общие сведения'!$AH$179:$AH$208,MATCH($X118,'Общие сведения'!$Z$179:$Z$208,0))</f>
        <v>питьевая вода</v>
      </c>
      <c r="AF119" s="274"/>
      <c r="AG119" s="274"/>
      <c r="AH119" s="274"/>
      <c r="AI119" s="274"/>
      <c r="AJ119" s="274"/>
      <c r="AK119" s="274"/>
      <c r="AL119" s="274"/>
      <c r="AM119" s="274"/>
      <c r="AN119" s="274"/>
      <c r="AO119" s="274"/>
      <c r="AP119" s="274"/>
      <c r="AQ119" s="274"/>
      <c r="AR119" s="274"/>
      <c r="AS119" s="274"/>
      <c r="AT119" s="274"/>
      <c r="AU119" s="274"/>
      <c r="AV119" s="274"/>
      <c r="AW119" s="274"/>
      <c r="AX119" s="274"/>
      <c r="AY119" s="274"/>
      <c r="AZ119" s="274"/>
      <c r="BA119" s="274"/>
      <c r="BB119" s="275"/>
      <c r="BC119" s="118"/>
      <c r="BD119" s="1207"/>
      <c r="BE119" s="1207"/>
      <c r="BF119" s="917" t="s">
        <v>497</v>
      </c>
    </row>
    <row r="120" spans="1:58" s="1327" customFormat="1" ht="14.25" customHeight="1">
      <c r="A120" s="1207"/>
      <c r="B120" s="1076"/>
      <c r="C120" s="1207"/>
      <c r="D120" s="1207"/>
      <c r="E120" s="549">
        <v>15</v>
      </c>
      <c r="F120" s="3" t="str" cm="1">
        <f t="array" aca="1" ref="F120" ca="1">OFFSET(E120,-1,1)</f>
        <v>1</v>
      </c>
      <c r="G120" s="1207"/>
      <c r="H120" s="17" t="s">
        <v>327</v>
      </c>
      <c r="I120" s="1207"/>
      <c r="J120" s="1207"/>
      <c r="K120" s="1207"/>
      <c r="L120" s="1207"/>
      <c r="M120" s="1207"/>
      <c r="N120" s="1207"/>
      <c r="O120" s="1207"/>
      <c r="P120" s="1187"/>
      <c r="Q120" s="1187"/>
      <c r="R120" s="1187"/>
      <c r="S120" s="1187"/>
      <c r="T120" s="381" t="b" cm="1">
        <f t="array" ref="T120">T119</f>
        <v>1</v>
      </c>
      <c r="U120" s="1187"/>
      <c r="V120" s="1207"/>
      <c r="W120" s="1187"/>
      <c r="X120" s="1755"/>
      <c r="Y120" s="1734"/>
      <c r="Z120" s="1207"/>
      <c r="AA120" s="1207"/>
      <c r="AB120" s="158" t="s">
        <v>224</v>
      </c>
      <c r="AC120" s="242" t="s">
        <v>498</v>
      </c>
      <c r="AD120" s="12" t="s">
        <v>499</v>
      </c>
      <c r="AE120" s="229">
        <f t="shared" ref="AE120:BB120" si="27">AE129+AE124-AE127</f>
        <v>0</v>
      </c>
      <c r="AF120" s="229">
        <f t="shared" si="27"/>
        <v>0</v>
      </c>
      <c r="AG120" s="229">
        <f t="shared" si="27"/>
        <v>0</v>
      </c>
      <c r="AH120" s="229">
        <f t="shared" si="27"/>
        <v>0</v>
      </c>
      <c r="AI120" s="229">
        <f t="shared" si="27"/>
        <v>0</v>
      </c>
      <c r="AJ120" s="229">
        <f t="shared" si="27"/>
        <v>0</v>
      </c>
      <c r="AK120" s="229">
        <f t="shared" si="27"/>
        <v>0</v>
      </c>
      <c r="AL120" s="229">
        <f t="shared" si="27"/>
        <v>0</v>
      </c>
      <c r="AM120" s="229">
        <f t="shared" si="27"/>
        <v>0</v>
      </c>
      <c r="AN120" s="229">
        <f t="shared" si="27"/>
        <v>0</v>
      </c>
      <c r="AO120" s="229">
        <f t="shared" si="27"/>
        <v>0</v>
      </c>
      <c r="AP120" s="229">
        <f t="shared" si="27"/>
        <v>0</v>
      </c>
      <c r="AQ120" s="229">
        <f t="shared" si="27"/>
        <v>0</v>
      </c>
      <c r="AR120" s="229">
        <f t="shared" si="27"/>
        <v>0</v>
      </c>
      <c r="AS120" s="229">
        <f t="shared" si="27"/>
        <v>0</v>
      </c>
      <c r="AT120" s="229">
        <f t="shared" si="27"/>
        <v>0</v>
      </c>
      <c r="AU120" s="229">
        <f t="shared" si="27"/>
        <v>0</v>
      </c>
      <c r="AV120" s="229">
        <f t="shared" si="27"/>
        <v>0</v>
      </c>
      <c r="AW120" s="229">
        <f t="shared" si="27"/>
        <v>0</v>
      </c>
      <c r="AX120" s="229">
        <f t="shared" si="27"/>
        <v>0</v>
      </c>
      <c r="AY120" s="229">
        <f t="shared" si="27"/>
        <v>0</v>
      </c>
      <c r="AZ120" s="229">
        <f t="shared" si="27"/>
        <v>0</v>
      </c>
      <c r="BA120" s="229">
        <f t="shared" si="27"/>
        <v>0</v>
      </c>
      <c r="BB120" s="229">
        <f t="shared" si="27"/>
        <v>0</v>
      </c>
      <c r="BC120" s="118"/>
      <c r="BD120" s="1207"/>
      <c r="BE120" s="1207"/>
      <c r="BF120" s="917" t="s">
        <v>500</v>
      </c>
    </row>
    <row r="121" spans="1:58" s="1327" customFormat="1" ht="14.25" customHeight="1">
      <c r="A121" s="1207"/>
      <c r="B121" s="1076"/>
      <c r="C121" s="1207"/>
      <c r="D121" s="1207"/>
      <c r="E121" s="549">
        <v>15</v>
      </c>
      <c r="F121" s="3" t="str" cm="1">
        <f t="array" aca="1" ref="F121" ca="1">OFFSET(E121,-1,1)</f>
        <v>1</v>
      </c>
      <c r="G121" s="1207"/>
      <c r="H121" s="17" t="s">
        <v>501</v>
      </c>
      <c r="I121" s="1207"/>
      <c r="J121" s="1207"/>
      <c r="K121" s="1207"/>
      <c r="L121" s="1207"/>
      <c r="M121" s="1207"/>
      <c r="N121" s="1207"/>
      <c r="O121" s="1207"/>
      <c r="P121" s="1187"/>
      <c r="Q121" s="1187"/>
      <c r="R121" s="1187"/>
      <c r="S121" s="1187"/>
      <c r="T121" s="381" t="b" cm="1">
        <f t="array" ref="T121">T120</f>
        <v>1</v>
      </c>
      <c r="U121" s="1187"/>
      <c r="V121" s="1207"/>
      <c r="W121" s="1187"/>
      <c r="X121" s="1755"/>
      <c r="Y121" s="1734"/>
      <c r="Z121" s="1207"/>
      <c r="AA121" s="1207"/>
      <c r="AB121" s="158" t="s">
        <v>502</v>
      </c>
      <c r="AC121" s="111" t="s">
        <v>503</v>
      </c>
      <c r="AD121" s="12" t="s">
        <v>499</v>
      </c>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200"/>
      <c r="BD121" s="1207"/>
      <c r="BE121" s="1207"/>
      <c r="BF121" s="917" t="s">
        <v>504</v>
      </c>
    </row>
    <row r="122" spans="1:58" s="1327" customFormat="1" ht="14.25" customHeight="1">
      <c r="A122" s="1207"/>
      <c r="B122" s="1076"/>
      <c r="C122" s="1207"/>
      <c r="D122" s="1207"/>
      <c r="E122" s="549">
        <v>15</v>
      </c>
      <c r="F122" s="3" t="str" cm="1">
        <f t="array" aca="1" ref="F122" ca="1">OFFSET(E122,-1,1)</f>
        <v>1</v>
      </c>
      <c r="G122" s="1207"/>
      <c r="H122" s="17" t="s">
        <v>505</v>
      </c>
      <c r="I122" s="1207"/>
      <c r="J122" s="1207"/>
      <c r="K122" s="1207"/>
      <c r="L122" s="1207"/>
      <c r="M122" s="1207"/>
      <c r="N122" s="1207"/>
      <c r="O122" s="1207"/>
      <c r="P122" s="1187"/>
      <c r="Q122" s="1187"/>
      <c r="R122" s="1187"/>
      <c r="S122" s="1187"/>
      <c r="T122" s="381" t="b" cm="1">
        <f t="array" ref="T122">T121</f>
        <v>1</v>
      </c>
      <c r="U122" s="1187"/>
      <c r="V122" s="1207"/>
      <c r="W122" s="1187"/>
      <c r="X122" s="1755"/>
      <c r="Y122" s="1734"/>
      <c r="Z122" s="1207"/>
      <c r="AA122" s="1207"/>
      <c r="AB122" s="158" t="s">
        <v>506</v>
      </c>
      <c r="AC122" s="111" t="s">
        <v>507</v>
      </c>
      <c r="AD122" s="12" t="s">
        <v>499</v>
      </c>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200"/>
      <c r="BD122" s="1207"/>
      <c r="BE122" s="1207"/>
      <c r="BF122" s="917" t="s">
        <v>508</v>
      </c>
    </row>
    <row r="123" spans="1:58" s="1327" customFormat="1" ht="21.75" customHeight="1">
      <c r="A123" s="1207"/>
      <c r="B123" s="1076"/>
      <c r="C123" s="1207"/>
      <c r="D123" s="1207"/>
      <c r="E123" s="549">
        <v>22.5</v>
      </c>
      <c r="F123" s="3" t="str" cm="1">
        <f t="array" aca="1" ref="F123" ca="1">OFFSET(E123,-1,1)</f>
        <v>1</v>
      </c>
      <c r="G123" s="1207"/>
      <c r="H123" s="17" t="s">
        <v>509</v>
      </c>
      <c r="I123" s="1207"/>
      <c r="J123" s="1207"/>
      <c r="K123" s="1207"/>
      <c r="L123" s="1207"/>
      <c r="M123" s="1207"/>
      <c r="N123" s="1207"/>
      <c r="O123" s="1207"/>
      <c r="P123" s="1187"/>
      <c r="Q123" s="1187"/>
      <c r="R123" s="1187"/>
      <c r="S123" s="1187"/>
      <c r="T123" s="381" t="b" cm="1">
        <f t="array" ref="T123">T122</f>
        <v>1</v>
      </c>
      <c r="U123" s="1187"/>
      <c r="V123" s="1207"/>
      <c r="W123" s="1187"/>
      <c r="X123" s="1755"/>
      <c r="Y123" s="1734"/>
      <c r="Z123" s="1207"/>
      <c r="AA123" s="1207"/>
      <c r="AB123" s="158" t="s">
        <v>510</v>
      </c>
      <c r="AC123" s="242" t="s">
        <v>511</v>
      </c>
      <c r="AD123" s="12" t="s">
        <v>499</v>
      </c>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200"/>
      <c r="BD123" s="1207"/>
      <c r="BE123" s="1207"/>
      <c r="BF123" s="917" t="s">
        <v>512</v>
      </c>
    </row>
    <row r="124" spans="1:58" s="1327" customFormat="1" ht="14.25" customHeight="1">
      <c r="A124" s="1207"/>
      <c r="B124" s="1076"/>
      <c r="C124" s="1207"/>
      <c r="D124" s="1207"/>
      <c r="E124" s="549">
        <v>15</v>
      </c>
      <c r="F124" s="3" t="str" cm="1">
        <f t="array" aca="1" ref="F124" ca="1">OFFSET(E124,-1,1)</f>
        <v>1</v>
      </c>
      <c r="G124" s="1207"/>
      <c r="H124" s="17" t="s">
        <v>326</v>
      </c>
      <c r="I124" s="1207"/>
      <c r="J124" s="1207"/>
      <c r="K124" s="1207"/>
      <c r="L124" s="1207"/>
      <c r="M124" s="1207"/>
      <c r="N124" s="1207"/>
      <c r="O124" s="1207"/>
      <c r="P124" s="1187"/>
      <c r="Q124" s="1187"/>
      <c r="R124" s="1187"/>
      <c r="S124" s="1187"/>
      <c r="T124" s="381" t="b" cm="1">
        <f t="array" ref="T124">T123</f>
        <v>1</v>
      </c>
      <c r="U124" s="1187"/>
      <c r="V124" s="1207"/>
      <c r="W124" s="1187"/>
      <c r="X124" s="1755"/>
      <c r="Y124" s="1734"/>
      <c r="Z124" s="1207"/>
      <c r="AA124" s="1207"/>
      <c r="AB124" s="158" t="s">
        <v>321</v>
      </c>
      <c r="AC124" s="242" t="s">
        <v>513</v>
      </c>
      <c r="AD124" s="12" t="s">
        <v>499</v>
      </c>
      <c r="AE124" s="229">
        <f t="shared" ref="AE124:BB124" si="28">SUM(AE125:AE126)</f>
        <v>0</v>
      </c>
      <c r="AF124" s="229">
        <f t="shared" si="28"/>
        <v>0</v>
      </c>
      <c r="AG124" s="229">
        <f t="shared" si="28"/>
        <v>0</v>
      </c>
      <c r="AH124" s="229">
        <f t="shared" si="28"/>
        <v>0</v>
      </c>
      <c r="AI124" s="229">
        <f t="shared" si="28"/>
        <v>0</v>
      </c>
      <c r="AJ124" s="229">
        <f t="shared" si="28"/>
        <v>0</v>
      </c>
      <c r="AK124" s="229">
        <f t="shared" si="28"/>
        <v>0</v>
      </c>
      <c r="AL124" s="229">
        <f t="shared" si="28"/>
        <v>0</v>
      </c>
      <c r="AM124" s="229">
        <f t="shared" si="28"/>
        <v>0</v>
      </c>
      <c r="AN124" s="229">
        <f t="shared" si="28"/>
        <v>0</v>
      </c>
      <c r="AO124" s="229">
        <f t="shared" si="28"/>
        <v>0</v>
      </c>
      <c r="AP124" s="229">
        <f t="shared" si="28"/>
        <v>0</v>
      </c>
      <c r="AQ124" s="229">
        <f t="shared" si="28"/>
        <v>0</v>
      </c>
      <c r="AR124" s="229">
        <f t="shared" si="28"/>
        <v>0</v>
      </c>
      <c r="AS124" s="229">
        <f t="shared" si="28"/>
        <v>0</v>
      </c>
      <c r="AT124" s="229">
        <f t="shared" si="28"/>
        <v>0</v>
      </c>
      <c r="AU124" s="229">
        <f t="shared" si="28"/>
        <v>0</v>
      </c>
      <c r="AV124" s="229">
        <f t="shared" si="28"/>
        <v>0</v>
      </c>
      <c r="AW124" s="229">
        <f t="shared" si="28"/>
        <v>0</v>
      </c>
      <c r="AX124" s="229">
        <f t="shared" si="28"/>
        <v>0</v>
      </c>
      <c r="AY124" s="229">
        <f t="shared" si="28"/>
        <v>0</v>
      </c>
      <c r="AZ124" s="229">
        <f t="shared" si="28"/>
        <v>0</v>
      </c>
      <c r="BA124" s="229">
        <f t="shared" si="28"/>
        <v>0</v>
      </c>
      <c r="BB124" s="229">
        <f t="shared" si="28"/>
        <v>0</v>
      </c>
      <c r="BC124" s="200"/>
      <c r="BD124" s="1207"/>
      <c r="BE124" s="1207"/>
      <c r="BF124" s="917" t="s">
        <v>514</v>
      </c>
    </row>
    <row r="125" spans="1:58" s="1327" customFormat="1" ht="14.25" customHeight="1">
      <c r="A125" s="1207"/>
      <c r="B125" s="1076"/>
      <c r="C125" s="1207"/>
      <c r="D125" s="1207"/>
      <c r="E125" s="549">
        <v>15</v>
      </c>
      <c r="F125" s="3" t="str" cm="1">
        <f t="array" aca="1" ref="F125" ca="1">OFFSET(E125,-1,1)</f>
        <v>1</v>
      </c>
      <c r="G125" s="1207"/>
      <c r="H125" s="17" t="s">
        <v>515</v>
      </c>
      <c r="I125" s="1207"/>
      <c r="J125" s="1207"/>
      <c r="K125" s="1207"/>
      <c r="L125" s="1207"/>
      <c r="M125" s="1207"/>
      <c r="N125" s="1207"/>
      <c r="O125" s="1207"/>
      <c r="P125" s="1187"/>
      <c r="Q125" s="1187"/>
      <c r="R125" s="1187"/>
      <c r="S125" s="1187"/>
      <c r="T125" s="381" t="b" cm="1">
        <f t="array" ref="T125">T124</f>
        <v>1</v>
      </c>
      <c r="U125" s="1187"/>
      <c r="V125" s="1207"/>
      <c r="W125" s="1187"/>
      <c r="X125" s="1755"/>
      <c r="Y125" s="1734"/>
      <c r="Z125" s="1207"/>
      <c r="AA125" s="1207"/>
      <c r="AB125" s="158" t="s">
        <v>516</v>
      </c>
      <c r="AC125" s="111" t="s">
        <v>517</v>
      </c>
      <c r="AD125" s="12" t="s">
        <v>499</v>
      </c>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200"/>
      <c r="BD125" s="1207"/>
      <c r="BE125" s="1207"/>
      <c r="BF125" s="917" t="s">
        <v>518</v>
      </c>
    </row>
    <row r="126" spans="1:58" s="1327" customFormat="1" ht="14.25" customHeight="1">
      <c r="A126" s="1207"/>
      <c r="B126" s="1076"/>
      <c r="C126" s="1207"/>
      <c r="D126" s="1207"/>
      <c r="E126" s="549">
        <v>15</v>
      </c>
      <c r="F126" s="3" t="str" cm="1">
        <f t="array" aca="1" ref="F126" ca="1">OFFSET(E126,-1,1)</f>
        <v>1</v>
      </c>
      <c r="G126" s="1207"/>
      <c r="H126" s="17" t="s">
        <v>519</v>
      </c>
      <c r="I126" s="1207"/>
      <c r="J126" s="1207"/>
      <c r="K126" s="1207"/>
      <c r="L126" s="1207"/>
      <c r="M126" s="1207"/>
      <c r="N126" s="1207"/>
      <c r="O126" s="1207"/>
      <c r="P126" s="1187"/>
      <c r="Q126" s="1187"/>
      <c r="R126" s="1187"/>
      <c r="S126" s="1187"/>
      <c r="T126" s="381" t="b" cm="1">
        <f t="array" ref="T126">T125</f>
        <v>1</v>
      </c>
      <c r="U126" s="1187"/>
      <c r="V126" s="1207"/>
      <c r="W126" s="1187"/>
      <c r="X126" s="1755"/>
      <c r="Y126" s="1734"/>
      <c r="Z126" s="1207"/>
      <c r="AA126" s="1207"/>
      <c r="AB126" s="158" t="s">
        <v>520</v>
      </c>
      <c r="AC126" s="111" t="s">
        <v>521</v>
      </c>
      <c r="AD126" s="12" t="s">
        <v>499</v>
      </c>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200"/>
      <c r="BD126" s="1207"/>
      <c r="BE126" s="1207"/>
      <c r="BF126" s="917" t="s">
        <v>522</v>
      </c>
    </row>
    <row r="127" spans="1:58" s="1327" customFormat="1" ht="14.65" customHeight="1">
      <c r="A127" s="1207"/>
      <c r="B127" s="1076"/>
      <c r="C127" s="1207"/>
      <c r="D127" s="1207"/>
      <c r="E127" s="549">
        <v>15</v>
      </c>
      <c r="F127" s="3" t="str" cm="1">
        <f t="array" aca="1" ref="F127" ca="1">OFFSET(E127,-1,1)</f>
        <v>1</v>
      </c>
      <c r="G127" s="1207"/>
      <c r="H127" s="17" t="s">
        <v>477</v>
      </c>
      <c r="I127" s="1207"/>
      <c r="J127" s="1207"/>
      <c r="K127" s="1207"/>
      <c r="L127" s="1207"/>
      <c r="M127" s="1207"/>
      <c r="N127" s="1207"/>
      <c r="O127" s="1207"/>
      <c r="P127" s="1187"/>
      <c r="Q127" s="1187"/>
      <c r="R127" s="1187"/>
      <c r="S127" s="1187"/>
      <c r="T127" s="381" t="b" cm="1">
        <f t="array" ref="T127">T126</f>
        <v>1</v>
      </c>
      <c r="U127" s="1187"/>
      <c r="V127" s="1207"/>
      <c r="W127" s="1187"/>
      <c r="X127" s="1755"/>
      <c r="Y127" s="1734"/>
      <c r="Z127" s="1207"/>
      <c r="AA127" s="1207"/>
      <c r="AB127" s="158" t="s">
        <v>523</v>
      </c>
      <c r="AC127" s="241" t="s">
        <v>524</v>
      </c>
      <c r="AD127" s="12" t="s">
        <v>499</v>
      </c>
      <c r="AE127" s="192">
        <v>2.7665999999999999</v>
      </c>
      <c r="AF127" s="192">
        <v>0.11</v>
      </c>
      <c r="AG127" s="192">
        <v>0.11</v>
      </c>
      <c r="AH127" s="192">
        <v>2.6282700000000001</v>
      </c>
      <c r="AI127" s="192">
        <v>2.5756999999999999</v>
      </c>
      <c r="AJ127" s="192"/>
      <c r="AK127" s="192"/>
      <c r="AL127" s="192"/>
      <c r="AM127" s="192"/>
      <c r="AN127" s="192"/>
      <c r="AO127" s="192"/>
      <c r="AP127" s="192"/>
      <c r="AQ127" s="192"/>
      <c r="AR127" s="192"/>
      <c r="AS127" s="192">
        <v>2.5756999999999999</v>
      </c>
      <c r="AT127" s="192"/>
      <c r="AU127" s="192"/>
      <c r="AV127" s="192"/>
      <c r="AW127" s="192"/>
      <c r="AX127" s="192"/>
      <c r="AY127" s="192"/>
      <c r="AZ127" s="192"/>
      <c r="BA127" s="192"/>
      <c r="BB127" s="192"/>
      <c r="BC127" s="200"/>
      <c r="BD127" s="1207"/>
      <c r="BE127" s="1207"/>
      <c r="BF127" s="917" t="s">
        <v>525</v>
      </c>
    </row>
    <row r="128" spans="1:58" s="1327" customFormat="1" ht="14.25" customHeight="1">
      <c r="A128" s="1207"/>
      <c r="B128" s="1076"/>
      <c r="C128" s="1207"/>
      <c r="D128" s="1207"/>
      <c r="E128" s="549">
        <v>15</v>
      </c>
      <c r="F128" s="3" t="str" cm="1">
        <f t="array" aca="1" ref="F128" ca="1">OFFSET(E128,-1,1)</f>
        <v>1</v>
      </c>
      <c r="G128" s="1207"/>
      <c r="H128" s="17" t="s">
        <v>481</v>
      </c>
      <c r="I128" s="1207"/>
      <c r="J128" s="1207"/>
      <c r="K128" s="1207"/>
      <c r="L128" s="1207"/>
      <c r="M128" s="1207"/>
      <c r="N128" s="1207"/>
      <c r="O128" s="1207"/>
      <c r="P128" s="1187"/>
      <c r="Q128" s="1187"/>
      <c r="R128" s="1187"/>
      <c r="S128" s="1187"/>
      <c r="T128" s="381" t="b" cm="1">
        <f t="array" ref="T128">T127</f>
        <v>1</v>
      </c>
      <c r="U128" s="1187"/>
      <c r="V128" s="1207"/>
      <c r="W128" s="1187"/>
      <c r="X128" s="1755"/>
      <c r="Y128" s="1734"/>
      <c r="Z128" s="1207"/>
      <c r="AA128" s="1207"/>
      <c r="AB128" s="158" t="s">
        <v>478</v>
      </c>
      <c r="AC128" s="241" t="s">
        <v>526</v>
      </c>
      <c r="AD128" s="12" t="s">
        <v>499</v>
      </c>
      <c r="AE128" s="195"/>
      <c r="AF128" s="195"/>
      <c r="AG128" s="195"/>
      <c r="AH128" s="195"/>
      <c r="AI128" s="195"/>
      <c r="AJ128" s="195"/>
      <c r="AK128" s="195"/>
      <c r="AL128" s="195"/>
      <c r="AM128" s="195"/>
      <c r="AN128" s="195"/>
      <c r="AO128" s="195"/>
      <c r="AP128" s="195"/>
      <c r="AQ128" s="195"/>
      <c r="AR128" s="195"/>
      <c r="AS128" s="195"/>
      <c r="AT128" s="195"/>
      <c r="AU128" s="195"/>
      <c r="AV128" s="195"/>
      <c r="AW128" s="195"/>
      <c r="AX128" s="195"/>
      <c r="AY128" s="195"/>
      <c r="AZ128" s="195"/>
      <c r="BA128" s="195"/>
      <c r="BB128" s="195"/>
      <c r="BC128" s="200"/>
      <c r="BD128" s="1207"/>
      <c r="BE128" s="1207"/>
      <c r="BF128" s="917" t="s">
        <v>527</v>
      </c>
    </row>
    <row r="129" spans="1:58" s="1327" customFormat="1" ht="14.25" customHeight="1">
      <c r="A129" s="1207"/>
      <c r="B129" s="1076"/>
      <c r="C129" s="1207"/>
      <c r="D129" s="1207"/>
      <c r="E129" s="549">
        <v>15</v>
      </c>
      <c r="F129" s="3" t="str" cm="1">
        <f t="array" aca="1" ref="F129" ca="1">OFFSET(E129,-1,1)</f>
        <v>1</v>
      </c>
      <c r="G129" s="1207"/>
      <c r="H129" s="17" t="s">
        <v>528</v>
      </c>
      <c r="I129" s="1207"/>
      <c r="J129" s="1207"/>
      <c r="K129" s="1207"/>
      <c r="L129" s="1207"/>
      <c r="M129" s="1207"/>
      <c r="N129" s="1207"/>
      <c r="O129" s="1207"/>
      <c r="P129" s="1187"/>
      <c r="Q129" s="1187"/>
      <c r="R129" s="1187"/>
      <c r="S129" s="1187"/>
      <c r="T129" s="381" t="b" cm="1">
        <f t="array" ref="T129">T128</f>
        <v>1</v>
      </c>
      <c r="U129" s="1187"/>
      <c r="V129" s="1207"/>
      <c r="W129" s="1187"/>
      <c r="X129" s="1755"/>
      <c r="Y129" s="1734"/>
      <c r="Z129" s="1207"/>
      <c r="AA129" s="1207"/>
      <c r="AB129" s="158" t="s">
        <v>482</v>
      </c>
      <c r="AC129" s="242" t="s">
        <v>529</v>
      </c>
      <c r="AD129" s="12" t="s">
        <v>499</v>
      </c>
      <c r="AE129" s="229">
        <f t="shared" ref="AE129:BB129" si="29">AE135+AE133</f>
        <v>2.7665999999999999</v>
      </c>
      <c r="AF129" s="229">
        <f t="shared" si="29"/>
        <v>0.11</v>
      </c>
      <c r="AG129" s="229">
        <f t="shared" si="29"/>
        <v>0.11</v>
      </c>
      <c r="AH129" s="229">
        <f t="shared" si="29"/>
        <v>2.6282700000000001</v>
      </c>
      <c r="AI129" s="229">
        <f t="shared" si="29"/>
        <v>2.5756999999999999</v>
      </c>
      <c r="AJ129" s="229">
        <f t="shared" si="29"/>
        <v>0</v>
      </c>
      <c r="AK129" s="229">
        <f t="shared" si="29"/>
        <v>0</v>
      </c>
      <c r="AL129" s="229">
        <f t="shared" si="29"/>
        <v>0</v>
      </c>
      <c r="AM129" s="229">
        <f t="shared" si="29"/>
        <v>0</v>
      </c>
      <c r="AN129" s="229">
        <f t="shared" si="29"/>
        <v>0</v>
      </c>
      <c r="AO129" s="229">
        <f t="shared" si="29"/>
        <v>0</v>
      </c>
      <c r="AP129" s="229">
        <f t="shared" si="29"/>
        <v>0</v>
      </c>
      <c r="AQ129" s="229">
        <f t="shared" si="29"/>
        <v>0</v>
      </c>
      <c r="AR129" s="229">
        <f t="shared" si="29"/>
        <v>0</v>
      </c>
      <c r="AS129" s="229">
        <f t="shared" si="29"/>
        <v>2.5756999999999999</v>
      </c>
      <c r="AT129" s="229">
        <f t="shared" si="29"/>
        <v>0</v>
      </c>
      <c r="AU129" s="229">
        <f t="shared" si="29"/>
        <v>0</v>
      </c>
      <c r="AV129" s="229">
        <f t="shared" si="29"/>
        <v>0</v>
      </c>
      <c r="AW129" s="229">
        <f t="shared" si="29"/>
        <v>0</v>
      </c>
      <c r="AX129" s="229">
        <f t="shared" si="29"/>
        <v>0</v>
      </c>
      <c r="AY129" s="229">
        <f t="shared" si="29"/>
        <v>0</v>
      </c>
      <c r="AZ129" s="229">
        <f t="shared" si="29"/>
        <v>0</v>
      </c>
      <c r="BA129" s="229">
        <f t="shared" si="29"/>
        <v>0</v>
      </c>
      <c r="BB129" s="229">
        <f t="shared" si="29"/>
        <v>0</v>
      </c>
      <c r="BC129" s="200"/>
      <c r="BD129" s="1207"/>
      <c r="BE129" s="1207"/>
      <c r="BF129" s="917" t="s">
        <v>530</v>
      </c>
    </row>
    <row r="130" spans="1:58" s="1327" customFormat="1" ht="21.95" customHeight="1">
      <c r="A130" s="1207"/>
      <c r="B130" s="1076"/>
      <c r="C130" s="1207"/>
      <c r="D130" s="1207"/>
      <c r="E130" s="549">
        <v>22.5</v>
      </c>
      <c r="F130" s="3" t="str" cm="1">
        <f t="array" aca="1" ref="F130" ca="1">OFFSET(E130,-1,1)</f>
        <v>1</v>
      </c>
      <c r="G130" s="1207"/>
      <c r="H130" s="17" t="s">
        <v>531</v>
      </c>
      <c r="I130" s="1207"/>
      <c r="J130" s="1207"/>
      <c r="K130" s="1207"/>
      <c r="L130" s="1207"/>
      <c r="M130" s="1207"/>
      <c r="N130" s="1207"/>
      <c r="O130" s="1207"/>
      <c r="P130" s="1187"/>
      <c r="Q130" s="1187"/>
      <c r="R130" s="1187"/>
      <c r="S130" s="1187"/>
      <c r="T130" s="381" t="b" cm="1">
        <f t="array" ref="T130">T129</f>
        <v>1</v>
      </c>
      <c r="U130" s="1187"/>
      <c r="V130" s="1207"/>
      <c r="W130" s="1187"/>
      <c r="X130" s="1755"/>
      <c r="Y130" s="1734"/>
      <c r="Z130" s="1207"/>
      <c r="AA130" s="1207"/>
      <c r="AB130" s="158" t="s">
        <v>532</v>
      </c>
      <c r="AC130" s="111" t="s">
        <v>533</v>
      </c>
      <c r="AD130" s="12" t="s">
        <v>499</v>
      </c>
      <c r="AE130" s="195"/>
      <c r="AF130" s="195"/>
      <c r="AG130" s="195"/>
      <c r="AH130" s="195"/>
      <c r="AI130" s="195"/>
      <c r="AJ130" s="195"/>
      <c r="AK130" s="195"/>
      <c r="AL130" s="195"/>
      <c r="AM130" s="195"/>
      <c r="AN130" s="195"/>
      <c r="AO130" s="195"/>
      <c r="AP130" s="195"/>
      <c r="AQ130" s="195"/>
      <c r="AR130" s="195"/>
      <c r="AS130" s="195"/>
      <c r="AT130" s="195"/>
      <c r="AU130" s="195"/>
      <c r="AV130" s="195"/>
      <c r="AW130" s="195"/>
      <c r="AX130" s="195"/>
      <c r="AY130" s="195"/>
      <c r="AZ130" s="195"/>
      <c r="BA130" s="195"/>
      <c r="BB130" s="195"/>
      <c r="BC130" s="200"/>
      <c r="BD130" s="1207"/>
      <c r="BE130" s="1207"/>
      <c r="BF130" s="917" t="s">
        <v>534</v>
      </c>
    </row>
    <row r="131" spans="1:58" s="1327" customFormat="1" ht="14.65" customHeight="1">
      <c r="A131" s="1207"/>
      <c r="B131" s="1076"/>
      <c r="C131" s="1207"/>
      <c r="D131" s="1207"/>
      <c r="E131" s="549">
        <v>15</v>
      </c>
      <c r="F131" s="3" t="str" cm="1">
        <f t="array" aca="1" ref="F131" ca="1">OFFSET(E131,-1,1)</f>
        <v>1</v>
      </c>
      <c r="G131" s="1207"/>
      <c r="H131" s="17" t="s">
        <v>535</v>
      </c>
      <c r="I131" s="1207"/>
      <c r="J131" s="1207"/>
      <c r="K131" s="1207"/>
      <c r="L131" s="1207"/>
      <c r="M131" s="1207"/>
      <c r="N131" s="1207"/>
      <c r="O131" s="1207"/>
      <c r="P131" s="1187"/>
      <c r="Q131" s="1187"/>
      <c r="R131" s="1187"/>
      <c r="S131" s="1187"/>
      <c r="T131" s="381" t="b" cm="1">
        <f t="array" ref="T131">T130</f>
        <v>1</v>
      </c>
      <c r="U131" s="1187"/>
      <c r="V131" s="1207"/>
      <c r="W131" s="1187"/>
      <c r="X131" s="1755"/>
      <c r="Y131" s="1734"/>
      <c r="Z131" s="1207"/>
      <c r="AA131" s="1207"/>
      <c r="AB131" s="158" t="s">
        <v>536</v>
      </c>
      <c r="AC131" s="111" t="s">
        <v>537</v>
      </c>
      <c r="AD131" s="12" t="s">
        <v>499</v>
      </c>
      <c r="AE131" s="195">
        <v>2.7665999999999999</v>
      </c>
      <c r="AF131" s="195">
        <v>0.11</v>
      </c>
      <c r="AG131" s="195">
        <v>0.11</v>
      </c>
      <c r="AH131" s="195">
        <v>2.6282700000000001</v>
      </c>
      <c r="AI131" s="195">
        <v>2.5756999999999999</v>
      </c>
      <c r="AJ131" s="195"/>
      <c r="AK131" s="195"/>
      <c r="AL131" s="195"/>
      <c r="AM131" s="195"/>
      <c r="AN131" s="195"/>
      <c r="AO131" s="195"/>
      <c r="AP131" s="195"/>
      <c r="AQ131" s="195"/>
      <c r="AR131" s="195"/>
      <c r="AS131" s="195">
        <v>2.5756999999999999</v>
      </c>
      <c r="AT131" s="195"/>
      <c r="AU131" s="195"/>
      <c r="AV131" s="195"/>
      <c r="AW131" s="195"/>
      <c r="AX131" s="195"/>
      <c r="AY131" s="195"/>
      <c r="AZ131" s="195"/>
      <c r="BA131" s="195"/>
      <c r="BB131" s="195"/>
      <c r="BC131" s="200"/>
      <c r="BD131" s="1207"/>
      <c r="BE131" s="1207"/>
      <c r="BF131" s="917" t="s">
        <v>538</v>
      </c>
    </row>
    <row r="132" spans="1:58" s="1327" customFormat="1" ht="21.75" customHeight="1">
      <c r="A132" s="1207"/>
      <c r="B132" s="1076"/>
      <c r="C132" s="1207"/>
      <c r="D132" s="1207"/>
      <c r="E132" s="549">
        <v>22.5</v>
      </c>
      <c r="F132" s="3" t="str" cm="1">
        <f t="array" aca="1" ref="F132" ca="1">OFFSET(E132,-1,1)</f>
        <v>1</v>
      </c>
      <c r="G132" s="1207"/>
      <c r="H132" s="17" t="s">
        <v>539</v>
      </c>
      <c r="I132" s="1207"/>
      <c r="J132" s="1207"/>
      <c r="K132" s="1207"/>
      <c r="L132" s="1207"/>
      <c r="M132" s="1207"/>
      <c r="N132" s="1207"/>
      <c r="O132" s="1207"/>
      <c r="P132" s="1187"/>
      <c r="Q132" s="1187"/>
      <c r="R132" s="1187"/>
      <c r="S132" s="1187"/>
      <c r="T132" s="381" t="b" cm="1">
        <f t="array" ref="T132">T131</f>
        <v>1</v>
      </c>
      <c r="U132" s="1187"/>
      <c r="V132" s="1207"/>
      <c r="W132" s="1187"/>
      <c r="X132" s="1755"/>
      <c r="Y132" s="1734"/>
      <c r="Z132" s="1207"/>
      <c r="AA132" s="1207"/>
      <c r="AB132" s="158" t="s">
        <v>540</v>
      </c>
      <c r="AC132" s="111" t="s">
        <v>541</v>
      </c>
      <c r="AD132" s="12" t="s">
        <v>499</v>
      </c>
      <c r="AE132" s="195"/>
      <c r="AF132" s="195"/>
      <c r="AG132" s="195"/>
      <c r="AH132" s="195"/>
      <c r="AI132" s="195"/>
      <c r="AJ132" s="195"/>
      <c r="AK132" s="195"/>
      <c r="AL132" s="195"/>
      <c r="AM132" s="195"/>
      <c r="AN132" s="195"/>
      <c r="AO132" s="195"/>
      <c r="AP132" s="195"/>
      <c r="AQ132" s="195"/>
      <c r="AR132" s="195"/>
      <c r="AS132" s="195"/>
      <c r="AT132" s="195"/>
      <c r="AU132" s="195"/>
      <c r="AV132" s="195"/>
      <c r="AW132" s="195"/>
      <c r="AX132" s="195"/>
      <c r="AY132" s="195"/>
      <c r="AZ132" s="195"/>
      <c r="BA132" s="195"/>
      <c r="BB132" s="195"/>
      <c r="BC132" s="200"/>
      <c r="BD132" s="1207"/>
      <c r="BE132" s="1207"/>
      <c r="BF132" s="917" t="s">
        <v>542</v>
      </c>
    </row>
    <row r="133" spans="1:58" s="1327" customFormat="1" ht="14.25" customHeight="1">
      <c r="A133" s="1207"/>
      <c r="B133" s="1076"/>
      <c r="C133" s="1207"/>
      <c r="D133" s="1207"/>
      <c r="E133" s="549">
        <v>15</v>
      </c>
      <c r="F133" s="3" t="str" cm="1">
        <f t="array" aca="1" ref="F133" ca="1">OFFSET(E133,-1,1)</f>
        <v>1</v>
      </c>
      <c r="G133" s="1207"/>
      <c r="H133" s="17" t="s">
        <v>543</v>
      </c>
      <c r="I133" s="1207"/>
      <c r="J133" s="1207"/>
      <c r="K133" s="1207"/>
      <c r="L133" s="1207"/>
      <c r="M133" s="1207"/>
      <c r="N133" s="1207"/>
      <c r="O133" s="1207"/>
      <c r="P133" s="1187"/>
      <c r="Q133" s="1187"/>
      <c r="R133" s="1187"/>
      <c r="S133" s="1187"/>
      <c r="T133" s="381" t="b" cm="1">
        <f t="array" ref="T133">T132</f>
        <v>1</v>
      </c>
      <c r="U133" s="1187"/>
      <c r="V133" s="1207"/>
      <c r="W133" s="1187"/>
      <c r="X133" s="1755"/>
      <c r="Y133" s="1734"/>
      <c r="Z133" s="1207"/>
      <c r="AA133" s="1207"/>
      <c r="AB133" s="158" t="s">
        <v>544</v>
      </c>
      <c r="AC133" s="241" t="s">
        <v>545</v>
      </c>
      <c r="AD133" s="12" t="s">
        <v>499</v>
      </c>
      <c r="AE133" s="195"/>
      <c r="AF133" s="195"/>
      <c r="AG133" s="195"/>
      <c r="AH133" s="195"/>
      <c r="AI133" s="195"/>
      <c r="AJ133" s="195"/>
      <c r="AK133" s="195"/>
      <c r="AL133" s="195"/>
      <c r="AM133" s="195"/>
      <c r="AN133" s="195"/>
      <c r="AO133" s="195"/>
      <c r="AP133" s="195"/>
      <c r="AQ133" s="195"/>
      <c r="AR133" s="195"/>
      <c r="AS133" s="195"/>
      <c r="AT133" s="195"/>
      <c r="AU133" s="195"/>
      <c r="AV133" s="195"/>
      <c r="AW133" s="195"/>
      <c r="AX133" s="195"/>
      <c r="AY133" s="195"/>
      <c r="AZ133" s="195"/>
      <c r="BA133" s="195"/>
      <c r="BB133" s="195"/>
      <c r="BC133" s="200"/>
      <c r="BD133" s="1207"/>
      <c r="BE133" s="1207"/>
      <c r="BF133" s="917" t="s">
        <v>546</v>
      </c>
    </row>
    <row r="134" spans="1:58" s="1327" customFormat="1" ht="14.25" customHeight="1">
      <c r="A134" s="1207"/>
      <c r="B134" s="1076"/>
      <c r="C134" s="1207"/>
      <c r="D134" s="1207"/>
      <c r="E134" s="549">
        <v>15</v>
      </c>
      <c r="F134" s="3" t="str" cm="1">
        <f t="array" aca="1" ref="F134" ca="1">OFFSET(E134,-1,1)</f>
        <v>1</v>
      </c>
      <c r="G134" s="1207"/>
      <c r="H134" s="17" t="s">
        <v>547</v>
      </c>
      <c r="I134" s="1207"/>
      <c r="J134" s="1207"/>
      <c r="K134" s="1207"/>
      <c r="L134" s="1207"/>
      <c r="M134" s="1207"/>
      <c r="N134" s="1207"/>
      <c r="O134" s="1207"/>
      <c r="P134" s="1187"/>
      <c r="Q134" s="1187"/>
      <c r="R134" s="1187"/>
      <c r="S134" s="1187"/>
      <c r="T134" s="381" t="b" cm="1">
        <f t="array" ref="T134">T133</f>
        <v>1</v>
      </c>
      <c r="U134" s="1187"/>
      <c r="V134" s="1207"/>
      <c r="W134" s="1187"/>
      <c r="X134" s="1755"/>
      <c r="Y134" s="1734"/>
      <c r="Z134" s="1207"/>
      <c r="AA134" s="1207"/>
      <c r="AB134" s="158" t="s">
        <v>548</v>
      </c>
      <c r="AC134" s="243" t="s">
        <v>549</v>
      </c>
      <c r="AD134" s="12" t="s">
        <v>423</v>
      </c>
      <c r="AE134" s="60">
        <f t="shared" ref="AE134:BB134" si="30">IF(AE129=0,0,AE133/AE129*100)</f>
        <v>0</v>
      </c>
      <c r="AF134" s="60">
        <f t="shared" si="30"/>
        <v>0</v>
      </c>
      <c r="AG134" s="60">
        <f t="shared" si="30"/>
        <v>0</v>
      </c>
      <c r="AH134" s="60">
        <f t="shared" si="30"/>
        <v>0</v>
      </c>
      <c r="AI134" s="60">
        <f t="shared" si="30"/>
        <v>0</v>
      </c>
      <c r="AJ134" s="60">
        <f t="shared" si="30"/>
        <v>0</v>
      </c>
      <c r="AK134" s="60">
        <f t="shared" si="30"/>
        <v>0</v>
      </c>
      <c r="AL134" s="60">
        <f t="shared" si="30"/>
        <v>0</v>
      </c>
      <c r="AM134" s="60">
        <f t="shared" si="30"/>
        <v>0</v>
      </c>
      <c r="AN134" s="60">
        <f t="shared" si="30"/>
        <v>0</v>
      </c>
      <c r="AO134" s="60">
        <f t="shared" si="30"/>
        <v>0</v>
      </c>
      <c r="AP134" s="60">
        <f t="shared" si="30"/>
        <v>0</v>
      </c>
      <c r="AQ134" s="60">
        <f t="shared" si="30"/>
        <v>0</v>
      </c>
      <c r="AR134" s="60">
        <f t="shared" si="30"/>
        <v>0</v>
      </c>
      <c r="AS134" s="60">
        <f t="shared" si="30"/>
        <v>0</v>
      </c>
      <c r="AT134" s="60">
        <f t="shared" si="30"/>
        <v>0</v>
      </c>
      <c r="AU134" s="60">
        <f t="shared" si="30"/>
        <v>0</v>
      </c>
      <c r="AV134" s="60">
        <f t="shared" si="30"/>
        <v>0</v>
      </c>
      <c r="AW134" s="60">
        <f t="shared" si="30"/>
        <v>0</v>
      </c>
      <c r="AX134" s="60">
        <f t="shared" si="30"/>
        <v>0</v>
      </c>
      <c r="AY134" s="60">
        <f t="shared" si="30"/>
        <v>0</v>
      </c>
      <c r="AZ134" s="60">
        <f t="shared" si="30"/>
        <v>0</v>
      </c>
      <c r="BA134" s="60">
        <f t="shared" si="30"/>
        <v>0</v>
      </c>
      <c r="BB134" s="60">
        <f t="shared" si="30"/>
        <v>0</v>
      </c>
      <c r="BC134" s="200"/>
      <c r="BD134" s="1207"/>
      <c r="BE134" s="1207"/>
      <c r="BF134" s="917" t="s">
        <v>550</v>
      </c>
    </row>
    <row r="135" spans="1:58" s="1327" customFormat="1" ht="14.25" customHeight="1">
      <c r="A135" s="1207"/>
      <c r="B135" s="1076"/>
      <c r="C135" s="1207"/>
      <c r="D135" s="1207"/>
      <c r="E135" s="549">
        <v>15</v>
      </c>
      <c r="F135" s="3" t="str" cm="1">
        <f t="array" aca="1" ref="F135" ca="1">OFFSET(E135,-1,1)</f>
        <v>1</v>
      </c>
      <c r="G135" s="1207"/>
      <c r="H135" s="17" t="s">
        <v>551</v>
      </c>
      <c r="I135" s="1207"/>
      <c r="J135" s="1207"/>
      <c r="K135" s="1207"/>
      <c r="L135" s="1207"/>
      <c r="M135" s="1207"/>
      <c r="N135" s="1207"/>
      <c r="O135" s="1207"/>
      <c r="P135" s="1187"/>
      <c r="Q135" s="1187"/>
      <c r="R135" s="1187"/>
      <c r="S135" s="1187"/>
      <c r="T135" s="381" t="b" cm="1">
        <f t="array" ref="T135">T134</f>
        <v>1</v>
      </c>
      <c r="U135" s="1187"/>
      <c r="V135" s="1207"/>
      <c r="W135" s="1187"/>
      <c r="X135" s="1755"/>
      <c r="Y135" s="1734"/>
      <c r="Z135" s="1207"/>
      <c r="AA135" s="1207"/>
      <c r="AB135" s="158" t="s">
        <v>552</v>
      </c>
      <c r="AC135" s="241" t="s">
        <v>553</v>
      </c>
      <c r="AD135" s="12" t="s">
        <v>499</v>
      </c>
      <c r="AE135" s="229">
        <f t="shared" ref="AE135:BB135" si="31">AE136+AE140+AE143+AE153</f>
        <v>2.7665999999999999</v>
      </c>
      <c r="AF135" s="229">
        <f t="shared" si="31"/>
        <v>0.11</v>
      </c>
      <c r="AG135" s="229">
        <f t="shared" si="31"/>
        <v>0.11</v>
      </c>
      <c r="AH135" s="229">
        <f t="shared" si="31"/>
        <v>2.6282700000000001</v>
      </c>
      <c r="AI135" s="229">
        <f t="shared" si="31"/>
        <v>2.5756999999999999</v>
      </c>
      <c r="AJ135" s="229">
        <f t="shared" si="31"/>
        <v>0</v>
      </c>
      <c r="AK135" s="229">
        <f t="shared" si="31"/>
        <v>0</v>
      </c>
      <c r="AL135" s="229">
        <f t="shared" si="31"/>
        <v>0</v>
      </c>
      <c r="AM135" s="229">
        <f t="shared" si="31"/>
        <v>0</v>
      </c>
      <c r="AN135" s="229">
        <f t="shared" si="31"/>
        <v>0</v>
      </c>
      <c r="AO135" s="229">
        <f t="shared" si="31"/>
        <v>0</v>
      </c>
      <c r="AP135" s="229">
        <f t="shared" si="31"/>
        <v>0</v>
      </c>
      <c r="AQ135" s="229">
        <f t="shared" si="31"/>
        <v>0</v>
      </c>
      <c r="AR135" s="229">
        <f t="shared" si="31"/>
        <v>0</v>
      </c>
      <c r="AS135" s="229">
        <f t="shared" si="31"/>
        <v>2.5756999999999999</v>
      </c>
      <c r="AT135" s="229">
        <f t="shared" si="31"/>
        <v>0</v>
      </c>
      <c r="AU135" s="229">
        <f t="shared" si="31"/>
        <v>0</v>
      </c>
      <c r="AV135" s="229">
        <f t="shared" si="31"/>
        <v>0</v>
      </c>
      <c r="AW135" s="229">
        <f t="shared" si="31"/>
        <v>0</v>
      </c>
      <c r="AX135" s="229">
        <f t="shared" si="31"/>
        <v>0</v>
      </c>
      <c r="AY135" s="229">
        <f t="shared" si="31"/>
        <v>0</v>
      </c>
      <c r="AZ135" s="229">
        <f t="shared" si="31"/>
        <v>0</v>
      </c>
      <c r="BA135" s="229">
        <f t="shared" si="31"/>
        <v>0</v>
      </c>
      <c r="BB135" s="229">
        <f t="shared" si="31"/>
        <v>0</v>
      </c>
      <c r="BC135" s="200"/>
      <c r="BD135" s="1207"/>
      <c r="BE135" s="1207"/>
      <c r="BF135" s="917" t="s">
        <v>554</v>
      </c>
    </row>
    <row r="136" spans="1:58" s="1327" customFormat="1" ht="14.25" customHeight="1">
      <c r="A136" s="1207"/>
      <c r="B136" s="1076"/>
      <c r="C136" s="1207"/>
      <c r="D136" s="1207"/>
      <c r="E136" s="549">
        <v>15</v>
      </c>
      <c r="F136" s="3" t="str" cm="1">
        <f t="array" aca="1" ref="F136" ca="1">OFFSET(E136,-1,1)</f>
        <v>1</v>
      </c>
      <c r="G136" s="17" t="str">
        <f>IF(OwnNeedsInPO="да","ПО","")</f>
        <v>ПО</v>
      </c>
      <c r="H136" s="17" t="s">
        <v>555</v>
      </c>
      <c r="I136" s="1207"/>
      <c r="J136" s="1207"/>
      <c r="K136" s="1207"/>
      <c r="L136" s="1207"/>
      <c r="M136" s="1207"/>
      <c r="N136" s="1207"/>
      <c r="O136" s="1207"/>
      <c r="P136" s="1187"/>
      <c r="Q136" s="1187"/>
      <c r="R136" s="1187"/>
      <c r="S136" s="1187"/>
      <c r="T136" s="381" t="b" cm="1">
        <f t="array" ref="T136">T135</f>
        <v>1</v>
      </c>
      <c r="U136" s="1187"/>
      <c r="V136" s="1207"/>
      <c r="W136" s="1187"/>
      <c r="X136" s="1755"/>
      <c r="Y136" s="1734"/>
      <c r="Z136" s="1207"/>
      <c r="AA136" s="1207"/>
      <c r="AB136" s="158" t="s">
        <v>556</v>
      </c>
      <c r="AC136" s="111" t="s">
        <v>557</v>
      </c>
      <c r="AD136" s="12" t="s">
        <v>499</v>
      </c>
      <c r="AE136" s="229">
        <f t="shared" ref="AE136:BB136" si="32">SUM(AE137:AE139)</f>
        <v>0</v>
      </c>
      <c r="AF136" s="229">
        <f t="shared" si="32"/>
        <v>0</v>
      </c>
      <c r="AG136" s="229">
        <f t="shared" si="32"/>
        <v>0</v>
      </c>
      <c r="AH136" s="229">
        <f t="shared" si="32"/>
        <v>0</v>
      </c>
      <c r="AI136" s="229">
        <f t="shared" si="32"/>
        <v>0</v>
      </c>
      <c r="AJ136" s="229">
        <f t="shared" si="32"/>
        <v>0</v>
      </c>
      <c r="AK136" s="229">
        <f t="shared" si="32"/>
        <v>0</v>
      </c>
      <c r="AL136" s="229">
        <f t="shared" si="32"/>
        <v>0</v>
      </c>
      <c r="AM136" s="229">
        <f t="shared" si="32"/>
        <v>0</v>
      </c>
      <c r="AN136" s="229">
        <f t="shared" si="32"/>
        <v>0</v>
      </c>
      <c r="AO136" s="229">
        <f t="shared" si="32"/>
        <v>0</v>
      </c>
      <c r="AP136" s="229">
        <f t="shared" si="32"/>
        <v>0</v>
      </c>
      <c r="AQ136" s="229">
        <f t="shared" si="32"/>
        <v>0</v>
      </c>
      <c r="AR136" s="229">
        <f t="shared" si="32"/>
        <v>0</v>
      </c>
      <c r="AS136" s="229">
        <f t="shared" si="32"/>
        <v>0</v>
      </c>
      <c r="AT136" s="229">
        <f t="shared" si="32"/>
        <v>0</v>
      </c>
      <c r="AU136" s="229">
        <f t="shared" si="32"/>
        <v>0</v>
      </c>
      <c r="AV136" s="229">
        <f t="shared" si="32"/>
        <v>0</v>
      </c>
      <c r="AW136" s="229">
        <f t="shared" si="32"/>
        <v>0</v>
      </c>
      <c r="AX136" s="229">
        <f t="shared" si="32"/>
        <v>0</v>
      </c>
      <c r="AY136" s="229">
        <f t="shared" si="32"/>
        <v>0</v>
      </c>
      <c r="AZ136" s="229">
        <f t="shared" si="32"/>
        <v>0</v>
      </c>
      <c r="BA136" s="229">
        <f t="shared" si="32"/>
        <v>0</v>
      </c>
      <c r="BB136" s="229">
        <f t="shared" si="32"/>
        <v>0</v>
      </c>
      <c r="BC136" s="200"/>
      <c r="BD136" s="1207"/>
      <c r="BE136" s="1207"/>
      <c r="BF136" s="917" t="s">
        <v>558</v>
      </c>
    </row>
    <row r="137" spans="1:58" s="1327" customFormat="1" ht="14.25" customHeight="1">
      <c r="A137" s="1207"/>
      <c r="B137" s="1076"/>
      <c r="C137" s="1207"/>
      <c r="D137" s="1207"/>
      <c r="E137" s="549">
        <v>15</v>
      </c>
      <c r="F137" s="3" t="str" cm="1">
        <f t="array" aca="1" ref="F137" ca="1">OFFSET(E137,-1,1)</f>
        <v>1</v>
      </c>
      <c r="G137" s="1207"/>
      <c r="H137" s="17" t="s">
        <v>559</v>
      </c>
      <c r="I137" s="1207"/>
      <c r="J137" s="1207"/>
      <c r="K137" s="1207"/>
      <c r="L137" s="1207"/>
      <c r="M137" s="1207"/>
      <c r="N137" s="1207"/>
      <c r="O137" s="1207"/>
      <c r="P137" s="1187"/>
      <c r="Q137" s="1187"/>
      <c r="R137" s="1187"/>
      <c r="S137" s="1187"/>
      <c r="T137" s="381" t="b" cm="1">
        <f t="array" ref="T137">T136</f>
        <v>1</v>
      </c>
      <c r="U137" s="1187"/>
      <c r="V137" s="1207"/>
      <c r="W137" s="1187"/>
      <c r="X137" s="1755"/>
      <c r="Y137" s="1734"/>
      <c r="Z137" s="1207"/>
      <c r="AA137" s="1207"/>
      <c r="AB137" s="158" t="s">
        <v>560</v>
      </c>
      <c r="AC137" s="244" t="s">
        <v>561</v>
      </c>
      <c r="AD137" s="12" t="s">
        <v>499</v>
      </c>
      <c r="AE137" s="195"/>
      <c r="AF137" s="195"/>
      <c r="AG137" s="195"/>
      <c r="AH137" s="195"/>
      <c r="AI137" s="195"/>
      <c r="AJ137" s="195"/>
      <c r="AK137" s="195"/>
      <c r="AL137" s="195"/>
      <c r="AM137" s="195"/>
      <c r="AN137" s="195"/>
      <c r="AO137" s="195"/>
      <c r="AP137" s="195"/>
      <c r="AQ137" s="195"/>
      <c r="AR137" s="195"/>
      <c r="AS137" s="195"/>
      <c r="AT137" s="195"/>
      <c r="AU137" s="195"/>
      <c r="AV137" s="195"/>
      <c r="AW137" s="195"/>
      <c r="AX137" s="195"/>
      <c r="AY137" s="195"/>
      <c r="AZ137" s="195"/>
      <c r="BA137" s="195"/>
      <c r="BB137" s="195"/>
      <c r="BC137" s="200"/>
      <c r="BD137" s="1207"/>
      <c r="BE137" s="1207"/>
      <c r="BF137" s="917" t="s">
        <v>562</v>
      </c>
    </row>
    <row r="138" spans="1:58" s="1327" customFormat="1" ht="14.25" customHeight="1">
      <c r="A138" s="1207"/>
      <c r="B138" s="1076"/>
      <c r="C138" s="1207"/>
      <c r="D138" s="1207"/>
      <c r="E138" s="549">
        <v>15</v>
      </c>
      <c r="F138" s="3" t="str" cm="1">
        <f t="array" aca="1" ref="F138" ca="1">OFFSET(E138,-1,1)</f>
        <v>1</v>
      </c>
      <c r="G138" s="1207"/>
      <c r="H138" s="17" t="s">
        <v>563</v>
      </c>
      <c r="I138" s="1207"/>
      <c r="J138" s="1207"/>
      <c r="K138" s="1207"/>
      <c r="L138" s="1207"/>
      <c r="M138" s="1207"/>
      <c r="N138" s="1207"/>
      <c r="O138" s="1207"/>
      <c r="P138" s="1187"/>
      <c r="Q138" s="1187"/>
      <c r="R138" s="1187"/>
      <c r="S138" s="1187"/>
      <c r="T138" s="381" t="b" cm="1">
        <f t="array" ref="T138">T137</f>
        <v>1</v>
      </c>
      <c r="U138" s="1187"/>
      <c r="V138" s="1207"/>
      <c r="W138" s="1187"/>
      <c r="X138" s="1755"/>
      <c r="Y138" s="1734"/>
      <c r="Z138" s="1207"/>
      <c r="AA138" s="1207"/>
      <c r="AB138" s="158" t="s">
        <v>564</v>
      </c>
      <c r="AC138" s="244" t="s">
        <v>565</v>
      </c>
      <c r="AD138" s="12" t="s">
        <v>499</v>
      </c>
      <c r="AE138" s="195"/>
      <c r="AF138" s="195"/>
      <c r="AG138" s="195"/>
      <c r="AH138" s="195"/>
      <c r="AI138" s="195"/>
      <c r="AJ138" s="195"/>
      <c r="AK138" s="195"/>
      <c r="AL138" s="195"/>
      <c r="AM138" s="195"/>
      <c r="AN138" s="195"/>
      <c r="AO138" s="195"/>
      <c r="AP138" s="195"/>
      <c r="AQ138" s="195"/>
      <c r="AR138" s="195"/>
      <c r="AS138" s="195"/>
      <c r="AT138" s="195"/>
      <c r="AU138" s="195"/>
      <c r="AV138" s="195"/>
      <c r="AW138" s="195"/>
      <c r="AX138" s="195"/>
      <c r="AY138" s="195"/>
      <c r="AZ138" s="195"/>
      <c r="BA138" s="195"/>
      <c r="BB138" s="195"/>
      <c r="BC138" s="200"/>
      <c r="BD138" s="1207"/>
      <c r="BE138" s="1207"/>
      <c r="BF138" s="917" t="s">
        <v>566</v>
      </c>
    </row>
    <row r="139" spans="1:58" s="1327" customFormat="1" ht="14.25" customHeight="1">
      <c r="A139" s="1207"/>
      <c r="B139" s="1076"/>
      <c r="C139" s="1207"/>
      <c r="D139" s="1207"/>
      <c r="E139" s="549">
        <v>15</v>
      </c>
      <c r="F139" s="3" t="str" cm="1">
        <f t="array" aca="1" ref="F139" ca="1">OFFSET(E139,-1,1)</f>
        <v>1</v>
      </c>
      <c r="G139" s="1207"/>
      <c r="H139" s="17" t="s">
        <v>567</v>
      </c>
      <c r="I139" s="1207"/>
      <c r="J139" s="1207"/>
      <c r="K139" s="1207"/>
      <c r="L139" s="1207"/>
      <c r="M139" s="1207"/>
      <c r="N139" s="1207"/>
      <c r="O139" s="1207"/>
      <c r="P139" s="1187"/>
      <c r="Q139" s="1187"/>
      <c r="R139" s="1187"/>
      <c r="S139" s="1187"/>
      <c r="T139" s="381" t="b" cm="1">
        <f t="array" ref="T139">T138</f>
        <v>1</v>
      </c>
      <c r="U139" s="1187"/>
      <c r="V139" s="1207"/>
      <c r="W139" s="1187"/>
      <c r="X139" s="1755"/>
      <c r="Y139" s="1734"/>
      <c r="Z139" s="1207"/>
      <c r="AA139" s="1207"/>
      <c r="AB139" s="158" t="s">
        <v>568</v>
      </c>
      <c r="AC139" s="244" t="s">
        <v>569</v>
      </c>
      <c r="AD139" s="12" t="s">
        <v>499</v>
      </c>
      <c r="AE139" s="195"/>
      <c r="AF139" s="195"/>
      <c r="AG139" s="195"/>
      <c r="AH139" s="195"/>
      <c r="AI139" s="195"/>
      <c r="AJ139" s="195"/>
      <c r="AK139" s="195"/>
      <c r="AL139" s="195"/>
      <c r="AM139" s="195"/>
      <c r="AN139" s="195"/>
      <c r="AO139" s="195"/>
      <c r="AP139" s="195"/>
      <c r="AQ139" s="195"/>
      <c r="AR139" s="195"/>
      <c r="AS139" s="195"/>
      <c r="AT139" s="195"/>
      <c r="AU139" s="195"/>
      <c r="AV139" s="195"/>
      <c r="AW139" s="195"/>
      <c r="AX139" s="195"/>
      <c r="AY139" s="195"/>
      <c r="AZ139" s="195"/>
      <c r="BA139" s="195"/>
      <c r="BB139" s="195"/>
      <c r="BC139" s="200"/>
      <c r="BD139" s="1207"/>
      <c r="BE139" s="1207"/>
      <c r="BF139" s="917" t="s">
        <v>570</v>
      </c>
    </row>
    <row r="140" spans="1:58" s="1327" customFormat="1" ht="14.25" customHeight="1">
      <c r="A140" s="1207"/>
      <c r="B140" s="1076"/>
      <c r="C140" s="1207"/>
      <c r="D140" s="1207"/>
      <c r="E140" s="549">
        <v>15</v>
      </c>
      <c r="F140" s="3" t="str" cm="1">
        <f t="array" aca="1" ref="F140" ca="1">OFFSET(E140,-1,1)</f>
        <v>1</v>
      </c>
      <c r="G140" s="17" t="s">
        <v>571</v>
      </c>
      <c r="H140" s="17" t="s">
        <v>572</v>
      </c>
      <c r="I140" s="1207"/>
      <c r="J140" s="1207"/>
      <c r="K140" s="1207"/>
      <c r="L140" s="1207"/>
      <c r="M140" s="1207"/>
      <c r="N140" s="1207"/>
      <c r="O140" s="1207"/>
      <c r="P140" s="1187"/>
      <c r="Q140" s="1187"/>
      <c r="R140" s="1187"/>
      <c r="S140" s="1187"/>
      <c r="T140" s="381" t="b" cm="1">
        <f t="array" ref="T140">T139</f>
        <v>1</v>
      </c>
      <c r="U140" s="1187"/>
      <c r="V140" s="1207"/>
      <c r="W140" s="1187"/>
      <c r="X140" s="1755"/>
      <c r="Y140" s="1734"/>
      <c r="Z140" s="1207"/>
      <c r="AA140" s="1207"/>
      <c r="AB140" s="158" t="s">
        <v>573</v>
      </c>
      <c r="AC140" s="111" t="s">
        <v>574</v>
      </c>
      <c r="AD140" s="12" t="s">
        <v>499</v>
      </c>
      <c r="AE140" s="229">
        <f t="shared" ref="AE140:BB140" si="33">SUM(AE141:AE142)</f>
        <v>0</v>
      </c>
      <c r="AF140" s="229">
        <f t="shared" si="33"/>
        <v>0</v>
      </c>
      <c r="AG140" s="229">
        <f t="shared" si="33"/>
        <v>0</v>
      </c>
      <c r="AH140" s="229">
        <f t="shared" si="33"/>
        <v>0</v>
      </c>
      <c r="AI140" s="229">
        <f t="shared" si="33"/>
        <v>0</v>
      </c>
      <c r="AJ140" s="229">
        <f t="shared" si="33"/>
        <v>0</v>
      </c>
      <c r="AK140" s="229">
        <f t="shared" si="33"/>
        <v>0</v>
      </c>
      <c r="AL140" s="229">
        <f t="shared" si="33"/>
        <v>0</v>
      </c>
      <c r="AM140" s="229">
        <f t="shared" si="33"/>
        <v>0</v>
      </c>
      <c r="AN140" s="229">
        <f t="shared" si="33"/>
        <v>0</v>
      </c>
      <c r="AO140" s="229">
        <f t="shared" si="33"/>
        <v>0</v>
      </c>
      <c r="AP140" s="229">
        <f t="shared" si="33"/>
        <v>0</v>
      </c>
      <c r="AQ140" s="229">
        <f t="shared" si="33"/>
        <v>0</v>
      </c>
      <c r="AR140" s="229">
        <f t="shared" si="33"/>
        <v>0</v>
      </c>
      <c r="AS140" s="229">
        <f t="shared" si="33"/>
        <v>0</v>
      </c>
      <c r="AT140" s="229">
        <f t="shared" si="33"/>
        <v>0</v>
      </c>
      <c r="AU140" s="229">
        <f t="shared" si="33"/>
        <v>0</v>
      </c>
      <c r="AV140" s="229">
        <f t="shared" si="33"/>
        <v>0</v>
      </c>
      <c r="AW140" s="229">
        <f t="shared" si="33"/>
        <v>0</v>
      </c>
      <c r="AX140" s="229">
        <f t="shared" si="33"/>
        <v>0</v>
      </c>
      <c r="AY140" s="229">
        <f t="shared" si="33"/>
        <v>0</v>
      </c>
      <c r="AZ140" s="229">
        <f t="shared" si="33"/>
        <v>0</v>
      </c>
      <c r="BA140" s="229">
        <f t="shared" si="33"/>
        <v>0</v>
      </c>
      <c r="BB140" s="229">
        <f t="shared" si="33"/>
        <v>0</v>
      </c>
      <c r="BC140" s="200"/>
      <c r="BD140" s="1207"/>
      <c r="BE140" s="1207"/>
      <c r="BF140" s="917" t="s">
        <v>575</v>
      </c>
    </row>
    <row r="141" spans="1:58" s="1327" customFormat="1" ht="14.25" customHeight="1">
      <c r="A141" s="1207"/>
      <c r="B141" s="1076"/>
      <c r="C141" s="1207"/>
      <c r="D141" s="1207"/>
      <c r="E141" s="549">
        <v>15</v>
      </c>
      <c r="F141" s="3" t="str" cm="1">
        <f t="array" aca="1" ref="F141" ca="1">OFFSET(E141,-1,1)</f>
        <v>1</v>
      </c>
      <c r="G141" s="1207"/>
      <c r="H141" s="17" t="s">
        <v>576</v>
      </c>
      <c r="I141" s="1207"/>
      <c r="J141" s="1207"/>
      <c r="K141" s="1207"/>
      <c r="L141" s="1207"/>
      <c r="M141" s="1207"/>
      <c r="N141" s="1207"/>
      <c r="O141" s="1207"/>
      <c r="P141" s="1187"/>
      <c r="Q141" s="1187"/>
      <c r="R141" s="1187"/>
      <c r="S141" s="1187"/>
      <c r="T141" s="381" t="b" cm="1">
        <f t="array" ref="T141">T140</f>
        <v>1</v>
      </c>
      <c r="U141" s="1187"/>
      <c r="V141" s="1207"/>
      <c r="W141" s="1187"/>
      <c r="X141" s="1755"/>
      <c r="Y141" s="1734"/>
      <c r="Z141" s="1207"/>
      <c r="AA141" s="1207"/>
      <c r="AB141" s="158" t="s">
        <v>577</v>
      </c>
      <c r="AC141" s="244" t="s">
        <v>578</v>
      </c>
      <c r="AD141" s="12" t="s">
        <v>499</v>
      </c>
      <c r="AE141" s="195"/>
      <c r="AF141" s="195"/>
      <c r="AG141" s="195"/>
      <c r="AH141" s="195"/>
      <c r="AI141" s="195"/>
      <c r="AJ141" s="195"/>
      <c r="AK141" s="195"/>
      <c r="AL141" s="195"/>
      <c r="AM141" s="195"/>
      <c r="AN141" s="195"/>
      <c r="AO141" s="195"/>
      <c r="AP141" s="195"/>
      <c r="AQ141" s="195"/>
      <c r="AR141" s="195"/>
      <c r="AS141" s="195"/>
      <c r="AT141" s="195"/>
      <c r="AU141" s="195"/>
      <c r="AV141" s="195"/>
      <c r="AW141" s="195"/>
      <c r="AX141" s="195"/>
      <c r="AY141" s="195"/>
      <c r="AZ141" s="195"/>
      <c r="BA141" s="195"/>
      <c r="BB141" s="195"/>
      <c r="BC141" s="200"/>
      <c r="BD141" s="1207"/>
      <c r="BE141" s="1207"/>
      <c r="BF141" s="917" t="s">
        <v>579</v>
      </c>
    </row>
    <row r="142" spans="1:58" s="1327" customFormat="1" ht="14.25" customHeight="1">
      <c r="A142" s="1207"/>
      <c r="B142" s="1076"/>
      <c r="C142" s="1207"/>
      <c r="D142" s="1207"/>
      <c r="E142" s="549">
        <v>15</v>
      </c>
      <c r="F142" s="3" t="str" cm="1">
        <f t="array" aca="1" ref="F142" ca="1">OFFSET(E142,-1,1)</f>
        <v>1</v>
      </c>
      <c r="G142" s="1207"/>
      <c r="H142" s="17" t="s">
        <v>580</v>
      </c>
      <c r="I142" s="1207"/>
      <c r="J142" s="1207"/>
      <c r="K142" s="1207"/>
      <c r="L142" s="1207"/>
      <c r="M142" s="1207"/>
      <c r="N142" s="1207"/>
      <c r="O142" s="1207"/>
      <c r="P142" s="1187"/>
      <c r="Q142" s="1187"/>
      <c r="R142" s="1187"/>
      <c r="S142" s="1187"/>
      <c r="T142" s="381" t="b" cm="1">
        <f t="array" ref="T142">T141</f>
        <v>1</v>
      </c>
      <c r="U142" s="1187"/>
      <c r="V142" s="1207"/>
      <c r="W142" s="1187"/>
      <c r="X142" s="1755"/>
      <c r="Y142" s="1734"/>
      <c r="Z142" s="1207"/>
      <c r="AA142" s="1207"/>
      <c r="AB142" s="158" t="s">
        <v>581</v>
      </c>
      <c r="AC142" s="244" t="s">
        <v>582</v>
      </c>
      <c r="AD142" s="12" t="s">
        <v>499</v>
      </c>
      <c r="AE142" s="195"/>
      <c r="AF142" s="195"/>
      <c r="AG142" s="195"/>
      <c r="AH142" s="195"/>
      <c r="AI142" s="195"/>
      <c r="AJ142" s="195"/>
      <c r="AK142" s="195"/>
      <c r="AL142" s="195"/>
      <c r="AM142" s="195"/>
      <c r="AN142" s="195"/>
      <c r="AO142" s="195"/>
      <c r="AP142" s="195"/>
      <c r="AQ142" s="195"/>
      <c r="AR142" s="195"/>
      <c r="AS142" s="195"/>
      <c r="AT142" s="195"/>
      <c r="AU142" s="195"/>
      <c r="AV142" s="195"/>
      <c r="AW142" s="195"/>
      <c r="AX142" s="195"/>
      <c r="AY142" s="195"/>
      <c r="AZ142" s="195"/>
      <c r="BA142" s="195"/>
      <c r="BB142" s="195"/>
      <c r="BC142" s="200"/>
      <c r="BD142" s="1207"/>
      <c r="BE142" s="1207"/>
      <c r="BF142" s="917" t="s">
        <v>583</v>
      </c>
    </row>
    <row r="143" spans="1:58" s="1327" customFormat="1" ht="14.25" customHeight="1">
      <c r="A143" s="1207"/>
      <c r="B143" s="1076"/>
      <c r="C143" s="1207"/>
      <c r="D143" s="1207"/>
      <c r="E143" s="549">
        <v>15</v>
      </c>
      <c r="F143" s="3" t="str" cm="1">
        <f t="array" aca="1" ref="F143" ca="1">OFFSET(E143,-1,1)</f>
        <v>1</v>
      </c>
      <c r="G143" s="17" t="s">
        <v>571</v>
      </c>
      <c r="H143" s="17" t="s">
        <v>584</v>
      </c>
      <c r="I143" s="1207"/>
      <c r="J143" s="1207"/>
      <c r="K143" s="1207"/>
      <c r="L143" s="1207"/>
      <c r="M143" s="1207"/>
      <c r="N143" s="1207"/>
      <c r="O143" s="1207"/>
      <c r="P143" s="1187"/>
      <c r="Q143" s="1187"/>
      <c r="R143" s="1187"/>
      <c r="S143" s="1187"/>
      <c r="T143" s="381" t="b" cm="1">
        <f t="array" ref="T143">T142</f>
        <v>1</v>
      </c>
      <c r="U143" s="1187"/>
      <c r="V143" s="1207"/>
      <c r="W143" s="1187"/>
      <c r="X143" s="1755"/>
      <c r="Y143" s="1734"/>
      <c r="Z143" s="1207"/>
      <c r="AA143" s="1207"/>
      <c r="AB143" s="158" t="s">
        <v>585</v>
      </c>
      <c r="AC143" s="111" t="s">
        <v>586</v>
      </c>
      <c r="AD143" s="12" t="s">
        <v>499</v>
      </c>
      <c r="AE143" s="229">
        <f t="shared" ref="AE143:BB143" si="34">AE144+AE147+AE150</f>
        <v>2.7665999999999999</v>
      </c>
      <c r="AF143" s="229">
        <f t="shared" si="34"/>
        <v>0.11</v>
      </c>
      <c r="AG143" s="229">
        <f t="shared" si="34"/>
        <v>0.11</v>
      </c>
      <c r="AH143" s="229">
        <f t="shared" si="34"/>
        <v>2.6282700000000001</v>
      </c>
      <c r="AI143" s="229">
        <f t="shared" si="34"/>
        <v>2.5756999999999999</v>
      </c>
      <c r="AJ143" s="229">
        <f t="shared" si="34"/>
        <v>0</v>
      </c>
      <c r="AK143" s="229">
        <f t="shared" si="34"/>
        <v>0</v>
      </c>
      <c r="AL143" s="229">
        <f t="shared" si="34"/>
        <v>0</v>
      </c>
      <c r="AM143" s="229">
        <f t="shared" si="34"/>
        <v>0</v>
      </c>
      <c r="AN143" s="229">
        <f t="shared" si="34"/>
        <v>0</v>
      </c>
      <c r="AO143" s="229">
        <f t="shared" si="34"/>
        <v>0</v>
      </c>
      <c r="AP143" s="229">
        <f t="shared" si="34"/>
        <v>0</v>
      </c>
      <c r="AQ143" s="229">
        <f t="shared" si="34"/>
        <v>0</v>
      </c>
      <c r="AR143" s="229">
        <f t="shared" si="34"/>
        <v>0</v>
      </c>
      <c r="AS143" s="229">
        <f t="shared" si="34"/>
        <v>2.5756999999999999</v>
      </c>
      <c r="AT143" s="229">
        <f t="shared" si="34"/>
        <v>0</v>
      </c>
      <c r="AU143" s="229">
        <f t="shared" si="34"/>
        <v>0</v>
      </c>
      <c r="AV143" s="229">
        <f t="shared" si="34"/>
        <v>0</v>
      </c>
      <c r="AW143" s="229">
        <f t="shared" si="34"/>
        <v>0</v>
      </c>
      <c r="AX143" s="229">
        <f t="shared" si="34"/>
        <v>0</v>
      </c>
      <c r="AY143" s="229">
        <f t="shared" si="34"/>
        <v>0</v>
      </c>
      <c r="AZ143" s="229">
        <f t="shared" si="34"/>
        <v>0</v>
      </c>
      <c r="BA143" s="229">
        <f t="shared" si="34"/>
        <v>0</v>
      </c>
      <c r="BB143" s="229">
        <f t="shared" si="34"/>
        <v>0</v>
      </c>
      <c r="BC143" s="200"/>
      <c r="BD143" s="1207"/>
      <c r="BE143" s="1207"/>
      <c r="BF143" s="917" t="s">
        <v>587</v>
      </c>
    </row>
    <row r="144" spans="1:58" s="1327" customFormat="1" ht="14.25" customHeight="1">
      <c r="A144" s="1207"/>
      <c r="B144" s="1076"/>
      <c r="C144" s="1207"/>
      <c r="D144" s="1207"/>
      <c r="E144" s="549">
        <v>15</v>
      </c>
      <c r="F144" s="3" t="str" cm="1">
        <f t="array" aca="1" ref="F144" ca="1">OFFSET(E144,-1,1)</f>
        <v>1</v>
      </c>
      <c r="G144" s="1207"/>
      <c r="H144" s="17" t="s">
        <v>588</v>
      </c>
      <c r="I144" s="1207"/>
      <c r="J144" s="1207"/>
      <c r="K144" s="1207"/>
      <c r="L144" s="1207"/>
      <c r="M144" s="1207"/>
      <c r="N144" s="1207"/>
      <c r="O144" s="1207"/>
      <c r="P144" s="1187"/>
      <c r="Q144" s="1187"/>
      <c r="R144" s="1187"/>
      <c r="S144" s="1187"/>
      <c r="T144" s="381" t="b" cm="1">
        <f t="array" ref="T144">T143</f>
        <v>1</v>
      </c>
      <c r="U144" s="1187"/>
      <c r="V144" s="1207"/>
      <c r="W144" s="1187"/>
      <c r="X144" s="1755"/>
      <c r="Y144" s="1734"/>
      <c r="Z144" s="1207"/>
      <c r="AA144" s="1207"/>
      <c r="AB144" s="158" t="s">
        <v>589</v>
      </c>
      <c r="AC144" s="244" t="s">
        <v>590</v>
      </c>
      <c r="AD144" s="12" t="s">
        <v>499</v>
      </c>
      <c r="AE144" s="229">
        <f t="shared" ref="AE144:BB144" si="35">SUM(AE145:AE146)</f>
        <v>0</v>
      </c>
      <c r="AF144" s="229">
        <f t="shared" si="35"/>
        <v>0</v>
      </c>
      <c r="AG144" s="229">
        <f t="shared" si="35"/>
        <v>0</v>
      </c>
      <c r="AH144" s="229">
        <f t="shared" si="35"/>
        <v>0</v>
      </c>
      <c r="AI144" s="229">
        <f t="shared" si="35"/>
        <v>0</v>
      </c>
      <c r="AJ144" s="229">
        <f t="shared" si="35"/>
        <v>0</v>
      </c>
      <c r="AK144" s="229">
        <f t="shared" si="35"/>
        <v>0</v>
      </c>
      <c r="AL144" s="229">
        <f t="shared" si="35"/>
        <v>0</v>
      </c>
      <c r="AM144" s="229">
        <f t="shared" si="35"/>
        <v>0</v>
      </c>
      <c r="AN144" s="229">
        <f t="shared" si="35"/>
        <v>0</v>
      </c>
      <c r="AO144" s="229">
        <f t="shared" si="35"/>
        <v>0</v>
      </c>
      <c r="AP144" s="229">
        <f t="shared" si="35"/>
        <v>0</v>
      </c>
      <c r="AQ144" s="229">
        <f t="shared" si="35"/>
        <v>0</v>
      </c>
      <c r="AR144" s="229">
        <f t="shared" si="35"/>
        <v>0</v>
      </c>
      <c r="AS144" s="229">
        <f t="shared" si="35"/>
        <v>0</v>
      </c>
      <c r="AT144" s="229">
        <f t="shared" si="35"/>
        <v>0</v>
      </c>
      <c r="AU144" s="229">
        <f t="shared" si="35"/>
        <v>0</v>
      </c>
      <c r="AV144" s="229">
        <f t="shared" si="35"/>
        <v>0</v>
      </c>
      <c r="AW144" s="229">
        <f t="shared" si="35"/>
        <v>0</v>
      </c>
      <c r="AX144" s="229">
        <f t="shared" si="35"/>
        <v>0</v>
      </c>
      <c r="AY144" s="229">
        <f t="shared" si="35"/>
        <v>0</v>
      </c>
      <c r="AZ144" s="229">
        <f t="shared" si="35"/>
        <v>0</v>
      </c>
      <c r="BA144" s="229">
        <f t="shared" si="35"/>
        <v>0</v>
      </c>
      <c r="BB144" s="229">
        <f t="shared" si="35"/>
        <v>0</v>
      </c>
      <c r="BC144" s="200"/>
      <c r="BD144" s="1207"/>
      <c r="BE144" s="1207"/>
      <c r="BF144" s="917" t="s">
        <v>591</v>
      </c>
    </row>
    <row r="145" spans="1:58" s="1327" customFormat="1" ht="14.25" customHeight="1">
      <c r="A145" s="1207"/>
      <c r="B145" s="1076"/>
      <c r="C145" s="1207"/>
      <c r="D145" s="1207"/>
      <c r="E145" s="549">
        <v>15</v>
      </c>
      <c r="F145" s="3" t="str" cm="1">
        <f t="array" aca="1" ref="F145" ca="1">OFFSET(E145,-1,1)</f>
        <v>1</v>
      </c>
      <c r="G145" s="1207"/>
      <c r="H145" s="17" t="s">
        <v>592</v>
      </c>
      <c r="I145" s="1207"/>
      <c r="J145" s="1207"/>
      <c r="K145" s="1207"/>
      <c r="L145" s="1207"/>
      <c r="M145" s="1207"/>
      <c r="N145" s="1207"/>
      <c r="O145" s="1207"/>
      <c r="P145" s="1187"/>
      <c r="Q145" s="1187"/>
      <c r="R145" s="1187"/>
      <c r="S145" s="1187"/>
      <c r="T145" s="381" t="b" cm="1">
        <f t="array" ref="T145">T144</f>
        <v>1</v>
      </c>
      <c r="U145" s="1187"/>
      <c r="V145" s="1207"/>
      <c r="W145" s="1187"/>
      <c r="X145" s="1755"/>
      <c r="Y145" s="1734"/>
      <c r="Z145" s="1207"/>
      <c r="AA145" s="1207"/>
      <c r="AB145" s="158" t="s">
        <v>593</v>
      </c>
      <c r="AC145" s="245" t="s">
        <v>578</v>
      </c>
      <c r="AD145" s="12" t="s">
        <v>499</v>
      </c>
      <c r="AE145" s="195"/>
      <c r="AF145" s="195"/>
      <c r="AG145" s="195"/>
      <c r="AH145" s="195"/>
      <c r="AI145" s="195"/>
      <c r="AJ145" s="195"/>
      <c r="AK145" s="195"/>
      <c r="AL145" s="195"/>
      <c r="AM145" s="195"/>
      <c r="AN145" s="195"/>
      <c r="AO145" s="195"/>
      <c r="AP145" s="195"/>
      <c r="AQ145" s="195"/>
      <c r="AR145" s="195"/>
      <c r="AS145" s="195"/>
      <c r="AT145" s="195"/>
      <c r="AU145" s="195"/>
      <c r="AV145" s="195"/>
      <c r="AW145" s="195"/>
      <c r="AX145" s="195"/>
      <c r="AY145" s="195"/>
      <c r="AZ145" s="195"/>
      <c r="BA145" s="195"/>
      <c r="BB145" s="195"/>
      <c r="BC145" s="200"/>
      <c r="BD145" s="1207"/>
      <c r="BE145" s="1207"/>
      <c r="BF145" s="917" t="s">
        <v>594</v>
      </c>
    </row>
    <row r="146" spans="1:58" s="1327" customFormat="1" ht="14.65" customHeight="1">
      <c r="A146" s="1207"/>
      <c r="B146" s="1076"/>
      <c r="C146" s="1207"/>
      <c r="D146" s="1207"/>
      <c r="E146" s="549">
        <v>15</v>
      </c>
      <c r="F146" s="3" t="str" cm="1">
        <f t="array" aca="1" ref="F146" ca="1">OFFSET(E146,-1,1)</f>
        <v>1</v>
      </c>
      <c r="G146" s="1207"/>
      <c r="H146" s="17" t="s">
        <v>595</v>
      </c>
      <c r="I146" s="1207"/>
      <c r="J146" s="1207"/>
      <c r="K146" s="1207"/>
      <c r="L146" s="1207"/>
      <c r="M146" s="1207"/>
      <c r="N146" s="1207"/>
      <c r="O146" s="1207"/>
      <c r="P146" s="1187"/>
      <c r="Q146" s="1187"/>
      <c r="R146" s="1187"/>
      <c r="S146" s="1187"/>
      <c r="T146" s="381" t="b" cm="1">
        <f t="array" ref="T146">T145</f>
        <v>1</v>
      </c>
      <c r="U146" s="1187"/>
      <c r="V146" s="1207"/>
      <c r="W146" s="1187"/>
      <c r="X146" s="1755"/>
      <c r="Y146" s="1734"/>
      <c r="Z146" s="1207"/>
      <c r="AA146" s="1207"/>
      <c r="AB146" s="158" t="s">
        <v>596</v>
      </c>
      <c r="AC146" s="245" t="s">
        <v>582</v>
      </c>
      <c r="AD146" s="12" t="s">
        <v>499</v>
      </c>
      <c r="AE146" s="195"/>
      <c r="AF146" s="195"/>
      <c r="AG146" s="195"/>
      <c r="AH146" s="195"/>
      <c r="AI146" s="195"/>
      <c r="AJ146" s="195"/>
      <c r="AK146" s="195"/>
      <c r="AL146" s="195"/>
      <c r="AM146" s="195"/>
      <c r="AN146" s="195"/>
      <c r="AO146" s="195"/>
      <c r="AP146" s="195"/>
      <c r="AQ146" s="195"/>
      <c r="AR146" s="195"/>
      <c r="AS146" s="195"/>
      <c r="AT146" s="195"/>
      <c r="AU146" s="195"/>
      <c r="AV146" s="195"/>
      <c r="AW146" s="195"/>
      <c r="AX146" s="195"/>
      <c r="AY146" s="195"/>
      <c r="AZ146" s="195"/>
      <c r="BA146" s="195"/>
      <c r="BB146" s="195"/>
      <c r="BC146" s="200"/>
      <c r="BD146" s="1207"/>
      <c r="BE146" s="1207"/>
      <c r="BF146" s="917" t="s">
        <v>597</v>
      </c>
    </row>
    <row r="147" spans="1:58" s="1327" customFormat="1" ht="14.25" customHeight="1">
      <c r="A147" s="1207"/>
      <c r="B147" s="1076"/>
      <c r="C147" s="1207"/>
      <c r="D147" s="1207"/>
      <c r="E147" s="549">
        <v>15</v>
      </c>
      <c r="F147" s="3" t="str" cm="1">
        <f t="array" aca="1" ref="F147" ca="1">OFFSET(E147,-1,1)</f>
        <v>1</v>
      </c>
      <c r="G147" s="17" t="s">
        <v>598</v>
      </c>
      <c r="H147" s="17" t="s">
        <v>599</v>
      </c>
      <c r="I147" s="1207"/>
      <c r="J147" s="1207"/>
      <c r="K147" s="1207"/>
      <c r="L147" s="1207"/>
      <c r="M147" s="1207"/>
      <c r="N147" s="1207"/>
      <c r="O147" s="1207"/>
      <c r="P147" s="1187"/>
      <c r="Q147" s="1187"/>
      <c r="R147" s="1187"/>
      <c r="S147" s="1187"/>
      <c r="T147" s="381" t="b" cm="1">
        <f t="array" ref="T147">T146</f>
        <v>1</v>
      </c>
      <c r="U147" s="1187"/>
      <c r="V147" s="1207"/>
      <c r="W147" s="1187"/>
      <c r="X147" s="1755"/>
      <c r="Y147" s="1734"/>
      <c r="Z147" s="1207"/>
      <c r="AA147" s="1207"/>
      <c r="AB147" s="158" t="s">
        <v>600</v>
      </c>
      <c r="AC147" s="244" t="s">
        <v>601</v>
      </c>
      <c r="AD147" s="12" t="s">
        <v>499</v>
      </c>
      <c r="AE147" s="229">
        <f t="shared" ref="AE147:BB147" si="36">SUM(AE148:AE149)</f>
        <v>2.7665999999999999</v>
      </c>
      <c r="AF147" s="229">
        <f t="shared" si="36"/>
        <v>0.11</v>
      </c>
      <c r="AG147" s="229">
        <f t="shared" si="36"/>
        <v>0.11</v>
      </c>
      <c r="AH147" s="229">
        <f t="shared" si="36"/>
        <v>2.6282700000000001</v>
      </c>
      <c r="AI147" s="229">
        <f t="shared" si="36"/>
        <v>2.5756999999999999</v>
      </c>
      <c r="AJ147" s="229">
        <f t="shared" si="36"/>
        <v>0</v>
      </c>
      <c r="AK147" s="229">
        <f t="shared" si="36"/>
        <v>0</v>
      </c>
      <c r="AL147" s="229">
        <f t="shared" si="36"/>
        <v>0</v>
      </c>
      <c r="AM147" s="229">
        <f t="shared" si="36"/>
        <v>0</v>
      </c>
      <c r="AN147" s="229">
        <f t="shared" si="36"/>
        <v>0</v>
      </c>
      <c r="AO147" s="229">
        <f t="shared" si="36"/>
        <v>0</v>
      </c>
      <c r="AP147" s="229">
        <f t="shared" si="36"/>
        <v>0</v>
      </c>
      <c r="AQ147" s="229">
        <f t="shared" si="36"/>
        <v>0</v>
      </c>
      <c r="AR147" s="229">
        <f t="shared" si="36"/>
        <v>0</v>
      </c>
      <c r="AS147" s="229">
        <f t="shared" si="36"/>
        <v>2.5756999999999999</v>
      </c>
      <c r="AT147" s="229">
        <f t="shared" si="36"/>
        <v>0</v>
      </c>
      <c r="AU147" s="229">
        <f t="shared" si="36"/>
        <v>0</v>
      </c>
      <c r="AV147" s="229">
        <f t="shared" si="36"/>
        <v>0</v>
      </c>
      <c r="AW147" s="229">
        <f t="shared" si="36"/>
        <v>0</v>
      </c>
      <c r="AX147" s="229">
        <f t="shared" si="36"/>
        <v>0</v>
      </c>
      <c r="AY147" s="229">
        <f t="shared" si="36"/>
        <v>0</v>
      </c>
      <c r="AZ147" s="229">
        <f t="shared" si="36"/>
        <v>0</v>
      </c>
      <c r="BA147" s="229">
        <f t="shared" si="36"/>
        <v>0</v>
      </c>
      <c r="BB147" s="229">
        <f t="shared" si="36"/>
        <v>0</v>
      </c>
      <c r="BC147" s="200"/>
      <c r="BD147" s="1207"/>
      <c r="BE147" s="1207"/>
      <c r="BF147" s="917" t="s">
        <v>602</v>
      </c>
    </row>
    <row r="148" spans="1:58" s="1327" customFormat="1" ht="14.25" customHeight="1">
      <c r="A148" s="1207"/>
      <c r="B148" s="1076"/>
      <c r="C148" s="1207"/>
      <c r="D148" s="1207"/>
      <c r="E148" s="549">
        <v>15</v>
      </c>
      <c r="F148" s="3" t="str" cm="1">
        <f t="array" aca="1" ref="F148" ca="1">OFFSET(E148,-1,1)</f>
        <v>1</v>
      </c>
      <c r="G148" s="1207"/>
      <c r="H148" s="17" t="s">
        <v>603</v>
      </c>
      <c r="I148" s="1207"/>
      <c r="J148" s="1207"/>
      <c r="K148" s="1207"/>
      <c r="L148" s="1207"/>
      <c r="M148" s="1207"/>
      <c r="N148" s="1207"/>
      <c r="O148" s="1207"/>
      <c r="P148" s="1187"/>
      <c r="Q148" s="1187"/>
      <c r="R148" s="1187"/>
      <c r="S148" s="1187"/>
      <c r="T148" s="381" t="b" cm="1">
        <f t="array" ref="T148">T147</f>
        <v>1</v>
      </c>
      <c r="U148" s="1187"/>
      <c r="V148" s="1207"/>
      <c r="W148" s="1187"/>
      <c r="X148" s="1755"/>
      <c r="Y148" s="1734"/>
      <c r="Z148" s="1207"/>
      <c r="AA148" s="1207"/>
      <c r="AB148" s="158" t="s">
        <v>604</v>
      </c>
      <c r="AC148" s="245" t="s">
        <v>578</v>
      </c>
      <c r="AD148" s="12" t="s">
        <v>499</v>
      </c>
      <c r="AE148" s="195"/>
      <c r="AF148" s="195"/>
      <c r="AG148" s="195"/>
      <c r="AH148" s="195"/>
      <c r="AI148" s="195"/>
      <c r="AJ148" s="195"/>
      <c r="AK148" s="195"/>
      <c r="AL148" s="195"/>
      <c r="AM148" s="195"/>
      <c r="AN148" s="195"/>
      <c r="AO148" s="195"/>
      <c r="AP148" s="195"/>
      <c r="AQ148" s="195"/>
      <c r="AR148" s="195"/>
      <c r="AS148" s="195"/>
      <c r="AT148" s="195"/>
      <c r="AU148" s="195"/>
      <c r="AV148" s="195"/>
      <c r="AW148" s="195"/>
      <c r="AX148" s="195"/>
      <c r="AY148" s="195"/>
      <c r="AZ148" s="195"/>
      <c r="BA148" s="195"/>
      <c r="BB148" s="195"/>
      <c r="BC148" s="200"/>
      <c r="BD148" s="1207"/>
      <c r="BE148" s="1207"/>
      <c r="BF148" s="917" t="s">
        <v>605</v>
      </c>
    </row>
    <row r="149" spans="1:58" s="1327" customFormat="1" ht="19.899999999999999" customHeight="1">
      <c r="A149" s="1207"/>
      <c r="B149" s="1076"/>
      <c r="C149" s="1207"/>
      <c r="D149" s="1207"/>
      <c r="E149" s="549">
        <v>15</v>
      </c>
      <c r="F149" s="3" t="str" cm="1">
        <f t="array" aca="1" ref="F149" ca="1">OFFSET(E149,-1,1)</f>
        <v>1</v>
      </c>
      <c r="G149" s="1207"/>
      <c r="H149" s="17" t="s">
        <v>606</v>
      </c>
      <c r="I149" s="1207"/>
      <c r="J149" s="1207"/>
      <c r="K149" s="1207"/>
      <c r="L149" s="1207"/>
      <c r="M149" s="1207"/>
      <c r="N149" s="1207"/>
      <c r="O149" s="1207"/>
      <c r="P149" s="1187"/>
      <c r="Q149" s="1187"/>
      <c r="R149" s="1187"/>
      <c r="S149" s="1187"/>
      <c r="T149" s="381" t="b" cm="1">
        <f t="array" ref="T149">T148</f>
        <v>1</v>
      </c>
      <c r="U149" s="1187"/>
      <c r="V149" s="1207"/>
      <c r="W149" s="1187"/>
      <c r="X149" s="1755"/>
      <c r="Y149" s="1734"/>
      <c r="Z149" s="1207"/>
      <c r="AA149" s="1207"/>
      <c r="AB149" s="158" t="s">
        <v>607</v>
      </c>
      <c r="AC149" s="245" t="s">
        <v>582</v>
      </c>
      <c r="AD149" s="12" t="s">
        <v>499</v>
      </c>
      <c r="AE149" s="195">
        <v>2.7665999999999999</v>
      </c>
      <c r="AF149" s="195">
        <v>0.11</v>
      </c>
      <c r="AG149" s="195">
        <v>0.11</v>
      </c>
      <c r="AH149" s="195">
        <v>2.6282700000000001</v>
      </c>
      <c r="AI149" s="195">
        <v>2.5756999999999999</v>
      </c>
      <c r="AJ149" s="195"/>
      <c r="AK149" s="195"/>
      <c r="AL149" s="195"/>
      <c r="AM149" s="195"/>
      <c r="AN149" s="195"/>
      <c r="AO149" s="195"/>
      <c r="AP149" s="195"/>
      <c r="AQ149" s="195"/>
      <c r="AR149" s="195"/>
      <c r="AS149" s="195">
        <v>2.5756999999999999</v>
      </c>
      <c r="AT149" s="195"/>
      <c r="AU149" s="195"/>
      <c r="AV149" s="195"/>
      <c r="AW149" s="195"/>
      <c r="AX149" s="195"/>
      <c r="AY149" s="195"/>
      <c r="AZ149" s="195"/>
      <c r="BA149" s="195"/>
      <c r="BB149" s="195"/>
      <c r="BC149" s="200" t="s">
        <v>739</v>
      </c>
      <c r="BD149" s="1207"/>
      <c r="BE149" s="1207"/>
      <c r="BF149" s="917" t="s">
        <v>608</v>
      </c>
    </row>
    <row r="150" spans="1:58" s="1327" customFormat="1" ht="14.25" customHeight="1">
      <c r="A150" s="1207"/>
      <c r="B150" s="1076"/>
      <c r="C150" s="1207"/>
      <c r="D150" s="1207"/>
      <c r="E150" s="549">
        <v>15</v>
      </c>
      <c r="F150" s="3" t="str" cm="1">
        <f t="array" aca="1" ref="F150" ca="1">OFFSET(E150,-1,1)</f>
        <v>1</v>
      </c>
      <c r="G150" s="1207"/>
      <c r="H150" s="17" t="s">
        <v>609</v>
      </c>
      <c r="I150" s="1207"/>
      <c r="J150" s="1207"/>
      <c r="K150" s="1207"/>
      <c r="L150" s="1207"/>
      <c r="M150" s="1207"/>
      <c r="N150" s="1207"/>
      <c r="O150" s="1207"/>
      <c r="P150" s="1187"/>
      <c r="Q150" s="1187"/>
      <c r="R150" s="1187"/>
      <c r="S150" s="1187"/>
      <c r="T150" s="381" t="b" cm="1">
        <f t="array" ref="T150">T149</f>
        <v>1</v>
      </c>
      <c r="U150" s="1187"/>
      <c r="V150" s="1207"/>
      <c r="W150" s="1187"/>
      <c r="X150" s="1755"/>
      <c r="Y150" s="1734"/>
      <c r="Z150" s="1207"/>
      <c r="AA150" s="1207"/>
      <c r="AB150" s="158" t="s">
        <v>610</v>
      </c>
      <c r="AC150" s="244" t="s">
        <v>611</v>
      </c>
      <c r="AD150" s="12" t="s">
        <v>499</v>
      </c>
      <c r="AE150" s="229">
        <f t="shared" ref="AE150:BB150" si="37">SUM(AE151:AE152)</f>
        <v>0</v>
      </c>
      <c r="AF150" s="229">
        <f t="shared" si="37"/>
        <v>0</v>
      </c>
      <c r="AG150" s="229">
        <f t="shared" si="37"/>
        <v>0</v>
      </c>
      <c r="AH150" s="229">
        <f t="shared" si="37"/>
        <v>0</v>
      </c>
      <c r="AI150" s="229">
        <f t="shared" si="37"/>
        <v>0</v>
      </c>
      <c r="AJ150" s="229">
        <f t="shared" si="37"/>
        <v>0</v>
      </c>
      <c r="AK150" s="229">
        <f t="shared" si="37"/>
        <v>0</v>
      </c>
      <c r="AL150" s="229">
        <f t="shared" si="37"/>
        <v>0</v>
      </c>
      <c r="AM150" s="229">
        <f t="shared" si="37"/>
        <v>0</v>
      </c>
      <c r="AN150" s="229">
        <f t="shared" si="37"/>
        <v>0</v>
      </c>
      <c r="AO150" s="229">
        <f t="shared" si="37"/>
        <v>0</v>
      </c>
      <c r="AP150" s="229">
        <f t="shared" si="37"/>
        <v>0</v>
      </c>
      <c r="AQ150" s="229">
        <f t="shared" si="37"/>
        <v>0</v>
      </c>
      <c r="AR150" s="229">
        <f t="shared" si="37"/>
        <v>0</v>
      </c>
      <c r="AS150" s="229">
        <f t="shared" si="37"/>
        <v>0</v>
      </c>
      <c r="AT150" s="229">
        <f t="shared" si="37"/>
        <v>0</v>
      </c>
      <c r="AU150" s="229">
        <f t="shared" si="37"/>
        <v>0</v>
      </c>
      <c r="AV150" s="229">
        <f t="shared" si="37"/>
        <v>0</v>
      </c>
      <c r="AW150" s="229">
        <f t="shared" si="37"/>
        <v>0</v>
      </c>
      <c r="AX150" s="229">
        <f t="shared" si="37"/>
        <v>0</v>
      </c>
      <c r="AY150" s="229">
        <f t="shared" si="37"/>
        <v>0</v>
      </c>
      <c r="AZ150" s="229">
        <f t="shared" si="37"/>
        <v>0</v>
      </c>
      <c r="BA150" s="229">
        <f t="shared" si="37"/>
        <v>0</v>
      </c>
      <c r="BB150" s="229">
        <f t="shared" si="37"/>
        <v>0</v>
      </c>
      <c r="BC150" s="200"/>
      <c r="BD150" s="1207"/>
      <c r="BE150" s="1207"/>
      <c r="BF150" s="917" t="s">
        <v>612</v>
      </c>
    </row>
    <row r="151" spans="1:58" s="1327" customFormat="1" ht="14.25" customHeight="1">
      <c r="A151" s="1207"/>
      <c r="B151" s="1076"/>
      <c r="C151" s="1207"/>
      <c r="D151" s="1207"/>
      <c r="E151" s="549">
        <v>15</v>
      </c>
      <c r="F151" s="3" t="str" cm="1">
        <f t="array" aca="1" ref="F151" ca="1">OFFSET(E151,-1,1)</f>
        <v>1</v>
      </c>
      <c r="G151" s="1207"/>
      <c r="H151" s="17" t="s">
        <v>613</v>
      </c>
      <c r="I151" s="1207"/>
      <c r="J151" s="1207"/>
      <c r="K151" s="1207"/>
      <c r="L151" s="1207"/>
      <c r="M151" s="1207"/>
      <c r="N151" s="1207"/>
      <c r="O151" s="1207"/>
      <c r="P151" s="1187"/>
      <c r="Q151" s="1187"/>
      <c r="R151" s="1187"/>
      <c r="S151" s="1187"/>
      <c r="T151" s="381" t="b" cm="1">
        <f t="array" ref="T151">T150</f>
        <v>1</v>
      </c>
      <c r="U151" s="1187"/>
      <c r="V151" s="1207"/>
      <c r="W151" s="1187"/>
      <c r="X151" s="1755"/>
      <c r="Y151" s="1734"/>
      <c r="Z151" s="1207"/>
      <c r="AA151" s="1207"/>
      <c r="AB151" s="158" t="s">
        <v>614</v>
      </c>
      <c r="AC151" s="245" t="s">
        <v>578</v>
      </c>
      <c r="AD151" s="12" t="s">
        <v>499</v>
      </c>
      <c r="AE151" s="195"/>
      <c r="AF151" s="195"/>
      <c r="AG151" s="195"/>
      <c r="AH151" s="195"/>
      <c r="AI151" s="195"/>
      <c r="AJ151" s="195"/>
      <c r="AK151" s="195"/>
      <c r="AL151" s="195"/>
      <c r="AM151" s="195"/>
      <c r="AN151" s="195"/>
      <c r="AO151" s="195"/>
      <c r="AP151" s="195"/>
      <c r="AQ151" s="195"/>
      <c r="AR151" s="195"/>
      <c r="AS151" s="195"/>
      <c r="AT151" s="195"/>
      <c r="AU151" s="195"/>
      <c r="AV151" s="195"/>
      <c r="AW151" s="195"/>
      <c r="AX151" s="195"/>
      <c r="AY151" s="195"/>
      <c r="AZ151" s="195"/>
      <c r="BA151" s="195"/>
      <c r="BB151" s="195"/>
      <c r="BC151" s="200"/>
      <c r="BD151" s="1207"/>
      <c r="BE151" s="1207"/>
      <c r="BF151" s="917" t="s">
        <v>615</v>
      </c>
    </row>
    <row r="152" spans="1:58" s="1327" customFormat="1" ht="14.65" customHeight="1">
      <c r="A152" s="1207"/>
      <c r="B152" s="1076"/>
      <c r="C152" s="1207"/>
      <c r="D152" s="1207"/>
      <c r="E152" s="549">
        <v>15</v>
      </c>
      <c r="F152" s="3" t="str" cm="1">
        <f t="array" aca="1" ref="F152" ca="1">OFFSET(E152,-1,1)</f>
        <v>1</v>
      </c>
      <c r="G152" s="1207"/>
      <c r="H152" s="17" t="s">
        <v>616</v>
      </c>
      <c r="I152" s="1207"/>
      <c r="J152" s="1207"/>
      <c r="K152" s="1207"/>
      <c r="L152" s="1207"/>
      <c r="M152" s="1207"/>
      <c r="N152" s="1207"/>
      <c r="O152" s="1207"/>
      <c r="P152" s="1187"/>
      <c r="Q152" s="1187"/>
      <c r="R152" s="1187"/>
      <c r="S152" s="1187"/>
      <c r="T152" s="381" t="b" cm="1">
        <f t="array" ref="T152">T151</f>
        <v>1</v>
      </c>
      <c r="U152" s="1187"/>
      <c r="V152" s="1207"/>
      <c r="W152" s="1187"/>
      <c r="X152" s="1755"/>
      <c r="Y152" s="1734"/>
      <c r="Z152" s="1207"/>
      <c r="AA152" s="1207"/>
      <c r="AB152" s="158" t="s">
        <v>617</v>
      </c>
      <c r="AC152" s="245" t="s">
        <v>582</v>
      </c>
      <c r="AD152" s="12" t="s">
        <v>499</v>
      </c>
      <c r="AE152" s="195"/>
      <c r="AF152" s="195"/>
      <c r="AG152" s="195"/>
      <c r="AH152" s="195"/>
      <c r="AI152" s="195"/>
      <c r="AJ152" s="195"/>
      <c r="AK152" s="195"/>
      <c r="AL152" s="195"/>
      <c r="AM152" s="195"/>
      <c r="AN152" s="195"/>
      <c r="AO152" s="195"/>
      <c r="AP152" s="195"/>
      <c r="AQ152" s="195"/>
      <c r="AR152" s="195"/>
      <c r="AS152" s="195"/>
      <c r="AT152" s="195"/>
      <c r="AU152" s="195"/>
      <c r="AV152" s="195"/>
      <c r="AW152" s="195"/>
      <c r="AX152" s="195"/>
      <c r="AY152" s="195"/>
      <c r="AZ152" s="195"/>
      <c r="BA152" s="195"/>
      <c r="BB152" s="195"/>
      <c r="BC152" s="118"/>
      <c r="BD152" s="1207"/>
      <c r="BE152" s="1207"/>
      <c r="BF152" s="917" t="s">
        <v>618</v>
      </c>
    </row>
    <row r="153" spans="1:58" s="1327" customFormat="1" ht="21.75" customHeight="1">
      <c r="A153" s="1207"/>
      <c r="B153" s="1076"/>
      <c r="C153" s="1207"/>
      <c r="D153" s="1207"/>
      <c r="E153" s="549">
        <v>22.5</v>
      </c>
      <c r="F153" s="3" t="str" cm="1">
        <f t="array" aca="1" ref="F153" ca="1">OFFSET(E153,-1,1)</f>
        <v>1</v>
      </c>
      <c r="G153" s="1207"/>
      <c r="H153" s="17" t="s">
        <v>619</v>
      </c>
      <c r="I153" s="385"/>
      <c r="J153" s="385"/>
      <c r="K153" s="1207"/>
      <c r="L153" s="1207"/>
      <c r="M153" s="1207"/>
      <c r="N153" s="1207"/>
      <c r="O153" s="1207"/>
      <c r="P153" s="1187"/>
      <c r="Q153" s="1187"/>
      <c r="R153" s="1187"/>
      <c r="S153" s="1187"/>
      <c r="T153" s="381" t="b" cm="1">
        <f t="array" ref="T153">T152</f>
        <v>1</v>
      </c>
      <c r="U153" s="1187"/>
      <c r="V153" s="1207"/>
      <c r="W153" s="1187"/>
      <c r="X153" s="1755"/>
      <c r="Y153" s="1734"/>
      <c r="Z153" s="1207"/>
      <c r="AA153" s="1207"/>
      <c r="AB153" s="158" t="s">
        <v>620</v>
      </c>
      <c r="AC153" s="246" t="s">
        <v>621</v>
      </c>
      <c r="AD153" s="12" t="s">
        <v>499</v>
      </c>
      <c r="AE153" s="192"/>
      <c r="AF153" s="192"/>
      <c r="AG153" s="192"/>
      <c r="AH153" s="192"/>
      <c r="AI153" s="192"/>
      <c r="AJ153" s="192"/>
      <c r="AK153" s="192"/>
      <c r="AL153" s="192"/>
      <c r="AM153" s="192"/>
      <c r="AN153" s="192"/>
      <c r="AO153" s="192"/>
      <c r="AP153" s="192"/>
      <c r="AQ153" s="192"/>
      <c r="AR153" s="192"/>
      <c r="AS153" s="192"/>
      <c r="AT153" s="192"/>
      <c r="AU153" s="192"/>
      <c r="AV153" s="192"/>
      <c r="AW153" s="192"/>
      <c r="AX153" s="192"/>
      <c r="AY153" s="192"/>
      <c r="AZ153" s="192"/>
      <c r="BA153" s="192"/>
      <c r="BB153" s="192"/>
      <c r="BC153" s="118"/>
      <c r="BD153" s="1207"/>
      <c r="BE153" s="1207"/>
      <c r="BF153" s="917" t="s">
        <v>622</v>
      </c>
    </row>
    <row r="154" spans="1:58" s="1327" customFormat="1" ht="14.25" customHeight="1">
      <c r="A154" s="1207"/>
      <c r="B154" s="1076"/>
      <c r="C154" s="1207"/>
      <c r="D154" s="1207"/>
      <c r="E154" s="549">
        <v>15</v>
      </c>
      <c r="F154" s="261" t="str" cm="1">
        <f t="array" aca="1" ref="F154" ca="1">OFFSET(E154,-1,1)</f>
        <v>1</v>
      </c>
      <c r="G154" s="1207"/>
      <c r="H154" s="1207"/>
      <c r="I154" s="1207"/>
      <c r="J154" s="1207"/>
      <c r="K154" s="1207"/>
      <c r="L154" s="1207"/>
      <c r="M154" s="1207"/>
      <c r="N154" s="1207"/>
      <c r="O154" s="1207"/>
      <c r="P154" s="1187"/>
      <c r="Q154" s="1187"/>
      <c r="R154" s="1187"/>
      <c r="S154" s="1187"/>
      <c r="T154" s="381" t="b" cm="1">
        <f t="array" ref="T154">T153</f>
        <v>1</v>
      </c>
      <c r="U154" s="1187"/>
      <c r="V154" s="1207"/>
      <c r="W154" s="1187"/>
      <c r="X154" s="1755"/>
      <c r="Y154" s="1734"/>
      <c r="Z154" s="1207"/>
      <c r="AA154" s="1207"/>
      <c r="AB154" s="158" t="s">
        <v>623</v>
      </c>
      <c r="AC154" s="246" t="s">
        <v>624</v>
      </c>
      <c r="AD154" s="12" t="s">
        <v>499</v>
      </c>
      <c r="AE154" s="192"/>
      <c r="AF154" s="192"/>
      <c r="AG154" s="192"/>
      <c r="AH154" s="192"/>
      <c r="AI154" s="192"/>
      <c r="AJ154" s="192"/>
      <c r="AK154" s="192"/>
      <c r="AL154" s="192"/>
      <c r="AM154" s="192"/>
      <c r="AN154" s="192"/>
      <c r="AO154" s="192"/>
      <c r="AP154" s="192"/>
      <c r="AQ154" s="192"/>
      <c r="AR154" s="192"/>
      <c r="AS154" s="192"/>
      <c r="AT154" s="192"/>
      <c r="AU154" s="192"/>
      <c r="AV154" s="192"/>
      <c r="AW154" s="192"/>
      <c r="AX154" s="192"/>
      <c r="AY154" s="192"/>
      <c r="AZ154" s="192"/>
      <c r="BA154" s="192"/>
      <c r="BB154" s="192"/>
      <c r="BC154" s="118"/>
      <c r="BD154" s="1207"/>
      <c r="BE154" s="1207"/>
      <c r="BF154" s="917" t="s">
        <v>625</v>
      </c>
    </row>
    <row r="155" spans="1:58" s="1327" customFormat="1" ht="11.25" hidden="1" customHeight="1">
      <c r="A155" s="385"/>
      <c r="B155" s="575"/>
      <c r="C155" s="385"/>
      <c r="D155" s="385"/>
      <c r="E155" s="577" t="s">
        <v>363</v>
      </c>
      <c r="F155" s="1083" t="str" cm="1">
        <f t="array" aca="1" ref="F155" ca="1">OFFSET(E155,-1,1)</f>
        <v>1</v>
      </c>
      <c r="G155" s="385"/>
      <c r="H155" s="385"/>
      <c r="K155" s="17"/>
      <c r="L155" s="385"/>
      <c r="M155" s="385"/>
      <c r="N155" s="385"/>
      <c r="O155" s="385"/>
      <c r="P155" s="385"/>
      <c r="Q155" s="385"/>
      <c r="R155" s="332"/>
      <c r="S155" s="332"/>
      <c r="T155" s="381" t="b">
        <v>0</v>
      </c>
      <c r="U155" s="385"/>
      <c r="V155" s="385"/>
      <c r="W155" s="385"/>
      <c r="X155" s="1755"/>
      <c r="Y155" s="1734"/>
      <c r="Z155" s="385"/>
      <c r="AA155" s="385"/>
      <c r="AC155" s="19"/>
      <c r="AD155" s="19"/>
      <c r="AE155" s="256"/>
      <c r="AF155" s="256"/>
      <c r="AG155" s="256"/>
      <c r="AH155" s="256"/>
      <c r="AI155" s="256"/>
      <c r="AJ155" s="257"/>
      <c r="AK155" s="256"/>
      <c r="AL155" s="256"/>
      <c r="AM155" s="256"/>
      <c r="AN155" s="256"/>
      <c r="AO155" s="256"/>
      <c r="AP155" s="256"/>
      <c r="AQ155" s="256"/>
      <c r="AR155" s="256"/>
      <c r="AS155" s="256"/>
      <c r="AT155" s="256"/>
      <c r="AU155" s="256"/>
      <c r="AV155" s="256"/>
      <c r="AW155" s="256"/>
      <c r="AX155" s="256"/>
      <c r="AY155" s="256"/>
      <c r="AZ155" s="256"/>
      <c r="BA155" s="256"/>
      <c r="BB155" s="256"/>
      <c r="BF155" s="921"/>
    </row>
    <row r="156" spans="1:58" s="1327" customFormat="1" ht="14.25" hidden="1" customHeight="1">
      <c r="A156" s="1207"/>
      <c r="B156" s="1076"/>
      <c r="C156" s="1207"/>
      <c r="D156" s="1207"/>
      <c r="E156" s="549">
        <v>15</v>
      </c>
      <c r="F156" s="3" t="str" cm="1">
        <f t="array" aca="1" ref="F156" ca="1">OFFSET(E156,-1,1)</f>
        <v>1</v>
      </c>
      <c r="G156" s="1207"/>
      <c r="H156" s="1207"/>
      <c r="I156" s="1207"/>
      <c r="J156" s="1207"/>
      <c r="K156" s="1207"/>
      <c r="L156" s="1207"/>
      <c r="M156" s="1207"/>
      <c r="N156" s="1207"/>
      <c r="O156" s="1207"/>
      <c r="P156" s="1187"/>
      <c r="Q156" s="1187"/>
      <c r="R156" s="332" t="b" cm="1">
        <f t="array" ref="R156">INDEX('Общие сведения'!$AN$179:$AN$208,MATCH($X118,'Общие сведения'!$Z$179:$Z$208,0))</f>
        <v>0</v>
      </c>
      <c r="S156" s="332" t="b">
        <f>IF(ISERROR(SEARCH("Водоснабжение",AB118)),FALSE,TRUE)</f>
        <v>1</v>
      </c>
      <c r="T156" s="381" t="b">
        <f>AND(X118&gt;0,S156,R156)</f>
        <v>0</v>
      </c>
      <c r="U156" s="1187"/>
      <c r="V156" s="1207"/>
      <c r="W156" s="1187"/>
      <c r="X156" s="1755"/>
      <c r="Y156" s="1734"/>
      <c r="Z156" s="1207"/>
      <c r="AA156" s="1207"/>
      <c r="AB156" s="158" t="s">
        <v>281</v>
      </c>
      <c r="AC156" s="240" t="s">
        <v>496</v>
      </c>
      <c r="AD156" s="117"/>
      <c r="AE156" s="486" t="str" cm="1">
        <f t="array" ref="AE156">INDEX('Общие сведения'!$AH$179:$AH$208,MATCH($X118,'Общие сведения'!$Z$179:$Z$208,0))</f>
        <v>питьевая вода</v>
      </c>
      <c r="AF156" s="274"/>
      <c r="AG156" s="274"/>
      <c r="AH156" s="274"/>
      <c r="AI156" s="274"/>
      <c r="AJ156" s="274"/>
      <c r="AK156" s="274"/>
      <c r="AL156" s="274"/>
      <c r="AM156" s="274"/>
      <c r="AN156" s="274"/>
      <c r="AO156" s="274"/>
      <c r="AP156" s="274"/>
      <c r="AQ156" s="274"/>
      <c r="AR156" s="274"/>
      <c r="AS156" s="274"/>
      <c r="AT156" s="274"/>
      <c r="AU156" s="274"/>
      <c r="AV156" s="274"/>
      <c r="AW156" s="274"/>
      <c r="AX156" s="274"/>
      <c r="AY156" s="274"/>
      <c r="AZ156" s="274"/>
      <c r="BA156" s="274"/>
      <c r="BB156" s="275"/>
      <c r="BC156" s="1361"/>
      <c r="BD156" s="1207"/>
      <c r="BE156" s="1207"/>
      <c r="BF156" s="917" t="s">
        <v>626</v>
      </c>
    </row>
    <row r="157" spans="1:58" s="1327" customFormat="1" ht="14.25" hidden="1" customHeight="1">
      <c r="A157" s="1207"/>
      <c r="B157" s="1076"/>
      <c r="C157" s="1207"/>
      <c r="D157" s="1207"/>
      <c r="E157" s="549">
        <v>15</v>
      </c>
      <c r="F157" s="3" t="str" cm="1">
        <f t="array" aca="1" ref="F157" ca="1">OFFSET(E157,-1,1)</f>
        <v>1</v>
      </c>
      <c r="G157" s="1207"/>
      <c r="H157" s="17" t="s">
        <v>327</v>
      </c>
      <c r="I157" s="1207"/>
      <c r="J157" s="1207"/>
      <c r="K157" s="1207"/>
      <c r="L157" s="1207"/>
      <c r="M157" s="1207"/>
      <c r="N157" s="1207"/>
      <c r="O157" s="1207"/>
      <c r="P157" s="1187"/>
      <c r="Q157" s="1187"/>
      <c r="R157" s="1187"/>
      <c r="S157" s="1187"/>
      <c r="T157" s="381" t="b" cm="1">
        <f t="array" ref="T157">T156</f>
        <v>0</v>
      </c>
      <c r="U157" s="1187"/>
      <c r="V157" s="1207"/>
      <c r="W157" s="1187"/>
      <c r="X157" s="1755"/>
      <c r="Y157" s="1734"/>
      <c r="Z157" s="1207"/>
      <c r="AA157" s="1207"/>
      <c r="AB157" s="158" t="s">
        <v>224</v>
      </c>
      <c r="AC157" s="247" t="s">
        <v>627</v>
      </c>
      <c r="AD157" s="12" t="s">
        <v>499</v>
      </c>
      <c r="AE157" s="258">
        <f t="shared" ref="AE157:BB157" si="38">AE161+AE163+AE166+AE169</f>
        <v>0</v>
      </c>
      <c r="AF157" s="258">
        <f t="shared" si="38"/>
        <v>0</v>
      </c>
      <c r="AG157" s="258">
        <f t="shared" si="38"/>
        <v>0</v>
      </c>
      <c r="AH157" s="258">
        <f t="shared" si="38"/>
        <v>0</v>
      </c>
      <c r="AI157" s="258">
        <f t="shared" si="38"/>
        <v>0</v>
      </c>
      <c r="AJ157" s="258">
        <f t="shared" si="38"/>
        <v>0</v>
      </c>
      <c r="AK157" s="258">
        <f t="shared" si="38"/>
        <v>0</v>
      </c>
      <c r="AL157" s="258">
        <f t="shared" si="38"/>
        <v>0</v>
      </c>
      <c r="AM157" s="258">
        <f t="shared" si="38"/>
        <v>0</v>
      </c>
      <c r="AN157" s="258">
        <f t="shared" si="38"/>
        <v>0</v>
      </c>
      <c r="AO157" s="258">
        <f t="shared" si="38"/>
        <v>0</v>
      </c>
      <c r="AP157" s="258">
        <f t="shared" si="38"/>
        <v>0</v>
      </c>
      <c r="AQ157" s="258">
        <f t="shared" si="38"/>
        <v>0</v>
      </c>
      <c r="AR157" s="258">
        <f t="shared" si="38"/>
        <v>0</v>
      </c>
      <c r="AS157" s="258">
        <f t="shared" si="38"/>
        <v>0</v>
      </c>
      <c r="AT157" s="258">
        <f t="shared" si="38"/>
        <v>0</v>
      </c>
      <c r="AU157" s="258">
        <f t="shared" si="38"/>
        <v>0</v>
      </c>
      <c r="AV157" s="258">
        <f t="shared" si="38"/>
        <v>0</v>
      </c>
      <c r="AW157" s="258">
        <f t="shared" si="38"/>
        <v>0</v>
      </c>
      <c r="AX157" s="258">
        <f t="shared" si="38"/>
        <v>0</v>
      </c>
      <c r="AY157" s="258">
        <f t="shared" si="38"/>
        <v>0</v>
      </c>
      <c r="AZ157" s="258">
        <f t="shared" si="38"/>
        <v>0</v>
      </c>
      <c r="BA157" s="258">
        <f t="shared" si="38"/>
        <v>0</v>
      </c>
      <c r="BB157" s="258">
        <f t="shared" si="38"/>
        <v>0</v>
      </c>
      <c r="BC157" s="1361"/>
      <c r="BD157" s="1207"/>
      <c r="BE157" s="1207"/>
      <c r="BF157" s="917" t="s">
        <v>628</v>
      </c>
    </row>
    <row r="158" spans="1:58" s="1327" customFormat="1" ht="14.25" hidden="1" customHeight="1">
      <c r="A158" s="1207"/>
      <c r="B158" s="1076"/>
      <c r="C158" s="1207"/>
      <c r="D158" s="1207"/>
      <c r="E158" s="549">
        <v>15</v>
      </c>
      <c r="F158" s="3" t="str" cm="1">
        <f t="array" aca="1" ref="F158" ca="1">OFFSET(E158,-1,1)</f>
        <v>1</v>
      </c>
      <c r="G158" s="1207"/>
      <c r="H158" s="17" t="s">
        <v>501</v>
      </c>
      <c r="I158" s="1207"/>
      <c r="J158" s="1207"/>
      <c r="K158" s="1207"/>
      <c r="L158" s="1207"/>
      <c r="M158" s="1207"/>
      <c r="N158" s="1207"/>
      <c r="O158" s="1207"/>
      <c r="P158" s="1187"/>
      <c r="Q158" s="1187"/>
      <c r="R158" s="1187"/>
      <c r="S158" s="1187"/>
      <c r="T158" s="381" t="b" cm="1">
        <f t="array" ref="T158">T157</f>
        <v>0</v>
      </c>
      <c r="U158" s="1187"/>
      <c r="V158" s="1207"/>
      <c r="W158" s="1187"/>
      <c r="X158" s="1755"/>
      <c r="Y158" s="1734"/>
      <c r="Z158" s="1207"/>
      <c r="AA158" s="1207"/>
      <c r="AB158" s="158" t="s">
        <v>502</v>
      </c>
      <c r="AC158" s="248" t="s">
        <v>629</v>
      </c>
      <c r="AD158" s="12" t="s">
        <v>499</v>
      </c>
      <c r="AE158" s="1360"/>
      <c r="AF158" s="1360"/>
      <c r="AG158" s="1360"/>
      <c r="AH158" s="1360"/>
      <c r="AI158" s="192"/>
      <c r="AJ158" s="1360"/>
      <c r="AK158" s="1360"/>
      <c r="AL158" s="1360"/>
      <c r="AM158" s="1360"/>
      <c r="AN158" s="1360"/>
      <c r="AO158" s="1360"/>
      <c r="AP158" s="1360"/>
      <c r="AQ158" s="1360"/>
      <c r="AR158" s="1360"/>
      <c r="AS158" s="192"/>
      <c r="AT158" s="1360"/>
      <c r="AU158" s="1360"/>
      <c r="AV158" s="1360"/>
      <c r="AW158" s="1360"/>
      <c r="AX158" s="1360"/>
      <c r="AY158" s="1360"/>
      <c r="AZ158" s="1360"/>
      <c r="BA158" s="1360"/>
      <c r="BB158" s="1360"/>
      <c r="BC158" s="1361"/>
      <c r="BD158" s="1207"/>
      <c r="BE158" s="1207"/>
      <c r="BF158" s="917" t="s">
        <v>630</v>
      </c>
    </row>
    <row r="159" spans="1:58" s="1327" customFormat="1" ht="14.25" hidden="1" customHeight="1">
      <c r="A159" s="1207"/>
      <c r="B159" s="1076"/>
      <c r="C159" s="1207"/>
      <c r="D159" s="1207"/>
      <c r="E159" s="549">
        <v>15</v>
      </c>
      <c r="F159" s="3" t="str" cm="1">
        <f t="array" aca="1" ref="F159" ca="1">OFFSET(E159,-1,1)</f>
        <v>1</v>
      </c>
      <c r="G159" s="1207"/>
      <c r="H159" s="17" t="s">
        <v>505</v>
      </c>
      <c r="I159" s="1207"/>
      <c r="J159" s="1207"/>
      <c r="K159" s="1207"/>
      <c r="L159" s="1207"/>
      <c r="M159" s="1207"/>
      <c r="N159" s="1207"/>
      <c r="O159" s="1207"/>
      <c r="P159" s="1187"/>
      <c r="Q159" s="1187"/>
      <c r="R159" s="1187"/>
      <c r="S159" s="1187"/>
      <c r="T159" s="381" t="b" cm="1">
        <f t="array" ref="T159">T158</f>
        <v>0</v>
      </c>
      <c r="U159" s="1187"/>
      <c r="V159" s="1207"/>
      <c r="W159" s="1187"/>
      <c r="X159" s="1755"/>
      <c r="Y159" s="1734"/>
      <c r="Z159" s="1207"/>
      <c r="AA159" s="1207"/>
      <c r="AB159" s="158" t="s">
        <v>506</v>
      </c>
      <c r="AC159" s="248" t="s">
        <v>631</v>
      </c>
      <c r="AD159" s="12" t="s">
        <v>499</v>
      </c>
      <c r="AE159" s="1360"/>
      <c r="AF159" s="1360"/>
      <c r="AG159" s="1360"/>
      <c r="AH159" s="1360"/>
      <c r="AI159" s="192"/>
      <c r="AJ159" s="1360"/>
      <c r="AK159" s="1360"/>
      <c r="AL159" s="1360"/>
      <c r="AM159" s="1360"/>
      <c r="AN159" s="1360"/>
      <c r="AO159" s="1360"/>
      <c r="AP159" s="1360"/>
      <c r="AQ159" s="1360"/>
      <c r="AR159" s="1360"/>
      <c r="AS159" s="192"/>
      <c r="AT159" s="1360"/>
      <c r="AU159" s="1360"/>
      <c r="AV159" s="1360"/>
      <c r="AW159" s="1360"/>
      <c r="AX159" s="1360"/>
      <c r="AY159" s="1360"/>
      <c r="AZ159" s="1360"/>
      <c r="BA159" s="1360"/>
      <c r="BB159" s="1360"/>
      <c r="BC159" s="1361"/>
      <c r="BD159" s="1207"/>
      <c r="BE159" s="1207"/>
      <c r="BF159" s="917" t="s">
        <v>632</v>
      </c>
    </row>
    <row r="160" spans="1:58" s="1327" customFormat="1" ht="21.75" hidden="1" customHeight="1">
      <c r="A160" s="1207"/>
      <c r="B160" s="1076"/>
      <c r="C160" s="1207"/>
      <c r="D160" s="1207"/>
      <c r="E160" s="549">
        <v>22.5</v>
      </c>
      <c r="F160" s="3" t="str" cm="1">
        <f t="array" aca="1" ref="F160" ca="1">OFFSET(E160,-1,1)</f>
        <v>1</v>
      </c>
      <c r="G160" s="1207"/>
      <c r="H160" s="17" t="s">
        <v>509</v>
      </c>
      <c r="I160" s="1207"/>
      <c r="J160" s="1207"/>
      <c r="K160" s="1207"/>
      <c r="L160" s="1207"/>
      <c r="M160" s="1207"/>
      <c r="N160" s="1207"/>
      <c r="O160" s="1207"/>
      <c r="P160" s="1187"/>
      <c r="Q160" s="1187"/>
      <c r="R160" s="1187"/>
      <c r="S160" s="1187"/>
      <c r="T160" s="381" t="b" cm="1">
        <f t="array" ref="T160">T159</f>
        <v>0</v>
      </c>
      <c r="U160" s="1187"/>
      <c r="V160" s="1207"/>
      <c r="W160" s="1187"/>
      <c r="X160" s="1755"/>
      <c r="Y160" s="1734"/>
      <c r="Z160" s="1207"/>
      <c r="AA160" s="1207"/>
      <c r="AB160" s="158" t="s">
        <v>510</v>
      </c>
      <c r="AC160" s="248" t="s">
        <v>633</v>
      </c>
      <c r="AD160" s="12" t="s">
        <v>499</v>
      </c>
      <c r="AE160" s="1360"/>
      <c r="AF160" s="1360"/>
      <c r="AG160" s="1360"/>
      <c r="AH160" s="1360"/>
      <c r="AI160" s="192"/>
      <c r="AJ160" s="1360"/>
      <c r="AK160" s="1360"/>
      <c r="AL160" s="1360"/>
      <c r="AM160" s="1360"/>
      <c r="AN160" s="1360"/>
      <c r="AO160" s="1360"/>
      <c r="AP160" s="1360"/>
      <c r="AQ160" s="1360"/>
      <c r="AR160" s="1360"/>
      <c r="AS160" s="192"/>
      <c r="AT160" s="1360"/>
      <c r="AU160" s="1360"/>
      <c r="AV160" s="1360"/>
      <c r="AW160" s="1360"/>
      <c r="AX160" s="1360"/>
      <c r="AY160" s="1360"/>
      <c r="AZ160" s="1360"/>
      <c r="BA160" s="1360"/>
      <c r="BB160" s="1360"/>
      <c r="BC160" s="1361"/>
      <c r="BD160" s="1207"/>
      <c r="BE160" s="1207"/>
      <c r="BF160" s="917" t="s">
        <v>634</v>
      </c>
    </row>
    <row r="161" spans="1:58" s="1327" customFormat="1" ht="14.25" hidden="1" customHeight="1">
      <c r="A161" s="1207"/>
      <c r="B161" s="1076"/>
      <c r="C161" s="1207"/>
      <c r="D161" s="1207"/>
      <c r="E161" s="549">
        <v>15</v>
      </c>
      <c r="F161" s="3" t="str" cm="1">
        <f t="array" aca="1" ref="F161" ca="1">OFFSET(E161,-1,1)</f>
        <v>1</v>
      </c>
      <c r="G161" s="1207"/>
      <c r="H161" s="17" t="s">
        <v>326</v>
      </c>
      <c r="I161" s="1207"/>
      <c r="J161" s="1207"/>
      <c r="K161" s="1207"/>
      <c r="L161" s="1207"/>
      <c r="M161" s="1207"/>
      <c r="N161" s="1207"/>
      <c r="O161" s="1207"/>
      <c r="P161" s="1187"/>
      <c r="Q161" s="1187"/>
      <c r="R161" s="1187"/>
      <c r="S161" s="1187"/>
      <c r="T161" s="381" t="b" cm="1">
        <f t="array" ref="T161">T160</f>
        <v>0</v>
      </c>
      <c r="U161" s="1187"/>
      <c r="V161" s="1207"/>
      <c r="W161" s="1187"/>
      <c r="X161" s="1755"/>
      <c r="Y161" s="1734"/>
      <c r="Z161" s="1207"/>
      <c r="AA161" s="1207"/>
      <c r="AB161" s="158" t="s">
        <v>321</v>
      </c>
      <c r="AC161" s="240" t="s">
        <v>545</v>
      </c>
      <c r="AD161" s="12" t="s">
        <v>499</v>
      </c>
      <c r="AE161" s="1360"/>
      <c r="AF161" s="1360"/>
      <c r="AG161" s="1360"/>
      <c r="AH161" s="1360"/>
      <c r="AI161" s="192"/>
      <c r="AJ161" s="1360"/>
      <c r="AK161" s="1360"/>
      <c r="AL161" s="1360"/>
      <c r="AM161" s="1360"/>
      <c r="AN161" s="1360"/>
      <c r="AO161" s="1360"/>
      <c r="AP161" s="1360"/>
      <c r="AQ161" s="1360"/>
      <c r="AR161" s="1360"/>
      <c r="AS161" s="192"/>
      <c r="AT161" s="1360"/>
      <c r="AU161" s="1360"/>
      <c r="AV161" s="1360"/>
      <c r="AW161" s="1360"/>
      <c r="AX161" s="1360"/>
      <c r="AY161" s="1360"/>
      <c r="AZ161" s="1360"/>
      <c r="BA161" s="1360"/>
      <c r="BB161" s="1360"/>
      <c r="BC161" s="1361"/>
      <c r="BD161" s="1207"/>
      <c r="BE161" s="1207"/>
      <c r="BF161" s="917" t="s">
        <v>635</v>
      </c>
    </row>
    <row r="162" spans="1:58" s="1327" customFormat="1" ht="14.25" hidden="1" customHeight="1">
      <c r="A162" s="1207"/>
      <c r="B162" s="1076"/>
      <c r="C162" s="1207"/>
      <c r="D162" s="1207"/>
      <c r="E162" s="549">
        <v>15</v>
      </c>
      <c r="F162" s="3" t="str" cm="1">
        <f t="array" aca="1" ref="F162" ca="1">OFFSET(E162,-1,1)</f>
        <v>1</v>
      </c>
      <c r="G162" s="1207"/>
      <c r="H162" s="17" t="s">
        <v>515</v>
      </c>
      <c r="I162" s="1207"/>
      <c r="J162" s="1207"/>
      <c r="K162" s="1207"/>
      <c r="L162" s="1207"/>
      <c r="M162" s="1207"/>
      <c r="N162" s="1207"/>
      <c r="O162" s="1207"/>
      <c r="P162" s="1187"/>
      <c r="Q162" s="1187"/>
      <c r="R162" s="1187"/>
      <c r="S162" s="1187"/>
      <c r="T162" s="381" t="b" cm="1">
        <f t="array" ref="T162">T161</f>
        <v>0</v>
      </c>
      <c r="U162" s="1187"/>
      <c r="V162" s="1207"/>
      <c r="W162" s="1187"/>
      <c r="X162" s="1755"/>
      <c r="Y162" s="1734"/>
      <c r="Z162" s="1207"/>
      <c r="AA162" s="1207"/>
      <c r="AB162" s="158" t="s">
        <v>516</v>
      </c>
      <c r="AC162" s="243" t="s">
        <v>549</v>
      </c>
      <c r="AD162" s="12" t="s">
        <v>423</v>
      </c>
      <c r="AE162" s="1354">
        <f t="shared" ref="AE162:BB162" si="39">IF(AE157=0,0,AE161/AE157*100)</f>
        <v>0</v>
      </c>
      <c r="AF162" s="1354">
        <f t="shared" si="39"/>
        <v>0</v>
      </c>
      <c r="AG162" s="1354">
        <f t="shared" si="39"/>
        <v>0</v>
      </c>
      <c r="AH162" s="1354">
        <f t="shared" si="39"/>
        <v>0</v>
      </c>
      <c r="AI162" s="60">
        <f t="shared" si="39"/>
        <v>0</v>
      </c>
      <c r="AJ162" s="1354">
        <f t="shared" si="39"/>
        <v>0</v>
      </c>
      <c r="AK162" s="1354">
        <f t="shared" si="39"/>
        <v>0</v>
      </c>
      <c r="AL162" s="1354">
        <f t="shared" si="39"/>
        <v>0</v>
      </c>
      <c r="AM162" s="1354">
        <f t="shared" si="39"/>
        <v>0</v>
      </c>
      <c r="AN162" s="1354">
        <f t="shared" si="39"/>
        <v>0</v>
      </c>
      <c r="AO162" s="1354">
        <f t="shared" si="39"/>
        <v>0</v>
      </c>
      <c r="AP162" s="1354">
        <f t="shared" si="39"/>
        <v>0</v>
      </c>
      <c r="AQ162" s="1354">
        <f t="shared" si="39"/>
        <v>0</v>
      </c>
      <c r="AR162" s="1354">
        <f t="shared" si="39"/>
        <v>0</v>
      </c>
      <c r="AS162" s="60">
        <f t="shared" si="39"/>
        <v>0</v>
      </c>
      <c r="AT162" s="1354">
        <f t="shared" si="39"/>
        <v>0</v>
      </c>
      <c r="AU162" s="1354">
        <f t="shared" si="39"/>
        <v>0</v>
      </c>
      <c r="AV162" s="1354">
        <f t="shared" si="39"/>
        <v>0</v>
      </c>
      <c r="AW162" s="1354">
        <f t="shared" si="39"/>
        <v>0</v>
      </c>
      <c r="AX162" s="1354">
        <f t="shared" si="39"/>
        <v>0</v>
      </c>
      <c r="AY162" s="1354">
        <f t="shared" si="39"/>
        <v>0</v>
      </c>
      <c r="AZ162" s="1354">
        <f t="shared" si="39"/>
        <v>0</v>
      </c>
      <c r="BA162" s="1354">
        <f t="shared" si="39"/>
        <v>0</v>
      </c>
      <c r="BB162" s="1354">
        <f t="shared" si="39"/>
        <v>0</v>
      </c>
      <c r="BC162" s="1375"/>
      <c r="BD162" s="1207"/>
      <c r="BE162" s="1207"/>
      <c r="BF162" s="917" t="s">
        <v>636</v>
      </c>
    </row>
    <row r="163" spans="1:58" s="1327" customFormat="1" ht="14.25" hidden="1" customHeight="1">
      <c r="A163" s="1207"/>
      <c r="B163" s="1076"/>
      <c r="C163" s="1207"/>
      <c r="D163" s="1207"/>
      <c r="E163" s="549">
        <v>15</v>
      </c>
      <c r="F163" s="3" t="str" cm="1">
        <f t="array" aca="1" ref="F163" ca="1">OFFSET(E163,-1,1)</f>
        <v>1</v>
      </c>
      <c r="G163" s="1207"/>
      <c r="H163" s="17" t="s">
        <v>477</v>
      </c>
      <c r="I163" s="1207"/>
      <c r="J163" s="1207"/>
      <c r="K163" s="1207"/>
      <c r="L163" s="1207"/>
      <c r="M163" s="1207"/>
      <c r="N163" s="1207"/>
      <c r="O163" s="1207"/>
      <c r="P163" s="1187"/>
      <c r="Q163" s="1187"/>
      <c r="R163" s="1187"/>
      <c r="S163" s="1187"/>
      <c r="T163" s="381" t="b" cm="1">
        <f t="array" ref="T163">T162</f>
        <v>0</v>
      </c>
      <c r="U163" s="1187"/>
      <c r="V163" s="1207"/>
      <c r="W163" s="1187"/>
      <c r="X163" s="1755"/>
      <c r="Y163" s="1734"/>
      <c r="Z163" s="1207"/>
      <c r="AA163" s="1207"/>
      <c r="AB163" s="158" t="s">
        <v>523</v>
      </c>
      <c r="AC163" s="247" t="s">
        <v>557</v>
      </c>
      <c r="AD163" s="12" t="s">
        <v>499</v>
      </c>
      <c r="AE163" s="258">
        <f t="shared" ref="AE163:BB163" si="40">AE164+AE165</f>
        <v>0</v>
      </c>
      <c r="AF163" s="258">
        <f t="shared" si="40"/>
        <v>0</v>
      </c>
      <c r="AG163" s="258">
        <f t="shared" si="40"/>
        <v>0</v>
      </c>
      <c r="AH163" s="258">
        <f t="shared" si="40"/>
        <v>0</v>
      </c>
      <c r="AI163" s="258">
        <f t="shared" si="40"/>
        <v>0</v>
      </c>
      <c r="AJ163" s="258">
        <f t="shared" si="40"/>
        <v>0</v>
      </c>
      <c r="AK163" s="258">
        <f t="shared" si="40"/>
        <v>0</v>
      </c>
      <c r="AL163" s="258">
        <f t="shared" si="40"/>
        <v>0</v>
      </c>
      <c r="AM163" s="258">
        <f t="shared" si="40"/>
        <v>0</v>
      </c>
      <c r="AN163" s="258">
        <f t="shared" si="40"/>
        <v>0</v>
      </c>
      <c r="AO163" s="258">
        <f t="shared" si="40"/>
        <v>0</v>
      </c>
      <c r="AP163" s="258">
        <f t="shared" si="40"/>
        <v>0</v>
      </c>
      <c r="AQ163" s="258">
        <f t="shared" si="40"/>
        <v>0</v>
      </c>
      <c r="AR163" s="258">
        <f t="shared" si="40"/>
        <v>0</v>
      </c>
      <c r="AS163" s="258">
        <f t="shared" si="40"/>
        <v>0</v>
      </c>
      <c r="AT163" s="258">
        <f t="shared" si="40"/>
        <v>0</v>
      </c>
      <c r="AU163" s="258">
        <f t="shared" si="40"/>
        <v>0</v>
      </c>
      <c r="AV163" s="258">
        <f t="shared" si="40"/>
        <v>0</v>
      </c>
      <c r="AW163" s="258">
        <f t="shared" si="40"/>
        <v>0</v>
      </c>
      <c r="AX163" s="258">
        <f t="shared" si="40"/>
        <v>0</v>
      </c>
      <c r="AY163" s="258">
        <f t="shared" si="40"/>
        <v>0</v>
      </c>
      <c r="AZ163" s="258">
        <f t="shared" si="40"/>
        <v>0</v>
      </c>
      <c r="BA163" s="258">
        <f t="shared" si="40"/>
        <v>0</v>
      </c>
      <c r="BB163" s="258">
        <f t="shared" si="40"/>
        <v>0</v>
      </c>
      <c r="BC163" s="1361"/>
      <c r="BD163" s="1207"/>
      <c r="BE163" s="1207"/>
      <c r="BF163" s="917" t="s">
        <v>637</v>
      </c>
    </row>
    <row r="164" spans="1:58" s="1327" customFormat="1" ht="14.25" hidden="1" customHeight="1">
      <c r="A164" s="1207"/>
      <c r="B164" s="1076"/>
      <c r="C164" s="1207"/>
      <c r="D164" s="1207"/>
      <c r="E164" s="549">
        <v>15</v>
      </c>
      <c r="F164" s="3" t="str" cm="1">
        <f t="array" aca="1" ref="F164" ca="1">OFFSET(E164,-1,1)</f>
        <v>1</v>
      </c>
      <c r="G164" s="1207"/>
      <c r="H164" s="17" t="s">
        <v>638</v>
      </c>
      <c r="I164" s="1207"/>
      <c r="J164" s="1207"/>
      <c r="K164" s="1207"/>
      <c r="L164" s="1207"/>
      <c r="M164" s="1207"/>
      <c r="N164" s="1207"/>
      <c r="O164" s="1207"/>
      <c r="P164" s="1187"/>
      <c r="Q164" s="1187"/>
      <c r="R164" s="1187"/>
      <c r="S164" s="1187"/>
      <c r="T164" s="381" t="b" cm="1">
        <f t="array" ref="T164">T163</f>
        <v>0</v>
      </c>
      <c r="U164" s="1187"/>
      <c r="V164" s="1207"/>
      <c r="W164" s="1187"/>
      <c r="X164" s="1755"/>
      <c r="Y164" s="1734"/>
      <c r="Z164" s="1207"/>
      <c r="AA164" s="1207"/>
      <c r="AB164" s="158" t="s">
        <v>639</v>
      </c>
      <c r="AC164" s="248" t="s">
        <v>561</v>
      </c>
      <c r="AD164" s="12" t="s">
        <v>499</v>
      </c>
      <c r="AE164" s="1360"/>
      <c r="AF164" s="1360"/>
      <c r="AG164" s="1360"/>
      <c r="AH164" s="1360"/>
      <c r="AI164" s="192"/>
      <c r="AJ164" s="1360"/>
      <c r="AK164" s="1360"/>
      <c r="AL164" s="1360"/>
      <c r="AM164" s="1360"/>
      <c r="AN164" s="1360"/>
      <c r="AO164" s="1360"/>
      <c r="AP164" s="1360"/>
      <c r="AQ164" s="1360"/>
      <c r="AR164" s="1360"/>
      <c r="AS164" s="192"/>
      <c r="AT164" s="1360"/>
      <c r="AU164" s="1360"/>
      <c r="AV164" s="1360"/>
      <c r="AW164" s="1360"/>
      <c r="AX164" s="1360"/>
      <c r="AY164" s="1360"/>
      <c r="AZ164" s="1360"/>
      <c r="BA164" s="1360"/>
      <c r="BB164" s="1360"/>
      <c r="BC164" s="1361"/>
      <c r="BD164" s="1207"/>
      <c r="BE164" s="1207"/>
      <c r="BF164" s="917" t="s">
        <v>640</v>
      </c>
    </row>
    <row r="165" spans="1:58" s="1327" customFormat="1" ht="14.25" hidden="1" customHeight="1">
      <c r="A165" s="1207"/>
      <c r="B165" s="1076"/>
      <c r="C165" s="1207"/>
      <c r="D165" s="1207"/>
      <c r="E165" s="549">
        <v>15</v>
      </c>
      <c r="F165" s="3" t="str" cm="1">
        <f t="array" aca="1" ref="F165" ca="1">OFFSET(E165,-1,1)</f>
        <v>1</v>
      </c>
      <c r="G165" s="1207"/>
      <c r="H165" s="17" t="s">
        <v>641</v>
      </c>
      <c r="I165" s="1207"/>
      <c r="J165" s="1207"/>
      <c r="K165" s="1207"/>
      <c r="L165" s="1207"/>
      <c r="M165" s="1207"/>
      <c r="N165" s="1207"/>
      <c r="O165" s="1207"/>
      <c r="P165" s="1187"/>
      <c r="Q165" s="1187"/>
      <c r="R165" s="1187"/>
      <c r="S165" s="1187"/>
      <c r="T165" s="381" t="b" cm="1">
        <f t="array" ref="T165">T164</f>
        <v>0</v>
      </c>
      <c r="U165" s="1187"/>
      <c r="V165" s="1207"/>
      <c r="W165" s="1187"/>
      <c r="X165" s="1755"/>
      <c r="Y165" s="1734"/>
      <c r="Z165" s="1207"/>
      <c r="AA165" s="1207"/>
      <c r="AB165" s="158" t="s">
        <v>642</v>
      </c>
      <c r="AC165" s="248" t="s">
        <v>565</v>
      </c>
      <c r="AD165" s="12" t="s">
        <v>499</v>
      </c>
      <c r="AE165" s="1360"/>
      <c r="AF165" s="1360"/>
      <c r="AG165" s="1360"/>
      <c r="AH165" s="1360"/>
      <c r="AI165" s="192"/>
      <c r="AJ165" s="1360"/>
      <c r="AK165" s="1360"/>
      <c r="AL165" s="1360"/>
      <c r="AM165" s="1360"/>
      <c r="AN165" s="1360"/>
      <c r="AO165" s="1360"/>
      <c r="AP165" s="1360"/>
      <c r="AQ165" s="1360"/>
      <c r="AR165" s="1360"/>
      <c r="AS165" s="192"/>
      <c r="AT165" s="1360"/>
      <c r="AU165" s="1360"/>
      <c r="AV165" s="1360"/>
      <c r="AW165" s="1360"/>
      <c r="AX165" s="1360"/>
      <c r="AY165" s="1360"/>
      <c r="AZ165" s="1360"/>
      <c r="BA165" s="1360"/>
      <c r="BB165" s="1360"/>
      <c r="BC165" s="1361"/>
      <c r="BD165" s="1207"/>
      <c r="BE165" s="1207"/>
      <c r="BF165" s="917" t="s">
        <v>643</v>
      </c>
    </row>
    <row r="166" spans="1:58" s="1327" customFormat="1" ht="14.25" hidden="1" customHeight="1">
      <c r="A166" s="1207"/>
      <c r="B166" s="1076"/>
      <c r="C166" s="1207"/>
      <c r="D166" s="1207"/>
      <c r="E166" s="549">
        <v>15</v>
      </c>
      <c r="F166" s="3" t="str" cm="1">
        <f t="array" aca="1" ref="F166" ca="1">OFFSET(E166,-1,1)</f>
        <v>1</v>
      </c>
      <c r="G166" s="17" t="s">
        <v>571</v>
      </c>
      <c r="H166" s="17" t="s">
        <v>481</v>
      </c>
      <c r="I166" s="1207"/>
      <c r="J166" s="1207"/>
      <c r="K166" s="1207"/>
      <c r="L166" s="1207"/>
      <c r="M166" s="1207"/>
      <c r="N166" s="1207"/>
      <c r="O166" s="1207"/>
      <c r="P166" s="1187"/>
      <c r="Q166" s="1187"/>
      <c r="R166" s="1187"/>
      <c r="S166" s="1187"/>
      <c r="T166" s="381" t="b" cm="1">
        <f t="array" ref="T166">T165</f>
        <v>0</v>
      </c>
      <c r="U166" s="1187"/>
      <c r="V166" s="1207"/>
      <c r="W166" s="1187"/>
      <c r="X166" s="1755"/>
      <c r="Y166" s="1734"/>
      <c r="Z166" s="1207"/>
      <c r="AA166" s="1207"/>
      <c r="AB166" s="158" t="s">
        <v>478</v>
      </c>
      <c r="AC166" s="247" t="s">
        <v>574</v>
      </c>
      <c r="AD166" s="12" t="s">
        <v>499</v>
      </c>
      <c r="AE166" s="258">
        <f t="shared" ref="AE166:BB166" si="41">AE167+AE168</f>
        <v>0</v>
      </c>
      <c r="AF166" s="258">
        <f t="shared" si="41"/>
        <v>0</v>
      </c>
      <c r="AG166" s="258">
        <f t="shared" si="41"/>
        <v>0</v>
      </c>
      <c r="AH166" s="258">
        <f t="shared" si="41"/>
        <v>0</v>
      </c>
      <c r="AI166" s="258">
        <f t="shared" si="41"/>
        <v>0</v>
      </c>
      <c r="AJ166" s="258">
        <f t="shared" si="41"/>
        <v>0</v>
      </c>
      <c r="AK166" s="258">
        <f t="shared" si="41"/>
        <v>0</v>
      </c>
      <c r="AL166" s="258">
        <f t="shared" si="41"/>
        <v>0</v>
      </c>
      <c r="AM166" s="258">
        <f t="shared" si="41"/>
        <v>0</v>
      </c>
      <c r="AN166" s="258">
        <f t="shared" si="41"/>
        <v>0</v>
      </c>
      <c r="AO166" s="258">
        <f t="shared" si="41"/>
        <v>0</v>
      </c>
      <c r="AP166" s="258">
        <f t="shared" si="41"/>
        <v>0</v>
      </c>
      <c r="AQ166" s="258">
        <f t="shared" si="41"/>
        <v>0</v>
      </c>
      <c r="AR166" s="258">
        <f t="shared" si="41"/>
        <v>0</v>
      </c>
      <c r="AS166" s="258">
        <f t="shared" si="41"/>
        <v>0</v>
      </c>
      <c r="AT166" s="258">
        <f t="shared" si="41"/>
        <v>0</v>
      </c>
      <c r="AU166" s="258">
        <f t="shared" si="41"/>
        <v>0</v>
      </c>
      <c r="AV166" s="258">
        <f t="shared" si="41"/>
        <v>0</v>
      </c>
      <c r="AW166" s="258">
        <f t="shared" si="41"/>
        <v>0</v>
      </c>
      <c r="AX166" s="258">
        <f t="shared" si="41"/>
        <v>0</v>
      </c>
      <c r="AY166" s="258">
        <f t="shared" si="41"/>
        <v>0</v>
      </c>
      <c r="AZ166" s="258">
        <f t="shared" si="41"/>
        <v>0</v>
      </c>
      <c r="BA166" s="258">
        <f t="shared" si="41"/>
        <v>0</v>
      </c>
      <c r="BB166" s="258">
        <f t="shared" si="41"/>
        <v>0</v>
      </c>
      <c r="BC166" s="1361"/>
      <c r="BD166" s="1207"/>
      <c r="BE166" s="1207"/>
      <c r="BF166" s="917" t="s">
        <v>644</v>
      </c>
    </row>
    <row r="167" spans="1:58" s="1327" customFormat="1" ht="14.25" hidden="1" customHeight="1">
      <c r="A167" s="1207"/>
      <c r="B167" s="1076"/>
      <c r="C167" s="1207"/>
      <c r="D167" s="1207"/>
      <c r="E167" s="549">
        <v>15</v>
      </c>
      <c r="F167" s="3" t="str" cm="1">
        <f t="array" aca="1" ref="F167" ca="1">OFFSET(E167,-1,1)</f>
        <v>1</v>
      </c>
      <c r="G167" s="1207"/>
      <c r="H167" s="17" t="s">
        <v>645</v>
      </c>
      <c r="I167" s="1207"/>
      <c r="J167" s="1207"/>
      <c r="K167" s="1207"/>
      <c r="L167" s="1207"/>
      <c r="M167" s="1207"/>
      <c r="N167" s="1207"/>
      <c r="O167" s="1207"/>
      <c r="P167" s="1187"/>
      <c r="Q167" s="1187"/>
      <c r="R167" s="1187"/>
      <c r="S167" s="1187"/>
      <c r="T167" s="381" t="b" cm="1">
        <f t="array" ref="T167">T166</f>
        <v>0</v>
      </c>
      <c r="U167" s="1187"/>
      <c r="V167" s="1207"/>
      <c r="W167" s="1187"/>
      <c r="X167" s="1755"/>
      <c r="Y167" s="1734"/>
      <c r="Z167" s="1207"/>
      <c r="AA167" s="1207"/>
      <c r="AB167" s="158" t="s">
        <v>646</v>
      </c>
      <c r="AC167" s="248" t="s">
        <v>578</v>
      </c>
      <c r="AD167" s="12" t="s">
        <v>499</v>
      </c>
      <c r="AE167" s="1360"/>
      <c r="AF167" s="1360"/>
      <c r="AG167" s="1360"/>
      <c r="AH167" s="1360"/>
      <c r="AI167" s="192"/>
      <c r="AJ167" s="1360"/>
      <c r="AK167" s="1360"/>
      <c r="AL167" s="1360"/>
      <c r="AM167" s="1360"/>
      <c r="AN167" s="1360"/>
      <c r="AO167" s="1360"/>
      <c r="AP167" s="1360"/>
      <c r="AQ167" s="1360"/>
      <c r="AR167" s="1360"/>
      <c r="AS167" s="192"/>
      <c r="AT167" s="1360"/>
      <c r="AU167" s="1360"/>
      <c r="AV167" s="1360"/>
      <c r="AW167" s="1360"/>
      <c r="AX167" s="1360"/>
      <c r="AY167" s="1360"/>
      <c r="AZ167" s="1360"/>
      <c r="BA167" s="1360"/>
      <c r="BB167" s="1360"/>
      <c r="BC167" s="1361"/>
      <c r="BD167" s="1207"/>
      <c r="BE167" s="1207"/>
      <c r="BF167" s="917" t="s">
        <v>647</v>
      </c>
    </row>
    <row r="168" spans="1:58" s="1327" customFormat="1" ht="14.25" hidden="1" customHeight="1">
      <c r="A168" s="1207"/>
      <c r="B168" s="1076"/>
      <c r="C168" s="1207"/>
      <c r="D168" s="1207"/>
      <c r="E168" s="549">
        <v>15</v>
      </c>
      <c r="F168" s="3" t="str" cm="1">
        <f t="array" aca="1" ref="F168" ca="1">OFFSET(E168,-1,1)</f>
        <v>1</v>
      </c>
      <c r="G168" s="1207"/>
      <c r="H168" s="17" t="s">
        <v>648</v>
      </c>
      <c r="I168" s="1207"/>
      <c r="J168" s="1207"/>
      <c r="K168" s="1207"/>
      <c r="L168" s="1207"/>
      <c r="M168" s="1207"/>
      <c r="N168" s="1207"/>
      <c r="O168" s="1207"/>
      <c r="P168" s="1187"/>
      <c r="Q168" s="1187"/>
      <c r="R168" s="1187"/>
      <c r="S168" s="1187"/>
      <c r="T168" s="381" t="b" cm="1">
        <f t="array" ref="T168">T167</f>
        <v>0</v>
      </c>
      <c r="U168" s="1187"/>
      <c r="V168" s="1207"/>
      <c r="W168" s="1187"/>
      <c r="X168" s="1755"/>
      <c r="Y168" s="1734"/>
      <c r="Z168" s="1207"/>
      <c r="AA168" s="1207"/>
      <c r="AB168" s="158" t="s">
        <v>649</v>
      </c>
      <c r="AC168" s="248" t="s">
        <v>582</v>
      </c>
      <c r="AD168" s="12" t="s">
        <v>499</v>
      </c>
      <c r="AE168" s="1360"/>
      <c r="AF168" s="1360"/>
      <c r="AG168" s="1360"/>
      <c r="AH168" s="1360"/>
      <c r="AI168" s="192"/>
      <c r="AJ168" s="1360"/>
      <c r="AK168" s="1360"/>
      <c r="AL168" s="1360"/>
      <c r="AM168" s="1360"/>
      <c r="AN168" s="1360"/>
      <c r="AO168" s="1360"/>
      <c r="AP168" s="1360"/>
      <c r="AQ168" s="1360"/>
      <c r="AR168" s="1360"/>
      <c r="AS168" s="192"/>
      <c r="AT168" s="1360"/>
      <c r="AU168" s="1360"/>
      <c r="AV168" s="1360"/>
      <c r="AW168" s="1360"/>
      <c r="AX168" s="1360"/>
      <c r="AY168" s="1360"/>
      <c r="AZ168" s="1360"/>
      <c r="BA168" s="1360"/>
      <c r="BB168" s="1360"/>
      <c r="BC168" s="1361"/>
      <c r="BD168" s="1207"/>
      <c r="BE168" s="1207"/>
      <c r="BF168" s="917" t="s">
        <v>650</v>
      </c>
    </row>
    <row r="169" spans="1:58" s="1327" customFormat="1" ht="21.75" hidden="1" customHeight="1">
      <c r="A169" s="1207"/>
      <c r="B169" s="1076"/>
      <c r="C169" s="1207"/>
      <c r="D169" s="1207"/>
      <c r="E169" s="549">
        <v>22.5</v>
      </c>
      <c r="F169" s="3" t="str" cm="1">
        <f t="array" aca="1" ref="F169" ca="1">OFFSET(E169,-1,1)</f>
        <v>1</v>
      </c>
      <c r="G169" s="1207"/>
      <c r="H169" s="17" t="s">
        <v>528</v>
      </c>
      <c r="I169" s="385"/>
      <c r="J169" s="385"/>
      <c r="K169" s="1207"/>
      <c r="L169" s="1207"/>
      <c r="M169" s="1207"/>
      <c r="N169" s="1207"/>
      <c r="O169" s="1207"/>
      <c r="P169" s="1187"/>
      <c r="Q169" s="1187"/>
      <c r="R169" s="1187"/>
      <c r="S169" s="1187"/>
      <c r="T169" s="381" t="b" cm="1">
        <f t="array" ref="T169">T168</f>
        <v>0</v>
      </c>
      <c r="U169" s="1187"/>
      <c r="V169" s="1207"/>
      <c r="W169" s="1187"/>
      <c r="X169" s="1755"/>
      <c r="Y169" s="1734"/>
      <c r="Z169" s="1207"/>
      <c r="AA169" s="1207"/>
      <c r="AB169" s="158" t="s">
        <v>482</v>
      </c>
      <c r="AC169" s="249" t="s">
        <v>621</v>
      </c>
      <c r="AD169" s="12" t="s">
        <v>499</v>
      </c>
      <c r="AE169" s="1360"/>
      <c r="AF169" s="1360"/>
      <c r="AG169" s="1360"/>
      <c r="AH169" s="1360"/>
      <c r="AI169" s="192"/>
      <c r="AJ169" s="1360"/>
      <c r="AK169" s="1360"/>
      <c r="AL169" s="1360"/>
      <c r="AM169" s="1360"/>
      <c r="AN169" s="1360"/>
      <c r="AO169" s="1360"/>
      <c r="AP169" s="1360"/>
      <c r="AQ169" s="1360"/>
      <c r="AR169" s="1360"/>
      <c r="AS169" s="192"/>
      <c r="AT169" s="1360"/>
      <c r="AU169" s="1360"/>
      <c r="AV169" s="1360"/>
      <c r="AW169" s="1360"/>
      <c r="AX169" s="1360"/>
      <c r="AY169" s="1360"/>
      <c r="AZ169" s="1360"/>
      <c r="BA169" s="1360"/>
      <c r="BB169" s="1360"/>
      <c r="BC169" s="1361"/>
      <c r="BD169" s="1207"/>
      <c r="BE169" s="1207"/>
      <c r="BF169" s="917" t="s">
        <v>651</v>
      </c>
    </row>
    <row r="170" spans="1:58" s="1327" customFormat="1" ht="14.25" hidden="1" customHeight="1">
      <c r="A170" s="1207"/>
      <c r="B170" s="1076"/>
      <c r="C170" s="1207"/>
      <c r="D170" s="1207"/>
      <c r="E170" s="549">
        <v>15</v>
      </c>
      <c r="F170" s="261" t="str" cm="1">
        <f t="array" aca="1" ref="F170" ca="1">OFFSET(E170,-1,1)</f>
        <v>1</v>
      </c>
      <c r="G170" s="1207"/>
      <c r="H170" s="1207"/>
      <c r="I170" s="1207"/>
      <c r="J170" s="1207"/>
      <c r="K170" s="1207"/>
      <c r="L170" s="1207"/>
      <c r="M170" s="1207"/>
      <c r="N170" s="1207"/>
      <c r="O170" s="1207"/>
      <c r="P170" s="1187"/>
      <c r="Q170" s="1187"/>
      <c r="R170" s="1187"/>
      <c r="S170" s="1187"/>
      <c r="T170" s="381" t="b" cm="1">
        <f t="array" ref="T170">T169</f>
        <v>0</v>
      </c>
      <c r="U170" s="1187"/>
      <c r="V170" s="1207"/>
      <c r="W170" s="1187"/>
      <c r="X170" s="1755"/>
      <c r="Y170" s="1734"/>
      <c r="Z170" s="1207"/>
      <c r="AA170" s="1207"/>
      <c r="AB170" s="158" t="s">
        <v>623</v>
      </c>
      <c r="AC170" s="246" t="s">
        <v>624</v>
      </c>
      <c r="AD170" s="12" t="s">
        <v>499</v>
      </c>
      <c r="AE170" s="1360"/>
      <c r="AF170" s="1360"/>
      <c r="AG170" s="1360"/>
      <c r="AH170" s="1360"/>
      <c r="AI170" s="192"/>
      <c r="AJ170" s="1360"/>
      <c r="AK170" s="1360"/>
      <c r="AL170" s="1360"/>
      <c r="AM170" s="1360"/>
      <c r="AN170" s="1360"/>
      <c r="AO170" s="1360"/>
      <c r="AP170" s="1360"/>
      <c r="AQ170" s="1360"/>
      <c r="AR170" s="1360"/>
      <c r="AS170" s="192"/>
      <c r="AT170" s="1360"/>
      <c r="AU170" s="1360"/>
      <c r="AV170" s="1360"/>
      <c r="AW170" s="1360"/>
      <c r="AX170" s="1360"/>
      <c r="AY170" s="1360"/>
      <c r="AZ170" s="1360"/>
      <c r="BA170" s="1360"/>
      <c r="BB170" s="1360"/>
      <c r="BC170" s="1361"/>
      <c r="BD170" s="1207"/>
      <c r="BE170" s="1207"/>
      <c r="BF170" s="917" t="s">
        <v>652</v>
      </c>
    </row>
    <row r="171" spans="1:58" s="1327" customFormat="1" ht="11.25" hidden="1" customHeight="1">
      <c r="A171" s="385"/>
      <c r="B171" s="575"/>
      <c r="C171" s="385"/>
      <c r="D171" s="385"/>
      <c r="E171" s="577" t="s">
        <v>363</v>
      </c>
      <c r="F171" s="1083" t="str" cm="1">
        <f t="array" aca="1" ref="F171" ca="1">OFFSET(E171,-1,1)</f>
        <v>1</v>
      </c>
      <c r="G171" s="385"/>
      <c r="H171" s="385"/>
      <c r="K171" s="17"/>
      <c r="L171" s="385"/>
      <c r="M171" s="385"/>
      <c r="N171" s="385"/>
      <c r="O171" s="385"/>
      <c r="P171" s="385"/>
      <c r="Q171" s="385"/>
      <c r="R171" s="332"/>
      <c r="S171" s="385"/>
      <c r="T171" s="381" t="b">
        <v>0</v>
      </c>
      <c r="U171" s="385"/>
      <c r="V171" s="385"/>
      <c r="W171" s="385"/>
      <c r="X171" s="1755"/>
      <c r="Y171" s="1734"/>
      <c r="Z171" s="385"/>
      <c r="AA171" s="385"/>
      <c r="AC171" s="19"/>
      <c r="AD171" s="19"/>
      <c r="AE171" s="256"/>
      <c r="AF171" s="256"/>
      <c r="AG171" s="256"/>
      <c r="AH171" s="256"/>
      <c r="AI171" s="256"/>
      <c r="AJ171" s="257"/>
      <c r="AK171" s="256"/>
      <c r="AL171" s="256"/>
      <c r="AM171" s="256"/>
      <c r="AN171" s="256"/>
      <c r="AO171" s="256"/>
      <c r="AP171" s="256"/>
      <c r="AQ171" s="256"/>
      <c r="AR171" s="256"/>
      <c r="AS171" s="256"/>
      <c r="AT171" s="256"/>
      <c r="AU171" s="256"/>
      <c r="AV171" s="256"/>
      <c r="AW171" s="256"/>
      <c r="AX171" s="256"/>
      <c r="AY171" s="256"/>
      <c r="AZ171" s="256"/>
      <c r="BA171" s="256"/>
      <c r="BB171" s="256"/>
      <c r="BF171" s="921"/>
    </row>
    <row r="172" spans="1:58" s="1327" customFormat="1" ht="14.25" hidden="1" customHeight="1">
      <c r="A172" s="1207"/>
      <c r="B172" s="1076"/>
      <c r="C172" s="1207"/>
      <c r="D172" s="1207"/>
      <c r="E172" s="549">
        <v>15</v>
      </c>
      <c r="F172" s="3" t="str" cm="1">
        <f t="array" aca="1" ref="F172" ca="1">OFFSET(E172,-1,1)</f>
        <v>1</v>
      </c>
      <c r="G172" s="1207"/>
      <c r="H172" s="1207"/>
      <c r="I172" s="1207"/>
      <c r="J172" s="1207"/>
      <c r="K172" s="1207"/>
      <c r="L172" s="1207"/>
      <c r="M172" s="1207"/>
      <c r="N172" s="1207"/>
      <c r="O172" s="1207"/>
      <c r="P172" s="1187"/>
      <c r="Q172" s="1187"/>
      <c r="R172" s="332" t="b" cm="1">
        <f t="array" ref="R172">INDEX('Общие сведения'!$AN$179:$AN$208,MATCH($X118,'Общие сведения'!$Z$179:$Z$208,0))</f>
        <v>0</v>
      </c>
      <c r="S172" s="398" t="b">
        <f>IF(ISERROR(SEARCH("Водоотведение",AB118)),FALSE,TRUE)</f>
        <v>0</v>
      </c>
      <c r="T172" s="381" t="b">
        <f>AND(X118&gt;0,S172,NOT(R172))</f>
        <v>0</v>
      </c>
      <c r="U172" s="1187"/>
      <c r="V172" s="1207"/>
      <c r="W172" s="1187"/>
      <c r="X172" s="1755"/>
      <c r="Y172" s="1734"/>
      <c r="Z172" s="1207"/>
      <c r="AA172" s="1207"/>
      <c r="AB172" s="158" t="s">
        <v>281</v>
      </c>
      <c r="AC172" s="56" t="s">
        <v>653</v>
      </c>
      <c r="AD172" s="116"/>
      <c r="AE172" s="486" t="str" cm="1">
        <f t="array" ref="AE172">INDEX('Общие сведения'!$AH$179:$AH$208,MATCH($X118,'Общие сведения'!$Z$179:$Z$208,0))</f>
        <v>питьевая вода</v>
      </c>
      <c r="AF172" s="274"/>
      <c r="AG172" s="274"/>
      <c r="AH172" s="274"/>
      <c r="AI172" s="274"/>
      <c r="AJ172" s="274"/>
      <c r="AK172" s="274"/>
      <c r="AL172" s="274"/>
      <c r="AM172" s="274"/>
      <c r="AN172" s="274"/>
      <c r="AO172" s="274"/>
      <c r="AP172" s="274"/>
      <c r="AQ172" s="274"/>
      <c r="AR172" s="274"/>
      <c r="AS172" s="274"/>
      <c r="AT172" s="274"/>
      <c r="AU172" s="274"/>
      <c r="AV172" s="274"/>
      <c r="AW172" s="274"/>
      <c r="AX172" s="274"/>
      <c r="AY172" s="274"/>
      <c r="AZ172" s="274"/>
      <c r="BA172" s="274"/>
      <c r="BB172" s="275"/>
      <c r="BC172" s="1361"/>
      <c r="BD172" s="1207"/>
      <c r="BE172" s="1207"/>
      <c r="BF172" s="917" t="s">
        <v>654</v>
      </c>
    </row>
    <row r="173" spans="1:58" s="1327" customFormat="1" ht="14.25" hidden="1" customHeight="1">
      <c r="A173" s="1207"/>
      <c r="B173" s="1076"/>
      <c r="C173" s="1207"/>
      <c r="D173" s="1207"/>
      <c r="E173" s="549">
        <v>15</v>
      </c>
      <c r="F173" s="3" t="str" cm="1">
        <f t="array" aca="1" ref="F173" ca="1">OFFSET(E173,-1,1)</f>
        <v>1</v>
      </c>
      <c r="G173" s="1207"/>
      <c r="H173" s="17" t="s">
        <v>327</v>
      </c>
      <c r="I173" s="1207"/>
      <c r="J173" s="1207"/>
      <c r="K173" s="1207"/>
      <c r="L173" s="1207"/>
      <c r="M173" s="1207"/>
      <c r="N173" s="1207"/>
      <c r="O173" s="1207"/>
      <c r="P173" s="1187"/>
      <c r="Q173" s="1187"/>
      <c r="R173" s="1187"/>
      <c r="S173" s="1187"/>
      <c r="T173" s="381" t="b" cm="1">
        <f t="array" ref="T173">T172</f>
        <v>0</v>
      </c>
      <c r="U173" s="1187"/>
      <c r="V173" s="1207"/>
      <c r="W173" s="1187"/>
      <c r="X173" s="1755"/>
      <c r="Y173" s="1734"/>
      <c r="Z173" s="1207"/>
      <c r="AA173" s="1207"/>
      <c r="AB173" s="158" t="s">
        <v>224</v>
      </c>
      <c r="AC173" s="56" t="s">
        <v>655</v>
      </c>
      <c r="AD173" s="12" t="s">
        <v>499</v>
      </c>
      <c r="AE173" s="259">
        <f t="shared" ref="AE173:BB173" si="42">AE174+AE175+AE188</f>
        <v>0</v>
      </c>
      <c r="AF173" s="259">
        <f t="shared" si="42"/>
        <v>0</v>
      </c>
      <c r="AG173" s="259">
        <f t="shared" si="42"/>
        <v>0</v>
      </c>
      <c r="AH173" s="259">
        <f t="shared" si="42"/>
        <v>0</v>
      </c>
      <c r="AI173" s="259">
        <f t="shared" si="42"/>
        <v>0</v>
      </c>
      <c r="AJ173" s="259">
        <f t="shared" si="42"/>
        <v>0</v>
      </c>
      <c r="AK173" s="259">
        <f t="shared" si="42"/>
        <v>0</v>
      </c>
      <c r="AL173" s="259">
        <f t="shared" si="42"/>
        <v>0</v>
      </c>
      <c r="AM173" s="259">
        <f t="shared" si="42"/>
        <v>0</v>
      </c>
      <c r="AN173" s="259">
        <f t="shared" si="42"/>
        <v>0</v>
      </c>
      <c r="AO173" s="259">
        <f t="shared" si="42"/>
        <v>0</v>
      </c>
      <c r="AP173" s="259">
        <f t="shared" si="42"/>
        <v>0</v>
      </c>
      <c r="AQ173" s="259">
        <f t="shared" si="42"/>
        <v>0</v>
      </c>
      <c r="AR173" s="259">
        <f t="shared" si="42"/>
        <v>0</v>
      </c>
      <c r="AS173" s="259">
        <f t="shared" si="42"/>
        <v>0</v>
      </c>
      <c r="AT173" s="259">
        <f t="shared" si="42"/>
        <v>0</v>
      </c>
      <c r="AU173" s="259">
        <f t="shared" si="42"/>
        <v>0</v>
      </c>
      <c r="AV173" s="259">
        <f t="shared" si="42"/>
        <v>0</v>
      </c>
      <c r="AW173" s="259">
        <f t="shared" si="42"/>
        <v>0</v>
      </c>
      <c r="AX173" s="259">
        <f t="shared" si="42"/>
        <v>0</v>
      </c>
      <c r="AY173" s="259">
        <f t="shared" si="42"/>
        <v>0</v>
      </c>
      <c r="AZ173" s="259">
        <f t="shared" si="42"/>
        <v>0</v>
      </c>
      <c r="BA173" s="259">
        <f t="shared" si="42"/>
        <v>0</v>
      </c>
      <c r="BB173" s="259">
        <f t="shared" si="42"/>
        <v>0</v>
      </c>
      <c r="BC173" s="1361"/>
      <c r="BD173" s="1207"/>
      <c r="BE173" s="1207"/>
      <c r="BF173" s="917" t="s">
        <v>656</v>
      </c>
    </row>
    <row r="174" spans="1:58" s="1327" customFormat="1" ht="14.25" hidden="1" customHeight="1">
      <c r="A174" s="1207"/>
      <c r="B174" s="1076"/>
      <c r="C174" s="1207"/>
      <c r="D174" s="1207"/>
      <c r="E174" s="549">
        <v>15</v>
      </c>
      <c r="F174" s="3" t="str" cm="1">
        <f t="array" aca="1" ref="F174" ca="1">OFFSET(E174,-1,1)</f>
        <v>1</v>
      </c>
      <c r="G174" s="17" t="str">
        <f>IF(OwnNeedsInPO="да","ПО","")</f>
        <v>ПО</v>
      </c>
      <c r="H174" s="17" t="s">
        <v>326</v>
      </c>
      <c r="I174" s="1207"/>
      <c r="J174" s="1207"/>
      <c r="K174" s="1207"/>
      <c r="L174" s="1207"/>
      <c r="M174" s="1207"/>
      <c r="N174" s="1207"/>
      <c r="O174" s="1207"/>
      <c r="P174" s="1187"/>
      <c r="Q174" s="1187"/>
      <c r="R174" s="1187"/>
      <c r="S174" s="1187"/>
      <c r="T174" s="381" t="b" cm="1">
        <f t="array" ref="T174">T173</f>
        <v>0</v>
      </c>
      <c r="U174" s="1187"/>
      <c r="V174" s="1207"/>
      <c r="W174" s="1187"/>
      <c r="X174" s="1755"/>
      <c r="Y174" s="1734"/>
      <c r="Z174" s="1207"/>
      <c r="AA174" s="1207"/>
      <c r="AB174" s="158" t="s">
        <v>321</v>
      </c>
      <c r="AC174" s="56" t="s">
        <v>657</v>
      </c>
      <c r="AD174" s="12" t="s">
        <v>499</v>
      </c>
      <c r="AE174" s="1360"/>
      <c r="AF174" s="1360"/>
      <c r="AG174" s="1360"/>
      <c r="AH174" s="1360"/>
      <c r="AI174" s="192"/>
      <c r="AJ174" s="1360"/>
      <c r="AK174" s="1360"/>
      <c r="AL174" s="1360"/>
      <c r="AM174" s="1360"/>
      <c r="AN174" s="1360"/>
      <c r="AO174" s="1360"/>
      <c r="AP174" s="1360"/>
      <c r="AQ174" s="1360"/>
      <c r="AR174" s="1360"/>
      <c r="AS174" s="192"/>
      <c r="AT174" s="1360"/>
      <c r="AU174" s="1360"/>
      <c r="AV174" s="1360"/>
      <c r="AW174" s="1360"/>
      <c r="AX174" s="1360"/>
      <c r="AY174" s="1360"/>
      <c r="AZ174" s="1360"/>
      <c r="BA174" s="1360"/>
      <c r="BB174" s="1360"/>
      <c r="BC174" s="1361"/>
      <c r="BD174" s="1207"/>
      <c r="BE174" s="1207"/>
      <c r="BF174" s="917" t="s">
        <v>658</v>
      </c>
    </row>
    <row r="175" spans="1:58" s="1327" customFormat="1" ht="14.25" hidden="1" customHeight="1">
      <c r="A175" s="1207"/>
      <c r="B175" s="1076"/>
      <c r="C175" s="1207"/>
      <c r="D175" s="1207"/>
      <c r="E175" s="549">
        <v>15</v>
      </c>
      <c r="F175" s="3" t="str" cm="1">
        <f t="array" aca="1" ref="F175" ca="1">OFFSET(E175,-1,1)</f>
        <v>1</v>
      </c>
      <c r="G175" s="17" t="s">
        <v>571</v>
      </c>
      <c r="H175" s="17" t="s">
        <v>477</v>
      </c>
      <c r="I175" s="1207"/>
      <c r="J175" s="1207"/>
      <c r="K175" s="1207"/>
      <c r="L175" s="1207"/>
      <c r="M175" s="1207"/>
      <c r="N175" s="1207"/>
      <c r="O175" s="1207"/>
      <c r="P175" s="1187"/>
      <c r="Q175" s="1187"/>
      <c r="R175" s="1187"/>
      <c r="S175" s="1187"/>
      <c r="T175" s="381" t="b" cm="1">
        <f t="array" ref="T175">T174</f>
        <v>0</v>
      </c>
      <c r="U175" s="1187"/>
      <c r="V175" s="1207"/>
      <c r="W175" s="1187"/>
      <c r="X175" s="1755"/>
      <c r="Y175" s="1734"/>
      <c r="Z175" s="1207"/>
      <c r="AA175" s="1207"/>
      <c r="AB175" s="158" t="s">
        <v>523</v>
      </c>
      <c r="AC175" s="57" t="s">
        <v>659</v>
      </c>
      <c r="AD175" s="12" t="s">
        <v>499</v>
      </c>
      <c r="AE175" s="258">
        <f t="shared" ref="AE175:BB175" si="43">AE176+AE179+AE182+AE185</f>
        <v>0</v>
      </c>
      <c r="AF175" s="258">
        <f t="shared" si="43"/>
        <v>0</v>
      </c>
      <c r="AG175" s="258">
        <f t="shared" si="43"/>
        <v>0</v>
      </c>
      <c r="AH175" s="258">
        <f t="shared" si="43"/>
        <v>0</v>
      </c>
      <c r="AI175" s="258">
        <f t="shared" si="43"/>
        <v>0</v>
      </c>
      <c r="AJ175" s="258">
        <f t="shared" si="43"/>
        <v>0</v>
      </c>
      <c r="AK175" s="258">
        <f t="shared" si="43"/>
        <v>0</v>
      </c>
      <c r="AL175" s="258">
        <f t="shared" si="43"/>
        <v>0</v>
      </c>
      <c r="AM175" s="258">
        <f t="shared" si="43"/>
        <v>0</v>
      </c>
      <c r="AN175" s="258">
        <f t="shared" si="43"/>
        <v>0</v>
      </c>
      <c r="AO175" s="258">
        <f t="shared" si="43"/>
        <v>0</v>
      </c>
      <c r="AP175" s="258">
        <f t="shared" si="43"/>
        <v>0</v>
      </c>
      <c r="AQ175" s="258">
        <f t="shared" si="43"/>
        <v>0</v>
      </c>
      <c r="AR175" s="258">
        <f t="shared" si="43"/>
        <v>0</v>
      </c>
      <c r="AS175" s="258">
        <f t="shared" si="43"/>
        <v>0</v>
      </c>
      <c r="AT175" s="258">
        <f t="shared" si="43"/>
        <v>0</v>
      </c>
      <c r="AU175" s="258">
        <f t="shared" si="43"/>
        <v>0</v>
      </c>
      <c r="AV175" s="258">
        <f t="shared" si="43"/>
        <v>0</v>
      </c>
      <c r="AW175" s="258">
        <f t="shared" si="43"/>
        <v>0</v>
      </c>
      <c r="AX175" s="258">
        <f t="shared" si="43"/>
        <v>0</v>
      </c>
      <c r="AY175" s="258">
        <f t="shared" si="43"/>
        <v>0</v>
      </c>
      <c r="AZ175" s="258">
        <f t="shared" si="43"/>
        <v>0</v>
      </c>
      <c r="BA175" s="258">
        <f t="shared" si="43"/>
        <v>0</v>
      </c>
      <c r="BB175" s="258">
        <f t="shared" si="43"/>
        <v>0</v>
      </c>
      <c r="BC175" s="1361"/>
      <c r="BD175" s="1207"/>
      <c r="BE175" s="1207"/>
      <c r="BF175" s="917" t="s">
        <v>660</v>
      </c>
    </row>
    <row r="176" spans="1:58" s="1327" customFormat="1" ht="14.25" hidden="1" customHeight="1">
      <c r="A176" s="1207"/>
      <c r="B176" s="1076"/>
      <c r="C176" s="1207"/>
      <c r="D176" s="1207"/>
      <c r="E176" s="549">
        <v>15</v>
      </c>
      <c r="F176" s="3" t="str" cm="1">
        <f t="array" aca="1" ref="F176" ca="1">OFFSET(E176,-1,1)</f>
        <v>1</v>
      </c>
      <c r="G176" s="1207"/>
      <c r="H176" s="17" t="s">
        <v>638</v>
      </c>
      <c r="I176" s="1207"/>
      <c r="J176" s="1207"/>
      <c r="K176" s="1207"/>
      <c r="L176" s="1207"/>
      <c r="M176" s="1207"/>
      <c r="N176" s="1207"/>
      <c r="O176" s="1207"/>
      <c r="P176" s="1187"/>
      <c r="Q176" s="1187"/>
      <c r="R176" s="1187"/>
      <c r="S176" s="1187"/>
      <c r="T176" s="381" t="b" cm="1">
        <f t="array" ref="T176">T175</f>
        <v>0</v>
      </c>
      <c r="U176" s="1187"/>
      <c r="V176" s="1207"/>
      <c r="W176" s="1187"/>
      <c r="X176" s="1755"/>
      <c r="Y176" s="1734"/>
      <c r="Z176" s="1207"/>
      <c r="AA176" s="1207"/>
      <c r="AB176" s="158" t="s">
        <v>639</v>
      </c>
      <c r="AC176" s="111" t="s">
        <v>590</v>
      </c>
      <c r="AD176" s="12" t="s">
        <v>499</v>
      </c>
      <c r="AE176" s="258">
        <f t="shared" ref="AE176:BB176" si="44">AE177+AE178</f>
        <v>0</v>
      </c>
      <c r="AF176" s="258">
        <f t="shared" si="44"/>
        <v>0</v>
      </c>
      <c r="AG176" s="258">
        <f t="shared" si="44"/>
        <v>0</v>
      </c>
      <c r="AH176" s="258">
        <f t="shared" si="44"/>
        <v>0</v>
      </c>
      <c r="AI176" s="258">
        <f t="shared" si="44"/>
        <v>0</v>
      </c>
      <c r="AJ176" s="258">
        <f t="shared" si="44"/>
        <v>0</v>
      </c>
      <c r="AK176" s="258">
        <f t="shared" si="44"/>
        <v>0</v>
      </c>
      <c r="AL176" s="258">
        <f t="shared" si="44"/>
        <v>0</v>
      </c>
      <c r="AM176" s="258">
        <f t="shared" si="44"/>
        <v>0</v>
      </c>
      <c r="AN176" s="258">
        <f t="shared" si="44"/>
        <v>0</v>
      </c>
      <c r="AO176" s="258">
        <f t="shared" si="44"/>
        <v>0</v>
      </c>
      <c r="AP176" s="258">
        <f t="shared" si="44"/>
        <v>0</v>
      </c>
      <c r="AQ176" s="258">
        <f t="shared" si="44"/>
        <v>0</v>
      </c>
      <c r="AR176" s="258">
        <f t="shared" si="44"/>
        <v>0</v>
      </c>
      <c r="AS176" s="258">
        <f t="shared" si="44"/>
        <v>0</v>
      </c>
      <c r="AT176" s="258">
        <f t="shared" si="44"/>
        <v>0</v>
      </c>
      <c r="AU176" s="258">
        <f t="shared" si="44"/>
        <v>0</v>
      </c>
      <c r="AV176" s="258">
        <f t="shared" si="44"/>
        <v>0</v>
      </c>
      <c r="AW176" s="258">
        <f t="shared" si="44"/>
        <v>0</v>
      </c>
      <c r="AX176" s="258">
        <f t="shared" si="44"/>
        <v>0</v>
      </c>
      <c r="AY176" s="258">
        <f t="shared" si="44"/>
        <v>0</v>
      </c>
      <c r="AZ176" s="258">
        <f t="shared" si="44"/>
        <v>0</v>
      </c>
      <c r="BA176" s="258">
        <f t="shared" si="44"/>
        <v>0</v>
      </c>
      <c r="BB176" s="258">
        <f t="shared" si="44"/>
        <v>0</v>
      </c>
      <c r="BC176" s="1361"/>
      <c r="BD176" s="1207"/>
      <c r="BE176" s="1207"/>
      <c r="BF176" s="917" t="s">
        <v>661</v>
      </c>
    </row>
    <row r="177" spans="1:58" s="1327" customFormat="1" ht="14.25" hidden="1" customHeight="1">
      <c r="A177" s="1207"/>
      <c r="B177" s="1076"/>
      <c r="C177" s="1207"/>
      <c r="D177" s="1207"/>
      <c r="E177" s="549">
        <v>15</v>
      </c>
      <c r="F177" s="3" t="str" cm="1">
        <f t="array" aca="1" ref="F177" ca="1">OFFSET(E177,-1,1)</f>
        <v>1</v>
      </c>
      <c r="G177" s="1207"/>
      <c r="H177" s="17" t="s">
        <v>662</v>
      </c>
      <c r="I177" s="1207"/>
      <c r="J177" s="1207"/>
      <c r="K177" s="1207"/>
      <c r="L177" s="1207"/>
      <c r="M177" s="1207"/>
      <c r="N177" s="1207"/>
      <c r="O177" s="1207"/>
      <c r="P177" s="1187"/>
      <c r="Q177" s="1187"/>
      <c r="R177" s="1187"/>
      <c r="S177" s="1187"/>
      <c r="T177" s="381" t="b" cm="1">
        <f t="array" ref="T177">T176</f>
        <v>0</v>
      </c>
      <c r="U177" s="1187"/>
      <c r="V177" s="1207"/>
      <c r="W177" s="1187"/>
      <c r="X177" s="1755"/>
      <c r="Y177" s="1734"/>
      <c r="Z177" s="1207"/>
      <c r="AA177" s="1207"/>
      <c r="AB177" s="158" t="s">
        <v>663</v>
      </c>
      <c r="AC177" s="250" t="s">
        <v>578</v>
      </c>
      <c r="AD177" s="12" t="s">
        <v>499</v>
      </c>
      <c r="AE177" s="1360"/>
      <c r="AF177" s="1360"/>
      <c r="AG177" s="1360"/>
      <c r="AH177" s="1360"/>
      <c r="AI177" s="192"/>
      <c r="AJ177" s="1360"/>
      <c r="AK177" s="1360"/>
      <c r="AL177" s="1360"/>
      <c r="AM177" s="1360"/>
      <c r="AN177" s="1360"/>
      <c r="AO177" s="1360"/>
      <c r="AP177" s="1360"/>
      <c r="AQ177" s="1360"/>
      <c r="AR177" s="1360"/>
      <c r="AS177" s="192"/>
      <c r="AT177" s="1360"/>
      <c r="AU177" s="1360"/>
      <c r="AV177" s="1360"/>
      <c r="AW177" s="1360"/>
      <c r="AX177" s="1360"/>
      <c r="AY177" s="1360"/>
      <c r="AZ177" s="1360"/>
      <c r="BA177" s="1360"/>
      <c r="BB177" s="1360"/>
      <c r="BC177" s="1361"/>
      <c r="BD177" s="1207"/>
      <c r="BE177" s="1207"/>
      <c r="BF177" s="917" t="s">
        <v>664</v>
      </c>
    </row>
    <row r="178" spans="1:58" s="1327" customFormat="1" ht="14.25" hidden="1" customHeight="1">
      <c r="A178" s="1207"/>
      <c r="B178" s="1076"/>
      <c r="C178" s="1207"/>
      <c r="D178" s="1207"/>
      <c r="E178" s="549">
        <v>15</v>
      </c>
      <c r="F178" s="3" t="str" cm="1">
        <f t="array" aca="1" ref="F178" ca="1">OFFSET(E178,-1,1)</f>
        <v>1</v>
      </c>
      <c r="G178" s="1207"/>
      <c r="H178" s="17" t="s">
        <v>665</v>
      </c>
      <c r="I178" s="1207"/>
      <c r="J178" s="1207"/>
      <c r="K178" s="1207"/>
      <c r="L178" s="1207"/>
      <c r="M178" s="1207"/>
      <c r="N178" s="1207"/>
      <c r="O178" s="1207"/>
      <c r="P178" s="1187"/>
      <c r="Q178" s="1187"/>
      <c r="R178" s="1187"/>
      <c r="S178" s="1187"/>
      <c r="T178" s="381" t="b" cm="1">
        <f t="array" ref="T178">T177</f>
        <v>0</v>
      </c>
      <c r="U178" s="1187"/>
      <c r="V178" s="1207"/>
      <c r="W178" s="1187"/>
      <c r="X178" s="1755"/>
      <c r="Y178" s="1734"/>
      <c r="Z178" s="1207"/>
      <c r="AA178" s="1207"/>
      <c r="AB178" s="158" t="s">
        <v>666</v>
      </c>
      <c r="AC178" s="250" t="s">
        <v>582</v>
      </c>
      <c r="AD178" s="12" t="s">
        <v>499</v>
      </c>
      <c r="AE178" s="1360"/>
      <c r="AF178" s="1360"/>
      <c r="AG178" s="1360"/>
      <c r="AH178" s="1360"/>
      <c r="AI178" s="192"/>
      <c r="AJ178" s="1360"/>
      <c r="AK178" s="1360"/>
      <c r="AL178" s="1360"/>
      <c r="AM178" s="1360"/>
      <c r="AN178" s="1360"/>
      <c r="AO178" s="1360"/>
      <c r="AP178" s="1360"/>
      <c r="AQ178" s="1360"/>
      <c r="AR178" s="1360"/>
      <c r="AS178" s="192"/>
      <c r="AT178" s="1360"/>
      <c r="AU178" s="1360"/>
      <c r="AV178" s="1360"/>
      <c r="AW178" s="1360"/>
      <c r="AX178" s="1360"/>
      <c r="AY178" s="1360"/>
      <c r="AZ178" s="1360"/>
      <c r="BA178" s="1360"/>
      <c r="BB178" s="1360"/>
      <c r="BC178" s="1361"/>
      <c r="BD178" s="1207"/>
      <c r="BE178" s="1207"/>
      <c r="BF178" s="917" t="s">
        <v>667</v>
      </c>
    </row>
    <row r="179" spans="1:58" s="1327" customFormat="1" ht="14.25" hidden="1" customHeight="1">
      <c r="A179" s="1207"/>
      <c r="B179" s="1076"/>
      <c r="C179" s="1207"/>
      <c r="D179" s="1207"/>
      <c r="E179" s="549">
        <v>15</v>
      </c>
      <c r="F179" s="3" t="str" cm="1">
        <f t="array" aca="1" ref="F179" ca="1">OFFSET(E179,-1,1)</f>
        <v>1</v>
      </c>
      <c r="G179" s="17" t="s">
        <v>598</v>
      </c>
      <c r="H179" s="17" t="s">
        <v>641</v>
      </c>
      <c r="I179" s="1207"/>
      <c r="J179" s="1207"/>
      <c r="K179" s="1207"/>
      <c r="L179" s="1207"/>
      <c r="M179" s="1207"/>
      <c r="N179" s="1207"/>
      <c r="O179" s="1207"/>
      <c r="P179" s="1187"/>
      <c r="Q179" s="1187"/>
      <c r="R179" s="1187"/>
      <c r="S179" s="1187"/>
      <c r="T179" s="381" t="b" cm="1">
        <f t="array" ref="T179">T178</f>
        <v>0</v>
      </c>
      <c r="U179" s="1187"/>
      <c r="V179" s="1207"/>
      <c r="W179" s="1187"/>
      <c r="X179" s="1755"/>
      <c r="Y179" s="1734"/>
      <c r="Z179" s="1207"/>
      <c r="AA179" s="1207"/>
      <c r="AB179" s="158" t="s">
        <v>642</v>
      </c>
      <c r="AC179" s="111" t="s">
        <v>601</v>
      </c>
      <c r="AD179" s="12" t="s">
        <v>499</v>
      </c>
      <c r="AE179" s="258">
        <f t="shared" ref="AE179:BB179" si="45">AE180+AE181</f>
        <v>0</v>
      </c>
      <c r="AF179" s="258">
        <f t="shared" si="45"/>
        <v>0</v>
      </c>
      <c r="AG179" s="258">
        <f t="shared" si="45"/>
        <v>0</v>
      </c>
      <c r="AH179" s="258">
        <f t="shared" si="45"/>
        <v>0</v>
      </c>
      <c r="AI179" s="258">
        <f t="shared" si="45"/>
        <v>0</v>
      </c>
      <c r="AJ179" s="258">
        <f t="shared" si="45"/>
        <v>0</v>
      </c>
      <c r="AK179" s="258">
        <f t="shared" si="45"/>
        <v>0</v>
      </c>
      <c r="AL179" s="258">
        <f t="shared" si="45"/>
        <v>0</v>
      </c>
      <c r="AM179" s="258">
        <f t="shared" si="45"/>
        <v>0</v>
      </c>
      <c r="AN179" s="258">
        <f t="shared" si="45"/>
        <v>0</v>
      </c>
      <c r="AO179" s="258">
        <f t="shared" si="45"/>
        <v>0</v>
      </c>
      <c r="AP179" s="258">
        <f t="shared" si="45"/>
        <v>0</v>
      </c>
      <c r="AQ179" s="258">
        <f t="shared" si="45"/>
        <v>0</v>
      </c>
      <c r="AR179" s="258">
        <f t="shared" si="45"/>
        <v>0</v>
      </c>
      <c r="AS179" s="258">
        <f t="shared" si="45"/>
        <v>0</v>
      </c>
      <c r="AT179" s="258">
        <f t="shared" si="45"/>
        <v>0</v>
      </c>
      <c r="AU179" s="258">
        <f t="shared" si="45"/>
        <v>0</v>
      </c>
      <c r="AV179" s="258">
        <f t="shared" si="45"/>
        <v>0</v>
      </c>
      <c r="AW179" s="258">
        <f t="shared" si="45"/>
        <v>0</v>
      </c>
      <c r="AX179" s="258">
        <f t="shared" si="45"/>
        <v>0</v>
      </c>
      <c r="AY179" s="258">
        <f t="shared" si="45"/>
        <v>0</v>
      </c>
      <c r="AZ179" s="258">
        <f t="shared" si="45"/>
        <v>0</v>
      </c>
      <c r="BA179" s="258">
        <f t="shared" si="45"/>
        <v>0</v>
      </c>
      <c r="BB179" s="258">
        <f t="shared" si="45"/>
        <v>0</v>
      </c>
      <c r="BC179" s="1361"/>
      <c r="BD179" s="1207"/>
      <c r="BE179" s="1207"/>
      <c r="BF179" s="917" t="s">
        <v>668</v>
      </c>
    </row>
    <row r="180" spans="1:58" s="1327" customFormat="1" ht="14.25" hidden="1" customHeight="1">
      <c r="A180" s="1207"/>
      <c r="B180" s="1076"/>
      <c r="C180" s="1207"/>
      <c r="D180" s="1207"/>
      <c r="E180" s="549">
        <v>15</v>
      </c>
      <c r="F180" s="3" t="str" cm="1">
        <f t="array" aca="1" ref="F180" ca="1">OFFSET(E180,-1,1)</f>
        <v>1</v>
      </c>
      <c r="G180" s="1207"/>
      <c r="H180" s="17" t="s">
        <v>669</v>
      </c>
      <c r="I180" s="1207"/>
      <c r="J180" s="1207"/>
      <c r="K180" s="1207"/>
      <c r="L180" s="1207"/>
      <c r="M180" s="1207"/>
      <c r="N180" s="1207"/>
      <c r="O180" s="1207"/>
      <c r="P180" s="1187"/>
      <c r="Q180" s="1187"/>
      <c r="R180" s="1187"/>
      <c r="S180" s="1187"/>
      <c r="T180" s="381" t="b" cm="1">
        <f t="array" ref="T180">T179</f>
        <v>0</v>
      </c>
      <c r="U180" s="1187"/>
      <c r="V180" s="1207"/>
      <c r="W180" s="1187"/>
      <c r="X180" s="1755"/>
      <c r="Y180" s="1734"/>
      <c r="Z180" s="1207"/>
      <c r="AA180" s="1207"/>
      <c r="AB180" s="158" t="s">
        <v>670</v>
      </c>
      <c r="AC180" s="250" t="s">
        <v>578</v>
      </c>
      <c r="AD180" s="12" t="s">
        <v>499</v>
      </c>
      <c r="AE180" s="1360"/>
      <c r="AF180" s="1360"/>
      <c r="AG180" s="1360"/>
      <c r="AH180" s="1360"/>
      <c r="AI180" s="192"/>
      <c r="AJ180" s="1360"/>
      <c r="AK180" s="1360"/>
      <c r="AL180" s="1360"/>
      <c r="AM180" s="1360"/>
      <c r="AN180" s="1360"/>
      <c r="AO180" s="1360"/>
      <c r="AP180" s="1360"/>
      <c r="AQ180" s="1360"/>
      <c r="AR180" s="1360"/>
      <c r="AS180" s="192"/>
      <c r="AT180" s="1360"/>
      <c r="AU180" s="1360"/>
      <c r="AV180" s="1360"/>
      <c r="AW180" s="1360"/>
      <c r="AX180" s="1360"/>
      <c r="AY180" s="1360"/>
      <c r="AZ180" s="1360"/>
      <c r="BA180" s="1360"/>
      <c r="BB180" s="1360"/>
      <c r="BC180" s="1361"/>
      <c r="BD180" s="1207"/>
      <c r="BE180" s="1207"/>
      <c r="BF180" s="917" t="s">
        <v>671</v>
      </c>
    </row>
    <row r="181" spans="1:58" s="1327" customFormat="1" ht="14.25" hidden="1" customHeight="1">
      <c r="A181" s="1207"/>
      <c r="B181" s="1076"/>
      <c r="C181" s="1207"/>
      <c r="D181" s="1207"/>
      <c r="E181" s="549">
        <v>15</v>
      </c>
      <c r="F181" s="3" t="str" cm="1">
        <f t="array" aca="1" ref="F181" ca="1">OFFSET(E181,-1,1)</f>
        <v>1</v>
      </c>
      <c r="G181" s="1207"/>
      <c r="H181" s="17" t="s">
        <v>672</v>
      </c>
      <c r="I181" s="1207"/>
      <c r="J181" s="1207"/>
      <c r="K181" s="1207"/>
      <c r="L181" s="1207"/>
      <c r="M181" s="1207"/>
      <c r="N181" s="1207"/>
      <c r="O181" s="1207"/>
      <c r="P181" s="1187"/>
      <c r="Q181" s="1187"/>
      <c r="R181" s="1187"/>
      <c r="S181" s="1187"/>
      <c r="T181" s="381" t="b" cm="1">
        <f t="array" ref="T181">T180</f>
        <v>0</v>
      </c>
      <c r="U181" s="1187"/>
      <c r="V181" s="1207"/>
      <c r="W181" s="1187"/>
      <c r="X181" s="1755"/>
      <c r="Y181" s="1734"/>
      <c r="Z181" s="1207"/>
      <c r="AA181" s="1207"/>
      <c r="AB181" s="158" t="s">
        <v>673</v>
      </c>
      <c r="AC181" s="250" t="s">
        <v>582</v>
      </c>
      <c r="AD181" s="12" t="s">
        <v>499</v>
      </c>
      <c r="AE181" s="1360"/>
      <c r="AF181" s="1360"/>
      <c r="AG181" s="1360"/>
      <c r="AH181" s="1360"/>
      <c r="AI181" s="192"/>
      <c r="AJ181" s="1360"/>
      <c r="AK181" s="1360"/>
      <c r="AL181" s="1360"/>
      <c r="AM181" s="1360"/>
      <c r="AN181" s="1360"/>
      <c r="AO181" s="1360"/>
      <c r="AP181" s="1360"/>
      <c r="AQ181" s="1360"/>
      <c r="AR181" s="1360"/>
      <c r="AS181" s="192"/>
      <c r="AT181" s="1360"/>
      <c r="AU181" s="1360"/>
      <c r="AV181" s="1360"/>
      <c r="AW181" s="1360"/>
      <c r="AX181" s="1360"/>
      <c r="AY181" s="1360"/>
      <c r="AZ181" s="1360"/>
      <c r="BA181" s="1360"/>
      <c r="BB181" s="1360"/>
      <c r="BC181" s="1361"/>
      <c r="BD181" s="1207"/>
      <c r="BE181" s="1207"/>
      <c r="BF181" s="917" t="s">
        <v>674</v>
      </c>
    </row>
    <row r="182" spans="1:58" s="1327" customFormat="1" ht="14.25" hidden="1" customHeight="1">
      <c r="A182" s="1207"/>
      <c r="B182" s="1076"/>
      <c r="C182" s="1207"/>
      <c r="D182" s="1207"/>
      <c r="E182" s="549">
        <v>15</v>
      </c>
      <c r="F182" s="3" t="str" cm="1">
        <f t="array" aca="1" ref="F182" ca="1">OFFSET(E182,-1,1)</f>
        <v>1</v>
      </c>
      <c r="G182" s="1207"/>
      <c r="H182" s="17" t="s">
        <v>675</v>
      </c>
      <c r="I182" s="1207"/>
      <c r="J182" s="1207"/>
      <c r="K182" s="1207"/>
      <c r="L182" s="1207"/>
      <c r="M182" s="1207"/>
      <c r="N182" s="1207"/>
      <c r="O182" s="1207"/>
      <c r="P182" s="1187"/>
      <c r="Q182" s="1187"/>
      <c r="R182" s="1187"/>
      <c r="S182" s="1187"/>
      <c r="T182" s="381" t="b" cm="1">
        <f t="array" ref="T182">T181</f>
        <v>0</v>
      </c>
      <c r="U182" s="1187"/>
      <c r="V182" s="1207"/>
      <c r="W182" s="1187"/>
      <c r="X182" s="1755"/>
      <c r="Y182" s="1734"/>
      <c r="Z182" s="1207"/>
      <c r="AA182" s="1207"/>
      <c r="AB182" s="158" t="s">
        <v>676</v>
      </c>
      <c r="AC182" s="111" t="s">
        <v>611</v>
      </c>
      <c r="AD182" s="12" t="s">
        <v>499</v>
      </c>
      <c r="AE182" s="258">
        <f t="shared" ref="AE182:BB182" si="46">AE183+AE184</f>
        <v>0</v>
      </c>
      <c r="AF182" s="258">
        <f t="shared" si="46"/>
        <v>0</v>
      </c>
      <c r="AG182" s="258">
        <f t="shared" si="46"/>
        <v>0</v>
      </c>
      <c r="AH182" s="258">
        <f t="shared" si="46"/>
        <v>0</v>
      </c>
      <c r="AI182" s="258">
        <f t="shared" si="46"/>
        <v>0</v>
      </c>
      <c r="AJ182" s="258">
        <f t="shared" si="46"/>
        <v>0</v>
      </c>
      <c r="AK182" s="258">
        <f t="shared" si="46"/>
        <v>0</v>
      </c>
      <c r="AL182" s="258">
        <f t="shared" si="46"/>
        <v>0</v>
      </c>
      <c r="AM182" s="258">
        <f t="shared" si="46"/>
        <v>0</v>
      </c>
      <c r="AN182" s="258">
        <f t="shared" si="46"/>
        <v>0</v>
      </c>
      <c r="AO182" s="258">
        <f t="shared" si="46"/>
        <v>0</v>
      </c>
      <c r="AP182" s="258">
        <f t="shared" si="46"/>
        <v>0</v>
      </c>
      <c r="AQ182" s="258">
        <f t="shared" si="46"/>
        <v>0</v>
      </c>
      <c r="AR182" s="258">
        <f t="shared" si="46"/>
        <v>0</v>
      </c>
      <c r="AS182" s="258">
        <f t="shared" si="46"/>
        <v>0</v>
      </c>
      <c r="AT182" s="258">
        <f t="shared" si="46"/>
        <v>0</v>
      </c>
      <c r="AU182" s="258">
        <f t="shared" si="46"/>
        <v>0</v>
      </c>
      <c r="AV182" s="258">
        <f t="shared" si="46"/>
        <v>0</v>
      </c>
      <c r="AW182" s="258">
        <f t="shared" si="46"/>
        <v>0</v>
      </c>
      <c r="AX182" s="258">
        <f t="shared" si="46"/>
        <v>0</v>
      </c>
      <c r="AY182" s="258">
        <f t="shared" si="46"/>
        <v>0</v>
      </c>
      <c r="AZ182" s="258">
        <f t="shared" si="46"/>
        <v>0</v>
      </c>
      <c r="BA182" s="258">
        <f t="shared" si="46"/>
        <v>0</v>
      </c>
      <c r="BB182" s="258">
        <f t="shared" si="46"/>
        <v>0</v>
      </c>
      <c r="BC182" s="1361"/>
      <c r="BD182" s="1207"/>
      <c r="BE182" s="1207"/>
      <c r="BF182" s="917" t="s">
        <v>677</v>
      </c>
    </row>
    <row r="183" spans="1:58" s="1327" customFormat="1" ht="14.25" hidden="1" customHeight="1">
      <c r="A183" s="1207"/>
      <c r="B183" s="1076"/>
      <c r="C183" s="1207"/>
      <c r="D183" s="1207"/>
      <c r="E183" s="549">
        <v>15</v>
      </c>
      <c r="F183" s="3" t="str" cm="1">
        <f t="array" aca="1" ref="F183" ca="1">OFFSET(E183,-1,1)</f>
        <v>1</v>
      </c>
      <c r="G183" s="1207"/>
      <c r="H183" s="17" t="s">
        <v>678</v>
      </c>
      <c r="I183" s="1207"/>
      <c r="J183" s="1207"/>
      <c r="K183" s="1207"/>
      <c r="L183" s="1207"/>
      <c r="M183" s="1207"/>
      <c r="N183" s="1207"/>
      <c r="O183" s="1207"/>
      <c r="P183" s="1187"/>
      <c r="Q183" s="1187"/>
      <c r="R183" s="1187"/>
      <c r="S183" s="1187"/>
      <c r="T183" s="381" t="b" cm="1">
        <f t="array" ref="T183">T182</f>
        <v>0</v>
      </c>
      <c r="U183" s="1187"/>
      <c r="V183" s="1207"/>
      <c r="W183" s="1187"/>
      <c r="X183" s="1755"/>
      <c r="Y183" s="1734"/>
      <c r="Z183" s="1207"/>
      <c r="AA183" s="1207"/>
      <c r="AB183" s="158" t="s">
        <v>679</v>
      </c>
      <c r="AC183" s="250" t="s">
        <v>578</v>
      </c>
      <c r="AD183" s="12" t="s">
        <v>499</v>
      </c>
      <c r="AE183" s="1360"/>
      <c r="AF183" s="1360"/>
      <c r="AG183" s="1360"/>
      <c r="AH183" s="1360"/>
      <c r="AI183" s="192"/>
      <c r="AJ183" s="1360"/>
      <c r="AK183" s="1360"/>
      <c r="AL183" s="1360"/>
      <c r="AM183" s="1360"/>
      <c r="AN183" s="1360"/>
      <c r="AO183" s="1360"/>
      <c r="AP183" s="1360"/>
      <c r="AQ183" s="1360"/>
      <c r="AR183" s="1360"/>
      <c r="AS183" s="192"/>
      <c r="AT183" s="1360"/>
      <c r="AU183" s="1360"/>
      <c r="AV183" s="1360"/>
      <c r="AW183" s="1360"/>
      <c r="AX183" s="1360"/>
      <c r="AY183" s="1360"/>
      <c r="AZ183" s="1360"/>
      <c r="BA183" s="1360"/>
      <c r="BB183" s="1360"/>
      <c r="BC183" s="1361"/>
      <c r="BD183" s="1207"/>
      <c r="BE183" s="1207"/>
      <c r="BF183" s="917" t="s">
        <v>680</v>
      </c>
    </row>
    <row r="184" spans="1:58" s="1327" customFormat="1" ht="14.25" hidden="1" customHeight="1">
      <c r="A184" s="1207"/>
      <c r="B184" s="1076"/>
      <c r="C184" s="1207"/>
      <c r="D184" s="1207"/>
      <c r="E184" s="549">
        <v>15</v>
      </c>
      <c r="F184" s="3" t="str" cm="1">
        <f t="array" aca="1" ref="F184" ca="1">OFFSET(E184,-1,1)</f>
        <v>1</v>
      </c>
      <c r="G184" s="1207"/>
      <c r="H184" s="17" t="s">
        <v>681</v>
      </c>
      <c r="I184" s="1207"/>
      <c r="J184" s="1207"/>
      <c r="K184" s="1207"/>
      <c r="L184" s="1207"/>
      <c r="M184" s="1207"/>
      <c r="N184" s="1207"/>
      <c r="O184" s="1207"/>
      <c r="P184" s="1187"/>
      <c r="Q184" s="1187"/>
      <c r="R184" s="1187"/>
      <c r="S184" s="1187"/>
      <c r="T184" s="381" t="b" cm="1">
        <f t="array" ref="T184">T183</f>
        <v>0</v>
      </c>
      <c r="U184" s="1187"/>
      <c r="V184" s="1207"/>
      <c r="W184" s="1187"/>
      <c r="X184" s="1755"/>
      <c r="Y184" s="1734"/>
      <c r="Z184" s="1207"/>
      <c r="AA184" s="1207"/>
      <c r="AB184" s="158" t="s">
        <v>682</v>
      </c>
      <c r="AC184" s="250" t="s">
        <v>582</v>
      </c>
      <c r="AD184" s="12" t="s">
        <v>499</v>
      </c>
      <c r="AE184" s="1360"/>
      <c r="AF184" s="1360"/>
      <c r="AG184" s="1360"/>
      <c r="AH184" s="1360"/>
      <c r="AI184" s="192"/>
      <c r="AJ184" s="1360"/>
      <c r="AK184" s="1360"/>
      <c r="AL184" s="1360"/>
      <c r="AM184" s="1360"/>
      <c r="AN184" s="1360"/>
      <c r="AO184" s="1360"/>
      <c r="AP184" s="1360"/>
      <c r="AQ184" s="1360"/>
      <c r="AR184" s="1360"/>
      <c r="AS184" s="192"/>
      <c r="AT184" s="1360"/>
      <c r="AU184" s="1360"/>
      <c r="AV184" s="1360"/>
      <c r="AW184" s="1360"/>
      <c r="AX184" s="1360"/>
      <c r="AY184" s="1360"/>
      <c r="AZ184" s="1360"/>
      <c r="BA184" s="1360"/>
      <c r="BB184" s="1360"/>
      <c r="BC184" s="1361"/>
      <c r="BD184" s="1207"/>
      <c r="BE184" s="1207"/>
      <c r="BF184" s="917" t="s">
        <v>683</v>
      </c>
    </row>
    <row r="185" spans="1:58" s="1327" customFormat="1" ht="14.25" hidden="1" customHeight="1">
      <c r="A185" s="1207"/>
      <c r="B185" s="1076"/>
      <c r="C185" s="1207"/>
      <c r="D185" s="1207"/>
      <c r="E185" s="549">
        <v>15</v>
      </c>
      <c r="F185" s="3" t="str" cm="1">
        <f t="array" aca="1" ref="F185" ca="1">OFFSET(E185,-1,1)</f>
        <v>1</v>
      </c>
      <c r="G185" s="1207"/>
      <c r="H185" s="17" t="s">
        <v>684</v>
      </c>
      <c r="I185" s="1207"/>
      <c r="J185" s="1207"/>
      <c r="K185" s="1207"/>
      <c r="L185" s="1207"/>
      <c r="M185" s="1207"/>
      <c r="N185" s="1207"/>
      <c r="O185" s="1207"/>
      <c r="P185" s="1187"/>
      <c r="Q185" s="1187"/>
      <c r="R185" s="1187"/>
      <c r="S185" s="1187"/>
      <c r="T185" s="381" t="b" cm="1">
        <f t="array" ref="T185">T184</f>
        <v>0</v>
      </c>
      <c r="U185" s="1187"/>
      <c r="V185" s="1207"/>
      <c r="W185" s="1187"/>
      <c r="X185" s="1755"/>
      <c r="Y185" s="1734"/>
      <c r="Z185" s="1207"/>
      <c r="AA185" s="1207"/>
      <c r="AB185" s="158" t="s">
        <v>685</v>
      </c>
      <c r="AC185" s="111" t="s">
        <v>686</v>
      </c>
      <c r="AD185" s="12" t="s">
        <v>499</v>
      </c>
      <c r="AE185" s="258">
        <f t="shared" ref="AE185:BB185" si="47">AE186+AE187</f>
        <v>0</v>
      </c>
      <c r="AF185" s="258">
        <f t="shared" si="47"/>
        <v>0</v>
      </c>
      <c r="AG185" s="258">
        <f t="shared" si="47"/>
        <v>0</v>
      </c>
      <c r="AH185" s="258">
        <f t="shared" si="47"/>
        <v>0</v>
      </c>
      <c r="AI185" s="258">
        <f t="shared" si="47"/>
        <v>0</v>
      </c>
      <c r="AJ185" s="258">
        <f t="shared" si="47"/>
        <v>0</v>
      </c>
      <c r="AK185" s="258">
        <f t="shared" si="47"/>
        <v>0</v>
      </c>
      <c r="AL185" s="258">
        <f t="shared" si="47"/>
        <v>0</v>
      </c>
      <c r="AM185" s="258">
        <f t="shared" si="47"/>
        <v>0</v>
      </c>
      <c r="AN185" s="258">
        <f t="shared" si="47"/>
        <v>0</v>
      </c>
      <c r="AO185" s="258">
        <f t="shared" si="47"/>
        <v>0</v>
      </c>
      <c r="AP185" s="258">
        <f t="shared" si="47"/>
        <v>0</v>
      </c>
      <c r="AQ185" s="258">
        <f t="shared" si="47"/>
        <v>0</v>
      </c>
      <c r="AR185" s="258">
        <f t="shared" si="47"/>
        <v>0</v>
      </c>
      <c r="AS185" s="258">
        <f t="shared" si="47"/>
        <v>0</v>
      </c>
      <c r="AT185" s="258">
        <f t="shared" si="47"/>
        <v>0</v>
      </c>
      <c r="AU185" s="258">
        <f t="shared" si="47"/>
        <v>0</v>
      </c>
      <c r="AV185" s="258">
        <f t="shared" si="47"/>
        <v>0</v>
      </c>
      <c r="AW185" s="258">
        <f t="shared" si="47"/>
        <v>0</v>
      </c>
      <c r="AX185" s="258">
        <f t="shared" si="47"/>
        <v>0</v>
      </c>
      <c r="AY185" s="258">
        <f t="shared" si="47"/>
        <v>0</v>
      </c>
      <c r="AZ185" s="258">
        <f t="shared" si="47"/>
        <v>0</v>
      </c>
      <c r="BA185" s="258">
        <f t="shared" si="47"/>
        <v>0</v>
      </c>
      <c r="BB185" s="258">
        <f t="shared" si="47"/>
        <v>0</v>
      </c>
      <c r="BC185" s="1361"/>
      <c r="BD185" s="1207"/>
      <c r="BE185" s="1207"/>
      <c r="BF185" s="917" t="s">
        <v>687</v>
      </c>
    </row>
    <row r="186" spans="1:58" s="1327" customFormat="1" ht="14.25" hidden="1" customHeight="1">
      <c r="A186" s="1207"/>
      <c r="B186" s="1076"/>
      <c r="C186" s="1207"/>
      <c r="D186" s="1207"/>
      <c r="E186" s="549">
        <v>15</v>
      </c>
      <c r="F186" s="3" t="str" cm="1">
        <f t="array" aca="1" ref="F186" ca="1">OFFSET(E186,-1,1)</f>
        <v>1</v>
      </c>
      <c r="G186" s="1207"/>
      <c r="H186" s="17" t="s">
        <v>688</v>
      </c>
      <c r="I186" s="1207"/>
      <c r="J186" s="1207"/>
      <c r="K186" s="1207"/>
      <c r="L186" s="1207"/>
      <c r="M186" s="1207"/>
      <c r="N186" s="1207"/>
      <c r="O186" s="1207"/>
      <c r="P186" s="1187"/>
      <c r="Q186" s="1187"/>
      <c r="R186" s="1187"/>
      <c r="S186" s="1187"/>
      <c r="T186" s="381" t="b" cm="1">
        <f t="array" ref="T186">T185</f>
        <v>0</v>
      </c>
      <c r="U186" s="1187"/>
      <c r="V186" s="1207"/>
      <c r="W186" s="1187"/>
      <c r="X186" s="1755"/>
      <c r="Y186" s="1734"/>
      <c r="Z186" s="1207"/>
      <c r="AA186" s="1207"/>
      <c r="AB186" s="158" t="s">
        <v>689</v>
      </c>
      <c r="AC186" s="244" t="s">
        <v>578</v>
      </c>
      <c r="AD186" s="12" t="s">
        <v>499</v>
      </c>
      <c r="AE186" s="1360"/>
      <c r="AF186" s="1360"/>
      <c r="AG186" s="1360"/>
      <c r="AH186" s="1360"/>
      <c r="AI186" s="192"/>
      <c r="AJ186" s="1360"/>
      <c r="AK186" s="1360"/>
      <c r="AL186" s="1360"/>
      <c r="AM186" s="1360"/>
      <c r="AN186" s="1360"/>
      <c r="AO186" s="1360"/>
      <c r="AP186" s="1360"/>
      <c r="AQ186" s="1360"/>
      <c r="AR186" s="1360"/>
      <c r="AS186" s="192"/>
      <c r="AT186" s="1360"/>
      <c r="AU186" s="1360"/>
      <c r="AV186" s="1360"/>
      <c r="AW186" s="1360"/>
      <c r="AX186" s="1360"/>
      <c r="AY186" s="1360"/>
      <c r="AZ186" s="1360"/>
      <c r="BA186" s="1360"/>
      <c r="BB186" s="1360"/>
      <c r="BC186" s="1361"/>
      <c r="BD186" s="1207"/>
      <c r="BE186" s="1207"/>
      <c r="BF186" s="917" t="s">
        <v>690</v>
      </c>
    </row>
    <row r="187" spans="1:58" s="1327" customFormat="1" ht="14.25" hidden="1" customHeight="1">
      <c r="A187" s="1207"/>
      <c r="B187" s="1076"/>
      <c r="C187" s="1207"/>
      <c r="D187" s="1207"/>
      <c r="E187" s="549">
        <v>15</v>
      </c>
      <c r="F187" s="3" t="str" cm="1">
        <f t="array" aca="1" ref="F187" ca="1">OFFSET(E187,-1,1)</f>
        <v>1</v>
      </c>
      <c r="G187" s="1207"/>
      <c r="H187" s="17" t="s">
        <v>691</v>
      </c>
      <c r="I187" s="1207"/>
      <c r="J187" s="1207"/>
      <c r="K187" s="1207"/>
      <c r="L187" s="1207"/>
      <c r="M187" s="1207"/>
      <c r="N187" s="1207"/>
      <c r="O187" s="1207"/>
      <c r="P187" s="1187"/>
      <c r="Q187" s="1187"/>
      <c r="R187" s="1187"/>
      <c r="S187" s="1187"/>
      <c r="T187" s="381" t="b" cm="1">
        <f t="array" ref="T187">T186</f>
        <v>0</v>
      </c>
      <c r="U187" s="1187"/>
      <c r="V187" s="1207"/>
      <c r="W187" s="1187"/>
      <c r="X187" s="1755"/>
      <c r="Y187" s="1734"/>
      <c r="Z187" s="1207"/>
      <c r="AA187" s="1207"/>
      <c r="AB187" s="158" t="s">
        <v>692</v>
      </c>
      <c r="AC187" s="244" t="s">
        <v>582</v>
      </c>
      <c r="AD187" s="12" t="s">
        <v>499</v>
      </c>
      <c r="AE187" s="1360"/>
      <c r="AF187" s="1360"/>
      <c r="AG187" s="1360"/>
      <c r="AH187" s="1360"/>
      <c r="AI187" s="192"/>
      <c r="AJ187" s="1360"/>
      <c r="AK187" s="1360"/>
      <c r="AL187" s="1360"/>
      <c r="AM187" s="1360"/>
      <c r="AN187" s="1360"/>
      <c r="AO187" s="1360"/>
      <c r="AP187" s="1360"/>
      <c r="AQ187" s="1360"/>
      <c r="AR187" s="1360"/>
      <c r="AS187" s="192"/>
      <c r="AT187" s="1360"/>
      <c r="AU187" s="1360"/>
      <c r="AV187" s="1360"/>
      <c r="AW187" s="1360"/>
      <c r="AX187" s="1360"/>
      <c r="AY187" s="1360"/>
      <c r="AZ187" s="1360"/>
      <c r="BA187" s="1360"/>
      <c r="BB187" s="1360"/>
      <c r="BC187" s="1361"/>
      <c r="BD187" s="1207"/>
      <c r="BE187" s="1207"/>
      <c r="BF187" s="917" t="s">
        <v>693</v>
      </c>
    </row>
    <row r="188" spans="1:58" s="1327" customFormat="1" ht="21.75" hidden="1" customHeight="1">
      <c r="A188" s="1207"/>
      <c r="B188" s="1076"/>
      <c r="C188" s="1207"/>
      <c r="D188" s="1207"/>
      <c r="E188" s="549">
        <v>22.5</v>
      </c>
      <c r="F188" s="3" t="str" cm="1">
        <f t="array" aca="1" ref="F188" ca="1">OFFSET(E188,-1,1)</f>
        <v>1</v>
      </c>
      <c r="G188" s="1207"/>
      <c r="H188" s="17" t="s">
        <v>694</v>
      </c>
      <c r="I188" s="1207"/>
      <c r="J188" s="1207"/>
      <c r="K188" s="1207"/>
      <c r="L188" s="1207"/>
      <c r="M188" s="1207"/>
      <c r="N188" s="1207"/>
      <c r="O188" s="1207"/>
      <c r="P188" s="1187"/>
      <c r="Q188" s="1187"/>
      <c r="R188" s="1187"/>
      <c r="S188" s="1187"/>
      <c r="T188" s="381" t="b" cm="1">
        <f t="array" ref="T188">T187</f>
        <v>0</v>
      </c>
      <c r="U188" s="1187"/>
      <c r="V188" s="1207"/>
      <c r="W188" s="1187"/>
      <c r="X188" s="1755"/>
      <c r="Y188" s="1734"/>
      <c r="Z188" s="1207"/>
      <c r="AA188" s="1207"/>
      <c r="AB188" s="158" t="s">
        <v>695</v>
      </c>
      <c r="AC188" s="251" t="s">
        <v>541</v>
      </c>
      <c r="AD188" s="12" t="s">
        <v>499</v>
      </c>
      <c r="AE188" s="1360"/>
      <c r="AF188" s="1360"/>
      <c r="AG188" s="1360"/>
      <c r="AH188" s="1360"/>
      <c r="AI188" s="192"/>
      <c r="AJ188" s="1360"/>
      <c r="AK188" s="1360"/>
      <c r="AL188" s="1360"/>
      <c r="AM188" s="1360"/>
      <c r="AN188" s="1360"/>
      <c r="AO188" s="1360"/>
      <c r="AP188" s="1360"/>
      <c r="AQ188" s="1360"/>
      <c r="AR188" s="1360"/>
      <c r="AS188" s="192"/>
      <c r="AT188" s="1360"/>
      <c r="AU188" s="1360"/>
      <c r="AV188" s="1360"/>
      <c r="AW188" s="1360"/>
      <c r="AX188" s="1360"/>
      <c r="AY188" s="1360"/>
      <c r="AZ188" s="1360"/>
      <c r="BA188" s="1360"/>
      <c r="BB188" s="1360"/>
      <c r="BC188" s="1361"/>
      <c r="BD188" s="1207"/>
      <c r="BE188" s="1207"/>
      <c r="BF188" s="917" t="s">
        <v>696</v>
      </c>
    </row>
    <row r="189" spans="1:58" s="1327" customFormat="1" ht="14.25" hidden="1" customHeight="1">
      <c r="A189" s="1207"/>
      <c r="B189" s="1076"/>
      <c r="C189" s="1207"/>
      <c r="D189" s="1207"/>
      <c r="E189" s="549">
        <v>15</v>
      </c>
      <c r="F189" s="3" t="str" cm="1">
        <f t="array" aca="1" ref="F189" ca="1">OFFSET(E189,-1,1)</f>
        <v>1</v>
      </c>
      <c r="G189" s="1207"/>
      <c r="H189" s="17" t="s">
        <v>481</v>
      </c>
      <c r="I189" s="1207"/>
      <c r="J189" s="1207"/>
      <c r="K189" s="1207"/>
      <c r="L189" s="1207"/>
      <c r="M189" s="1207"/>
      <c r="N189" s="1207"/>
      <c r="O189" s="1207"/>
      <c r="P189" s="1187"/>
      <c r="Q189" s="1187"/>
      <c r="R189" s="1187"/>
      <c r="S189" s="1187"/>
      <c r="T189" s="381" t="b" cm="1">
        <f t="array" ref="T189">T188</f>
        <v>0</v>
      </c>
      <c r="U189" s="1187"/>
      <c r="V189" s="1207"/>
      <c r="W189" s="1187"/>
      <c r="X189" s="1755"/>
      <c r="Y189" s="1734"/>
      <c r="Z189" s="1207"/>
      <c r="AA189" s="1207"/>
      <c r="AB189" s="158" t="s">
        <v>478</v>
      </c>
      <c r="AC189" s="56" t="s">
        <v>697</v>
      </c>
      <c r="AD189" s="12" t="s">
        <v>499</v>
      </c>
      <c r="AE189" s="1360"/>
      <c r="AF189" s="1360"/>
      <c r="AG189" s="1360"/>
      <c r="AH189" s="1360"/>
      <c r="AI189" s="192"/>
      <c r="AJ189" s="1360"/>
      <c r="AK189" s="1360"/>
      <c r="AL189" s="1360"/>
      <c r="AM189" s="1360"/>
      <c r="AN189" s="1360"/>
      <c r="AO189" s="1360"/>
      <c r="AP189" s="1360"/>
      <c r="AQ189" s="1360"/>
      <c r="AR189" s="1360"/>
      <c r="AS189" s="192"/>
      <c r="AT189" s="1360"/>
      <c r="AU189" s="1360"/>
      <c r="AV189" s="1360"/>
      <c r="AW189" s="1360"/>
      <c r="AX189" s="1360"/>
      <c r="AY189" s="1360"/>
      <c r="AZ189" s="1360"/>
      <c r="BA189" s="1360"/>
      <c r="BB189" s="1360"/>
      <c r="BC189" s="1361"/>
      <c r="BD189" s="1207"/>
      <c r="BE189" s="1207"/>
      <c r="BF189" s="917" t="s">
        <v>698</v>
      </c>
    </row>
    <row r="190" spans="1:58" s="1327" customFormat="1" ht="14.25" hidden="1" customHeight="1">
      <c r="A190" s="1207"/>
      <c r="B190" s="1076"/>
      <c r="C190" s="1207"/>
      <c r="D190" s="1207"/>
      <c r="E190" s="549">
        <v>15</v>
      </c>
      <c r="F190" s="3" t="str" cm="1">
        <f t="array" aca="1" ref="F190" ca="1">OFFSET(E190,-1,1)</f>
        <v>1</v>
      </c>
      <c r="G190" s="1207"/>
      <c r="H190" s="17" t="s">
        <v>528</v>
      </c>
      <c r="I190" s="1207"/>
      <c r="J190" s="1207"/>
      <c r="K190" s="1207"/>
      <c r="L190" s="1207"/>
      <c r="M190" s="1207"/>
      <c r="N190" s="1207"/>
      <c r="O190" s="1207"/>
      <c r="P190" s="1187"/>
      <c r="Q190" s="1187"/>
      <c r="R190" s="1187"/>
      <c r="S190" s="1187"/>
      <c r="T190" s="381" t="b" cm="1">
        <f t="array" ref="T190">T189</f>
        <v>0</v>
      </c>
      <c r="U190" s="1187"/>
      <c r="V190" s="1207"/>
      <c r="W190" s="1187"/>
      <c r="X190" s="1755"/>
      <c r="Y190" s="1734"/>
      <c r="Z190" s="1207"/>
      <c r="AA190" s="1207"/>
      <c r="AB190" s="158" t="s">
        <v>482</v>
      </c>
      <c r="AC190" s="56" t="s">
        <v>699</v>
      </c>
      <c r="AD190" s="12" t="s">
        <v>499</v>
      </c>
      <c r="AE190" s="1360"/>
      <c r="AF190" s="1360"/>
      <c r="AG190" s="1360"/>
      <c r="AH190" s="1360"/>
      <c r="AI190" s="192"/>
      <c r="AJ190" s="1360"/>
      <c r="AK190" s="1360"/>
      <c r="AL190" s="1360"/>
      <c r="AM190" s="1360"/>
      <c r="AN190" s="1360"/>
      <c r="AO190" s="1360"/>
      <c r="AP190" s="1360"/>
      <c r="AQ190" s="1360"/>
      <c r="AR190" s="1360"/>
      <c r="AS190" s="192"/>
      <c r="AT190" s="1360"/>
      <c r="AU190" s="1360"/>
      <c r="AV190" s="1360"/>
      <c r="AW190" s="1360"/>
      <c r="AX190" s="1360"/>
      <c r="AY190" s="1360"/>
      <c r="AZ190" s="1360"/>
      <c r="BA190" s="1360"/>
      <c r="BB190" s="1360"/>
      <c r="BC190" s="1361"/>
      <c r="BD190" s="1207"/>
      <c r="BE190" s="1207"/>
      <c r="BF190" s="917" t="s">
        <v>700</v>
      </c>
    </row>
    <row r="191" spans="1:58" s="1327" customFormat="1" ht="14.25" hidden="1" customHeight="1">
      <c r="A191" s="1207"/>
      <c r="B191" s="1076"/>
      <c r="C191" s="1207"/>
      <c r="D191" s="1207"/>
      <c r="E191" s="549">
        <v>15</v>
      </c>
      <c r="F191" s="3" t="str" cm="1">
        <f t="array" aca="1" ref="F191" ca="1">OFFSET(E191,-1,1)</f>
        <v>1</v>
      </c>
      <c r="G191" s="1207"/>
      <c r="H191" s="17" t="s">
        <v>543</v>
      </c>
      <c r="I191" s="1207"/>
      <c r="J191" s="1207"/>
      <c r="K191" s="1207"/>
      <c r="L191" s="1207"/>
      <c r="M191" s="1207"/>
      <c r="N191" s="1207"/>
      <c r="O191" s="1207"/>
      <c r="P191" s="1187"/>
      <c r="Q191" s="1187"/>
      <c r="R191" s="1187"/>
      <c r="S191" s="1187"/>
      <c r="T191" s="381" t="b" cm="1">
        <f t="array" ref="T191">T190</f>
        <v>0</v>
      </c>
      <c r="U191" s="1187"/>
      <c r="V191" s="1207"/>
      <c r="W191" s="1187"/>
      <c r="X191" s="1755"/>
      <c r="Y191" s="1734"/>
      <c r="Z191" s="1207"/>
      <c r="AA191" s="1207"/>
      <c r="AB191" s="158" t="s">
        <v>544</v>
      </c>
      <c r="AC191" s="56" t="s">
        <v>701</v>
      </c>
      <c r="AD191" s="12" t="s">
        <v>499</v>
      </c>
      <c r="AE191" s="1360"/>
      <c r="AF191" s="1360"/>
      <c r="AG191" s="1360"/>
      <c r="AH191" s="1360"/>
      <c r="AI191" s="192"/>
      <c r="AJ191" s="1360"/>
      <c r="AK191" s="1360"/>
      <c r="AL191" s="1360"/>
      <c r="AM191" s="1360"/>
      <c r="AN191" s="1360"/>
      <c r="AO191" s="1360"/>
      <c r="AP191" s="1360"/>
      <c r="AQ191" s="1360"/>
      <c r="AR191" s="1360"/>
      <c r="AS191" s="192"/>
      <c r="AT191" s="1360"/>
      <c r="AU191" s="1360"/>
      <c r="AV191" s="1360"/>
      <c r="AW191" s="1360"/>
      <c r="AX191" s="1360"/>
      <c r="AY191" s="1360"/>
      <c r="AZ191" s="1360"/>
      <c r="BA191" s="1360"/>
      <c r="BB191" s="1360"/>
      <c r="BC191" s="1361"/>
      <c r="BD191" s="1207"/>
      <c r="BE191" s="1207"/>
      <c r="BF191" s="917" t="s">
        <v>702</v>
      </c>
    </row>
    <row r="192" spans="1:58" s="1327" customFormat="1" ht="14.25" hidden="1" customHeight="1">
      <c r="A192" s="1207"/>
      <c r="B192" s="1076"/>
      <c r="C192" s="1207"/>
      <c r="D192" s="1207"/>
      <c r="E192" s="549">
        <v>15</v>
      </c>
      <c r="F192" s="3" t="str" cm="1">
        <f t="array" aca="1" ref="F192" ca="1">OFFSET(E192,-1,1)</f>
        <v>1</v>
      </c>
      <c r="G192" s="1207"/>
      <c r="H192" s="17" t="s">
        <v>551</v>
      </c>
      <c r="I192" s="1207"/>
      <c r="J192" s="1207"/>
      <c r="K192" s="1207"/>
      <c r="L192" s="1207"/>
      <c r="M192" s="1207"/>
      <c r="N192" s="1207"/>
      <c r="O192" s="1207"/>
      <c r="P192" s="1187"/>
      <c r="Q192" s="1187"/>
      <c r="R192" s="1187"/>
      <c r="S192" s="1187"/>
      <c r="T192" s="381" t="b" cm="1">
        <f t="array" ref="T192">T191</f>
        <v>0</v>
      </c>
      <c r="U192" s="1187"/>
      <c r="V192" s="1207"/>
      <c r="W192" s="1187"/>
      <c r="X192" s="1755"/>
      <c r="Y192" s="1734"/>
      <c r="Z192" s="1207"/>
      <c r="AA192" s="1207"/>
      <c r="AB192" s="158" t="s">
        <v>552</v>
      </c>
      <c r="AC192" s="57" t="s">
        <v>703</v>
      </c>
      <c r="AD192" s="12" t="s">
        <v>499</v>
      </c>
      <c r="AE192" s="258">
        <f t="shared" ref="AE192:BB192" si="48">AE193+AE194</f>
        <v>0</v>
      </c>
      <c r="AF192" s="258">
        <f t="shared" si="48"/>
        <v>0</v>
      </c>
      <c r="AG192" s="258">
        <f t="shared" si="48"/>
        <v>0</v>
      </c>
      <c r="AH192" s="258">
        <f t="shared" si="48"/>
        <v>0</v>
      </c>
      <c r="AI192" s="258">
        <f t="shared" si="48"/>
        <v>0</v>
      </c>
      <c r="AJ192" s="258">
        <f t="shared" si="48"/>
        <v>0</v>
      </c>
      <c r="AK192" s="258">
        <f t="shared" si="48"/>
        <v>0</v>
      </c>
      <c r="AL192" s="258">
        <f t="shared" si="48"/>
        <v>0</v>
      </c>
      <c r="AM192" s="258">
        <f t="shared" si="48"/>
        <v>0</v>
      </c>
      <c r="AN192" s="258">
        <f t="shared" si="48"/>
        <v>0</v>
      </c>
      <c r="AO192" s="258">
        <f t="shared" si="48"/>
        <v>0</v>
      </c>
      <c r="AP192" s="258">
        <f t="shared" si="48"/>
        <v>0</v>
      </c>
      <c r="AQ192" s="258">
        <f t="shared" si="48"/>
        <v>0</v>
      </c>
      <c r="AR192" s="258">
        <f t="shared" si="48"/>
        <v>0</v>
      </c>
      <c r="AS192" s="258">
        <f t="shared" si="48"/>
        <v>0</v>
      </c>
      <c r="AT192" s="258">
        <f t="shared" si="48"/>
        <v>0</v>
      </c>
      <c r="AU192" s="258">
        <f t="shared" si="48"/>
        <v>0</v>
      </c>
      <c r="AV192" s="258">
        <f t="shared" si="48"/>
        <v>0</v>
      </c>
      <c r="AW192" s="258">
        <f t="shared" si="48"/>
        <v>0</v>
      </c>
      <c r="AX192" s="258">
        <f t="shared" si="48"/>
        <v>0</v>
      </c>
      <c r="AY192" s="258">
        <f t="shared" si="48"/>
        <v>0</v>
      </c>
      <c r="AZ192" s="258">
        <f t="shared" si="48"/>
        <v>0</v>
      </c>
      <c r="BA192" s="258">
        <f t="shared" si="48"/>
        <v>0</v>
      </c>
      <c r="BB192" s="258">
        <f t="shared" si="48"/>
        <v>0</v>
      </c>
      <c r="BC192" s="1361"/>
      <c r="BD192" s="1207"/>
      <c r="BE192" s="1207"/>
      <c r="BF192" s="917" t="s">
        <v>704</v>
      </c>
    </row>
    <row r="193" spans="1:58" s="1327" customFormat="1" ht="14.25" hidden="1" customHeight="1">
      <c r="A193" s="1207"/>
      <c r="B193" s="1076"/>
      <c r="C193" s="1207"/>
      <c r="D193" s="1207"/>
      <c r="E193" s="549">
        <v>15</v>
      </c>
      <c r="F193" s="3" t="str" cm="1">
        <f t="array" aca="1" ref="F193" ca="1">OFFSET(E193,-1,1)</f>
        <v>1</v>
      </c>
      <c r="G193" s="1207"/>
      <c r="H193" s="17" t="s">
        <v>555</v>
      </c>
      <c r="I193" s="1207"/>
      <c r="J193" s="1207"/>
      <c r="K193" s="1207"/>
      <c r="L193" s="1207"/>
      <c r="M193" s="1207"/>
      <c r="N193" s="1207"/>
      <c r="O193" s="1207"/>
      <c r="P193" s="1187"/>
      <c r="Q193" s="1187"/>
      <c r="R193" s="1187"/>
      <c r="S193" s="1187"/>
      <c r="T193" s="381" t="b" cm="1">
        <f t="array" ref="T193">T192</f>
        <v>0</v>
      </c>
      <c r="U193" s="1187"/>
      <c r="V193" s="1207"/>
      <c r="W193" s="1187"/>
      <c r="X193" s="1755"/>
      <c r="Y193" s="1734"/>
      <c r="Z193" s="1207"/>
      <c r="AA193" s="1207"/>
      <c r="AB193" s="158" t="s">
        <v>556</v>
      </c>
      <c r="AC193" s="111" t="s">
        <v>705</v>
      </c>
      <c r="AD193" s="12" t="s">
        <v>499</v>
      </c>
      <c r="AE193" s="1360"/>
      <c r="AF193" s="1360"/>
      <c r="AG193" s="1360"/>
      <c r="AH193" s="1360"/>
      <c r="AI193" s="192"/>
      <c r="AJ193" s="1360"/>
      <c r="AK193" s="1360"/>
      <c r="AL193" s="1360"/>
      <c r="AM193" s="1360"/>
      <c r="AN193" s="1360"/>
      <c r="AO193" s="1360"/>
      <c r="AP193" s="1360"/>
      <c r="AQ193" s="1360"/>
      <c r="AR193" s="1360"/>
      <c r="AS193" s="192"/>
      <c r="AT193" s="1360"/>
      <c r="AU193" s="1360"/>
      <c r="AV193" s="1360"/>
      <c r="AW193" s="1360"/>
      <c r="AX193" s="1360"/>
      <c r="AY193" s="1360"/>
      <c r="AZ193" s="1360"/>
      <c r="BA193" s="1360"/>
      <c r="BB193" s="1360"/>
      <c r="BC193" s="1361"/>
      <c r="BD193" s="1207"/>
      <c r="BE193" s="1207"/>
      <c r="BF193" s="917" t="s">
        <v>706</v>
      </c>
    </row>
    <row r="194" spans="1:58" s="1327" customFormat="1" ht="14.25" hidden="1" customHeight="1">
      <c r="A194" s="1207"/>
      <c r="B194" s="1076"/>
      <c r="C194" s="1207"/>
      <c r="D194" s="1207"/>
      <c r="E194" s="549">
        <v>15</v>
      </c>
      <c r="F194" s="3" t="str" cm="1">
        <f t="array" aca="1" ref="F194" ca="1">OFFSET(E194,-1,1)</f>
        <v>1</v>
      </c>
      <c r="G194" s="1207"/>
      <c r="H194" s="17" t="s">
        <v>572</v>
      </c>
      <c r="I194" s="1207"/>
      <c r="J194" s="1207"/>
      <c r="K194" s="1207"/>
      <c r="L194" s="1207"/>
      <c r="M194" s="1207"/>
      <c r="N194" s="1207"/>
      <c r="O194" s="1207"/>
      <c r="P194" s="1187"/>
      <c r="Q194" s="1187"/>
      <c r="R194" s="1187"/>
      <c r="S194" s="1187"/>
      <c r="T194" s="381" t="b" cm="1">
        <f t="array" ref="T194">T193</f>
        <v>0</v>
      </c>
      <c r="U194" s="1187"/>
      <c r="V194" s="1207"/>
      <c r="W194" s="1187"/>
      <c r="X194" s="1755"/>
      <c r="Y194" s="1734"/>
      <c r="Z194" s="1207"/>
      <c r="AA194" s="1207"/>
      <c r="AB194" s="158" t="s">
        <v>573</v>
      </c>
      <c r="AC194" s="111" t="s">
        <v>707</v>
      </c>
      <c r="AD194" s="12" t="s">
        <v>499</v>
      </c>
      <c r="AE194" s="1360"/>
      <c r="AF194" s="1360"/>
      <c r="AG194" s="1360"/>
      <c r="AH194" s="1360"/>
      <c r="AI194" s="192"/>
      <c r="AJ194" s="1360"/>
      <c r="AK194" s="1360"/>
      <c r="AL194" s="1360"/>
      <c r="AM194" s="1360"/>
      <c r="AN194" s="1360"/>
      <c r="AO194" s="1360"/>
      <c r="AP194" s="1360"/>
      <c r="AQ194" s="1360"/>
      <c r="AR194" s="1360"/>
      <c r="AS194" s="192"/>
      <c r="AT194" s="1360"/>
      <c r="AU194" s="1360"/>
      <c r="AV194" s="1360"/>
      <c r="AW194" s="1360"/>
      <c r="AX194" s="1360"/>
      <c r="AY194" s="1360"/>
      <c r="AZ194" s="1360"/>
      <c r="BA194" s="1360"/>
      <c r="BB194" s="1360"/>
      <c r="BC194" s="1361"/>
      <c r="BD194" s="1207"/>
      <c r="BE194" s="1207"/>
      <c r="BF194" s="917" t="s">
        <v>708</v>
      </c>
    </row>
    <row r="195" spans="1:58" s="1327" customFormat="1" ht="21.75" hidden="1" customHeight="1">
      <c r="A195" s="1207"/>
      <c r="B195" s="1076"/>
      <c r="C195" s="1207"/>
      <c r="D195" s="1207"/>
      <c r="E195" s="549">
        <v>22.5</v>
      </c>
      <c r="F195" s="3" t="str" cm="1">
        <f t="array" aca="1" ref="F195" ca="1">OFFSET(E195,-1,1)</f>
        <v>1</v>
      </c>
      <c r="G195" s="1207"/>
      <c r="H195" s="17" t="s">
        <v>709</v>
      </c>
      <c r="I195" s="1207"/>
      <c r="J195" s="1207"/>
      <c r="K195" s="1207"/>
      <c r="L195" s="1207"/>
      <c r="M195" s="1207"/>
      <c r="N195" s="1207"/>
      <c r="O195" s="1207"/>
      <c r="P195" s="1187"/>
      <c r="Q195" s="1187"/>
      <c r="R195" s="1187"/>
      <c r="S195" s="1187"/>
      <c r="T195" s="381" t="b" cm="1">
        <f t="array" ref="T195">T194</f>
        <v>0</v>
      </c>
      <c r="U195" s="1187"/>
      <c r="V195" s="1207"/>
      <c r="W195" s="1187"/>
      <c r="X195" s="1755"/>
      <c r="Y195" s="1734"/>
      <c r="Z195" s="1207"/>
      <c r="AA195" s="1207"/>
      <c r="AB195" s="158" t="s">
        <v>710</v>
      </c>
      <c r="AC195" s="252" t="s">
        <v>621</v>
      </c>
      <c r="AD195" s="12" t="s">
        <v>499</v>
      </c>
      <c r="AE195" s="1360"/>
      <c r="AF195" s="1360"/>
      <c r="AG195" s="1360"/>
      <c r="AH195" s="1360"/>
      <c r="AI195" s="192"/>
      <c r="AJ195" s="1360"/>
      <c r="AK195" s="1360"/>
      <c r="AL195" s="1360"/>
      <c r="AM195" s="1360"/>
      <c r="AN195" s="1360"/>
      <c r="AO195" s="1360"/>
      <c r="AP195" s="1360"/>
      <c r="AQ195" s="1360"/>
      <c r="AR195" s="1360"/>
      <c r="AS195" s="192"/>
      <c r="AT195" s="1360"/>
      <c r="AU195" s="1360"/>
      <c r="AV195" s="1360"/>
      <c r="AW195" s="1360"/>
      <c r="AX195" s="1360"/>
      <c r="AY195" s="1360"/>
      <c r="AZ195" s="1360"/>
      <c r="BA195" s="1360"/>
      <c r="BB195" s="1360"/>
      <c r="BC195" s="1361"/>
      <c r="BD195" s="1207"/>
      <c r="BE195" s="1207"/>
      <c r="BF195" s="917" t="s">
        <v>711</v>
      </c>
    </row>
    <row r="196" spans="1:58" s="1327" customFormat="1" ht="14.25" hidden="1" customHeight="1">
      <c r="A196" s="1207"/>
      <c r="B196" s="1076"/>
      <c r="C196" s="1207"/>
      <c r="D196" s="1207"/>
      <c r="E196" s="549">
        <v>15</v>
      </c>
      <c r="F196" s="3" t="str" cm="1">
        <f t="array" aca="1" ref="F196" ca="1">OFFSET(E196,-1,1)</f>
        <v>1</v>
      </c>
      <c r="G196" s="1207"/>
      <c r="H196" s="17" t="s">
        <v>712</v>
      </c>
      <c r="I196" s="1207"/>
      <c r="J196" s="1207"/>
      <c r="K196" s="1207"/>
      <c r="L196" s="1207"/>
      <c r="M196" s="1207"/>
      <c r="N196" s="1207"/>
      <c r="O196" s="1207"/>
      <c r="P196" s="1187"/>
      <c r="Q196" s="1187"/>
      <c r="R196" s="1187"/>
      <c r="S196" s="1187"/>
      <c r="T196" s="381" t="b" cm="1">
        <f t="array" ref="T196">T195</f>
        <v>0</v>
      </c>
      <c r="U196" s="1187"/>
      <c r="V196" s="1207"/>
      <c r="W196" s="1187"/>
      <c r="X196" s="1755"/>
      <c r="Y196" s="1734"/>
      <c r="Z196" s="1207"/>
      <c r="AA196" s="1207"/>
      <c r="AB196" s="158" t="s">
        <v>713</v>
      </c>
      <c r="AC196" s="56" t="s">
        <v>714</v>
      </c>
      <c r="AD196" s="12" t="s">
        <v>499</v>
      </c>
      <c r="AE196" s="1360"/>
      <c r="AF196" s="1360"/>
      <c r="AG196" s="1360"/>
      <c r="AH196" s="1360"/>
      <c r="AI196" s="192"/>
      <c r="AJ196" s="1360"/>
      <c r="AK196" s="1360"/>
      <c r="AL196" s="1360"/>
      <c r="AM196" s="1360"/>
      <c r="AN196" s="1360"/>
      <c r="AO196" s="1360"/>
      <c r="AP196" s="1360"/>
      <c r="AQ196" s="1360"/>
      <c r="AR196" s="1360"/>
      <c r="AS196" s="192"/>
      <c r="AT196" s="1360"/>
      <c r="AU196" s="1360"/>
      <c r="AV196" s="1360"/>
      <c r="AW196" s="1360"/>
      <c r="AX196" s="1360"/>
      <c r="AY196" s="1360"/>
      <c r="AZ196" s="1360"/>
      <c r="BA196" s="1360"/>
      <c r="BB196" s="1360"/>
      <c r="BC196" s="1361"/>
      <c r="BD196" s="1207"/>
      <c r="BE196" s="1207"/>
      <c r="BF196" s="917" t="s">
        <v>715</v>
      </c>
    </row>
    <row r="197" spans="1:58" s="1327" customFormat="1" ht="11.25" hidden="1" customHeight="1">
      <c r="A197" s="385"/>
      <c r="B197" s="575"/>
      <c r="C197" s="385"/>
      <c r="D197" s="385"/>
      <c r="E197" s="577" t="s">
        <v>363</v>
      </c>
      <c r="F197" s="1083" t="str" cm="1">
        <f t="array" aca="1" ref="F197" ca="1">OFFSET(E197,-1,1)</f>
        <v>1</v>
      </c>
      <c r="G197" s="385"/>
      <c r="H197" s="385"/>
      <c r="I197" s="385"/>
      <c r="J197" s="385"/>
      <c r="K197" s="17"/>
      <c r="L197" s="385"/>
      <c r="M197" s="385"/>
      <c r="N197" s="385"/>
      <c r="O197" s="385"/>
      <c r="P197" s="385"/>
      <c r="Q197" s="385"/>
      <c r="R197" s="332"/>
      <c r="S197" s="332"/>
      <c r="T197" s="381" t="b">
        <v>0</v>
      </c>
      <c r="U197" s="385"/>
      <c r="V197" s="385"/>
      <c r="W197" s="385"/>
      <c r="X197" s="1755"/>
      <c r="Y197" s="1734"/>
      <c r="Z197" s="385"/>
      <c r="AA197" s="385"/>
      <c r="AC197" s="19"/>
      <c r="AD197" s="19"/>
      <c r="AE197" s="256"/>
      <c r="AF197" s="256"/>
      <c r="AG197" s="256"/>
      <c r="AH197" s="256"/>
      <c r="AI197" s="256"/>
      <c r="AJ197" s="257"/>
      <c r="AK197" s="256"/>
      <c r="AL197" s="256"/>
      <c r="AM197" s="256"/>
      <c r="AN197" s="256"/>
      <c r="AO197" s="256"/>
      <c r="AP197" s="256"/>
      <c r="AQ197" s="256"/>
      <c r="AR197" s="256"/>
      <c r="AS197" s="256"/>
      <c r="AT197" s="256"/>
      <c r="AU197" s="256"/>
      <c r="AV197" s="256"/>
      <c r="AW197" s="256"/>
      <c r="AX197" s="256"/>
      <c r="AY197" s="256"/>
      <c r="AZ197" s="256"/>
      <c r="BA197" s="256"/>
      <c r="BB197" s="256"/>
      <c r="BF197" s="921"/>
    </row>
    <row r="198" spans="1:58" s="1327" customFormat="1" ht="14.25" hidden="1" customHeight="1">
      <c r="A198" s="1207"/>
      <c r="B198" s="1076"/>
      <c r="C198" s="1207"/>
      <c r="D198" s="1207"/>
      <c r="E198" s="549">
        <v>15</v>
      </c>
      <c r="F198" s="3" t="str" cm="1">
        <f t="array" aca="1" ref="F198" ca="1">OFFSET(E198,-1,1)</f>
        <v>1</v>
      </c>
      <c r="G198" s="1207"/>
      <c r="H198" s="1207"/>
      <c r="I198" s="1207"/>
      <c r="J198" s="1207"/>
      <c r="K198" s="1207"/>
      <c r="L198" s="1207"/>
      <c r="M198" s="1207"/>
      <c r="N198" s="1207"/>
      <c r="O198" s="1207"/>
      <c r="P198" s="1187"/>
      <c r="Q198" s="1187"/>
      <c r="R198" s="332" t="b" cm="1">
        <f t="array" ref="R198">INDEX('Общие сведения'!$AN$179:$AN$208,MATCH($X118,'Общие сведения'!$Z$179:$Z$208,0))</f>
        <v>0</v>
      </c>
      <c r="S198" s="398" t="b">
        <f>IF(ISERROR(SEARCH("Водоотведение",AB118)),FALSE,TRUE)</f>
        <v>0</v>
      </c>
      <c r="T198" s="381" t="b">
        <f>AND(X118&gt;0,S198,R198)</f>
        <v>0</v>
      </c>
      <c r="U198" s="1187"/>
      <c r="V198" s="1207"/>
      <c r="W198" s="1187"/>
      <c r="X198" s="1755"/>
      <c r="Y198" s="1734"/>
      <c r="Z198" s="1207"/>
      <c r="AA198" s="1207"/>
      <c r="AB198" s="158" t="s">
        <v>281</v>
      </c>
      <c r="AC198" s="6" t="s">
        <v>653</v>
      </c>
      <c r="AD198" s="116"/>
      <c r="AE198" s="486" t="str" cm="1">
        <f t="array" ref="AE198">INDEX('Общие сведения'!$AH$179:$AH$208,MATCH($X118,'Общие сведения'!$Z$179:$Z$208,0))</f>
        <v>питьевая вода</v>
      </c>
      <c r="AF198" s="274"/>
      <c r="AG198" s="274"/>
      <c r="AH198" s="274"/>
      <c r="AI198" s="274"/>
      <c r="AJ198" s="274"/>
      <c r="AK198" s="274"/>
      <c r="AL198" s="274"/>
      <c r="AM198" s="274"/>
      <c r="AN198" s="274"/>
      <c r="AO198" s="274"/>
      <c r="AP198" s="274"/>
      <c r="AQ198" s="274"/>
      <c r="AR198" s="274"/>
      <c r="AS198" s="274"/>
      <c r="AT198" s="274"/>
      <c r="AU198" s="274"/>
      <c r="AV198" s="274"/>
      <c r="AW198" s="274"/>
      <c r="AX198" s="274"/>
      <c r="AY198" s="274"/>
      <c r="AZ198" s="274"/>
      <c r="BA198" s="274"/>
      <c r="BB198" s="275"/>
      <c r="BC198" s="1361"/>
      <c r="BD198" s="1207"/>
      <c r="BE198" s="1207"/>
      <c r="BF198" s="917" t="s">
        <v>716</v>
      </c>
    </row>
    <row r="199" spans="1:58" s="1327" customFormat="1" ht="14.25" hidden="1" customHeight="1">
      <c r="A199" s="1207"/>
      <c r="B199" s="1076"/>
      <c r="C199" s="1207"/>
      <c r="D199" s="1207"/>
      <c r="E199" s="549">
        <v>15</v>
      </c>
      <c r="F199" s="3" t="str" cm="1">
        <f t="array" aca="1" ref="F199" ca="1">OFFSET(E199,-1,1)</f>
        <v>1</v>
      </c>
      <c r="G199" s="1207"/>
      <c r="H199" s="17" t="s">
        <v>327</v>
      </c>
      <c r="I199" s="1207"/>
      <c r="J199" s="1207"/>
      <c r="K199" s="1207"/>
      <c r="L199" s="1207"/>
      <c r="M199" s="1207"/>
      <c r="N199" s="1207"/>
      <c r="O199" s="1207"/>
      <c r="P199" s="1187"/>
      <c r="Q199" s="1187"/>
      <c r="R199" s="1187"/>
      <c r="S199" s="1187"/>
      <c r="T199" s="381" t="b" cm="1">
        <f t="array" ref="T199">T198</f>
        <v>0</v>
      </c>
      <c r="U199" s="1187"/>
      <c r="V199" s="1207"/>
      <c r="W199" s="1187"/>
      <c r="X199" s="1755"/>
      <c r="Y199" s="1734"/>
      <c r="Z199" s="1207"/>
      <c r="AA199" s="1207"/>
      <c r="AB199" s="158" t="s">
        <v>224</v>
      </c>
      <c r="AC199" s="253" t="s">
        <v>717</v>
      </c>
      <c r="AD199" s="12" t="s">
        <v>499</v>
      </c>
      <c r="AE199" s="258">
        <f t="shared" ref="AE199:BB199" si="49">AE200+AE202+AE201</f>
        <v>0</v>
      </c>
      <c r="AF199" s="258">
        <f t="shared" si="49"/>
        <v>0</v>
      </c>
      <c r="AG199" s="258">
        <f t="shared" si="49"/>
        <v>0</v>
      </c>
      <c r="AH199" s="258">
        <f t="shared" si="49"/>
        <v>0</v>
      </c>
      <c r="AI199" s="258">
        <f t="shared" si="49"/>
        <v>0</v>
      </c>
      <c r="AJ199" s="258">
        <f t="shared" si="49"/>
        <v>0</v>
      </c>
      <c r="AK199" s="258">
        <f t="shared" si="49"/>
        <v>0</v>
      </c>
      <c r="AL199" s="258">
        <f t="shared" si="49"/>
        <v>0</v>
      </c>
      <c r="AM199" s="258">
        <f t="shared" si="49"/>
        <v>0</v>
      </c>
      <c r="AN199" s="258">
        <f t="shared" si="49"/>
        <v>0</v>
      </c>
      <c r="AO199" s="258">
        <f t="shared" si="49"/>
        <v>0</v>
      </c>
      <c r="AP199" s="258">
        <f t="shared" si="49"/>
        <v>0</v>
      </c>
      <c r="AQ199" s="258">
        <f t="shared" si="49"/>
        <v>0</v>
      </c>
      <c r="AR199" s="258">
        <f t="shared" si="49"/>
        <v>0</v>
      </c>
      <c r="AS199" s="258">
        <f t="shared" si="49"/>
        <v>0</v>
      </c>
      <c r="AT199" s="258">
        <f t="shared" si="49"/>
        <v>0</v>
      </c>
      <c r="AU199" s="258">
        <f t="shared" si="49"/>
        <v>0</v>
      </c>
      <c r="AV199" s="258">
        <f t="shared" si="49"/>
        <v>0</v>
      </c>
      <c r="AW199" s="258">
        <f t="shared" si="49"/>
        <v>0</v>
      </c>
      <c r="AX199" s="258">
        <f t="shared" si="49"/>
        <v>0</v>
      </c>
      <c r="AY199" s="258">
        <f t="shared" si="49"/>
        <v>0</v>
      </c>
      <c r="AZ199" s="258">
        <f t="shared" si="49"/>
        <v>0</v>
      </c>
      <c r="BA199" s="258">
        <f t="shared" si="49"/>
        <v>0</v>
      </c>
      <c r="BB199" s="258">
        <f t="shared" si="49"/>
        <v>0</v>
      </c>
      <c r="BC199" s="1361"/>
      <c r="BD199" s="1207"/>
      <c r="BE199" s="1207"/>
      <c r="BF199" s="917" t="s">
        <v>718</v>
      </c>
    </row>
    <row r="200" spans="1:58" s="1327" customFormat="1" ht="14.25" hidden="1" customHeight="1">
      <c r="A200" s="1207"/>
      <c r="B200" s="1076"/>
      <c r="C200" s="1207"/>
      <c r="D200" s="1207"/>
      <c r="E200" s="549">
        <v>15</v>
      </c>
      <c r="F200" s="3" t="str" cm="1">
        <f t="array" aca="1" ref="F200" ca="1">OFFSET(E200,-1,1)</f>
        <v>1</v>
      </c>
      <c r="G200" s="1207"/>
      <c r="H200" s="17" t="s">
        <v>501</v>
      </c>
      <c r="I200" s="1207"/>
      <c r="J200" s="1207"/>
      <c r="K200" s="1207"/>
      <c r="L200" s="1207"/>
      <c r="M200" s="1207"/>
      <c r="N200" s="1207"/>
      <c r="O200" s="1207"/>
      <c r="P200" s="1187"/>
      <c r="Q200" s="1187"/>
      <c r="R200" s="1187"/>
      <c r="S200" s="1187"/>
      <c r="T200" s="381" t="b" cm="1">
        <f t="array" ref="T200">T199</f>
        <v>0</v>
      </c>
      <c r="U200" s="1187"/>
      <c r="V200" s="1207"/>
      <c r="W200" s="1187"/>
      <c r="X200" s="1755"/>
      <c r="Y200" s="1734"/>
      <c r="Z200" s="1207"/>
      <c r="AA200" s="1207"/>
      <c r="AB200" s="158" t="s">
        <v>502</v>
      </c>
      <c r="AC200" s="132" t="s">
        <v>719</v>
      </c>
      <c r="AD200" s="12" t="s">
        <v>499</v>
      </c>
      <c r="AE200" s="1373"/>
      <c r="AF200" s="1373"/>
      <c r="AG200" s="1373"/>
      <c r="AH200" s="1373"/>
      <c r="AI200" s="195"/>
      <c r="AJ200" s="1373"/>
      <c r="AK200" s="1373"/>
      <c r="AL200" s="1373"/>
      <c r="AM200" s="1373"/>
      <c r="AN200" s="1373"/>
      <c r="AO200" s="1373"/>
      <c r="AP200" s="1373"/>
      <c r="AQ200" s="1373"/>
      <c r="AR200" s="1373"/>
      <c r="AS200" s="195"/>
      <c r="AT200" s="1373"/>
      <c r="AU200" s="1373"/>
      <c r="AV200" s="1373"/>
      <c r="AW200" s="1373"/>
      <c r="AX200" s="1373"/>
      <c r="AY200" s="1373"/>
      <c r="AZ200" s="1373"/>
      <c r="BA200" s="1373"/>
      <c r="BB200" s="1373"/>
      <c r="BC200" s="1361"/>
      <c r="BD200" s="1207"/>
      <c r="BE200" s="1207"/>
      <c r="BF200" s="917" t="s">
        <v>720</v>
      </c>
    </row>
    <row r="201" spans="1:58" s="1327" customFormat="1" ht="14.25" hidden="1" customHeight="1">
      <c r="A201" s="1207"/>
      <c r="B201" s="1076"/>
      <c r="C201" s="1207"/>
      <c r="D201" s="1207"/>
      <c r="E201" s="549">
        <v>15</v>
      </c>
      <c r="F201" s="3" t="str" cm="1">
        <f t="array" aca="1" ref="F201" ca="1">OFFSET(E201,-1,1)</f>
        <v>1</v>
      </c>
      <c r="G201" s="1207"/>
      <c r="H201" s="17" t="s">
        <v>505</v>
      </c>
      <c r="I201" s="1207"/>
      <c r="J201" s="1207"/>
      <c r="K201" s="1207"/>
      <c r="L201" s="1207"/>
      <c r="M201" s="1207"/>
      <c r="N201" s="1207"/>
      <c r="O201" s="1207"/>
      <c r="P201" s="1187"/>
      <c r="Q201" s="1187"/>
      <c r="R201" s="1187"/>
      <c r="S201" s="1187"/>
      <c r="T201" s="381" t="b" cm="1">
        <f t="array" ref="T201">T200</f>
        <v>0</v>
      </c>
      <c r="U201" s="1187"/>
      <c r="V201" s="1207"/>
      <c r="W201" s="1187"/>
      <c r="X201" s="1755"/>
      <c r="Y201" s="1734"/>
      <c r="Z201" s="1207"/>
      <c r="AA201" s="1207"/>
      <c r="AB201" s="158" t="s">
        <v>506</v>
      </c>
      <c r="AC201" s="132" t="s">
        <v>721</v>
      </c>
      <c r="AD201" s="12" t="s">
        <v>499</v>
      </c>
      <c r="AE201" s="1373"/>
      <c r="AF201" s="1373"/>
      <c r="AG201" s="1373"/>
      <c r="AH201" s="1373"/>
      <c r="AI201" s="195"/>
      <c r="AJ201" s="1373"/>
      <c r="AK201" s="1373"/>
      <c r="AL201" s="1373"/>
      <c r="AM201" s="1373"/>
      <c r="AN201" s="1373"/>
      <c r="AO201" s="1373"/>
      <c r="AP201" s="1373"/>
      <c r="AQ201" s="1373"/>
      <c r="AR201" s="1373"/>
      <c r="AS201" s="195"/>
      <c r="AT201" s="1373"/>
      <c r="AU201" s="1373"/>
      <c r="AV201" s="1373"/>
      <c r="AW201" s="1373"/>
      <c r="AX201" s="1373"/>
      <c r="AY201" s="1373"/>
      <c r="AZ201" s="1373"/>
      <c r="BA201" s="1373"/>
      <c r="BB201" s="1373"/>
      <c r="BC201" s="1361"/>
      <c r="BD201" s="1207"/>
      <c r="BE201" s="1207"/>
      <c r="BF201" s="917" t="s">
        <v>722</v>
      </c>
    </row>
    <row r="202" spans="1:58" s="1327" customFormat="1" ht="21.75" hidden="1" customHeight="1">
      <c r="A202" s="1207"/>
      <c r="B202" s="1076"/>
      <c r="C202" s="1207"/>
      <c r="D202" s="1207"/>
      <c r="E202" s="549">
        <v>22.5</v>
      </c>
      <c r="F202" s="3" t="str" cm="1">
        <f t="array" aca="1" ref="F202" ca="1">OFFSET(E202,-1,1)</f>
        <v>1</v>
      </c>
      <c r="G202" s="1207"/>
      <c r="H202" s="17" t="s">
        <v>509</v>
      </c>
      <c r="I202" s="1207"/>
      <c r="J202" s="1207"/>
      <c r="K202" s="1207"/>
      <c r="L202" s="1207"/>
      <c r="M202" s="1207"/>
      <c r="N202" s="1207"/>
      <c r="O202" s="1207"/>
      <c r="P202" s="1187"/>
      <c r="Q202" s="1187"/>
      <c r="R202" s="1187"/>
      <c r="S202" s="1187"/>
      <c r="T202" s="381" t="b" cm="1">
        <f t="array" ref="T202">T201</f>
        <v>0</v>
      </c>
      <c r="U202" s="1187"/>
      <c r="V202" s="1207"/>
      <c r="W202" s="1187"/>
      <c r="X202" s="1755"/>
      <c r="Y202" s="1734"/>
      <c r="Z202" s="1207"/>
      <c r="AA202" s="1207"/>
      <c r="AB202" s="158" t="s">
        <v>510</v>
      </c>
      <c r="AC202" s="132" t="s">
        <v>621</v>
      </c>
      <c r="AD202" s="12" t="s">
        <v>499</v>
      </c>
      <c r="AE202" s="1373"/>
      <c r="AF202" s="1373"/>
      <c r="AG202" s="1373"/>
      <c r="AH202" s="1373"/>
      <c r="AI202" s="195"/>
      <c r="AJ202" s="1373"/>
      <c r="AK202" s="1373"/>
      <c r="AL202" s="1373"/>
      <c r="AM202" s="1373"/>
      <c r="AN202" s="1373"/>
      <c r="AO202" s="1373"/>
      <c r="AP202" s="1373"/>
      <c r="AQ202" s="1373"/>
      <c r="AR202" s="1373"/>
      <c r="AS202" s="195"/>
      <c r="AT202" s="1373"/>
      <c r="AU202" s="1373"/>
      <c r="AV202" s="1373"/>
      <c r="AW202" s="1373"/>
      <c r="AX202" s="1373"/>
      <c r="AY202" s="1373"/>
      <c r="AZ202" s="1373"/>
      <c r="BA202" s="1373"/>
      <c r="BB202" s="1373"/>
      <c r="BC202" s="1361"/>
      <c r="BD202" s="1207"/>
      <c r="BE202" s="1207"/>
      <c r="BF202" s="917" t="s">
        <v>723</v>
      </c>
    </row>
    <row r="203" spans="1:58" s="1327" customFormat="1" ht="21.75" hidden="1" customHeight="1">
      <c r="A203" s="1207"/>
      <c r="B203" s="1076"/>
      <c r="C203" s="1207"/>
      <c r="D203" s="1207"/>
      <c r="E203" s="549">
        <v>22.5</v>
      </c>
      <c r="F203" s="3" t="str" cm="1">
        <f t="array" aca="1" ref="F203" ca="1">OFFSET(E203,-1,1)</f>
        <v>1</v>
      </c>
      <c r="G203" s="17" t="s">
        <v>571</v>
      </c>
      <c r="H203" s="17" t="s">
        <v>326</v>
      </c>
      <c r="I203" s="1207"/>
      <c r="J203" s="1207"/>
      <c r="K203" s="1207"/>
      <c r="L203" s="1207"/>
      <c r="M203" s="1207"/>
      <c r="N203" s="1207"/>
      <c r="O203" s="1207"/>
      <c r="P203" s="1187"/>
      <c r="Q203" s="1187"/>
      <c r="R203" s="1187"/>
      <c r="S203" s="1187"/>
      <c r="T203" s="381" t="b" cm="1">
        <f t="array" ref="T203">T202</f>
        <v>0</v>
      </c>
      <c r="U203" s="1187"/>
      <c r="V203" s="1207"/>
      <c r="W203" s="1187"/>
      <c r="X203" s="1755"/>
      <c r="Y203" s="1734"/>
      <c r="Z203" s="1207"/>
      <c r="AA203" s="1207"/>
      <c r="AB203" s="158" t="s">
        <v>321</v>
      </c>
      <c r="AC203" s="253" t="s">
        <v>724</v>
      </c>
      <c r="AD203" s="12" t="s">
        <v>499</v>
      </c>
      <c r="AE203" s="258">
        <f t="shared" ref="AE203:BB203" si="50">AE204+AE205+AE208</f>
        <v>0</v>
      </c>
      <c r="AF203" s="258">
        <f t="shared" si="50"/>
        <v>0</v>
      </c>
      <c r="AG203" s="258">
        <f t="shared" si="50"/>
        <v>0</v>
      </c>
      <c r="AH203" s="258">
        <f t="shared" si="50"/>
        <v>0</v>
      </c>
      <c r="AI203" s="258">
        <f t="shared" si="50"/>
        <v>0</v>
      </c>
      <c r="AJ203" s="258">
        <f t="shared" si="50"/>
        <v>0</v>
      </c>
      <c r="AK203" s="258">
        <f t="shared" si="50"/>
        <v>0</v>
      </c>
      <c r="AL203" s="258">
        <f t="shared" si="50"/>
        <v>0</v>
      </c>
      <c r="AM203" s="258">
        <f t="shared" si="50"/>
        <v>0</v>
      </c>
      <c r="AN203" s="258">
        <f t="shared" si="50"/>
        <v>0</v>
      </c>
      <c r="AO203" s="258">
        <f t="shared" si="50"/>
        <v>0</v>
      </c>
      <c r="AP203" s="258">
        <f t="shared" si="50"/>
        <v>0</v>
      </c>
      <c r="AQ203" s="258">
        <f t="shared" si="50"/>
        <v>0</v>
      </c>
      <c r="AR203" s="258">
        <f t="shared" si="50"/>
        <v>0</v>
      </c>
      <c r="AS203" s="258">
        <f t="shared" si="50"/>
        <v>0</v>
      </c>
      <c r="AT203" s="258">
        <f t="shared" si="50"/>
        <v>0</v>
      </c>
      <c r="AU203" s="258">
        <f t="shared" si="50"/>
        <v>0</v>
      </c>
      <c r="AV203" s="258">
        <f t="shared" si="50"/>
        <v>0</v>
      </c>
      <c r="AW203" s="258">
        <f t="shared" si="50"/>
        <v>0</v>
      </c>
      <c r="AX203" s="258">
        <f t="shared" si="50"/>
        <v>0</v>
      </c>
      <c r="AY203" s="258">
        <f t="shared" si="50"/>
        <v>0</v>
      </c>
      <c r="AZ203" s="258">
        <f t="shared" si="50"/>
        <v>0</v>
      </c>
      <c r="BA203" s="258">
        <f t="shared" si="50"/>
        <v>0</v>
      </c>
      <c r="BB203" s="258">
        <f t="shared" si="50"/>
        <v>0</v>
      </c>
      <c r="BC203" s="1361"/>
      <c r="BD203" s="1207"/>
      <c r="BE203" s="1207"/>
      <c r="BF203" s="917" t="s">
        <v>725</v>
      </c>
    </row>
    <row r="204" spans="1:58" s="1327" customFormat="1" ht="14.25" hidden="1" customHeight="1">
      <c r="A204" s="1207"/>
      <c r="B204" s="1076"/>
      <c r="C204" s="1207"/>
      <c r="D204" s="1207"/>
      <c r="E204" s="549">
        <v>15</v>
      </c>
      <c r="F204" s="3" t="str" cm="1">
        <f t="array" aca="1" ref="F204" ca="1">OFFSET(E204,-1,1)</f>
        <v>1</v>
      </c>
      <c r="G204" s="1207"/>
      <c r="H204" s="17" t="s">
        <v>515</v>
      </c>
      <c r="I204" s="1207"/>
      <c r="J204" s="1207"/>
      <c r="K204" s="1207"/>
      <c r="L204" s="1207"/>
      <c r="M204" s="1207"/>
      <c r="N204" s="1207"/>
      <c r="O204" s="1207"/>
      <c r="P204" s="1187"/>
      <c r="Q204" s="1187"/>
      <c r="R204" s="1187"/>
      <c r="S204" s="1187"/>
      <c r="T204" s="381" t="b" cm="1">
        <f t="array" ref="T204">T203</f>
        <v>0</v>
      </c>
      <c r="U204" s="1187"/>
      <c r="V204" s="1207"/>
      <c r="W204" s="1187"/>
      <c r="X204" s="1755"/>
      <c r="Y204" s="1734"/>
      <c r="Z204" s="1207"/>
      <c r="AA204" s="1207"/>
      <c r="AB204" s="158" t="s">
        <v>516</v>
      </c>
      <c r="AC204" s="132" t="s">
        <v>726</v>
      </c>
      <c r="AD204" s="12" t="s">
        <v>499</v>
      </c>
      <c r="AE204" s="1373"/>
      <c r="AF204" s="1373"/>
      <c r="AG204" s="1373"/>
      <c r="AH204" s="1373"/>
      <c r="AI204" s="195"/>
      <c r="AJ204" s="1373"/>
      <c r="AK204" s="1373"/>
      <c r="AL204" s="1373"/>
      <c r="AM204" s="1373"/>
      <c r="AN204" s="1373"/>
      <c r="AO204" s="1373"/>
      <c r="AP204" s="1373"/>
      <c r="AQ204" s="1373"/>
      <c r="AR204" s="1373"/>
      <c r="AS204" s="195"/>
      <c r="AT204" s="1373"/>
      <c r="AU204" s="1373"/>
      <c r="AV204" s="1373"/>
      <c r="AW204" s="1373"/>
      <c r="AX204" s="1373"/>
      <c r="AY204" s="1373"/>
      <c r="AZ204" s="1373"/>
      <c r="BA204" s="1373"/>
      <c r="BB204" s="1373"/>
      <c r="BC204" s="1361"/>
      <c r="BD204" s="1207"/>
      <c r="BE204" s="1207"/>
      <c r="BF204" s="917" t="s">
        <v>727</v>
      </c>
    </row>
    <row r="205" spans="1:58" s="1327" customFormat="1" ht="14.25" hidden="1" customHeight="1">
      <c r="A205" s="1207"/>
      <c r="B205" s="1076"/>
      <c r="C205" s="1207"/>
      <c r="D205" s="1207"/>
      <c r="E205" s="549">
        <v>15</v>
      </c>
      <c r="F205" s="3" t="str" cm="1">
        <f t="array" aca="1" ref="F205" ca="1">OFFSET(E205,-1,1)</f>
        <v>1</v>
      </c>
      <c r="G205" s="1207"/>
      <c r="H205" s="17" t="s">
        <v>519</v>
      </c>
      <c r="I205" s="1207"/>
      <c r="J205" s="1207"/>
      <c r="K205" s="1207"/>
      <c r="L205" s="1207"/>
      <c r="M205" s="1207"/>
      <c r="N205" s="1207"/>
      <c r="O205" s="1207"/>
      <c r="P205" s="1187"/>
      <c r="Q205" s="1187"/>
      <c r="R205" s="1187"/>
      <c r="S205" s="1187"/>
      <c r="T205" s="381" t="b" cm="1">
        <f t="array" ref="T205">T204</f>
        <v>0</v>
      </c>
      <c r="U205" s="1187"/>
      <c r="V205" s="1207"/>
      <c r="W205" s="1187"/>
      <c r="X205" s="1755"/>
      <c r="Y205" s="1734"/>
      <c r="Z205" s="1207"/>
      <c r="AA205" s="1207"/>
      <c r="AB205" s="158" t="s">
        <v>520</v>
      </c>
      <c r="AC205" s="254" t="s">
        <v>728</v>
      </c>
      <c r="AD205" s="12" t="s">
        <v>499</v>
      </c>
      <c r="AE205" s="258">
        <f t="shared" ref="AE205:BB205" si="51">AE206+AE207</f>
        <v>0</v>
      </c>
      <c r="AF205" s="258">
        <f t="shared" si="51"/>
        <v>0</v>
      </c>
      <c r="AG205" s="258">
        <f t="shared" si="51"/>
        <v>0</v>
      </c>
      <c r="AH205" s="258">
        <f t="shared" si="51"/>
        <v>0</v>
      </c>
      <c r="AI205" s="258">
        <f t="shared" si="51"/>
        <v>0</v>
      </c>
      <c r="AJ205" s="258">
        <f t="shared" si="51"/>
        <v>0</v>
      </c>
      <c r="AK205" s="258">
        <f t="shared" si="51"/>
        <v>0</v>
      </c>
      <c r="AL205" s="258">
        <f t="shared" si="51"/>
        <v>0</v>
      </c>
      <c r="AM205" s="258">
        <f t="shared" si="51"/>
        <v>0</v>
      </c>
      <c r="AN205" s="258">
        <f t="shared" si="51"/>
        <v>0</v>
      </c>
      <c r="AO205" s="258">
        <f t="shared" si="51"/>
        <v>0</v>
      </c>
      <c r="AP205" s="258">
        <f t="shared" si="51"/>
        <v>0</v>
      </c>
      <c r="AQ205" s="258">
        <f t="shared" si="51"/>
        <v>0</v>
      </c>
      <c r="AR205" s="258">
        <f t="shared" si="51"/>
        <v>0</v>
      </c>
      <c r="AS205" s="258">
        <f t="shared" si="51"/>
        <v>0</v>
      </c>
      <c r="AT205" s="258">
        <f t="shared" si="51"/>
        <v>0</v>
      </c>
      <c r="AU205" s="258">
        <f t="shared" si="51"/>
        <v>0</v>
      </c>
      <c r="AV205" s="258">
        <f t="shared" si="51"/>
        <v>0</v>
      </c>
      <c r="AW205" s="258">
        <f t="shared" si="51"/>
        <v>0</v>
      </c>
      <c r="AX205" s="258">
        <f t="shared" si="51"/>
        <v>0</v>
      </c>
      <c r="AY205" s="258">
        <f t="shared" si="51"/>
        <v>0</v>
      </c>
      <c r="AZ205" s="258">
        <f t="shared" si="51"/>
        <v>0</v>
      </c>
      <c r="BA205" s="258">
        <f t="shared" si="51"/>
        <v>0</v>
      </c>
      <c r="BB205" s="258">
        <f t="shared" si="51"/>
        <v>0</v>
      </c>
      <c r="BC205" s="1361"/>
      <c r="BD205" s="1207"/>
      <c r="BE205" s="1207"/>
      <c r="BF205" s="917" t="s">
        <v>729</v>
      </c>
    </row>
    <row r="206" spans="1:58" s="1327" customFormat="1" ht="14.25" hidden="1" customHeight="1">
      <c r="A206" s="1207"/>
      <c r="B206" s="1076"/>
      <c r="C206" s="1207"/>
      <c r="D206" s="1207"/>
      <c r="E206" s="549">
        <v>15</v>
      </c>
      <c r="F206" s="3" t="str" cm="1">
        <f t="array" aca="1" ref="F206" ca="1">OFFSET(E206,-1,1)</f>
        <v>1</v>
      </c>
      <c r="G206" s="1207"/>
      <c r="H206" s="17" t="s">
        <v>730</v>
      </c>
      <c r="I206" s="1207"/>
      <c r="J206" s="1207"/>
      <c r="K206" s="1207"/>
      <c r="L206" s="1207"/>
      <c r="M206" s="1207"/>
      <c r="N206" s="1207"/>
      <c r="O206" s="1207"/>
      <c r="P206" s="1187"/>
      <c r="Q206" s="1187"/>
      <c r="R206" s="1187"/>
      <c r="S206" s="1187"/>
      <c r="T206" s="381" t="b" cm="1">
        <f t="array" ref="T206">T205</f>
        <v>0</v>
      </c>
      <c r="U206" s="1187"/>
      <c r="V206" s="1207"/>
      <c r="W206" s="1187"/>
      <c r="X206" s="1755"/>
      <c r="Y206" s="1734"/>
      <c r="Z206" s="1207"/>
      <c r="AA206" s="1207"/>
      <c r="AB206" s="158" t="s">
        <v>731</v>
      </c>
      <c r="AC206" s="255" t="s">
        <v>578</v>
      </c>
      <c r="AD206" s="12" t="s">
        <v>499</v>
      </c>
      <c r="AE206" s="1373"/>
      <c r="AF206" s="1373"/>
      <c r="AG206" s="1373"/>
      <c r="AH206" s="1373"/>
      <c r="AI206" s="195"/>
      <c r="AJ206" s="1373"/>
      <c r="AK206" s="1373"/>
      <c r="AL206" s="1373"/>
      <c r="AM206" s="1373"/>
      <c r="AN206" s="1373"/>
      <c r="AO206" s="1373"/>
      <c r="AP206" s="1373"/>
      <c r="AQ206" s="1373"/>
      <c r="AR206" s="1373"/>
      <c r="AS206" s="195"/>
      <c r="AT206" s="1373"/>
      <c r="AU206" s="1373"/>
      <c r="AV206" s="1373"/>
      <c r="AW206" s="1373"/>
      <c r="AX206" s="1373"/>
      <c r="AY206" s="1373"/>
      <c r="AZ206" s="1373"/>
      <c r="BA206" s="1373"/>
      <c r="BB206" s="1373"/>
      <c r="BC206" s="1361"/>
      <c r="BD206" s="1207"/>
      <c r="BE206" s="1207"/>
      <c r="BF206" s="917" t="s">
        <v>732</v>
      </c>
    </row>
    <row r="207" spans="1:58" s="1327" customFormat="1" ht="14.25" hidden="1" customHeight="1">
      <c r="A207" s="1207"/>
      <c r="B207" s="1076"/>
      <c r="C207" s="1207"/>
      <c r="D207" s="1207"/>
      <c r="E207" s="549">
        <v>15</v>
      </c>
      <c r="F207" s="3" t="str" cm="1">
        <f t="array" aca="1" ref="F207" ca="1">OFFSET(E207,-1,1)</f>
        <v>1</v>
      </c>
      <c r="G207" s="1207"/>
      <c r="H207" s="17" t="s">
        <v>733</v>
      </c>
      <c r="I207" s="1207"/>
      <c r="J207" s="1207"/>
      <c r="K207" s="1207"/>
      <c r="L207" s="1207"/>
      <c r="M207" s="1207"/>
      <c r="N207" s="1207"/>
      <c r="O207" s="1207"/>
      <c r="P207" s="1187"/>
      <c r="Q207" s="1187"/>
      <c r="R207" s="1187"/>
      <c r="S207" s="1187"/>
      <c r="T207" s="381" t="b" cm="1">
        <f t="array" ref="T207">T206</f>
        <v>0</v>
      </c>
      <c r="U207" s="1187"/>
      <c r="V207" s="1207"/>
      <c r="W207" s="1187"/>
      <c r="X207" s="1755"/>
      <c r="Y207" s="1734"/>
      <c r="Z207" s="1207"/>
      <c r="AA207" s="1207"/>
      <c r="AB207" s="158" t="s">
        <v>734</v>
      </c>
      <c r="AC207" s="255" t="s">
        <v>582</v>
      </c>
      <c r="AD207" s="12" t="s">
        <v>499</v>
      </c>
      <c r="AE207" s="1373"/>
      <c r="AF207" s="1373"/>
      <c r="AG207" s="1373"/>
      <c r="AH207" s="1373"/>
      <c r="AI207" s="195"/>
      <c r="AJ207" s="1373"/>
      <c r="AK207" s="1373"/>
      <c r="AL207" s="1373"/>
      <c r="AM207" s="1373"/>
      <c r="AN207" s="1373"/>
      <c r="AO207" s="1373"/>
      <c r="AP207" s="1373"/>
      <c r="AQ207" s="1373"/>
      <c r="AR207" s="1373"/>
      <c r="AS207" s="195"/>
      <c r="AT207" s="1373"/>
      <c r="AU207" s="1373"/>
      <c r="AV207" s="1373"/>
      <c r="AW207" s="1373"/>
      <c r="AX207" s="1373"/>
      <c r="AY207" s="1373"/>
      <c r="AZ207" s="1373"/>
      <c r="BA207" s="1373"/>
      <c r="BB207" s="1373"/>
      <c r="BC207" s="1361"/>
      <c r="BD207" s="1207"/>
      <c r="BE207" s="1207"/>
      <c r="BF207" s="917" t="s">
        <v>735</v>
      </c>
    </row>
    <row r="208" spans="1:58" s="1327" customFormat="1" ht="21.75" hidden="1" customHeight="1">
      <c r="A208" s="1207"/>
      <c r="B208" s="1076"/>
      <c r="C208" s="1207"/>
      <c r="D208" s="1207"/>
      <c r="E208" s="549">
        <v>22.5</v>
      </c>
      <c r="F208" s="3" t="str" cm="1">
        <f t="array" aca="1" ref="F208" ca="1">OFFSET(E208,-1,1)</f>
        <v>1</v>
      </c>
      <c r="G208" s="1207"/>
      <c r="H208" s="17" t="s">
        <v>736</v>
      </c>
      <c r="I208" s="1207"/>
      <c r="J208" s="1207"/>
      <c r="K208" s="1207"/>
      <c r="L208" s="1207"/>
      <c r="M208" s="1207"/>
      <c r="N208" s="1207"/>
      <c r="O208" s="1207"/>
      <c r="P208" s="1187"/>
      <c r="Q208" s="1187"/>
      <c r="R208" s="1187"/>
      <c r="S208" s="1187"/>
      <c r="T208" s="381" t="b" cm="1">
        <f t="array" ref="T208">T207</f>
        <v>0</v>
      </c>
      <c r="U208" s="1187"/>
      <c r="V208" s="1207"/>
      <c r="W208" s="1187"/>
      <c r="X208" s="1755"/>
      <c r="Y208" s="1734"/>
      <c r="Z208" s="1207"/>
      <c r="AA208" s="1207"/>
      <c r="AB208" s="158" t="s">
        <v>737</v>
      </c>
      <c r="AC208" s="249" t="s">
        <v>541</v>
      </c>
      <c r="AD208" s="12" t="s">
        <v>499</v>
      </c>
      <c r="AE208" s="1360"/>
      <c r="AF208" s="1360"/>
      <c r="AG208" s="1360"/>
      <c r="AH208" s="1360"/>
      <c r="AI208" s="192"/>
      <c r="AJ208" s="1360"/>
      <c r="AK208" s="1360"/>
      <c r="AL208" s="1360"/>
      <c r="AM208" s="1360"/>
      <c r="AN208" s="1360"/>
      <c r="AO208" s="1360"/>
      <c r="AP208" s="1360"/>
      <c r="AQ208" s="1360"/>
      <c r="AR208" s="1360"/>
      <c r="AS208" s="192"/>
      <c r="AT208" s="1360"/>
      <c r="AU208" s="1360"/>
      <c r="AV208" s="1360"/>
      <c r="AW208" s="1360"/>
      <c r="AX208" s="1360"/>
      <c r="AY208" s="1360"/>
      <c r="AZ208" s="1360"/>
      <c r="BA208" s="1360"/>
      <c r="BB208" s="1360"/>
      <c r="BC208" s="1361"/>
      <c r="BD208" s="1207"/>
      <c r="BE208" s="1207"/>
      <c r="BF208" s="917" t="s">
        <v>738</v>
      </c>
    </row>
    <row r="209" spans="2:58" ht="14.65" customHeight="1">
      <c r="E209" s="549">
        <v>15</v>
      </c>
      <c r="U209" s="332" t="s">
        <v>177</v>
      </c>
      <c r="V209" s="59" t="s">
        <v>740</v>
      </c>
      <c r="AB209" s="425"/>
      <c r="AC209" s="384"/>
      <c r="AD209" s="426"/>
      <c r="AE209" s="855"/>
      <c r="AF209" s="855"/>
      <c r="AG209" s="855"/>
      <c r="AH209" s="855"/>
      <c r="AI209" s="855"/>
      <c r="AJ209" s="855"/>
      <c r="AK209" s="855"/>
      <c r="AL209" s="855"/>
      <c r="AM209" s="855"/>
      <c r="AN209" s="855"/>
      <c r="AO209" s="855"/>
      <c r="AP209" s="855"/>
      <c r="AQ209" s="855"/>
      <c r="AR209" s="855"/>
      <c r="AS209" s="855"/>
      <c r="AT209" s="855"/>
      <c r="AU209" s="855"/>
      <c r="AV209" s="855"/>
      <c r="AW209" s="855"/>
      <c r="AX209" s="855"/>
      <c r="AY209" s="855"/>
      <c r="AZ209" s="855"/>
      <c r="BA209" s="855"/>
      <c r="BB209" s="855"/>
      <c r="BC209" s="856"/>
    </row>
    <row r="210" spans="2:58" s="1207" customFormat="1" ht="10.9" customHeight="1">
      <c r="B210" s="427"/>
      <c r="E210" s="551">
        <v>11.25</v>
      </c>
      <c r="F210" s="662"/>
      <c r="K210" s="17"/>
      <c r="P210" s="398"/>
      <c r="Q210" s="398"/>
      <c r="R210" s="398"/>
      <c r="S210" s="398"/>
      <c r="T210" s="405"/>
      <c r="U210" s="405"/>
      <c r="V210" s="420"/>
      <c r="W210" s="405"/>
      <c r="X210" s="405"/>
      <c r="Y210" s="405"/>
      <c r="Z210" s="405"/>
      <c r="AA210" s="405"/>
      <c r="AB210" s="1762" t="s">
        <v>394</v>
      </c>
      <c r="AC210" s="1762"/>
      <c r="AD210" s="1762"/>
      <c r="AE210" s="1763"/>
      <c r="AF210" s="1763"/>
      <c r="AG210" s="1763"/>
      <c r="AH210" s="1763"/>
      <c r="AI210" s="1763"/>
      <c r="AJ210" s="1763"/>
      <c r="AK210" s="1763"/>
      <c r="AL210" s="1763"/>
      <c r="AM210" s="1763"/>
      <c r="AN210" s="1763"/>
      <c r="AO210" s="1763"/>
      <c r="AP210" s="1763"/>
      <c r="AQ210" s="1763"/>
      <c r="AR210" s="1763"/>
      <c r="AS210" s="1763"/>
      <c r="AT210" s="1763"/>
      <c r="AU210" s="1763"/>
      <c r="AV210" s="1763"/>
      <c r="AW210" s="1763"/>
      <c r="AX210" s="1763"/>
      <c r="AY210" s="1763"/>
      <c r="AZ210" s="1763"/>
      <c r="BA210" s="1763"/>
      <c r="BB210" s="1763"/>
      <c r="BC210" s="1763"/>
      <c r="BD210" s="405"/>
      <c r="BF210" s="922"/>
    </row>
    <row r="211" spans="2:58" ht="14.65" customHeight="1">
      <c r="E211" s="549">
        <v>15</v>
      </c>
      <c r="T211" s="405"/>
      <c r="U211" s="405"/>
      <c r="V211" s="420"/>
      <c r="W211" s="405"/>
      <c r="X211" s="405"/>
      <c r="Y211" s="405"/>
      <c r="Z211" s="405"/>
      <c r="AA211" s="578"/>
      <c r="AB211" s="1764"/>
      <c r="AC211" s="1765"/>
      <c r="AD211" s="1765"/>
      <c r="AE211" s="1765"/>
      <c r="AF211" s="1765"/>
      <c r="AG211" s="1765"/>
      <c r="AH211" s="1765"/>
      <c r="AI211" s="1765"/>
      <c r="AJ211" s="1766"/>
      <c r="AK211" s="1766"/>
      <c r="AL211" s="1766"/>
      <c r="AM211" s="1766"/>
      <c r="AN211" s="1766"/>
      <c r="AO211" s="1766"/>
      <c r="AP211" s="1766"/>
      <c r="AQ211" s="1766"/>
      <c r="AR211" s="1766"/>
      <c r="AS211" s="1765"/>
      <c r="AT211" s="1766"/>
      <c r="AU211" s="1766"/>
      <c r="AV211" s="1766"/>
      <c r="AW211" s="1766"/>
      <c r="AX211" s="1766"/>
      <c r="AY211" s="1766"/>
      <c r="AZ211" s="1766"/>
      <c r="BA211" s="1766"/>
      <c r="BB211" s="1766"/>
      <c r="BC211" s="1767"/>
      <c r="BD211" s="405"/>
    </row>
    <row r="212" spans="2:58" ht="14.65" hidden="1" customHeight="1">
      <c r="E212" s="549">
        <v>15</v>
      </c>
      <c r="T212" s="381" t="b">
        <f>ROW(W212)&gt;ROW(W$212)</f>
        <v>0</v>
      </c>
      <c r="U212" s="405"/>
      <c r="V212" s="420"/>
      <c r="W212" s="671" t="s">
        <v>173</v>
      </c>
      <c r="X212" s="405"/>
      <c r="Y212" s="405"/>
      <c r="Z212" s="405"/>
      <c r="AA212" s="579" t="s">
        <v>174</v>
      </c>
      <c r="AB212" s="1768"/>
      <c r="AC212" s="1769"/>
      <c r="AD212" s="1769"/>
      <c r="AE212" s="1769"/>
      <c r="AF212" s="1769"/>
      <c r="AG212" s="1769"/>
      <c r="AH212" s="1769"/>
      <c r="AI212" s="1770"/>
      <c r="AJ212" s="1769"/>
      <c r="AK212" s="1769"/>
      <c r="AL212" s="1769"/>
      <c r="AM212" s="1769"/>
      <c r="AN212" s="1769"/>
      <c r="AO212" s="1769"/>
      <c r="AP212" s="1769"/>
      <c r="AQ212" s="1769"/>
      <c r="AR212" s="1769"/>
      <c r="AS212" s="1770"/>
      <c r="AT212" s="1769"/>
      <c r="AU212" s="1769"/>
      <c r="AV212" s="1769"/>
      <c r="AW212" s="1769"/>
      <c r="AX212" s="1769"/>
      <c r="AY212" s="1769"/>
      <c r="AZ212" s="1769"/>
      <c r="BA212" s="1769"/>
      <c r="BB212" s="1769"/>
      <c r="BC212" s="1771"/>
      <c r="BD212" s="405"/>
    </row>
    <row r="213" spans="2:58" ht="14.65" customHeight="1">
      <c r="E213" s="549">
        <v>15</v>
      </c>
      <c r="T213" s="405"/>
      <c r="U213" s="405"/>
      <c r="V213" s="405"/>
      <c r="W213" s="671" t="s">
        <v>395</v>
      </c>
      <c r="X213" s="405"/>
      <c r="Y213" s="405"/>
      <c r="Z213" s="405"/>
      <c r="AA213" s="405"/>
      <c r="AB213" s="564"/>
      <c r="AC213" s="430" t="s">
        <v>396</v>
      </c>
      <c r="AD213" s="421"/>
      <c r="AE213" s="422"/>
      <c r="AF213" s="422"/>
      <c r="AG213" s="422"/>
      <c r="AH213" s="422"/>
      <c r="AI213" s="422"/>
      <c r="AJ213" s="422"/>
      <c r="AK213" s="422"/>
      <c r="AL213" s="422"/>
      <c r="AM213" s="422"/>
      <c r="AN213" s="422"/>
      <c r="AO213" s="422"/>
      <c r="AP213" s="422"/>
      <c r="AQ213" s="422"/>
      <c r="AR213" s="422"/>
      <c r="AS213" s="422"/>
      <c r="AT213" s="422"/>
      <c r="AU213" s="422"/>
      <c r="AV213" s="422"/>
      <c r="AW213" s="422"/>
      <c r="AX213" s="422"/>
      <c r="AY213" s="422"/>
      <c r="AZ213" s="422"/>
      <c r="BA213" s="422"/>
      <c r="BB213" s="422"/>
      <c r="BC213" s="423"/>
      <c r="BD213" s="405"/>
    </row>
    <row r="214" spans="2:58" ht="10.7" customHeight="1">
      <c r="E214" s="549">
        <v>11</v>
      </c>
      <c r="T214" s="405"/>
      <c r="U214" s="405"/>
      <c r="V214" s="405"/>
      <c r="W214" s="405"/>
      <c r="X214" s="405"/>
      <c r="Y214" s="405"/>
      <c r="Z214" s="405"/>
      <c r="AA214" s="405"/>
      <c r="AB214" s="424"/>
      <c r="AC214" s="424"/>
      <c r="AD214" s="424"/>
      <c r="AE214" s="405"/>
      <c r="AF214" s="405"/>
      <c r="AG214" s="405"/>
      <c r="AH214" s="405"/>
      <c r="AI214" s="405"/>
      <c r="AJ214" s="405"/>
      <c r="AK214" s="405"/>
      <c r="AL214" s="405"/>
      <c r="AM214" s="405"/>
      <c r="AN214" s="405"/>
      <c r="AO214" s="405"/>
      <c r="AP214" s="405"/>
      <c r="AQ214" s="405"/>
      <c r="AR214" s="405"/>
      <c r="AS214" s="405"/>
      <c r="AT214" s="405"/>
      <c r="AU214" s="405"/>
      <c r="AV214" s="405"/>
      <c r="AW214" s="405"/>
      <c r="AX214" s="405"/>
      <c r="AY214" s="405"/>
      <c r="AZ214" s="405"/>
      <c r="BA214" s="405"/>
      <c r="BB214" s="405"/>
      <c r="BC214" s="424"/>
      <c r="BD214" s="405"/>
    </row>
  </sheetData>
  <sheetProtection formatColumns="0" formatRows="0" insertRows="0" deleteColumns="0" deleteRows="0" sort="0" autoFilter="0"/>
  <mergeCells count="11">
    <mergeCell ref="AB210:BC210"/>
    <mergeCell ref="AB211:BC211"/>
    <mergeCell ref="AB212:BC212"/>
    <mergeCell ref="X118:X208"/>
    <mergeCell ref="Y118:Y208"/>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A115:BA117 BA121:BA123 BA125:BA128 BA130:BA133 BA137:BA139 BA141:BA142 BA145:BA146 BA148:BA149 BA151:BA154 BA158:BA161 BA164:BA165 BA167:BA170 BA174 BA177:BA178 BA180:BA181 BA183:BA184 BA186:BA191 BA193:BA196 BA200:BA202 BA204 BA206:BA208 AZ115:AZ117 AZ121:AZ123 AZ125:AZ128 AZ130:AZ133 AZ137:AZ139 AZ141:AZ142 AZ145:AZ146 AZ148:AZ149 AZ151:AZ154 AZ158:AZ161 AZ164:AZ165 AZ167:AZ170 AZ174 AZ177:AZ178 AZ180:AZ181 AZ183:AZ184 AZ186:AZ191 AZ193:AZ196 AZ200:AZ202 AZ204 AZ206:AZ208 AY115:AY117 AY121:AY123 AY125:AY128 AY130:AY133 AY137:AY139 AY141:AY142 AY145:AY146 AY148:AY149 AY151:AY154 AY158:AY161 AY164:AY165 AY167:AY170 AY174 AY177:AY178 AY180:AY181 AY183:AY184 AY186:AY191 AY193:AY196 AY200:AY202 AY204 AY206:AY208 AX115:AX117 AX121:AX123 AX125:AX128 AX130:AX133 AX137:AX139 AX141:AX142 AX145:AX146 AX148:AX149 AX151:AX154 AX158:AX161 AX164:AX165 AX167:AX170 AX174 AX177:AX178 AX180:AX181 AX183:AX184 AX186:AX191 AX193:AX196 AX200:AX202 AX204 AX206:AX208 AW115:AW117 AW121:AW123 AW125:AW128 AW130:AW133 AW137:AW139 AW141:AW142 AW145:AW146 AW148:AW149 AW151:AW154 AW158:AW161 AW164:AW165 AW167:AW170 AW174 AW177:AW178 AW180:AW181 AW183:AW184 AW186:AW191 AW193:AW196 AW200:AW202 AW204 AW206:AW208 AV115:AV117 AV121:AV123 AV125:AV128 AV130:AV133 AV137:AV139 AV141:AV142 AV145:AV146 AV148:AV149 AV151:AV154 AV158:AV161 AV164:AV165 AV167:AV170 AV174 AV177:AV178 AV180:AV181 AV183:AV184 AV186:AV191 AV193:AV196 AV200:AV202 AV204 AV206:AV208 AU115:AU117 AU121:AU123 AU125:AU128 AU130:AU133 AU137:AU139 AU141:AU142 AU145:AU146 AU148:AU149 AU151:AU154 AU158:AU161 AU164:AU165 AU167:AU170 AU174 AU177:AU178 AU180:AU181 AU183:AU184 AU186:AU191 AU193:AU196 AU200:AU202 AU204 AU206:AU208 AT115:AT117 AT121:AT123 AT125:AT128 AT130:AT133 AT137:AT139 AT141:AT142 AT145:AT146 AT148:AT149 AT151:AT154 AT158:AT161 AT164:AT165 AT167:AT170 AT174 AT177:AT178 AT180:AT181 AT183:AT184 AT186:AT191 AT193:AT196 AT200:AT202 AT204 AT206:AT208 AS115:AS117 AS121:AS123 AS125:AS128 AS130:AS133 AS137:AS139 AS141:AS142 AS145:AS146 AS148:AS149 AS151:AS154 AS158:AS161 AS164:AS165 AS167:AS170 AS174 AS177:AS178 AS180:AS181 AS183:AS184 AS186:AS191 AS193:AS196 AS200:AS202 AS204 AS206:AS208 AR115:AR117 AR121:AR123 AR125:AR128 AR130:AR133 AR137:AR139 AR141:AR142 AR145:AR146 AR148:AR149 AR151:AR154 AR158:AR161 AR164:AR165 AR167:AR170 AR174 AR177:AR178 AR180:AR181 AR183:AR184 AR186:AR191 AR193:AR196 AR200:AR202 AR204 AR206:AR208 AQ115:AQ117 AQ121:AQ123 AQ125:AQ128 AQ130:AQ133 AQ137:AQ139 AQ141:AQ142 AQ145:AQ146 AQ148:AQ149 AQ151:AQ154 AQ158:AQ161 AQ164:AQ165 AQ167:AQ170 AQ174 AQ177:AQ178 AQ180:AQ181 AQ183:AQ184 AQ186:AQ191 AQ193:AQ196 AQ200:AQ202 AQ204 AQ206:AQ208 AP115:AP117 AP121:AP123 AP125:AP128 AP130:AP133 AP137:AP139 AP141:AP142 AP145:AP146 AP148:AP149 AP151:AP154 AP158:AP161 AP164:AP165 AP167:AP170 AP174 AP177:AP178 AP180:AP181 AP183:AP184 AP186:AP191 AP193:AP196 AP200:AP202 AP204 AP206:AP208 AO115:AO117 AO121:AO123 AO125:AO128 AO130:AO133 AO137:AO139 AO141:AO142 AO145:AO146 AO148:AO149 AO151:AO154 AO158:AO161 AO164:AO165 AO167:AO170 AO174 AO177:AO178 AO180:AO181 AO183:AO184 AO186:AO191 AO193:AO196 AO200:AO202 AO204 AO206:AO208 AN115:AN117 AN121:AN123 AN125:AN128 AN130:AN133 AN137:AN139 AN141:AN142 AN145:AN146 AN148:AN149 AN151:AN154 AN158:AN161 AN164:AN165 AN167:AN170 AN174 AN177:AN178 AN180:AN181 AN183:AN184 AN186:AN191 AN193:AN196 AN200:AN202 AN204 AN206:AN208 AM115:AM117 AM121:AM123 AM125:AM128 AM130:AM133 AM137:AM139 AM141:AM142 AM145:AM146 AM148:AM149 AM151:AM154 AM158:AM161 AM164:AM165 AM167:AM170 AM174 AM177:AM178 AM180:AM181 AM183:AM184 AM186:AM191 AM193:AM196 AM200:AM202 AM204 AM206:AM208 AL115:AL117 AL121:AL123 AL125:AL128 AL130:AL133 AL137:AL139 AL141:AL142 AL145:AL146 AL148:AL149 AL151:AL154 AL158:AL161 AL164:AL165 AL167:AL170 AL174 AL177:AL178 AL180:AL181 AL183:AL184 AL186:AL191 AL193:AL196 AL200:AL202 AL204 AL206:AL208 AK115:AK117 AK121:AK123 AK125:AK128 AK130:AK133 AK137:AK139 AK141:AK142 AK145:AK146 AK148:AK149 AK151:AK154 AK158:AK161 AK164:AK165 AK167:AK170 AK174 AK177:AK178 AK180:AK181 AK183:AK184 AK186:AK191 AK193:AK196 AK200:AK202 AK204 AK206:AK208 AJ115:AJ117 AJ121:AJ123 AJ125:AJ128 AJ130:AJ133 AJ137:AJ139 AJ141:AJ142 AJ145:AJ146 AJ148:AJ149 AJ151:AJ154 AJ158:AJ161 AJ164:AJ165 AJ167:AJ170 AJ174 AJ177:AJ178 AJ180:AJ181 AJ183:AJ184 AJ186:AJ191 AJ193:AJ196 AJ200:AJ202 AJ204 AJ206:AJ208 AI115:AI117 AI121:AI123 AI125:AI128 AI130:AI133 AI137:AI139 AI141:AI142 AI145:AI146 AI148:AI149 AI151:AI154 AI158:AI161 AI164:AI165 AI167:AI170 AI174 AI177:AI178 AI180:AI181 AI183:AI184 AI186:AI191 AI193:AI196 AI200:AI202 AI204 AI206:AI208 AH115:AH117 AH121:AH123 AH125:AH128 AH130:AH133 AH137:AH139 AH141:AH142 AH145:AH146 AH148:AH149 AH151:AH154 AH158:AH161 AH164:AH165 AH167:AH170 AH174 AH177:AH178 AH180:AH181 AH183:AH184 AH186:AH191 AH193:AH196 AH200:AH202 AH204 AH206:AH208 AG115:AG117 AG121:AG123 AG125:AG128 AG130:AG133 AG137:AG139 AG141:AG142 AG145:AG146 AG148:AG149 AG151:AG154 AG158:AG161 AG164:AG165 AG167:AG170 AG174 AG177:AG178 AG180:AG181 AG183:AG184 AG186:AG191 AG193:AG196 AG200:AG202 AG204 AG206:AG208 AF115:AF117 AF121:AF123 AF125:AF128 AF130:AF133 AF137:AF139 AF141:AF142 AF145:AF146 AF148:AF149 AF151:AF154 AF158:AF161 AF164:AF165 AF167:AF170 AF174 AF177:AF178 AF180:AF181 AF183:AF184 AF186:AF191 AF193:AF196 AF200:AF202 AF204 AF206:AF208 AE115:AE117 AE121:AE123 AE125:AE128 AE130:AE133 AE137:AE139 AE141:AE142 AE145:AE146 AE148:AE149 AE151:AE154 AE158:AE161 AE164:AE165 AE167:AE170 AE174 AE177:AE178 AE180:AE181 AE183:AE184 AE186:AE191 AE193:AE196 AE200:AE202 AE204 AE206:AE208 AE95:BB100 AE102:BB105 AE83:BB83 AE76:BB79">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W40"/>
  <sheetViews>
    <sheetView showGridLines="0" workbookViewId="0">
      <pane xSplit="29" ySplit="27" topLeftCell="AD28" activePane="bottomRight" state="frozen"/>
      <selection pane="topRight" activeCell="AD1" sqref="AD1"/>
      <selection pane="bottomLeft" activeCell="A28" sqref="A28"/>
      <selection pane="bottomRight" activeCell="AA21" sqref="AA21"/>
    </sheetView>
  </sheetViews>
  <sheetFormatPr defaultColWidth="8.7109375" defaultRowHeight="11.25" customHeight="1"/>
  <cols>
    <col min="1" max="1" width="4.5703125" style="923" hidden="1" customWidth="1"/>
    <col min="2" max="2" width="6.7109375" style="1121" hidden="1" customWidth="1"/>
    <col min="3" max="3" width="3.85546875" style="1121" hidden="1" customWidth="1"/>
    <col min="4" max="4" width="2.7109375" style="1121" hidden="1" customWidth="1"/>
    <col min="5" max="5" width="2.7109375" style="1074" hidden="1" customWidth="1"/>
    <col min="6" max="6" width="3.5703125" style="1121" hidden="1" customWidth="1"/>
    <col min="7" max="19" width="2.7109375" style="1121" hidden="1" customWidth="1"/>
    <col min="20" max="20" width="7.7109375" style="1121" hidden="1" customWidth="1"/>
    <col min="21" max="21" width="5.85546875" style="1121" hidden="1" customWidth="1"/>
    <col min="22" max="22" width="7.7109375" style="1121" hidden="1" customWidth="1"/>
    <col min="23" max="23" width="6.140625" style="1121" hidden="1" customWidth="1"/>
    <col min="24" max="25" width="5.5703125" style="1121" hidden="1" customWidth="1"/>
    <col min="26" max="26" width="5.28515625" style="1121" hidden="1" customWidth="1"/>
    <col min="27" max="27" width="3" style="1121" customWidth="1"/>
    <col min="28" max="28" width="11.7109375" style="1121" customWidth="1"/>
    <col min="29" max="29" width="18.85546875" style="1121" customWidth="1"/>
    <col min="30" max="30" width="13.5703125" style="1326" customWidth="1"/>
    <col min="31" max="31" width="13" style="1326" customWidth="1"/>
    <col min="32" max="32" width="7.28515625" style="1326" customWidth="1"/>
    <col min="33" max="35" width="17.85546875" style="1326" customWidth="1"/>
    <col min="36" max="36" width="7.42578125" style="1326" customWidth="1"/>
    <col min="37" max="40" width="12.5703125" style="1326" customWidth="1"/>
    <col min="41" max="42" width="20" style="1121" customWidth="1"/>
    <col min="43" max="43" width="3" style="1121" customWidth="1"/>
    <col min="44" max="44" width="8.7109375" style="1121" hidden="1"/>
    <col min="45" max="47" width="8.7109375" style="1075" hidden="1"/>
    <col min="48" max="49" width="8.7109375" style="1074" hidden="1"/>
  </cols>
  <sheetData>
    <row r="1" spans="1:49" ht="11.25" hidden="1" customHeight="1">
      <c r="E1" s="404"/>
      <c r="F1" s="404" t="s">
        <v>311</v>
      </c>
      <c r="H1" s="404" t="s">
        <v>312</v>
      </c>
      <c r="T1" s="1309" t="s">
        <v>92</v>
      </c>
      <c r="U1" s="381" t="s">
        <v>97</v>
      </c>
      <c r="V1" s="381" t="s">
        <v>93</v>
      </c>
      <c r="W1" s="381" t="s">
        <v>94</v>
      </c>
      <c r="X1" s="381" t="s">
        <v>95</v>
      </c>
      <c r="Z1" s="381" t="s">
        <v>99</v>
      </c>
      <c r="AA1" s="381" t="s">
        <v>96</v>
      </c>
      <c r="AB1" s="381" t="s">
        <v>313</v>
      </c>
      <c r="AC1" s="381" t="s">
        <v>98</v>
      </c>
      <c r="AS1" s="927" t="s">
        <v>314</v>
      </c>
      <c r="AT1" s="927" t="s">
        <v>315</v>
      </c>
      <c r="AU1" s="927" t="s">
        <v>316</v>
      </c>
      <c r="AV1" s="566" t="s">
        <v>319</v>
      </c>
      <c r="AW1" s="566" t="s">
        <v>320</v>
      </c>
    </row>
    <row r="2" spans="1:49" ht="11.25" hidden="1" customHeight="1">
      <c r="B2" s="1310" t="s">
        <v>18</v>
      </c>
      <c r="E2" s="404"/>
    </row>
    <row r="3" spans="1:49" ht="11.25" hidden="1" customHeight="1">
      <c r="E3" s="404"/>
      <c r="AK3" s="1207" cm="1">
        <f t="array" ref="AK3">god</f>
        <v>2026</v>
      </c>
      <c r="AL3" s="456"/>
      <c r="AM3" s="456" cm="1">
        <f t="array" ref="AM3">god</f>
        <v>2026</v>
      </c>
      <c r="AN3" s="456"/>
    </row>
    <row r="4" spans="1:49" ht="11.25" hidden="1" customHeight="1">
      <c r="E4" s="404"/>
      <c r="AK4" s="456"/>
      <c r="AL4" s="456"/>
      <c r="AM4" s="456"/>
      <c r="AN4" s="456"/>
    </row>
    <row r="5" spans="1:49" s="1074" customFormat="1" ht="11.25" hidden="1" customHeight="1">
      <c r="A5" s="923"/>
      <c r="B5" s="404"/>
      <c r="C5" s="404"/>
      <c r="D5" s="404"/>
      <c r="E5" s="566" t="s">
        <v>19</v>
      </c>
      <c r="AA5" s="566">
        <v>3</v>
      </c>
      <c r="AB5" s="566">
        <v>11.71</v>
      </c>
      <c r="AC5" s="566">
        <v>18.86</v>
      </c>
      <c r="AD5" s="568">
        <v>13.57</v>
      </c>
      <c r="AE5" s="568">
        <v>13</v>
      </c>
      <c r="AF5" s="568">
        <v>7.29</v>
      </c>
      <c r="AG5" s="568">
        <v>17.86</v>
      </c>
      <c r="AH5" s="568">
        <v>17.86</v>
      </c>
      <c r="AI5" s="568">
        <v>17.86</v>
      </c>
      <c r="AJ5" s="568">
        <v>7.43</v>
      </c>
      <c r="AK5" s="1208">
        <v>12.57</v>
      </c>
      <c r="AL5" s="567">
        <v>12.57</v>
      </c>
      <c r="AM5" s="567">
        <v>12.57</v>
      </c>
      <c r="AN5" s="567">
        <v>12.57</v>
      </c>
      <c r="AO5" s="566">
        <v>20</v>
      </c>
      <c r="AP5" s="566">
        <v>20</v>
      </c>
      <c r="AQ5" s="566">
        <v>3</v>
      </c>
      <c r="AS5" s="927"/>
      <c r="AT5" s="927"/>
      <c r="AU5" s="927"/>
    </row>
    <row r="6" spans="1:49" ht="11.25" hidden="1" customHeight="1">
      <c r="A6" s="923" t="s">
        <v>322</v>
      </c>
      <c r="AC6" s="404" t="s">
        <v>323</v>
      </c>
      <c r="AD6" s="438" t="s">
        <v>324</v>
      </c>
      <c r="AE6" s="438" t="s">
        <v>325</v>
      </c>
      <c r="AF6" s="438" t="s">
        <v>327</v>
      </c>
      <c r="AG6" s="438" t="s">
        <v>326</v>
      </c>
      <c r="AH6" s="438" t="s">
        <v>477</v>
      </c>
      <c r="AI6" s="438" t="s">
        <v>481</v>
      </c>
      <c r="AJ6" s="438" t="s">
        <v>528</v>
      </c>
      <c r="AK6" s="456" t="s">
        <v>547</v>
      </c>
      <c r="AL6" s="456" t="s">
        <v>741</v>
      </c>
      <c r="AM6" s="456" t="s">
        <v>742</v>
      </c>
      <c r="AN6" s="456" t="s">
        <v>743</v>
      </c>
      <c r="AO6" s="404" t="s">
        <v>744</v>
      </c>
      <c r="AP6" s="404" t="s">
        <v>745</v>
      </c>
    </row>
    <row r="7" spans="1:49" ht="11.25" hidden="1" customHeight="1">
      <c r="AK7" s="456"/>
      <c r="AL7" s="456"/>
      <c r="AM7" s="456"/>
      <c r="AN7" s="456"/>
    </row>
    <row r="8" spans="1:49" ht="11.25" hidden="1" customHeight="1">
      <c r="AK8" s="456"/>
      <c r="AL8" s="456"/>
      <c r="AM8" s="456"/>
      <c r="AN8" s="456"/>
    </row>
    <row r="9" spans="1:49" s="1075" customFormat="1" ht="11.25" hidden="1" customHeight="1">
      <c r="A9" s="926" t="s">
        <v>746</v>
      </c>
      <c r="AD9" s="930" t="str" cm="1">
        <f t="array" ref="AD9">AD24</f>
        <v>Тип материала трубопровода</v>
      </c>
      <c r="AE9" s="930" t="str" cm="1">
        <f t="array" ref="AE9">AE24</f>
        <v>Тип грунта</v>
      </c>
      <c r="AF9" s="930" t="str" cm="1">
        <f t="array" ref="AF9">AF24</f>
        <v>Глубина грунта, м</v>
      </c>
      <c r="AG9" s="930" t="str" cm="1">
        <f t="array" ref="AG9">AG24</f>
        <v>Средняя стоимость строительства 1 км трубопровода, _x000D_
тыс. руб.</v>
      </c>
      <c r="AH9" s="930" t="str" cm="1">
        <f t="array" ref="AH9">AH24</f>
        <v>Средняя стоимость строительства 1 км трубопровода диаметром 500 мм, тыс.руб.</v>
      </c>
      <c r="AI9" s="930" t="str" cm="1">
        <f t="array" ref="AI9">AI24</f>
        <v>Источник информации по средней стоимости строительства</v>
      </c>
      <c r="AJ9" s="930" t="str" cm="1">
        <f t="array" ref="AJ9">AJ24</f>
        <v>Kd</v>
      </c>
      <c r="AK9" s="928" t="str" cm="1">
        <f t="array" ref="AK9">AK27</f>
        <v>км</v>
      </c>
      <c r="AL9" s="928" t="str" cm="1">
        <f t="array" ref="AL9">AL27</f>
        <v>усл.км</v>
      </c>
      <c r="AM9" s="928" t="str" cm="1">
        <f t="array" ref="AM9">AM27</f>
        <v>км</v>
      </c>
      <c r="AN9" s="928" t="str" cm="1">
        <f t="array" ref="AN9">AN27</f>
        <v>усл.км</v>
      </c>
      <c r="AO9" s="930"/>
      <c r="AP9" s="930"/>
      <c r="AV9" s="566"/>
      <c r="AW9" s="566"/>
    </row>
    <row r="10" spans="1:49" s="1075" customFormat="1" ht="11.25" hidden="1" customHeight="1">
      <c r="A10" s="926" t="s">
        <v>356</v>
      </c>
      <c r="AD10" s="928"/>
      <c r="AE10" s="928"/>
      <c r="AF10" s="928"/>
      <c r="AG10" s="928"/>
      <c r="AH10" s="928"/>
      <c r="AI10" s="928"/>
      <c r="AJ10" s="928"/>
      <c r="AK10" s="1209" t="str" cm="1">
        <f t="array" ref="AK10">AK26</f>
        <v>Предложение организации</v>
      </c>
      <c r="AL10" s="929" t="str" cm="1">
        <f t="array" ref="AL10">AK10</f>
        <v>Предложение организации</v>
      </c>
      <c r="AM10" s="929" t="str" cm="1">
        <f t="array" ref="AM10">AM26</f>
        <v>Принято органом регулирования</v>
      </c>
      <c r="AN10" s="929" t="str" cm="1">
        <f t="array" ref="AN10">AM10</f>
        <v>Принято органом регулирования</v>
      </c>
      <c r="AV10" s="566"/>
      <c r="AW10" s="566"/>
    </row>
    <row r="11" spans="1:49" s="1075" customFormat="1" ht="11.25" hidden="1" customHeight="1">
      <c r="A11" s="926" t="s">
        <v>357</v>
      </c>
      <c r="AD11" s="928"/>
      <c r="AE11" s="928"/>
      <c r="AF11" s="928"/>
      <c r="AG11" s="928"/>
      <c r="AH11" s="928"/>
      <c r="AI11" s="928"/>
      <c r="AJ11" s="928"/>
      <c r="AK11" s="929"/>
      <c r="AL11" s="929"/>
      <c r="AM11" s="929"/>
      <c r="AN11" s="929"/>
      <c r="AO11" s="927" t="str" cm="1">
        <f t="array" ref="AO11">AO24</f>
        <v>Ссылка на правовую норму (основание для принятия показателя в расчет тарифа)</v>
      </c>
      <c r="AP11" s="927" t="str" cm="1">
        <f t="array" ref="AP11">AP24</f>
        <v>Комментарии</v>
      </c>
      <c r="AV11" s="566"/>
      <c r="AW11" s="566"/>
    </row>
    <row r="12" spans="1:49" s="1075" customFormat="1" ht="11.25" hidden="1" customHeight="1">
      <c r="A12" s="926" t="s">
        <v>329</v>
      </c>
      <c r="AC12" s="927" t="s">
        <v>316</v>
      </c>
      <c r="AD12" s="928"/>
      <c r="AE12" s="928"/>
      <c r="AF12" s="928"/>
      <c r="AG12" s="928"/>
      <c r="AH12" s="928"/>
      <c r="AI12" s="928"/>
      <c r="AJ12" s="928"/>
      <c r="AK12" s="929"/>
      <c r="AL12" s="929"/>
      <c r="AM12" s="929"/>
      <c r="AN12" s="929"/>
      <c r="AV12" s="566"/>
      <c r="AW12" s="566"/>
    </row>
    <row r="13" spans="1:49" ht="11.25" hidden="1" customHeight="1">
      <c r="AK13" s="456"/>
      <c r="AL13" s="456"/>
      <c r="AM13" s="456"/>
      <c r="AN13" s="456"/>
    </row>
    <row r="14" spans="1:49" ht="11.25" hidden="1" customHeight="1">
      <c r="AK14" s="1210"/>
      <c r="AL14" s="1210"/>
      <c r="AM14" s="1210"/>
      <c r="AN14" s="1210"/>
    </row>
    <row r="15" spans="1:49" ht="11.25" hidden="1" customHeight="1">
      <c r="AK15" s="1210"/>
      <c r="AL15" s="1210"/>
      <c r="AM15" s="1210"/>
      <c r="AN15" s="1210"/>
    </row>
    <row r="16" spans="1:49" ht="11.25" hidden="1" customHeight="1">
      <c r="AK16" s="1210"/>
      <c r="AL16" s="1210"/>
      <c r="AM16" s="1210"/>
      <c r="AN16" s="1210"/>
    </row>
    <row r="17" spans="1:49" ht="11.25" hidden="1" customHeight="1">
      <c r="AK17" s="1210"/>
      <c r="AL17" s="1210"/>
      <c r="AM17" s="1210"/>
      <c r="AN17" s="1210"/>
    </row>
    <row r="18" spans="1:49" ht="11.25" hidden="1" customHeight="1">
      <c r="AC18" s="404" t="s">
        <v>747</v>
      </c>
    </row>
    <row r="19" spans="1:49" ht="11.25" hidden="1" customHeight="1"/>
    <row r="20" spans="1:49" ht="11.25" hidden="1" customHeight="1"/>
    <row r="21" spans="1:49" ht="14.65" customHeight="1">
      <c r="E21" s="566">
        <v>15</v>
      </c>
      <c r="AA21" s="404"/>
      <c r="AC21" s="439" t="str" cm="1">
        <f t="array" ref="AC21">tpl_title</f>
        <v>Кемеровская область / 2026 / ОАО «СКЭК» (ИНН:4205153492, КПП:420501001) / ДПР: 2026-2026</v>
      </c>
    </row>
    <row r="22" spans="1:49" ht="19.5" customHeight="1">
      <c r="E22" s="566">
        <v>20</v>
      </c>
      <c r="AB22" s="1211" t="s">
        <v>47</v>
      </c>
      <c r="AC22" s="1212"/>
      <c r="AD22" s="1213"/>
      <c r="AE22" s="1213"/>
      <c r="AF22" s="1213"/>
      <c r="AG22" s="1213"/>
      <c r="AH22" s="1213"/>
      <c r="AI22" s="1213"/>
      <c r="AJ22" s="1213"/>
      <c r="AK22" s="457"/>
      <c r="AL22" s="457"/>
      <c r="AM22" s="457"/>
      <c r="AN22" s="457"/>
      <c r="AO22" s="1214"/>
      <c r="AP22" s="1214"/>
    </row>
    <row r="23" spans="1:49" ht="10.9" customHeight="1">
      <c r="E23" s="566">
        <v>11.25</v>
      </c>
      <c r="AB23" s="1772"/>
      <c r="AC23" s="1772"/>
      <c r="AD23" s="1772"/>
      <c r="AE23" s="1772"/>
      <c r="AF23" s="1772"/>
      <c r="AG23" s="1772"/>
      <c r="AH23" s="1772"/>
      <c r="AI23" s="1772"/>
      <c r="AJ23" s="1772"/>
      <c r="AK23" s="1772"/>
      <c r="AL23" s="1772"/>
      <c r="AM23" s="1772"/>
      <c r="AN23" s="440"/>
    </row>
    <row r="24" spans="1:49" ht="10.9" customHeight="1">
      <c r="E24" s="566">
        <v>11.25</v>
      </c>
      <c r="AB24" s="1758" t="s">
        <v>748</v>
      </c>
      <c r="AC24" s="1773" t="s">
        <v>749</v>
      </c>
      <c r="AD24" s="1773" t="s">
        <v>750</v>
      </c>
      <c r="AE24" s="1773" t="s">
        <v>751</v>
      </c>
      <c r="AF24" s="1773" t="s">
        <v>752</v>
      </c>
      <c r="AG24" s="1773" t="s">
        <v>753</v>
      </c>
      <c r="AH24" s="1773" t="s">
        <v>754</v>
      </c>
      <c r="AI24" s="1774" t="s">
        <v>755</v>
      </c>
      <c r="AJ24" s="1777" t="s">
        <v>756</v>
      </c>
      <c r="AK24" s="1778" t="s">
        <v>757</v>
      </c>
      <c r="AL24" s="1779"/>
      <c r="AM24" s="1779"/>
      <c r="AN24" s="1780"/>
      <c r="AO24" s="1781" t="s">
        <v>494</v>
      </c>
      <c r="AP24" s="1781" t="s">
        <v>361</v>
      </c>
    </row>
    <row r="25" spans="1:49" ht="14.65" customHeight="1">
      <c r="E25" s="566">
        <v>15</v>
      </c>
      <c r="AB25" s="1758"/>
      <c r="AC25" s="1773"/>
      <c r="AD25" s="1773"/>
      <c r="AE25" s="1773"/>
      <c r="AF25" s="1773"/>
      <c r="AG25" s="1773"/>
      <c r="AH25" s="1773"/>
      <c r="AI25" s="1775"/>
      <c r="AJ25" s="1777"/>
      <c r="AK25" s="1760" t="str">
        <f>god&amp;" год"</f>
        <v>2026 год</v>
      </c>
      <c r="AL25" s="1782"/>
      <c r="AM25" s="1782"/>
      <c r="AN25" s="1783"/>
      <c r="AO25" s="1781"/>
      <c r="AP25" s="1781"/>
    </row>
    <row r="26" spans="1:49" ht="48.75" customHeight="1">
      <c r="E26" s="566">
        <v>50</v>
      </c>
      <c r="AB26" s="1758"/>
      <c r="AC26" s="1773"/>
      <c r="AD26" s="1773"/>
      <c r="AE26" s="1773"/>
      <c r="AF26" s="1773"/>
      <c r="AG26" s="1773"/>
      <c r="AH26" s="1773"/>
      <c r="AI26" s="1775"/>
      <c r="AJ26" s="1777"/>
      <c r="AK26" s="1784" t="s">
        <v>353</v>
      </c>
      <c r="AL26" s="1784"/>
      <c r="AM26" s="1781" t="s">
        <v>352</v>
      </c>
      <c r="AN26" s="1781"/>
      <c r="AO26" s="1781"/>
      <c r="AP26" s="1781"/>
    </row>
    <row r="27" spans="1:49" ht="13.9" customHeight="1">
      <c r="E27" s="566">
        <v>14.25</v>
      </c>
      <c r="AB27" s="1758"/>
      <c r="AC27" s="1773"/>
      <c r="AD27" s="1773"/>
      <c r="AE27" s="1773"/>
      <c r="AF27" s="1773"/>
      <c r="AG27" s="1773"/>
      <c r="AH27" s="1773"/>
      <c r="AI27" s="1776"/>
      <c r="AJ27" s="1777"/>
      <c r="AK27" s="458" t="s">
        <v>378</v>
      </c>
      <c r="AL27" s="458" t="s">
        <v>758</v>
      </c>
      <c r="AM27" s="458" t="s">
        <v>378</v>
      </c>
      <c r="AN27" s="458" t="s">
        <v>758</v>
      </c>
      <c r="AO27" s="1781"/>
      <c r="AP27" s="1781"/>
    </row>
    <row r="28" spans="1:49" ht="11.25" hidden="1" customHeight="1">
      <c r="E28" s="566">
        <v>0</v>
      </c>
      <c r="AB28" s="640"/>
      <c r="AC28" s="1084"/>
      <c r="AD28" s="641"/>
      <c r="AE28" s="641"/>
      <c r="AF28" s="641"/>
      <c r="AG28" s="641"/>
      <c r="AH28" s="641"/>
      <c r="AI28" s="1085"/>
      <c r="AJ28" s="1086"/>
      <c r="AK28" s="634"/>
      <c r="AL28" s="634"/>
      <c r="AM28" s="634"/>
      <c r="AN28" s="634"/>
      <c r="AO28" s="634"/>
      <c r="AP28" s="634"/>
    </row>
    <row r="29" spans="1:49" ht="14.65" hidden="1" customHeight="1">
      <c r="E29" s="566">
        <v>15</v>
      </c>
      <c r="F29" s="1215" cm="1">
        <f t="array" ref="F29">X29</f>
        <v>0</v>
      </c>
      <c r="G29" s="404" t="s">
        <v>759</v>
      </c>
      <c r="T29" s="381" t="b">
        <f>X29&gt;0</f>
        <v>0</v>
      </c>
      <c r="V29" s="404" t="s">
        <v>270</v>
      </c>
      <c r="X29" s="1787">
        <v>0</v>
      </c>
      <c r="Z29" s="1788"/>
      <c r="AB29" s="1087" t="str" cm="1">
        <f t="array" ref="AB29">INDEX('Общие сведения'!$AG$179:$AG$208,MATCH($X29,'Общие сведения'!$Z$179:$Z$208,0))</f>
        <v xml:space="preserve">Тариф 0 () - </v>
      </c>
      <c r="AC29" s="1088"/>
      <c r="AD29" s="99"/>
      <c r="AE29" s="99"/>
      <c r="AF29" s="99"/>
      <c r="AG29" s="99"/>
      <c r="AH29" s="99"/>
      <c r="AI29" s="99"/>
      <c r="AJ29" s="99"/>
      <c r="AK29" s="1089">
        <f>SUM(AK30:AK31)</f>
        <v>0</v>
      </c>
      <c r="AL29" s="459">
        <f>SUM(AL30:AL31)</f>
        <v>0</v>
      </c>
      <c r="AM29" s="459">
        <f>SUM(AM30:AM31)</f>
        <v>0</v>
      </c>
      <c r="AN29" s="459">
        <f>SUM(AN30:AN31)</f>
        <v>0</v>
      </c>
      <c r="AO29" s="1088"/>
      <c r="AP29" s="1088"/>
    </row>
    <row r="30" spans="1:49" ht="14.65" hidden="1" customHeight="1">
      <c r="E30" s="566">
        <v>15</v>
      </c>
      <c r="F30" s="3" cm="1">
        <f t="array" aca="1" ref="F30" ca="1">OFFSET(E30,-1,1)</f>
        <v>0</v>
      </c>
      <c r="H30" s="404" cm="1">
        <f t="array" ref="H30">AB30</f>
        <v>0</v>
      </c>
      <c r="T30" s="381" t="b">
        <f ca="1">AND(F30&gt;0,AB30&gt;0)</f>
        <v>0</v>
      </c>
      <c r="W30" s="671" t="s">
        <v>173</v>
      </c>
      <c r="X30" s="1787"/>
      <c r="Z30" s="1788"/>
      <c r="AA30" s="1090" t="s">
        <v>174</v>
      </c>
      <c r="AB30" s="585">
        <v>0</v>
      </c>
      <c r="AC30" s="1382"/>
      <c r="AD30" s="1383"/>
      <c r="AE30" s="1383"/>
      <c r="AF30" s="1384"/>
      <c r="AG30" s="1385"/>
      <c r="AH30" s="1385"/>
      <c r="AI30" s="1386"/>
      <c r="AJ30" s="1091">
        <f>IF(AH30=0,0,AG30/AH30)</f>
        <v>0</v>
      </c>
      <c r="AK30" s="1387"/>
      <c r="AL30" s="1388">
        <f>AK30*$AJ30</f>
        <v>0</v>
      </c>
      <c r="AM30" s="1387"/>
      <c r="AN30" s="460">
        <f>AM30*$AJ30</f>
        <v>0</v>
      </c>
      <c r="AO30" s="1389"/>
      <c r="AP30" s="1389"/>
      <c r="AS30" s="927" t="s">
        <v>760</v>
      </c>
      <c r="AT30" s="927" t="s">
        <v>761</v>
      </c>
      <c r="AU30" s="927" cm="1">
        <f t="array" ref="AU30">AC30</f>
        <v>0</v>
      </c>
      <c r="AW30" s="566" t="b">
        <v>1</v>
      </c>
    </row>
    <row r="31" spans="1:49" ht="14.65" hidden="1" customHeight="1">
      <c r="C31" s="925"/>
      <c r="E31" s="566">
        <v>15</v>
      </c>
      <c r="F31" s="3" cm="1">
        <f t="array" aca="1" ref="F31" ca="1">OFFSET(E31,-1,1)</f>
        <v>0</v>
      </c>
      <c r="G31" s="925"/>
      <c r="H31" s="404" t="str">
        <f>"!= 0"</f>
        <v>!= 0</v>
      </c>
      <c r="T31" s="381" t="b" cm="1">
        <f t="array" ref="T31">T29</f>
        <v>0</v>
      </c>
      <c r="W31" s="671" t="s">
        <v>762</v>
      </c>
      <c r="X31" s="1787"/>
      <c r="Z31" s="1788"/>
      <c r="AB31" s="1092"/>
      <c r="AC31" s="1093" t="s">
        <v>177</v>
      </c>
      <c r="AD31" s="1216"/>
      <c r="AE31" s="1216"/>
      <c r="AF31" s="1216"/>
      <c r="AG31" s="1216"/>
      <c r="AH31" s="1216"/>
      <c r="AI31" s="1216"/>
      <c r="AJ31" s="1216"/>
      <c r="AK31" s="1216"/>
      <c r="AL31" s="1216"/>
      <c r="AM31" s="1216"/>
      <c r="AN31" s="1216"/>
      <c r="AO31" s="1311"/>
      <c r="AP31" s="1094"/>
      <c r="AV31" s="566" t="s">
        <v>761</v>
      </c>
    </row>
    <row r="32" spans="1:49" s="1327" customFormat="1" ht="14.25" customHeight="1">
      <c r="A32" s="923"/>
      <c r="B32" s="1121"/>
      <c r="C32" s="1121"/>
      <c r="D32" s="1121"/>
      <c r="E32" s="566">
        <v>15</v>
      </c>
      <c r="F32" s="1215" t="str" cm="1">
        <f t="array" ref="F32">X32</f>
        <v>1</v>
      </c>
      <c r="G32" s="404" t="s">
        <v>759</v>
      </c>
      <c r="H32" s="1121"/>
      <c r="I32" s="1121"/>
      <c r="J32" s="1121"/>
      <c r="K32" s="1121"/>
      <c r="L32" s="1121"/>
      <c r="M32" s="1121"/>
      <c r="N32" s="1121"/>
      <c r="O32" s="1121"/>
      <c r="P32" s="1121"/>
      <c r="Q32" s="1121"/>
      <c r="R32" s="1121"/>
      <c r="S32" s="1121"/>
      <c r="T32" s="381" t="b">
        <f>X32&gt;0</f>
        <v>1</v>
      </c>
      <c r="U32" s="1121"/>
      <c r="V32" s="404" t="str" cm="1">
        <f t="array" ref="V32">Баланс!$AB$118</f>
        <v>Тариф 1 (Водоснабжение) - тариф на питьевую воду</v>
      </c>
      <c r="W32" s="1121"/>
      <c r="X32" s="1787" t="s">
        <v>281</v>
      </c>
      <c r="Y32" s="1121"/>
      <c r="Z32" s="1788"/>
      <c r="AA32" s="1121"/>
      <c r="AB32" s="1087" t="str" cm="1">
        <f t="array" ref="AB32">Баланс!$AB$118</f>
        <v>Тариф 1 (Водоснабжение) - тариф на питьевую воду</v>
      </c>
      <c r="AC32" s="1088"/>
      <c r="AD32" s="99"/>
      <c r="AE32" s="99"/>
      <c r="AF32" s="99"/>
      <c r="AG32" s="99"/>
      <c r="AH32" s="99"/>
      <c r="AI32" s="99"/>
      <c r="AJ32" s="99"/>
      <c r="AK32" s="1089">
        <f>SUM(AK33:AK34)</f>
        <v>0</v>
      </c>
      <c r="AL32" s="459">
        <f>SUM(AL33:AL34)</f>
        <v>0</v>
      </c>
      <c r="AM32" s="459">
        <f>SUM(AM33:AM34)</f>
        <v>0</v>
      </c>
      <c r="AN32" s="459">
        <f>SUM(AN33:AN34)</f>
        <v>0</v>
      </c>
      <c r="AO32" s="1088"/>
      <c r="AP32" s="1088"/>
      <c r="AQ32" s="1121"/>
      <c r="AR32" s="1121"/>
      <c r="AS32" s="1075"/>
      <c r="AT32" s="1075"/>
      <c r="AU32" s="1075"/>
      <c r="AV32" s="1074"/>
      <c r="AW32" s="1074"/>
    </row>
    <row r="33" spans="1:49" s="1327" customFormat="1" ht="14.25" hidden="1" customHeight="1">
      <c r="A33" s="923"/>
      <c r="B33" s="1121"/>
      <c r="C33" s="1121"/>
      <c r="D33" s="1121"/>
      <c r="E33" s="566">
        <v>15</v>
      </c>
      <c r="F33" s="3" t="str" cm="1">
        <f t="array" aca="1" ref="F33" ca="1">OFFSET(E33,-1,1)</f>
        <v>1</v>
      </c>
      <c r="G33" s="1121"/>
      <c r="H33" s="404" cm="1">
        <f t="array" ref="H33">AB33</f>
        <v>0</v>
      </c>
      <c r="I33" s="1121"/>
      <c r="J33" s="1121"/>
      <c r="K33" s="1121"/>
      <c r="L33" s="1121"/>
      <c r="M33" s="1121"/>
      <c r="N33" s="1121"/>
      <c r="O33" s="1121"/>
      <c r="P33" s="1121"/>
      <c r="Q33" s="1121"/>
      <c r="R33" s="1121"/>
      <c r="S33" s="1121"/>
      <c r="T33" s="381" t="b">
        <f ca="1">AND(F33&gt;0,AB33&gt;0)</f>
        <v>0</v>
      </c>
      <c r="U33" s="1121"/>
      <c r="V33" s="1121"/>
      <c r="W33" s="671" t="s">
        <v>173</v>
      </c>
      <c r="X33" s="1787"/>
      <c r="Y33" s="1121"/>
      <c r="Z33" s="1788"/>
      <c r="AA33" s="1090" t="s">
        <v>174</v>
      </c>
      <c r="AB33" s="585">
        <v>0</v>
      </c>
      <c r="AC33" s="1382"/>
      <c r="AD33" s="1383"/>
      <c r="AE33" s="1383"/>
      <c r="AF33" s="1384"/>
      <c r="AG33" s="1385"/>
      <c r="AH33" s="1385"/>
      <c r="AI33" s="1386"/>
      <c r="AJ33" s="1091">
        <f>IF(AH33=0,0,AG33/AH33)</f>
        <v>0</v>
      </c>
      <c r="AK33" s="1387"/>
      <c r="AL33" s="1388">
        <f>AK33*$AJ33</f>
        <v>0</v>
      </c>
      <c r="AM33" s="1387"/>
      <c r="AN33" s="460">
        <f>AM33*$AJ33</f>
        <v>0</v>
      </c>
      <c r="AO33" s="1389"/>
      <c r="AP33" s="1389"/>
      <c r="AQ33" s="1121"/>
      <c r="AR33" s="1121"/>
      <c r="AS33" s="927" t="s">
        <v>760</v>
      </c>
      <c r="AT33" s="927" t="s">
        <v>761</v>
      </c>
      <c r="AU33" s="927" cm="1">
        <f t="array" ref="AU33">AC33</f>
        <v>0</v>
      </c>
      <c r="AV33" s="1074"/>
      <c r="AW33" s="566" t="b">
        <v>1</v>
      </c>
    </row>
    <row r="34" spans="1:49" s="1327" customFormat="1" ht="14.25" customHeight="1">
      <c r="A34" s="923"/>
      <c r="B34" s="1121"/>
      <c r="C34" s="925"/>
      <c r="D34" s="1121"/>
      <c r="E34" s="566">
        <v>15</v>
      </c>
      <c r="F34" s="3" t="str" cm="1">
        <f t="array" aca="1" ref="F34" ca="1">OFFSET(E34,-1,1)</f>
        <v>1</v>
      </c>
      <c r="G34" s="925"/>
      <c r="H34" s="404" t="str">
        <f>"!= 0"</f>
        <v>!= 0</v>
      </c>
      <c r="I34" s="1121"/>
      <c r="J34" s="1121"/>
      <c r="K34" s="1121"/>
      <c r="L34" s="1121"/>
      <c r="M34" s="1121"/>
      <c r="N34" s="1121"/>
      <c r="O34" s="1121"/>
      <c r="P34" s="1121"/>
      <c r="Q34" s="1121"/>
      <c r="R34" s="1121"/>
      <c r="S34" s="1121"/>
      <c r="T34" s="381" t="b" cm="1">
        <f t="array" ref="T34">T32</f>
        <v>1</v>
      </c>
      <c r="U34" s="1121"/>
      <c r="V34" s="1121"/>
      <c r="W34" s="671" t="s">
        <v>762</v>
      </c>
      <c r="X34" s="1787"/>
      <c r="Y34" s="1121"/>
      <c r="Z34" s="1788"/>
      <c r="AA34" s="1121"/>
      <c r="AB34" s="1092"/>
      <c r="AC34" s="1093" t="s">
        <v>177</v>
      </c>
      <c r="AD34" s="1216"/>
      <c r="AE34" s="1216"/>
      <c r="AF34" s="1216"/>
      <c r="AG34" s="1216"/>
      <c r="AH34" s="1216"/>
      <c r="AI34" s="1216"/>
      <c r="AJ34" s="1216"/>
      <c r="AK34" s="1216"/>
      <c r="AL34" s="1216"/>
      <c r="AM34" s="1216"/>
      <c r="AN34" s="1216"/>
      <c r="AO34" s="1311"/>
      <c r="AP34" s="1094"/>
      <c r="AQ34" s="1121"/>
      <c r="AR34" s="1121"/>
      <c r="AS34" s="1075"/>
      <c r="AT34" s="1075"/>
      <c r="AU34" s="1075"/>
      <c r="AV34" s="566" t="s">
        <v>761</v>
      </c>
      <c r="AW34" s="1074"/>
    </row>
    <row r="35" spans="1:49" ht="10.9" customHeight="1">
      <c r="E35" s="566">
        <v>11.25</v>
      </c>
      <c r="U35" s="1095" t="s">
        <v>177</v>
      </c>
      <c r="V35" s="1096" t="s">
        <v>763</v>
      </c>
      <c r="AB35" s="451"/>
      <c r="AC35" s="452"/>
      <c r="AD35" s="451"/>
      <c r="AE35" s="451"/>
      <c r="AF35" s="451"/>
      <c r="AG35" s="451"/>
      <c r="AH35" s="451"/>
      <c r="AI35" s="451"/>
      <c r="AJ35" s="451"/>
      <c r="AK35" s="453"/>
      <c r="AL35" s="453"/>
    </row>
    <row r="36" spans="1:49" s="1207" customFormat="1" ht="14.65" customHeight="1">
      <c r="A36" s="924"/>
      <c r="E36" s="567">
        <v>15</v>
      </c>
      <c r="AB36" s="1758" t="s">
        <v>394</v>
      </c>
      <c r="AC36" s="1758"/>
      <c r="AD36" s="1758"/>
      <c r="AE36" s="1758"/>
      <c r="AF36" s="1758"/>
      <c r="AG36" s="1758"/>
      <c r="AH36" s="1758"/>
      <c r="AI36" s="1758"/>
      <c r="AJ36" s="1758"/>
      <c r="AK36" s="1789"/>
      <c r="AL36" s="1789"/>
      <c r="AM36" s="1789"/>
      <c r="AN36" s="1789"/>
      <c r="AO36" s="1789"/>
      <c r="AP36" s="1789"/>
      <c r="AS36" s="929"/>
      <c r="AT36" s="929"/>
      <c r="AU36" s="929"/>
      <c r="AV36" s="567"/>
      <c r="AW36" s="567"/>
    </row>
    <row r="37" spans="1:49" s="1207" customFormat="1" ht="14.65" customHeight="1">
      <c r="A37" s="924"/>
      <c r="E37" s="567">
        <v>15</v>
      </c>
      <c r="AA37" s="1217"/>
      <c r="AB37" s="1790"/>
      <c r="AC37" s="1790"/>
      <c r="AD37" s="1790"/>
      <c r="AE37" s="1790"/>
      <c r="AF37" s="1790"/>
      <c r="AG37" s="1790"/>
      <c r="AH37" s="1790"/>
      <c r="AI37" s="1790"/>
      <c r="AJ37" s="1790"/>
      <c r="AK37" s="1791"/>
      <c r="AL37" s="1791"/>
      <c r="AM37" s="1791"/>
      <c r="AN37" s="1791"/>
      <c r="AO37" s="1791"/>
      <c r="AP37" s="1791"/>
      <c r="AS37" s="929"/>
      <c r="AT37" s="929"/>
      <c r="AU37" s="929"/>
      <c r="AV37" s="567"/>
      <c r="AW37" s="567"/>
    </row>
    <row r="38" spans="1:49" s="1207" customFormat="1" ht="14.65" hidden="1" customHeight="1">
      <c r="A38" s="924"/>
      <c r="E38" s="567">
        <v>15</v>
      </c>
      <c r="T38" s="381" t="b">
        <f>ROW(Y38)&gt;ROW(Y$38)</f>
        <v>0</v>
      </c>
      <c r="W38" s="671" t="s">
        <v>173</v>
      </c>
      <c r="AA38" s="1097" t="s">
        <v>174</v>
      </c>
      <c r="AB38" s="1785"/>
      <c r="AC38" s="1746"/>
      <c r="AD38" s="1746"/>
      <c r="AE38" s="1746"/>
      <c r="AF38" s="1746"/>
      <c r="AG38" s="1746"/>
      <c r="AH38" s="1746"/>
      <c r="AI38" s="1746"/>
      <c r="AJ38" s="1746"/>
      <c r="AK38" s="1746"/>
      <c r="AL38" s="1746"/>
      <c r="AM38" s="1746"/>
      <c r="AN38" s="1746"/>
      <c r="AO38" s="1746"/>
      <c r="AP38" s="1786"/>
      <c r="AS38" s="929"/>
      <c r="AT38" s="929"/>
      <c r="AU38" s="929"/>
      <c r="AV38" s="567"/>
      <c r="AW38" s="567"/>
    </row>
    <row r="39" spans="1:49" s="1207" customFormat="1" ht="14.65" customHeight="1">
      <c r="A39" s="924"/>
      <c r="E39" s="567">
        <v>15</v>
      </c>
      <c r="W39" s="671" t="s">
        <v>395</v>
      </c>
      <c r="AB39" s="1218"/>
      <c r="AC39" s="1219" t="s">
        <v>396</v>
      </c>
      <c r="AD39" s="1220"/>
      <c r="AE39" s="1220"/>
      <c r="AF39" s="1220"/>
      <c r="AG39" s="1220"/>
      <c r="AH39" s="1220"/>
      <c r="AI39" s="1220"/>
      <c r="AJ39" s="1220"/>
      <c r="AK39" s="1221"/>
      <c r="AL39" s="1221"/>
      <c r="AM39" s="1221"/>
      <c r="AN39" s="1221"/>
      <c r="AO39" s="1312"/>
      <c r="AP39" s="1222"/>
      <c r="AS39" s="929"/>
      <c r="AT39" s="929"/>
      <c r="AU39" s="929"/>
      <c r="AV39" s="567"/>
      <c r="AW39" s="567"/>
    </row>
    <row r="40" spans="1:49" ht="10.7" customHeight="1">
      <c r="E40" s="566">
        <v>11</v>
      </c>
      <c r="AC40" s="454"/>
      <c r="AQ40" s="404"/>
    </row>
  </sheetData>
  <sheetProtection formatColumns="0" formatRows="0" insertRows="0" deleteColumns="0" deleteRows="0" sort="0" autoFilter="0"/>
  <mergeCells count="23">
    <mergeCell ref="AB38:AP38"/>
    <mergeCell ref="X29:X31"/>
    <mergeCell ref="Z29:Z31"/>
    <mergeCell ref="AB36:AP36"/>
    <mergeCell ref="AB37:AP37"/>
    <mergeCell ref="X32:X34"/>
    <mergeCell ref="Z32:Z34"/>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s>
  <dataValidations count="7">
    <dataValidation type="decimal" allowBlank="1" showErrorMessage="1" errorTitle="Ошибка" error="Допускается ввод только неотрицательных чисел!" sqref="AH29 AM30 AK30 AG30:AH30 AH32 AG33 AH33 AK33 AM33">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formula1>material_list</formula1>
    </dataValidation>
    <dataValidation type="list" allowBlank="1" showInputMessage="1" showErrorMessage="1" errorTitle="Ошибка" error="Выберите значение из списка" prompt="Выберите значение из списка" sqref="AC30">
      <formula1>diametr_list</formula1>
    </dataValidation>
    <dataValidation type="list" allowBlank="1" showInputMessage="1" showErrorMessage="1" errorTitle="Ошибка" error="Выберите значение из списка" prompt="Выберите значение из списка" sqref="AI30 AI33">
      <formula1>ist_info_build_list</formula1>
    </dataValidation>
    <dataValidation type="whole" allowBlank="1" showErrorMessage="1" errorTitle="Ошибка" error="Допускается ввод только неотрицательных целых чисел!" sqref="AF30 AF33">
      <formula1>0</formula1>
      <formula2>9.99999999999999E+23</formula2>
    </dataValidation>
    <dataValidation type="list" allowBlank="1" showInputMessage="1" showErrorMessage="1" errorTitle="Ошибка" error="Выберите значение из списка" sqref="AC33">
      <formula1>diametr_list_vs</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41"/>
  <sheetViews>
    <sheetView showGridLines="0" workbookViewId="0">
      <pane xSplit="30" ySplit="25" topLeftCell="AE31"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3" width="6.28515625" style="1207" hidden="1" customWidth="1"/>
    <col min="4" max="4" width="6.140625" style="1207" hidden="1" customWidth="1"/>
    <col min="5" max="5" width="3.5703125" style="1208" hidden="1" customWidth="1"/>
    <col min="6" max="10" width="3.5703125" style="1207" hidden="1" customWidth="1"/>
    <col min="11" max="11" width="7.42578125" style="1207" hidden="1" customWidth="1"/>
    <col min="12" max="12" width="6.7109375" style="1207" hidden="1" customWidth="1"/>
    <col min="13" max="19" width="3.5703125" style="1207" hidden="1" customWidth="1"/>
    <col min="20" max="20" width="10" style="1207" hidden="1" customWidth="1"/>
    <col min="21" max="26" width="6.85546875" style="1207" hidden="1" customWidth="1"/>
    <col min="27" max="27" width="3" style="1207" customWidth="1"/>
    <col min="28" max="28" width="9.7109375" style="1207" customWidth="1"/>
    <col min="29" max="29" width="20" style="1207" customWidth="1"/>
    <col min="30" max="30" width="8.5703125" style="1207" customWidth="1"/>
    <col min="31" max="35" width="12.5703125" style="1207" customWidth="1"/>
    <col min="36" max="44" width="12.5703125" style="1207" hidden="1" customWidth="1"/>
    <col min="45" max="45" width="12.5703125" style="1207" customWidth="1"/>
    <col min="46" max="54" width="12.5703125" style="1207" hidden="1" customWidth="1"/>
    <col min="55" max="55" width="20" style="1207" customWidth="1"/>
    <col min="56" max="56" width="3" style="1207" customWidth="1"/>
    <col min="57" max="57" width="9.140625" style="1207" hidden="1"/>
    <col min="58" max="60" width="9.140625" style="1209" hidden="1"/>
    <col min="61" max="62" width="9.140625" style="1208" hidden="1"/>
  </cols>
  <sheetData>
    <row r="1" spans="1:62" ht="11.25" hidden="1" customHeight="1">
      <c r="E1" s="17"/>
      <c r="F1" s="17" t="s">
        <v>311</v>
      </c>
      <c r="G1" s="17" t="s">
        <v>322</v>
      </c>
      <c r="H1" s="17" t="s">
        <v>347</v>
      </c>
      <c r="T1" s="381" t="s">
        <v>92</v>
      </c>
      <c r="U1" s="381" t="s">
        <v>97</v>
      </c>
      <c r="V1" s="381" t="s">
        <v>93</v>
      </c>
      <c r="W1" s="381" t="s">
        <v>94</v>
      </c>
      <c r="X1" s="381" t="s">
        <v>95</v>
      </c>
      <c r="Z1" s="381" t="s">
        <v>99</v>
      </c>
      <c r="AA1" s="383" t="s">
        <v>96</v>
      </c>
      <c r="AB1" s="383" t="s">
        <v>313</v>
      </c>
      <c r="AC1" s="382" t="s">
        <v>98</v>
      </c>
      <c r="BF1" s="917" t="s">
        <v>314</v>
      </c>
      <c r="BG1" s="917" t="s">
        <v>315</v>
      </c>
      <c r="BH1" s="917" t="s">
        <v>316</v>
      </c>
      <c r="BI1" s="549" t="s">
        <v>319</v>
      </c>
      <c r="BJ1" s="549" t="s">
        <v>320</v>
      </c>
    </row>
    <row r="2" spans="1:62" s="1076" customFormat="1" ht="11.25" hidden="1" customHeight="1">
      <c r="B2" s="362" t="s">
        <v>18</v>
      </c>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18"/>
      <c r="BG2" s="918"/>
      <c r="BH2" s="918"/>
      <c r="BI2" s="931"/>
      <c r="BJ2" s="931"/>
    </row>
    <row r="3" spans="1:62" ht="11.25" hidden="1" customHeight="1">
      <c r="E3" s="17"/>
    </row>
    <row r="4" spans="1:62" ht="11.25" hidden="1" customHeight="1">
      <c r="E4" s="17"/>
    </row>
    <row r="5" spans="1:62" s="1208" customFormat="1" ht="11.25" hidden="1" customHeight="1">
      <c r="A5" s="17"/>
      <c r="B5" s="344"/>
      <c r="C5" s="17"/>
      <c r="D5" s="17"/>
      <c r="E5" s="549" t="s">
        <v>19</v>
      </c>
      <c r="AA5" s="549">
        <v>3</v>
      </c>
      <c r="AB5" s="549">
        <v>9.7100000000000009</v>
      </c>
      <c r="AC5" s="549">
        <v>20</v>
      </c>
      <c r="AD5" s="549">
        <v>8.57</v>
      </c>
      <c r="AE5" s="549">
        <v>12.57</v>
      </c>
      <c r="AF5" s="549">
        <v>12.57</v>
      </c>
      <c r="AG5" s="549">
        <v>12.57</v>
      </c>
      <c r="AH5" s="549">
        <v>12.57</v>
      </c>
      <c r="AI5" s="549">
        <v>12.57</v>
      </c>
      <c r="AJ5" s="549">
        <v>12.57</v>
      </c>
      <c r="AK5" s="549">
        <v>12.57</v>
      </c>
      <c r="AL5" s="549">
        <v>12.57</v>
      </c>
      <c r="AM5" s="549">
        <v>12.57</v>
      </c>
      <c r="AN5" s="549">
        <v>12.57</v>
      </c>
      <c r="AO5" s="549">
        <v>12.57</v>
      </c>
      <c r="AP5" s="549">
        <v>12.57</v>
      </c>
      <c r="AQ5" s="549">
        <v>12.57</v>
      </c>
      <c r="AR5" s="549">
        <v>12.57</v>
      </c>
      <c r="AS5" s="549">
        <v>12.57</v>
      </c>
      <c r="AT5" s="549">
        <v>12.57</v>
      </c>
      <c r="AU5" s="549">
        <v>12.57</v>
      </c>
      <c r="AV5" s="549">
        <v>12.57</v>
      </c>
      <c r="AW5" s="549">
        <v>12.57</v>
      </c>
      <c r="AX5" s="549">
        <v>12.57</v>
      </c>
      <c r="AY5" s="549">
        <v>12.57</v>
      </c>
      <c r="AZ5" s="549">
        <v>12.57</v>
      </c>
      <c r="BA5" s="549">
        <v>12.57</v>
      </c>
      <c r="BB5" s="549">
        <v>12.57</v>
      </c>
      <c r="BC5" s="549">
        <v>20</v>
      </c>
      <c r="BD5" s="549">
        <v>3</v>
      </c>
      <c r="BF5" s="917"/>
      <c r="BG5" s="917"/>
      <c r="BH5" s="917"/>
    </row>
    <row r="6" spans="1:62" ht="11.25" hidden="1" customHeight="1">
      <c r="A6" s="17" t="s">
        <v>350</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351</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row r="9" spans="1:62" s="1209" customFormat="1" ht="11.25" hidden="1" customHeight="1">
      <c r="A9" s="917" t="s">
        <v>355</v>
      </c>
      <c r="B9" s="918"/>
      <c r="AE9" s="917" cm="1">
        <f t="array" ref="AE9">AE6</f>
        <v>2024</v>
      </c>
      <c r="AF9" s="917" cm="1">
        <f t="array" ref="AF9">AF6</f>
        <v>2024</v>
      </c>
      <c r="AG9" s="917" cm="1">
        <f t="array" ref="AG9">AG6</f>
        <v>2024</v>
      </c>
      <c r="AH9" s="917" cm="1">
        <f t="array" ref="AH9">AH6</f>
        <v>2025</v>
      </c>
      <c r="AI9" s="917" cm="1">
        <f t="array" ref="AI9">AI6</f>
        <v>2026</v>
      </c>
      <c r="AJ9" s="917" cm="1">
        <f t="array" ref="AJ9">AJ6</f>
        <v>2027</v>
      </c>
      <c r="AK9" s="917" cm="1">
        <f t="array" ref="AK9">AK6</f>
        <v>2028</v>
      </c>
      <c r="AL9" s="917" cm="1">
        <f t="array" ref="AL9">AL6</f>
        <v>2029</v>
      </c>
      <c r="AM9" s="917" cm="1">
        <f t="array" ref="AM9">AM6</f>
        <v>2030</v>
      </c>
      <c r="AN9" s="917" cm="1">
        <f t="array" ref="AN9">AN6</f>
        <v>2031</v>
      </c>
      <c r="AO9" s="917" cm="1">
        <f t="array" ref="AO9">AO6</f>
        <v>2032</v>
      </c>
      <c r="AP9" s="917" cm="1">
        <f t="array" ref="AP9">AP6</f>
        <v>2033</v>
      </c>
      <c r="AQ9" s="917" cm="1">
        <f t="array" ref="AQ9">AQ6</f>
        <v>2034</v>
      </c>
      <c r="AR9" s="917" cm="1">
        <f t="array" ref="AR9">AR6</f>
        <v>2035</v>
      </c>
      <c r="AS9" s="917" cm="1">
        <f t="array" ref="AS9">AS6</f>
        <v>2026</v>
      </c>
      <c r="AT9" s="917" cm="1">
        <f t="array" ref="AT9">AT6</f>
        <v>2027</v>
      </c>
      <c r="AU9" s="917" cm="1">
        <f t="array" ref="AU9">AU6</f>
        <v>2028</v>
      </c>
      <c r="AV9" s="917" cm="1">
        <f t="array" ref="AV9">AV6</f>
        <v>2029</v>
      </c>
      <c r="AW9" s="917" cm="1">
        <f t="array" ref="AW9">AW6</f>
        <v>2030</v>
      </c>
      <c r="AX9" s="917" cm="1">
        <f t="array" ref="AX9">AX6</f>
        <v>2031</v>
      </c>
      <c r="AY9" s="917" cm="1">
        <f t="array" ref="AY9">AY6</f>
        <v>2032</v>
      </c>
      <c r="AZ9" s="917" cm="1">
        <f t="array" ref="AZ9">AZ6</f>
        <v>2033</v>
      </c>
      <c r="BA9" s="917" cm="1">
        <f t="array" ref="BA9">BA6</f>
        <v>2034</v>
      </c>
      <c r="BB9" s="917" cm="1">
        <f t="array" ref="BB9">BB6</f>
        <v>2035</v>
      </c>
      <c r="BI9" s="549"/>
      <c r="BJ9" s="549"/>
    </row>
    <row r="10" spans="1:62" s="1209" customFormat="1" ht="11.25" hidden="1" customHeight="1">
      <c r="A10" s="917" t="s">
        <v>356</v>
      </c>
      <c r="B10" s="918"/>
      <c r="AE10" s="917" t="str" cm="1">
        <f t="array" ref="AE10">AE25</f>
        <v>Принято органом регулирования</v>
      </c>
      <c r="AF10" s="917" t="str" cm="1">
        <f t="array" ref="AF10">AF25</f>
        <v>Факт по данным организации</v>
      </c>
      <c r="AG10" s="917" t="str" cm="1">
        <f t="array" ref="AG10">AG25</f>
        <v>Факт, принятый органом регулирования</v>
      </c>
      <c r="AH10" s="917" t="str" cm="1">
        <f t="array" ref="AH10">AH25</f>
        <v>Принято органом регулирования</v>
      </c>
      <c r="AI10" s="917" t="str" cm="1">
        <f t="array" ref="AI10">AI25</f>
        <v>Предложение организации</v>
      </c>
      <c r="AJ10" s="917" t="str" cm="1">
        <f t="array" ref="AJ10">AJ25</f>
        <v>Предложение организации</v>
      </c>
      <c r="AK10" s="917" t="str" cm="1">
        <f t="array" ref="AK10">AK25</f>
        <v>Предложение организации</v>
      </c>
      <c r="AL10" s="917" t="str" cm="1">
        <f t="array" ref="AL10">AL25</f>
        <v>Предложение организации</v>
      </c>
      <c r="AM10" s="917" t="str" cm="1">
        <f t="array" ref="AM10">AM25</f>
        <v>Предложение организации</v>
      </c>
      <c r="AN10" s="917" t="str" cm="1">
        <f t="array" ref="AN10">AN25</f>
        <v>Предложение организации</v>
      </c>
      <c r="AO10" s="917" t="str" cm="1">
        <f t="array" ref="AO10">AO25</f>
        <v>Предложение организации</v>
      </c>
      <c r="AP10" s="917" t="str" cm="1">
        <f t="array" ref="AP10">AP25</f>
        <v>Предложение организации</v>
      </c>
      <c r="AQ10" s="917" t="str" cm="1">
        <f t="array" ref="AQ10">AQ25</f>
        <v>Предложение организации</v>
      </c>
      <c r="AR10" s="917" t="str" cm="1">
        <f t="array" ref="AR10">AR25</f>
        <v>Предложение организации</v>
      </c>
      <c r="AS10" s="917" t="str" cm="1">
        <f t="array" ref="AS10">AS25</f>
        <v>Принято органом регулирования</v>
      </c>
      <c r="AT10" s="917" t="str" cm="1">
        <f t="array" ref="AT10">AT25</f>
        <v>Принято органом регулирования</v>
      </c>
      <c r="AU10" s="917" t="str" cm="1">
        <f t="array" ref="AU10">AU25</f>
        <v>Принято органом регулирования</v>
      </c>
      <c r="AV10" s="917" t="str" cm="1">
        <f t="array" ref="AV10">AV25</f>
        <v>Принято органом регулирования</v>
      </c>
      <c r="AW10" s="917" t="str" cm="1">
        <f t="array" ref="AW10">AW25</f>
        <v>Принято органом регулирования</v>
      </c>
      <c r="AX10" s="917" t="str" cm="1">
        <f t="array" ref="AX10">AX25</f>
        <v>Принято органом регулирования</v>
      </c>
      <c r="AY10" s="917" t="str" cm="1">
        <f t="array" ref="AY10">AY25</f>
        <v>Принято органом регулирования</v>
      </c>
      <c r="AZ10" s="917" t="str" cm="1">
        <f t="array" ref="AZ10">AZ25</f>
        <v>Принято органом регулирования</v>
      </c>
      <c r="BA10" s="917" t="str" cm="1">
        <f t="array" ref="BA10">BA25</f>
        <v>Принято органом регулирования</v>
      </c>
      <c r="BB10" s="917" t="str" cm="1">
        <f t="array" ref="BB10">BB25</f>
        <v>Принято органом регулирования</v>
      </c>
      <c r="BI10" s="549"/>
      <c r="BJ10" s="549"/>
    </row>
    <row r="11" spans="1:62" s="1209" customFormat="1" ht="11.25" hidden="1" customHeight="1">
      <c r="A11" s="917" t="s">
        <v>357</v>
      </c>
      <c r="B11" s="918"/>
      <c r="BC11" s="917" t="str" cm="1">
        <f t="array" ref="BC11">BC24</f>
        <v>Ссылка на правовую норму (основание для принятия показателя в расчет тарифа)</v>
      </c>
      <c r="BI11" s="549"/>
      <c r="BJ11" s="549"/>
    </row>
    <row r="12" spans="1:62" s="1209" customFormat="1" ht="11.25" hidden="1" customHeight="1">
      <c r="A12" s="917" t="s">
        <v>329</v>
      </c>
      <c r="B12" s="918"/>
      <c r="AC12" s="917" t="s">
        <v>316</v>
      </c>
      <c r="BI12" s="549"/>
      <c r="BJ12" s="549"/>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358</v>
      </c>
      <c r="AC18" s="17" t="s">
        <v>194</v>
      </c>
    </row>
    <row r="19" spans="1:62" ht="11.25" hidden="1" customHeight="1"/>
    <row r="20" spans="1:62" ht="11.25" hidden="1" customHeight="1"/>
    <row r="21" spans="1:62" ht="14.65" customHeight="1">
      <c r="E21" s="549">
        <v>15</v>
      </c>
      <c r="AA21" s="574"/>
      <c r="AC21" s="3" t="str" cm="1">
        <f t="array" ref="AC21">tpl_title</f>
        <v>Кемеровская область / 2026 / ОАО «СКЭК» (ИНН:4205153492, КПП:420501001) / ДПР: 2026-2026</v>
      </c>
    </row>
    <row r="22" spans="1:62" s="1242" customFormat="1" ht="14.65" customHeight="1">
      <c r="B22" s="344"/>
      <c r="E22" s="550">
        <v>15</v>
      </c>
      <c r="AB22" s="232" t="s">
        <v>764</v>
      </c>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F22" s="920"/>
      <c r="BG22" s="920"/>
      <c r="BH22" s="920"/>
      <c r="BI22" s="550"/>
      <c r="BJ22" s="550"/>
    </row>
    <row r="23" spans="1:62" s="1242" customFormat="1" ht="10.9" customHeight="1">
      <c r="B23" s="344"/>
      <c r="E23" s="550">
        <v>11.25</v>
      </c>
      <c r="AB23" s="119"/>
      <c r="AC23" s="119"/>
      <c r="AD23" s="119"/>
      <c r="AE23" s="120"/>
      <c r="AF23" s="120"/>
      <c r="AG23" s="120"/>
      <c r="AH23" s="120"/>
      <c r="AI23" s="119"/>
      <c r="AJ23" s="119"/>
      <c r="AK23" s="119"/>
      <c r="AL23" s="119"/>
      <c r="AM23" s="119"/>
      <c r="AN23" s="119"/>
      <c r="AO23" s="119"/>
      <c r="AP23" s="119"/>
      <c r="AQ23" s="119"/>
      <c r="AR23" s="119"/>
      <c r="AS23" s="119"/>
      <c r="AT23" s="119"/>
      <c r="AU23" s="119"/>
      <c r="AV23" s="119"/>
      <c r="AW23" s="119"/>
      <c r="AX23" s="119"/>
      <c r="AY23" s="119"/>
      <c r="AZ23" s="119"/>
      <c r="BA23" s="119"/>
      <c r="BB23" s="119"/>
      <c r="BC23" s="119"/>
      <c r="BF23" s="920"/>
      <c r="BG23" s="920"/>
      <c r="BH23" s="920"/>
      <c r="BI23" s="550"/>
      <c r="BJ23" s="550"/>
    </row>
    <row r="24" spans="1:62" s="1079" customFormat="1" ht="14.65" customHeight="1">
      <c r="B24" s="346"/>
      <c r="E24" s="547">
        <v>15</v>
      </c>
      <c r="AB24" s="1792" t="s">
        <v>21</v>
      </c>
      <c r="AC24" s="1792" t="s">
        <v>359</v>
      </c>
      <c r="AD24" s="1792" t="s">
        <v>360</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59" t="s">
        <v>494</v>
      </c>
      <c r="BF24" s="915"/>
      <c r="BG24" s="915"/>
      <c r="BH24" s="915"/>
      <c r="BI24" s="547"/>
      <c r="BJ24" s="547"/>
    </row>
    <row r="25" spans="1:62" s="1079" customFormat="1" ht="48.75" customHeight="1">
      <c r="B25" s="346"/>
      <c r="E25" s="547">
        <v>50</v>
      </c>
      <c r="F25" s="63" t="s">
        <v>362</v>
      </c>
      <c r="AB25" s="1792"/>
      <c r="AC25" s="1792"/>
      <c r="AD25" s="1792"/>
      <c r="AE25" s="11" t="s">
        <v>352</v>
      </c>
      <c r="AF25" s="1019" t="s">
        <v>417</v>
      </c>
      <c r="AG25" s="11" t="s">
        <v>418</v>
      </c>
      <c r="AH25" s="11" t="s">
        <v>352</v>
      </c>
      <c r="AI25" s="1023" t="s">
        <v>353</v>
      </c>
      <c r="AJ25" s="1023" t="s">
        <v>353</v>
      </c>
      <c r="AK25" s="1023" t="s">
        <v>353</v>
      </c>
      <c r="AL25" s="1023" t="s">
        <v>353</v>
      </c>
      <c r="AM25" s="1023" t="s">
        <v>353</v>
      </c>
      <c r="AN25" s="1023" t="s">
        <v>353</v>
      </c>
      <c r="AO25" s="1023" t="s">
        <v>353</v>
      </c>
      <c r="AP25" s="1023" t="s">
        <v>353</v>
      </c>
      <c r="AQ25" s="1023" t="s">
        <v>353</v>
      </c>
      <c r="AR25" s="1023" t="s">
        <v>353</v>
      </c>
      <c r="AS25" s="272" t="s">
        <v>352</v>
      </c>
      <c r="AT25" s="272" t="s">
        <v>352</v>
      </c>
      <c r="AU25" s="272" t="s">
        <v>352</v>
      </c>
      <c r="AV25" s="272" t="s">
        <v>352</v>
      </c>
      <c r="AW25" s="272" t="s">
        <v>352</v>
      </c>
      <c r="AX25" s="272" t="s">
        <v>352</v>
      </c>
      <c r="AY25" s="272" t="s">
        <v>352</v>
      </c>
      <c r="AZ25" s="272" t="s">
        <v>352</v>
      </c>
      <c r="BA25" s="272" t="s">
        <v>352</v>
      </c>
      <c r="BB25" s="272" t="s">
        <v>352</v>
      </c>
      <c r="BC25" s="1759"/>
      <c r="BF25" s="915"/>
      <c r="BG25" s="915"/>
      <c r="BH25" s="915"/>
      <c r="BI25" s="547"/>
      <c r="BJ25" s="547"/>
    </row>
    <row r="26" spans="1:62" s="1327" customFormat="1" ht="11.25" hidden="1" customHeight="1">
      <c r="A26" s="415"/>
      <c r="B26" s="575"/>
      <c r="C26" s="415"/>
      <c r="D26" s="415"/>
      <c r="E26" s="576">
        <v>0</v>
      </c>
      <c r="F26" s="398"/>
      <c r="G26" s="415"/>
      <c r="H26" s="415"/>
      <c r="I26" s="415"/>
      <c r="J26" s="415"/>
      <c r="K26" s="415"/>
      <c r="L26" s="415"/>
      <c r="M26" s="415"/>
      <c r="N26" s="415"/>
      <c r="O26" s="415"/>
      <c r="P26" s="415"/>
      <c r="Q26" s="415"/>
      <c r="R26" s="415"/>
      <c r="S26" s="415"/>
      <c r="T26" s="415"/>
      <c r="U26" s="415"/>
      <c r="V26" s="415"/>
      <c r="W26" s="415"/>
      <c r="X26" s="415"/>
      <c r="Y26" s="415"/>
      <c r="Z26" s="415"/>
      <c r="AA26" s="415"/>
      <c r="AC26" s="19"/>
      <c r="AD26" s="19"/>
      <c r="AE26" s="19"/>
      <c r="AF26" s="19"/>
      <c r="AQ26" s="20"/>
      <c r="BF26" s="906"/>
      <c r="BG26" s="906"/>
      <c r="BH26" s="906"/>
      <c r="BI26" s="541"/>
      <c r="BJ26" s="541"/>
    </row>
    <row r="27" spans="1:62" s="1079" customFormat="1" ht="14.65" hidden="1" customHeight="1">
      <c r="B27" s="346"/>
      <c r="E27" s="547">
        <v>15</v>
      </c>
      <c r="F27" s="261" cm="1">
        <f t="array" ref="F27">X27</f>
        <v>0</v>
      </c>
      <c r="G27" s="65"/>
      <c r="H27" s="65"/>
      <c r="T27" s="381" t="b">
        <f>X27&gt;0</f>
        <v>0</v>
      </c>
      <c r="V27" s="63" t="s">
        <v>270</v>
      </c>
      <c r="X27" s="1732">
        <v>0</v>
      </c>
      <c r="Z27" s="1757"/>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15"/>
      <c r="BG27" s="915"/>
      <c r="BH27" s="915"/>
      <c r="BI27" s="547"/>
      <c r="BJ27" s="547"/>
    </row>
    <row r="28" spans="1:62" s="1325" customFormat="1" ht="14.65" hidden="1" customHeight="1">
      <c r="B28" s="346"/>
      <c r="D28" s="399"/>
      <c r="E28" s="183">
        <v>15</v>
      </c>
      <c r="F28" s="3" cm="1">
        <f t="array" aca="1" ref="F28" ca="1">OFFSET(E28,-1,1)</f>
        <v>0</v>
      </c>
      <c r="H28" s="65" t="str" cm="1">
        <f t="array" ref="H28">AC28</f>
        <v>Всего по тарифу</v>
      </c>
      <c r="K28" s="399" t="str">
        <f ca="1">F28&amp;"komm"</f>
        <v>0komm</v>
      </c>
      <c r="L28" s="823" cm="1">
        <f t="array" ref="L28">BC28</f>
        <v>0</v>
      </c>
      <c r="T28" s="381" t="b" cm="1">
        <f t="array" ref="T28">T27</f>
        <v>0</v>
      </c>
      <c r="X28" s="1732"/>
      <c r="Z28" s="1757"/>
      <c r="AB28" s="64"/>
      <c r="AC28" s="57" t="s">
        <v>765</v>
      </c>
      <c r="AD28" s="12" t="s">
        <v>766</v>
      </c>
      <c r="AE28" s="61">
        <f t="shared" ref="AE28:BB28" si="1">SUM(AE29:AE30)</f>
        <v>0</v>
      </c>
      <c r="AF28" s="61">
        <f t="shared" si="1"/>
        <v>0</v>
      </c>
      <c r="AG28" s="61">
        <f t="shared" si="1"/>
        <v>0</v>
      </c>
      <c r="AH28" s="61">
        <f t="shared" si="1"/>
        <v>0</v>
      </c>
      <c r="AI28" s="61">
        <f t="shared" si="1"/>
        <v>0</v>
      </c>
      <c r="AJ28" s="61">
        <f t="shared" si="1"/>
        <v>0</v>
      </c>
      <c r="AK28" s="61">
        <f t="shared" si="1"/>
        <v>0</v>
      </c>
      <c r="AL28" s="61">
        <f t="shared" si="1"/>
        <v>0</v>
      </c>
      <c r="AM28" s="61">
        <f t="shared" si="1"/>
        <v>0</v>
      </c>
      <c r="AN28" s="61">
        <f t="shared" si="1"/>
        <v>0</v>
      </c>
      <c r="AO28" s="61">
        <f t="shared" si="1"/>
        <v>0</v>
      </c>
      <c r="AP28" s="61">
        <f t="shared" si="1"/>
        <v>0</v>
      </c>
      <c r="AQ28" s="61">
        <f t="shared" si="1"/>
        <v>0</v>
      </c>
      <c r="AR28" s="61">
        <f t="shared" si="1"/>
        <v>0</v>
      </c>
      <c r="AS28" s="61">
        <f t="shared" si="1"/>
        <v>0</v>
      </c>
      <c r="AT28" s="61">
        <f t="shared" si="1"/>
        <v>0</v>
      </c>
      <c r="AU28" s="61">
        <f t="shared" si="1"/>
        <v>0</v>
      </c>
      <c r="AV28" s="61">
        <f t="shared" si="1"/>
        <v>0</v>
      </c>
      <c r="AW28" s="61">
        <f t="shared" si="1"/>
        <v>0</v>
      </c>
      <c r="AX28" s="61">
        <f t="shared" si="1"/>
        <v>0</v>
      </c>
      <c r="AY28" s="61">
        <f t="shared" si="1"/>
        <v>0</v>
      </c>
      <c r="AZ28" s="61">
        <f t="shared" si="1"/>
        <v>0</v>
      </c>
      <c r="BA28" s="61">
        <f t="shared" si="1"/>
        <v>0</v>
      </c>
      <c r="BB28" s="61">
        <f t="shared" si="1"/>
        <v>0</v>
      </c>
      <c r="BC28" s="1361"/>
      <c r="BF28" s="932" t="s">
        <v>767</v>
      </c>
      <c r="BG28" s="932"/>
      <c r="BH28" s="932"/>
      <c r="BI28" s="183"/>
      <c r="BJ28" s="183"/>
    </row>
    <row r="29" spans="1:62" s="1325" customFormat="1" ht="14.65" hidden="1" customHeight="1">
      <c r="B29" s="346"/>
      <c r="E29" s="183">
        <v>15</v>
      </c>
      <c r="F29" s="3" cm="1">
        <f t="array" aca="1" ref="F29" ca="1">OFFSET(E29,-1,1)</f>
        <v>0</v>
      </c>
      <c r="G29" s="65" t="s">
        <v>323</v>
      </c>
      <c r="H29" s="65" cm="1">
        <f t="array" ref="H29">AC29</f>
        <v>0</v>
      </c>
      <c r="T29" s="381" t="b">
        <f ca="1">AND(F29&gt;0,AB29&gt;0)</f>
        <v>0</v>
      </c>
      <c r="W29" s="671" t="s">
        <v>173</v>
      </c>
      <c r="X29" s="1732"/>
      <c r="Z29" s="1757"/>
      <c r="AA29" s="579" t="s">
        <v>174</v>
      </c>
      <c r="AB29" s="8">
        <v>0</v>
      </c>
      <c r="AC29" s="1390"/>
      <c r="AD29" s="12" t="s">
        <v>766</v>
      </c>
      <c r="AE29" s="1354"/>
      <c r="AF29" s="1354"/>
      <c r="AG29" s="1354"/>
      <c r="AH29" s="1354"/>
      <c r="AI29" s="60"/>
      <c r="AJ29" s="1354"/>
      <c r="AK29" s="1354"/>
      <c r="AL29" s="1354"/>
      <c r="AM29" s="1354"/>
      <c r="AN29" s="1354"/>
      <c r="AO29" s="1354"/>
      <c r="AP29" s="1354"/>
      <c r="AQ29" s="1354"/>
      <c r="AR29" s="1354"/>
      <c r="AS29" s="60"/>
      <c r="AT29" s="1354"/>
      <c r="AU29" s="1354"/>
      <c r="AV29" s="1354"/>
      <c r="AW29" s="1354"/>
      <c r="AX29" s="1354"/>
      <c r="AY29" s="1354"/>
      <c r="AZ29" s="1354"/>
      <c r="BA29" s="1354"/>
      <c r="BB29" s="1354"/>
      <c r="BC29" s="1361"/>
      <c r="BF29" s="932" t="s">
        <v>768</v>
      </c>
      <c r="BG29" s="932" t="s">
        <v>769</v>
      </c>
      <c r="BH29" s="932" cm="1">
        <f t="array" ref="BH29">AC29</f>
        <v>0</v>
      </c>
      <c r="BI29" s="183"/>
      <c r="BJ29" s="183" t="b">
        <v>1</v>
      </c>
    </row>
    <row r="30" spans="1:62" s="1242" customFormat="1" ht="14.65" hidden="1" customHeight="1">
      <c r="B30" s="344"/>
      <c r="E30" s="550">
        <v>15</v>
      </c>
      <c r="F30" s="3" cm="1">
        <f t="array" aca="1" ref="F30" ca="1">OFFSET(E30,-1,1)</f>
        <v>0</v>
      </c>
      <c r="H30" s="62" t="str">
        <f>"!== 'Всего по тарифу'"</f>
        <v>!== 'Всего по тарифу'</v>
      </c>
      <c r="T30" s="381" t="b" cm="1">
        <f t="array" ref="T30">T27</f>
        <v>0</v>
      </c>
      <c r="W30" s="671" t="s">
        <v>770</v>
      </c>
      <c r="X30" s="1732"/>
      <c r="Z30" s="1757"/>
      <c r="AB30" s="94"/>
      <c r="AC30" s="97" t="s">
        <v>177</v>
      </c>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106"/>
      <c r="BF30" s="920"/>
      <c r="BG30" s="920"/>
      <c r="BH30" s="920"/>
      <c r="BI30" s="550" t="s">
        <v>769</v>
      </c>
      <c r="BJ30" s="550"/>
    </row>
    <row r="31" spans="1:62" s="1391" customFormat="1" ht="14.25" customHeight="1">
      <c r="A31" s="1079"/>
      <c r="B31" s="346"/>
      <c r="C31" s="1079"/>
      <c r="D31" s="1079"/>
      <c r="E31" s="547">
        <v>15</v>
      </c>
      <c r="F31" s="261" t="str" cm="1">
        <f t="array" ref="F31">X31</f>
        <v>1</v>
      </c>
      <c r="G31" s="65"/>
      <c r="H31" s="65"/>
      <c r="I31" s="1079"/>
      <c r="J31" s="1079"/>
      <c r="K31" s="1079"/>
      <c r="L31" s="1079"/>
      <c r="M31" s="1079"/>
      <c r="N31" s="1079"/>
      <c r="O31" s="1079"/>
      <c r="P31" s="1079"/>
      <c r="Q31" s="1079"/>
      <c r="R31" s="1079"/>
      <c r="S31" s="1079"/>
      <c r="T31" s="381" t="b">
        <f>X31&gt;0</f>
        <v>1</v>
      </c>
      <c r="U31" s="1079"/>
      <c r="V31" s="63" t="str" cm="1">
        <f t="array" ref="V31">'Условные метры'!$AB$32</f>
        <v>Тариф 1 (Водоснабжение) - тариф на питьевую воду</v>
      </c>
      <c r="W31" s="1079"/>
      <c r="X31" s="1732" t="s">
        <v>281</v>
      </c>
      <c r="Y31" s="1079"/>
      <c r="Z31" s="1757"/>
      <c r="AA31" s="1079"/>
      <c r="AB31" s="102" t="str" cm="1">
        <f t="array" ref="AB31">'Условные метры'!$AB$32</f>
        <v>Тариф 1 (Водоснабжение) - тариф на питьевую воду</v>
      </c>
      <c r="AC31" s="99"/>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1079"/>
      <c r="BE31" s="1079"/>
      <c r="BF31" s="915"/>
      <c r="BG31" s="915"/>
      <c r="BH31" s="915"/>
      <c r="BI31" s="547"/>
      <c r="BJ31" s="547"/>
    </row>
    <row r="32" spans="1:62" s="1081" customFormat="1" ht="14.25" customHeight="1">
      <c r="A32" s="1325"/>
      <c r="B32" s="346"/>
      <c r="C32" s="1325"/>
      <c r="D32" s="399"/>
      <c r="E32" s="183">
        <v>15</v>
      </c>
      <c r="F32" s="3" t="str" cm="1">
        <f t="array" aca="1" ref="F32" ca="1">OFFSET(E32,-1,1)</f>
        <v>1</v>
      </c>
      <c r="G32" s="1325"/>
      <c r="H32" s="65" t="str" cm="1">
        <f t="array" ref="H32">AC32</f>
        <v>Всего по тарифу</v>
      </c>
      <c r="I32" s="1325"/>
      <c r="J32" s="1325"/>
      <c r="K32" s="399" t="str">
        <f ca="1">F32&amp;"komm"</f>
        <v>1komm</v>
      </c>
      <c r="L32" s="823" cm="1">
        <f t="array" ref="L32">BC32</f>
        <v>0</v>
      </c>
      <c r="M32" s="1325"/>
      <c r="N32" s="1325"/>
      <c r="O32" s="1325"/>
      <c r="P32" s="1325"/>
      <c r="Q32" s="1325"/>
      <c r="R32" s="1325"/>
      <c r="S32" s="1325"/>
      <c r="T32" s="381" t="b" cm="1">
        <f t="array" ref="T32">T31</f>
        <v>1</v>
      </c>
      <c r="U32" s="1325"/>
      <c r="V32" s="1325"/>
      <c r="W32" s="1325"/>
      <c r="X32" s="1732"/>
      <c r="Y32" s="1325"/>
      <c r="Z32" s="1757"/>
      <c r="AA32" s="1325"/>
      <c r="AB32" s="64"/>
      <c r="AC32" s="57" t="s">
        <v>765</v>
      </c>
      <c r="AD32" s="12" t="s">
        <v>766</v>
      </c>
      <c r="AE32" s="61">
        <f t="shared" ref="AE32:BB32" si="2">SUM(AE33:AE34)</f>
        <v>0</v>
      </c>
      <c r="AF32" s="61">
        <f t="shared" si="2"/>
        <v>0</v>
      </c>
      <c r="AG32" s="61">
        <f t="shared" si="2"/>
        <v>0</v>
      </c>
      <c r="AH32" s="61">
        <f t="shared" si="2"/>
        <v>0</v>
      </c>
      <c r="AI32" s="61">
        <f t="shared" si="2"/>
        <v>0</v>
      </c>
      <c r="AJ32" s="61">
        <f t="shared" si="2"/>
        <v>0</v>
      </c>
      <c r="AK32" s="61">
        <f t="shared" si="2"/>
        <v>0</v>
      </c>
      <c r="AL32" s="61">
        <f t="shared" si="2"/>
        <v>0</v>
      </c>
      <c r="AM32" s="61">
        <f t="shared" si="2"/>
        <v>0</v>
      </c>
      <c r="AN32" s="61">
        <f t="shared" si="2"/>
        <v>0</v>
      </c>
      <c r="AO32" s="61">
        <f t="shared" si="2"/>
        <v>0</v>
      </c>
      <c r="AP32" s="61">
        <f t="shared" si="2"/>
        <v>0</v>
      </c>
      <c r="AQ32" s="61">
        <f t="shared" si="2"/>
        <v>0</v>
      </c>
      <c r="AR32" s="61">
        <f t="shared" si="2"/>
        <v>0</v>
      </c>
      <c r="AS32" s="61">
        <f t="shared" si="2"/>
        <v>0</v>
      </c>
      <c r="AT32" s="61">
        <f t="shared" si="2"/>
        <v>0</v>
      </c>
      <c r="AU32" s="61">
        <f t="shared" si="2"/>
        <v>0</v>
      </c>
      <c r="AV32" s="61">
        <f t="shared" si="2"/>
        <v>0</v>
      </c>
      <c r="AW32" s="61">
        <f t="shared" si="2"/>
        <v>0</v>
      </c>
      <c r="AX32" s="61">
        <f t="shared" si="2"/>
        <v>0</v>
      </c>
      <c r="AY32" s="61">
        <f t="shared" si="2"/>
        <v>0</v>
      </c>
      <c r="AZ32" s="61">
        <f t="shared" si="2"/>
        <v>0</v>
      </c>
      <c r="BA32" s="61">
        <f t="shared" si="2"/>
        <v>0</v>
      </c>
      <c r="BB32" s="61">
        <f t="shared" si="2"/>
        <v>0</v>
      </c>
      <c r="BC32" s="118"/>
      <c r="BD32" s="1325"/>
      <c r="BE32" s="1325"/>
      <c r="BF32" s="932" t="s">
        <v>767</v>
      </c>
      <c r="BG32" s="932"/>
      <c r="BH32" s="932"/>
      <c r="BI32" s="183"/>
      <c r="BJ32" s="183"/>
    </row>
    <row r="33" spans="1:62" s="1081" customFormat="1" ht="14.25" hidden="1" customHeight="1">
      <c r="A33" s="1325"/>
      <c r="B33" s="346"/>
      <c r="C33" s="1325"/>
      <c r="D33" s="1325"/>
      <c r="E33" s="183">
        <v>15</v>
      </c>
      <c r="F33" s="3" t="str" cm="1">
        <f t="array" aca="1" ref="F33" ca="1">OFFSET(E33,-1,1)</f>
        <v>1</v>
      </c>
      <c r="G33" s="65" t="s">
        <v>323</v>
      </c>
      <c r="H33" s="65" cm="1">
        <f t="array" ref="H33">AC33</f>
        <v>0</v>
      </c>
      <c r="I33" s="1325"/>
      <c r="J33" s="1325"/>
      <c r="K33" s="1325"/>
      <c r="L33" s="1325"/>
      <c r="M33" s="1325"/>
      <c r="N33" s="1325"/>
      <c r="O33" s="1325"/>
      <c r="P33" s="1325"/>
      <c r="Q33" s="1325"/>
      <c r="R33" s="1325"/>
      <c r="S33" s="1325"/>
      <c r="T33" s="381" t="b">
        <f ca="1">AND(F33&gt;0,AB33&gt;0)</f>
        <v>0</v>
      </c>
      <c r="U33" s="1325"/>
      <c r="V33" s="1325"/>
      <c r="W33" s="671" t="s">
        <v>173</v>
      </c>
      <c r="X33" s="1732"/>
      <c r="Y33" s="1325"/>
      <c r="Z33" s="1757"/>
      <c r="AA33" s="579" t="s">
        <v>174</v>
      </c>
      <c r="AB33" s="8">
        <v>0</v>
      </c>
      <c r="AC33" s="1390"/>
      <c r="AD33" s="12" t="s">
        <v>766</v>
      </c>
      <c r="AE33" s="1354"/>
      <c r="AF33" s="1354"/>
      <c r="AG33" s="1354"/>
      <c r="AH33" s="1354"/>
      <c r="AI33" s="60"/>
      <c r="AJ33" s="1354"/>
      <c r="AK33" s="1354"/>
      <c r="AL33" s="1354"/>
      <c r="AM33" s="1354"/>
      <c r="AN33" s="1354"/>
      <c r="AO33" s="1354"/>
      <c r="AP33" s="1354"/>
      <c r="AQ33" s="1354"/>
      <c r="AR33" s="1354"/>
      <c r="AS33" s="60"/>
      <c r="AT33" s="1354"/>
      <c r="AU33" s="1354"/>
      <c r="AV33" s="1354"/>
      <c r="AW33" s="1354"/>
      <c r="AX33" s="1354"/>
      <c r="AY33" s="1354"/>
      <c r="AZ33" s="1354"/>
      <c r="BA33" s="1354"/>
      <c r="BB33" s="1354"/>
      <c r="BC33" s="1361"/>
      <c r="BD33" s="1325"/>
      <c r="BE33" s="1325"/>
      <c r="BF33" s="932" t="s">
        <v>768</v>
      </c>
      <c r="BG33" s="932" t="s">
        <v>769</v>
      </c>
      <c r="BH33" s="932" cm="1">
        <f t="array" ref="BH33">AC33</f>
        <v>0</v>
      </c>
      <c r="BI33" s="183"/>
      <c r="BJ33" s="183" t="b">
        <v>1</v>
      </c>
    </row>
    <row r="34" spans="1:62" s="1242" customFormat="1" ht="14.25" customHeight="1">
      <c r="B34" s="344"/>
      <c r="E34" s="550">
        <v>15</v>
      </c>
      <c r="F34" s="3" t="str" cm="1">
        <f t="array" aca="1" ref="F34" ca="1">OFFSET(E34,-1,1)</f>
        <v>1</v>
      </c>
      <c r="H34" s="62" t="str">
        <f>"!== 'Всего по тарифу'"</f>
        <v>!== 'Всего по тарифу'</v>
      </c>
      <c r="T34" s="381" t="b" cm="1">
        <f t="array" ref="T34">T31</f>
        <v>1</v>
      </c>
      <c r="W34" s="671" t="s">
        <v>770</v>
      </c>
      <c r="X34" s="1732"/>
      <c r="Z34" s="1757"/>
      <c r="AB34" s="94"/>
      <c r="AC34" s="97" t="s">
        <v>177</v>
      </c>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106"/>
      <c r="BF34" s="920"/>
      <c r="BG34" s="920"/>
      <c r="BH34" s="920"/>
      <c r="BI34" s="550" t="s">
        <v>769</v>
      </c>
      <c r="BJ34" s="550"/>
    </row>
    <row r="35" spans="1:62" s="1327" customFormat="1" ht="10.9" customHeight="1">
      <c r="A35" s="415"/>
      <c r="B35" s="575"/>
      <c r="C35" s="415"/>
      <c r="D35" s="415"/>
      <c r="E35" s="576">
        <v>11.25</v>
      </c>
      <c r="F35" s="398"/>
      <c r="G35" s="415"/>
      <c r="H35" s="415"/>
      <c r="I35" s="415"/>
      <c r="J35" s="415"/>
      <c r="K35" s="415"/>
      <c r="L35" s="415"/>
      <c r="M35" s="415"/>
      <c r="N35" s="415"/>
      <c r="O35" s="415"/>
      <c r="P35" s="415"/>
      <c r="Q35" s="415"/>
      <c r="R35" s="415"/>
      <c r="S35" s="415"/>
      <c r="T35" s="415"/>
      <c r="U35" s="332" t="s">
        <v>177</v>
      </c>
      <c r="V35" s="59" t="s">
        <v>771</v>
      </c>
      <c r="W35" s="415"/>
      <c r="X35" s="415"/>
      <c r="Y35" s="415"/>
      <c r="Z35" s="415"/>
      <c r="AA35" s="415"/>
      <c r="AC35" s="19"/>
      <c r="AD35" s="19"/>
      <c r="AE35" s="19"/>
      <c r="AF35" s="19"/>
      <c r="AQ35" s="20"/>
      <c r="BF35" s="906"/>
      <c r="BG35" s="906"/>
      <c r="BH35" s="906"/>
      <c r="BI35" s="541"/>
      <c r="BJ35" s="541"/>
    </row>
    <row r="36" spans="1:62" ht="10.9" customHeight="1">
      <c r="E36" s="549">
        <v>11.25</v>
      </c>
    </row>
    <row r="37" spans="1:62" ht="14.65" customHeight="1">
      <c r="E37" s="549">
        <v>15</v>
      </c>
      <c r="AB37" s="1758" t="s">
        <v>394</v>
      </c>
      <c r="AC37" s="1758"/>
      <c r="AD37" s="1758"/>
      <c r="AE37" s="1758"/>
      <c r="AF37" s="1758"/>
      <c r="AG37" s="1758"/>
      <c r="AH37" s="1758"/>
      <c r="AI37" s="1789"/>
      <c r="AJ37" s="1789"/>
      <c r="AK37" s="1789"/>
      <c r="AL37" s="1789"/>
      <c r="AM37" s="1789"/>
      <c r="AN37" s="1789"/>
      <c r="AO37" s="1789"/>
      <c r="AP37" s="1789"/>
      <c r="AQ37" s="1789"/>
      <c r="AR37" s="1789"/>
      <c r="AS37" s="1789"/>
      <c r="AT37" s="1789"/>
      <c r="AU37" s="1789"/>
      <c r="AV37" s="1789"/>
      <c r="AW37" s="1789"/>
      <c r="AX37" s="1789"/>
      <c r="AY37" s="1789"/>
      <c r="AZ37" s="1789"/>
      <c r="BA37" s="1789"/>
      <c r="BB37" s="1789"/>
      <c r="BC37" s="1789"/>
    </row>
    <row r="38" spans="1:62" ht="14.65" customHeight="1">
      <c r="E38" s="549">
        <v>15</v>
      </c>
      <c r="AB38" s="1797" t="s">
        <v>231</v>
      </c>
      <c r="AC38" s="1795"/>
      <c r="AD38" s="1795"/>
      <c r="AE38" s="1795"/>
      <c r="AF38" s="1795"/>
      <c r="AG38" s="1795"/>
      <c r="AH38" s="1795"/>
      <c r="AI38" s="1795"/>
      <c r="AJ38" s="1794"/>
      <c r="AK38" s="1794"/>
      <c r="AL38" s="1794"/>
      <c r="AM38" s="1794"/>
      <c r="AN38" s="1794"/>
      <c r="AO38" s="1794"/>
      <c r="AP38" s="1794"/>
      <c r="AQ38" s="1794"/>
      <c r="AR38" s="1794"/>
      <c r="AS38" s="1795"/>
      <c r="AT38" s="1794"/>
      <c r="AU38" s="1794"/>
      <c r="AV38" s="1794"/>
      <c r="AW38" s="1794"/>
      <c r="AX38" s="1794"/>
      <c r="AY38" s="1794"/>
      <c r="AZ38" s="1794"/>
      <c r="BA38" s="1794"/>
      <c r="BB38" s="1794"/>
      <c r="BC38" s="1798"/>
    </row>
    <row r="39" spans="1:62" ht="14.65" hidden="1" customHeight="1">
      <c r="E39" s="549">
        <v>15</v>
      </c>
      <c r="T39" s="381" t="b">
        <f>ROW(W39)&gt;ROW(W$39)</f>
        <v>0</v>
      </c>
      <c r="W39" s="671" t="s">
        <v>173</v>
      </c>
      <c r="AA39" s="579" t="s">
        <v>174</v>
      </c>
      <c r="AB39" s="1793" t="s">
        <v>231</v>
      </c>
      <c r="AC39" s="1794"/>
      <c r="AD39" s="1794"/>
      <c r="AE39" s="1794"/>
      <c r="AF39" s="1794"/>
      <c r="AG39" s="1794"/>
      <c r="AH39" s="1794"/>
      <c r="AI39" s="1795"/>
      <c r="AJ39" s="1794"/>
      <c r="AK39" s="1794"/>
      <c r="AL39" s="1794"/>
      <c r="AM39" s="1794"/>
      <c r="AN39" s="1794"/>
      <c r="AO39" s="1794"/>
      <c r="AP39" s="1794"/>
      <c r="AQ39" s="1794"/>
      <c r="AR39" s="1794"/>
      <c r="AS39" s="1795"/>
      <c r="AT39" s="1794"/>
      <c r="AU39" s="1794"/>
      <c r="AV39" s="1794"/>
      <c r="AW39" s="1794"/>
      <c r="AX39" s="1794"/>
      <c r="AY39" s="1794"/>
      <c r="AZ39" s="1794"/>
      <c r="BA39" s="1794"/>
      <c r="BB39" s="1794"/>
      <c r="BC39" s="1796"/>
    </row>
    <row r="40" spans="1:62" ht="14.65" customHeight="1">
      <c r="E40" s="549">
        <v>15</v>
      </c>
      <c r="W40" s="671" t="s">
        <v>395</v>
      </c>
      <c r="AB40" s="564"/>
      <c r="AC40" s="430" t="s">
        <v>396</v>
      </c>
      <c r="AD40" s="224"/>
      <c r="AE40" s="224"/>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6"/>
    </row>
    <row r="41" spans="1:62" ht="10.7" customHeight="1">
      <c r="E41" s="549">
        <v>11</v>
      </c>
      <c r="BD41" s="17"/>
    </row>
  </sheetData>
  <sheetProtection formatColumns="0" formatRows="0" insertRows="0" deleteColumns="0" deleteRows="0" sort="0" autoFilter="0"/>
  <mergeCells count="11">
    <mergeCell ref="AB39:BC39"/>
    <mergeCell ref="AB38:BC38"/>
    <mergeCell ref="X31:X34"/>
    <mergeCell ref="Z31:Z34"/>
    <mergeCell ref="X27:X30"/>
    <mergeCell ref="Z27:Z30"/>
    <mergeCell ref="AB37:BC37"/>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 AF33 AG33 AH33 AI33 AJ33 AK33 AL33 AM33 AN33 AO33 AP33 AQ33 AR33 AS33 AT33 AU33 AV33 AW33 AX33 AY33 AZ33 BA33 BB33">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72"/>
  <sheetViews>
    <sheetView showGridLines="0" workbookViewId="0">
      <pane xSplit="30" ySplit="25" topLeftCell="AE4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7" hidden="1" customWidth="1"/>
    <col min="2" max="2" width="4.42578125" style="1076" hidden="1" customWidth="1"/>
    <col min="3" max="3" width="6.7109375" style="1215" hidden="1" customWidth="1"/>
    <col min="4" max="4" width="4.5703125" style="1207" hidden="1" customWidth="1"/>
    <col min="5" max="5" width="3.5703125" style="1208" hidden="1" customWidth="1"/>
    <col min="6" max="6" width="8.140625" style="1207" hidden="1" customWidth="1"/>
    <col min="7" max="10" width="3.5703125" style="1207" hidden="1" customWidth="1"/>
    <col min="11" max="11" width="5.85546875" style="1207" hidden="1" customWidth="1"/>
    <col min="12" max="19" width="3.5703125" style="1207" hidden="1" customWidth="1"/>
    <col min="20" max="20" width="10.28515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35" style="1207" customWidth="1"/>
    <col min="30" max="30" width="12.5703125" style="1207" customWidth="1"/>
    <col min="31" max="31" width="14.5703125" style="1207" customWidth="1"/>
    <col min="32" max="32" width="12.5703125" style="1207" customWidth="1"/>
    <col min="33" max="33" width="15" style="1207" customWidth="1"/>
    <col min="34" max="34" width="16" style="1207" customWidth="1"/>
    <col min="35" max="35" width="12.5703125" style="1207" customWidth="1"/>
    <col min="36" max="44" width="12.5703125" style="1207" hidden="1" customWidth="1"/>
    <col min="45" max="45" width="15.42578125" style="1207" customWidth="1"/>
    <col min="46" max="54" width="15.42578125" style="1207" hidden="1" customWidth="1"/>
    <col min="55" max="55" width="20" style="1207" customWidth="1"/>
    <col min="56" max="56" width="3" style="1207" customWidth="1"/>
    <col min="57" max="57" width="9.140625" style="1207" hidden="1"/>
    <col min="58" max="60" width="9.140625" style="1209" hidden="1"/>
    <col min="61" max="62" width="9.140625" style="1208" hidden="1"/>
  </cols>
  <sheetData>
    <row r="1" spans="1:62" ht="11.25" hidden="1" customHeight="1">
      <c r="E1" s="17"/>
      <c r="F1" s="17" t="s">
        <v>311</v>
      </c>
      <c r="G1" s="17" t="s">
        <v>322</v>
      </c>
      <c r="H1" s="17" t="s">
        <v>347</v>
      </c>
      <c r="T1" s="381" t="s">
        <v>92</v>
      </c>
      <c r="U1" s="381" t="s">
        <v>97</v>
      </c>
      <c r="V1" s="381" t="s">
        <v>93</v>
      </c>
      <c r="W1" s="381" t="s">
        <v>94</v>
      </c>
      <c r="X1" s="381" t="s">
        <v>95</v>
      </c>
      <c r="Y1" s="383" t="s">
        <v>313</v>
      </c>
      <c r="Z1" s="381" t="s">
        <v>99</v>
      </c>
      <c r="AA1" s="383" t="s">
        <v>96</v>
      </c>
      <c r="AB1" s="437"/>
      <c r="AC1" s="382" t="s">
        <v>98</v>
      </c>
      <c r="BF1" s="917" t="s">
        <v>314</v>
      </c>
      <c r="BG1" s="917" t="s">
        <v>315</v>
      </c>
      <c r="BH1" s="917" t="s">
        <v>316</v>
      </c>
      <c r="BI1" s="549" t="s">
        <v>319</v>
      </c>
      <c r="BJ1" s="549" t="s">
        <v>320</v>
      </c>
    </row>
    <row r="2" spans="1:62" s="1076" customFormat="1" ht="11.25" hidden="1" customHeight="1">
      <c r="B2" s="362" t="s">
        <v>18</v>
      </c>
      <c r="C2" s="401"/>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18"/>
      <c r="BG2" s="918"/>
      <c r="BH2" s="918"/>
      <c r="BI2" s="931"/>
      <c r="BJ2" s="931"/>
    </row>
    <row r="3" spans="1:62" ht="11.25" hidden="1" customHeight="1">
      <c r="E3" s="17"/>
    </row>
    <row r="4" spans="1:62" ht="11.25" hidden="1" customHeight="1">
      <c r="E4" s="17"/>
    </row>
    <row r="5" spans="1:62" s="1208" customFormat="1" ht="11.25" hidden="1" customHeight="1">
      <c r="A5" s="17"/>
      <c r="B5" s="344"/>
      <c r="C5" s="400"/>
      <c r="D5" s="17"/>
      <c r="E5" s="549" t="s">
        <v>19</v>
      </c>
      <c r="AA5" s="549">
        <v>3</v>
      </c>
      <c r="AB5" s="549">
        <v>11</v>
      </c>
      <c r="AC5" s="549">
        <v>35</v>
      </c>
      <c r="AD5" s="549">
        <v>12.57</v>
      </c>
      <c r="AE5" s="549">
        <v>14.57</v>
      </c>
      <c r="AF5" s="549">
        <v>12.57</v>
      </c>
      <c r="AG5" s="549">
        <v>15</v>
      </c>
      <c r="AH5" s="549">
        <v>16</v>
      </c>
      <c r="AI5" s="549">
        <v>12.57</v>
      </c>
      <c r="AJ5" s="549">
        <v>12.57</v>
      </c>
      <c r="AK5" s="549">
        <v>12.57</v>
      </c>
      <c r="AL5" s="549">
        <v>12.57</v>
      </c>
      <c r="AM5" s="549">
        <v>12.57</v>
      </c>
      <c r="AN5" s="549">
        <v>12.57</v>
      </c>
      <c r="AO5" s="549">
        <v>12.57</v>
      </c>
      <c r="AP5" s="549">
        <v>12.57</v>
      </c>
      <c r="AQ5" s="549">
        <v>12.57</v>
      </c>
      <c r="AR5" s="549">
        <v>12.57</v>
      </c>
      <c r="AS5" s="549">
        <v>15.43</v>
      </c>
      <c r="AT5" s="549">
        <v>15.43</v>
      </c>
      <c r="AU5" s="549">
        <v>15.43</v>
      </c>
      <c r="AV5" s="549">
        <v>15.43</v>
      </c>
      <c r="AW5" s="549">
        <v>15.43</v>
      </c>
      <c r="AX5" s="549">
        <v>15.43</v>
      </c>
      <c r="AY5" s="549">
        <v>15.43</v>
      </c>
      <c r="AZ5" s="549">
        <v>15.43</v>
      </c>
      <c r="BA5" s="549">
        <v>15.43</v>
      </c>
      <c r="BB5" s="549">
        <v>15.43</v>
      </c>
      <c r="BC5" s="549">
        <v>20</v>
      </c>
      <c r="BD5" s="549">
        <v>3</v>
      </c>
      <c r="BF5" s="917"/>
      <c r="BG5" s="917"/>
      <c r="BH5" s="917"/>
    </row>
    <row r="6" spans="1:62" ht="11.25" hidden="1" customHeight="1">
      <c r="A6" s="17" t="s">
        <v>350</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351</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1209" customFormat="1" ht="11.25" hidden="1" customHeight="1">
      <c r="A9" s="917" t="s">
        <v>355</v>
      </c>
      <c r="B9" s="918"/>
      <c r="C9" s="933"/>
      <c r="AE9" s="917" cm="1">
        <f t="array" ref="AE9">AE6</f>
        <v>2024</v>
      </c>
      <c r="AF9" s="917" cm="1">
        <f t="array" ref="AF9">AF6</f>
        <v>2024</v>
      </c>
      <c r="AG9" s="917" cm="1">
        <f t="array" ref="AG9">AG6</f>
        <v>2024</v>
      </c>
      <c r="AH9" s="917" cm="1">
        <f t="array" ref="AH9">AH6</f>
        <v>2025</v>
      </c>
      <c r="AI9" s="917" cm="1">
        <f t="array" ref="AI9">AI6</f>
        <v>2026</v>
      </c>
      <c r="AJ9" s="917" cm="1">
        <f t="array" ref="AJ9">AJ6</f>
        <v>2027</v>
      </c>
      <c r="AK9" s="917" cm="1">
        <f t="array" ref="AK9">AK6</f>
        <v>2028</v>
      </c>
      <c r="AL9" s="917" cm="1">
        <f t="array" ref="AL9">AL6</f>
        <v>2029</v>
      </c>
      <c r="AM9" s="917" cm="1">
        <f t="array" ref="AM9">AM6</f>
        <v>2030</v>
      </c>
      <c r="AN9" s="917" cm="1">
        <f t="array" ref="AN9">AN6</f>
        <v>2031</v>
      </c>
      <c r="AO9" s="917" cm="1">
        <f t="array" ref="AO9">AO6</f>
        <v>2032</v>
      </c>
      <c r="AP9" s="917" cm="1">
        <f t="array" ref="AP9">AP6</f>
        <v>2033</v>
      </c>
      <c r="AQ9" s="917" cm="1">
        <f t="array" ref="AQ9">AQ6</f>
        <v>2034</v>
      </c>
      <c r="AR9" s="917" cm="1">
        <f t="array" ref="AR9">AR6</f>
        <v>2035</v>
      </c>
      <c r="AS9" s="917" cm="1">
        <f t="array" ref="AS9">AS6</f>
        <v>2026</v>
      </c>
      <c r="AT9" s="917" cm="1">
        <f t="array" ref="AT9">AT6</f>
        <v>2027</v>
      </c>
      <c r="AU9" s="917" cm="1">
        <f t="array" ref="AU9">AU6</f>
        <v>2028</v>
      </c>
      <c r="AV9" s="917" cm="1">
        <f t="array" ref="AV9">AV6</f>
        <v>2029</v>
      </c>
      <c r="AW9" s="917" cm="1">
        <f t="array" ref="AW9">AW6</f>
        <v>2030</v>
      </c>
      <c r="AX9" s="917" cm="1">
        <f t="array" ref="AX9">AX6</f>
        <v>2031</v>
      </c>
      <c r="AY9" s="917" cm="1">
        <f t="array" ref="AY9">AY6</f>
        <v>2032</v>
      </c>
      <c r="AZ9" s="917" cm="1">
        <f t="array" ref="AZ9">AZ6</f>
        <v>2033</v>
      </c>
      <c r="BA9" s="917" cm="1">
        <f t="array" ref="BA9">BA6</f>
        <v>2034</v>
      </c>
      <c r="BB9" s="917" cm="1">
        <f t="array" ref="BB9">BB6</f>
        <v>2035</v>
      </c>
      <c r="BI9" s="549"/>
      <c r="BJ9" s="549"/>
    </row>
    <row r="10" spans="1:62" s="1209" customFormat="1" ht="11.25" hidden="1" customHeight="1">
      <c r="A10" s="917" t="s">
        <v>356</v>
      </c>
      <c r="B10" s="918"/>
      <c r="C10" s="933"/>
      <c r="AE10" s="917" t="str" cm="1">
        <f t="array" ref="AE10">AE25</f>
        <v>Принято органом регулирования</v>
      </c>
      <c r="AF10" s="917" t="str" cm="1">
        <f t="array" ref="AF10">AF25</f>
        <v>Факт по данным организации</v>
      </c>
      <c r="AG10" s="917" t="str" cm="1">
        <f t="array" ref="AG10">AG25</f>
        <v>Факт, принятый органом регулирования</v>
      </c>
      <c r="AH10" s="917" t="str" cm="1">
        <f t="array" ref="AH10">AH25</f>
        <v>Принято органом регулирования</v>
      </c>
      <c r="AI10" s="917" t="str" cm="1">
        <f t="array" ref="AI10">AI25</f>
        <v>Предложение организации</v>
      </c>
      <c r="AJ10" s="917" t="str" cm="1">
        <f t="array" ref="AJ10">AJ25</f>
        <v>Предложение организации</v>
      </c>
      <c r="AK10" s="917" t="str" cm="1">
        <f t="array" ref="AK10">AK25</f>
        <v>Предложение организации</v>
      </c>
      <c r="AL10" s="917" t="str" cm="1">
        <f t="array" ref="AL10">AL25</f>
        <v>Предложение организации</v>
      </c>
      <c r="AM10" s="917" t="str" cm="1">
        <f t="array" ref="AM10">AM25</f>
        <v>Предложение организации</v>
      </c>
      <c r="AN10" s="917" t="str" cm="1">
        <f t="array" ref="AN10">AN25</f>
        <v>Предложение организации</v>
      </c>
      <c r="AO10" s="917" t="str" cm="1">
        <f t="array" ref="AO10">AO25</f>
        <v>Предложение организации</v>
      </c>
      <c r="AP10" s="917" t="str" cm="1">
        <f t="array" ref="AP10">AP25</f>
        <v>Предложение организации</v>
      </c>
      <c r="AQ10" s="917" t="str" cm="1">
        <f t="array" ref="AQ10">AQ25</f>
        <v>Предложение организации</v>
      </c>
      <c r="AR10" s="917" t="str" cm="1">
        <f t="array" ref="AR10">AR25</f>
        <v>Предложение организации</v>
      </c>
      <c r="AS10" s="917" t="str" cm="1">
        <f t="array" ref="AS10">AS25</f>
        <v>Принято органом регулирования</v>
      </c>
      <c r="AT10" s="917" t="str" cm="1">
        <f t="array" ref="AT10">AT25</f>
        <v>Принято органом регулирования</v>
      </c>
      <c r="AU10" s="917" t="str" cm="1">
        <f t="array" ref="AU10">AU25</f>
        <v>Принято органом регулирования</v>
      </c>
      <c r="AV10" s="917" t="str" cm="1">
        <f t="array" ref="AV10">AV25</f>
        <v>Принято органом регулирования</v>
      </c>
      <c r="AW10" s="917" t="str" cm="1">
        <f t="array" ref="AW10">AW25</f>
        <v>Принято органом регулирования</v>
      </c>
      <c r="AX10" s="917" t="str" cm="1">
        <f t="array" ref="AX10">AX25</f>
        <v>Принято органом регулирования</v>
      </c>
      <c r="AY10" s="917" t="str" cm="1">
        <f t="array" ref="AY10">AY25</f>
        <v>Принято органом регулирования</v>
      </c>
      <c r="AZ10" s="917" t="str" cm="1">
        <f t="array" ref="AZ10">AZ25</f>
        <v>Принято органом регулирования</v>
      </c>
      <c r="BA10" s="917" t="str" cm="1">
        <f t="array" ref="BA10">BA25</f>
        <v>Принято органом регулирования</v>
      </c>
      <c r="BB10" s="917" t="str" cm="1">
        <f t="array" ref="BB10">BB25</f>
        <v>Принято органом регулирования</v>
      </c>
      <c r="BI10" s="549"/>
      <c r="BJ10" s="549"/>
    </row>
    <row r="11" spans="1:62" s="1209" customFormat="1" ht="11.25" hidden="1" customHeight="1">
      <c r="A11" s="917" t="s">
        <v>357</v>
      </c>
      <c r="B11" s="918"/>
      <c r="C11" s="933"/>
      <c r="BC11" s="917" t="str" cm="1">
        <f t="array" ref="BC11">BC24</f>
        <v>Ссылка на правовую норму (основание для принятия показателя в расчет тарифа)</v>
      </c>
      <c r="BI11" s="549"/>
      <c r="BJ11" s="549"/>
    </row>
    <row r="12" spans="1:62" s="1209" customFormat="1" ht="11.25" hidden="1" customHeight="1">
      <c r="A12" s="917" t="s">
        <v>329</v>
      </c>
      <c r="B12" s="918"/>
      <c r="C12" s="933"/>
      <c r="AC12" s="917" t="s">
        <v>316</v>
      </c>
      <c r="BI12" s="549"/>
      <c r="BJ12" s="549"/>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358</v>
      </c>
      <c r="AC18" s="17" t="s">
        <v>194</v>
      </c>
    </row>
    <row r="19" spans="1:62" ht="11.25" hidden="1" customHeight="1"/>
    <row r="20" spans="1:62" ht="11.25" hidden="1" customHeight="1"/>
    <row r="21" spans="1:62" ht="14.65" customHeight="1">
      <c r="E21" s="549">
        <v>15</v>
      </c>
      <c r="AA21" s="574"/>
      <c r="AC21" s="3" t="str" cm="1">
        <f t="array" ref="AC21">tpl_title</f>
        <v>Кемеровская область / 2026 / ОАО «СКЭК» (ИНН:4205153492, КПП:420501001) / ДПР: 2026-2026</v>
      </c>
    </row>
    <row r="22" spans="1:62" s="1242" customFormat="1" ht="19.5" customHeight="1">
      <c r="B22" s="344"/>
      <c r="C22" s="400"/>
      <c r="E22" s="550">
        <v>20</v>
      </c>
      <c r="AB22" s="232" t="s">
        <v>51</v>
      </c>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F22" s="920"/>
      <c r="BG22" s="920"/>
      <c r="BH22" s="920"/>
      <c r="BI22" s="550"/>
      <c r="BJ22" s="550"/>
    </row>
    <row r="23" spans="1:62" s="1242" customFormat="1" ht="10.9" customHeight="1">
      <c r="B23" s="344"/>
      <c r="C23" s="400"/>
      <c r="E23" s="550">
        <v>11.25</v>
      </c>
      <c r="AB23" s="119"/>
      <c r="AC23" s="119"/>
      <c r="AD23" s="119"/>
      <c r="AE23" s="120"/>
      <c r="AF23" s="120"/>
      <c r="AG23" s="120"/>
      <c r="AH23" s="120"/>
      <c r="AI23" s="119"/>
      <c r="AJ23" s="119"/>
      <c r="AK23" s="119"/>
      <c r="AL23" s="119"/>
      <c r="AM23" s="119"/>
      <c r="AN23" s="119"/>
      <c r="AO23" s="119"/>
      <c r="AP23" s="119"/>
      <c r="AQ23" s="119"/>
      <c r="AR23" s="119"/>
      <c r="AS23" s="119"/>
      <c r="AT23" s="119"/>
      <c r="AU23" s="119"/>
      <c r="AV23" s="119"/>
      <c r="AW23" s="119"/>
      <c r="AX23" s="119"/>
      <c r="AY23" s="119"/>
      <c r="AZ23" s="119"/>
      <c r="BA23" s="119"/>
      <c r="BB23" s="119"/>
      <c r="BC23" s="119"/>
      <c r="BF23" s="920"/>
      <c r="BG23" s="920"/>
      <c r="BH23" s="920"/>
      <c r="BI23" s="550"/>
      <c r="BJ23" s="550"/>
    </row>
    <row r="24" spans="1:62" s="1079" customFormat="1" ht="14.65" customHeight="1">
      <c r="B24" s="346"/>
      <c r="C24" s="402"/>
      <c r="E24" s="547">
        <v>15</v>
      </c>
      <c r="AB24" s="1792" t="s">
        <v>21</v>
      </c>
      <c r="AC24" s="1792" t="s">
        <v>359</v>
      </c>
      <c r="AD24" s="1792" t="s">
        <v>360</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59" t="s">
        <v>494</v>
      </c>
      <c r="BF24" s="915"/>
      <c r="BG24" s="915"/>
      <c r="BH24" s="915"/>
      <c r="BI24" s="547"/>
      <c r="BJ24" s="547"/>
    </row>
    <row r="25" spans="1:62" s="1079" customFormat="1" ht="48.75" customHeight="1">
      <c r="B25" s="346"/>
      <c r="C25" s="402"/>
      <c r="E25" s="547">
        <v>50</v>
      </c>
      <c r="AB25" s="1792"/>
      <c r="AC25" s="1792"/>
      <c r="AD25" s="1792"/>
      <c r="AE25" s="11" t="s">
        <v>352</v>
      </c>
      <c r="AF25" s="1019" t="s">
        <v>417</v>
      </c>
      <c r="AG25" s="11" t="s">
        <v>418</v>
      </c>
      <c r="AH25" s="11" t="s">
        <v>352</v>
      </c>
      <c r="AI25" s="1023" t="s">
        <v>353</v>
      </c>
      <c r="AJ25" s="1023" t="s">
        <v>353</v>
      </c>
      <c r="AK25" s="1023" t="s">
        <v>353</v>
      </c>
      <c r="AL25" s="1023" t="s">
        <v>353</v>
      </c>
      <c r="AM25" s="1023" t="s">
        <v>353</v>
      </c>
      <c r="AN25" s="1023" t="s">
        <v>353</v>
      </c>
      <c r="AO25" s="1023" t="s">
        <v>353</v>
      </c>
      <c r="AP25" s="1023" t="s">
        <v>353</v>
      </c>
      <c r="AQ25" s="1023" t="s">
        <v>353</v>
      </c>
      <c r="AR25" s="1023" t="s">
        <v>353</v>
      </c>
      <c r="AS25" s="272" t="s">
        <v>352</v>
      </c>
      <c r="AT25" s="272" t="s">
        <v>352</v>
      </c>
      <c r="AU25" s="272" t="s">
        <v>352</v>
      </c>
      <c r="AV25" s="272" t="s">
        <v>352</v>
      </c>
      <c r="AW25" s="272" t="s">
        <v>352</v>
      </c>
      <c r="AX25" s="272" t="s">
        <v>352</v>
      </c>
      <c r="AY25" s="272" t="s">
        <v>352</v>
      </c>
      <c r="AZ25" s="272" t="s">
        <v>352</v>
      </c>
      <c r="BA25" s="272" t="s">
        <v>352</v>
      </c>
      <c r="BB25" s="272" t="s">
        <v>352</v>
      </c>
      <c r="BC25" s="1759"/>
      <c r="BF25" s="915"/>
      <c r="BG25" s="915"/>
      <c r="BH25" s="915"/>
      <c r="BI25" s="547"/>
      <c r="BJ25" s="547"/>
    </row>
    <row r="26" spans="1:62" s="1079" customFormat="1" ht="14.25" hidden="1" customHeight="1">
      <c r="B26" s="346"/>
      <c r="C26" s="402"/>
      <c r="E26" s="547">
        <v>0</v>
      </c>
      <c r="AB26" s="639"/>
      <c r="AC26" s="639"/>
      <c r="AD26" s="639"/>
      <c r="AE26" s="636"/>
      <c r="AF26" s="636"/>
      <c r="AG26" s="636"/>
      <c r="AH26" s="636"/>
      <c r="AI26" s="636"/>
      <c r="AJ26" s="636"/>
      <c r="AK26" s="636"/>
      <c r="AL26" s="636"/>
      <c r="AM26" s="636"/>
      <c r="AN26" s="636"/>
      <c r="AO26" s="636"/>
      <c r="AP26" s="636"/>
      <c r="AQ26" s="636"/>
      <c r="AR26" s="636"/>
      <c r="AS26" s="636"/>
      <c r="AT26" s="636"/>
      <c r="AU26" s="636"/>
      <c r="AV26" s="636"/>
      <c r="AW26" s="636"/>
      <c r="AX26" s="636"/>
      <c r="AY26" s="636"/>
      <c r="AZ26" s="636"/>
      <c r="BA26" s="636"/>
      <c r="BB26" s="636"/>
      <c r="BC26" s="636"/>
      <c r="BF26" s="915"/>
      <c r="BG26" s="915"/>
      <c r="BH26" s="915"/>
      <c r="BI26" s="547"/>
      <c r="BJ26" s="547"/>
    </row>
    <row r="27" spans="1:62" s="1079" customFormat="1" ht="14.65" hidden="1" customHeight="1">
      <c r="B27" s="346"/>
      <c r="C27" s="401"/>
      <c r="E27" s="549">
        <v>15</v>
      </c>
      <c r="F27" s="17" cm="1">
        <f t="array" ref="F27">X27</f>
        <v>0</v>
      </c>
      <c r="G27" s="17"/>
      <c r="H27" s="17"/>
      <c r="T27" s="381" t="b">
        <f>X27&gt;0</f>
        <v>0</v>
      </c>
      <c r="V27" s="63" t="s">
        <v>270</v>
      </c>
      <c r="X27" s="1732">
        <v>0</v>
      </c>
      <c r="Z27" s="1757"/>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F27" s="915"/>
      <c r="BG27" s="915"/>
      <c r="BH27" s="915"/>
      <c r="BI27" s="547"/>
      <c r="BJ27" s="547"/>
    </row>
    <row r="28" spans="1:62" s="1325" customFormat="1" ht="10.9" hidden="1" customHeight="1">
      <c r="B28" s="346"/>
      <c r="C28" s="399"/>
      <c r="D28" s="860"/>
      <c r="E28" s="183">
        <v>11.25</v>
      </c>
      <c r="F28" s="3" cm="1">
        <f t="array" aca="1" ref="F28" ca="1">OFFSET(E28,-1,1)</f>
        <v>0</v>
      </c>
      <c r="G28" s="45" t="s">
        <v>323</v>
      </c>
      <c r="H28" s="45"/>
      <c r="K28" s="399" t="str">
        <f ca="1">F28&amp;"komm"</f>
        <v>0komm</v>
      </c>
      <c r="L28" s="823" cm="1">
        <f t="array" ref="L28">BC28</f>
        <v>0</v>
      </c>
      <c r="T28" s="381" t="b" cm="1">
        <f t="array" ref="T28">T27</f>
        <v>0</v>
      </c>
      <c r="X28" s="1732"/>
      <c r="Z28" s="1757"/>
      <c r="AB28" s="8" t="s">
        <v>281</v>
      </c>
      <c r="AC28" s="57" t="s">
        <v>765</v>
      </c>
      <c r="AD28" s="8" t="s">
        <v>766</v>
      </c>
      <c r="AE28" s="110">
        <f t="shared" ref="AE28:BB28" si="2">IF(COUNTIF(AE33:AE46,"Ошибка")&gt;0,"Ошибка",SUMIF($AD33:$AD46,$AD28,AE33:AE46))</f>
        <v>0</v>
      </c>
      <c r="AF28" s="110">
        <f t="shared" si="2"/>
        <v>0</v>
      </c>
      <c r="AG28" s="110">
        <f t="shared" si="2"/>
        <v>0</v>
      </c>
      <c r="AH28" s="110">
        <f t="shared" si="2"/>
        <v>0</v>
      </c>
      <c r="AI28" s="110">
        <f t="shared" si="2"/>
        <v>0</v>
      </c>
      <c r="AJ28" s="110">
        <f t="shared" si="2"/>
        <v>0</v>
      </c>
      <c r="AK28" s="110">
        <f t="shared" si="2"/>
        <v>0</v>
      </c>
      <c r="AL28" s="110">
        <f t="shared" si="2"/>
        <v>0</v>
      </c>
      <c r="AM28" s="110">
        <f t="shared" si="2"/>
        <v>0</v>
      </c>
      <c r="AN28" s="110">
        <f t="shared" si="2"/>
        <v>0</v>
      </c>
      <c r="AO28" s="110">
        <f t="shared" si="2"/>
        <v>0</v>
      </c>
      <c r="AP28" s="110">
        <f t="shared" si="2"/>
        <v>0</v>
      </c>
      <c r="AQ28" s="110">
        <f t="shared" si="2"/>
        <v>0</v>
      </c>
      <c r="AR28" s="110">
        <f t="shared" si="2"/>
        <v>0</v>
      </c>
      <c r="AS28" s="110">
        <f t="shared" si="2"/>
        <v>0</v>
      </c>
      <c r="AT28" s="110">
        <f t="shared" si="2"/>
        <v>0</v>
      </c>
      <c r="AU28" s="110">
        <f t="shared" si="2"/>
        <v>0</v>
      </c>
      <c r="AV28" s="110">
        <f t="shared" si="2"/>
        <v>0</v>
      </c>
      <c r="AW28" s="110">
        <f t="shared" si="2"/>
        <v>0</v>
      </c>
      <c r="AX28" s="110">
        <f t="shared" si="2"/>
        <v>0</v>
      </c>
      <c r="AY28" s="110">
        <f t="shared" si="2"/>
        <v>0</v>
      </c>
      <c r="AZ28" s="110">
        <f t="shared" si="2"/>
        <v>0</v>
      </c>
      <c r="BA28" s="110">
        <f t="shared" si="2"/>
        <v>0</v>
      </c>
      <c r="BB28" s="110">
        <f t="shared" si="2"/>
        <v>0</v>
      </c>
      <c r="BC28" s="1361"/>
      <c r="BF28" s="932" t="s">
        <v>772</v>
      </c>
      <c r="BG28" s="932"/>
      <c r="BH28" s="932"/>
      <c r="BI28" s="183"/>
      <c r="BJ28" s="183"/>
    </row>
    <row r="29" spans="1:62" s="1325" customFormat="1" ht="10.9" hidden="1" customHeight="1">
      <c r="B29" s="346"/>
      <c r="C29" s="399"/>
      <c r="E29" s="183">
        <v>11.25</v>
      </c>
      <c r="F29" s="3" cm="1">
        <f t="array" aca="1" ref="F29" ca="1">OFFSET(E29,-1,1)</f>
        <v>0</v>
      </c>
      <c r="G29" s="45" t="s">
        <v>324</v>
      </c>
      <c r="H29" s="45"/>
      <c r="T29" s="381" t="b" cm="1">
        <f t="array" ref="T29">T28</f>
        <v>0</v>
      </c>
      <c r="X29" s="1732"/>
      <c r="Z29" s="1757"/>
      <c r="AB29" s="8" t="s">
        <v>224</v>
      </c>
      <c r="AC29" s="57" t="s">
        <v>773</v>
      </c>
      <c r="AD29" s="11" t="s">
        <v>774</v>
      </c>
      <c r="AE29" s="110">
        <f>SUMIF(AD33:AD46,AD29,AE33:AE46)</f>
        <v>0</v>
      </c>
      <c r="AF29" s="110">
        <f>SUMIF(AD33:AD46,AD29,AF33:AF46)</f>
        <v>0</v>
      </c>
      <c r="AG29" s="110">
        <f>SUMIF(AD33:AD46,AD29,AG33:AG46)</f>
        <v>0</v>
      </c>
      <c r="AH29" s="110">
        <f>SUMIF(AD33:AD46,AD29,AH33:AH46)</f>
        <v>0</v>
      </c>
      <c r="AI29" s="110">
        <f>SUMIF(AD33:AD46,AD29,AI33:AI46)</f>
        <v>0</v>
      </c>
      <c r="AJ29" s="110">
        <f>SUMIF(AD33:AD46,AD29,AJ33:AJ46)</f>
        <v>0</v>
      </c>
      <c r="AK29" s="110">
        <f>SUMIF(AD33:AD46,AD29,AK33:AK46)</f>
        <v>0</v>
      </c>
      <c r="AL29" s="110">
        <f>SUMIF(AD33:AD46,AD29,AL33:AL46)</f>
        <v>0</v>
      </c>
      <c r="AM29" s="110">
        <f>SUMIF(AD33:AD46,AD29,AM33:AM46)</f>
        <v>0</v>
      </c>
      <c r="AN29" s="110">
        <f>SUMIF(AD33:AD46,AD29,AN33:AN46)</f>
        <v>0</v>
      </c>
      <c r="AO29" s="110">
        <f>SUMIF(AD33:AD46,AD29,AO33:AO46)</f>
        <v>0</v>
      </c>
      <c r="AP29" s="110">
        <f>SUMIF(AD33:AD46,AD29,AP33:AP46)</f>
        <v>0</v>
      </c>
      <c r="AQ29" s="110">
        <f>SUMIF(AD33:AD46,AD29,AQ33:AQ46)</f>
        <v>0</v>
      </c>
      <c r="AR29" s="110">
        <f>SUMIF(AD33:AD46,AD29,AR33:AR46)</f>
        <v>0</v>
      </c>
      <c r="AS29" s="110">
        <f>SUMIF(AD33:AD46,AD29,AS33:AS46)</f>
        <v>0</v>
      </c>
      <c r="AT29" s="110">
        <f>SUMIF(AD33:AD46,AD29,AT33:AT46)</f>
        <v>0</v>
      </c>
      <c r="AU29" s="110">
        <f>SUMIF(AD33:AD46,AD29,AU33:AU46)</f>
        <v>0</v>
      </c>
      <c r="AV29" s="110">
        <f>SUMIF(AD33:AD46,AD29,AV33:AV46)</f>
        <v>0</v>
      </c>
      <c r="AW29" s="110">
        <f>SUMIF(AD33:AD46,AD29,AW33:AW46)</f>
        <v>0</v>
      </c>
      <c r="AX29" s="110">
        <f>SUMIF(AD33:AD46,AD29,AX33:AX46)</f>
        <v>0</v>
      </c>
      <c r="AY29" s="110">
        <f>SUMIF(AD33:AD46,AD29,AY33:AY46)</f>
        <v>0</v>
      </c>
      <c r="AZ29" s="110">
        <f>SUMIF(AD33:AD46,AD29,AZ33:AZ46)</f>
        <v>0</v>
      </c>
      <c r="BA29" s="110">
        <f>SUMIF(AD33:AD46,AD29,BA33:BA46)</f>
        <v>0</v>
      </c>
      <c r="BB29" s="110">
        <f>SUMIF(AD33:AD46,AD29,BB33:BB46)</f>
        <v>0</v>
      </c>
      <c r="BC29" s="1361"/>
      <c r="BF29" s="932" t="s">
        <v>775</v>
      </c>
      <c r="BG29" s="932"/>
      <c r="BH29" s="932"/>
      <c r="BI29" s="183"/>
      <c r="BJ29" s="183"/>
    </row>
    <row r="30" spans="1:62" s="1325" customFormat="1" ht="10.9" hidden="1" customHeight="1">
      <c r="B30" s="346"/>
      <c r="C30" s="399"/>
      <c r="E30" s="183">
        <v>11.25</v>
      </c>
      <c r="F30" s="3" cm="1">
        <f t="array" aca="1" ref="F30" ca="1">OFFSET(E30,-1,1)</f>
        <v>0</v>
      </c>
      <c r="G30" s="45" t="s">
        <v>325</v>
      </c>
      <c r="H30" s="45"/>
      <c r="T30" s="381" t="b" cm="1">
        <f t="array" ref="T30">T29</f>
        <v>0</v>
      </c>
      <c r="X30" s="1732"/>
      <c r="Z30" s="1757"/>
      <c r="AB30" s="8" t="s">
        <v>321</v>
      </c>
      <c r="AC30" s="57" t="s">
        <v>776</v>
      </c>
      <c r="AD30" s="11" t="s">
        <v>777</v>
      </c>
      <c r="AE30" s="1392"/>
      <c r="AF30" s="1392"/>
      <c r="AG30" s="1392"/>
      <c r="AH30" s="1392"/>
      <c r="AI30" s="157"/>
      <c r="AJ30" s="1392"/>
      <c r="AK30" s="1392"/>
      <c r="AL30" s="1392"/>
      <c r="AM30" s="1392"/>
      <c r="AN30" s="1392"/>
      <c r="AO30" s="1392"/>
      <c r="AP30" s="1392"/>
      <c r="AQ30" s="1392"/>
      <c r="AR30" s="1392"/>
      <c r="AS30" s="157"/>
      <c r="AT30" s="1392"/>
      <c r="AU30" s="1392"/>
      <c r="AV30" s="1392"/>
      <c r="AW30" s="1392"/>
      <c r="AX30" s="1392"/>
      <c r="AY30" s="1392"/>
      <c r="AZ30" s="1392"/>
      <c r="BA30" s="1392"/>
      <c r="BB30" s="1392"/>
      <c r="BC30" s="1361"/>
      <c r="BF30" s="932" t="s">
        <v>778</v>
      </c>
      <c r="BG30" s="932"/>
      <c r="BH30" s="932"/>
      <c r="BI30" s="183"/>
      <c r="BJ30" s="183"/>
    </row>
    <row r="31" spans="1:62" s="1325" customFormat="1" ht="10.9" hidden="1" customHeight="1">
      <c r="B31" s="346"/>
      <c r="C31" s="399"/>
      <c r="E31" s="183">
        <v>11.25</v>
      </c>
      <c r="F31" s="3" cm="1">
        <f t="array" aca="1" ref="F31" ca="1">OFFSET(E31,-1,1)</f>
        <v>0</v>
      </c>
      <c r="G31" s="45" t="s">
        <v>327</v>
      </c>
      <c r="H31" s="45"/>
      <c r="T31" s="381" t="b" cm="1">
        <f t="array" ref="T31">T30</f>
        <v>0</v>
      </c>
      <c r="X31" s="1732"/>
      <c r="Z31" s="1757"/>
      <c r="AB31" s="8" t="s">
        <v>523</v>
      </c>
      <c r="AC31" s="57" t="s">
        <v>779</v>
      </c>
      <c r="AD31" s="11" t="s">
        <v>780</v>
      </c>
      <c r="AE31" s="110">
        <f t="shared" ref="AE31:BB31" si="3">IF(AE29=0,0,AE28/AE29)</f>
        <v>0</v>
      </c>
      <c r="AF31" s="110">
        <f t="shared" si="3"/>
        <v>0</v>
      </c>
      <c r="AG31" s="110">
        <f t="shared" si="3"/>
        <v>0</v>
      </c>
      <c r="AH31" s="110">
        <f t="shared" si="3"/>
        <v>0</v>
      </c>
      <c r="AI31" s="110">
        <f t="shared" si="3"/>
        <v>0</v>
      </c>
      <c r="AJ31" s="110">
        <f t="shared" si="3"/>
        <v>0</v>
      </c>
      <c r="AK31" s="110">
        <f t="shared" si="3"/>
        <v>0</v>
      </c>
      <c r="AL31" s="110">
        <f t="shared" si="3"/>
        <v>0</v>
      </c>
      <c r="AM31" s="110">
        <f t="shared" si="3"/>
        <v>0</v>
      </c>
      <c r="AN31" s="110">
        <f t="shared" si="3"/>
        <v>0</v>
      </c>
      <c r="AO31" s="110">
        <f t="shared" si="3"/>
        <v>0</v>
      </c>
      <c r="AP31" s="110">
        <f t="shared" si="3"/>
        <v>0</v>
      </c>
      <c r="AQ31" s="110">
        <f t="shared" si="3"/>
        <v>0</v>
      </c>
      <c r="AR31" s="110">
        <f t="shared" si="3"/>
        <v>0</v>
      </c>
      <c r="AS31" s="110">
        <f t="shared" si="3"/>
        <v>0</v>
      </c>
      <c r="AT31" s="110">
        <f t="shared" si="3"/>
        <v>0</v>
      </c>
      <c r="AU31" s="110">
        <f t="shared" si="3"/>
        <v>0</v>
      </c>
      <c r="AV31" s="110">
        <f t="shared" si="3"/>
        <v>0</v>
      </c>
      <c r="AW31" s="110">
        <f t="shared" si="3"/>
        <v>0</v>
      </c>
      <c r="AX31" s="110">
        <f t="shared" si="3"/>
        <v>0</v>
      </c>
      <c r="AY31" s="110">
        <f t="shared" si="3"/>
        <v>0</v>
      </c>
      <c r="AZ31" s="110">
        <f t="shared" si="3"/>
        <v>0</v>
      </c>
      <c r="BA31" s="110">
        <f t="shared" si="3"/>
        <v>0</v>
      </c>
      <c r="BB31" s="110">
        <f t="shared" si="3"/>
        <v>0</v>
      </c>
      <c r="BC31" s="1361"/>
      <c r="BF31" s="932" t="s">
        <v>781</v>
      </c>
      <c r="BG31" s="932"/>
      <c r="BH31" s="932"/>
      <c r="BI31" s="183"/>
      <c r="BJ31" s="183"/>
    </row>
    <row r="32" spans="1:62" s="1325" customFormat="1" ht="10.9" hidden="1" customHeight="1">
      <c r="B32" s="346"/>
      <c r="C32" s="399"/>
      <c r="E32" s="183">
        <v>11.25</v>
      </c>
      <c r="F32" s="3" cm="1">
        <f t="array" aca="1" ref="F32" ca="1">OFFSET(E32,-1,1)</f>
        <v>0</v>
      </c>
      <c r="G32" s="45" t="s">
        <v>326</v>
      </c>
      <c r="H32" s="45"/>
      <c r="T32" s="381" t="b" cm="1">
        <f t="array" ref="T32">T31</f>
        <v>0</v>
      </c>
      <c r="X32" s="1732"/>
      <c r="Z32" s="1757"/>
      <c r="AB32" s="8" t="s">
        <v>478</v>
      </c>
      <c r="AC32" s="57" t="s">
        <v>782</v>
      </c>
      <c r="AD32" s="11" t="s">
        <v>783</v>
      </c>
      <c r="AE32" s="229">
        <f t="shared" ref="AE32:BB32" si="4">IF(AE30=0,0,AE29/AE30)</f>
        <v>0</v>
      </c>
      <c r="AF32" s="229">
        <f t="shared" si="4"/>
        <v>0</v>
      </c>
      <c r="AG32" s="229">
        <f t="shared" si="4"/>
        <v>0</v>
      </c>
      <c r="AH32" s="229">
        <f t="shared" si="4"/>
        <v>0</v>
      </c>
      <c r="AI32" s="229">
        <f t="shared" si="4"/>
        <v>0</v>
      </c>
      <c r="AJ32" s="229">
        <f t="shared" si="4"/>
        <v>0</v>
      </c>
      <c r="AK32" s="229">
        <f t="shared" si="4"/>
        <v>0</v>
      </c>
      <c r="AL32" s="229">
        <f t="shared" si="4"/>
        <v>0</v>
      </c>
      <c r="AM32" s="229">
        <f t="shared" si="4"/>
        <v>0</v>
      </c>
      <c r="AN32" s="229">
        <f t="shared" si="4"/>
        <v>0</v>
      </c>
      <c r="AO32" s="229">
        <f t="shared" si="4"/>
        <v>0</v>
      </c>
      <c r="AP32" s="229">
        <f t="shared" si="4"/>
        <v>0</v>
      </c>
      <c r="AQ32" s="229">
        <f t="shared" si="4"/>
        <v>0</v>
      </c>
      <c r="AR32" s="229">
        <f t="shared" si="4"/>
        <v>0</v>
      </c>
      <c r="AS32" s="229">
        <f t="shared" si="4"/>
        <v>0</v>
      </c>
      <c r="AT32" s="229">
        <f t="shared" si="4"/>
        <v>0</v>
      </c>
      <c r="AU32" s="229">
        <f t="shared" si="4"/>
        <v>0</v>
      </c>
      <c r="AV32" s="229">
        <f t="shared" si="4"/>
        <v>0</v>
      </c>
      <c r="AW32" s="229">
        <f t="shared" si="4"/>
        <v>0</v>
      </c>
      <c r="AX32" s="229">
        <f t="shared" si="4"/>
        <v>0</v>
      </c>
      <c r="AY32" s="229">
        <f t="shared" si="4"/>
        <v>0</v>
      </c>
      <c r="AZ32" s="229">
        <f t="shared" si="4"/>
        <v>0</v>
      </c>
      <c r="BA32" s="229">
        <f t="shared" si="4"/>
        <v>0</v>
      </c>
      <c r="BB32" s="229">
        <f t="shared" si="4"/>
        <v>0</v>
      </c>
      <c r="BC32" s="1361"/>
      <c r="BF32" s="932" t="s">
        <v>784</v>
      </c>
      <c r="BG32" s="932"/>
      <c r="BH32" s="932"/>
      <c r="BI32" s="183"/>
      <c r="BJ32" s="183"/>
    </row>
    <row r="33" spans="1:62" s="1325" customFormat="1" ht="12.6" hidden="1" customHeight="1">
      <c r="B33" s="346"/>
      <c r="C33" s="399"/>
      <c r="E33" s="183">
        <v>13</v>
      </c>
      <c r="F33" s="3" cm="1">
        <f t="array" aca="1" ref="F33" ca="1">OFFSET(E33,-1,1)</f>
        <v>0</v>
      </c>
      <c r="G33" s="45"/>
      <c r="H33" s="45"/>
      <c r="T33" s="381" t="b" cm="1">
        <f t="array" ref="T33">T32</f>
        <v>0</v>
      </c>
      <c r="X33" s="1732"/>
      <c r="Z33" s="1757"/>
      <c r="AB33" s="569"/>
      <c r="AC33" s="182" t="s">
        <v>785</v>
      </c>
      <c r="AD33" s="183"/>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5"/>
      <c r="BF33" s="932"/>
      <c r="BG33" s="932"/>
      <c r="BH33" s="932"/>
      <c r="BI33" s="183"/>
      <c r="BJ33" s="183"/>
    </row>
    <row r="34" spans="1:62" s="1325" customFormat="1" ht="10.9" hidden="1" customHeight="1">
      <c r="B34" s="346"/>
      <c r="C34" s="399"/>
      <c r="E34" s="183">
        <v>11.25</v>
      </c>
      <c r="F34" s="3" cm="1">
        <f t="array" aca="1" ref="F34" ca="1">OFFSET(E34,-1,1)</f>
        <v>0</v>
      </c>
      <c r="G34" s="45" t="s">
        <v>477</v>
      </c>
      <c r="H34" s="45" cm="1">
        <f t="array" ref="H34">AC34</f>
        <v>0</v>
      </c>
      <c r="T34" s="381" t="b">
        <f ca="1">AND(F34&gt;0,Y34&gt;0)</f>
        <v>0</v>
      </c>
      <c r="W34" s="671" t="s">
        <v>173</v>
      </c>
      <c r="X34" s="1732"/>
      <c r="Y34" s="1732">
        <v>0</v>
      </c>
      <c r="Z34" s="1757"/>
      <c r="AA34" s="1681" t="s">
        <v>174</v>
      </c>
      <c r="AB34" s="8" t="str">
        <f>"6."&amp;Y34</f>
        <v>6.0</v>
      </c>
      <c r="AC34" s="1390"/>
      <c r="AD34" s="8" t="s">
        <v>766</v>
      </c>
      <c r="AE34" s="1354"/>
      <c r="AF34" s="1354"/>
      <c r="AG34" s="1354"/>
      <c r="AH34" s="1354"/>
      <c r="AI34" s="60"/>
      <c r="AJ34" s="1354"/>
      <c r="AK34" s="1354"/>
      <c r="AL34" s="1354"/>
      <c r="AM34" s="1354"/>
      <c r="AN34" s="1354"/>
      <c r="AO34" s="1354"/>
      <c r="AP34" s="1354"/>
      <c r="AQ34" s="1354"/>
      <c r="AR34" s="1354"/>
      <c r="AS34" s="60"/>
      <c r="AT34" s="1354"/>
      <c r="AU34" s="1354"/>
      <c r="AV34" s="1354"/>
      <c r="AW34" s="1354"/>
      <c r="AX34" s="1354"/>
      <c r="AY34" s="1354"/>
      <c r="AZ34" s="1354"/>
      <c r="BA34" s="1354"/>
      <c r="BB34" s="1354"/>
      <c r="BC34" s="1361"/>
      <c r="BF34" s="932" t="s">
        <v>786</v>
      </c>
      <c r="BG34" s="932" t="s">
        <v>787</v>
      </c>
      <c r="BH34" s="932" cm="1">
        <f t="array" ref="BH34">AC34</f>
        <v>0</v>
      </c>
      <c r="BI34" s="183"/>
      <c r="BJ34" s="183" t="b">
        <v>1</v>
      </c>
    </row>
    <row r="35" spans="1:62" s="1325" customFormat="1" ht="10.9" hidden="1" customHeight="1">
      <c r="B35" s="346"/>
      <c r="C35" s="399"/>
      <c r="E35" s="183">
        <v>11.25</v>
      </c>
      <c r="F35" s="3" cm="1">
        <f t="array" aca="1" ref="F35" ca="1">OFFSET(E35,-1,1)</f>
        <v>0</v>
      </c>
      <c r="G35" s="45" t="s">
        <v>638</v>
      </c>
      <c r="H35" s="45" cm="1">
        <f t="array" ref="H35">H34</f>
        <v>0</v>
      </c>
      <c r="T35" s="381" t="b" cm="1">
        <f t="array" aca="1" ref="T35" ca="1">T34</f>
        <v>0</v>
      </c>
      <c r="X35" s="1732"/>
      <c r="Y35" s="1732"/>
      <c r="Z35" s="1757"/>
      <c r="AA35" s="1681"/>
      <c r="AB35" s="8" t="str">
        <f>AB34&amp;".1"</f>
        <v>6.0.1</v>
      </c>
      <c r="AC35" s="111" t="s">
        <v>788</v>
      </c>
      <c r="AD35" s="11" t="s">
        <v>780</v>
      </c>
      <c r="AE35" s="110">
        <f t="shared" ref="AE35:BB35" si="5">IF(OR(AND(AE34&lt;&gt;0,AE36=0),AND(AE34=0,AE36&lt;&gt;0)),"Ошибка",IF(AE36=0,0,AE34/AE36))</f>
        <v>0</v>
      </c>
      <c r="AF35" s="110">
        <f t="shared" si="5"/>
        <v>0</v>
      </c>
      <c r="AG35" s="110">
        <f t="shared" si="5"/>
        <v>0</v>
      </c>
      <c r="AH35" s="110">
        <f t="shared" si="5"/>
        <v>0</v>
      </c>
      <c r="AI35" s="110">
        <f t="shared" si="5"/>
        <v>0</v>
      </c>
      <c r="AJ35" s="110">
        <f t="shared" si="5"/>
        <v>0</v>
      </c>
      <c r="AK35" s="110">
        <f t="shared" si="5"/>
        <v>0</v>
      </c>
      <c r="AL35" s="110">
        <f t="shared" si="5"/>
        <v>0</v>
      </c>
      <c r="AM35" s="110">
        <f t="shared" si="5"/>
        <v>0</v>
      </c>
      <c r="AN35" s="110">
        <f t="shared" si="5"/>
        <v>0</v>
      </c>
      <c r="AO35" s="110">
        <f t="shared" si="5"/>
        <v>0</v>
      </c>
      <c r="AP35" s="110">
        <f t="shared" si="5"/>
        <v>0</v>
      </c>
      <c r="AQ35" s="110">
        <f t="shared" si="5"/>
        <v>0</v>
      </c>
      <c r="AR35" s="110">
        <f t="shared" si="5"/>
        <v>0</v>
      </c>
      <c r="AS35" s="110">
        <f t="shared" si="5"/>
        <v>0</v>
      </c>
      <c r="AT35" s="110">
        <f t="shared" si="5"/>
        <v>0</v>
      </c>
      <c r="AU35" s="110">
        <f t="shared" si="5"/>
        <v>0</v>
      </c>
      <c r="AV35" s="110">
        <f t="shared" si="5"/>
        <v>0</v>
      </c>
      <c r="AW35" s="110">
        <f t="shared" si="5"/>
        <v>0</v>
      </c>
      <c r="AX35" s="110">
        <f t="shared" si="5"/>
        <v>0</v>
      </c>
      <c r="AY35" s="110">
        <f t="shared" si="5"/>
        <v>0</v>
      </c>
      <c r="AZ35" s="110">
        <f t="shared" si="5"/>
        <v>0</v>
      </c>
      <c r="BA35" s="110">
        <f t="shared" si="5"/>
        <v>0</v>
      </c>
      <c r="BB35" s="110">
        <f t="shared" si="5"/>
        <v>0</v>
      </c>
      <c r="BC35" s="1361"/>
      <c r="BF35" s="932" t="s">
        <v>789</v>
      </c>
      <c r="BG35" s="932" t="s">
        <v>787</v>
      </c>
      <c r="BH35" s="932" cm="1">
        <f t="array" ref="BH35">BH34</f>
        <v>0</v>
      </c>
      <c r="BI35" s="183"/>
      <c r="BJ35" s="183"/>
    </row>
    <row r="36" spans="1:62" s="1325" customFormat="1" ht="10.9" hidden="1" customHeight="1">
      <c r="B36" s="346"/>
      <c r="C36" s="399"/>
      <c r="E36" s="183">
        <v>11.25</v>
      </c>
      <c r="F36" s="3" cm="1">
        <f t="array" aca="1" ref="F36" ca="1">OFFSET(E36,-1,1)</f>
        <v>0</v>
      </c>
      <c r="G36" s="45" t="s">
        <v>641</v>
      </c>
      <c r="H36" s="45" cm="1">
        <f t="array" ref="H36">H35</f>
        <v>0</v>
      </c>
      <c r="T36" s="381" t="b" cm="1">
        <f t="array" aca="1" ref="T36" ca="1">T35</f>
        <v>0</v>
      </c>
      <c r="X36" s="1732"/>
      <c r="Y36" s="1732"/>
      <c r="Z36" s="1757"/>
      <c r="AA36" s="1681"/>
      <c r="AB36" s="8" t="str">
        <f>AB34&amp;".2"</f>
        <v>6.0.2</v>
      </c>
      <c r="AC36" s="111" t="s">
        <v>790</v>
      </c>
      <c r="AD36" s="11" t="s">
        <v>774</v>
      </c>
      <c r="AE36" s="1354"/>
      <c r="AF36" s="1354"/>
      <c r="AG36" s="1354"/>
      <c r="AH36" s="1354"/>
      <c r="AI36" s="60"/>
      <c r="AJ36" s="1354"/>
      <c r="AK36" s="1354"/>
      <c r="AL36" s="1354"/>
      <c r="AM36" s="1354"/>
      <c r="AN36" s="1354"/>
      <c r="AO36" s="1354"/>
      <c r="AP36" s="1354"/>
      <c r="AQ36" s="1354"/>
      <c r="AR36" s="1354"/>
      <c r="AS36" s="60"/>
      <c r="AT36" s="1354"/>
      <c r="AU36" s="1354"/>
      <c r="AV36" s="1354"/>
      <c r="AW36" s="1354"/>
      <c r="AX36" s="1354"/>
      <c r="AY36" s="1354"/>
      <c r="AZ36" s="1354"/>
      <c r="BA36" s="1354"/>
      <c r="BB36" s="1354"/>
      <c r="BC36" s="1361"/>
      <c r="BF36" s="932" t="s">
        <v>791</v>
      </c>
      <c r="BG36" s="932" t="s">
        <v>787</v>
      </c>
      <c r="BH36" s="932" cm="1">
        <f t="array" ref="BH36">BH35</f>
        <v>0</v>
      </c>
      <c r="BI36" s="183"/>
      <c r="BJ36" s="183"/>
    </row>
    <row r="37" spans="1:62" s="1242" customFormat="1" ht="14.65" hidden="1" customHeight="1">
      <c r="B37" s="344"/>
      <c r="C37" s="399"/>
      <c r="E37" s="550">
        <v>15</v>
      </c>
      <c r="F37" s="3" cm="1">
        <f t="array" aca="1" ref="F37" ca="1">OFFSET(E37,-1,1)</f>
        <v>0</v>
      </c>
      <c r="H37" s="861" t="s">
        <v>792</v>
      </c>
      <c r="T37" s="381" t="b">
        <f ca="1">F37&gt;0</f>
        <v>0</v>
      </c>
      <c r="W37" s="671" t="s">
        <v>389</v>
      </c>
      <c r="X37" s="1732"/>
      <c r="Z37" s="1757"/>
      <c r="AB37" s="570"/>
      <c r="AC37" s="97" t="s">
        <v>177</v>
      </c>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106"/>
      <c r="BF37" s="920"/>
      <c r="BG37" s="920"/>
      <c r="BH37" s="920"/>
      <c r="BI37" s="550" t="s">
        <v>787</v>
      </c>
      <c r="BJ37" s="550"/>
    </row>
    <row r="38" spans="1:62" s="1325" customFormat="1" ht="12.6" hidden="1" customHeight="1">
      <c r="B38" s="346"/>
      <c r="C38" s="399"/>
      <c r="E38" s="183">
        <v>13</v>
      </c>
      <c r="F38" s="3" cm="1">
        <f t="array" aca="1" ref="F38" ca="1">OFFSET(E38,-1,1)</f>
        <v>0</v>
      </c>
      <c r="G38" s="45"/>
      <c r="H38" s="45"/>
      <c r="T38" s="381" t="b" cm="1">
        <f t="array" aca="1" ref="T38" ca="1">T37</f>
        <v>0</v>
      </c>
      <c r="X38" s="1732"/>
      <c r="Z38" s="1757"/>
      <c r="AB38" s="569"/>
      <c r="AC38" s="182" t="s">
        <v>793</v>
      </c>
      <c r="AD38" s="183"/>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5"/>
      <c r="BF38" s="932"/>
      <c r="BG38" s="932"/>
      <c r="BH38" s="932"/>
      <c r="BI38" s="183"/>
      <c r="BJ38" s="183"/>
    </row>
    <row r="39" spans="1:62" s="1325" customFormat="1" ht="10.9" hidden="1" customHeight="1">
      <c r="B39" s="346"/>
      <c r="C39" s="399"/>
      <c r="E39" s="183">
        <v>11.25</v>
      </c>
      <c r="F39" s="3" cm="1">
        <f t="array" aca="1" ref="F39" ca="1">OFFSET(E39,-1,1)</f>
        <v>0</v>
      </c>
      <c r="G39" s="45" t="s">
        <v>477</v>
      </c>
      <c r="H39" s="45" cm="1">
        <f t="array" ref="H39">AC39</f>
        <v>0</v>
      </c>
      <c r="T39" s="381" t="b">
        <f ca="1">AND(F39&gt;0,Y39&gt;0)</f>
        <v>0</v>
      </c>
      <c r="W39" s="671" t="s">
        <v>173</v>
      </c>
      <c r="X39" s="1732"/>
      <c r="Y39" s="1732">
        <v>0</v>
      </c>
      <c r="Z39" s="1757"/>
      <c r="AA39" s="1681" t="s">
        <v>174</v>
      </c>
      <c r="AB39" s="8" t="str">
        <f>"7."&amp;Y39</f>
        <v>7.0</v>
      </c>
      <c r="AC39" s="1390"/>
      <c r="AD39" s="8" t="s">
        <v>766</v>
      </c>
      <c r="AE39" s="110">
        <f t="shared" ref="AE39:BB39" si="6">AE40+AE43</f>
        <v>0</v>
      </c>
      <c r="AF39" s="110">
        <f t="shared" si="6"/>
        <v>0</v>
      </c>
      <c r="AG39" s="110">
        <f t="shared" si="6"/>
        <v>0</v>
      </c>
      <c r="AH39" s="110">
        <f t="shared" si="6"/>
        <v>0</v>
      </c>
      <c r="AI39" s="110">
        <f t="shared" si="6"/>
        <v>0</v>
      </c>
      <c r="AJ39" s="110">
        <f t="shared" si="6"/>
        <v>0</v>
      </c>
      <c r="AK39" s="110">
        <f t="shared" si="6"/>
        <v>0</v>
      </c>
      <c r="AL39" s="110">
        <f t="shared" si="6"/>
        <v>0</v>
      </c>
      <c r="AM39" s="110">
        <f t="shared" si="6"/>
        <v>0</v>
      </c>
      <c r="AN39" s="110">
        <f t="shared" si="6"/>
        <v>0</v>
      </c>
      <c r="AO39" s="110">
        <f t="shared" si="6"/>
        <v>0</v>
      </c>
      <c r="AP39" s="110">
        <f t="shared" si="6"/>
        <v>0</v>
      </c>
      <c r="AQ39" s="110">
        <f t="shared" si="6"/>
        <v>0</v>
      </c>
      <c r="AR39" s="110">
        <f t="shared" si="6"/>
        <v>0</v>
      </c>
      <c r="AS39" s="110">
        <f t="shared" si="6"/>
        <v>0</v>
      </c>
      <c r="AT39" s="110">
        <f t="shared" si="6"/>
        <v>0</v>
      </c>
      <c r="AU39" s="110">
        <f t="shared" si="6"/>
        <v>0</v>
      </c>
      <c r="AV39" s="110">
        <f t="shared" si="6"/>
        <v>0</v>
      </c>
      <c r="AW39" s="110">
        <f t="shared" si="6"/>
        <v>0</v>
      </c>
      <c r="AX39" s="110">
        <f t="shared" si="6"/>
        <v>0</v>
      </c>
      <c r="AY39" s="110">
        <f t="shared" si="6"/>
        <v>0</v>
      </c>
      <c r="AZ39" s="110">
        <f t="shared" si="6"/>
        <v>0</v>
      </c>
      <c r="BA39" s="110">
        <f t="shared" si="6"/>
        <v>0</v>
      </c>
      <c r="BB39" s="110">
        <f t="shared" si="6"/>
        <v>0</v>
      </c>
      <c r="BC39" s="1361"/>
      <c r="BF39" s="932" t="s">
        <v>794</v>
      </c>
      <c r="BG39" s="932" t="s">
        <v>795</v>
      </c>
      <c r="BH39" s="932" cm="1">
        <f t="array" ref="BH39">AC39</f>
        <v>0</v>
      </c>
      <c r="BI39" s="183"/>
      <c r="BJ39" s="183"/>
    </row>
    <row r="40" spans="1:62" s="1325" customFormat="1" ht="10.9" hidden="1" customHeight="1">
      <c r="B40" s="346"/>
      <c r="C40" s="399"/>
      <c r="E40" s="183">
        <v>11.25</v>
      </c>
      <c r="F40" s="3" cm="1">
        <f t="array" aca="1" ref="F40" ca="1">OFFSET(E40,-1,1)</f>
        <v>0</v>
      </c>
      <c r="G40" s="45" t="s">
        <v>645</v>
      </c>
      <c r="H40" s="45" cm="1">
        <f t="array" ref="H40">H39</f>
        <v>0</v>
      </c>
      <c r="T40" s="381" t="b" cm="1">
        <f t="array" aca="1" ref="T40" ca="1">T39</f>
        <v>0</v>
      </c>
      <c r="X40" s="1732"/>
      <c r="Y40" s="1732"/>
      <c r="Z40" s="1757"/>
      <c r="AA40" s="1681"/>
      <c r="AB40" s="8" t="str">
        <f>AB39&amp;".1"</f>
        <v>7.0.1</v>
      </c>
      <c r="AC40" s="111" t="s">
        <v>796</v>
      </c>
      <c r="AD40" s="8" t="s">
        <v>797</v>
      </c>
      <c r="AE40" s="1354"/>
      <c r="AF40" s="1354"/>
      <c r="AG40" s="1354"/>
      <c r="AH40" s="1354"/>
      <c r="AI40" s="60"/>
      <c r="AJ40" s="1354"/>
      <c r="AK40" s="1354"/>
      <c r="AL40" s="1354"/>
      <c r="AM40" s="1354"/>
      <c r="AN40" s="1354"/>
      <c r="AO40" s="1354"/>
      <c r="AP40" s="1354"/>
      <c r="AQ40" s="1354"/>
      <c r="AR40" s="1354"/>
      <c r="AS40" s="60"/>
      <c r="AT40" s="1354"/>
      <c r="AU40" s="1354"/>
      <c r="AV40" s="1354"/>
      <c r="AW40" s="1354"/>
      <c r="AX40" s="1354"/>
      <c r="AY40" s="1354"/>
      <c r="AZ40" s="1354"/>
      <c r="BA40" s="1354"/>
      <c r="BB40" s="1354"/>
      <c r="BC40" s="1361"/>
      <c r="BF40" s="932" t="s">
        <v>798</v>
      </c>
      <c r="BG40" s="932" t="s">
        <v>795</v>
      </c>
      <c r="BH40" s="932" cm="1">
        <f t="array" ref="BH40">BH39</f>
        <v>0</v>
      </c>
      <c r="BI40" s="183"/>
      <c r="BJ40" s="183"/>
    </row>
    <row r="41" spans="1:62" s="1325" customFormat="1" ht="10.9" hidden="1" customHeight="1">
      <c r="B41" s="346"/>
      <c r="C41" s="399"/>
      <c r="E41" s="183">
        <v>11.25</v>
      </c>
      <c r="F41" s="3" cm="1">
        <f t="array" aca="1" ref="F41" ca="1">OFFSET(E41,-1,1)</f>
        <v>0</v>
      </c>
      <c r="G41" s="45" t="s">
        <v>799</v>
      </c>
      <c r="H41" s="45" cm="1">
        <f t="array" ref="H41">H40</f>
        <v>0</v>
      </c>
      <c r="T41" s="381" t="b" cm="1">
        <f t="array" aca="1" ref="T41" ca="1">T40</f>
        <v>0</v>
      </c>
      <c r="X41" s="1732"/>
      <c r="Y41" s="1732"/>
      <c r="Z41" s="1757"/>
      <c r="AA41" s="1681"/>
      <c r="AB41" s="8" t="str">
        <f>AB39&amp;".1.1"</f>
        <v>7.0.1.1</v>
      </c>
      <c r="AC41" s="244" t="s">
        <v>788</v>
      </c>
      <c r="AD41" s="11" t="s">
        <v>780</v>
      </c>
      <c r="AE41" s="110">
        <f t="shared" ref="AE41:BB41" si="7">IF(OR(AND(AE40&lt;&gt;0,AE42=0),AND(AE40=0,AE42&lt;&gt;0)),"Ошибка",IF(AE42=0,0,AE40/AE42))</f>
        <v>0</v>
      </c>
      <c r="AF41" s="110">
        <f t="shared" si="7"/>
        <v>0</v>
      </c>
      <c r="AG41" s="110">
        <f t="shared" si="7"/>
        <v>0</v>
      </c>
      <c r="AH41" s="110">
        <f t="shared" si="7"/>
        <v>0</v>
      </c>
      <c r="AI41" s="110">
        <f t="shared" si="7"/>
        <v>0</v>
      </c>
      <c r="AJ41" s="110">
        <f t="shared" si="7"/>
        <v>0</v>
      </c>
      <c r="AK41" s="110">
        <f t="shared" si="7"/>
        <v>0</v>
      </c>
      <c r="AL41" s="110">
        <f t="shared" si="7"/>
        <v>0</v>
      </c>
      <c r="AM41" s="110">
        <f t="shared" si="7"/>
        <v>0</v>
      </c>
      <c r="AN41" s="110">
        <f t="shared" si="7"/>
        <v>0</v>
      </c>
      <c r="AO41" s="110">
        <f t="shared" si="7"/>
        <v>0</v>
      </c>
      <c r="AP41" s="110">
        <f t="shared" si="7"/>
        <v>0</v>
      </c>
      <c r="AQ41" s="110">
        <f t="shared" si="7"/>
        <v>0</v>
      </c>
      <c r="AR41" s="110">
        <f t="shared" si="7"/>
        <v>0</v>
      </c>
      <c r="AS41" s="110">
        <f t="shared" si="7"/>
        <v>0</v>
      </c>
      <c r="AT41" s="110">
        <f t="shared" si="7"/>
        <v>0</v>
      </c>
      <c r="AU41" s="110">
        <f t="shared" si="7"/>
        <v>0</v>
      </c>
      <c r="AV41" s="110">
        <f t="shared" si="7"/>
        <v>0</v>
      </c>
      <c r="AW41" s="110">
        <f t="shared" si="7"/>
        <v>0</v>
      </c>
      <c r="AX41" s="110">
        <f t="shared" si="7"/>
        <v>0</v>
      </c>
      <c r="AY41" s="110">
        <f t="shared" si="7"/>
        <v>0</v>
      </c>
      <c r="AZ41" s="110">
        <f t="shared" si="7"/>
        <v>0</v>
      </c>
      <c r="BA41" s="110">
        <f t="shared" si="7"/>
        <v>0</v>
      </c>
      <c r="BB41" s="110">
        <f t="shared" si="7"/>
        <v>0</v>
      </c>
      <c r="BC41" s="1361"/>
      <c r="BF41" s="932" t="s">
        <v>800</v>
      </c>
      <c r="BG41" s="932" t="s">
        <v>795</v>
      </c>
      <c r="BH41" s="932" cm="1">
        <f t="array" ref="BH41">BH40</f>
        <v>0</v>
      </c>
      <c r="BI41" s="183"/>
      <c r="BJ41" s="183"/>
    </row>
    <row r="42" spans="1:62" s="1325" customFormat="1" ht="10.9" hidden="1" customHeight="1">
      <c r="B42" s="346"/>
      <c r="C42" s="399"/>
      <c r="E42" s="183">
        <v>11.25</v>
      </c>
      <c r="F42" s="3" cm="1">
        <f t="array" aca="1" ref="F42" ca="1">OFFSET(E42,-1,1)</f>
        <v>0</v>
      </c>
      <c r="G42" s="45" t="s">
        <v>801</v>
      </c>
      <c r="H42" s="45" cm="1">
        <f t="array" ref="H42">H41</f>
        <v>0</v>
      </c>
      <c r="T42" s="381" t="b" cm="1">
        <f t="array" aca="1" ref="T42" ca="1">T41</f>
        <v>0</v>
      </c>
      <c r="X42" s="1732"/>
      <c r="Y42" s="1732"/>
      <c r="Z42" s="1757"/>
      <c r="AA42" s="1681"/>
      <c r="AB42" s="8" t="str">
        <f>AB39&amp;".1.2"</f>
        <v>7.0.1.2</v>
      </c>
      <c r="AC42" s="244" t="s">
        <v>790</v>
      </c>
      <c r="AD42" s="11" t="s">
        <v>774</v>
      </c>
      <c r="AE42" s="1354"/>
      <c r="AF42" s="1354"/>
      <c r="AG42" s="1354"/>
      <c r="AH42" s="1354"/>
      <c r="AI42" s="60"/>
      <c r="AJ42" s="1354"/>
      <c r="AK42" s="1354"/>
      <c r="AL42" s="1354"/>
      <c r="AM42" s="1354"/>
      <c r="AN42" s="1354"/>
      <c r="AO42" s="1354"/>
      <c r="AP42" s="1354"/>
      <c r="AQ42" s="1354"/>
      <c r="AR42" s="1354"/>
      <c r="AS42" s="60"/>
      <c r="AT42" s="1354"/>
      <c r="AU42" s="1354"/>
      <c r="AV42" s="1354"/>
      <c r="AW42" s="1354"/>
      <c r="AX42" s="1354"/>
      <c r="AY42" s="1354"/>
      <c r="AZ42" s="1354"/>
      <c r="BA42" s="1354"/>
      <c r="BB42" s="1354"/>
      <c r="BC42" s="1361"/>
      <c r="BF42" s="932" t="s">
        <v>802</v>
      </c>
      <c r="BG42" s="932" t="s">
        <v>795</v>
      </c>
      <c r="BH42" s="932" cm="1">
        <f t="array" ref="BH42">BH41</f>
        <v>0</v>
      </c>
      <c r="BI42" s="183"/>
      <c r="BJ42" s="183"/>
    </row>
    <row r="43" spans="1:62" s="1325" customFormat="1" ht="10.9" hidden="1" customHeight="1">
      <c r="B43" s="346"/>
      <c r="C43" s="399"/>
      <c r="E43" s="183">
        <v>11.25</v>
      </c>
      <c r="F43" s="3" cm="1">
        <f t="array" aca="1" ref="F43" ca="1">OFFSET(E43,-1,1)</f>
        <v>0</v>
      </c>
      <c r="G43" s="45" t="s">
        <v>648</v>
      </c>
      <c r="H43" s="45" cm="1">
        <f t="array" ref="H43">H42</f>
        <v>0</v>
      </c>
      <c r="T43" s="381" t="b" cm="1">
        <f t="array" aca="1" ref="T43" ca="1">T42</f>
        <v>0</v>
      </c>
      <c r="X43" s="1732"/>
      <c r="Y43" s="1732"/>
      <c r="Z43" s="1757"/>
      <c r="AA43" s="1681"/>
      <c r="AB43" s="8" t="str">
        <f>AB39&amp;".2"</f>
        <v>7.0.2</v>
      </c>
      <c r="AC43" s="111" t="s">
        <v>803</v>
      </c>
      <c r="AD43" s="8" t="s">
        <v>797</v>
      </c>
      <c r="AE43" s="1354"/>
      <c r="AF43" s="1354"/>
      <c r="AG43" s="1354"/>
      <c r="AH43" s="1354"/>
      <c r="AI43" s="60"/>
      <c r="AJ43" s="1354"/>
      <c r="AK43" s="1354"/>
      <c r="AL43" s="1354"/>
      <c r="AM43" s="1354"/>
      <c r="AN43" s="1354"/>
      <c r="AO43" s="1354"/>
      <c r="AP43" s="1354"/>
      <c r="AQ43" s="1354"/>
      <c r="AR43" s="1354"/>
      <c r="AS43" s="60"/>
      <c r="AT43" s="1354"/>
      <c r="AU43" s="1354"/>
      <c r="AV43" s="1354"/>
      <c r="AW43" s="1354"/>
      <c r="AX43" s="1354"/>
      <c r="AY43" s="1354"/>
      <c r="AZ43" s="1354"/>
      <c r="BA43" s="1354"/>
      <c r="BB43" s="1354"/>
      <c r="BC43" s="1361"/>
      <c r="BF43" s="932" t="s">
        <v>804</v>
      </c>
      <c r="BG43" s="932" t="s">
        <v>795</v>
      </c>
      <c r="BH43" s="932" cm="1">
        <f t="array" ref="BH43">BH42</f>
        <v>0</v>
      </c>
      <c r="BI43" s="183"/>
      <c r="BJ43" s="183"/>
    </row>
    <row r="44" spans="1:62" s="1325" customFormat="1" ht="10.9" hidden="1" customHeight="1">
      <c r="B44" s="346"/>
      <c r="C44" s="399"/>
      <c r="E44" s="183">
        <v>11.25</v>
      </c>
      <c r="F44" s="3" cm="1">
        <f t="array" aca="1" ref="F44" ca="1">OFFSET(E44,-1,1)</f>
        <v>0</v>
      </c>
      <c r="G44" s="45" t="s">
        <v>805</v>
      </c>
      <c r="H44" s="45" cm="1">
        <f t="array" ref="H44">H43</f>
        <v>0</v>
      </c>
      <c r="T44" s="381" t="b" cm="1">
        <f t="array" aca="1" ref="T44" ca="1">T43</f>
        <v>0</v>
      </c>
      <c r="X44" s="1732"/>
      <c r="Y44" s="1732"/>
      <c r="Z44" s="1757"/>
      <c r="AA44" s="1681"/>
      <c r="AB44" s="8" t="str">
        <f>AB39&amp;".2.1"</f>
        <v>7.0.2.1</v>
      </c>
      <c r="AC44" s="244" t="s">
        <v>806</v>
      </c>
      <c r="AD44" s="11" t="s">
        <v>807</v>
      </c>
      <c r="AE44" s="110">
        <f t="shared" ref="AE44:BB44" si="8">IF(OR(AND(AE43&lt;&gt;0,AE45=0),AND(AE43=0,AE45&lt;&gt;0)),"Ошибка",IF(AE45=0,0,AE43/AE45*1000/12))</f>
        <v>0</v>
      </c>
      <c r="AF44" s="110">
        <f t="shared" si="8"/>
        <v>0</v>
      </c>
      <c r="AG44" s="110">
        <f t="shared" si="8"/>
        <v>0</v>
      </c>
      <c r="AH44" s="110">
        <f t="shared" si="8"/>
        <v>0</v>
      </c>
      <c r="AI44" s="110">
        <f t="shared" si="8"/>
        <v>0</v>
      </c>
      <c r="AJ44" s="110">
        <f t="shared" si="8"/>
        <v>0</v>
      </c>
      <c r="AK44" s="110">
        <f t="shared" si="8"/>
        <v>0</v>
      </c>
      <c r="AL44" s="110">
        <f t="shared" si="8"/>
        <v>0</v>
      </c>
      <c r="AM44" s="110">
        <f t="shared" si="8"/>
        <v>0</v>
      </c>
      <c r="AN44" s="110">
        <f t="shared" si="8"/>
        <v>0</v>
      </c>
      <c r="AO44" s="110">
        <f t="shared" si="8"/>
        <v>0</v>
      </c>
      <c r="AP44" s="110">
        <f t="shared" si="8"/>
        <v>0</v>
      </c>
      <c r="AQ44" s="110">
        <f t="shared" si="8"/>
        <v>0</v>
      </c>
      <c r="AR44" s="110">
        <f t="shared" si="8"/>
        <v>0</v>
      </c>
      <c r="AS44" s="110">
        <f t="shared" si="8"/>
        <v>0</v>
      </c>
      <c r="AT44" s="110">
        <f t="shared" si="8"/>
        <v>0</v>
      </c>
      <c r="AU44" s="110">
        <f t="shared" si="8"/>
        <v>0</v>
      </c>
      <c r="AV44" s="110">
        <f t="shared" si="8"/>
        <v>0</v>
      </c>
      <c r="AW44" s="110">
        <f t="shared" si="8"/>
        <v>0</v>
      </c>
      <c r="AX44" s="110">
        <f t="shared" si="8"/>
        <v>0</v>
      </c>
      <c r="AY44" s="110">
        <f t="shared" si="8"/>
        <v>0</v>
      </c>
      <c r="AZ44" s="110">
        <f t="shared" si="8"/>
        <v>0</v>
      </c>
      <c r="BA44" s="110">
        <f t="shared" si="8"/>
        <v>0</v>
      </c>
      <c r="BB44" s="110">
        <f t="shared" si="8"/>
        <v>0</v>
      </c>
      <c r="BC44" s="1361"/>
      <c r="BF44" s="932" t="s">
        <v>808</v>
      </c>
      <c r="BG44" s="932" t="s">
        <v>795</v>
      </c>
      <c r="BH44" s="932" cm="1">
        <f t="array" ref="BH44">BH43</f>
        <v>0</v>
      </c>
      <c r="BI44" s="183"/>
      <c r="BJ44" s="183"/>
    </row>
    <row r="45" spans="1:62" s="1325" customFormat="1" ht="10.9" hidden="1" customHeight="1">
      <c r="B45" s="346"/>
      <c r="C45" s="399"/>
      <c r="E45" s="183">
        <v>11.25</v>
      </c>
      <c r="F45" s="3" cm="1">
        <f t="array" aca="1" ref="F45" ca="1">OFFSET(E45,-1,1)</f>
        <v>0</v>
      </c>
      <c r="G45" s="45" t="s">
        <v>809</v>
      </c>
      <c r="H45" s="45" cm="1">
        <f t="array" ref="H45">H44</f>
        <v>0</v>
      </c>
      <c r="T45" s="381" t="b" cm="1">
        <f t="array" aca="1" ref="T45" ca="1">T44</f>
        <v>0</v>
      </c>
      <c r="X45" s="1732"/>
      <c r="Y45" s="1732"/>
      <c r="Z45" s="1757"/>
      <c r="AA45" s="1681"/>
      <c r="AB45" s="8" t="str">
        <f>AB39&amp;".2.2"</f>
        <v>7.0.2.2</v>
      </c>
      <c r="AC45" s="244" t="s">
        <v>810</v>
      </c>
      <c r="AD45" s="11" t="s">
        <v>811</v>
      </c>
      <c r="AE45" s="1354"/>
      <c r="AF45" s="1354"/>
      <c r="AG45" s="1354"/>
      <c r="AH45" s="1354"/>
      <c r="AI45" s="60"/>
      <c r="AJ45" s="1354"/>
      <c r="AK45" s="1354"/>
      <c r="AL45" s="1354"/>
      <c r="AM45" s="1354"/>
      <c r="AN45" s="1354"/>
      <c r="AO45" s="1354"/>
      <c r="AP45" s="1354"/>
      <c r="AQ45" s="1354"/>
      <c r="AR45" s="1354"/>
      <c r="AS45" s="60"/>
      <c r="AT45" s="1354"/>
      <c r="AU45" s="1354"/>
      <c r="AV45" s="1354"/>
      <c r="AW45" s="1354"/>
      <c r="AX45" s="1354"/>
      <c r="AY45" s="1354"/>
      <c r="AZ45" s="1354"/>
      <c r="BA45" s="1354"/>
      <c r="BB45" s="1354"/>
      <c r="BC45" s="1361"/>
      <c r="BF45" s="932" t="s">
        <v>812</v>
      </c>
      <c r="BG45" s="932" t="s">
        <v>795</v>
      </c>
      <c r="BH45" s="932" cm="1">
        <f t="array" ref="BH45">BH44</f>
        <v>0</v>
      </c>
      <c r="BI45" s="183"/>
      <c r="BJ45" s="183"/>
    </row>
    <row r="46" spans="1:62" s="1242" customFormat="1" ht="14.65" hidden="1" customHeight="1">
      <c r="B46" s="344"/>
      <c r="C46" s="399"/>
      <c r="E46" s="550">
        <v>15</v>
      </c>
      <c r="F46" s="3" cm="1">
        <f t="array" aca="1" ref="F46" ca="1">OFFSET(E46,-1,1)</f>
        <v>0</v>
      </c>
      <c r="H46" s="861" t="s">
        <v>813</v>
      </c>
      <c r="T46" s="381" t="b">
        <f ca="1">F46&gt;0</f>
        <v>0</v>
      </c>
      <c r="W46" s="671" t="s">
        <v>814</v>
      </c>
      <c r="X46" s="1732"/>
      <c r="Z46" s="1757"/>
      <c r="AB46" s="94"/>
      <c r="AC46" s="97" t="s">
        <v>815</v>
      </c>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106"/>
      <c r="BF46" s="920"/>
      <c r="BG46" s="920"/>
      <c r="BH46" s="920"/>
      <c r="BI46" s="550" t="s">
        <v>795</v>
      </c>
      <c r="BJ46" s="550"/>
    </row>
    <row r="47" spans="1:62" s="1393" customFormat="1" ht="14.25" customHeight="1">
      <c r="A47" s="1079"/>
      <c r="B47" s="346"/>
      <c r="C47" s="401"/>
      <c r="D47" s="1079"/>
      <c r="E47" s="549">
        <v>15</v>
      </c>
      <c r="F47" s="17" t="str" cm="1">
        <f t="array" ref="F47">X47</f>
        <v>1</v>
      </c>
      <c r="G47" s="17"/>
      <c r="H47" s="17"/>
      <c r="I47" s="1079"/>
      <c r="J47" s="1079"/>
      <c r="K47" s="1079"/>
      <c r="L47" s="1079"/>
      <c r="M47" s="1079"/>
      <c r="N47" s="1079"/>
      <c r="O47" s="1079"/>
      <c r="P47" s="1079"/>
      <c r="Q47" s="1079"/>
      <c r="R47" s="1079"/>
      <c r="S47" s="1079"/>
      <c r="T47" s="381" t="b">
        <f>X47&gt;0</f>
        <v>1</v>
      </c>
      <c r="U47" s="1079"/>
      <c r="V47" s="63" t="str" cm="1">
        <f t="array" ref="V47">'Сырье и материалы'!$AB$31</f>
        <v>Тариф 1 (Водоснабжение) - тариф на питьевую воду</v>
      </c>
      <c r="W47" s="1079"/>
      <c r="X47" s="1732" t="s">
        <v>281</v>
      </c>
      <c r="Y47" s="1079"/>
      <c r="Z47" s="1757"/>
      <c r="AA47" s="1079"/>
      <c r="AB47" s="102" t="str" cm="1">
        <f t="array" ref="AB47">'Сырье и материалы'!$AB$31</f>
        <v>Тариф 1 (Водоснабжение) - тариф на питьевую воду</v>
      </c>
      <c r="AC47" s="99"/>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1079"/>
      <c r="BE47" s="1079"/>
      <c r="BF47" s="915"/>
      <c r="BG47" s="915"/>
      <c r="BH47" s="915"/>
      <c r="BI47" s="547"/>
      <c r="BJ47" s="547"/>
    </row>
    <row r="48" spans="1:62" s="1081" customFormat="1" ht="10.5" customHeight="1">
      <c r="A48" s="1325"/>
      <c r="B48" s="346"/>
      <c r="C48" s="399"/>
      <c r="D48" s="860"/>
      <c r="E48" s="183">
        <v>11.25</v>
      </c>
      <c r="F48" s="3" t="str" cm="1">
        <f t="array" aca="1" ref="F48" ca="1">OFFSET(E48,-1,1)</f>
        <v>1</v>
      </c>
      <c r="G48" s="45" t="s">
        <v>323</v>
      </c>
      <c r="H48" s="45"/>
      <c r="I48" s="1325"/>
      <c r="J48" s="1325"/>
      <c r="K48" s="399" t="str">
        <f ca="1">F48&amp;"komm"</f>
        <v>1komm</v>
      </c>
      <c r="L48" s="823" cm="1">
        <f t="array" ref="L48">BC48</f>
        <v>0</v>
      </c>
      <c r="M48" s="1325"/>
      <c r="N48" s="1325"/>
      <c r="O48" s="1325"/>
      <c r="P48" s="1325"/>
      <c r="Q48" s="1325"/>
      <c r="R48" s="1325"/>
      <c r="S48" s="1325"/>
      <c r="T48" s="381" t="b" cm="1">
        <f t="array" ref="T48">T47</f>
        <v>1</v>
      </c>
      <c r="U48" s="1325"/>
      <c r="V48" s="1325"/>
      <c r="W48" s="1325"/>
      <c r="X48" s="1732"/>
      <c r="Y48" s="1325"/>
      <c r="Z48" s="1757"/>
      <c r="AA48" s="1325"/>
      <c r="AB48" s="8" t="s">
        <v>281</v>
      </c>
      <c r="AC48" s="57" t="s">
        <v>765</v>
      </c>
      <c r="AD48" s="8" t="s">
        <v>766</v>
      </c>
      <c r="AE48" s="110">
        <f t="shared" ref="AE48:BB48" si="9">IF(COUNTIF(AE53:AE66,"Ошибка")&gt;0,"Ошибка",SUMIF($AD53:$AD66,$AD48,AE53:AE66))</f>
        <v>0</v>
      </c>
      <c r="AF48" s="110">
        <f t="shared" si="9"/>
        <v>0</v>
      </c>
      <c r="AG48" s="110">
        <f t="shared" si="9"/>
        <v>0</v>
      </c>
      <c r="AH48" s="110">
        <f t="shared" si="9"/>
        <v>0</v>
      </c>
      <c r="AI48" s="110">
        <f t="shared" si="9"/>
        <v>0</v>
      </c>
      <c r="AJ48" s="110">
        <f t="shared" si="9"/>
        <v>0</v>
      </c>
      <c r="AK48" s="110">
        <f t="shared" si="9"/>
        <v>0</v>
      </c>
      <c r="AL48" s="110">
        <f t="shared" si="9"/>
        <v>0</v>
      </c>
      <c r="AM48" s="110">
        <f t="shared" si="9"/>
        <v>0</v>
      </c>
      <c r="AN48" s="110">
        <f t="shared" si="9"/>
        <v>0</v>
      </c>
      <c r="AO48" s="110">
        <f t="shared" si="9"/>
        <v>0</v>
      </c>
      <c r="AP48" s="110">
        <f t="shared" si="9"/>
        <v>0</v>
      </c>
      <c r="AQ48" s="110">
        <f t="shared" si="9"/>
        <v>0</v>
      </c>
      <c r="AR48" s="110">
        <f t="shared" si="9"/>
        <v>0</v>
      </c>
      <c r="AS48" s="110">
        <f t="shared" si="9"/>
        <v>0</v>
      </c>
      <c r="AT48" s="110">
        <f t="shared" si="9"/>
        <v>0</v>
      </c>
      <c r="AU48" s="110">
        <f t="shared" si="9"/>
        <v>0</v>
      </c>
      <c r="AV48" s="110">
        <f t="shared" si="9"/>
        <v>0</v>
      </c>
      <c r="AW48" s="110">
        <f t="shared" si="9"/>
        <v>0</v>
      </c>
      <c r="AX48" s="110">
        <f t="shared" si="9"/>
        <v>0</v>
      </c>
      <c r="AY48" s="110">
        <f t="shared" si="9"/>
        <v>0</v>
      </c>
      <c r="AZ48" s="110">
        <f t="shared" si="9"/>
        <v>0</v>
      </c>
      <c r="BA48" s="110">
        <f t="shared" si="9"/>
        <v>0</v>
      </c>
      <c r="BB48" s="110">
        <f t="shared" si="9"/>
        <v>0</v>
      </c>
      <c r="BC48" s="118"/>
      <c r="BD48" s="1325"/>
      <c r="BE48" s="1325"/>
      <c r="BF48" s="932" t="s">
        <v>772</v>
      </c>
      <c r="BG48" s="932"/>
      <c r="BH48" s="932"/>
      <c r="BI48" s="183"/>
      <c r="BJ48" s="183"/>
    </row>
    <row r="49" spans="1:62" s="1081" customFormat="1" ht="10.5" customHeight="1">
      <c r="A49" s="1325"/>
      <c r="B49" s="346"/>
      <c r="C49" s="399"/>
      <c r="D49" s="1325"/>
      <c r="E49" s="183">
        <v>11.25</v>
      </c>
      <c r="F49" s="3" t="str" cm="1">
        <f t="array" aca="1" ref="F49" ca="1">OFFSET(E49,-1,1)</f>
        <v>1</v>
      </c>
      <c r="G49" s="45" t="s">
        <v>324</v>
      </c>
      <c r="H49" s="45"/>
      <c r="I49" s="1325"/>
      <c r="J49" s="1325"/>
      <c r="K49" s="1325"/>
      <c r="L49" s="1325"/>
      <c r="M49" s="1325"/>
      <c r="N49" s="1325"/>
      <c r="O49" s="1325"/>
      <c r="P49" s="1325"/>
      <c r="Q49" s="1325"/>
      <c r="R49" s="1325"/>
      <c r="S49" s="1325"/>
      <c r="T49" s="381" t="b" cm="1">
        <f t="array" ref="T49">T48</f>
        <v>1</v>
      </c>
      <c r="U49" s="1325"/>
      <c r="V49" s="1325"/>
      <c r="W49" s="1325"/>
      <c r="X49" s="1732"/>
      <c r="Y49" s="1325"/>
      <c r="Z49" s="1757"/>
      <c r="AA49" s="1325"/>
      <c r="AB49" s="8" t="s">
        <v>224</v>
      </c>
      <c r="AC49" s="57" t="s">
        <v>773</v>
      </c>
      <c r="AD49" s="11" t="s">
        <v>774</v>
      </c>
      <c r="AE49" s="110">
        <f>SUMIF(AD53:AD66,AD49,AE53:AE66)</f>
        <v>0</v>
      </c>
      <c r="AF49" s="110">
        <f>SUMIF(AD53:AD66,AD49,AF53:AF66)</f>
        <v>0</v>
      </c>
      <c r="AG49" s="110">
        <f>SUMIF(AD53:AD66,AD49,AG53:AG66)</f>
        <v>0</v>
      </c>
      <c r="AH49" s="110">
        <f>SUMIF(AD53:AD66,AD49,AH53:AH66)</f>
        <v>0</v>
      </c>
      <c r="AI49" s="110">
        <f>SUMIF(AD53:AD66,AD49,AI53:AI66)</f>
        <v>0</v>
      </c>
      <c r="AJ49" s="110">
        <f>SUMIF(AD53:AD66,AD49,AJ53:AJ66)</f>
        <v>0</v>
      </c>
      <c r="AK49" s="110">
        <f>SUMIF(AD53:AD66,AD49,AK53:AK66)</f>
        <v>0</v>
      </c>
      <c r="AL49" s="110">
        <f>SUMIF(AD53:AD66,AD49,AL53:AL66)</f>
        <v>0</v>
      </c>
      <c r="AM49" s="110">
        <f>SUMIF(AD53:AD66,AD49,AM53:AM66)</f>
        <v>0</v>
      </c>
      <c r="AN49" s="110">
        <f>SUMIF(AD53:AD66,AD49,AN53:AN66)</f>
        <v>0</v>
      </c>
      <c r="AO49" s="110">
        <f>SUMIF(AD53:AD66,AD49,AO53:AO66)</f>
        <v>0</v>
      </c>
      <c r="AP49" s="110">
        <f>SUMIF(AD53:AD66,AD49,AP53:AP66)</f>
        <v>0</v>
      </c>
      <c r="AQ49" s="110">
        <f>SUMIF(AD53:AD66,AD49,AQ53:AQ66)</f>
        <v>0</v>
      </c>
      <c r="AR49" s="110">
        <f>SUMIF(AD53:AD66,AD49,AR53:AR66)</f>
        <v>0</v>
      </c>
      <c r="AS49" s="110">
        <f>SUMIF(AD53:AD66,AD49,AS53:AS66)</f>
        <v>0</v>
      </c>
      <c r="AT49" s="110">
        <f>SUMIF(AD53:AD66,AD49,AT53:AT66)</f>
        <v>0</v>
      </c>
      <c r="AU49" s="110">
        <f>SUMIF(AD53:AD66,AD49,AU53:AU66)</f>
        <v>0</v>
      </c>
      <c r="AV49" s="110">
        <f>SUMIF(AD53:AD66,AD49,AV53:AV66)</f>
        <v>0</v>
      </c>
      <c r="AW49" s="110">
        <f>SUMIF(AD53:AD66,AD49,AW53:AW66)</f>
        <v>0</v>
      </c>
      <c r="AX49" s="110">
        <f>SUMIF(AD53:AD66,AD49,AX53:AX66)</f>
        <v>0</v>
      </c>
      <c r="AY49" s="110">
        <f>SUMIF(AD53:AD66,AD49,AY53:AY66)</f>
        <v>0</v>
      </c>
      <c r="AZ49" s="110">
        <f>SUMIF(AD53:AD66,AD49,AZ53:AZ66)</f>
        <v>0</v>
      </c>
      <c r="BA49" s="110">
        <f>SUMIF(AD53:AD66,AD49,BA53:BA66)</f>
        <v>0</v>
      </c>
      <c r="BB49" s="110">
        <f>SUMIF(AD53:AD66,AD49,BB53:BB66)</f>
        <v>0</v>
      </c>
      <c r="BC49" s="118"/>
      <c r="BD49" s="1325"/>
      <c r="BE49" s="1325"/>
      <c r="BF49" s="932" t="s">
        <v>775</v>
      </c>
      <c r="BG49" s="932"/>
      <c r="BH49" s="932"/>
      <c r="BI49" s="183"/>
      <c r="BJ49" s="183"/>
    </row>
    <row r="50" spans="1:62" s="1081" customFormat="1" ht="10.5" customHeight="1">
      <c r="A50" s="1325"/>
      <c r="B50" s="346"/>
      <c r="C50" s="399"/>
      <c r="D50" s="1325"/>
      <c r="E50" s="183">
        <v>11.25</v>
      </c>
      <c r="F50" s="3" t="str" cm="1">
        <f t="array" aca="1" ref="F50" ca="1">OFFSET(E50,-1,1)</f>
        <v>1</v>
      </c>
      <c r="G50" s="45" t="s">
        <v>325</v>
      </c>
      <c r="H50" s="45"/>
      <c r="I50" s="1325"/>
      <c r="J50" s="1325"/>
      <c r="K50" s="1325"/>
      <c r="L50" s="1325"/>
      <c r="M50" s="1325"/>
      <c r="N50" s="1325"/>
      <c r="O50" s="1325"/>
      <c r="P50" s="1325"/>
      <c r="Q50" s="1325"/>
      <c r="R50" s="1325"/>
      <c r="S50" s="1325"/>
      <c r="T50" s="381" t="b" cm="1">
        <f t="array" ref="T50">T49</f>
        <v>1</v>
      </c>
      <c r="U50" s="1325"/>
      <c r="V50" s="1325"/>
      <c r="W50" s="1325"/>
      <c r="X50" s="1732"/>
      <c r="Y50" s="1325"/>
      <c r="Z50" s="1757"/>
      <c r="AA50" s="1325"/>
      <c r="AB50" s="8" t="s">
        <v>321</v>
      </c>
      <c r="AC50" s="57" t="s">
        <v>776</v>
      </c>
      <c r="AD50" s="11" t="s">
        <v>777</v>
      </c>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18"/>
      <c r="BD50" s="1325"/>
      <c r="BE50" s="1325"/>
      <c r="BF50" s="932" t="s">
        <v>778</v>
      </c>
      <c r="BG50" s="932"/>
      <c r="BH50" s="932"/>
      <c r="BI50" s="183"/>
      <c r="BJ50" s="183"/>
    </row>
    <row r="51" spans="1:62" s="1081" customFormat="1" ht="10.5" customHeight="1">
      <c r="A51" s="1325"/>
      <c r="B51" s="346"/>
      <c r="C51" s="399"/>
      <c r="D51" s="1325"/>
      <c r="E51" s="183">
        <v>11.25</v>
      </c>
      <c r="F51" s="3" t="str" cm="1">
        <f t="array" aca="1" ref="F51" ca="1">OFFSET(E51,-1,1)</f>
        <v>1</v>
      </c>
      <c r="G51" s="45" t="s">
        <v>327</v>
      </c>
      <c r="H51" s="45"/>
      <c r="I51" s="1325"/>
      <c r="J51" s="1325"/>
      <c r="K51" s="1325"/>
      <c r="L51" s="1325"/>
      <c r="M51" s="1325"/>
      <c r="N51" s="1325"/>
      <c r="O51" s="1325"/>
      <c r="P51" s="1325"/>
      <c r="Q51" s="1325"/>
      <c r="R51" s="1325"/>
      <c r="S51" s="1325"/>
      <c r="T51" s="381" t="b" cm="1">
        <f t="array" ref="T51">T50</f>
        <v>1</v>
      </c>
      <c r="U51" s="1325"/>
      <c r="V51" s="1325"/>
      <c r="W51" s="1325"/>
      <c r="X51" s="1732"/>
      <c r="Y51" s="1325"/>
      <c r="Z51" s="1757"/>
      <c r="AA51" s="1325"/>
      <c r="AB51" s="8" t="s">
        <v>523</v>
      </c>
      <c r="AC51" s="57" t="s">
        <v>779</v>
      </c>
      <c r="AD51" s="11" t="s">
        <v>780</v>
      </c>
      <c r="AE51" s="110">
        <f t="shared" ref="AE51:BB51" si="10">IF(AE49=0,0,AE48/AE49)</f>
        <v>0</v>
      </c>
      <c r="AF51" s="110">
        <f t="shared" si="10"/>
        <v>0</v>
      </c>
      <c r="AG51" s="110">
        <f t="shared" si="10"/>
        <v>0</v>
      </c>
      <c r="AH51" s="110">
        <f t="shared" si="10"/>
        <v>0</v>
      </c>
      <c r="AI51" s="110">
        <f t="shared" si="10"/>
        <v>0</v>
      </c>
      <c r="AJ51" s="110">
        <f t="shared" si="10"/>
        <v>0</v>
      </c>
      <c r="AK51" s="110">
        <f t="shared" si="10"/>
        <v>0</v>
      </c>
      <c r="AL51" s="110">
        <f t="shared" si="10"/>
        <v>0</v>
      </c>
      <c r="AM51" s="110">
        <f t="shared" si="10"/>
        <v>0</v>
      </c>
      <c r="AN51" s="110">
        <f t="shared" si="10"/>
        <v>0</v>
      </c>
      <c r="AO51" s="110">
        <f t="shared" si="10"/>
        <v>0</v>
      </c>
      <c r="AP51" s="110">
        <f t="shared" si="10"/>
        <v>0</v>
      </c>
      <c r="AQ51" s="110">
        <f t="shared" si="10"/>
        <v>0</v>
      </c>
      <c r="AR51" s="110">
        <f t="shared" si="10"/>
        <v>0</v>
      </c>
      <c r="AS51" s="110">
        <f t="shared" si="10"/>
        <v>0</v>
      </c>
      <c r="AT51" s="110">
        <f t="shared" si="10"/>
        <v>0</v>
      </c>
      <c r="AU51" s="110">
        <f t="shared" si="10"/>
        <v>0</v>
      </c>
      <c r="AV51" s="110">
        <f t="shared" si="10"/>
        <v>0</v>
      </c>
      <c r="AW51" s="110">
        <f t="shared" si="10"/>
        <v>0</v>
      </c>
      <c r="AX51" s="110">
        <f t="shared" si="10"/>
        <v>0</v>
      </c>
      <c r="AY51" s="110">
        <f t="shared" si="10"/>
        <v>0</v>
      </c>
      <c r="AZ51" s="110">
        <f t="shared" si="10"/>
        <v>0</v>
      </c>
      <c r="BA51" s="110">
        <f t="shared" si="10"/>
        <v>0</v>
      </c>
      <c r="BB51" s="110">
        <f t="shared" si="10"/>
        <v>0</v>
      </c>
      <c r="BC51" s="118"/>
      <c r="BD51" s="1325"/>
      <c r="BE51" s="1325"/>
      <c r="BF51" s="932" t="s">
        <v>781</v>
      </c>
      <c r="BG51" s="932"/>
      <c r="BH51" s="932"/>
      <c r="BI51" s="183"/>
      <c r="BJ51" s="183"/>
    </row>
    <row r="52" spans="1:62" s="1081" customFormat="1" ht="10.5" customHeight="1">
      <c r="A52" s="1325"/>
      <c r="B52" s="346"/>
      <c r="C52" s="399"/>
      <c r="D52" s="1325"/>
      <c r="E52" s="183">
        <v>11.25</v>
      </c>
      <c r="F52" s="3" t="str" cm="1">
        <f t="array" aca="1" ref="F52" ca="1">OFFSET(E52,-1,1)</f>
        <v>1</v>
      </c>
      <c r="G52" s="45" t="s">
        <v>326</v>
      </c>
      <c r="H52" s="45"/>
      <c r="I52" s="1325"/>
      <c r="J52" s="1325"/>
      <c r="K52" s="1325"/>
      <c r="L52" s="1325"/>
      <c r="M52" s="1325"/>
      <c r="N52" s="1325"/>
      <c r="O52" s="1325"/>
      <c r="P52" s="1325"/>
      <c r="Q52" s="1325"/>
      <c r="R52" s="1325"/>
      <c r="S52" s="1325"/>
      <c r="T52" s="381" t="b" cm="1">
        <f t="array" ref="T52">T51</f>
        <v>1</v>
      </c>
      <c r="U52" s="1325"/>
      <c r="V52" s="1325"/>
      <c r="W52" s="1325"/>
      <c r="X52" s="1732"/>
      <c r="Y52" s="1325"/>
      <c r="Z52" s="1757"/>
      <c r="AA52" s="1325"/>
      <c r="AB52" s="8" t="s">
        <v>478</v>
      </c>
      <c r="AC52" s="57" t="s">
        <v>782</v>
      </c>
      <c r="AD52" s="11" t="s">
        <v>783</v>
      </c>
      <c r="AE52" s="229">
        <f t="shared" ref="AE52:BB52" si="11">IF(AE50=0,0,AE49/AE50)</f>
        <v>0</v>
      </c>
      <c r="AF52" s="229">
        <f t="shared" si="11"/>
        <v>0</v>
      </c>
      <c r="AG52" s="229">
        <f t="shared" si="11"/>
        <v>0</v>
      </c>
      <c r="AH52" s="229">
        <f t="shared" si="11"/>
        <v>0</v>
      </c>
      <c r="AI52" s="229">
        <f t="shared" si="11"/>
        <v>0</v>
      </c>
      <c r="AJ52" s="229">
        <f t="shared" si="11"/>
        <v>0</v>
      </c>
      <c r="AK52" s="229">
        <f t="shared" si="11"/>
        <v>0</v>
      </c>
      <c r="AL52" s="229">
        <f t="shared" si="11"/>
        <v>0</v>
      </c>
      <c r="AM52" s="229">
        <f t="shared" si="11"/>
        <v>0</v>
      </c>
      <c r="AN52" s="229">
        <f t="shared" si="11"/>
        <v>0</v>
      </c>
      <c r="AO52" s="229">
        <f t="shared" si="11"/>
        <v>0</v>
      </c>
      <c r="AP52" s="229">
        <f t="shared" si="11"/>
        <v>0</v>
      </c>
      <c r="AQ52" s="229">
        <f t="shared" si="11"/>
        <v>0</v>
      </c>
      <c r="AR52" s="229">
        <f t="shared" si="11"/>
        <v>0</v>
      </c>
      <c r="AS52" s="229">
        <f t="shared" si="11"/>
        <v>0</v>
      </c>
      <c r="AT52" s="229">
        <f t="shared" si="11"/>
        <v>0</v>
      </c>
      <c r="AU52" s="229">
        <f t="shared" si="11"/>
        <v>0</v>
      </c>
      <c r="AV52" s="229">
        <f t="shared" si="11"/>
        <v>0</v>
      </c>
      <c r="AW52" s="229">
        <f t="shared" si="11"/>
        <v>0</v>
      </c>
      <c r="AX52" s="229">
        <f t="shared" si="11"/>
        <v>0</v>
      </c>
      <c r="AY52" s="229">
        <f t="shared" si="11"/>
        <v>0</v>
      </c>
      <c r="AZ52" s="229">
        <f t="shared" si="11"/>
        <v>0</v>
      </c>
      <c r="BA52" s="229">
        <f t="shared" si="11"/>
        <v>0</v>
      </c>
      <c r="BB52" s="229">
        <f t="shared" si="11"/>
        <v>0</v>
      </c>
      <c r="BC52" s="118"/>
      <c r="BD52" s="1325"/>
      <c r="BE52" s="1325"/>
      <c r="BF52" s="932" t="s">
        <v>784</v>
      </c>
      <c r="BG52" s="932"/>
      <c r="BH52" s="932"/>
      <c r="BI52" s="183"/>
      <c r="BJ52" s="183"/>
    </row>
    <row r="53" spans="1:62" s="1081" customFormat="1" ht="12" customHeight="1">
      <c r="A53" s="1325"/>
      <c r="B53" s="346"/>
      <c r="C53" s="399"/>
      <c r="D53" s="1325"/>
      <c r="E53" s="183">
        <v>13</v>
      </c>
      <c r="F53" s="3" t="str" cm="1">
        <f t="array" aca="1" ref="F53" ca="1">OFFSET(E53,-1,1)</f>
        <v>1</v>
      </c>
      <c r="G53" s="45"/>
      <c r="H53" s="45"/>
      <c r="I53" s="1325"/>
      <c r="J53" s="1325"/>
      <c r="K53" s="1325"/>
      <c r="L53" s="1325"/>
      <c r="M53" s="1325"/>
      <c r="N53" s="1325"/>
      <c r="O53" s="1325"/>
      <c r="P53" s="1325"/>
      <c r="Q53" s="1325"/>
      <c r="R53" s="1325"/>
      <c r="S53" s="1325"/>
      <c r="T53" s="381" t="b" cm="1">
        <f t="array" ref="T53">T52</f>
        <v>1</v>
      </c>
      <c r="U53" s="1325"/>
      <c r="V53" s="1325"/>
      <c r="W53" s="1325"/>
      <c r="X53" s="1732"/>
      <c r="Y53" s="1325"/>
      <c r="Z53" s="1757"/>
      <c r="AA53" s="1325"/>
      <c r="AB53" s="569"/>
      <c r="AC53" s="182" t="s">
        <v>785</v>
      </c>
      <c r="AD53" s="183"/>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5"/>
      <c r="BD53" s="1325"/>
      <c r="BE53" s="1325"/>
      <c r="BF53" s="932"/>
      <c r="BG53" s="932"/>
      <c r="BH53" s="932"/>
      <c r="BI53" s="183"/>
      <c r="BJ53" s="183"/>
    </row>
    <row r="54" spans="1:62" s="1081" customFormat="1" ht="10.5" hidden="1" customHeight="1">
      <c r="A54" s="1325"/>
      <c r="B54" s="346"/>
      <c r="C54" s="399"/>
      <c r="D54" s="1325"/>
      <c r="E54" s="183">
        <v>11.25</v>
      </c>
      <c r="F54" s="3" t="str" cm="1">
        <f t="array" aca="1" ref="F54" ca="1">OFFSET(E54,-1,1)</f>
        <v>1</v>
      </c>
      <c r="G54" s="45" t="s">
        <v>477</v>
      </c>
      <c r="H54" s="45" cm="1">
        <f t="array" ref="H54">AC54</f>
        <v>0</v>
      </c>
      <c r="I54" s="1325"/>
      <c r="J54" s="1325"/>
      <c r="K54" s="1325"/>
      <c r="L54" s="1325"/>
      <c r="M54" s="1325"/>
      <c r="N54" s="1325"/>
      <c r="O54" s="1325"/>
      <c r="P54" s="1325"/>
      <c r="Q54" s="1325"/>
      <c r="R54" s="1325"/>
      <c r="S54" s="1325"/>
      <c r="T54" s="381" t="b">
        <f ca="1">AND(F54&gt;0,Y54&gt;0)</f>
        <v>0</v>
      </c>
      <c r="U54" s="1325"/>
      <c r="V54" s="1325"/>
      <c r="W54" s="671" t="s">
        <v>173</v>
      </c>
      <c r="X54" s="1732"/>
      <c r="Y54" s="1732">
        <v>0</v>
      </c>
      <c r="Z54" s="1757"/>
      <c r="AA54" s="1681" t="s">
        <v>174</v>
      </c>
      <c r="AB54" s="8" t="str">
        <f>"6."&amp;Y54</f>
        <v>6.0</v>
      </c>
      <c r="AC54" s="1390"/>
      <c r="AD54" s="8" t="s">
        <v>766</v>
      </c>
      <c r="AE54" s="1354"/>
      <c r="AF54" s="1354"/>
      <c r="AG54" s="1354"/>
      <c r="AH54" s="1354"/>
      <c r="AI54" s="60"/>
      <c r="AJ54" s="1354"/>
      <c r="AK54" s="1354"/>
      <c r="AL54" s="1354"/>
      <c r="AM54" s="1354"/>
      <c r="AN54" s="1354"/>
      <c r="AO54" s="1354"/>
      <c r="AP54" s="1354"/>
      <c r="AQ54" s="1354"/>
      <c r="AR54" s="1354"/>
      <c r="AS54" s="60"/>
      <c r="AT54" s="1354"/>
      <c r="AU54" s="1354"/>
      <c r="AV54" s="1354"/>
      <c r="AW54" s="1354"/>
      <c r="AX54" s="1354"/>
      <c r="AY54" s="1354"/>
      <c r="AZ54" s="1354"/>
      <c r="BA54" s="1354"/>
      <c r="BB54" s="1354"/>
      <c r="BC54" s="1361"/>
      <c r="BD54" s="1325"/>
      <c r="BE54" s="1325"/>
      <c r="BF54" s="932" t="s">
        <v>786</v>
      </c>
      <c r="BG54" s="932" t="s">
        <v>787</v>
      </c>
      <c r="BH54" s="932" cm="1">
        <f t="array" ref="BH54">AC54</f>
        <v>0</v>
      </c>
      <c r="BI54" s="183"/>
      <c r="BJ54" s="183" t="b">
        <v>1</v>
      </c>
    </row>
    <row r="55" spans="1:62" s="1081" customFormat="1" ht="10.5" hidden="1" customHeight="1">
      <c r="A55" s="1325"/>
      <c r="B55" s="346"/>
      <c r="C55" s="399"/>
      <c r="D55" s="1325"/>
      <c r="E55" s="183">
        <v>11.25</v>
      </c>
      <c r="F55" s="3" t="str" cm="1">
        <f t="array" aca="1" ref="F55" ca="1">OFFSET(E55,-1,1)</f>
        <v>1</v>
      </c>
      <c r="G55" s="45" t="s">
        <v>638</v>
      </c>
      <c r="H55" s="45" cm="1">
        <f t="array" ref="H55">H54</f>
        <v>0</v>
      </c>
      <c r="I55" s="1325"/>
      <c r="J55" s="1325"/>
      <c r="K55" s="1325"/>
      <c r="L55" s="1325"/>
      <c r="M55" s="1325"/>
      <c r="N55" s="1325"/>
      <c r="O55" s="1325"/>
      <c r="P55" s="1325"/>
      <c r="Q55" s="1325"/>
      <c r="R55" s="1325"/>
      <c r="S55" s="1325"/>
      <c r="T55" s="381" t="b" cm="1">
        <f t="array" aca="1" ref="T55" ca="1">T54</f>
        <v>0</v>
      </c>
      <c r="U55" s="1325"/>
      <c r="V55" s="1325"/>
      <c r="W55" s="1325"/>
      <c r="X55" s="1732"/>
      <c r="Y55" s="1732"/>
      <c r="Z55" s="1757"/>
      <c r="AA55" s="1681"/>
      <c r="AB55" s="8" t="str">
        <f>AB54&amp;".1"</f>
        <v>6.0.1</v>
      </c>
      <c r="AC55" s="111" t="s">
        <v>788</v>
      </c>
      <c r="AD55" s="11" t="s">
        <v>780</v>
      </c>
      <c r="AE55" s="110">
        <f t="shared" ref="AE55:BB55" si="12">IF(OR(AND(AE54&lt;&gt;0,AE56=0),AND(AE54=0,AE56&lt;&gt;0)),"Ошибка",IF(AE56=0,0,AE54/AE56))</f>
        <v>0</v>
      </c>
      <c r="AF55" s="110">
        <f t="shared" si="12"/>
        <v>0</v>
      </c>
      <c r="AG55" s="110">
        <f t="shared" si="12"/>
        <v>0</v>
      </c>
      <c r="AH55" s="110">
        <f t="shared" si="12"/>
        <v>0</v>
      </c>
      <c r="AI55" s="110">
        <f t="shared" si="12"/>
        <v>0</v>
      </c>
      <c r="AJ55" s="110">
        <f t="shared" si="12"/>
        <v>0</v>
      </c>
      <c r="AK55" s="110">
        <f t="shared" si="12"/>
        <v>0</v>
      </c>
      <c r="AL55" s="110">
        <f t="shared" si="12"/>
        <v>0</v>
      </c>
      <c r="AM55" s="110">
        <f t="shared" si="12"/>
        <v>0</v>
      </c>
      <c r="AN55" s="110">
        <f t="shared" si="12"/>
        <v>0</v>
      </c>
      <c r="AO55" s="110">
        <f t="shared" si="12"/>
        <v>0</v>
      </c>
      <c r="AP55" s="110">
        <f t="shared" si="12"/>
        <v>0</v>
      </c>
      <c r="AQ55" s="110">
        <f t="shared" si="12"/>
        <v>0</v>
      </c>
      <c r="AR55" s="110">
        <f t="shared" si="12"/>
        <v>0</v>
      </c>
      <c r="AS55" s="110">
        <f t="shared" si="12"/>
        <v>0</v>
      </c>
      <c r="AT55" s="110">
        <f t="shared" si="12"/>
        <v>0</v>
      </c>
      <c r="AU55" s="110">
        <f t="shared" si="12"/>
        <v>0</v>
      </c>
      <c r="AV55" s="110">
        <f t="shared" si="12"/>
        <v>0</v>
      </c>
      <c r="AW55" s="110">
        <f t="shared" si="12"/>
        <v>0</v>
      </c>
      <c r="AX55" s="110">
        <f t="shared" si="12"/>
        <v>0</v>
      </c>
      <c r="AY55" s="110">
        <f t="shared" si="12"/>
        <v>0</v>
      </c>
      <c r="AZ55" s="110">
        <f t="shared" si="12"/>
        <v>0</v>
      </c>
      <c r="BA55" s="110">
        <f t="shared" si="12"/>
        <v>0</v>
      </c>
      <c r="BB55" s="110">
        <f t="shared" si="12"/>
        <v>0</v>
      </c>
      <c r="BC55" s="1361"/>
      <c r="BD55" s="1325"/>
      <c r="BE55" s="1325"/>
      <c r="BF55" s="932" t="s">
        <v>789</v>
      </c>
      <c r="BG55" s="932" t="s">
        <v>787</v>
      </c>
      <c r="BH55" s="932" cm="1">
        <f t="array" ref="BH55">BH54</f>
        <v>0</v>
      </c>
      <c r="BI55" s="183"/>
      <c r="BJ55" s="183"/>
    </row>
    <row r="56" spans="1:62" s="1081" customFormat="1" ht="10.5" hidden="1" customHeight="1">
      <c r="A56" s="1325"/>
      <c r="B56" s="346"/>
      <c r="C56" s="399"/>
      <c r="D56" s="1325"/>
      <c r="E56" s="183">
        <v>11.25</v>
      </c>
      <c r="F56" s="3" t="str" cm="1">
        <f t="array" aca="1" ref="F56" ca="1">OFFSET(E56,-1,1)</f>
        <v>1</v>
      </c>
      <c r="G56" s="45" t="s">
        <v>641</v>
      </c>
      <c r="H56" s="45" cm="1">
        <f t="array" ref="H56">H55</f>
        <v>0</v>
      </c>
      <c r="I56" s="1325"/>
      <c r="J56" s="1325"/>
      <c r="K56" s="1325"/>
      <c r="L56" s="1325"/>
      <c r="M56" s="1325"/>
      <c r="N56" s="1325"/>
      <c r="O56" s="1325"/>
      <c r="P56" s="1325"/>
      <c r="Q56" s="1325"/>
      <c r="R56" s="1325"/>
      <c r="S56" s="1325"/>
      <c r="T56" s="381" t="b" cm="1">
        <f t="array" aca="1" ref="T56" ca="1">T55</f>
        <v>0</v>
      </c>
      <c r="U56" s="1325"/>
      <c r="V56" s="1325"/>
      <c r="W56" s="1325"/>
      <c r="X56" s="1732"/>
      <c r="Y56" s="1732"/>
      <c r="Z56" s="1757"/>
      <c r="AA56" s="1681"/>
      <c r="AB56" s="8" t="str">
        <f>AB54&amp;".2"</f>
        <v>6.0.2</v>
      </c>
      <c r="AC56" s="111" t="s">
        <v>790</v>
      </c>
      <c r="AD56" s="11" t="s">
        <v>774</v>
      </c>
      <c r="AE56" s="1354"/>
      <c r="AF56" s="1354"/>
      <c r="AG56" s="1354"/>
      <c r="AH56" s="1354"/>
      <c r="AI56" s="60"/>
      <c r="AJ56" s="1354"/>
      <c r="AK56" s="1354"/>
      <c r="AL56" s="1354"/>
      <c r="AM56" s="1354"/>
      <c r="AN56" s="1354"/>
      <c r="AO56" s="1354"/>
      <c r="AP56" s="1354"/>
      <c r="AQ56" s="1354"/>
      <c r="AR56" s="1354"/>
      <c r="AS56" s="60"/>
      <c r="AT56" s="1354"/>
      <c r="AU56" s="1354"/>
      <c r="AV56" s="1354"/>
      <c r="AW56" s="1354"/>
      <c r="AX56" s="1354"/>
      <c r="AY56" s="1354"/>
      <c r="AZ56" s="1354"/>
      <c r="BA56" s="1354"/>
      <c r="BB56" s="1354"/>
      <c r="BC56" s="1361"/>
      <c r="BD56" s="1325"/>
      <c r="BE56" s="1325"/>
      <c r="BF56" s="932" t="s">
        <v>791</v>
      </c>
      <c r="BG56" s="932" t="s">
        <v>787</v>
      </c>
      <c r="BH56" s="932" cm="1">
        <f t="array" ref="BH56">BH55</f>
        <v>0</v>
      </c>
      <c r="BI56" s="183"/>
      <c r="BJ56" s="183"/>
    </row>
    <row r="57" spans="1:62" s="1242" customFormat="1" ht="14.25" customHeight="1">
      <c r="B57" s="344"/>
      <c r="C57" s="399"/>
      <c r="E57" s="550">
        <v>15</v>
      </c>
      <c r="F57" s="3" t="str" cm="1">
        <f t="array" aca="1" ref="F57" ca="1">OFFSET(E57,-1,1)</f>
        <v>1</v>
      </c>
      <c r="H57" s="861" t="s">
        <v>792</v>
      </c>
      <c r="T57" s="381" t="b">
        <f ca="1">F57&gt;0</f>
        <v>1</v>
      </c>
      <c r="W57" s="671" t="s">
        <v>389</v>
      </c>
      <c r="X57" s="1732"/>
      <c r="Z57" s="1757"/>
      <c r="AB57" s="570"/>
      <c r="AC57" s="97" t="s">
        <v>177</v>
      </c>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106"/>
      <c r="BF57" s="920"/>
      <c r="BG57" s="920"/>
      <c r="BH57" s="920"/>
      <c r="BI57" s="550" t="s">
        <v>787</v>
      </c>
      <c r="BJ57" s="550"/>
    </row>
    <row r="58" spans="1:62" s="1081" customFormat="1" ht="12" customHeight="1">
      <c r="A58" s="1325"/>
      <c r="B58" s="346"/>
      <c r="C58" s="399"/>
      <c r="D58" s="1325"/>
      <c r="E58" s="183">
        <v>13</v>
      </c>
      <c r="F58" s="3" t="str" cm="1">
        <f t="array" aca="1" ref="F58" ca="1">OFFSET(E58,-1,1)</f>
        <v>1</v>
      </c>
      <c r="G58" s="45"/>
      <c r="H58" s="45"/>
      <c r="I58" s="1325"/>
      <c r="J58" s="1325"/>
      <c r="K58" s="1325"/>
      <c r="L58" s="1325"/>
      <c r="M58" s="1325"/>
      <c r="N58" s="1325"/>
      <c r="O58" s="1325"/>
      <c r="P58" s="1325"/>
      <c r="Q58" s="1325"/>
      <c r="R58" s="1325"/>
      <c r="S58" s="1325"/>
      <c r="T58" s="381" t="b" cm="1">
        <f t="array" aca="1" ref="T58" ca="1">T57</f>
        <v>1</v>
      </c>
      <c r="U58" s="1325"/>
      <c r="V58" s="1325"/>
      <c r="W58" s="1325"/>
      <c r="X58" s="1732"/>
      <c r="Y58" s="1325"/>
      <c r="Z58" s="1757"/>
      <c r="AA58" s="1325"/>
      <c r="AB58" s="569"/>
      <c r="AC58" s="182" t="s">
        <v>793</v>
      </c>
      <c r="AD58" s="183"/>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5"/>
      <c r="BD58" s="1325"/>
      <c r="BE58" s="1325"/>
      <c r="BF58" s="932"/>
      <c r="BG58" s="932"/>
      <c r="BH58" s="932"/>
      <c r="BI58" s="183"/>
      <c r="BJ58" s="183"/>
    </row>
    <row r="59" spans="1:62" s="1081" customFormat="1" ht="10.5" hidden="1" customHeight="1">
      <c r="A59" s="1325"/>
      <c r="B59" s="346"/>
      <c r="C59" s="399"/>
      <c r="D59" s="1325"/>
      <c r="E59" s="183">
        <v>11.25</v>
      </c>
      <c r="F59" s="3" t="str" cm="1">
        <f t="array" aca="1" ref="F59" ca="1">OFFSET(E59,-1,1)</f>
        <v>1</v>
      </c>
      <c r="G59" s="45" t="s">
        <v>477</v>
      </c>
      <c r="H59" s="45" cm="1">
        <f t="array" ref="H59">AC59</f>
        <v>0</v>
      </c>
      <c r="I59" s="1325"/>
      <c r="J59" s="1325"/>
      <c r="K59" s="1325"/>
      <c r="L59" s="1325"/>
      <c r="M59" s="1325"/>
      <c r="N59" s="1325"/>
      <c r="O59" s="1325"/>
      <c r="P59" s="1325"/>
      <c r="Q59" s="1325"/>
      <c r="R59" s="1325"/>
      <c r="S59" s="1325"/>
      <c r="T59" s="381" t="b">
        <f ca="1">AND(F59&gt;0,Y59&gt;0)</f>
        <v>0</v>
      </c>
      <c r="U59" s="1325"/>
      <c r="V59" s="1325"/>
      <c r="W59" s="671" t="s">
        <v>173</v>
      </c>
      <c r="X59" s="1732"/>
      <c r="Y59" s="1732">
        <v>0</v>
      </c>
      <c r="Z59" s="1757"/>
      <c r="AA59" s="1681" t="s">
        <v>174</v>
      </c>
      <c r="AB59" s="8" t="str">
        <f>"7."&amp;Y59</f>
        <v>7.0</v>
      </c>
      <c r="AC59" s="1390"/>
      <c r="AD59" s="8" t="s">
        <v>766</v>
      </c>
      <c r="AE59" s="110">
        <f t="shared" ref="AE59:BB59" si="13">AE60+AE63</f>
        <v>0</v>
      </c>
      <c r="AF59" s="110">
        <f t="shared" si="13"/>
        <v>0</v>
      </c>
      <c r="AG59" s="110">
        <f t="shared" si="13"/>
        <v>0</v>
      </c>
      <c r="AH59" s="110">
        <f t="shared" si="13"/>
        <v>0</v>
      </c>
      <c r="AI59" s="110">
        <f t="shared" si="13"/>
        <v>0</v>
      </c>
      <c r="AJ59" s="110">
        <f t="shared" si="13"/>
        <v>0</v>
      </c>
      <c r="AK59" s="110">
        <f t="shared" si="13"/>
        <v>0</v>
      </c>
      <c r="AL59" s="110">
        <f t="shared" si="13"/>
        <v>0</v>
      </c>
      <c r="AM59" s="110">
        <f t="shared" si="13"/>
        <v>0</v>
      </c>
      <c r="AN59" s="110">
        <f t="shared" si="13"/>
        <v>0</v>
      </c>
      <c r="AO59" s="110">
        <f t="shared" si="13"/>
        <v>0</v>
      </c>
      <c r="AP59" s="110">
        <f t="shared" si="13"/>
        <v>0</v>
      </c>
      <c r="AQ59" s="110">
        <f t="shared" si="13"/>
        <v>0</v>
      </c>
      <c r="AR59" s="110">
        <f t="shared" si="13"/>
        <v>0</v>
      </c>
      <c r="AS59" s="110">
        <f t="shared" si="13"/>
        <v>0</v>
      </c>
      <c r="AT59" s="110">
        <f t="shared" si="13"/>
        <v>0</v>
      </c>
      <c r="AU59" s="110">
        <f t="shared" si="13"/>
        <v>0</v>
      </c>
      <c r="AV59" s="110">
        <f t="shared" si="13"/>
        <v>0</v>
      </c>
      <c r="AW59" s="110">
        <f t="shared" si="13"/>
        <v>0</v>
      </c>
      <c r="AX59" s="110">
        <f t="shared" si="13"/>
        <v>0</v>
      </c>
      <c r="AY59" s="110">
        <f t="shared" si="13"/>
        <v>0</v>
      </c>
      <c r="AZ59" s="110">
        <f t="shared" si="13"/>
        <v>0</v>
      </c>
      <c r="BA59" s="110">
        <f t="shared" si="13"/>
        <v>0</v>
      </c>
      <c r="BB59" s="110">
        <f t="shared" si="13"/>
        <v>0</v>
      </c>
      <c r="BC59" s="1361"/>
      <c r="BD59" s="1325"/>
      <c r="BE59" s="1325"/>
      <c r="BF59" s="932" t="s">
        <v>794</v>
      </c>
      <c r="BG59" s="932" t="s">
        <v>795</v>
      </c>
      <c r="BH59" s="932" cm="1">
        <f t="array" ref="BH59">AC59</f>
        <v>0</v>
      </c>
      <c r="BI59" s="183"/>
      <c r="BJ59" s="183"/>
    </row>
    <row r="60" spans="1:62" s="1081" customFormat="1" ht="10.5" hidden="1" customHeight="1">
      <c r="A60" s="1325"/>
      <c r="B60" s="346"/>
      <c r="C60" s="399"/>
      <c r="D60" s="1325"/>
      <c r="E60" s="183">
        <v>11.25</v>
      </c>
      <c r="F60" s="3" t="str" cm="1">
        <f t="array" aca="1" ref="F60" ca="1">OFFSET(E60,-1,1)</f>
        <v>1</v>
      </c>
      <c r="G60" s="45" t="s">
        <v>645</v>
      </c>
      <c r="H60" s="45" cm="1">
        <f t="array" ref="H60">H59</f>
        <v>0</v>
      </c>
      <c r="I60" s="1325"/>
      <c r="J60" s="1325"/>
      <c r="K60" s="1325"/>
      <c r="L60" s="1325"/>
      <c r="M60" s="1325"/>
      <c r="N60" s="1325"/>
      <c r="O60" s="1325"/>
      <c r="P60" s="1325"/>
      <c r="Q60" s="1325"/>
      <c r="R60" s="1325"/>
      <c r="S60" s="1325"/>
      <c r="T60" s="381" t="b" cm="1">
        <f t="array" aca="1" ref="T60" ca="1">T59</f>
        <v>0</v>
      </c>
      <c r="U60" s="1325"/>
      <c r="V60" s="1325"/>
      <c r="W60" s="1325"/>
      <c r="X60" s="1732"/>
      <c r="Y60" s="1732"/>
      <c r="Z60" s="1757"/>
      <c r="AA60" s="1681"/>
      <c r="AB60" s="8" t="str">
        <f>AB59&amp;".1"</f>
        <v>7.0.1</v>
      </c>
      <c r="AC60" s="111" t="s">
        <v>796</v>
      </c>
      <c r="AD60" s="8" t="s">
        <v>797</v>
      </c>
      <c r="AE60" s="1354"/>
      <c r="AF60" s="1354"/>
      <c r="AG60" s="1354"/>
      <c r="AH60" s="1354"/>
      <c r="AI60" s="60"/>
      <c r="AJ60" s="1354"/>
      <c r="AK60" s="1354"/>
      <c r="AL60" s="1354"/>
      <c r="AM60" s="1354"/>
      <c r="AN60" s="1354"/>
      <c r="AO60" s="1354"/>
      <c r="AP60" s="1354"/>
      <c r="AQ60" s="1354"/>
      <c r="AR60" s="1354"/>
      <c r="AS60" s="60"/>
      <c r="AT60" s="1354"/>
      <c r="AU60" s="1354"/>
      <c r="AV60" s="1354"/>
      <c r="AW60" s="1354"/>
      <c r="AX60" s="1354"/>
      <c r="AY60" s="1354"/>
      <c r="AZ60" s="1354"/>
      <c r="BA60" s="1354"/>
      <c r="BB60" s="1354"/>
      <c r="BC60" s="1361"/>
      <c r="BD60" s="1325"/>
      <c r="BE60" s="1325"/>
      <c r="BF60" s="932" t="s">
        <v>798</v>
      </c>
      <c r="BG60" s="932" t="s">
        <v>795</v>
      </c>
      <c r="BH60" s="932" cm="1">
        <f t="array" ref="BH60">BH59</f>
        <v>0</v>
      </c>
      <c r="BI60" s="183"/>
      <c r="BJ60" s="183"/>
    </row>
    <row r="61" spans="1:62" s="1081" customFormat="1" ht="10.5" hidden="1" customHeight="1">
      <c r="A61" s="1325"/>
      <c r="B61" s="346"/>
      <c r="C61" s="399"/>
      <c r="D61" s="1325"/>
      <c r="E61" s="183">
        <v>11.25</v>
      </c>
      <c r="F61" s="3" t="str" cm="1">
        <f t="array" aca="1" ref="F61" ca="1">OFFSET(E61,-1,1)</f>
        <v>1</v>
      </c>
      <c r="G61" s="45" t="s">
        <v>799</v>
      </c>
      <c r="H61" s="45" cm="1">
        <f t="array" ref="H61">H60</f>
        <v>0</v>
      </c>
      <c r="I61" s="1325"/>
      <c r="J61" s="1325"/>
      <c r="K61" s="1325"/>
      <c r="L61" s="1325"/>
      <c r="M61" s="1325"/>
      <c r="N61" s="1325"/>
      <c r="O61" s="1325"/>
      <c r="P61" s="1325"/>
      <c r="Q61" s="1325"/>
      <c r="R61" s="1325"/>
      <c r="S61" s="1325"/>
      <c r="T61" s="381" t="b" cm="1">
        <f t="array" aca="1" ref="T61" ca="1">T60</f>
        <v>0</v>
      </c>
      <c r="U61" s="1325"/>
      <c r="V61" s="1325"/>
      <c r="W61" s="1325"/>
      <c r="X61" s="1732"/>
      <c r="Y61" s="1732"/>
      <c r="Z61" s="1757"/>
      <c r="AA61" s="1681"/>
      <c r="AB61" s="8" t="str">
        <f>AB59&amp;".1.1"</f>
        <v>7.0.1.1</v>
      </c>
      <c r="AC61" s="244" t="s">
        <v>788</v>
      </c>
      <c r="AD61" s="11" t="s">
        <v>780</v>
      </c>
      <c r="AE61" s="110">
        <f t="shared" ref="AE61:BB61" si="14">IF(OR(AND(AE60&lt;&gt;0,AE62=0),AND(AE60=0,AE62&lt;&gt;0)),"Ошибка",IF(AE62=0,0,AE60/AE62))</f>
        <v>0</v>
      </c>
      <c r="AF61" s="110">
        <f t="shared" si="14"/>
        <v>0</v>
      </c>
      <c r="AG61" s="110">
        <f t="shared" si="14"/>
        <v>0</v>
      </c>
      <c r="AH61" s="110">
        <f t="shared" si="14"/>
        <v>0</v>
      </c>
      <c r="AI61" s="110">
        <f t="shared" si="14"/>
        <v>0</v>
      </c>
      <c r="AJ61" s="110">
        <f t="shared" si="14"/>
        <v>0</v>
      </c>
      <c r="AK61" s="110">
        <f t="shared" si="14"/>
        <v>0</v>
      </c>
      <c r="AL61" s="110">
        <f t="shared" si="14"/>
        <v>0</v>
      </c>
      <c r="AM61" s="110">
        <f t="shared" si="14"/>
        <v>0</v>
      </c>
      <c r="AN61" s="110">
        <f t="shared" si="14"/>
        <v>0</v>
      </c>
      <c r="AO61" s="110">
        <f t="shared" si="14"/>
        <v>0</v>
      </c>
      <c r="AP61" s="110">
        <f t="shared" si="14"/>
        <v>0</v>
      </c>
      <c r="AQ61" s="110">
        <f t="shared" si="14"/>
        <v>0</v>
      </c>
      <c r="AR61" s="110">
        <f t="shared" si="14"/>
        <v>0</v>
      </c>
      <c r="AS61" s="110">
        <f t="shared" si="14"/>
        <v>0</v>
      </c>
      <c r="AT61" s="110">
        <f t="shared" si="14"/>
        <v>0</v>
      </c>
      <c r="AU61" s="110">
        <f t="shared" si="14"/>
        <v>0</v>
      </c>
      <c r="AV61" s="110">
        <f t="shared" si="14"/>
        <v>0</v>
      </c>
      <c r="AW61" s="110">
        <f t="shared" si="14"/>
        <v>0</v>
      </c>
      <c r="AX61" s="110">
        <f t="shared" si="14"/>
        <v>0</v>
      </c>
      <c r="AY61" s="110">
        <f t="shared" si="14"/>
        <v>0</v>
      </c>
      <c r="AZ61" s="110">
        <f t="shared" si="14"/>
        <v>0</v>
      </c>
      <c r="BA61" s="110">
        <f t="shared" si="14"/>
        <v>0</v>
      </c>
      <c r="BB61" s="110">
        <f t="shared" si="14"/>
        <v>0</v>
      </c>
      <c r="BC61" s="1361"/>
      <c r="BD61" s="1325"/>
      <c r="BE61" s="1325"/>
      <c r="BF61" s="932" t="s">
        <v>800</v>
      </c>
      <c r="BG61" s="932" t="s">
        <v>795</v>
      </c>
      <c r="BH61" s="932" cm="1">
        <f t="array" ref="BH61">BH60</f>
        <v>0</v>
      </c>
      <c r="BI61" s="183"/>
      <c r="BJ61" s="183"/>
    </row>
    <row r="62" spans="1:62" s="1081" customFormat="1" ht="10.5" hidden="1" customHeight="1">
      <c r="A62" s="1325"/>
      <c r="B62" s="346"/>
      <c r="C62" s="399"/>
      <c r="D62" s="1325"/>
      <c r="E62" s="183">
        <v>11.25</v>
      </c>
      <c r="F62" s="3" t="str" cm="1">
        <f t="array" aca="1" ref="F62" ca="1">OFFSET(E62,-1,1)</f>
        <v>1</v>
      </c>
      <c r="G62" s="45" t="s">
        <v>801</v>
      </c>
      <c r="H62" s="45" cm="1">
        <f t="array" ref="H62">H61</f>
        <v>0</v>
      </c>
      <c r="I62" s="1325"/>
      <c r="J62" s="1325"/>
      <c r="K62" s="1325"/>
      <c r="L62" s="1325"/>
      <c r="M62" s="1325"/>
      <c r="N62" s="1325"/>
      <c r="O62" s="1325"/>
      <c r="P62" s="1325"/>
      <c r="Q62" s="1325"/>
      <c r="R62" s="1325"/>
      <c r="S62" s="1325"/>
      <c r="T62" s="381" t="b" cm="1">
        <f t="array" aca="1" ref="T62" ca="1">T61</f>
        <v>0</v>
      </c>
      <c r="U62" s="1325"/>
      <c r="V62" s="1325"/>
      <c r="W62" s="1325"/>
      <c r="X62" s="1732"/>
      <c r="Y62" s="1732"/>
      <c r="Z62" s="1757"/>
      <c r="AA62" s="1681"/>
      <c r="AB62" s="8" t="str">
        <f>AB59&amp;".1.2"</f>
        <v>7.0.1.2</v>
      </c>
      <c r="AC62" s="244" t="s">
        <v>790</v>
      </c>
      <c r="AD62" s="11" t="s">
        <v>774</v>
      </c>
      <c r="AE62" s="1354"/>
      <c r="AF62" s="1354"/>
      <c r="AG62" s="1354"/>
      <c r="AH62" s="1354"/>
      <c r="AI62" s="60"/>
      <c r="AJ62" s="1354"/>
      <c r="AK62" s="1354"/>
      <c r="AL62" s="1354"/>
      <c r="AM62" s="1354"/>
      <c r="AN62" s="1354"/>
      <c r="AO62" s="1354"/>
      <c r="AP62" s="1354"/>
      <c r="AQ62" s="1354"/>
      <c r="AR62" s="1354"/>
      <c r="AS62" s="60"/>
      <c r="AT62" s="1354"/>
      <c r="AU62" s="1354"/>
      <c r="AV62" s="1354"/>
      <c r="AW62" s="1354"/>
      <c r="AX62" s="1354"/>
      <c r="AY62" s="1354"/>
      <c r="AZ62" s="1354"/>
      <c r="BA62" s="1354"/>
      <c r="BB62" s="1354"/>
      <c r="BC62" s="1361"/>
      <c r="BD62" s="1325"/>
      <c r="BE62" s="1325"/>
      <c r="BF62" s="932" t="s">
        <v>802</v>
      </c>
      <c r="BG62" s="932" t="s">
        <v>795</v>
      </c>
      <c r="BH62" s="932" cm="1">
        <f t="array" ref="BH62">BH61</f>
        <v>0</v>
      </c>
      <c r="BI62" s="183"/>
      <c r="BJ62" s="183"/>
    </row>
    <row r="63" spans="1:62" s="1081" customFormat="1" ht="10.5" hidden="1" customHeight="1">
      <c r="A63" s="1325"/>
      <c r="B63" s="346"/>
      <c r="C63" s="399"/>
      <c r="D63" s="1325"/>
      <c r="E63" s="183">
        <v>11.25</v>
      </c>
      <c r="F63" s="3" t="str" cm="1">
        <f t="array" aca="1" ref="F63" ca="1">OFFSET(E63,-1,1)</f>
        <v>1</v>
      </c>
      <c r="G63" s="45" t="s">
        <v>648</v>
      </c>
      <c r="H63" s="45" cm="1">
        <f t="array" ref="H63">H62</f>
        <v>0</v>
      </c>
      <c r="I63" s="1325"/>
      <c r="J63" s="1325"/>
      <c r="K63" s="1325"/>
      <c r="L63" s="1325"/>
      <c r="M63" s="1325"/>
      <c r="N63" s="1325"/>
      <c r="O63" s="1325"/>
      <c r="P63" s="1325"/>
      <c r="Q63" s="1325"/>
      <c r="R63" s="1325"/>
      <c r="S63" s="1325"/>
      <c r="T63" s="381" t="b" cm="1">
        <f t="array" aca="1" ref="T63" ca="1">T62</f>
        <v>0</v>
      </c>
      <c r="U63" s="1325"/>
      <c r="V63" s="1325"/>
      <c r="W63" s="1325"/>
      <c r="X63" s="1732"/>
      <c r="Y63" s="1732"/>
      <c r="Z63" s="1757"/>
      <c r="AA63" s="1681"/>
      <c r="AB63" s="8" t="str">
        <f>AB59&amp;".2"</f>
        <v>7.0.2</v>
      </c>
      <c r="AC63" s="111" t="s">
        <v>803</v>
      </c>
      <c r="AD63" s="8" t="s">
        <v>797</v>
      </c>
      <c r="AE63" s="1354"/>
      <c r="AF63" s="1354"/>
      <c r="AG63" s="1354"/>
      <c r="AH63" s="1354"/>
      <c r="AI63" s="60"/>
      <c r="AJ63" s="1354"/>
      <c r="AK63" s="1354"/>
      <c r="AL63" s="1354"/>
      <c r="AM63" s="1354"/>
      <c r="AN63" s="1354"/>
      <c r="AO63" s="1354"/>
      <c r="AP63" s="1354"/>
      <c r="AQ63" s="1354"/>
      <c r="AR63" s="1354"/>
      <c r="AS63" s="60"/>
      <c r="AT63" s="1354"/>
      <c r="AU63" s="1354"/>
      <c r="AV63" s="1354"/>
      <c r="AW63" s="1354"/>
      <c r="AX63" s="1354"/>
      <c r="AY63" s="1354"/>
      <c r="AZ63" s="1354"/>
      <c r="BA63" s="1354"/>
      <c r="BB63" s="1354"/>
      <c r="BC63" s="1361"/>
      <c r="BD63" s="1325"/>
      <c r="BE63" s="1325"/>
      <c r="BF63" s="932" t="s">
        <v>804</v>
      </c>
      <c r="BG63" s="932" t="s">
        <v>795</v>
      </c>
      <c r="BH63" s="932" cm="1">
        <f t="array" ref="BH63">BH62</f>
        <v>0</v>
      </c>
      <c r="BI63" s="183"/>
      <c r="BJ63" s="183"/>
    </row>
    <row r="64" spans="1:62" s="1081" customFormat="1" ht="10.5" hidden="1" customHeight="1">
      <c r="A64" s="1325"/>
      <c r="B64" s="346"/>
      <c r="C64" s="399"/>
      <c r="D64" s="1325"/>
      <c r="E64" s="183">
        <v>11.25</v>
      </c>
      <c r="F64" s="3" t="str" cm="1">
        <f t="array" aca="1" ref="F64" ca="1">OFFSET(E64,-1,1)</f>
        <v>1</v>
      </c>
      <c r="G64" s="45" t="s">
        <v>805</v>
      </c>
      <c r="H64" s="45" cm="1">
        <f t="array" ref="H64">H63</f>
        <v>0</v>
      </c>
      <c r="I64" s="1325"/>
      <c r="J64" s="1325"/>
      <c r="K64" s="1325"/>
      <c r="L64" s="1325"/>
      <c r="M64" s="1325"/>
      <c r="N64" s="1325"/>
      <c r="O64" s="1325"/>
      <c r="P64" s="1325"/>
      <c r="Q64" s="1325"/>
      <c r="R64" s="1325"/>
      <c r="S64" s="1325"/>
      <c r="T64" s="381" t="b" cm="1">
        <f t="array" aca="1" ref="T64" ca="1">T63</f>
        <v>0</v>
      </c>
      <c r="U64" s="1325"/>
      <c r="V64" s="1325"/>
      <c r="W64" s="1325"/>
      <c r="X64" s="1732"/>
      <c r="Y64" s="1732"/>
      <c r="Z64" s="1757"/>
      <c r="AA64" s="1681"/>
      <c r="AB64" s="8" t="str">
        <f>AB59&amp;".2.1"</f>
        <v>7.0.2.1</v>
      </c>
      <c r="AC64" s="244" t="s">
        <v>806</v>
      </c>
      <c r="AD64" s="11" t="s">
        <v>807</v>
      </c>
      <c r="AE64" s="110">
        <f t="shared" ref="AE64:BB64" si="15">IF(OR(AND(AE63&lt;&gt;0,AE65=0),AND(AE63=0,AE65&lt;&gt;0)),"Ошибка",IF(AE65=0,0,AE63/AE65*1000/12))</f>
        <v>0</v>
      </c>
      <c r="AF64" s="110">
        <f t="shared" si="15"/>
        <v>0</v>
      </c>
      <c r="AG64" s="110">
        <f t="shared" si="15"/>
        <v>0</v>
      </c>
      <c r="AH64" s="110">
        <f t="shared" si="15"/>
        <v>0</v>
      </c>
      <c r="AI64" s="110">
        <f t="shared" si="15"/>
        <v>0</v>
      </c>
      <c r="AJ64" s="110">
        <f t="shared" si="15"/>
        <v>0</v>
      </c>
      <c r="AK64" s="110">
        <f t="shared" si="15"/>
        <v>0</v>
      </c>
      <c r="AL64" s="110">
        <f t="shared" si="15"/>
        <v>0</v>
      </c>
      <c r="AM64" s="110">
        <f t="shared" si="15"/>
        <v>0</v>
      </c>
      <c r="AN64" s="110">
        <f t="shared" si="15"/>
        <v>0</v>
      </c>
      <c r="AO64" s="110">
        <f t="shared" si="15"/>
        <v>0</v>
      </c>
      <c r="AP64" s="110">
        <f t="shared" si="15"/>
        <v>0</v>
      </c>
      <c r="AQ64" s="110">
        <f t="shared" si="15"/>
        <v>0</v>
      </c>
      <c r="AR64" s="110">
        <f t="shared" si="15"/>
        <v>0</v>
      </c>
      <c r="AS64" s="110">
        <f t="shared" si="15"/>
        <v>0</v>
      </c>
      <c r="AT64" s="110">
        <f t="shared" si="15"/>
        <v>0</v>
      </c>
      <c r="AU64" s="110">
        <f t="shared" si="15"/>
        <v>0</v>
      </c>
      <c r="AV64" s="110">
        <f t="shared" si="15"/>
        <v>0</v>
      </c>
      <c r="AW64" s="110">
        <f t="shared" si="15"/>
        <v>0</v>
      </c>
      <c r="AX64" s="110">
        <f t="shared" si="15"/>
        <v>0</v>
      </c>
      <c r="AY64" s="110">
        <f t="shared" si="15"/>
        <v>0</v>
      </c>
      <c r="AZ64" s="110">
        <f t="shared" si="15"/>
        <v>0</v>
      </c>
      <c r="BA64" s="110">
        <f t="shared" si="15"/>
        <v>0</v>
      </c>
      <c r="BB64" s="110">
        <f t="shared" si="15"/>
        <v>0</v>
      </c>
      <c r="BC64" s="1361"/>
      <c r="BD64" s="1325"/>
      <c r="BE64" s="1325"/>
      <c r="BF64" s="932" t="s">
        <v>808</v>
      </c>
      <c r="BG64" s="932" t="s">
        <v>795</v>
      </c>
      <c r="BH64" s="932" cm="1">
        <f t="array" ref="BH64">BH63</f>
        <v>0</v>
      </c>
      <c r="BI64" s="183"/>
      <c r="BJ64" s="183"/>
    </row>
    <row r="65" spans="1:62" s="1081" customFormat="1" ht="10.5" hidden="1" customHeight="1">
      <c r="A65" s="1325"/>
      <c r="B65" s="346"/>
      <c r="C65" s="399"/>
      <c r="D65" s="1325"/>
      <c r="E65" s="183">
        <v>11.25</v>
      </c>
      <c r="F65" s="3" t="str" cm="1">
        <f t="array" aca="1" ref="F65" ca="1">OFFSET(E65,-1,1)</f>
        <v>1</v>
      </c>
      <c r="G65" s="45" t="s">
        <v>809</v>
      </c>
      <c r="H65" s="45" cm="1">
        <f t="array" ref="H65">H64</f>
        <v>0</v>
      </c>
      <c r="I65" s="1325"/>
      <c r="J65" s="1325"/>
      <c r="K65" s="1325"/>
      <c r="L65" s="1325"/>
      <c r="M65" s="1325"/>
      <c r="N65" s="1325"/>
      <c r="O65" s="1325"/>
      <c r="P65" s="1325"/>
      <c r="Q65" s="1325"/>
      <c r="R65" s="1325"/>
      <c r="S65" s="1325"/>
      <c r="T65" s="381" t="b" cm="1">
        <f t="array" aca="1" ref="T65" ca="1">T64</f>
        <v>0</v>
      </c>
      <c r="U65" s="1325"/>
      <c r="V65" s="1325"/>
      <c r="W65" s="1325"/>
      <c r="X65" s="1732"/>
      <c r="Y65" s="1732"/>
      <c r="Z65" s="1757"/>
      <c r="AA65" s="1681"/>
      <c r="AB65" s="8" t="str">
        <f>AB59&amp;".2.2"</f>
        <v>7.0.2.2</v>
      </c>
      <c r="AC65" s="244" t="s">
        <v>810</v>
      </c>
      <c r="AD65" s="11" t="s">
        <v>811</v>
      </c>
      <c r="AE65" s="1354"/>
      <c r="AF65" s="1354"/>
      <c r="AG65" s="1354"/>
      <c r="AH65" s="1354"/>
      <c r="AI65" s="60"/>
      <c r="AJ65" s="1354"/>
      <c r="AK65" s="1354"/>
      <c r="AL65" s="1354"/>
      <c r="AM65" s="1354"/>
      <c r="AN65" s="1354"/>
      <c r="AO65" s="1354"/>
      <c r="AP65" s="1354"/>
      <c r="AQ65" s="1354"/>
      <c r="AR65" s="1354"/>
      <c r="AS65" s="60"/>
      <c r="AT65" s="1354"/>
      <c r="AU65" s="1354"/>
      <c r="AV65" s="1354"/>
      <c r="AW65" s="1354"/>
      <c r="AX65" s="1354"/>
      <c r="AY65" s="1354"/>
      <c r="AZ65" s="1354"/>
      <c r="BA65" s="1354"/>
      <c r="BB65" s="1354"/>
      <c r="BC65" s="1361"/>
      <c r="BD65" s="1325"/>
      <c r="BE65" s="1325"/>
      <c r="BF65" s="932" t="s">
        <v>812</v>
      </c>
      <c r="BG65" s="932" t="s">
        <v>795</v>
      </c>
      <c r="BH65" s="932" cm="1">
        <f t="array" ref="BH65">BH64</f>
        <v>0</v>
      </c>
      <c r="BI65" s="183"/>
      <c r="BJ65" s="183"/>
    </row>
    <row r="66" spans="1:62" s="1242" customFormat="1" ht="14.25" customHeight="1">
      <c r="B66" s="344"/>
      <c r="C66" s="399"/>
      <c r="E66" s="550">
        <v>15</v>
      </c>
      <c r="F66" s="3" t="str" cm="1">
        <f t="array" aca="1" ref="F66" ca="1">OFFSET(E66,-1,1)</f>
        <v>1</v>
      </c>
      <c r="H66" s="861" t="s">
        <v>813</v>
      </c>
      <c r="T66" s="381" t="b">
        <f ca="1">F66&gt;0</f>
        <v>1</v>
      </c>
      <c r="W66" s="671" t="s">
        <v>814</v>
      </c>
      <c r="X66" s="1732"/>
      <c r="Z66" s="1757"/>
      <c r="AB66" s="94"/>
      <c r="AC66" s="97" t="s">
        <v>815</v>
      </c>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106"/>
      <c r="BF66" s="920"/>
      <c r="BG66" s="920"/>
      <c r="BH66" s="920"/>
      <c r="BI66" s="550" t="s">
        <v>795</v>
      </c>
      <c r="BJ66" s="550"/>
    </row>
    <row r="67" spans="1:62" ht="10.9" customHeight="1">
      <c r="E67" s="576">
        <v>11.25</v>
      </c>
      <c r="U67" s="17" t="s">
        <v>177</v>
      </c>
      <c r="V67" s="59" t="s">
        <v>816</v>
      </c>
    </row>
    <row r="68" spans="1:62" ht="14.65" customHeight="1">
      <c r="E68" s="549">
        <v>15</v>
      </c>
      <c r="AB68" s="1799" t="s">
        <v>394</v>
      </c>
      <c r="AC68" s="1800"/>
      <c r="AD68" s="1800"/>
      <c r="AE68" s="1800"/>
      <c r="AF68" s="1800"/>
      <c r="AG68" s="1800"/>
      <c r="AH68" s="1800"/>
      <c r="AI68" s="1800"/>
      <c r="AJ68" s="1800"/>
      <c r="AK68" s="1800"/>
      <c r="AL68" s="1800"/>
      <c r="AM68" s="1800"/>
      <c r="AN68" s="1800"/>
      <c r="AO68" s="1800"/>
      <c r="AP68" s="1800"/>
      <c r="AQ68" s="1800"/>
      <c r="AR68" s="1800"/>
      <c r="AS68" s="1800"/>
      <c r="AT68" s="1800"/>
      <c r="AU68" s="1800"/>
      <c r="AV68" s="1800"/>
      <c r="AW68" s="1800"/>
      <c r="AX68" s="1800"/>
      <c r="AY68" s="1800"/>
      <c r="AZ68" s="1800"/>
      <c r="BA68" s="1800"/>
      <c r="BB68" s="1800"/>
      <c r="BC68" s="1801"/>
    </row>
    <row r="69" spans="1:62" ht="14.65" customHeight="1">
      <c r="E69" s="549">
        <v>15</v>
      </c>
      <c r="AA69" s="578"/>
      <c r="AB69" s="1797"/>
      <c r="AC69" s="1795"/>
      <c r="AD69" s="1795"/>
      <c r="AE69" s="1795"/>
      <c r="AF69" s="1795"/>
      <c r="AG69" s="1795"/>
      <c r="AH69" s="1795"/>
      <c r="AI69" s="1795"/>
      <c r="AJ69" s="1794"/>
      <c r="AK69" s="1794"/>
      <c r="AL69" s="1794"/>
      <c r="AM69" s="1794"/>
      <c r="AN69" s="1794"/>
      <c r="AO69" s="1794"/>
      <c r="AP69" s="1794"/>
      <c r="AQ69" s="1794"/>
      <c r="AR69" s="1794"/>
      <c r="AS69" s="1795"/>
      <c r="AT69" s="1794"/>
      <c r="AU69" s="1794"/>
      <c r="AV69" s="1794"/>
      <c r="AW69" s="1794"/>
      <c r="AX69" s="1794"/>
      <c r="AY69" s="1794"/>
      <c r="AZ69" s="1794"/>
      <c r="BA69" s="1794"/>
      <c r="BB69" s="1794"/>
      <c r="BC69" s="1798"/>
    </row>
    <row r="70" spans="1:62" ht="14.65" hidden="1" customHeight="1">
      <c r="E70" s="549">
        <v>15</v>
      </c>
      <c r="T70" s="381" t="b">
        <f>ROW(W70)&gt;ROW(W$70)</f>
        <v>0</v>
      </c>
      <c r="W70" s="671" t="s">
        <v>173</v>
      </c>
      <c r="AA70" s="589" t="s">
        <v>174</v>
      </c>
      <c r="AB70" s="1793" t="s">
        <v>231</v>
      </c>
      <c r="AC70" s="1794"/>
      <c r="AD70" s="1794"/>
      <c r="AE70" s="1794"/>
      <c r="AF70" s="1794"/>
      <c r="AG70" s="1794"/>
      <c r="AH70" s="1794"/>
      <c r="AI70" s="1795"/>
      <c r="AJ70" s="1794"/>
      <c r="AK70" s="1794"/>
      <c r="AL70" s="1794"/>
      <c r="AM70" s="1794"/>
      <c r="AN70" s="1794"/>
      <c r="AO70" s="1794"/>
      <c r="AP70" s="1794"/>
      <c r="AQ70" s="1794"/>
      <c r="AR70" s="1794"/>
      <c r="AS70" s="1795"/>
      <c r="AT70" s="1794"/>
      <c r="AU70" s="1794"/>
      <c r="AV70" s="1794"/>
      <c r="AW70" s="1794"/>
      <c r="AX70" s="1794"/>
      <c r="AY70" s="1794"/>
      <c r="AZ70" s="1794"/>
      <c r="BA70" s="1794"/>
      <c r="BB70" s="1794"/>
      <c r="BC70" s="1796"/>
    </row>
    <row r="71" spans="1:62" ht="14.65" customHeight="1">
      <c r="E71" s="549">
        <v>15</v>
      </c>
      <c r="W71" s="671" t="s">
        <v>395</v>
      </c>
      <c r="AA71" s="590"/>
      <c r="AB71" s="564"/>
      <c r="AC71" s="430" t="s">
        <v>396</v>
      </c>
      <c r="AD71" s="224"/>
      <c r="AE71" s="224"/>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6"/>
    </row>
    <row r="72" spans="1:62" ht="10.9" customHeight="1">
      <c r="E72" s="549">
        <v>11.25</v>
      </c>
      <c r="AA72" s="647"/>
      <c r="AB72" s="648"/>
      <c r="BD72" s="343"/>
    </row>
  </sheetData>
  <sheetProtection formatColumns="0" formatRows="0" insertRows="0" deleteColumns="0" deleteRows="0" sort="0" autoFilter="0"/>
  <mergeCells count="19">
    <mergeCell ref="AB70:BC70"/>
    <mergeCell ref="AB24:AB25"/>
    <mergeCell ref="AC24:AC25"/>
    <mergeCell ref="AD24:AD25"/>
    <mergeCell ref="BC24:BC25"/>
    <mergeCell ref="X27:X46"/>
    <mergeCell ref="Z27:Z46"/>
    <mergeCell ref="AB68:BC68"/>
    <mergeCell ref="AB69:BC69"/>
    <mergeCell ref="AA34:AA36"/>
    <mergeCell ref="AA39:AA45"/>
    <mergeCell ref="Y34:Y36"/>
    <mergeCell ref="Y39:Y45"/>
    <mergeCell ref="X47:X66"/>
    <mergeCell ref="Z47:Z66"/>
    <mergeCell ref="AA54:AA56"/>
    <mergeCell ref="AA59:AA65"/>
    <mergeCell ref="Y54:Y56"/>
    <mergeCell ref="Y59:Y65"/>
  </mergeCells>
  <dataValidations count="3">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 AF56 AG56 AH56 AI56 AJ56 AK56 AL56 AM56 AN56 AO56 AP56 AQ56 AR56 AS56 AT56 AU56 AV56 AW56 AX56 AY56 AZ56 BA56 BB56 AE60 AF60 AG60 AH60 AI60 AJ60 AK60 AL60 AM60 AN60 AO60 AP60 AQ60 AR60 AS60 AT60 AU60 AV60 AW60 AX60 AY60 AZ60 BA60 BB60 AE62 AF62 AG62 AH62 AI62 AJ62 AK62 AL62 AM62 AN62 AO62 AP62 AQ62 AR62 AS62 AT62 AU62 AV62 AW62 AX62 AY62 AZ62 BA62 BB62 AE63 AF63 AG63 AH63 AI63 AJ63 AK63 AL63 AM63 AN63 AO63 AP63 AQ63 AR63 AS63 AT63 AU63 AV63 AW63 AX63 AY63 AZ63 BA63 BB63 AE65 AF65 AG65 AH65 AI65 AJ65 AK65 AL65 AM65 AN65 AO65 AP65 AQ65 AR65 AS65 AT65 AU65 AV65 AW65 AX65 AY65 AZ65 BA65 BB65">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54">
      <formula1>VOLTAGE_LEVEL_list</formula1>
    </dataValidation>
    <dataValidation type="list" allowBlank="1" showInputMessage="1" showErrorMessage="1" errorTitle="Ошибка" error="Выберите значение из списка" prompt="Выберите значение из списка" sqref="AC39 AC59">
      <formula1>VOLTAGE_LEVEL2_list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13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3.5703125" style="1121" hidden="1" customWidth="1"/>
    <col min="2" max="2" width="6.7109375" style="1104" hidden="1" customWidth="1"/>
    <col min="3" max="4" width="3.5703125" style="1121" hidden="1" customWidth="1"/>
    <col min="5" max="5" width="7.85546875" style="1074" hidden="1" customWidth="1"/>
    <col min="6" max="19" width="3.5703125" style="1121" hidden="1" customWidth="1"/>
    <col min="20" max="20" width="11.140625" style="1121" hidden="1" customWidth="1"/>
    <col min="21" max="21" width="5.85546875" style="1121" hidden="1" customWidth="1"/>
    <col min="22" max="23" width="6.140625" style="1121" hidden="1" customWidth="1"/>
    <col min="24" max="25" width="5.5703125" style="1121" hidden="1" customWidth="1"/>
    <col min="26" max="26" width="5.28515625" style="1121" hidden="1" customWidth="1"/>
    <col min="27" max="27" width="3" style="1121" customWidth="1"/>
    <col min="28" max="28" width="11" style="1121" customWidth="1"/>
    <col min="29" max="29" width="41.7109375" style="1121" customWidth="1"/>
    <col min="30" max="30" width="11" style="1326" customWidth="1"/>
    <col min="31" max="35" width="12.5703125" style="1326" customWidth="1"/>
    <col min="36" max="44" width="12.5703125" style="1326" hidden="1" customWidth="1"/>
    <col min="45" max="45" width="12.5703125" style="1326" customWidth="1"/>
    <col min="46" max="54" width="12.5703125" style="1326" hidden="1" customWidth="1"/>
    <col min="55" max="55" width="20" style="1121" customWidth="1"/>
    <col min="56" max="56" width="3" style="1121" customWidth="1"/>
    <col min="57" max="57" width="8.7109375" style="1121" hidden="1"/>
    <col min="58" max="58" width="8.7109375" style="1075" hidden="1"/>
  </cols>
  <sheetData>
    <row r="1" spans="1:58" ht="11.25" hidden="1" customHeight="1">
      <c r="E1" s="23"/>
      <c r="F1" s="23" t="s">
        <v>311</v>
      </c>
      <c r="G1" s="23" t="s">
        <v>322</v>
      </c>
      <c r="T1" s="381" t="s">
        <v>92</v>
      </c>
      <c r="U1" s="381" t="s">
        <v>97</v>
      </c>
      <c r="V1" s="381" t="s">
        <v>93</v>
      </c>
      <c r="W1" s="381" t="s">
        <v>94</v>
      </c>
      <c r="X1" s="381" t="s">
        <v>95</v>
      </c>
      <c r="Y1" s="383" t="s">
        <v>313</v>
      </c>
      <c r="Z1" s="381" t="s">
        <v>99</v>
      </c>
      <c r="AA1" s="382" t="s">
        <v>96</v>
      </c>
      <c r="AB1" s="4"/>
      <c r="AC1" s="382" t="s">
        <v>98</v>
      </c>
      <c r="BF1" s="902" t="s">
        <v>314</v>
      </c>
    </row>
    <row r="2" spans="1:58" s="1104" customFormat="1" ht="11.25" hidden="1" customHeight="1">
      <c r="B2" s="363" t="s">
        <v>18</v>
      </c>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11"/>
    </row>
    <row r="3" spans="1:58" ht="11.25" hidden="1" customHeight="1">
      <c r="E3" s="23"/>
    </row>
    <row r="4" spans="1:58" ht="11.25" hidden="1" customHeight="1">
      <c r="E4" s="23"/>
    </row>
    <row r="5" spans="1:58" s="1074" customFormat="1" ht="11.25" hidden="1" customHeight="1">
      <c r="A5" s="23"/>
      <c r="B5" s="345"/>
      <c r="C5" s="23"/>
      <c r="D5" s="23"/>
      <c r="E5" s="545" t="s">
        <v>19</v>
      </c>
      <c r="T5" s="536"/>
      <c r="AA5" s="545">
        <v>3</v>
      </c>
      <c r="AB5" s="545">
        <v>11</v>
      </c>
      <c r="AC5" s="545">
        <v>41.71</v>
      </c>
      <c r="AD5" s="587">
        <v>11</v>
      </c>
      <c r="AE5" s="587">
        <v>12.57</v>
      </c>
      <c r="AF5" s="587">
        <v>12.57</v>
      </c>
      <c r="AG5" s="587">
        <v>12.57</v>
      </c>
      <c r="AH5" s="587">
        <v>12.57</v>
      </c>
      <c r="AI5" s="587">
        <v>12.57</v>
      </c>
      <c r="AJ5" s="587">
        <v>12.57</v>
      </c>
      <c r="AK5" s="587">
        <v>12.57</v>
      </c>
      <c r="AL5" s="587">
        <v>12.57</v>
      </c>
      <c r="AM5" s="587">
        <v>12.57</v>
      </c>
      <c r="AN5" s="587">
        <v>12.57</v>
      </c>
      <c r="AO5" s="587">
        <v>12.57</v>
      </c>
      <c r="AP5" s="587">
        <v>12.57</v>
      </c>
      <c r="AQ5" s="587">
        <v>12.57</v>
      </c>
      <c r="AR5" s="587">
        <v>12.57</v>
      </c>
      <c r="AS5" s="587">
        <v>12.57</v>
      </c>
      <c r="AT5" s="587">
        <v>12.57</v>
      </c>
      <c r="AU5" s="587">
        <v>12.57</v>
      </c>
      <c r="AV5" s="587">
        <v>12.57</v>
      </c>
      <c r="AW5" s="587">
        <v>12.57</v>
      </c>
      <c r="AX5" s="587">
        <v>12.57</v>
      </c>
      <c r="AY5" s="587">
        <v>12.57</v>
      </c>
      <c r="AZ5" s="587">
        <v>12.57</v>
      </c>
      <c r="BA5" s="587">
        <v>12.57</v>
      </c>
      <c r="BB5" s="587">
        <v>12.57</v>
      </c>
      <c r="BC5" s="545">
        <v>20</v>
      </c>
      <c r="BD5" s="545">
        <v>3</v>
      </c>
      <c r="BF5" s="902"/>
    </row>
    <row r="6" spans="1:58" ht="11.25" hidden="1" customHeight="1">
      <c r="A6" s="23" t="s">
        <v>350</v>
      </c>
      <c r="AE6" s="47">
        <f>god-2</f>
        <v>2024</v>
      </c>
      <c r="AF6" s="47">
        <f>god-2</f>
        <v>2024</v>
      </c>
      <c r="AG6" s="47">
        <f>god-2</f>
        <v>2024</v>
      </c>
      <c r="AH6" s="4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23" t="s">
        <v>351</v>
      </c>
      <c r="AE7" s="287" t="str" cm="1">
        <f t="array" ref="AE7">AE25</f>
        <v>Принято органом регулирования</v>
      </c>
      <c r="AF7" s="287" t="str" cm="1">
        <f t="array" ref="AF7">AF25</f>
        <v>Факт по данным организации</v>
      </c>
      <c r="AG7" s="287" t="str" cm="1">
        <f t="array" ref="AG7">AG25</f>
        <v>Факт, принятый органом регулирования</v>
      </c>
      <c r="AH7" s="287" t="str" cm="1">
        <f t="array" ref="AH7">AH25</f>
        <v>Принято органом регулирования</v>
      </c>
      <c r="AI7" s="287" t="str" cm="1">
        <f t="array" ref="AI7">AI25</f>
        <v>Предложение организации</v>
      </c>
      <c r="AJ7" s="287" t="str" cm="1">
        <f t="array" ref="AJ7">AJ25</f>
        <v>Предложение организации</v>
      </c>
      <c r="AK7" s="287" t="str" cm="1">
        <f t="array" ref="AK7">AK25</f>
        <v>Предложение организации</v>
      </c>
      <c r="AL7" s="287" t="str" cm="1">
        <f t="array" ref="AL7">AL25</f>
        <v>Предложение организации</v>
      </c>
      <c r="AM7" s="287" t="str" cm="1">
        <f t="array" ref="AM7">AM25</f>
        <v>Предложение организации</v>
      </c>
      <c r="AN7" s="287" t="str" cm="1">
        <f t="array" ref="AN7">AN25</f>
        <v>Предложение организации</v>
      </c>
      <c r="AO7" s="287" t="str" cm="1">
        <f t="array" ref="AO7">AO25</f>
        <v>Предложение организации</v>
      </c>
      <c r="AP7" s="287" t="str" cm="1">
        <f t="array" ref="AP7">AP25</f>
        <v>Предложение организации</v>
      </c>
      <c r="AQ7" s="287" t="str" cm="1">
        <f t="array" ref="AQ7">AQ25</f>
        <v>Предложение организации</v>
      </c>
      <c r="AR7" s="287" t="str" cm="1">
        <f t="array" ref="AR7">AR25</f>
        <v>Предложение организации</v>
      </c>
      <c r="AS7" s="287" t="str" cm="1">
        <f t="array" ref="AS7">AS25</f>
        <v>Принято органом регулирования</v>
      </c>
      <c r="AT7" s="287" t="str" cm="1">
        <f t="array" ref="AT7">AT25</f>
        <v>Принято органом регулирования</v>
      </c>
      <c r="AU7" s="287" t="str" cm="1">
        <f t="array" ref="AU7">AU25</f>
        <v>Принято органом регулирования</v>
      </c>
      <c r="AV7" s="287" t="str" cm="1">
        <f t="array" ref="AV7">AV25</f>
        <v>Принято органом регулирования</v>
      </c>
      <c r="AW7" s="287" t="str" cm="1">
        <f t="array" ref="AW7">AW25</f>
        <v>Принято органом регулирования</v>
      </c>
      <c r="AX7" s="287" t="str" cm="1">
        <f t="array" ref="AX7">AX25</f>
        <v>Принято органом регулирования</v>
      </c>
      <c r="AY7" s="287" t="str" cm="1">
        <f t="array" ref="AY7">AY25</f>
        <v>Принято органом регулирования</v>
      </c>
      <c r="AZ7" s="287" t="str" cm="1">
        <f t="array" ref="AZ7">AZ25</f>
        <v>Принято органом регулирования</v>
      </c>
      <c r="BA7" s="287" t="str" cm="1">
        <f t="array" ref="BA7">BA25</f>
        <v>Принято органом регулирования</v>
      </c>
      <c r="BB7" s="287" t="str" cm="1">
        <f t="array" ref="BB7">BB25</f>
        <v>Принято органом регулирования</v>
      </c>
    </row>
    <row r="8" spans="1:58" ht="11.25" hidden="1" customHeight="1"/>
    <row r="9" spans="1:58" s="1075" customFormat="1" ht="11.25" hidden="1" customHeight="1">
      <c r="A9" s="917" t="s">
        <v>355</v>
      </c>
      <c r="B9" s="911"/>
      <c r="AD9" s="935"/>
      <c r="AE9" s="935" cm="1">
        <f t="array" ref="AE9">AE6</f>
        <v>2024</v>
      </c>
      <c r="AF9" s="935" cm="1">
        <f t="array" ref="AF9">AF6</f>
        <v>2024</v>
      </c>
      <c r="AG9" s="935" cm="1">
        <f t="array" ref="AG9">AG6</f>
        <v>2024</v>
      </c>
      <c r="AH9" s="935" cm="1">
        <f t="array" ref="AH9">AH6</f>
        <v>2025</v>
      </c>
      <c r="AI9" s="935" cm="1">
        <f t="array" ref="AI9">AI6</f>
        <v>2026</v>
      </c>
      <c r="AJ9" s="935" cm="1">
        <f t="array" ref="AJ9">AJ6</f>
        <v>2027</v>
      </c>
      <c r="AK9" s="935" cm="1">
        <f t="array" ref="AK9">AK6</f>
        <v>2028</v>
      </c>
      <c r="AL9" s="935" cm="1">
        <f t="array" ref="AL9">AL6</f>
        <v>2029</v>
      </c>
      <c r="AM9" s="935" cm="1">
        <f t="array" ref="AM9">AM6</f>
        <v>2030</v>
      </c>
      <c r="AN9" s="935" cm="1">
        <f t="array" ref="AN9">AN6</f>
        <v>2031</v>
      </c>
      <c r="AO9" s="935" cm="1">
        <f t="array" ref="AO9">AO6</f>
        <v>2032</v>
      </c>
      <c r="AP9" s="935" cm="1">
        <f t="array" ref="AP9">AP6</f>
        <v>2033</v>
      </c>
      <c r="AQ9" s="935" cm="1">
        <f t="array" ref="AQ9">AQ6</f>
        <v>2034</v>
      </c>
      <c r="AR9" s="935" cm="1">
        <f t="array" ref="AR9">AR6</f>
        <v>2035</v>
      </c>
      <c r="AS9" s="935" cm="1">
        <f t="array" ref="AS9">AS6</f>
        <v>2026</v>
      </c>
      <c r="AT9" s="935" cm="1">
        <f t="array" ref="AT9">AT6</f>
        <v>2027</v>
      </c>
      <c r="AU9" s="935" cm="1">
        <f t="array" ref="AU9">AU6</f>
        <v>2028</v>
      </c>
      <c r="AV9" s="935" cm="1">
        <f t="array" ref="AV9">AV6</f>
        <v>2029</v>
      </c>
      <c r="AW9" s="935" cm="1">
        <f t="array" ref="AW9">AW6</f>
        <v>2030</v>
      </c>
      <c r="AX9" s="935" cm="1">
        <f t="array" ref="AX9">AX6</f>
        <v>2031</v>
      </c>
      <c r="AY9" s="935" cm="1">
        <f t="array" ref="AY9">AY6</f>
        <v>2032</v>
      </c>
      <c r="AZ9" s="935" cm="1">
        <f t="array" ref="AZ9">AZ6</f>
        <v>2033</v>
      </c>
      <c r="BA9" s="935" cm="1">
        <f t="array" ref="BA9">BA6</f>
        <v>2034</v>
      </c>
      <c r="BB9" s="935" cm="1">
        <f t="array" ref="BB9">BB6</f>
        <v>2035</v>
      </c>
    </row>
    <row r="10" spans="1:58" s="1075" customFormat="1" ht="11.25" hidden="1" customHeight="1">
      <c r="A10" s="917" t="s">
        <v>356</v>
      </c>
      <c r="B10" s="911"/>
      <c r="AD10" s="935"/>
      <c r="AE10" s="935" t="str" cm="1">
        <f t="array" ref="AE10">AE25</f>
        <v>Принято органом регулирования</v>
      </c>
      <c r="AF10" s="935" t="str" cm="1">
        <f t="array" ref="AF10">AF25</f>
        <v>Факт по данным организации</v>
      </c>
      <c r="AG10" s="935" t="str" cm="1">
        <f t="array" ref="AG10">AG25</f>
        <v>Факт, принятый органом регулирования</v>
      </c>
      <c r="AH10" s="935" t="str" cm="1">
        <f t="array" ref="AH10">AH25</f>
        <v>Принято органом регулирования</v>
      </c>
      <c r="AI10" s="935" t="str" cm="1">
        <f t="array" ref="AI10">AI25</f>
        <v>Предложение организации</v>
      </c>
      <c r="AJ10" s="935" t="str" cm="1">
        <f t="array" ref="AJ10">AJ25</f>
        <v>Предложение организации</v>
      </c>
      <c r="AK10" s="935" t="str" cm="1">
        <f t="array" ref="AK10">AK25</f>
        <v>Предложение организации</v>
      </c>
      <c r="AL10" s="935" t="str" cm="1">
        <f t="array" ref="AL10">AL25</f>
        <v>Предложение организации</v>
      </c>
      <c r="AM10" s="935" t="str" cm="1">
        <f t="array" ref="AM10">AM25</f>
        <v>Предложение организации</v>
      </c>
      <c r="AN10" s="935" t="str" cm="1">
        <f t="array" ref="AN10">AN25</f>
        <v>Предложение организации</v>
      </c>
      <c r="AO10" s="935" t="str" cm="1">
        <f t="array" ref="AO10">AO25</f>
        <v>Предложение организации</v>
      </c>
      <c r="AP10" s="935" t="str" cm="1">
        <f t="array" ref="AP10">AP25</f>
        <v>Предложение организации</v>
      </c>
      <c r="AQ10" s="935" t="str" cm="1">
        <f t="array" ref="AQ10">AQ25</f>
        <v>Предложение организации</v>
      </c>
      <c r="AR10" s="935" t="str" cm="1">
        <f t="array" ref="AR10">AR25</f>
        <v>Предложение организации</v>
      </c>
      <c r="AS10" s="935" t="str" cm="1">
        <f t="array" ref="AS10">AS25</f>
        <v>Принято органом регулирования</v>
      </c>
      <c r="AT10" s="935" t="str" cm="1">
        <f t="array" ref="AT10">AT25</f>
        <v>Принято органом регулирования</v>
      </c>
      <c r="AU10" s="935" t="str" cm="1">
        <f t="array" ref="AU10">AU25</f>
        <v>Принято органом регулирования</v>
      </c>
      <c r="AV10" s="935" t="str" cm="1">
        <f t="array" ref="AV10">AV25</f>
        <v>Принято органом регулирования</v>
      </c>
      <c r="AW10" s="935" t="str" cm="1">
        <f t="array" ref="AW10">AW25</f>
        <v>Принято органом регулирования</v>
      </c>
      <c r="AX10" s="935" t="str" cm="1">
        <f t="array" ref="AX10">AX25</f>
        <v>Принято органом регулирования</v>
      </c>
      <c r="AY10" s="935" t="str" cm="1">
        <f t="array" ref="AY10">AY25</f>
        <v>Принято органом регулирования</v>
      </c>
      <c r="AZ10" s="935" t="str" cm="1">
        <f t="array" ref="AZ10">AZ25</f>
        <v>Принято органом регулирования</v>
      </c>
      <c r="BA10" s="935" t="str" cm="1">
        <f t="array" ref="BA10">BA25</f>
        <v>Принято органом регулирования</v>
      </c>
      <c r="BB10" s="935" t="str" cm="1">
        <f t="array" ref="BB10">BB25</f>
        <v>Принято органом регулирования</v>
      </c>
    </row>
    <row r="11" spans="1:58" s="1075" customFormat="1" ht="11.25" hidden="1" customHeight="1">
      <c r="A11" s="917" t="s">
        <v>357</v>
      </c>
      <c r="B11" s="911"/>
      <c r="AD11" s="935"/>
      <c r="AE11" s="935"/>
      <c r="AF11" s="935"/>
      <c r="AG11" s="935"/>
      <c r="AH11" s="935"/>
      <c r="AI11" s="935"/>
      <c r="AJ11" s="935"/>
      <c r="AK11" s="935"/>
      <c r="AL11" s="935"/>
      <c r="AM11" s="935"/>
      <c r="AN11" s="935"/>
      <c r="AO11" s="935"/>
      <c r="AP11" s="935"/>
      <c r="AQ11" s="935"/>
      <c r="AR11" s="935"/>
      <c r="AS11" s="935"/>
      <c r="AT11" s="935"/>
      <c r="AU11" s="935"/>
      <c r="AV11" s="935"/>
      <c r="AW11" s="935"/>
      <c r="AX11" s="935"/>
      <c r="AY11" s="935"/>
      <c r="AZ11" s="935"/>
      <c r="BA11" s="935"/>
      <c r="BB11" s="935"/>
      <c r="BC11" s="902"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2:58" ht="11.25" hidden="1" customHeight="1"/>
    <row r="18" spans="2:58" ht="11.25" hidden="1" customHeight="1"/>
    <row r="19" spans="2:58" ht="11.25" hidden="1" customHeight="1"/>
    <row r="20" spans="2:58" ht="11.25" hidden="1" customHeight="1"/>
    <row r="21" spans="2:58" ht="14.65" customHeight="1">
      <c r="E21" s="545">
        <v>15</v>
      </c>
      <c r="AA21" s="342"/>
      <c r="AC21" s="3" t="str" cm="1">
        <f t="array" ref="AC21">tpl_title</f>
        <v>Кемеровская область / 2026 / ОАО «СКЭК» (ИНН:4205153492, КПП:420501001) / ДПР: 2026-2026</v>
      </c>
    </row>
    <row r="22" spans="2:58" ht="19.5" customHeight="1">
      <c r="E22" s="545">
        <v>20</v>
      </c>
      <c r="AB22" s="232" t="s">
        <v>817</v>
      </c>
      <c r="AC22" s="124"/>
      <c r="AD22" s="127"/>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6"/>
    </row>
    <row r="23" spans="2:58" ht="10.7" customHeight="1">
      <c r="E23" s="545">
        <v>11</v>
      </c>
      <c r="AB23" s="1772"/>
      <c r="AC23" s="1772"/>
      <c r="AD23" s="1772"/>
      <c r="AE23" s="1772"/>
      <c r="AF23" s="1772"/>
      <c r="AG23" s="1772"/>
      <c r="AH23" s="1772"/>
      <c r="AI23" s="1772"/>
      <c r="AJ23" s="1772"/>
      <c r="AK23" s="1772"/>
      <c r="AL23" s="1772"/>
      <c r="AM23" s="1772"/>
      <c r="AN23" s="1772"/>
      <c r="AO23" s="1772"/>
      <c r="AP23" s="1772"/>
      <c r="AQ23" s="1772"/>
      <c r="AR23" s="1772"/>
      <c r="AS23" s="1772"/>
      <c r="AT23" s="1772"/>
      <c r="AU23" s="1772"/>
      <c r="AV23" s="1772"/>
      <c r="AW23" s="1772"/>
      <c r="AX23" s="1772"/>
      <c r="AY23" s="1772"/>
      <c r="AZ23" s="1772"/>
      <c r="BA23" s="1772"/>
      <c r="BB23" s="1772"/>
    </row>
    <row r="24" spans="2:58" ht="14.65" customHeight="1">
      <c r="E24" s="545">
        <v>15</v>
      </c>
      <c r="AB24" s="1758" t="s">
        <v>748</v>
      </c>
      <c r="AC24" s="1804" t="s">
        <v>194</v>
      </c>
      <c r="AD24" s="1758" t="s">
        <v>360</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05" t="s">
        <v>494</v>
      </c>
    </row>
    <row r="25" spans="2:58" ht="48.75" customHeight="1">
      <c r="E25" s="545">
        <v>50</v>
      </c>
      <c r="AB25" s="1758"/>
      <c r="AC25" s="1804"/>
      <c r="AD25" s="1758"/>
      <c r="AE25" s="11" t="s">
        <v>352</v>
      </c>
      <c r="AF25" s="1019" t="s">
        <v>417</v>
      </c>
      <c r="AG25" s="11" t="s">
        <v>418</v>
      </c>
      <c r="AH25" s="11" t="s">
        <v>352</v>
      </c>
      <c r="AI25" s="1023" t="s">
        <v>353</v>
      </c>
      <c r="AJ25" s="1023" t="s">
        <v>353</v>
      </c>
      <c r="AK25" s="1023" t="s">
        <v>353</v>
      </c>
      <c r="AL25" s="1023" t="s">
        <v>353</v>
      </c>
      <c r="AM25" s="1023" t="s">
        <v>353</v>
      </c>
      <c r="AN25" s="1023" t="s">
        <v>353</v>
      </c>
      <c r="AO25" s="1023" t="s">
        <v>353</v>
      </c>
      <c r="AP25" s="1023" t="s">
        <v>353</v>
      </c>
      <c r="AQ25" s="1023" t="s">
        <v>353</v>
      </c>
      <c r="AR25" s="1023" t="s">
        <v>353</v>
      </c>
      <c r="AS25" s="272" t="s">
        <v>352</v>
      </c>
      <c r="AT25" s="272" t="s">
        <v>352</v>
      </c>
      <c r="AU25" s="272" t="s">
        <v>352</v>
      </c>
      <c r="AV25" s="272" t="s">
        <v>352</v>
      </c>
      <c r="AW25" s="272" t="s">
        <v>352</v>
      </c>
      <c r="AX25" s="272" t="s">
        <v>352</v>
      </c>
      <c r="AY25" s="272" t="s">
        <v>352</v>
      </c>
      <c r="AZ25" s="272" t="s">
        <v>352</v>
      </c>
      <c r="BA25" s="272" t="s">
        <v>352</v>
      </c>
      <c r="BB25" s="272" t="s">
        <v>352</v>
      </c>
      <c r="BC25" s="1806"/>
    </row>
    <row r="26" spans="2:58" s="1327" customFormat="1" ht="11.25" customHeight="1">
      <c r="B26" s="347"/>
      <c r="E26" s="588" t="s">
        <v>363</v>
      </c>
      <c r="F26" s="91" t="s">
        <v>818</v>
      </c>
      <c r="T26"/>
      <c r="AC26" s="19"/>
      <c r="AD26" s="19"/>
      <c r="AE26" s="19"/>
      <c r="AF26" s="19"/>
      <c r="AQ26" s="20"/>
      <c r="BF26" s="906"/>
    </row>
    <row r="27" spans="2:58" ht="14.65" hidden="1" customHeight="1">
      <c r="E27" s="545">
        <v>15</v>
      </c>
      <c r="F27" s="635" cm="1">
        <f t="array" ref="F27">X27</f>
        <v>0</v>
      </c>
      <c r="T27" s="381" t="b">
        <f>X27&gt;0</f>
        <v>0</v>
      </c>
      <c r="V27" s="23" t="s">
        <v>270</v>
      </c>
      <c r="X27" s="1787">
        <v>0</v>
      </c>
      <c r="Z27" s="1788"/>
      <c r="AB27" s="102"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8"/>
    </row>
    <row r="28" spans="2:58" s="441" customFormat="1" ht="21.95" hidden="1" customHeight="1">
      <c r="B28" s="348"/>
      <c r="E28" s="586">
        <v>22.5</v>
      </c>
      <c r="F28" s="3" cm="1">
        <f t="array" aca="1" ref="F28" ca="1">OFFSET(E28,-1,1)</f>
        <v>0</v>
      </c>
      <c r="G28" s="23" t="s">
        <v>323</v>
      </c>
      <c r="T28" s="381" t="b" cm="1">
        <f t="array" ref="T28">T27</f>
        <v>0</v>
      </c>
      <c r="X28" s="1787"/>
      <c r="Z28" s="1788"/>
      <c r="AB28" s="129">
        <v>1</v>
      </c>
      <c r="AC28" s="130" t="s">
        <v>819</v>
      </c>
      <c r="AD28" s="8" t="s">
        <v>766</v>
      </c>
      <c r="AE28" s="1394">
        <f t="shared" ref="AE28:BB28" si="1">SUM(AE29:AE33)</f>
        <v>0</v>
      </c>
      <c r="AF28" s="1394">
        <f t="shared" si="1"/>
        <v>0</v>
      </c>
      <c r="AG28" s="1394">
        <f t="shared" si="1"/>
        <v>0</v>
      </c>
      <c r="AH28" s="1394">
        <f t="shared" si="1"/>
        <v>0</v>
      </c>
      <c r="AI28" s="1098">
        <f t="shared" si="1"/>
        <v>0</v>
      </c>
      <c r="AJ28" s="1394">
        <f t="shared" si="1"/>
        <v>0</v>
      </c>
      <c r="AK28" s="1394">
        <f t="shared" si="1"/>
        <v>0</v>
      </c>
      <c r="AL28" s="1394">
        <f t="shared" si="1"/>
        <v>0</v>
      </c>
      <c r="AM28" s="1394">
        <f t="shared" si="1"/>
        <v>0</v>
      </c>
      <c r="AN28" s="1394">
        <f t="shared" si="1"/>
        <v>0</v>
      </c>
      <c r="AO28" s="1394">
        <f t="shared" si="1"/>
        <v>0</v>
      </c>
      <c r="AP28" s="1394">
        <f t="shared" si="1"/>
        <v>0</v>
      </c>
      <c r="AQ28" s="1394">
        <f t="shared" si="1"/>
        <v>0</v>
      </c>
      <c r="AR28" s="1394">
        <f t="shared" si="1"/>
        <v>0</v>
      </c>
      <c r="AS28" s="1098">
        <f t="shared" si="1"/>
        <v>0</v>
      </c>
      <c r="AT28" s="1394">
        <f t="shared" si="1"/>
        <v>0</v>
      </c>
      <c r="AU28" s="1394">
        <f t="shared" si="1"/>
        <v>0</v>
      </c>
      <c r="AV28" s="1394">
        <f t="shared" si="1"/>
        <v>0</v>
      </c>
      <c r="AW28" s="1394">
        <f t="shared" si="1"/>
        <v>0</v>
      </c>
      <c r="AX28" s="1394">
        <f t="shared" si="1"/>
        <v>0</v>
      </c>
      <c r="AY28" s="1394">
        <f t="shared" si="1"/>
        <v>0</v>
      </c>
      <c r="AZ28" s="1394">
        <f t="shared" si="1"/>
        <v>0</v>
      </c>
      <c r="BA28" s="1394">
        <f t="shared" si="1"/>
        <v>0</v>
      </c>
      <c r="BB28" s="1394">
        <f t="shared" si="1"/>
        <v>0</v>
      </c>
      <c r="BC28" s="1361"/>
      <c r="BF28" s="936" t="s">
        <v>820</v>
      </c>
    </row>
    <row r="29" spans="2:58" ht="14.65" hidden="1" customHeight="1">
      <c r="E29" s="545">
        <v>15</v>
      </c>
      <c r="F29" s="3" cm="1">
        <f t="array" aca="1" ref="F29" ca="1">OFFSET(E29,-1,1)</f>
        <v>0</v>
      </c>
      <c r="G29" s="23" t="s">
        <v>427</v>
      </c>
      <c r="T29" s="381" t="b" cm="1">
        <f t="array" ref="T29">T28</f>
        <v>0</v>
      </c>
      <c r="X29" s="1787"/>
      <c r="Z29" s="1788"/>
      <c r="AB29" s="7" t="s">
        <v>821</v>
      </c>
      <c r="AC29" s="132" t="s">
        <v>822</v>
      </c>
      <c r="AD29" s="8" t="s">
        <v>766</v>
      </c>
      <c r="AE29" s="1395"/>
      <c r="AF29" s="1395"/>
      <c r="AG29" s="1395"/>
      <c r="AH29" s="1395"/>
      <c r="AI29" s="133"/>
      <c r="AJ29" s="1395"/>
      <c r="AK29" s="1395"/>
      <c r="AL29" s="1395"/>
      <c r="AM29" s="1395"/>
      <c r="AN29" s="1395"/>
      <c r="AO29" s="1395"/>
      <c r="AP29" s="1395"/>
      <c r="AQ29" s="1395"/>
      <c r="AR29" s="1395"/>
      <c r="AS29" s="133"/>
      <c r="AT29" s="1395"/>
      <c r="AU29" s="1395"/>
      <c r="AV29" s="1395"/>
      <c r="AW29" s="1395"/>
      <c r="AX29" s="1395"/>
      <c r="AY29" s="1395"/>
      <c r="AZ29" s="1395"/>
      <c r="BA29" s="1395"/>
      <c r="BB29" s="1395"/>
      <c r="BC29" s="1361"/>
      <c r="BF29" s="936" t="s">
        <v>823</v>
      </c>
    </row>
    <row r="30" spans="2:58" ht="14.65" hidden="1" customHeight="1">
      <c r="E30" s="545">
        <v>15</v>
      </c>
      <c r="F30" s="3" cm="1">
        <f t="array" aca="1" ref="F30" ca="1">OFFSET(E30,-1,1)</f>
        <v>0</v>
      </c>
      <c r="G30" s="23" t="s">
        <v>431</v>
      </c>
      <c r="T30" s="381" t="b" cm="1">
        <f t="array" ref="T30">T29</f>
        <v>0</v>
      </c>
      <c r="X30" s="1787"/>
      <c r="Z30" s="1788"/>
      <c r="AB30" s="7" t="s">
        <v>824</v>
      </c>
      <c r="AC30" s="132" t="s">
        <v>825</v>
      </c>
      <c r="AD30" s="8" t="s">
        <v>766</v>
      </c>
      <c r="AE30" s="1395"/>
      <c r="AF30" s="1395"/>
      <c r="AG30" s="1395"/>
      <c r="AH30" s="1395"/>
      <c r="AI30" s="133"/>
      <c r="AJ30" s="1395"/>
      <c r="AK30" s="1395"/>
      <c r="AL30" s="1395"/>
      <c r="AM30" s="1395"/>
      <c r="AN30" s="1395"/>
      <c r="AO30" s="1395"/>
      <c r="AP30" s="1395"/>
      <c r="AQ30" s="1395"/>
      <c r="AR30" s="1395"/>
      <c r="AS30" s="133"/>
      <c r="AT30" s="1395"/>
      <c r="AU30" s="1395"/>
      <c r="AV30" s="1395"/>
      <c r="AW30" s="1395"/>
      <c r="AX30" s="1395"/>
      <c r="AY30" s="1395"/>
      <c r="AZ30" s="1395"/>
      <c r="BA30" s="1395"/>
      <c r="BB30" s="1395"/>
      <c r="BC30" s="1361"/>
      <c r="BF30" s="936" t="s">
        <v>826</v>
      </c>
    </row>
    <row r="31" spans="2:58" ht="14.65" hidden="1" customHeight="1">
      <c r="E31" s="545">
        <v>15</v>
      </c>
      <c r="F31" s="3" cm="1">
        <f t="array" aca="1" ref="F31" ca="1">OFFSET(E31,-1,1)</f>
        <v>0</v>
      </c>
      <c r="G31" s="23" t="s">
        <v>434</v>
      </c>
      <c r="T31" s="381" t="b" cm="1">
        <f t="array" ref="T31">T30</f>
        <v>0</v>
      </c>
      <c r="X31" s="1787"/>
      <c r="Z31" s="1788"/>
      <c r="AB31" s="7" t="s">
        <v>827</v>
      </c>
      <c r="AC31" s="132" t="s">
        <v>828</v>
      </c>
      <c r="AD31" s="8" t="s">
        <v>766</v>
      </c>
      <c r="AE31" s="1395"/>
      <c r="AF31" s="1395"/>
      <c r="AG31" s="1395"/>
      <c r="AH31" s="1395"/>
      <c r="AI31" s="133"/>
      <c r="AJ31" s="1395"/>
      <c r="AK31" s="1395"/>
      <c r="AL31" s="1395"/>
      <c r="AM31" s="1395"/>
      <c r="AN31" s="1395"/>
      <c r="AO31" s="1395"/>
      <c r="AP31" s="1395"/>
      <c r="AQ31" s="1395"/>
      <c r="AR31" s="1395"/>
      <c r="AS31" s="133"/>
      <c r="AT31" s="1395"/>
      <c r="AU31" s="1395"/>
      <c r="AV31" s="1395"/>
      <c r="AW31" s="1395"/>
      <c r="AX31" s="1395"/>
      <c r="AY31" s="1395"/>
      <c r="AZ31" s="1395"/>
      <c r="BA31" s="1395"/>
      <c r="BB31" s="1395"/>
      <c r="BC31" s="1361"/>
      <c r="BF31" s="936" t="s">
        <v>829</v>
      </c>
    </row>
    <row r="32" spans="2:58" ht="14.65" hidden="1" customHeight="1">
      <c r="E32" s="545">
        <v>15</v>
      </c>
      <c r="F32" s="3" cm="1">
        <f t="array" aca="1" ref="F32" ca="1">OFFSET(E32,-1,1)</f>
        <v>0</v>
      </c>
      <c r="G32" s="23" t="s">
        <v>438</v>
      </c>
      <c r="T32" s="381" t="b" cm="1">
        <f t="array" ref="T32">T31</f>
        <v>0</v>
      </c>
      <c r="X32" s="1787"/>
      <c r="Z32" s="1788"/>
      <c r="AB32" s="7" t="s">
        <v>830</v>
      </c>
      <c r="AC32" s="132" t="s">
        <v>831</v>
      </c>
      <c r="AD32" s="8" t="s">
        <v>766</v>
      </c>
      <c r="AE32" s="1395"/>
      <c r="AF32" s="1395"/>
      <c r="AG32" s="1395"/>
      <c r="AH32" s="1395"/>
      <c r="AI32" s="133"/>
      <c r="AJ32" s="1395"/>
      <c r="AK32" s="1395"/>
      <c r="AL32" s="1395"/>
      <c r="AM32" s="1395"/>
      <c r="AN32" s="1395"/>
      <c r="AO32" s="1395"/>
      <c r="AP32" s="1395"/>
      <c r="AQ32" s="1395"/>
      <c r="AR32" s="1395"/>
      <c r="AS32" s="133"/>
      <c r="AT32" s="1395"/>
      <c r="AU32" s="1395"/>
      <c r="AV32" s="1395"/>
      <c r="AW32" s="1395"/>
      <c r="AX32" s="1395"/>
      <c r="AY32" s="1395"/>
      <c r="AZ32" s="1395"/>
      <c r="BA32" s="1395"/>
      <c r="BB32" s="1395"/>
      <c r="BC32" s="1361"/>
      <c r="BF32" s="936" t="s">
        <v>832</v>
      </c>
    </row>
    <row r="33" spans="2:58" ht="14.65" hidden="1" customHeight="1">
      <c r="E33" s="545">
        <v>15</v>
      </c>
      <c r="F33" s="3" cm="1">
        <f t="array" aca="1" ref="F33" ca="1">OFFSET(E33,-1,1)</f>
        <v>0</v>
      </c>
      <c r="G33" s="23" t="s">
        <v>833</v>
      </c>
      <c r="T33" s="381" t="b" cm="1">
        <f t="array" ref="T33">T32</f>
        <v>0</v>
      </c>
      <c r="X33" s="1787"/>
      <c r="Z33" s="1788"/>
      <c r="AB33" s="7" t="s">
        <v>834</v>
      </c>
      <c r="AC33" s="132" t="s">
        <v>835</v>
      </c>
      <c r="AD33" s="8" t="s">
        <v>766</v>
      </c>
      <c r="AE33" s="1395"/>
      <c r="AF33" s="1395"/>
      <c r="AG33" s="1395"/>
      <c r="AH33" s="1395"/>
      <c r="AI33" s="133"/>
      <c r="AJ33" s="1395"/>
      <c r="AK33" s="1395"/>
      <c r="AL33" s="1395"/>
      <c r="AM33" s="1395"/>
      <c r="AN33" s="1395"/>
      <c r="AO33" s="1395"/>
      <c r="AP33" s="1395"/>
      <c r="AQ33" s="1395"/>
      <c r="AR33" s="1395"/>
      <c r="AS33" s="133"/>
      <c r="AT33" s="1395"/>
      <c r="AU33" s="1395"/>
      <c r="AV33" s="1395"/>
      <c r="AW33" s="1395"/>
      <c r="AX33" s="1395"/>
      <c r="AY33" s="1395"/>
      <c r="AZ33" s="1395"/>
      <c r="BA33" s="1395"/>
      <c r="BB33" s="1395"/>
      <c r="BC33" s="1361"/>
      <c r="BF33" s="936" t="s">
        <v>836</v>
      </c>
    </row>
    <row r="34" spans="2:58" s="441" customFormat="1" ht="14.65" hidden="1" customHeight="1">
      <c r="B34" s="348"/>
      <c r="E34" s="545">
        <v>15</v>
      </c>
      <c r="F34" s="3" cm="1">
        <f t="array" aca="1" ref="F34" ca="1">OFFSET(E34,-1,1)</f>
        <v>0</v>
      </c>
      <c r="G34" s="23" t="s">
        <v>324</v>
      </c>
      <c r="T34" s="381" t="b" cm="1">
        <f t="array" ref="T34">T33</f>
        <v>0</v>
      </c>
      <c r="X34" s="1787"/>
      <c r="Z34" s="1788"/>
      <c r="AB34" s="129">
        <v>2</v>
      </c>
      <c r="AC34" s="130" t="s">
        <v>837</v>
      </c>
      <c r="AD34" s="8" t="s">
        <v>766</v>
      </c>
      <c r="AE34" s="1394">
        <f t="shared" ref="AE34:BB34" si="2">SUM(AE35:AE39)</f>
        <v>0</v>
      </c>
      <c r="AF34" s="1394">
        <f t="shared" si="2"/>
        <v>0</v>
      </c>
      <c r="AG34" s="1394">
        <f t="shared" si="2"/>
        <v>0</v>
      </c>
      <c r="AH34" s="1394">
        <f t="shared" si="2"/>
        <v>0</v>
      </c>
      <c r="AI34" s="1098">
        <f t="shared" si="2"/>
        <v>0</v>
      </c>
      <c r="AJ34" s="1394">
        <f t="shared" si="2"/>
        <v>0</v>
      </c>
      <c r="AK34" s="1394">
        <f t="shared" si="2"/>
        <v>0</v>
      </c>
      <c r="AL34" s="1394">
        <f t="shared" si="2"/>
        <v>0</v>
      </c>
      <c r="AM34" s="1394">
        <f t="shared" si="2"/>
        <v>0</v>
      </c>
      <c r="AN34" s="1394">
        <f t="shared" si="2"/>
        <v>0</v>
      </c>
      <c r="AO34" s="1394">
        <f t="shared" si="2"/>
        <v>0</v>
      </c>
      <c r="AP34" s="1394">
        <f t="shared" si="2"/>
        <v>0</v>
      </c>
      <c r="AQ34" s="1394">
        <f t="shared" si="2"/>
        <v>0</v>
      </c>
      <c r="AR34" s="1394">
        <f t="shared" si="2"/>
        <v>0</v>
      </c>
      <c r="AS34" s="1098">
        <f t="shared" si="2"/>
        <v>0</v>
      </c>
      <c r="AT34" s="1394">
        <f t="shared" si="2"/>
        <v>0</v>
      </c>
      <c r="AU34" s="1394">
        <f t="shared" si="2"/>
        <v>0</v>
      </c>
      <c r="AV34" s="1394">
        <f t="shared" si="2"/>
        <v>0</v>
      </c>
      <c r="AW34" s="1394">
        <f t="shared" si="2"/>
        <v>0</v>
      </c>
      <c r="AX34" s="1394">
        <f t="shared" si="2"/>
        <v>0</v>
      </c>
      <c r="AY34" s="1394">
        <f t="shared" si="2"/>
        <v>0</v>
      </c>
      <c r="AZ34" s="1394">
        <f t="shared" si="2"/>
        <v>0</v>
      </c>
      <c r="BA34" s="1394">
        <f t="shared" si="2"/>
        <v>0</v>
      </c>
      <c r="BB34" s="1394">
        <f t="shared" si="2"/>
        <v>0</v>
      </c>
      <c r="BC34" s="1361"/>
      <c r="BF34" s="936" t="s">
        <v>838</v>
      </c>
    </row>
    <row r="35" spans="2:58" ht="14.65" hidden="1" customHeight="1">
      <c r="E35" s="545">
        <v>15</v>
      </c>
      <c r="F35" s="3" cm="1">
        <f t="array" aca="1" ref="F35" ca="1">OFFSET(E35,-1,1)</f>
        <v>0</v>
      </c>
      <c r="G35" s="23" t="s">
        <v>445</v>
      </c>
      <c r="T35" s="381" t="b" cm="1">
        <f t="array" ref="T35">T34</f>
        <v>0</v>
      </c>
      <c r="X35" s="1787"/>
      <c r="Z35" s="1788"/>
      <c r="AB35" s="7" t="s">
        <v>502</v>
      </c>
      <c r="AC35" s="132" t="s">
        <v>822</v>
      </c>
      <c r="AD35" s="8" t="s">
        <v>766</v>
      </c>
      <c r="AE35" s="1395"/>
      <c r="AF35" s="1395"/>
      <c r="AG35" s="1395"/>
      <c r="AH35" s="1395"/>
      <c r="AI35" s="133"/>
      <c r="AJ35" s="1395"/>
      <c r="AK35" s="1395"/>
      <c r="AL35" s="1395"/>
      <c r="AM35" s="1395"/>
      <c r="AN35" s="1395"/>
      <c r="AO35" s="1395"/>
      <c r="AP35" s="1395"/>
      <c r="AQ35" s="1395"/>
      <c r="AR35" s="1395"/>
      <c r="AS35" s="133"/>
      <c r="AT35" s="1395"/>
      <c r="AU35" s="1395"/>
      <c r="AV35" s="1395"/>
      <c r="AW35" s="1395"/>
      <c r="AX35" s="1395"/>
      <c r="AY35" s="1395"/>
      <c r="AZ35" s="1395"/>
      <c r="BA35" s="1395"/>
      <c r="BB35" s="1395"/>
      <c r="BC35" s="1361"/>
      <c r="BF35" s="936" t="s">
        <v>839</v>
      </c>
    </row>
    <row r="36" spans="2:58" ht="14.65" hidden="1" customHeight="1">
      <c r="E36" s="545">
        <v>15</v>
      </c>
      <c r="F36" s="3" cm="1">
        <f t="array" aca="1" ref="F36" ca="1">OFFSET(E36,-1,1)</f>
        <v>0</v>
      </c>
      <c r="G36" s="23" t="s">
        <v>448</v>
      </c>
      <c r="T36" s="381" t="b" cm="1">
        <f t="array" ref="T36">T35</f>
        <v>0</v>
      </c>
      <c r="X36" s="1787"/>
      <c r="Z36" s="1788"/>
      <c r="AB36" s="7" t="s">
        <v>506</v>
      </c>
      <c r="AC36" s="132" t="s">
        <v>825</v>
      </c>
      <c r="AD36" s="8" t="s">
        <v>766</v>
      </c>
      <c r="AE36" s="1395"/>
      <c r="AF36" s="1395"/>
      <c r="AG36" s="1395"/>
      <c r="AH36" s="1395"/>
      <c r="AI36" s="133"/>
      <c r="AJ36" s="1395"/>
      <c r="AK36" s="1395"/>
      <c r="AL36" s="1395"/>
      <c r="AM36" s="1395"/>
      <c r="AN36" s="1395"/>
      <c r="AO36" s="1395"/>
      <c r="AP36" s="1395"/>
      <c r="AQ36" s="1395"/>
      <c r="AR36" s="1395"/>
      <c r="AS36" s="133"/>
      <c r="AT36" s="1395"/>
      <c r="AU36" s="1395"/>
      <c r="AV36" s="1395"/>
      <c r="AW36" s="1395"/>
      <c r="AX36" s="1395"/>
      <c r="AY36" s="1395"/>
      <c r="AZ36" s="1395"/>
      <c r="BA36" s="1395"/>
      <c r="BB36" s="1395"/>
      <c r="BC36" s="1361"/>
      <c r="BF36" s="936" t="s">
        <v>840</v>
      </c>
    </row>
    <row r="37" spans="2:58" ht="14.65" hidden="1" customHeight="1">
      <c r="E37" s="545">
        <v>15</v>
      </c>
      <c r="F37" s="3" cm="1">
        <f t="array" aca="1" ref="F37" ca="1">OFFSET(E37,-1,1)</f>
        <v>0</v>
      </c>
      <c r="G37" s="23" t="s">
        <v>841</v>
      </c>
      <c r="T37" s="381" t="b" cm="1">
        <f t="array" ref="T37">T36</f>
        <v>0</v>
      </c>
      <c r="X37" s="1787"/>
      <c r="Z37" s="1788"/>
      <c r="AB37" s="7" t="s">
        <v>510</v>
      </c>
      <c r="AC37" s="132" t="s">
        <v>828</v>
      </c>
      <c r="AD37" s="8" t="s">
        <v>766</v>
      </c>
      <c r="AE37" s="1395"/>
      <c r="AF37" s="1395"/>
      <c r="AG37" s="1395"/>
      <c r="AH37" s="1395"/>
      <c r="AI37" s="133"/>
      <c r="AJ37" s="1395"/>
      <c r="AK37" s="1395"/>
      <c r="AL37" s="1395"/>
      <c r="AM37" s="1395"/>
      <c r="AN37" s="1395"/>
      <c r="AO37" s="1395"/>
      <c r="AP37" s="1395"/>
      <c r="AQ37" s="1395"/>
      <c r="AR37" s="1395"/>
      <c r="AS37" s="133"/>
      <c r="AT37" s="1395"/>
      <c r="AU37" s="1395"/>
      <c r="AV37" s="1395"/>
      <c r="AW37" s="1395"/>
      <c r="AX37" s="1395"/>
      <c r="AY37" s="1395"/>
      <c r="AZ37" s="1395"/>
      <c r="BA37" s="1395"/>
      <c r="BB37" s="1395"/>
      <c r="BC37" s="1361"/>
      <c r="BF37" s="936" t="s">
        <v>842</v>
      </c>
    </row>
    <row r="38" spans="2:58" ht="14.65" hidden="1" customHeight="1">
      <c r="E38" s="545">
        <v>15</v>
      </c>
      <c r="F38" s="3" cm="1">
        <f t="array" aca="1" ref="F38" ca="1">OFFSET(E38,-1,1)</f>
        <v>0</v>
      </c>
      <c r="G38" s="23" t="s">
        <v>843</v>
      </c>
      <c r="T38" s="381" t="b" cm="1">
        <f t="array" ref="T38">T37</f>
        <v>0</v>
      </c>
      <c r="X38" s="1787"/>
      <c r="Z38" s="1788"/>
      <c r="AB38" s="7" t="s">
        <v>844</v>
      </c>
      <c r="AC38" s="132" t="s">
        <v>831</v>
      </c>
      <c r="AD38" s="8" t="s">
        <v>766</v>
      </c>
      <c r="AE38" s="1395"/>
      <c r="AF38" s="1395"/>
      <c r="AG38" s="1395"/>
      <c r="AH38" s="1395"/>
      <c r="AI38" s="133"/>
      <c r="AJ38" s="1395"/>
      <c r="AK38" s="1395"/>
      <c r="AL38" s="1395"/>
      <c r="AM38" s="1395"/>
      <c r="AN38" s="1395"/>
      <c r="AO38" s="1395"/>
      <c r="AP38" s="1395"/>
      <c r="AQ38" s="1395"/>
      <c r="AR38" s="1395"/>
      <c r="AS38" s="133"/>
      <c r="AT38" s="1395"/>
      <c r="AU38" s="1395"/>
      <c r="AV38" s="1395"/>
      <c r="AW38" s="1395"/>
      <c r="AX38" s="1395"/>
      <c r="AY38" s="1395"/>
      <c r="AZ38" s="1395"/>
      <c r="BA38" s="1395"/>
      <c r="BB38" s="1395"/>
      <c r="BC38" s="1361"/>
      <c r="BF38" s="936" t="s">
        <v>845</v>
      </c>
    </row>
    <row r="39" spans="2:58" ht="14.65" hidden="1" customHeight="1">
      <c r="E39" s="545">
        <v>15</v>
      </c>
      <c r="F39" s="3" cm="1">
        <f t="array" aca="1" ref="F39" ca="1">OFFSET(E39,-1,1)</f>
        <v>0</v>
      </c>
      <c r="G39" s="23" t="s">
        <v>846</v>
      </c>
      <c r="T39" s="381" t="b" cm="1">
        <f t="array" ref="T39">T38</f>
        <v>0</v>
      </c>
      <c r="X39" s="1787"/>
      <c r="Z39" s="1788"/>
      <c r="AB39" s="7" t="s">
        <v>847</v>
      </c>
      <c r="AC39" s="132" t="s">
        <v>835</v>
      </c>
      <c r="AD39" s="8" t="s">
        <v>766</v>
      </c>
      <c r="AE39" s="1395"/>
      <c r="AF39" s="1395"/>
      <c r="AG39" s="1395"/>
      <c r="AH39" s="1395"/>
      <c r="AI39" s="133"/>
      <c r="AJ39" s="1395"/>
      <c r="AK39" s="1395"/>
      <c r="AL39" s="1395"/>
      <c r="AM39" s="1395"/>
      <c r="AN39" s="1395"/>
      <c r="AO39" s="1395"/>
      <c r="AP39" s="1395"/>
      <c r="AQ39" s="1395"/>
      <c r="AR39" s="1395"/>
      <c r="AS39" s="133"/>
      <c r="AT39" s="1395"/>
      <c r="AU39" s="1395"/>
      <c r="AV39" s="1395"/>
      <c r="AW39" s="1395"/>
      <c r="AX39" s="1395"/>
      <c r="AY39" s="1395"/>
      <c r="AZ39" s="1395"/>
      <c r="BA39" s="1395"/>
      <c r="BB39" s="1395"/>
      <c r="BC39" s="1361"/>
      <c r="BF39" s="936" t="s">
        <v>848</v>
      </c>
    </row>
    <row r="40" spans="2:58" s="441" customFormat="1" ht="14.65" hidden="1" customHeight="1">
      <c r="B40" s="348"/>
      <c r="E40" s="545">
        <v>15</v>
      </c>
      <c r="F40" s="3" cm="1">
        <f t="array" aca="1" ref="F40" ca="1">OFFSET(E40,-1,1)</f>
        <v>0</v>
      </c>
      <c r="G40" s="23" t="s">
        <v>325</v>
      </c>
      <c r="T40" s="381" t="b" cm="1">
        <f t="array" ref="T40">T39</f>
        <v>0</v>
      </c>
      <c r="X40" s="1787"/>
      <c r="Z40" s="1788"/>
      <c r="AB40" s="129">
        <v>3</v>
      </c>
      <c r="AC40" s="130" t="s">
        <v>849</v>
      </c>
      <c r="AD40" s="8" t="s">
        <v>766</v>
      </c>
      <c r="AE40" s="1394">
        <f t="shared" ref="AE40:BB40" si="3">SUM(AE41:AE45)</f>
        <v>0</v>
      </c>
      <c r="AF40" s="1394">
        <f t="shared" si="3"/>
        <v>0</v>
      </c>
      <c r="AG40" s="1394">
        <f t="shared" si="3"/>
        <v>0</v>
      </c>
      <c r="AH40" s="1394">
        <f t="shared" si="3"/>
        <v>0</v>
      </c>
      <c r="AI40" s="1098">
        <f t="shared" si="3"/>
        <v>0</v>
      </c>
      <c r="AJ40" s="1394">
        <f t="shared" si="3"/>
        <v>0</v>
      </c>
      <c r="AK40" s="1394">
        <f t="shared" si="3"/>
        <v>0</v>
      </c>
      <c r="AL40" s="1394">
        <f t="shared" si="3"/>
        <v>0</v>
      </c>
      <c r="AM40" s="1394">
        <f t="shared" si="3"/>
        <v>0</v>
      </c>
      <c r="AN40" s="1394">
        <f t="shared" si="3"/>
        <v>0</v>
      </c>
      <c r="AO40" s="1394">
        <f t="shared" si="3"/>
        <v>0</v>
      </c>
      <c r="AP40" s="1394">
        <f t="shared" si="3"/>
        <v>0</v>
      </c>
      <c r="AQ40" s="1394">
        <f t="shared" si="3"/>
        <v>0</v>
      </c>
      <c r="AR40" s="1394">
        <f t="shared" si="3"/>
        <v>0</v>
      </c>
      <c r="AS40" s="1098">
        <f t="shared" si="3"/>
        <v>0</v>
      </c>
      <c r="AT40" s="1394">
        <f t="shared" si="3"/>
        <v>0</v>
      </c>
      <c r="AU40" s="1394">
        <f t="shared" si="3"/>
        <v>0</v>
      </c>
      <c r="AV40" s="1394">
        <f t="shared" si="3"/>
        <v>0</v>
      </c>
      <c r="AW40" s="1394">
        <f t="shared" si="3"/>
        <v>0</v>
      </c>
      <c r="AX40" s="1394">
        <f t="shared" si="3"/>
        <v>0</v>
      </c>
      <c r="AY40" s="1394">
        <f t="shared" si="3"/>
        <v>0</v>
      </c>
      <c r="AZ40" s="1394">
        <f t="shared" si="3"/>
        <v>0</v>
      </c>
      <c r="BA40" s="1394">
        <f t="shared" si="3"/>
        <v>0</v>
      </c>
      <c r="BB40" s="1394">
        <f t="shared" si="3"/>
        <v>0</v>
      </c>
      <c r="BC40" s="1361"/>
      <c r="BF40" s="936" t="s">
        <v>850</v>
      </c>
    </row>
    <row r="41" spans="2:58" ht="14.65" hidden="1" customHeight="1">
      <c r="E41" s="545">
        <v>15</v>
      </c>
      <c r="F41" s="3" cm="1">
        <f t="array" aca="1" ref="F41" ca="1">OFFSET(E41,-1,1)</f>
        <v>0</v>
      </c>
      <c r="G41" s="23" t="s">
        <v>851</v>
      </c>
      <c r="T41" s="381" t="b" cm="1">
        <f t="array" ref="T41">T40</f>
        <v>0</v>
      </c>
      <c r="X41" s="1787"/>
      <c r="Z41" s="1788"/>
      <c r="AB41" s="7" t="s">
        <v>516</v>
      </c>
      <c r="AC41" s="132" t="s">
        <v>822</v>
      </c>
      <c r="AD41" s="8" t="s">
        <v>766</v>
      </c>
      <c r="AE41" s="1395"/>
      <c r="AF41" s="1395"/>
      <c r="AG41" s="1395"/>
      <c r="AH41" s="1395"/>
      <c r="AI41" s="133"/>
      <c r="AJ41" s="1395"/>
      <c r="AK41" s="1395"/>
      <c r="AL41" s="1395"/>
      <c r="AM41" s="1395"/>
      <c r="AN41" s="1395"/>
      <c r="AO41" s="1395"/>
      <c r="AP41" s="1395"/>
      <c r="AQ41" s="1395"/>
      <c r="AR41" s="1395"/>
      <c r="AS41" s="133"/>
      <c r="AT41" s="1395"/>
      <c r="AU41" s="1395"/>
      <c r="AV41" s="1395"/>
      <c r="AW41" s="1395"/>
      <c r="AX41" s="1395"/>
      <c r="AY41" s="1395"/>
      <c r="AZ41" s="1395"/>
      <c r="BA41" s="1395"/>
      <c r="BB41" s="1395"/>
      <c r="BC41" s="1361"/>
      <c r="BF41" s="936" t="s">
        <v>852</v>
      </c>
    </row>
    <row r="42" spans="2:58" ht="14.65" hidden="1" customHeight="1">
      <c r="E42" s="545">
        <v>15</v>
      </c>
      <c r="F42" s="3" cm="1">
        <f t="array" aca="1" ref="F42" ca="1">OFFSET(E42,-1,1)</f>
        <v>0</v>
      </c>
      <c r="G42" s="23" t="s">
        <v>853</v>
      </c>
      <c r="T42" s="381" t="b" cm="1">
        <f t="array" ref="T42">T41</f>
        <v>0</v>
      </c>
      <c r="X42" s="1787"/>
      <c r="Z42" s="1788"/>
      <c r="AB42" s="7" t="s">
        <v>520</v>
      </c>
      <c r="AC42" s="132" t="s">
        <v>825</v>
      </c>
      <c r="AD42" s="8" t="s">
        <v>766</v>
      </c>
      <c r="AE42" s="1395"/>
      <c r="AF42" s="1395"/>
      <c r="AG42" s="1395"/>
      <c r="AH42" s="1395"/>
      <c r="AI42" s="133"/>
      <c r="AJ42" s="1395"/>
      <c r="AK42" s="1395"/>
      <c r="AL42" s="1395"/>
      <c r="AM42" s="1395"/>
      <c r="AN42" s="1395"/>
      <c r="AO42" s="1395"/>
      <c r="AP42" s="1395"/>
      <c r="AQ42" s="1395"/>
      <c r="AR42" s="1395"/>
      <c r="AS42" s="133"/>
      <c r="AT42" s="1395"/>
      <c r="AU42" s="1395"/>
      <c r="AV42" s="1395"/>
      <c r="AW42" s="1395"/>
      <c r="AX42" s="1395"/>
      <c r="AY42" s="1395"/>
      <c r="AZ42" s="1395"/>
      <c r="BA42" s="1395"/>
      <c r="BB42" s="1395"/>
      <c r="BC42" s="1361"/>
      <c r="BF42" s="936" t="s">
        <v>854</v>
      </c>
    </row>
    <row r="43" spans="2:58" ht="14.65" hidden="1" customHeight="1">
      <c r="E43" s="545">
        <v>15</v>
      </c>
      <c r="F43" s="3" cm="1">
        <f t="array" aca="1" ref="F43" ca="1">OFFSET(E43,-1,1)</f>
        <v>0</v>
      </c>
      <c r="G43" s="23" t="s">
        <v>855</v>
      </c>
      <c r="T43" s="381" t="b" cm="1">
        <f t="array" ref="T43">T42</f>
        <v>0</v>
      </c>
      <c r="X43" s="1787"/>
      <c r="Z43" s="1788"/>
      <c r="AB43" s="7" t="s">
        <v>737</v>
      </c>
      <c r="AC43" s="132" t="s">
        <v>828</v>
      </c>
      <c r="AD43" s="8" t="s">
        <v>766</v>
      </c>
      <c r="AE43" s="1395"/>
      <c r="AF43" s="1395"/>
      <c r="AG43" s="1395"/>
      <c r="AH43" s="1395"/>
      <c r="AI43" s="133"/>
      <c r="AJ43" s="1395"/>
      <c r="AK43" s="1395"/>
      <c r="AL43" s="1395"/>
      <c r="AM43" s="1395"/>
      <c r="AN43" s="1395"/>
      <c r="AO43" s="1395"/>
      <c r="AP43" s="1395"/>
      <c r="AQ43" s="1395"/>
      <c r="AR43" s="1395"/>
      <c r="AS43" s="133"/>
      <c r="AT43" s="1395"/>
      <c r="AU43" s="1395"/>
      <c r="AV43" s="1395"/>
      <c r="AW43" s="1395"/>
      <c r="AX43" s="1395"/>
      <c r="AY43" s="1395"/>
      <c r="AZ43" s="1395"/>
      <c r="BA43" s="1395"/>
      <c r="BB43" s="1395"/>
      <c r="BC43" s="1361"/>
      <c r="BF43" s="936" t="s">
        <v>856</v>
      </c>
    </row>
    <row r="44" spans="2:58" ht="14.65" hidden="1" customHeight="1">
      <c r="E44" s="545">
        <v>15</v>
      </c>
      <c r="F44" s="3" cm="1">
        <f t="array" aca="1" ref="F44" ca="1">OFFSET(E44,-1,1)</f>
        <v>0</v>
      </c>
      <c r="G44" s="23" t="s">
        <v>857</v>
      </c>
      <c r="T44" s="381" t="b" cm="1">
        <f t="array" ref="T44">T43</f>
        <v>0</v>
      </c>
      <c r="X44" s="1787"/>
      <c r="Z44" s="1788"/>
      <c r="AB44" s="7" t="s">
        <v>858</v>
      </c>
      <c r="AC44" s="132" t="s">
        <v>831</v>
      </c>
      <c r="AD44" s="8" t="s">
        <v>766</v>
      </c>
      <c r="AE44" s="1395"/>
      <c r="AF44" s="1395"/>
      <c r="AG44" s="1395"/>
      <c r="AH44" s="1395"/>
      <c r="AI44" s="133"/>
      <c r="AJ44" s="1395"/>
      <c r="AK44" s="1395"/>
      <c r="AL44" s="1395"/>
      <c r="AM44" s="1395"/>
      <c r="AN44" s="1395"/>
      <c r="AO44" s="1395"/>
      <c r="AP44" s="1395"/>
      <c r="AQ44" s="1395"/>
      <c r="AR44" s="1395"/>
      <c r="AS44" s="133"/>
      <c r="AT44" s="1395"/>
      <c r="AU44" s="1395"/>
      <c r="AV44" s="1395"/>
      <c r="AW44" s="1395"/>
      <c r="AX44" s="1395"/>
      <c r="AY44" s="1395"/>
      <c r="AZ44" s="1395"/>
      <c r="BA44" s="1395"/>
      <c r="BB44" s="1395"/>
      <c r="BC44" s="1361"/>
      <c r="BF44" s="936" t="s">
        <v>859</v>
      </c>
    </row>
    <row r="45" spans="2:58" ht="14.65" hidden="1" customHeight="1">
      <c r="E45" s="545">
        <v>15</v>
      </c>
      <c r="F45" s="3" cm="1">
        <f t="array" aca="1" ref="F45" ca="1">OFFSET(E45,-1,1)</f>
        <v>0</v>
      </c>
      <c r="G45" s="23" t="s">
        <v>860</v>
      </c>
      <c r="T45" s="381" t="b" cm="1">
        <f t="array" ref="T45">T44</f>
        <v>0</v>
      </c>
      <c r="X45" s="1787"/>
      <c r="Z45" s="1788"/>
      <c r="AB45" s="7" t="s">
        <v>861</v>
      </c>
      <c r="AC45" s="132" t="s">
        <v>835</v>
      </c>
      <c r="AD45" s="8" t="s">
        <v>766</v>
      </c>
      <c r="AE45" s="1395"/>
      <c r="AF45" s="1395"/>
      <c r="AG45" s="1395"/>
      <c r="AH45" s="1395"/>
      <c r="AI45" s="133"/>
      <c r="AJ45" s="1395"/>
      <c r="AK45" s="1395"/>
      <c r="AL45" s="1395"/>
      <c r="AM45" s="1395"/>
      <c r="AN45" s="1395"/>
      <c r="AO45" s="1395"/>
      <c r="AP45" s="1395"/>
      <c r="AQ45" s="1395"/>
      <c r="AR45" s="1395"/>
      <c r="AS45" s="133"/>
      <c r="AT45" s="1395"/>
      <c r="AU45" s="1395"/>
      <c r="AV45" s="1395"/>
      <c r="AW45" s="1395"/>
      <c r="AX45" s="1395"/>
      <c r="AY45" s="1395"/>
      <c r="AZ45" s="1395"/>
      <c r="BA45" s="1395"/>
      <c r="BB45" s="1395"/>
      <c r="BC45" s="1361"/>
      <c r="BF45" s="936" t="s">
        <v>862</v>
      </c>
    </row>
    <row r="46" spans="2:58" s="441" customFormat="1" ht="21.95" hidden="1" customHeight="1">
      <c r="B46" s="348"/>
      <c r="E46" s="586">
        <v>22.5</v>
      </c>
      <c r="F46" s="3" cm="1">
        <f t="array" aca="1" ref="F46" ca="1">OFFSET(E46,-1,1)</f>
        <v>0</v>
      </c>
      <c r="G46" s="23" t="s">
        <v>327</v>
      </c>
      <c r="T46" s="381" t="b" cm="1">
        <f t="array" ref="T46">T45</f>
        <v>0</v>
      </c>
      <c r="X46" s="1787"/>
      <c r="Z46" s="1788"/>
      <c r="AB46" s="129">
        <v>4</v>
      </c>
      <c r="AC46" s="130" t="s">
        <v>863</v>
      </c>
      <c r="AD46" s="8" t="s">
        <v>766</v>
      </c>
      <c r="AE46" s="1394">
        <f t="shared" ref="AE46:BB46" si="4">SUM(AE47:AE51)</f>
        <v>0</v>
      </c>
      <c r="AF46" s="1394">
        <f t="shared" si="4"/>
        <v>0</v>
      </c>
      <c r="AG46" s="1394">
        <f t="shared" si="4"/>
        <v>0</v>
      </c>
      <c r="AH46" s="1394">
        <f t="shared" si="4"/>
        <v>0</v>
      </c>
      <c r="AI46" s="1098">
        <f t="shared" si="4"/>
        <v>0</v>
      </c>
      <c r="AJ46" s="1394">
        <f t="shared" si="4"/>
        <v>0</v>
      </c>
      <c r="AK46" s="1394">
        <f t="shared" si="4"/>
        <v>0</v>
      </c>
      <c r="AL46" s="1394">
        <f t="shared" si="4"/>
        <v>0</v>
      </c>
      <c r="AM46" s="1394">
        <f t="shared" si="4"/>
        <v>0</v>
      </c>
      <c r="AN46" s="1394">
        <f t="shared" si="4"/>
        <v>0</v>
      </c>
      <c r="AO46" s="1394">
        <f t="shared" si="4"/>
        <v>0</v>
      </c>
      <c r="AP46" s="1394">
        <f t="shared" si="4"/>
        <v>0</v>
      </c>
      <c r="AQ46" s="1394">
        <f t="shared" si="4"/>
        <v>0</v>
      </c>
      <c r="AR46" s="1394">
        <f t="shared" si="4"/>
        <v>0</v>
      </c>
      <c r="AS46" s="1098">
        <f t="shared" si="4"/>
        <v>0</v>
      </c>
      <c r="AT46" s="1394">
        <f t="shared" si="4"/>
        <v>0</v>
      </c>
      <c r="AU46" s="1394">
        <f t="shared" si="4"/>
        <v>0</v>
      </c>
      <c r="AV46" s="1394">
        <f t="shared" si="4"/>
        <v>0</v>
      </c>
      <c r="AW46" s="1394">
        <f t="shared" si="4"/>
        <v>0</v>
      </c>
      <c r="AX46" s="1394">
        <f t="shared" si="4"/>
        <v>0</v>
      </c>
      <c r="AY46" s="1394">
        <f t="shared" si="4"/>
        <v>0</v>
      </c>
      <c r="AZ46" s="1394">
        <f t="shared" si="4"/>
        <v>0</v>
      </c>
      <c r="BA46" s="1394">
        <f t="shared" si="4"/>
        <v>0</v>
      </c>
      <c r="BB46" s="1394">
        <f t="shared" si="4"/>
        <v>0</v>
      </c>
      <c r="BC46" s="1361"/>
      <c r="BF46" s="936" t="s">
        <v>864</v>
      </c>
    </row>
    <row r="47" spans="2:58" ht="14.65" hidden="1" customHeight="1">
      <c r="E47" s="545">
        <v>15</v>
      </c>
      <c r="F47" s="3" cm="1">
        <f t="array" aca="1" ref="F47" ca="1">OFFSET(E47,-1,1)</f>
        <v>0</v>
      </c>
      <c r="G47" s="23" t="s">
        <v>501</v>
      </c>
      <c r="T47" s="381" t="b" cm="1">
        <f t="array" ref="T47">T46</f>
        <v>0</v>
      </c>
      <c r="X47" s="1787"/>
      <c r="Z47" s="1788"/>
      <c r="AB47" s="7" t="s">
        <v>639</v>
      </c>
      <c r="AC47" s="132" t="s">
        <v>822</v>
      </c>
      <c r="AD47" s="8" t="s">
        <v>766</v>
      </c>
      <c r="AE47" s="1395">
        <f t="shared" ref="AE47:BB47" si="5">AE29+AE35-AE41</f>
        <v>0</v>
      </c>
      <c r="AF47" s="1395">
        <f t="shared" si="5"/>
        <v>0</v>
      </c>
      <c r="AG47" s="1395">
        <f t="shared" si="5"/>
        <v>0</v>
      </c>
      <c r="AH47" s="1395">
        <f t="shared" si="5"/>
        <v>0</v>
      </c>
      <c r="AI47" s="133">
        <f t="shared" si="5"/>
        <v>0</v>
      </c>
      <c r="AJ47" s="1395">
        <f t="shared" si="5"/>
        <v>0</v>
      </c>
      <c r="AK47" s="1395">
        <f t="shared" si="5"/>
        <v>0</v>
      </c>
      <c r="AL47" s="1395">
        <f t="shared" si="5"/>
        <v>0</v>
      </c>
      <c r="AM47" s="1395">
        <f t="shared" si="5"/>
        <v>0</v>
      </c>
      <c r="AN47" s="1395">
        <f t="shared" si="5"/>
        <v>0</v>
      </c>
      <c r="AO47" s="1395">
        <f t="shared" si="5"/>
        <v>0</v>
      </c>
      <c r="AP47" s="1395">
        <f t="shared" si="5"/>
        <v>0</v>
      </c>
      <c r="AQ47" s="1395">
        <f t="shared" si="5"/>
        <v>0</v>
      </c>
      <c r="AR47" s="1395">
        <f t="shared" si="5"/>
        <v>0</v>
      </c>
      <c r="AS47" s="133">
        <f t="shared" si="5"/>
        <v>0</v>
      </c>
      <c r="AT47" s="1395">
        <f t="shared" si="5"/>
        <v>0</v>
      </c>
      <c r="AU47" s="1395">
        <f t="shared" si="5"/>
        <v>0</v>
      </c>
      <c r="AV47" s="1395">
        <f t="shared" si="5"/>
        <v>0</v>
      </c>
      <c r="AW47" s="1395">
        <f t="shared" si="5"/>
        <v>0</v>
      </c>
      <c r="AX47" s="1395">
        <f t="shared" si="5"/>
        <v>0</v>
      </c>
      <c r="AY47" s="1395">
        <f t="shared" si="5"/>
        <v>0</v>
      </c>
      <c r="AZ47" s="1395">
        <f t="shared" si="5"/>
        <v>0</v>
      </c>
      <c r="BA47" s="1395">
        <f t="shared" si="5"/>
        <v>0</v>
      </c>
      <c r="BB47" s="1395">
        <f t="shared" si="5"/>
        <v>0</v>
      </c>
      <c r="BC47" s="1361"/>
      <c r="BF47" s="936" t="s">
        <v>865</v>
      </c>
    </row>
    <row r="48" spans="2:58" ht="14.65" hidden="1" customHeight="1">
      <c r="E48" s="545">
        <v>15</v>
      </c>
      <c r="F48" s="3" cm="1">
        <f t="array" aca="1" ref="F48" ca="1">OFFSET(E48,-1,1)</f>
        <v>0</v>
      </c>
      <c r="G48" s="23" t="s">
        <v>505</v>
      </c>
      <c r="T48" s="381" t="b" cm="1">
        <f t="array" ref="T48">T47</f>
        <v>0</v>
      </c>
      <c r="X48" s="1787"/>
      <c r="Z48" s="1788"/>
      <c r="AB48" s="7" t="s">
        <v>642</v>
      </c>
      <c r="AC48" s="132" t="s">
        <v>825</v>
      </c>
      <c r="AD48" s="8" t="s">
        <v>766</v>
      </c>
      <c r="AE48" s="1395">
        <f t="shared" ref="AE48:BB48" si="6">AE30+AE36-AE42</f>
        <v>0</v>
      </c>
      <c r="AF48" s="1395">
        <f t="shared" si="6"/>
        <v>0</v>
      </c>
      <c r="AG48" s="1395">
        <f t="shared" si="6"/>
        <v>0</v>
      </c>
      <c r="AH48" s="1395">
        <f t="shared" si="6"/>
        <v>0</v>
      </c>
      <c r="AI48" s="133">
        <f t="shared" si="6"/>
        <v>0</v>
      </c>
      <c r="AJ48" s="1395">
        <f t="shared" si="6"/>
        <v>0</v>
      </c>
      <c r="AK48" s="1395">
        <f t="shared" si="6"/>
        <v>0</v>
      </c>
      <c r="AL48" s="1395">
        <f t="shared" si="6"/>
        <v>0</v>
      </c>
      <c r="AM48" s="1395">
        <f t="shared" si="6"/>
        <v>0</v>
      </c>
      <c r="AN48" s="1395">
        <f t="shared" si="6"/>
        <v>0</v>
      </c>
      <c r="AO48" s="1395">
        <f t="shared" si="6"/>
        <v>0</v>
      </c>
      <c r="AP48" s="1395">
        <f t="shared" si="6"/>
        <v>0</v>
      </c>
      <c r="AQ48" s="1395">
        <f t="shared" si="6"/>
        <v>0</v>
      </c>
      <c r="AR48" s="1395">
        <f t="shared" si="6"/>
        <v>0</v>
      </c>
      <c r="AS48" s="133">
        <f t="shared" si="6"/>
        <v>0</v>
      </c>
      <c r="AT48" s="1395">
        <f t="shared" si="6"/>
        <v>0</v>
      </c>
      <c r="AU48" s="1395">
        <f t="shared" si="6"/>
        <v>0</v>
      </c>
      <c r="AV48" s="1395">
        <f t="shared" si="6"/>
        <v>0</v>
      </c>
      <c r="AW48" s="1395">
        <f t="shared" si="6"/>
        <v>0</v>
      </c>
      <c r="AX48" s="1395">
        <f t="shared" si="6"/>
        <v>0</v>
      </c>
      <c r="AY48" s="1395">
        <f t="shared" si="6"/>
        <v>0</v>
      </c>
      <c r="AZ48" s="1395">
        <f t="shared" si="6"/>
        <v>0</v>
      </c>
      <c r="BA48" s="1395">
        <f t="shared" si="6"/>
        <v>0</v>
      </c>
      <c r="BB48" s="1395">
        <f t="shared" si="6"/>
        <v>0</v>
      </c>
      <c r="BC48" s="1361"/>
      <c r="BF48" s="936" t="s">
        <v>866</v>
      </c>
    </row>
    <row r="49" spans="2:58" ht="14.65" hidden="1" customHeight="1">
      <c r="E49" s="545">
        <v>15</v>
      </c>
      <c r="F49" s="3" cm="1">
        <f t="array" aca="1" ref="F49" ca="1">OFFSET(E49,-1,1)</f>
        <v>0</v>
      </c>
      <c r="G49" s="23" t="s">
        <v>509</v>
      </c>
      <c r="T49" s="381" t="b" cm="1">
        <f t="array" ref="T49">T48</f>
        <v>0</v>
      </c>
      <c r="X49" s="1787"/>
      <c r="Z49" s="1788"/>
      <c r="AB49" s="7" t="s">
        <v>676</v>
      </c>
      <c r="AC49" s="132" t="s">
        <v>828</v>
      </c>
      <c r="AD49" s="8" t="s">
        <v>766</v>
      </c>
      <c r="AE49" s="1395">
        <f t="shared" ref="AE49:BB49" si="7">AE31+AE37-AE43</f>
        <v>0</v>
      </c>
      <c r="AF49" s="1395">
        <f t="shared" si="7"/>
        <v>0</v>
      </c>
      <c r="AG49" s="1395">
        <f t="shared" si="7"/>
        <v>0</v>
      </c>
      <c r="AH49" s="1395">
        <f t="shared" si="7"/>
        <v>0</v>
      </c>
      <c r="AI49" s="133">
        <f t="shared" si="7"/>
        <v>0</v>
      </c>
      <c r="AJ49" s="1395">
        <f t="shared" si="7"/>
        <v>0</v>
      </c>
      <c r="AK49" s="1395">
        <f t="shared" si="7"/>
        <v>0</v>
      </c>
      <c r="AL49" s="1395">
        <f t="shared" si="7"/>
        <v>0</v>
      </c>
      <c r="AM49" s="1395">
        <f t="shared" si="7"/>
        <v>0</v>
      </c>
      <c r="AN49" s="1395">
        <f t="shared" si="7"/>
        <v>0</v>
      </c>
      <c r="AO49" s="1395">
        <f t="shared" si="7"/>
        <v>0</v>
      </c>
      <c r="AP49" s="1395">
        <f t="shared" si="7"/>
        <v>0</v>
      </c>
      <c r="AQ49" s="1395">
        <f t="shared" si="7"/>
        <v>0</v>
      </c>
      <c r="AR49" s="1395">
        <f t="shared" si="7"/>
        <v>0</v>
      </c>
      <c r="AS49" s="133">
        <f t="shared" si="7"/>
        <v>0</v>
      </c>
      <c r="AT49" s="1395">
        <f t="shared" si="7"/>
        <v>0</v>
      </c>
      <c r="AU49" s="1395">
        <f t="shared" si="7"/>
        <v>0</v>
      </c>
      <c r="AV49" s="1395">
        <f t="shared" si="7"/>
        <v>0</v>
      </c>
      <c r="AW49" s="1395">
        <f t="shared" si="7"/>
        <v>0</v>
      </c>
      <c r="AX49" s="1395">
        <f t="shared" si="7"/>
        <v>0</v>
      </c>
      <c r="AY49" s="1395">
        <f t="shared" si="7"/>
        <v>0</v>
      </c>
      <c r="AZ49" s="1395">
        <f t="shared" si="7"/>
        <v>0</v>
      </c>
      <c r="BA49" s="1395">
        <f t="shared" si="7"/>
        <v>0</v>
      </c>
      <c r="BB49" s="1395">
        <f t="shared" si="7"/>
        <v>0</v>
      </c>
      <c r="BC49" s="1361"/>
      <c r="BF49" s="936" t="s">
        <v>867</v>
      </c>
    </row>
    <row r="50" spans="2:58" ht="14.65" hidden="1" customHeight="1">
      <c r="E50" s="545">
        <v>15</v>
      </c>
      <c r="F50" s="3" cm="1">
        <f t="array" aca="1" ref="F50" ca="1">OFFSET(E50,-1,1)</f>
        <v>0</v>
      </c>
      <c r="G50" s="23" t="s">
        <v>868</v>
      </c>
      <c r="T50" s="381" t="b" cm="1">
        <f t="array" ref="T50">T49</f>
        <v>0</v>
      </c>
      <c r="X50" s="1787"/>
      <c r="Z50" s="1788"/>
      <c r="AB50" s="7" t="s">
        <v>685</v>
      </c>
      <c r="AC50" s="132" t="s">
        <v>831</v>
      </c>
      <c r="AD50" s="8" t="s">
        <v>766</v>
      </c>
      <c r="AE50" s="1395">
        <f t="shared" ref="AE50:BB50" si="8">AE32+AE38-AE44</f>
        <v>0</v>
      </c>
      <c r="AF50" s="1395">
        <f t="shared" si="8"/>
        <v>0</v>
      </c>
      <c r="AG50" s="1395">
        <f t="shared" si="8"/>
        <v>0</v>
      </c>
      <c r="AH50" s="1395">
        <f t="shared" si="8"/>
        <v>0</v>
      </c>
      <c r="AI50" s="133">
        <f t="shared" si="8"/>
        <v>0</v>
      </c>
      <c r="AJ50" s="1395">
        <f t="shared" si="8"/>
        <v>0</v>
      </c>
      <c r="AK50" s="1395">
        <f t="shared" si="8"/>
        <v>0</v>
      </c>
      <c r="AL50" s="1395">
        <f t="shared" si="8"/>
        <v>0</v>
      </c>
      <c r="AM50" s="1395">
        <f t="shared" si="8"/>
        <v>0</v>
      </c>
      <c r="AN50" s="1395">
        <f t="shared" si="8"/>
        <v>0</v>
      </c>
      <c r="AO50" s="1395">
        <f t="shared" si="8"/>
        <v>0</v>
      </c>
      <c r="AP50" s="1395">
        <f t="shared" si="8"/>
        <v>0</v>
      </c>
      <c r="AQ50" s="1395">
        <f t="shared" si="8"/>
        <v>0</v>
      </c>
      <c r="AR50" s="1395">
        <f t="shared" si="8"/>
        <v>0</v>
      </c>
      <c r="AS50" s="133">
        <f t="shared" si="8"/>
        <v>0</v>
      </c>
      <c r="AT50" s="1395">
        <f t="shared" si="8"/>
        <v>0</v>
      </c>
      <c r="AU50" s="1395">
        <f t="shared" si="8"/>
        <v>0</v>
      </c>
      <c r="AV50" s="1395">
        <f t="shared" si="8"/>
        <v>0</v>
      </c>
      <c r="AW50" s="1395">
        <f t="shared" si="8"/>
        <v>0</v>
      </c>
      <c r="AX50" s="1395">
        <f t="shared" si="8"/>
        <v>0</v>
      </c>
      <c r="AY50" s="1395">
        <f t="shared" si="8"/>
        <v>0</v>
      </c>
      <c r="AZ50" s="1395">
        <f t="shared" si="8"/>
        <v>0</v>
      </c>
      <c r="BA50" s="1395">
        <f t="shared" si="8"/>
        <v>0</v>
      </c>
      <c r="BB50" s="1395">
        <f t="shared" si="8"/>
        <v>0</v>
      </c>
      <c r="BC50" s="1361"/>
      <c r="BF50" s="936" t="s">
        <v>869</v>
      </c>
    </row>
    <row r="51" spans="2:58" ht="14.65" hidden="1" customHeight="1">
      <c r="E51" s="545">
        <v>15</v>
      </c>
      <c r="F51" s="3" cm="1">
        <f t="array" aca="1" ref="F51" ca="1">OFFSET(E51,-1,1)</f>
        <v>0</v>
      </c>
      <c r="G51" s="23" t="s">
        <v>870</v>
      </c>
      <c r="T51" s="381" t="b" cm="1">
        <f t="array" ref="T51">T50</f>
        <v>0</v>
      </c>
      <c r="X51" s="1787"/>
      <c r="Z51" s="1788"/>
      <c r="AB51" s="7" t="s">
        <v>695</v>
      </c>
      <c r="AC51" s="132" t="s">
        <v>835</v>
      </c>
      <c r="AD51" s="8" t="s">
        <v>766</v>
      </c>
      <c r="AE51" s="1395">
        <f t="shared" ref="AE51:BB51" si="9">AE33+AE39-AE45</f>
        <v>0</v>
      </c>
      <c r="AF51" s="1395">
        <f t="shared" si="9"/>
        <v>0</v>
      </c>
      <c r="AG51" s="1395">
        <f t="shared" si="9"/>
        <v>0</v>
      </c>
      <c r="AH51" s="1395">
        <f t="shared" si="9"/>
        <v>0</v>
      </c>
      <c r="AI51" s="133">
        <f t="shared" si="9"/>
        <v>0</v>
      </c>
      <c r="AJ51" s="1395">
        <f t="shared" si="9"/>
        <v>0</v>
      </c>
      <c r="AK51" s="1395">
        <f t="shared" si="9"/>
        <v>0</v>
      </c>
      <c r="AL51" s="1395">
        <f t="shared" si="9"/>
        <v>0</v>
      </c>
      <c r="AM51" s="1395">
        <f t="shared" si="9"/>
        <v>0</v>
      </c>
      <c r="AN51" s="1395">
        <f t="shared" si="9"/>
        <v>0</v>
      </c>
      <c r="AO51" s="1395">
        <f t="shared" si="9"/>
        <v>0</v>
      </c>
      <c r="AP51" s="1395">
        <f t="shared" si="9"/>
        <v>0</v>
      </c>
      <c r="AQ51" s="1395">
        <f t="shared" si="9"/>
        <v>0</v>
      </c>
      <c r="AR51" s="1395">
        <f t="shared" si="9"/>
        <v>0</v>
      </c>
      <c r="AS51" s="133">
        <f t="shared" si="9"/>
        <v>0</v>
      </c>
      <c r="AT51" s="1395">
        <f t="shared" si="9"/>
        <v>0</v>
      </c>
      <c r="AU51" s="1395">
        <f t="shared" si="9"/>
        <v>0</v>
      </c>
      <c r="AV51" s="1395">
        <f t="shared" si="9"/>
        <v>0</v>
      </c>
      <c r="AW51" s="1395">
        <f t="shared" si="9"/>
        <v>0</v>
      </c>
      <c r="AX51" s="1395">
        <f t="shared" si="9"/>
        <v>0</v>
      </c>
      <c r="AY51" s="1395">
        <f t="shared" si="9"/>
        <v>0</v>
      </c>
      <c r="AZ51" s="1395">
        <f t="shared" si="9"/>
        <v>0</v>
      </c>
      <c r="BA51" s="1395">
        <f t="shared" si="9"/>
        <v>0</v>
      </c>
      <c r="BB51" s="1395">
        <f t="shared" si="9"/>
        <v>0</v>
      </c>
      <c r="BC51" s="1361"/>
      <c r="BF51" s="936" t="s">
        <v>871</v>
      </c>
    </row>
    <row r="52" spans="2:58" s="441" customFormat="1" ht="14.65" hidden="1" customHeight="1">
      <c r="B52" s="348"/>
      <c r="E52" s="545">
        <v>15</v>
      </c>
      <c r="F52" s="3" cm="1">
        <f t="array" aca="1" ref="F52" ca="1">OFFSET(E52,-1,1)</f>
        <v>0</v>
      </c>
      <c r="G52" s="23" t="s">
        <v>326</v>
      </c>
      <c r="T52" s="381" t="b" cm="1">
        <f t="array" ref="T52">T51</f>
        <v>0</v>
      </c>
      <c r="X52" s="1787"/>
      <c r="Z52" s="1788"/>
      <c r="AB52" s="129">
        <v>5</v>
      </c>
      <c r="AC52" s="130" t="s">
        <v>872</v>
      </c>
      <c r="AD52" s="8" t="s">
        <v>766</v>
      </c>
      <c r="AE52" s="1394">
        <f t="shared" ref="AE52:BB52" si="10">SUM(AE53:AE57)</f>
        <v>0</v>
      </c>
      <c r="AF52" s="1394">
        <f t="shared" si="10"/>
        <v>0</v>
      </c>
      <c r="AG52" s="1394">
        <f t="shared" si="10"/>
        <v>0</v>
      </c>
      <c r="AH52" s="1394">
        <f t="shared" si="10"/>
        <v>0</v>
      </c>
      <c r="AI52" s="1098">
        <f t="shared" si="10"/>
        <v>0</v>
      </c>
      <c r="AJ52" s="1394">
        <f t="shared" si="10"/>
        <v>0</v>
      </c>
      <c r="AK52" s="1394">
        <f t="shared" si="10"/>
        <v>0</v>
      </c>
      <c r="AL52" s="1394">
        <f t="shared" si="10"/>
        <v>0</v>
      </c>
      <c r="AM52" s="1394">
        <f t="shared" si="10"/>
        <v>0</v>
      </c>
      <c r="AN52" s="1394">
        <f t="shared" si="10"/>
        <v>0</v>
      </c>
      <c r="AO52" s="1394">
        <f t="shared" si="10"/>
        <v>0</v>
      </c>
      <c r="AP52" s="1394">
        <f t="shared" si="10"/>
        <v>0</v>
      </c>
      <c r="AQ52" s="1394">
        <f t="shared" si="10"/>
        <v>0</v>
      </c>
      <c r="AR52" s="1394">
        <f t="shared" si="10"/>
        <v>0</v>
      </c>
      <c r="AS52" s="1098">
        <f t="shared" si="10"/>
        <v>0</v>
      </c>
      <c r="AT52" s="1394">
        <f t="shared" si="10"/>
        <v>0</v>
      </c>
      <c r="AU52" s="1394">
        <f t="shared" si="10"/>
        <v>0</v>
      </c>
      <c r="AV52" s="1394">
        <f t="shared" si="10"/>
        <v>0</v>
      </c>
      <c r="AW52" s="1394">
        <f t="shared" si="10"/>
        <v>0</v>
      </c>
      <c r="AX52" s="1394">
        <f t="shared" si="10"/>
        <v>0</v>
      </c>
      <c r="AY52" s="1394">
        <f t="shared" si="10"/>
        <v>0</v>
      </c>
      <c r="AZ52" s="1394">
        <f t="shared" si="10"/>
        <v>0</v>
      </c>
      <c r="BA52" s="1394">
        <f t="shared" si="10"/>
        <v>0</v>
      </c>
      <c r="BB52" s="1394">
        <f t="shared" si="10"/>
        <v>0</v>
      </c>
      <c r="BC52" s="1361"/>
      <c r="BF52" s="936" t="s">
        <v>873</v>
      </c>
    </row>
    <row r="53" spans="2:58" ht="14.65" hidden="1" customHeight="1">
      <c r="E53" s="545">
        <v>15</v>
      </c>
      <c r="F53" s="3" cm="1">
        <f t="array" aca="1" ref="F53" ca="1">OFFSET(E53,-1,1)</f>
        <v>0</v>
      </c>
      <c r="G53" s="23" t="s">
        <v>515</v>
      </c>
      <c r="T53" s="381" t="b" cm="1">
        <f t="array" ref="T53">T52</f>
        <v>0</v>
      </c>
      <c r="X53" s="1787"/>
      <c r="Z53" s="1788"/>
      <c r="AB53" s="7" t="s">
        <v>646</v>
      </c>
      <c r="AC53" s="132" t="s">
        <v>822</v>
      </c>
      <c r="AD53" s="8" t="s">
        <v>766</v>
      </c>
      <c r="AE53" s="1395">
        <f t="shared" ref="AE53:BB53" si="11">(AE47+AE29)/2</f>
        <v>0</v>
      </c>
      <c r="AF53" s="1395">
        <f t="shared" si="11"/>
        <v>0</v>
      </c>
      <c r="AG53" s="1395">
        <f t="shared" si="11"/>
        <v>0</v>
      </c>
      <c r="AH53" s="1395">
        <f t="shared" si="11"/>
        <v>0</v>
      </c>
      <c r="AI53" s="133">
        <f t="shared" si="11"/>
        <v>0</v>
      </c>
      <c r="AJ53" s="1395">
        <f t="shared" si="11"/>
        <v>0</v>
      </c>
      <c r="AK53" s="1395">
        <f t="shared" si="11"/>
        <v>0</v>
      </c>
      <c r="AL53" s="1395">
        <f t="shared" si="11"/>
        <v>0</v>
      </c>
      <c r="AM53" s="1395">
        <f t="shared" si="11"/>
        <v>0</v>
      </c>
      <c r="AN53" s="1395">
        <f t="shared" si="11"/>
        <v>0</v>
      </c>
      <c r="AO53" s="1395">
        <f t="shared" si="11"/>
        <v>0</v>
      </c>
      <c r="AP53" s="1395">
        <f t="shared" si="11"/>
        <v>0</v>
      </c>
      <c r="AQ53" s="1395">
        <f t="shared" si="11"/>
        <v>0</v>
      </c>
      <c r="AR53" s="1395">
        <f t="shared" si="11"/>
        <v>0</v>
      </c>
      <c r="AS53" s="133">
        <f t="shared" si="11"/>
        <v>0</v>
      </c>
      <c r="AT53" s="1395">
        <f t="shared" si="11"/>
        <v>0</v>
      </c>
      <c r="AU53" s="1395">
        <f t="shared" si="11"/>
        <v>0</v>
      </c>
      <c r="AV53" s="1395">
        <f t="shared" si="11"/>
        <v>0</v>
      </c>
      <c r="AW53" s="1395">
        <f t="shared" si="11"/>
        <v>0</v>
      </c>
      <c r="AX53" s="1395">
        <f t="shared" si="11"/>
        <v>0</v>
      </c>
      <c r="AY53" s="1395">
        <f t="shared" si="11"/>
        <v>0</v>
      </c>
      <c r="AZ53" s="1395">
        <f t="shared" si="11"/>
        <v>0</v>
      </c>
      <c r="BA53" s="1395">
        <f t="shared" si="11"/>
        <v>0</v>
      </c>
      <c r="BB53" s="1395">
        <f t="shared" si="11"/>
        <v>0</v>
      </c>
      <c r="BC53" s="1361"/>
      <c r="BF53" s="936" t="s">
        <v>874</v>
      </c>
    </row>
    <row r="54" spans="2:58" ht="14.65" hidden="1" customHeight="1">
      <c r="E54" s="545">
        <v>15</v>
      </c>
      <c r="F54" s="3" cm="1">
        <f t="array" aca="1" ref="F54" ca="1">OFFSET(E54,-1,1)</f>
        <v>0</v>
      </c>
      <c r="G54" s="23" t="s">
        <v>519</v>
      </c>
      <c r="T54" s="381" t="b" cm="1">
        <f t="array" ref="T54">T53</f>
        <v>0</v>
      </c>
      <c r="X54" s="1787"/>
      <c r="Z54" s="1788"/>
      <c r="AB54" s="7" t="s">
        <v>649</v>
      </c>
      <c r="AC54" s="132" t="s">
        <v>825</v>
      </c>
      <c r="AD54" s="8" t="s">
        <v>766</v>
      </c>
      <c r="AE54" s="1395">
        <f t="shared" ref="AE54:BB54" si="12">(AE48+AE30)/2</f>
        <v>0</v>
      </c>
      <c r="AF54" s="1395">
        <f t="shared" si="12"/>
        <v>0</v>
      </c>
      <c r="AG54" s="1395">
        <f t="shared" si="12"/>
        <v>0</v>
      </c>
      <c r="AH54" s="1395">
        <f t="shared" si="12"/>
        <v>0</v>
      </c>
      <c r="AI54" s="133">
        <f t="shared" si="12"/>
        <v>0</v>
      </c>
      <c r="AJ54" s="1395">
        <f t="shared" si="12"/>
        <v>0</v>
      </c>
      <c r="AK54" s="1395">
        <f t="shared" si="12"/>
        <v>0</v>
      </c>
      <c r="AL54" s="1395">
        <f t="shared" si="12"/>
        <v>0</v>
      </c>
      <c r="AM54" s="1395">
        <f t="shared" si="12"/>
        <v>0</v>
      </c>
      <c r="AN54" s="1395">
        <f t="shared" si="12"/>
        <v>0</v>
      </c>
      <c r="AO54" s="1395">
        <f t="shared" si="12"/>
        <v>0</v>
      </c>
      <c r="AP54" s="1395">
        <f t="shared" si="12"/>
        <v>0</v>
      </c>
      <c r="AQ54" s="1395">
        <f t="shared" si="12"/>
        <v>0</v>
      </c>
      <c r="AR54" s="1395">
        <f t="shared" si="12"/>
        <v>0</v>
      </c>
      <c r="AS54" s="133">
        <f t="shared" si="12"/>
        <v>0</v>
      </c>
      <c r="AT54" s="1395">
        <f t="shared" si="12"/>
        <v>0</v>
      </c>
      <c r="AU54" s="1395">
        <f t="shared" si="12"/>
        <v>0</v>
      </c>
      <c r="AV54" s="1395">
        <f t="shared" si="12"/>
        <v>0</v>
      </c>
      <c r="AW54" s="1395">
        <f t="shared" si="12"/>
        <v>0</v>
      </c>
      <c r="AX54" s="1395">
        <f t="shared" si="12"/>
        <v>0</v>
      </c>
      <c r="AY54" s="1395">
        <f t="shared" si="12"/>
        <v>0</v>
      </c>
      <c r="AZ54" s="1395">
        <f t="shared" si="12"/>
        <v>0</v>
      </c>
      <c r="BA54" s="1395">
        <f t="shared" si="12"/>
        <v>0</v>
      </c>
      <c r="BB54" s="1395">
        <f t="shared" si="12"/>
        <v>0</v>
      </c>
      <c r="BC54" s="1361"/>
      <c r="BF54" s="936" t="s">
        <v>875</v>
      </c>
    </row>
    <row r="55" spans="2:58" ht="14.65" hidden="1" customHeight="1">
      <c r="E55" s="545">
        <v>15</v>
      </c>
      <c r="F55" s="3" cm="1">
        <f t="array" aca="1" ref="F55" ca="1">OFFSET(E55,-1,1)</f>
        <v>0</v>
      </c>
      <c r="G55" s="23" t="s">
        <v>736</v>
      </c>
      <c r="T55" s="381" t="b" cm="1">
        <f t="array" ref="T55">T54</f>
        <v>0</v>
      </c>
      <c r="X55" s="1787"/>
      <c r="Z55" s="1788"/>
      <c r="AB55" s="7" t="s">
        <v>876</v>
      </c>
      <c r="AC55" s="132" t="s">
        <v>828</v>
      </c>
      <c r="AD55" s="8" t="s">
        <v>766</v>
      </c>
      <c r="AE55" s="1395">
        <f t="shared" ref="AE55:BB55" si="13">(AE49+AE31)/2</f>
        <v>0</v>
      </c>
      <c r="AF55" s="1395">
        <f t="shared" si="13"/>
        <v>0</v>
      </c>
      <c r="AG55" s="1395">
        <f t="shared" si="13"/>
        <v>0</v>
      </c>
      <c r="AH55" s="1395">
        <f t="shared" si="13"/>
        <v>0</v>
      </c>
      <c r="AI55" s="133">
        <f t="shared" si="13"/>
        <v>0</v>
      </c>
      <c r="AJ55" s="1395">
        <f t="shared" si="13"/>
        <v>0</v>
      </c>
      <c r="AK55" s="1395">
        <f t="shared" si="13"/>
        <v>0</v>
      </c>
      <c r="AL55" s="1395">
        <f t="shared" si="13"/>
        <v>0</v>
      </c>
      <c r="AM55" s="1395">
        <f t="shared" si="13"/>
        <v>0</v>
      </c>
      <c r="AN55" s="1395">
        <f t="shared" si="13"/>
        <v>0</v>
      </c>
      <c r="AO55" s="1395">
        <f t="shared" si="13"/>
        <v>0</v>
      </c>
      <c r="AP55" s="1395">
        <f t="shared" si="13"/>
        <v>0</v>
      </c>
      <c r="AQ55" s="1395">
        <f t="shared" si="13"/>
        <v>0</v>
      </c>
      <c r="AR55" s="1395">
        <f t="shared" si="13"/>
        <v>0</v>
      </c>
      <c r="AS55" s="133">
        <f t="shared" si="13"/>
        <v>0</v>
      </c>
      <c r="AT55" s="1395">
        <f t="shared" si="13"/>
        <v>0</v>
      </c>
      <c r="AU55" s="1395">
        <f t="shared" si="13"/>
        <v>0</v>
      </c>
      <c r="AV55" s="1395">
        <f t="shared" si="13"/>
        <v>0</v>
      </c>
      <c r="AW55" s="1395">
        <f t="shared" si="13"/>
        <v>0</v>
      </c>
      <c r="AX55" s="1395">
        <f t="shared" si="13"/>
        <v>0</v>
      </c>
      <c r="AY55" s="1395">
        <f t="shared" si="13"/>
        <v>0</v>
      </c>
      <c r="AZ55" s="1395">
        <f t="shared" si="13"/>
        <v>0</v>
      </c>
      <c r="BA55" s="1395">
        <f t="shared" si="13"/>
        <v>0</v>
      </c>
      <c r="BB55" s="1395">
        <f t="shared" si="13"/>
        <v>0</v>
      </c>
      <c r="BC55" s="1361"/>
      <c r="BF55" s="936" t="s">
        <v>877</v>
      </c>
    </row>
    <row r="56" spans="2:58" ht="14.65" hidden="1" customHeight="1">
      <c r="E56" s="545">
        <v>15</v>
      </c>
      <c r="F56" s="3" cm="1">
        <f t="array" aca="1" ref="F56" ca="1">OFFSET(E56,-1,1)</f>
        <v>0</v>
      </c>
      <c r="G56" s="23" t="s">
        <v>878</v>
      </c>
      <c r="T56" s="381" t="b" cm="1">
        <f t="array" ref="T56">T55</f>
        <v>0</v>
      </c>
      <c r="X56" s="1787"/>
      <c r="Z56" s="1788"/>
      <c r="AB56" s="7" t="s">
        <v>879</v>
      </c>
      <c r="AC56" s="132" t="s">
        <v>831</v>
      </c>
      <c r="AD56" s="8" t="s">
        <v>766</v>
      </c>
      <c r="AE56" s="1395">
        <f t="shared" ref="AE56:BB56" si="14">(AE50+AE32)/2</f>
        <v>0</v>
      </c>
      <c r="AF56" s="1395">
        <f t="shared" si="14"/>
        <v>0</v>
      </c>
      <c r="AG56" s="1395">
        <f t="shared" si="14"/>
        <v>0</v>
      </c>
      <c r="AH56" s="1395">
        <f t="shared" si="14"/>
        <v>0</v>
      </c>
      <c r="AI56" s="133">
        <f t="shared" si="14"/>
        <v>0</v>
      </c>
      <c r="AJ56" s="1395">
        <f t="shared" si="14"/>
        <v>0</v>
      </c>
      <c r="AK56" s="1395">
        <f t="shared" si="14"/>
        <v>0</v>
      </c>
      <c r="AL56" s="1395">
        <f t="shared" si="14"/>
        <v>0</v>
      </c>
      <c r="AM56" s="1395">
        <f t="shared" si="14"/>
        <v>0</v>
      </c>
      <c r="AN56" s="1395">
        <f t="shared" si="14"/>
        <v>0</v>
      </c>
      <c r="AO56" s="1395">
        <f t="shared" si="14"/>
        <v>0</v>
      </c>
      <c r="AP56" s="1395">
        <f t="shared" si="14"/>
        <v>0</v>
      </c>
      <c r="AQ56" s="1395">
        <f t="shared" si="14"/>
        <v>0</v>
      </c>
      <c r="AR56" s="1395">
        <f t="shared" si="14"/>
        <v>0</v>
      </c>
      <c r="AS56" s="133">
        <f t="shared" si="14"/>
        <v>0</v>
      </c>
      <c r="AT56" s="1395">
        <f t="shared" si="14"/>
        <v>0</v>
      </c>
      <c r="AU56" s="1395">
        <f t="shared" si="14"/>
        <v>0</v>
      </c>
      <c r="AV56" s="1395">
        <f t="shared" si="14"/>
        <v>0</v>
      </c>
      <c r="AW56" s="1395">
        <f t="shared" si="14"/>
        <v>0</v>
      </c>
      <c r="AX56" s="1395">
        <f t="shared" si="14"/>
        <v>0</v>
      </c>
      <c r="AY56" s="1395">
        <f t="shared" si="14"/>
        <v>0</v>
      </c>
      <c r="AZ56" s="1395">
        <f t="shared" si="14"/>
        <v>0</v>
      </c>
      <c r="BA56" s="1395">
        <f t="shared" si="14"/>
        <v>0</v>
      </c>
      <c r="BB56" s="1395">
        <f t="shared" si="14"/>
        <v>0</v>
      </c>
      <c r="BC56" s="1361"/>
      <c r="BF56" s="936" t="s">
        <v>880</v>
      </c>
    </row>
    <row r="57" spans="2:58" ht="14.65" hidden="1" customHeight="1">
      <c r="E57" s="545">
        <v>15</v>
      </c>
      <c r="F57" s="3" cm="1">
        <f t="array" aca="1" ref="F57" ca="1">OFFSET(E57,-1,1)</f>
        <v>0</v>
      </c>
      <c r="G57" s="23" t="s">
        <v>881</v>
      </c>
      <c r="T57" s="381" t="b" cm="1">
        <f t="array" ref="T57">T56</f>
        <v>0</v>
      </c>
      <c r="X57" s="1787"/>
      <c r="Z57" s="1788"/>
      <c r="AB57" s="7" t="s">
        <v>882</v>
      </c>
      <c r="AC57" s="132" t="s">
        <v>835</v>
      </c>
      <c r="AD57" s="8" t="s">
        <v>766</v>
      </c>
      <c r="AE57" s="1395">
        <f t="shared" ref="AE57:BB57" si="15">(AE51+AE33)/2</f>
        <v>0</v>
      </c>
      <c r="AF57" s="1395">
        <f t="shared" si="15"/>
        <v>0</v>
      </c>
      <c r="AG57" s="1395">
        <f t="shared" si="15"/>
        <v>0</v>
      </c>
      <c r="AH57" s="1395">
        <f t="shared" si="15"/>
        <v>0</v>
      </c>
      <c r="AI57" s="133">
        <f t="shared" si="15"/>
        <v>0</v>
      </c>
      <c r="AJ57" s="1395">
        <f t="shared" si="15"/>
        <v>0</v>
      </c>
      <c r="AK57" s="1395">
        <f t="shared" si="15"/>
        <v>0</v>
      </c>
      <c r="AL57" s="1395">
        <f t="shared" si="15"/>
        <v>0</v>
      </c>
      <c r="AM57" s="1395">
        <f t="shared" si="15"/>
        <v>0</v>
      </c>
      <c r="AN57" s="1395">
        <f t="shared" si="15"/>
        <v>0</v>
      </c>
      <c r="AO57" s="1395">
        <f t="shared" si="15"/>
        <v>0</v>
      </c>
      <c r="AP57" s="1395">
        <f t="shared" si="15"/>
        <v>0</v>
      </c>
      <c r="AQ57" s="1395">
        <f t="shared" si="15"/>
        <v>0</v>
      </c>
      <c r="AR57" s="1395">
        <f t="shared" si="15"/>
        <v>0</v>
      </c>
      <c r="AS57" s="133">
        <f t="shared" si="15"/>
        <v>0</v>
      </c>
      <c r="AT57" s="1395">
        <f t="shared" si="15"/>
        <v>0</v>
      </c>
      <c r="AU57" s="1395">
        <f t="shared" si="15"/>
        <v>0</v>
      </c>
      <c r="AV57" s="1395">
        <f t="shared" si="15"/>
        <v>0</v>
      </c>
      <c r="AW57" s="1395">
        <f t="shared" si="15"/>
        <v>0</v>
      </c>
      <c r="AX57" s="1395">
        <f t="shared" si="15"/>
        <v>0</v>
      </c>
      <c r="AY57" s="1395">
        <f t="shared" si="15"/>
        <v>0</v>
      </c>
      <c r="AZ57" s="1395">
        <f t="shared" si="15"/>
        <v>0</v>
      </c>
      <c r="BA57" s="1395">
        <f t="shared" si="15"/>
        <v>0</v>
      </c>
      <c r="BB57" s="1395">
        <f t="shared" si="15"/>
        <v>0</v>
      </c>
      <c r="BC57" s="1361"/>
      <c r="BF57" s="936" t="s">
        <v>883</v>
      </c>
    </row>
    <row r="58" spans="2:58" s="441" customFormat="1" ht="21.95" hidden="1" customHeight="1">
      <c r="B58" s="348"/>
      <c r="E58" s="586">
        <v>22.5</v>
      </c>
      <c r="F58" s="3" cm="1">
        <f t="array" aca="1" ref="F58" ca="1">OFFSET(E58,-1,1)</f>
        <v>0</v>
      </c>
      <c r="G58" s="23" t="s">
        <v>477</v>
      </c>
      <c r="T58" s="381" t="b" cm="1">
        <f t="array" ref="T58">T57</f>
        <v>0</v>
      </c>
      <c r="X58" s="1787"/>
      <c r="Z58" s="1788"/>
      <c r="AB58" s="129">
        <v>6</v>
      </c>
      <c r="AC58" s="130" t="s">
        <v>884</v>
      </c>
      <c r="AD58" s="129"/>
      <c r="AE58" s="134"/>
      <c r="AF58" s="134"/>
      <c r="AG58" s="134"/>
      <c r="AH58" s="134"/>
      <c r="AI58" s="134"/>
      <c r="AJ58" s="134"/>
      <c r="AK58" s="134"/>
      <c r="AL58" s="134"/>
      <c r="AM58" s="134"/>
      <c r="AN58" s="134"/>
      <c r="AO58" s="134"/>
      <c r="AP58" s="134"/>
      <c r="AQ58" s="134"/>
      <c r="AR58" s="134"/>
      <c r="AS58" s="134"/>
      <c r="AT58" s="134"/>
      <c r="AU58" s="134"/>
      <c r="AV58" s="134"/>
      <c r="AW58" s="134"/>
      <c r="AX58" s="134"/>
      <c r="AY58" s="134"/>
      <c r="AZ58" s="134"/>
      <c r="BA58" s="134"/>
      <c r="BB58" s="134"/>
      <c r="BC58" s="1361"/>
      <c r="BF58" s="936" t="s">
        <v>885</v>
      </c>
    </row>
    <row r="59" spans="2:58" ht="14.65" hidden="1" customHeight="1">
      <c r="E59" s="545">
        <v>15</v>
      </c>
      <c r="F59" s="3" cm="1">
        <f t="array" aca="1" ref="F59" ca="1">OFFSET(E59,-1,1)</f>
        <v>0</v>
      </c>
      <c r="G59" s="23" t="s">
        <v>638</v>
      </c>
      <c r="T59" s="381" t="b" cm="1">
        <f t="array" ref="T59">T58</f>
        <v>0</v>
      </c>
      <c r="X59" s="1787"/>
      <c r="Z59" s="1788"/>
      <c r="AB59" s="7" t="s">
        <v>532</v>
      </c>
      <c r="AC59" s="132" t="s">
        <v>822</v>
      </c>
      <c r="AD59" s="7" t="s">
        <v>423</v>
      </c>
      <c r="AE59" s="1395">
        <f t="shared" ref="AE59:BB59" si="16">IF(AE53=0,0,AE65/AE53*100)</f>
        <v>0</v>
      </c>
      <c r="AF59" s="1395">
        <f t="shared" si="16"/>
        <v>0</v>
      </c>
      <c r="AG59" s="1395">
        <f t="shared" si="16"/>
        <v>0</v>
      </c>
      <c r="AH59" s="1395">
        <f t="shared" si="16"/>
        <v>0</v>
      </c>
      <c r="AI59" s="133">
        <f t="shared" si="16"/>
        <v>0</v>
      </c>
      <c r="AJ59" s="1395">
        <f t="shared" si="16"/>
        <v>0</v>
      </c>
      <c r="AK59" s="1395">
        <f t="shared" si="16"/>
        <v>0</v>
      </c>
      <c r="AL59" s="1395">
        <f t="shared" si="16"/>
        <v>0</v>
      </c>
      <c r="AM59" s="1395">
        <f t="shared" si="16"/>
        <v>0</v>
      </c>
      <c r="AN59" s="1395">
        <f t="shared" si="16"/>
        <v>0</v>
      </c>
      <c r="AO59" s="1395">
        <f t="shared" si="16"/>
        <v>0</v>
      </c>
      <c r="AP59" s="1395">
        <f t="shared" si="16"/>
        <v>0</v>
      </c>
      <c r="AQ59" s="1395">
        <f t="shared" si="16"/>
        <v>0</v>
      </c>
      <c r="AR59" s="1395">
        <f t="shared" si="16"/>
        <v>0</v>
      </c>
      <c r="AS59" s="133">
        <f t="shared" si="16"/>
        <v>0</v>
      </c>
      <c r="AT59" s="1395">
        <f t="shared" si="16"/>
        <v>0</v>
      </c>
      <c r="AU59" s="1395">
        <f t="shared" si="16"/>
        <v>0</v>
      </c>
      <c r="AV59" s="1395">
        <f t="shared" si="16"/>
        <v>0</v>
      </c>
      <c r="AW59" s="1395">
        <f t="shared" si="16"/>
        <v>0</v>
      </c>
      <c r="AX59" s="1395">
        <f t="shared" si="16"/>
        <v>0</v>
      </c>
      <c r="AY59" s="1395">
        <f t="shared" si="16"/>
        <v>0</v>
      </c>
      <c r="AZ59" s="1395">
        <f t="shared" si="16"/>
        <v>0</v>
      </c>
      <c r="BA59" s="1395">
        <f t="shared" si="16"/>
        <v>0</v>
      </c>
      <c r="BB59" s="1395">
        <f t="shared" si="16"/>
        <v>0</v>
      </c>
      <c r="BC59" s="1361"/>
      <c r="BF59" s="936" t="s">
        <v>886</v>
      </c>
    </row>
    <row r="60" spans="2:58" ht="14.65" hidden="1" customHeight="1">
      <c r="E60" s="545">
        <v>15</v>
      </c>
      <c r="F60" s="3" cm="1">
        <f t="array" aca="1" ref="F60" ca="1">OFFSET(E60,-1,1)</f>
        <v>0</v>
      </c>
      <c r="G60" s="23" t="s">
        <v>641</v>
      </c>
      <c r="T60" s="381" t="b" cm="1">
        <f t="array" ref="T60">T59</f>
        <v>0</v>
      </c>
      <c r="X60" s="1787"/>
      <c r="Z60" s="1788"/>
      <c r="AB60" s="7" t="s">
        <v>536</v>
      </c>
      <c r="AC60" s="132" t="s">
        <v>825</v>
      </c>
      <c r="AD60" s="7" t="s">
        <v>423</v>
      </c>
      <c r="AE60" s="1395">
        <f t="shared" ref="AE60:BB60" si="17">IF(AE54=0,0,AE66/AE54*100)</f>
        <v>0</v>
      </c>
      <c r="AF60" s="1395">
        <f t="shared" si="17"/>
        <v>0</v>
      </c>
      <c r="AG60" s="1395">
        <f t="shared" si="17"/>
        <v>0</v>
      </c>
      <c r="AH60" s="1395">
        <f t="shared" si="17"/>
        <v>0</v>
      </c>
      <c r="AI60" s="133">
        <f t="shared" si="17"/>
        <v>0</v>
      </c>
      <c r="AJ60" s="1395">
        <f t="shared" si="17"/>
        <v>0</v>
      </c>
      <c r="AK60" s="1395">
        <f t="shared" si="17"/>
        <v>0</v>
      </c>
      <c r="AL60" s="1395">
        <f t="shared" si="17"/>
        <v>0</v>
      </c>
      <c r="AM60" s="1395">
        <f t="shared" si="17"/>
        <v>0</v>
      </c>
      <c r="AN60" s="1395">
        <f t="shared" si="17"/>
        <v>0</v>
      </c>
      <c r="AO60" s="1395">
        <f t="shared" si="17"/>
        <v>0</v>
      </c>
      <c r="AP60" s="1395">
        <f t="shared" si="17"/>
        <v>0</v>
      </c>
      <c r="AQ60" s="1395">
        <f t="shared" si="17"/>
        <v>0</v>
      </c>
      <c r="AR60" s="1395">
        <f t="shared" si="17"/>
        <v>0</v>
      </c>
      <c r="AS60" s="133">
        <f t="shared" si="17"/>
        <v>0</v>
      </c>
      <c r="AT60" s="1395">
        <f t="shared" si="17"/>
        <v>0</v>
      </c>
      <c r="AU60" s="1395">
        <f t="shared" si="17"/>
        <v>0</v>
      </c>
      <c r="AV60" s="1395">
        <f t="shared" si="17"/>
        <v>0</v>
      </c>
      <c r="AW60" s="1395">
        <f t="shared" si="17"/>
        <v>0</v>
      </c>
      <c r="AX60" s="1395">
        <f t="shared" si="17"/>
        <v>0</v>
      </c>
      <c r="AY60" s="1395">
        <f t="shared" si="17"/>
        <v>0</v>
      </c>
      <c r="AZ60" s="1395">
        <f t="shared" si="17"/>
        <v>0</v>
      </c>
      <c r="BA60" s="1395">
        <f t="shared" si="17"/>
        <v>0</v>
      </c>
      <c r="BB60" s="1395">
        <f t="shared" si="17"/>
        <v>0</v>
      </c>
      <c r="BC60" s="1361"/>
      <c r="BF60" s="936" t="s">
        <v>887</v>
      </c>
    </row>
    <row r="61" spans="2:58" ht="14.65" hidden="1" customHeight="1">
      <c r="E61" s="545">
        <v>15</v>
      </c>
      <c r="F61" s="3" cm="1">
        <f t="array" aca="1" ref="F61" ca="1">OFFSET(E61,-1,1)</f>
        <v>0</v>
      </c>
      <c r="G61" s="23" t="s">
        <v>675</v>
      </c>
      <c r="T61" s="381" t="b" cm="1">
        <f t="array" ref="T61">T60</f>
        <v>0</v>
      </c>
      <c r="X61" s="1787"/>
      <c r="Z61" s="1788"/>
      <c r="AB61" s="7" t="s">
        <v>540</v>
      </c>
      <c r="AC61" s="132" t="s">
        <v>828</v>
      </c>
      <c r="AD61" s="7" t="s">
        <v>423</v>
      </c>
      <c r="AE61" s="1395">
        <f t="shared" ref="AE61:BB61" si="18">IF(AE55=0,0,AE67/AE55*100)</f>
        <v>0</v>
      </c>
      <c r="AF61" s="1395">
        <f t="shared" si="18"/>
        <v>0</v>
      </c>
      <c r="AG61" s="1395">
        <f t="shared" si="18"/>
        <v>0</v>
      </c>
      <c r="AH61" s="1395">
        <f t="shared" si="18"/>
        <v>0</v>
      </c>
      <c r="AI61" s="133">
        <f t="shared" si="18"/>
        <v>0</v>
      </c>
      <c r="AJ61" s="1395">
        <f t="shared" si="18"/>
        <v>0</v>
      </c>
      <c r="AK61" s="1395">
        <f t="shared" si="18"/>
        <v>0</v>
      </c>
      <c r="AL61" s="1395">
        <f t="shared" si="18"/>
        <v>0</v>
      </c>
      <c r="AM61" s="1395">
        <f t="shared" si="18"/>
        <v>0</v>
      </c>
      <c r="AN61" s="1395">
        <f t="shared" si="18"/>
        <v>0</v>
      </c>
      <c r="AO61" s="1395">
        <f t="shared" si="18"/>
        <v>0</v>
      </c>
      <c r="AP61" s="1395">
        <f t="shared" si="18"/>
        <v>0</v>
      </c>
      <c r="AQ61" s="1395">
        <f t="shared" si="18"/>
        <v>0</v>
      </c>
      <c r="AR61" s="1395">
        <f t="shared" si="18"/>
        <v>0</v>
      </c>
      <c r="AS61" s="133">
        <f t="shared" si="18"/>
        <v>0</v>
      </c>
      <c r="AT61" s="1395">
        <f t="shared" si="18"/>
        <v>0</v>
      </c>
      <c r="AU61" s="1395">
        <f t="shared" si="18"/>
        <v>0</v>
      </c>
      <c r="AV61" s="1395">
        <f t="shared" si="18"/>
        <v>0</v>
      </c>
      <c r="AW61" s="1395">
        <f t="shared" si="18"/>
        <v>0</v>
      </c>
      <c r="AX61" s="1395">
        <f t="shared" si="18"/>
        <v>0</v>
      </c>
      <c r="AY61" s="1395">
        <f t="shared" si="18"/>
        <v>0</v>
      </c>
      <c r="AZ61" s="1395">
        <f t="shared" si="18"/>
        <v>0</v>
      </c>
      <c r="BA61" s="1395">
        <f t="shared" si="18"/>
        <v>0</v>
      </c>
      <c r="BB61" s="1395">
        <f t="shared" si="18"/>
        <v>0</v>
      </c>
      <c r="BC61" s="1361"/>
      <c r="BF61" s="936" t="s">
        <v>888</v>
      </c>
    </row>
    <row r="62" spans="2:58" ht="14.65" hidden="1" customHeight="1">
      <c r="E62" s="545">
        <v>15</v>
      </c>
      <c r="F62" s="3" cm="1">
        <f t="array" aca="1" ref="F62" ca="1">OFFSET(E62,-1,1)</f>
        <v>0</v>
      </c>
      <c r="G62" s="23" t="s">
        <v>684</v>
      </c>
      <c r="T62" s="381" t="b" cm="1">
        <f t="array" ref="T62">T61</f>
        <v>0</v>
      </c>
      <c r="X62" s="1787"/>
      <c r="Z62" s="1788"/>
      <c r="AB62" s="7" t="s">
        <v>889</v>
      </c>
      <c r="AC62" s="132" t="s">
        <v>831</v>
      </c>
      <c r="AD62" s="7" t="s">
        <v>423</v>
      </c>
      <c r="AE62" s="1395">
        <f t="shared" ref="AE62:BB62" si="19">IF(AE56=0,0,AE68/AE56*100)</f>
        <v>0</v>
      </c>
      <c r="AF62" s="1395">
        <f t="shared" si="19"/>
        <v>0</v>
      </c>
      <c r="AG62" s="1395">
        <f t="shared" si="19"/>
        <v>0</v>
      </c>
      <c r="AH62" s="1395">
        <f t="shared" si="19"/>
        <v>0</v>
      </c>
      <c r="AI62" s="133">
        <f t="shared" si="19"/>
        <v>0</v>
      </c>
      <c r="AJ62" s="1395">
        <f t="shared" si="19"/>
        <v>0</v>
      </c>
      <c r="AK62" s="1395">
        <f t="shared" si="19"/>
        <v>0</v>
      </c>
      <c r="AL62" s="1395">
        <f t="shared" si="19"/>
        <v>0</v>
      </c>
      <c r="AM62" s="1395">
        <f t="shared" si="19"/>
        <v>0</v>
      </c>
      <c r="AN62" s="1395">
        <f t="shared" si="19"/>
        <v>0</v>
      </c>
      <c r="AO62" s="1395">
        <f t="shared" si="19"/>
        <v>0</v>
      </c>
      <c r="AP62" s="1395">
        <f t="shared" si="19"/>
        <v>0</v>
      </c>
      <c r="AQ62" s="1395">
        <f t="shared" si="19"/>
        <v>0</v>
      </c>
      <c r="AR62" s="1395">
        <f t="shared" si="19"/>
        <v>0</v>
      </c>
      <c r="AS62" s="133">
        <f t="shared" si="19"/>
        <v>0</v>
      </c>
      <c r="AT62" s="1395">
        <f t="shared" si="19"/>
        <v>0</v>
      </c>
      <c r="AU62" s="1395">
        <f t="shared" si="19"/>
        <v>0</v>
      </c>
      <c r="AV62" s="1395">
        <f t="shared" si="19"/>
        <v>0</v>
      </c>
      <c r="AW62" s="1395">
        <f t="shared" si="19"/>
        <v>0</v>
      </c>
      <c r="AX62" s="1395">
        <f t="shared" si="19"/>
        <v>0</v>
      </c>
      <c r="AY62" s="1395">
        <f t="shared" si="19"/>
        <v>0</v>
      </c>
      <c r="AZ62" s="1395">
        <f t="shared" si="19"/>
        <v>0</v>
      </c>
      <c r="BA62" s="1395">
        <f t="shared" si="19"/>
        <v>0</v>
      </c>
      <c r="BB62" s="1395">
        <f t="shared" si="19"/>
        <v>0</v>
      </c>
      <c r="BC62" s="1361"/>
      <c r="BF62" s="936" t="s">
        <v>890</v>
      </c>
    </row>
    <row r="63" spans="2:58" ht="14.65" hidden="1" customHeight="1">
      <c r="E63" s="545">
        <v>15</v>
      </c>
      <c r="F63" s="3" cm="1">
        <f t="array" aca="1" ref="F63" ca="1">OFFSET(E63,-1,1)</f>
        <v>0</v>
      </c>
      <c r="G63" s="23" t="s">
        <v>694</v>
      </c>
      <c r="T63" s="381" t="b" cm="1">
        <f t="array" ref="T63">T62</f>
        <v>0</v>
      </c>
      <c r="X63" s="1787"/>
      <c r="Z63" s="1788"/>
      <c r="AB63" s="7" t="s">
        <v>891</v>
      </c>
      <c r="AC63" s="132" t="s">
        <v>835</v>
      </c>
      <c r="AD63" s="7" t="s">
        <v>423</v>
      </c>
      <c r="AE63" s="1395">
        <f t="shared" ref="AE63:BB63" si="20">IF(AE57=0,0,AE69/AE57*100)</f>
        <v>0</v>
      </c>
      <c r="AF63" s="1395">
        <f t="shared" si="20"/>
        <v>0</v>
      </c>
      <c r="AG63" s="1395">
        <f t="shared" si="20"/>
        <v>0</v>
      </c>
      <c r="AH63" s="1395">
        <f t="shared" si="20"/>
        <v>0</v>
      </c>
      <c r="AI63" s="133">
        <f t="shared" si="20"/>
        <v>0</v>
      </c>
      <c r="AJ63" s="1395">
        <f t="shared" si="20"/>
        <v>0</v>
      </c>
      <c r="AK63" s="1395">
        <f t="shared" si="20"/>
        <v>0</v>
      </c>
      <c r="AL63" s="1395">
        <f t="shared" si="20"/>
        <v>0</v>
      </c>
      <c r="AM63" s="1395">
        <f t="shared" si="20"/>
        <v>0</v>
      </c>
      <c r="AN63" s="1395">
        <f t="shared" si="20"/>
        <v>0</v>
      </c>
      <c r="AO63" s="1395">
        <f t="shared" si="20"/>
        <v>0</v>
      </c>
      <c r="AP63" s="1395">
        <f t="shared" si="20"/>
        <v>0</v>
      </c>
      <c r="AQ63" s="1395">
        <f t="shared" si="20"/>
        <v>0</v>
      </c>
      <c r="AR63" s="1395">
        <f t="shared" si="20"/>
        <v>0</v>
      </c>
      <c r="AS63" s="133">
        <f t="shared" si="20"/>
        <v>0</v>
      </c>
      <c r="AT63" s="1395">
        <f t="shared" si="20"/>
        <v>0</v>
      </c>
      <c r="AU63" s="1395">
        <f t="shared" si="20"/>
        <v>0</v>
      </c>
      <c r="AV63" s="1395">
        <f t="shared" si="20"/>
        <v>0</v>
      </c>
      <c r="AW63" s="1395">
        <f t="shared" si="20"/>
        <v>0</v>
      </c>
      <c r="AX63" s="1395">
        <f t="shared" si="20"/>
        <v>0</v>
      </c>
      <c r="AY63" s="1395">
        <f t="shared" si="20"/>
        <v>0</v>
      </c>
      <c r="AZ63" s="1395">
        <f t="shared" si="20"/>
        <v>0</v>
      </c>
      <c r="BA63" s="1395">
        <f t="shared" si="20"/>
        <v>0</v>
      </c>
      <c r="BB63" s="1395">
        <f t="shared" si="20"/>
        <v>0</v>
      </c>
      <c r="BC63" s="1361"/>
      <c r="BF63" s="936" t="s">
        <v>892</v>
      </c>
    </row>
    <row r="64" spans="2:58" s="441" customFormat="1" ht="14.65" hidden="1" customHeight="1">
      <c r="B64" s="348"/>
      <c r="E64" s="545">
        <v>15</v>
      </c>
      <c r="F64" s="3" cm="1">
        <f t="array" aca="1" ref="F64" ca="1">OFFSET(E64,-1,1)</f>
        <v>0</v>
      </c>
      <c r="G64" s="23" t="s">
        <v>481</v>
      </c>
      <c r="K64" s="43" t="str">
        <f ca="1">F64&amp;"komm"</f>
        <v>0komm</v>
      </c>
      <c r="L64" s="825" cm="1">
        <f t="array" ref="L64">BC64</f>
        <v>0</v>
      </c>
      <c r="T64" s="381" t="b" cm="1">
        <f t="array" ref="T64">T63</f>
        <v>0</v>
      </c>
      <c r="X64" s="1787"/>
      <c r="Z64" s="1788"/>
      <c r="AB64" s="129">
        <v>7</v>
      </c>
      <c r="AC64" s="130" t="s">
        <v>893</v>
      </c>
      <c r="AD64" s="8" t="s">
        <v>766</v>
      </c>
      <c r="AE64" s="1394">
        <f t="shared" ref="AE64:BB64" si="21">SUM(AE65:AE69)</f>
        <v>0</v>
      </c>
      <c r="AF64" s="1394">
        <f t="shared" si="21"/>
        <v>0</v>
      </c>
      <c r="AG64" s="1394">
        <f t="shared" si="21"/>
        <v>0</v>
      </c>
      <c r="AH64" s="1394">
        <f t="shared" si="21"/>
        <v>0</v>
      </c>
      <c r="AI64" s="1098">
        <f t="shared" si="21"/>
        <v>0</v>
      </c>
      <c r="AJ64" s="1394">
        <f t="shared" si="21"/>
        <v>0</v>
      </c>
      <c r="AK64" s="1394">
        <f t="shared" si="21"/>
        <v>0</v>
      </c>
      <c r="AL64" s="1394">
        <f t="shared" si="21"/>
        <v>0</v>
      </c>
      <c r="AM64" s="1394">
        <f t="shared" si="21"/>
        <v>0</v>
      </c>
      <c r="AN64" s="1394">
        <f t="shared" si="21"/>
        <v>0</v>
      </c>
      <c r="AO64" s="1394">
        <f t="shared" si="21"/>
        <v>0</v>
      </c>
      <c r="AP64" s="1394">
        <f t="shared" si="21"/>
        <v>0</v>
      </c>
      <c r="AQ64" s="1394">
        <f t="shared" si="21"/>
        <v>0</v>
      </c>
      <c r="AR64" s="1394">
        <f t="shared" si="21"/>
        <v>0</v>
      </c>
      <c r="AS64" s="1098">
        <f t="shared" si="21"/>
        <v>0</v>
      </c>
      <c r="AT64" s="1394">
        <f t="shared" si="21"/>
        <v>0</v>
      </c>
      <c r="AU64" s="1394">
        <f t="shared" si="21"/>
        <v>0</v>
      </c>
      <c r="AV64" s="1394">
        <f t="shared" si="21"/>
        <v>0</v>
      </c>
      <c r="AW64" s="1394">
        <f t="shared" si="21"/>
        <v>0</v>
      </c>
      <c r="AX64" s="1394">
        <f t="shared" si="21"/>
        <v>0</v>
      </c>
      <c r="AY64" s="1394">
        <f t="shared" si="21"/>
        <v>0</v>
      </c>
      <c r="AZ64" s="1394">
        <f t="shared" si="21"/>
        <v>0</v>
      </c>
      <c r="BA64" s="1394">
        <f t="shared" si="21"/>
        <v>0</v>
      </c>
      <c r="BB64" s="1394">
        <f t="shared" si="21"/>
        <v>0</v>
      </c>
      <c r="BC64" s="1361"/>
      <c r="BF64" s="936" t="s">
        <v>894</v>
      </c>
    </row>
    <row r="65" spans="1:58" ht="14.65" hidden="1" customHeight="1">
      <c r="E65" s="545">
        <v>15</v>
      </c>
      <c r="F65" s="3" cm="1">
        <f t="array" aca="1" ref="F65" ca="1">OFFSET(E65,-1,1)</f>
        <v>0</v>
      </c>
      <c r="G65" s="23" t="s">
        <v>645</v>
      </c>
      <c r="T65" s="381" t="b" cm="1">
        <f t="array" ref="T65">T64</f>
        <v>0</v>
      </c>
      <c r="X65" s="1787"/>
      <c r="Z65" s="1788"/>
      <c r="AB65" s="7" t="s">
        <v>548</v>
      </c>
      <c r="AC65" s="132" t="s">
        <v>822</v>
      </c>
      <c r="AD65" s="8" t="s">
        <v>766</v>
      </c>
      <c r="AE65" s="1395"/>
      <c r="AF65" s="1395"/>
      <c r="AG65" s="1395"/>
      <c r="AH65" s="1395"/>
      <c r="AI65" s="133"/>
      <c r="AJ65" s="1395"/>
      <c r="AK65" s="1395"/>
      <c r="AL65" s="1395"/>
      <c r="AM65" s="1395"/>
      <c r="AN65" s="1395"/>
      <c r="AO65" s="1395"/>
      <c r="AP65" s="1395"/>
      <c r="AQ65" s="1395"/>
      <c r="AR65" s="1395"/>
      <c r="AS65" s="133"/>
      <c r="AT65" s="1395"/>
      <c r="AU65" s="1395"/>
      <c r="AV65" s="1395"/>
      <c r="AW65" s="1395"/>
      <c r="AX65" s="1395"/>
      <c r="AY65" s="1395"/>
      <c r="AZ65" s="1395"/>
      <c r="BA65" s="1395"/>
      <c r="BB65" s="1395"/>
      <c r="BC65" s="1361"/>
      <c r="BF65" s="936" t="s">
        <v>895</v>
      </c>
    </row>
    <row r="66" spans="1:58" ht="14.65" hidden="1" customHeight="1">
      <c r="E66" s="545">
        <v>15</v>
      </c>
      <c r="F66" s="3" cm="1">
        <f t="array" aca="1" ref="F66" ca="1">OFFSET(E66,-1,1)</f>
        <v>0</v>
      </c>
      <c r="G66" s="23" t="s">
        <v>648</v>
      </c>
      <c r="T66" s="381" t="b" cm="1">
        <f t="array" ref="T66">T65</f>
        <v>0</v>
      </c>
      <c r="X66" s="1787"/>
      <c r="Z66" s="1788"/>
      <c r="AB66" s="7" t="s">
        <v>896</v>
      </c>
      <c r="AC66" s="132" t="s">
        <v>825</v>
      </c>
      <c r="AD66" s="8" t="s">
        <v>766</v>
      </c>
      <c r="AE66" s="1395"/>
      <c r="AF66" s="1395"/>
      <c r="AG66" s="1395"/>
      <c r="AH66" s="1395"/>
      <c r="AI66" s="133"/>
      <c r="AJ66" s="1395"/>
      <c r="AK66" s="1395"/>
      <c r="AL66" s="1395"/>
      <c r="AM66" s="1395"/>
      <c r="AN66" s="1395"/>
      <c r="AO66" s="1395"/>
      <c r="AP66" s="1395"/>
      <c r="AQ66" s="1395"/>
      <c r="AR66" s="1395"/>
      <c r="AS66" s="133"/>
      <c r="AT66" s="1395"/>
      <c r="AU66" s="1395"/>
      <c r="AV66" s="1395"/>
      <c r="AW66" s="1395"/>
      <c r="AX66" s="1395"/>
      <c r="AY66" s="1395"/>
      <c r="AZ66" s="1395"/>
      <c r="BA66" s="1395"/>
      <c r="BB66" s="1395"/>
      <c r="BC66" s="1361"/>
      <c r="BF66" s="936" t="s">
        <v>897</v>
      </c>
    </row>
    <row r="67" spans="1:58" ht="14.65" hidden="1" customHeight="1">
      <c r="E67" s="545">
        <v>15</v>
      </c>
      <c r="F67" s="3" cm="1">
        <f t="array" aca="1" ref="F67" ca="1">OFFSET(E67,-1,1)</f>
        <v>0</v>
      </c>
      <c r="G67" s="23" t="s">
        <v>898</v>
      </c>
      <c r="T67" s="381" t="b" cm="1">
        <f t="array" ref="T67">T66</f>
        <v>0</v>
      </c>
      <c r="X67" s="1787"/>
      <c r="Z67" s="1788"/>
      <c r="AB67" s="7" t="s">
        <v>899</v>
      </c>
      <c r="AC67" s="132" t="s">
        <v>828</v>
      </c>
      <c r="AD67" s="8" t="s">
        <v>766</v>
      </c>
      <c r="AE67" s="1395"/>
      <c r="AF67" s="1395"/>
      <c r="AG67" s="1395"/>
      <c r="AH67" s="1395"/>
      <c r="AI67" s="133"/>
      <c r="AJ67" s="1395"/>
      <c r="AK67" s="1395"/>
      <c r="AL67" s="1395"/>
      <c r="AM67" s="1395"/>
      <c r="AN67" s="1395"/>
      <c r="AO67" s="1395"/>
      <c r="AP67" s="1395"/>
      <c r="AQ67" s="1395"/>
      <c r="AR67" s="1395"/>
      <c r="AS67" s="133"/>
      <c r="AT67" s="1395"/>
      <c r="AU67" s="1395"/>
      <c r="AV67" s="1395"/>
      <c r="AW67" s="1395"/>
      <c r="AX67" s="1395"/>
      <c r="AY67" s="1395"/>
      <c r="AZ67" s="1395"/>
      <c r="BA67" s="1395"/>
      <c r="BB67" s="1395"/>
      <c r="BC67" s="1361"/>
      <c r="BF67" s="936" t="s">
        <v>900</v>
      </c>
    </row>
    <row r="68" spans="1:58" ht="14.65" hidden="1" customHeight="1">
      <c r="E68" s="545">
        <v>15</v>
      </c>
      <c r="F68" s="3" cm="1">
        <f t="array" aca="1" ref="F68" ca="1">OFFSET(E68,-1,1)</f>
        <v>0</v>
      </c>
      <c r="G68" s="23" t="s">
        <v>901</v>
      </c>
      <c r="T68" s="381" t="b" cm="1">
        <f t="array" ref="T68">T67</f>
        <v>0</v>
      </c>
      <c r="X68" s="1787"/>
      <c r="Z68" s="1788"/>
      <c r="AB68" s="7" t="s">
        <v>902</v>
      </c>
      <c r="AC68" s="132" t="s">
        <v>831</v>
      </c>
      <c r="AD68" s="8" t="s">
        <v>766</v>
      </c>
      <c r="AE68" s="1395"/>
      <c r="AF68" s="1395"/>
      <c r="AG68" s="1395"/>
      <c r="AH68" s="1395"/>
      <c r="AI68" s="133"/>
      <c r="AJ68" s="1395"/>
      <c r="AK68" s="1395"/>
      <c r="AL68" s="1395"/>
      <c r="AM68" s="1395"/>
      <c r="AN68" s="1395"/>
      <c r="AO68" s="1395"/>
      <c r="AP68" s="1395"/>
      <c r="AQ68" s="1395"/>
      <c r="AR68" s="1395"/>
      <c r="AS68" s="133"/>
      <c r="AT68" s="1395"/>
      <c r="AU68" s="1395"/>
      <c r="AV68" s="1395"/>
      <c r="AW68" s="1395"/>
      <c r="AX68" s="1395"/>
      <c r="AY68" s="1395"/>
      <c r="AZ68" s="1395"/>
      <c r="BA68" s="1395"/>
      <c r="BB68" s="1395"/>
      <c r="BC68" s="1361"/>
      <c r="BF68" s="936" t="s">
        <v>903</v>
      </c>
    </row>
    <row r="69" spans="1:58" ht="14.65" hidden="1" customHeight="1">
      <c r="E69" s="545">
        <v>15</v>
      </c>
      <c r="F69" s="3" cm="1">
        <f t="array" aca="1" ref="F69" ca="1">OFFSET(E69,-1,1)</f>
        <v>0</v>
      </c>
      <c r="G69" s="23" t="s">
        <v>904</v>
      </c>
      <c r="T69" s="381" t="b" cm="1">
        <f t="array" ref="T69">T68</f>
        <v>0</v>
      </c>
      <c r="X69" s="1787"/>
      <c r="Z69" s="1788"/>
      <c r="AB69" s="7" t="s">
        <v>905</v>
      </c>
      <c r="AC69" s="132" t="s">
        <v>835</v>
      </c>
      <c r="AD69" s="8" t="s">
        <v>766</v>
      </c>
      <c r="AE69" s="1395"/>
      <c r="AF69" s="1395"/>
      <c r="AG69" s="1395"/>
      <c r="AH69" s="1395"/>
      <c r="AI69" s="133"/>
      <c r="AJ69" s="1395"/>
      <c r="AK69" s="1395"/>
      <c r="AL69" s="1395"/>
      <c r="AM69" s="1395"/>
      <c r="AN69" s="1395"/>
      <c r="AO69" s="1395"/>
      <c r="AP69" s="1395"/>
      <c r="AQ69" s="1395"/>
      <c r="AR69" s="1395"/>
      <c r="AS69" s="133"/>
      <c r="AT69" s="1395"/>
      <c r="AU69" s="1395"/>
      <c r="AV69" s="1395"/>
      <c r="AW69" s="1395"/>
      <c r="AX69" s="1395"/>
      <c r="AY69" s="1395"/>
      <c r="AZ69" s="1395"/>
      <c r="BA69" s="1395"/>
      <c r="BB69" s="1395"/>
      <c r="BC69" s="1361"/>
      <c r="BF69" s="936" t="s">
        <v>906</v>
      </c>
    </row>
    <row r="70" spans="1:58" s="441" customFormat="1" ht="14.65" hidden="1" customHeight="1">
      <c r="B70" s="348"/>
      <c r="E70" s="545">
        <v>15</v>
      </c>
      <c r="F70" s="3" cm="1">
        <f t="array" aca="1" ref="F70" ca="1">OFFSET(E70,-1,1)</f>
        <v>0</v>
      </c>
      <c r="G70" s="23" t="s">
        <v>528</v>
      </c>
      <c r="T70" s="381" t="b" cm="1">
        <f t="array" ref="T70">T69</f>
        <v>0</v>
      </c>
      <c r="X70" s="1787"/>
      <c r="Z70" s="1788"/>
      <c r="AB70" s="129">
        <v>8</v>
      </c>
      <c r="AC70" s="130" t="s">
        <v>907</v>
      </c>
      <c r="AD70" s="8" t="s">
        <v>766</v>
      </c>
      <c r="AE70" s="1394">
        <f t="shared" ref="AE70:BB70" si="22">SUM(AE71:AE75)</f>
        <v>0</v>
      </c>
      <c r="AF70" s="1394">
        <f t="shared" si="22"/>
        <v>0</v>
      </c>
      <c r="AG70" s="1394">
        <f t="shared" si="22"/>
        <v>0</v>
      </c>
      <c r="AH70" s="1394">
        <f t="shared" si="22"/>
        <v>0</v>
      </c>
      <c r="AI70" s="1098">
        <f t="shared" si="22"/>
        <v>0</v>
      </c>
      <c r="AJ70" s="1394">
        <f t="shared" si="22"/>
        <v>0</v>
      </c>
      <c r="AK70" s="1394">
        <f t="shared" si="22"/>
        <v>0</v>
      </c>
      <c r="AL70" s="1394">
        <f t="shared" si="22"/>
        <v>0</v>
      </c>
      <c r="AM70" s="1394">
        <f t="shared" si="22"/>
        <v>0</v>
      </c>
      <c r="AN70" s="1394">
        <f t="shared" si="22"/>
        <v>0</v>
      </c>
      <c r="AO70" s="1394">
        <f t="shared" si="22"/>
        <v>0</v>
      </c>
      <c r="AP70" s="1394">
        <f t="shared" si="22"/>
        <v>0</v>
      </c>
      <c r="AQ70" s="1394">
        <f t="shared" si="22"/>
        <v>0</v>
      </c>
      <c r="AR70" s="1394">
        <f t="shared" si="22"/>
        <v>0</v>
      </c>
      <c r="AS70" s="1098">
        <f t="shared" si="22"/>
        <v>0</v>
      </c>
      <c r="AT70" s="1394">
        <f t="shared" si="22"/>
        <v>0</v>
      </c>
      <c r="AU70" s="1394">
        <f t="shared" si="22"/>
        <v>0</v>
      </c>
      <c r="AV70" s="1394">
        <f t="shared" si="22"/>
        <v>0</v>
      </c>
      <c r="AW70" s="1394">
        <f t="shared" si="22"/>
        <v>0</v>
      </c>
      <c r="AX70" s="1394">
        <f t="shared" si="22"/>
        <v>0</v>
      </c>
      <c r="AY70" s="1394">
        <f t="shared" si="22"/>
        <v>0</v>
      </c>
      <c r="AZ70" s="1394">
        <f t="shared" si="22"/>
        <v>0</v>
      </c>
      <c r="BA70" s="1394">
        <f t="shared" si="22"/>
        <v>0</v>
      </c>
      <c r="BB70" s="1394">
        <f t="shared" si="22"/>
        <v>0</v>
      </c>
      <c r="BC70" s="1361"/>
      <c r="BF70" s="936" t="s">
        <v>908</v>
      </c>
    </row>
    <row r="71" spans="1:58" ht="14.65" hidden="1" customHeight="1">
      <c r="E71" s="545">
        <v>15</v>
      </c>
      <c r="F71" s="3" cm="1">
        <f t="array" aca="1" ref="F71" ca="1">OFFSET(E71,-1,1)</f>
        <v>0</v>
      </c>
      <c r="G71" s="23" t="s">
        <v>531</v>
      </c>
      <c r="T71" s="381" t="b" cm="1">
        <f t="array" ref="T71">T70</f>
        <v>0</v>
      </c>
      <c r="X71" s="1787"/>
      <c r="Z71" s="1788"/>
      <c r="AB71" s="7" t="s">
        <v>556</v>
      </c>
      <c r="AC71" s="132" t="s">
        <v>822</v>
      </c>
      <c r="AD71" s="8" t="s">
        <v>766</v>
      </c>
      <c r="AE71" s="1395"/>
      <c r="AF71" s="1395"/>
      <c r="AG71" s="1395"/>
      <c r="AH71" s="1395"/>
      <c r="AI71" s="133"/>
      <c r="AJ71" s="1395"/>
      <c r="AK71" s="1395"/>
      <c r="AL71" s="1395"/>
      <c r="AM71" s="1395"/>
      <c r="AN71" s="1395"/>
      <c r="AO71" s="1395"/>
      <c r="AP71" s="1395"/>
      <c r="AQ71" s="1395"/>
      <c r="AR71" s="1395"/>
      <c r="AS71" s="133"/>
      <c r="AT71" s="1395"/>
      <c r="AU71" s="1395"/>
      <c r="AV71" s="1395"/>
      <c r="AW71" s="1395"/>
      <c r="AX71" s="1395"/>
      <c r="AY71" s="1395"/>
      <c r="AZ71" s="1395"/>
      <c r="BA71" s="1395"/>
      <c r="BB71" s="1395"/>
      <c r="BC71" s="1361"/>
      <c r="BF71" s="936" t="s">
        <v>909</v>
      </c>
    </row>
    <row r="72" spans="1:58" ht="14.65" hidden="1" customHeight="1">
      <c r="E72" s="545">
        <v>15</v>
      </c>
      <c r="F72" s="3" cm="1">
        <f t="array" aca="1" ref="F72" ca="1">OFFSET(E72,-1,1)</f>
        <v>0</v>
      </c>
      <c r="G72" s="23" t="s">
        <v>535</v>
      </c>
      <c r="T72" s="381" t="b" cm="1">
        <f t="array" ref="T72">T71</f>
        <v>0</v>
      </c>
      <c r="X72" s="1787"/>
      <c r="Z72" s="1788"/>
      <c r="AB72" s="7" t="s">
        <v>573</v>
      </c>
      <c r="AC72" s="132" t="s">
        <v>825</v>
      </c>
      <c r="AD72" s="8" t="s">
        <v>766</v>
      </c>
      <c r="AE72" s="1395"/>
      <c r="AF72" s="1395"/>
      <c r="AG72" s="1395"/>
      <c r="AH72" s="1395"/>
      <c r="AI72" s="133"/>
      <c r="AJ72" s="1395"/>
      <c r="AK72" s="1395"/>
      <c r="AL72" s="1395"/>
      <c r="AM72" s="1395"/>
      <c r="AN72" s="1395"/>
      <c r="AO72" s="1395"/>
      <c r="AP72" s="1395"/>
      <c r="AQ72" s="1395"/>
      <c r="AR72" s="1395"/>
      <c r="AS72" s="133"/>
      <c r="AT72" s="1395"/>
      <c r="AU72" s="1395"/>
      <c r="AV72" s="1395"/>
      <c r="AW72" s="1395"/>
      <c r="AX72" s="1395"/>
      <c r="AY72" s="1395"/>
      <c r="AZ72" s="1395"/>
      <c r="BA72" s="1395"/>
      <c r="BB72" s="1395"/>
      <c r="BC72" s="1361"/>
      <c r="BF72" s="936" t="s">
        <v>910</v>
      </c>
    </row>
    <row r="73" spans="1:58" ht="14.65" hidden="1" customHeight="1">
      <c r="E73" s="545">
        <v>15</v>
      </c>
      <c r="F73" s="3" cm="1">
        <f t="array" aca="1" ref="F73" ca="1">OFFSET(E73,-1,1)</f>
        <v>0</v>
      </c>
      <c r="G73" s="23" t="s">
        <v>539</v>
      </c>
      <c r="T73" s="381" t="b" cm="1">
        <f t="array" ref="T73">T72</f>
        <v>0</v>
      </c>
      <c r="X73" s="1787"/>
      <c r="Z73" s="1788"/>
      <c r="AB73" s="7" t="s">
        <v>585</v>
      </c>
      <c r="AC73" s="132" t="s">
        <v>828</v>
      </c>
      <c r="AD73" s="8" t="s">
        <v>766</v>
      </c>
      <c r="AE73" s="1395"/>
      <c r="AF73" s="1395"/>
      <c r="AG73" s="1395"/>
      <c r="AH73" s="1395"/>
      <c r="AI73" s="133"/>
      <c r="AJ73" s="1395"/>
      <c r="AK73" s="1395"/>
      <c r="AL73" s="1395"/>
      <c r="AM73" s="1395"/>
      <c r="AN73" s="1395"/>
      <c r="AO73" s="1395"/>
      <c r="AP73" s="1395"/>
      <c r="AQ73" s="1395"/>
      <c r="AR73" s="1395"/>
      <c r="AS73" s="133"/>
      <c r="AT73" s="1395"/>
      <c r="AU73" s="1395"/>
      <c r="AV73" s="1395"/>
      <c r="AW73" s="1395"/>
      <c r="AX73" s="1395"/>
      <c r="AY73" s="1395"/>
      <c r="AZ73" s="1395"/>
      <c r="BA73" s="1395"/>
      <c r="BB73" s="1395"/>
      <c r="BC73" s="1361"/>
      <c r="BF73" s="936" t="s">
        <v>911</v>
      </c>
    </row>
    <row r="74" spans="1:58" ht="14.65" hidden="1" customHeight="1">
      <c r="E74" s="545">
        <v>15</v>
      </c>
      <c r="F74" s="3" cm="1">
        <f t="array" aca="1" ref="F74" ca="1">OFFSET(E74,-1,1)</f>
        <v>0</v>
      </c>
      <c r="G74" s="23" t="s">
        <v>912</v>
      </c>
      <c r="T74" s="381" t="b" cm="1">
        <f t="array" ref="T74">T73</f>
        <v>0</v>
      </c>
      <c r="X74" s="1787"/>
      <c r="Z74" s="1788"/>
      <c r="AB74" s="7" t="s">
        <v>620</v>
      </c>
      <c r="AC74" s="132" t="s">
        <v>831</v>
      </c>
      <c r="AD74" s="8" t="s">
        <v>766</v>
      </c>
      <c r="AE74" s="1395"/>
      <c r="AF74" s="1395"/>
      <c r="AG74" s="1395"/>
      <c r="AH74" s="1395"/>
      <c r="AI74" s="133"/>
      <c r="AJ74" s="1395"/>
      <c r="AK74" s="1395"/>
      <c r="AL74" s="1395"/>
      <c r="AM74" s="1395"/>
      <c r="AN74" s="1395"/>
      <c r="AO74" s="1395"/>
      <c r="AP74" s="1395"/>
      <c r="AQ74" s="1395"/>
      <c r="AR74" s="1395"/>
      <c r="AS74" s="133"/>
      <c r="AT74" s="1395"/>
      <c r="AU74" s="1395"/>
      <c r="AV74" s="1395"/>
      <c r="AW74" s="1395"/>
      <c r="AX74" s="1395"/>
      <c r="AY74" s="1395"/>
      <c r="AZ74" s="1395"/>
      <c r="BA74" s="1395"/>
      <c r="BB74" s="1395"/>
      <c r="BC74" s="1361"/>
      <c r="BF74" s="936" t="s">
        <v>913</v>
      </c>
    </row>
    <row r="75" spans="1:58" ht="14.65" hidden="1" customHeight="1">
      <c r="E75" s="545">
        <v>15</v>
      </c>
      <c r="F75" s="3" cm="1">
        <f t="array" aca="1" ref="F75" ca="1">OFFSET(E75,-1,1)</f>
        <v>0</v>
      </c>
      <c r="G75" s="23" t="s">
        <v>914</v>
      </c>
      <c r="T75" s="381" t="b" cm="1">
        <f t="array" ref="T75">T74</f>
        <v>0</v>
      </c>
      <c r="X75" s="1787"/>
      <c r="Z75" s="1788"/>
      <c r="AB75" s="7" t="s">
        <v>623</v>
      </c>
      <c r="AC75" s="132" t="s">
        <v>835</v>
      </c>
      <c r="AD75" s="8" t="s">
        <v>766</v>
      </c>
      <c r="AE75" s="1395"/>
      <c r="AF75" s="1395"/>
      <c r="AG75" s="1395"/>
      <c r="AH75" s="1395"/>
      <c r="AI75" s="133"/>
      <c r="AJ75" s="1395"/>
      <c r="AK75" s="1395"/>
      <c r="AL75" s="1395"/>
      <c r="AM75" s="1395"/>
      <c r="AN75" s="1395"/>
      <c r="AO75" s="1395"/>
      <c r="AP75" s="1395"/>
      <c r="AQ75" s="1395"/>
      <c r="AR75" s="1395"/>
      <c r="AS75" s="133"/>
      <c r="AT75" s="1395"/>
      <c r="AU75" s="1395"/>
      <c r="AV75" s="1395"/>
      <c r="AW75" s="1395"/>
      <c r="AX75" s="1395"/>
      <c r="AY75" s="1395"/>
      <c r="AZ75" s="1395"/>
      <c r="BA75" s="1395"/>
      <c r="BB75" s="1395"/>
      <c r="BC75" s="1361"/>
      <c r="BF75" s="936" t="s">
        <v>915</v>
      </c>
    </row>
    <row r="76" spans="1:58" s="1327" customFormat="1" ht="14.25" customHeight="1">
      <c r="A76" s="1121"/>
      <c r="B76" s="1104"/>
      <c r="C76" s="1121"/>
      <c r="D76" s="1121"/>
      <c r="E76" s="545">
        <v>15</v>
      </c>
      <c r="F76" s="635" t="str" cm="1">
        <f t="array" ref="F76">X76</f>
        <v>1</v>
      </c>
      <c r="G76" s="1121"/>
      <c r="H76" s="1121"/>
      <c r="I76" s="1121"/>
      <c r="J76" s="1121"/>
      <c r="K76" s="1121"/>
      <c r="L76" s="1121"/>
      <c r="M76" s="1121"/>
      <c r="N76" s="1121"/>
      <c r="O76" s="1121"/>
      <c r="P76" s="1121"/>
      <c r="Q76" s="1121"/>
      <c r="R76" s="1121"/>
      <c r="S76" s="1121"/>
      <c r="T76" s="381" t="b">
        <f>X76&gt;0</f>
        <v>1</v>
      </c>
      <c r="U76" s="1121"/>
      <c r="V76" s="23" t="str" cm="1">
        <f t="array" ref="V76">ЭЭ!$AB$47</f>
        <v>Тариф 1 (Водоснабжение) - тариф на питьевую воду</v>
      </c>
      <c r="W76" s="1121"/>
      <c r="X76" s="1787" t="s">
        <v>281</v>
      </c>
      <c r="Y76" s="1121"/>
      <c r="Z76" s="1788"/>
      <c r="AA76" s="1121"/>
      <c r="AB76" s="102" t="str" cm="1">
        <f t="array" ref="AB76">ЭЭ!$AB$47</f>
        <v>Тариф 1 (Водоснабжение) - тариф на питьевую воду</v>
      </c>
      <c r="AC76" s="99"/>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128"/>
      <c r="BD76" s="1121"/>
      <c r="BE76" s="1121"/>
      <c r="BF76" s="1075"/>
    </row>
    <row r="77" spans="1:58" s="441" customFormat="1" ht="21.75" customHeight="1">
      <c r="B77" s="348"/>
      <c r="E77" s="586">
        <v>22.5</v>
      </c>
      <c r="F77" s="3" t="str" cm="1">
        <f t="array" aca="1" ref="F77" ca="1">OFFSET(E77,-1,1)</f>
        <v>1</v>
      </c>
      <c r="G77" s="23" t="s">
        <v>323</v>
      </c>
      <c r="T77" s="381" t="b" cm="1">
        <f t="array" ref="T77">T76</f>
        <v>1</v>
      </c>
      <c r="X77" s="1787"/>
      <c r="Z77" s="1788"/>
      <c r="AB77" s="129">
        <v>1</v>
      </c>
      <c r="AC77" s="130" t="s">
        <v>819</v>
      </c>
      <c r="AD77" s="8" t="s">
        <v>766</v>
      </c>
      <c r="AE77" s="1098">
        <f t="shared" ref="AE77:BB77" si="23">SUM(AE78:AE82)</f>
        <v>0</v>
      </c>
      <c r="AF77" s="1098">
        <f t="shared" si="23"/>
        <v>0</v>
      </c>
      <c r="AG77" s="1098">
        <f t="shared" si="23"/>
        <v>0</v>
      </c>
      <c r="AH77" s="1098">
        <f t="shared" si="23"/>
        <v>0</v>
      </c>
      <c r="AI77" s="1098">
        <f t="shared" si="23"/>
        <v>0</v>
      </c>
      <c r="AJ77" s="1098">
        <f t="shared" si="23"/>
        <v>0</v>
      </c>
      <c r="AK77" s="1098">
        <f t="shared" si="23"/>
        <v>0</v>
      </c>
      <c r="AL77" s="1098">
        <f t="shared" si="23"/>
        <v>0</v>
      </c>
      <c r="AM77" s="1098">
        <f t="shared" si="23"/>
        <v>0</v>
      </c>
      <c r="AN77" s="1098">
        <f t="shared" si="23"/>
        <v>0</v>
      </c>
      <c r="AO77" s="1098">
        <f t="shared" si="23"/>
        <v>0</v>
      </c>
      <c r="AP77" s="1098">
        <f t="shared" si="23"/>
        <v>0</v>
      </c>
      <c r="AQ77" s="1098">
        <f t="shared" si="23"/>
        <v>0</v>
      </c>
      <c r="AR77" s="1098">
        <f t="shared" si="23"/>
        <v>0</v>
      </c>
      <c r="AS77" s="1098">
        <f t="shared" si="23"/>
        <v>0</v>
      </c>
      <c r="AT77" s="1098">
        <f t="shared" si="23"/>
        <v>0</v>
      </c>
      <c r="AU77" s="1098">
        <f t="shared" si="23"/>
        <v>0</v>
      </c>
      <c r="AV77" s="1098">
        <f t="shared" si="23"/>
        <v>0</v>
      </c>
      <c r="AW77" s="1098">
        <f t="shared" si="23"/>
        <v>0</v>
      </c>
      <c r="AX77" s="1098">
        <f t="shared" si="23"/>
        <v>0</v>
      </c>
      <c r="AY77" s="1098">
        <f t="shared" si="23"/>
        <v>0</v>
      </c>
      <c r="AZ77" s="1098">
        <f t="shared" si="23"/>
        <v>0</v>
      </c>
      <c r="BA77" s="1098">
        <f t="shared" si="23"/>
        <v>0</v>
      </c>
      <c r="BB77" s="1098">
        <f t="shared" si="23"/>
        <v>0</v>
      </c>
      <c r="BC77" s="118"/>
      <c r="BF77" s="936" t="s">
        <v>820</v>
      </c>
    </row>
    <row r="78" spans="1:58" s="1327" customFormat="1" ht="14.65" customHeight="1">
      <c r="A78" s="1121"/>
      <c r="B78" s="1104"/>
      <c r="C78" s="1121"/>
      <c r="D78" s="1121"/>
      <c r="E78" s="545">
        <v>15</v>
      </c>
      <c r="F78" s="3" t="str" cm="1">
        <f t="array" aca="1" ref="F78" ca="1">OFFSET(E78,-1,1)</f>
        <v>1</v>
      </c>
      <c r="G78" s="23" t="s">
        <v>427</v>
      </c>
      <c r="H78" s="1121"/>
      <c r="I78" s="1121"/>
      <c r="J78" s="1121"/>
      <c r="K78" s="1121"/>
      <c r="L78" s="1121"/>
      <c r="M78" s="1121"/>
      <c r="N78" s="1121"/>
      <c r="O78" s="1121"/>
      <c r="P78" s="1121"/>
      <c r="Q78" s="1121"/>
      <c r="R78" s="1121"/>
      <c r="S78" s="1121"/>
      <c r="T78" s="381" t="b" cm="1">
        <f t="array" ref="T78">T77</f>
        <v>1</v>
      </c>
      <c r="U78" s="1121"/>
      <c r="V78" s="1121"/>
      <c r="W78" s="1121"/>
      <c r="X78" s="1787"/>
      <c r="Y78" s="1121"/>
      <c r="Z78" s="1788"/>
      <c r="AA78" s="1121"/>
      <c r="AB78" s="7" t="s">
        <v>821</v>
      </c>
      <c r="AC78" s="132" t="s">
        <v>822</v>
      </c>
      <c r="AD78" s="8" t="s">
        <v>766</v>
      </c>
      <c r="AE78" s="133">
        <v>0</v>
      </c>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18" t="s">
        <v>363</v>
      </c>
      <c r="BD78" s="1121"/>
      <c r="BE78" s="1121"/>
      <c r="BF78" s="936" t="s">
        <v>823</v>
      </c>
    </row>
    <row r="79" spans="1:58" s="1327" customFormat="1" ht="14.65" customHeight="1">
      <c r="A79" s="1121"/>
      <c r="B79" s="1104"/>
      <c r="C79" s="1121"/>
      <c r="D79" s="1121"/>
      <c r="E79" s="545">
        <v>15</v>
      </c>
      <c r="F79" s="3" t="str" cm="1">
        <f t="array" aca="1" ref="F79" ca="1">OFFSET(E79,-1,1)</f>
        <v>1</v>
      </c>
      <c r="G79" s="23" t="s">
        <v>431</v>
      </c>
      <c r="H79" s="1121"/>
      <c r="I79" s="1121"/>
      <c r="J79" s="1121"/>
      <c r="K79" s="1121"/>
      <c r="L79" s="1121"/>
      <c r="M79" s="1121"/>
      <c r="N79" s="1121"/>
      <c r="O79" s="1121"/>
      <c r="P79" s="1121"/>
      <c r="Q79" s="1121"/>
      <c r="R79" s="1121"/>
      <c r="S79" s="1121"/>
      <c r="T79" s="381" t="b" cm="1">
        <f t="array" ref="T79">T78</f>
        <v>1</v>
      </c>
      <c r="U79" s="1121"/>
      <c r="V79" s="1121"/>
      <c r="W79" s="1121"/>
      <c r="X79" s="1787"/>
      <c r="Y79" s="1121"/>
      <c r="Z79" s="1788"/>
      <c r="AA79" s="1121"/>
      <c r="AB79" s="7" t="s">
        <v>824</v>
      </c>
      <c r="AC79" s="132" t="s">
        <v>825</v>
      </c>
      <c r="AD79" s="8" t="s">
        <v>766</v>
      </c>
      <c r="AE79" s="133">
        <v>0</v>
      </c>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18" t="s">
        <v>363</v>
      </c>
      <c r="BD79" s="1121"/>
      <c r="BE79" s="1121"/>
      <c r="BF79" s="936" t="s">
        <v>826</v>
      </c>
    </row>
    <row r="80" spans="1:58" s="1327" customFormat="1" ht="14.65" customHeight="1">
      <c r="A80" s="1121"/>
      <c r="B80" s="1104"/>
      <c r="C80" s="1121"/>
      <c r="D80" s="1121"/>
      <c r="E80" s="545">
        <v>15</v>
      </c>
      <c r="F80" s="3" t="str" cm="1">
        <f t="array" aca="1" ref="F80" ca="1">OFFSET(E80,-1,1)</f>
        <v>1</v>
      </c>
      <c r="G80" s="23" t="s">
        <v>434</v>
      </c>
      <c r="H80" s="1121"/>
      <c r="I80" s="1121"/>
      <c r="J80" s="1121"/>
      <c r="K80" s="1121"/>
      <c r="L80" s="1121"/>
      <c r="M80" s="1121"/>
      <c r="N80" s="1121"/>
      <c r="O80" s="1121"/>
      <c r="P80" s="1121"/>
      <c r="Q80" s="1121"/>
      <c r="R80" s="1121"/>
      <c r="S80" s="1121"/>
      <c r="T80" s="381" t="b" cm="1">
        <f t="array" ref="T80">T79</f>
        <v>1</v>
      </c>
      <c r="U80" s="1121"/>
      <c r="V80" s="1121"/>
      <c r="W80" s="1121"/>
      <c r="X80" s="1787"/>
      <c r="Y80" s="1121"/>
      <c r="Z80" s="1788"/>
      <c r="AA80" s="1121"/>
      <c r="AB80" s="7" t="s">
        <v>827</v>
      </c>
      <c r="AC80" s="132" t="s">
        <v>828</v>
      </c>
      <c r="AD80" s="8" t="s">
        <v>766</v>
      </c>
      <c r="AE80" s="133">
        <v>0</v>
      </c>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18" t="s">
        <v>363</v>
      </c>
      <c r="BD80" s="1121"/>
      <c r="BE80" s="1121"/>
      <c r="BF80" s="936" t="s">
        <v>829</v>
      </c>
    </row>
    <row r="81" spans="1:58" s="1327" customFormat="1" ht="14.65" customHeight="1">
      <c r="A81" s="1121"/>
      <c r="B81" s="1104"/>
      <c r="C81" s="1121"/>
      <c r="D81" s="1121"/>
      <c r="E81" s="545">
        <v>15</v>
      </c>
      <c r="F81" s="3" t="str" cm="1">
        <f t="array" aca="1" ref="F81" ca="1">OFFSET(E81,-1,1)</f>
        <v>1</v>
      </c>
      <c r="G81" s="23" t="s">
        <v>438</v>
      </c>
      <c r="H81" s="1121"/>
      <c r="I81" s="1121"/>
      <c r="J81" s="1121"/>
      <c r="K81" s="1121"/>
      <c r="L81" s="1121"/>
      <c r="M81" s="1121"/>
      <c r="N81" s="1121"/>
      <c r="O81" s="1121"/>
      <c r="P81" s="1121"/>
      <c r="Q81" s="1121"/>
      <c r="R81" s="1121"/>
      <c r="S81" s="1121"/>
      <c r="T81" s="381" t="b" cm="1">
        <f t="array" ref="T81">T80</f>
        <v>1</v>
      </c>
      <c r="U81" s="1121"/>
      <c r="V81" s="1121"/>
      <c r="W81" s="1121"/>
      <c r="X81" s="1787"/>
      <c r="Y81" s="1121"/>
      <c r="Z81" s="1788"/>
      <c r="AA81" s="1121"/>
      <c r="AB81" s="7" t="s">
        <v>830</v>
      </c>
      <c r="AC81" s="132" t="s">
        <v>831</v>
      </c>
      <c r="AD81" s="8" t="s">
        <v>766</v>
      </c>
      <c r="AE81" s="133">
        <v>0</v>
      </c>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18" t="s">
        <v>363</v>
      </c>
      <c r="BD81" s="1121"/>
      <c r="BE81" s="1121"/>
      <c r="BF81" s="936" t="s">
        <v>832</v>
      </c>
    </row>
    <row r="82" spans="1:58" s="1327" customFormat="1" ht="14.65" customHeight="1">
      <c r="A82" s="1121"/>
      <c r="B82" s="1104"/>
      <c r="C82" s="1121"/>
      <c r="D82" s="1121"/>
      <c r="E82" s="545">
        <v>15</v>
      </c>
      <c r="F82" s="3" t="str" cm="1">
        <f t="array" aca="1" ref="F82" ca="1">OFFSET(E82,-1,1)</f>
        <v>1</v>
      </c>
      <c r="G82" s="23" t="s">
        <v>833</v>
      </c>
      <c r="H82" s="1121"/>
      <c r="I82" s="1121"/>
      <c r="J82" s="1121"/>
      <c r="K82" s="1121"/>
      <c r="L82" s="1121"/>
      <c r="M82" s="1121"/>
      <c r="N82" s="1121"/>
      <c r="O82" s="1121"/>
      <c r="P82" s="1121"/>
      <c r="Q82" s="1121"/>
      <c r="R82" s="1121"/>
      <c r="S82" s="1121"/>
      <c r="T82" s="381" t="b" cm="1">
        <f t="array" ref="T82">T81</f>
        <v>1</v>
      </c>
      <c r="U82" s="1121"/>
      <c r="V82" s="1121"/>
      <c r="W82" s="1121"/>
      <c r="X82" s="1787"/>
      <c r="Y82" s="1121"/>
      <c r="Z82" s="1788"/>
      <c r="AA82" s="1121"/>
      <c r="AB82" s="7" t="s">
        <v>834</v>
      </c>
      <c r="AC82" s="132" t="s">
        <v>835</v>
      </c>
      <c r="AD82" s="8" t="s">
        <v>766</v>
      </c>
      <c r="AE82" s="133">
        <v>0</v>
      </c>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18" t="s">
        <v>363</v>
      </c>
      <c r="BD82" s="1121"/>
      <c r="BE82" s="1121"/>
      <c r="BF82" s="936" t="s">
        <v>836</v>
      </c>
    </row>
    <row r="83" spans="1:58" s="441" customFormat="1" ht="14.25" customHeight="1">
      <c r="B83" s="348"/>
      <c r="E83" s="545">
        <v>15</v>
      </c>
      <c r="F83" s="3" t="str" cm="1">
        <f t="array" aca="1" ref="F83" ca="1">OFFSET(E83,-1,1)</f>
        <v>1</v>
      </c>
      <c r="G83" s="23" t="s">
        <v>324</v>
      </c>
      <c r="T83" s="381" t="b" cm="1">
        <f t="array" ref="T83">T82</f>
        <v>1</v>
      </c>
      <c r="X83" s="1787"/>
      <c r="Z83" s="1788"/>
      <c r="AB83" s="129">
        <v>2</v>
      </c>
      <c r="AC83" s="130" t="s">
        <v>837</v>
      </c>
      <c r="AD83" s="8" t="s">
        <v>766</v>
      </c>
      <c r="AE83" s="1098">
        <f t="shared" ref="AE83:BB83" si="24">SUM(AE84:AE88)</f>
        <v>0</v>
      </c>
      <c r="AF83" s="1098">
        <f t="shared" si="24"/>
        <v>0</v>
      </c>
      <c r="AG83" s="1098">
        <f t="shared" si="24"/>
        <v>0</v>
      </c>
      <c r="AH83" s="1098">
        <f t="shared" si="24"/>
        <v>0</v>
      </c>
      <c r="AI83" s="1098">
        <f t="shared" si="24"/>
        <v>0</v>
      </c>
      <c r="AJ83" s="1098">
        <f t="shared" si="24"/>
        <v>0</v>
      </c>
      <c r="AK83" s="1098">
        <f t="shared" si="24"/>
        <v>0</v>
      </c>
      <c r="AL83" s="1098">
        <f t="shared" si="24"/>
        <v>0</v>
      </c>
      <c r="AM83" s="1098">
        <f t="shared" si="24"/>
        <v>0</v>
      </c>
      <c r="AN83" s="1098">
        <f t="shared" si="24"/>
        <v>0</v>
      </c>
      <c r="AO83" s="1098">
        <f t="shared" si="24"/>
        <v>0</v>
      </c>
      <c r="AP83" s="1098">
        <f t="shared" si="24"/>
        <v>0</v>
      </c>
      <c r="AQ83" s="1098">
        <f t="shared" si="24"/>
        <v>0</v>
      </c>
      <c r="AR83" s="1098">
        <f t="shared" si="24"/>
        <v>0</v>
      </c>
      <c r="AS83" s="1098">
        <f t="shared" si="24"/>
        <v>0</v>
      </c>
      <c r="AT83" s="1098">
        <f t="shared" si="24"/>
        <v>0</v>
      </c>
      <c r="AU83" s="1098">
        <f t="shared" si="24"/>
        <v>0</v>
      </c>
      <c r="AV83" s="1098">
        <f t="shared" si="24"/>
        <v>0</v>
      </c>
      <c r="AW83" s="1098">
        <f t="shared" si="24"/>
        <v>0</v>
      </c>
      <c r="AX83" s="1098">
        <f t="shared" si="24"/>
        <v>0</v>
      </c>
      <c r="AY83" s="1098">
        <f t="shared" si="24"/>
        <v>0</v>
      </c>
      <c r="AZ83" s="1098">
        <f t="shared" si="24"/>
        <v>0</v>
      </c>
      <c r="BA83" s="1098">
        <f t="shared" si="24"/>
        <v>0</v>
      </c>
      <c r="BB83" s="1098">
        <f t="shared" si="24"/>
        <v>0</v>
      </c>
      <c r="BC83" s="118"/>
      <c r="BF83" s="936" t="s">
        <v>838</v>
      </c>
    </row>
    <row r="84" spans="1:58" s="1327" customFormat="1" ht="14.25" customHeight="1">
      <c r="A84" s="1121"/>
      <c r="B84" s="1104"/>
      <c r="C84" s="1121"/>
      <c r="D84" s="1121"/>
      <c r="E84" s="545">
        <v>15</v>
      </c>
      <c r="F84" s="3" t="str" cm="1">
        <f t="array" aca="1" ref="F84" ca="1">OFFSET(E84,-1,1)</f>
        <v>1</v>
      </c>
      <c r="G84" s="23" t="s">
        <v>445</v>
      </c>
      <c r="H84" s="1121"/>
      <c r="I84" s="1121"/>
      <c r="J84" s="1121"/>
      <c r="K84" s="1121"/>
      <c r="L84" s="1121"/>
      <c r="M84" s="1121"/>
      <c r="N84" s="1121"/>
      <c r="O84" s="1121"/>
      <c r="P84" s="1121"/>
      <c r="Q84" s="1121"/>
      <c r="R84" s="1121"/>
      <c r="S84" s="1121"/>
      <c r="T84" s="381" t="b" cm="1">
        <f t="array" ref="T84">T83</f>
        <v>1</v>
      </c>
      <c r="U84" s="1121"/>
      <c r="V84" s="1121"/>
      <c r="W84" s="1121"/>
      <c r="X84" s="1787"/>
      <c r="Y84" s="1121"/>
      <c r="Z84" s="1788"/>
      <c r="AA84" s="1121"/>
      <c r="AB84" s="7" t="s">
        <v>502</v>
      </c>
      <c r="AC84" s="132" t="s">
        <v>822</v>
      </c>
      <c r="AD84" s="8" t="s">
        <v>766</v>
      </c>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18"/>
      <c r="BD84" s="1121"/>
      <c r="BE84" s="1121"/>
      <c r="BF84" s="936" t="s">
        <v>839</v>
      </c>
    </row>
    <row r="85" spans="1:58" s="1327" customFormat="1" ht="14.25" customHeight="1">
      <c r="A85" s="1121"/>
      <c r="B85" s="1104"/>
      <c r="C85" s="1121"/>
      <c r="D85" s="1121"/>
      <c r="E85" s="545">
        <v>15</v>
      </c>
      <c r="F85" s="3" t="str" cm="1">
        <f t="array" aca="1" ref="F85" ca="1">OFFSET(E85,-1,1)</f>
        <v>1</v>
      </c>
      <c r="G85" s="23" t="s">
        <v>448</v>
      </c>
      <c r="H85" s="1121"/>
      <c r="I85" s="1121"/>
      <c r="J85" s="1121"/>
      <c r="K85" s="1121"/>
      <c r="L85" s="1121"/>
      <c r="M85" s="1121"/>
      <c r="N85" s="1121"/>
      <c r="O85" s="1121"/>
      <c r="P85" s="1121"/>
      <c r="Q85" s="1121"/>
      <c r="R85" s="1121"/>
      <c r="S85" s="1121"/>
      <c r="T85" s="381" t="b" cm="1">
        <f t="array" ref="T85">T84</f>
        <v>1</v>
      </c>
      <c r="U85" s="1121"/>
      <c r="V85" s="1121"/>
      <c r="W85" s="1121"/>
      <c r="X85" s="1787"/>
      <c r="Y85" s="1121"/>
      <c r="Z85" s="1788"/>
      <c r="AA85" s="1121"/>
      <c r="AB85" s="7" t="s">
        <v>506</v>
      </c>
      <c r="AC85" s="132" t="s">
        <v>825</v>
      </c>
      <c r="AD85" s="8" t="s">
        <v>766</v>
      </c>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18"/>
      <c r="BD85" s="1121"/>
      <c r="BE85" s="1121"/>
      <c r="BF85" s="936" t="s">
        <v>840</v>
      </c>
    </row>
    <row r="86" spans="1:58" s="1327" customFormat="1" ht="14.25" customHeight="1">
      <c r="A86" s="1121"/>
      <c r="B86" s="1104"/>
      <c r="C86" s="1121"/>
      <c r="D86" s="1121"/>
      <c r="E86" s="545">
        <v>15</v>
      </c>
      <c r="F86" s="3" t="str" cm="1">
        <f t="array" aca="1" ref="F86" ca="1">OFFSET(E86,-1,1)</f>
        <v>1</v>
      </c>
      <c r="G86" s="23" t="s">
        <v>841</v>
      </c>
      <c r="H86" s="1121"/>
      <c r="I86" s="1121"/>
      <c r="J86" s="1121"/>
      <c r="K86" s="1121"/>
      <c r="L86" s="1121"/>
      <c r="M86" s="1121"/>
      <c r="N86" s="1121"/>
      <c r="O86" s="1121"/>
      <c r="P86" s="1121"/>
      <c r="Q86" s="1121"/>
      <c r="R86" s="1121"/>
      <c r="S86" s="1121"/>
      <c r="T86" s="381" t="b" cm="1">
        <f t="array" ref="T86">T85</f>
        <v>1</v>
      </c>
      <c r="U86" s="1121"/>
      <c r="V86" s="1121"/>
      <c r="W86" s="1121"/>
      <c r="X86" s="1787"/>
      <c r="Y86" s="1121"/>
      <c r="Z86" s="1788"/>
      <c r="AA86" s="1121"/>
      <c r="AB86" s="7" t="s">
        <v>510</v>
      </c>
      <c r="AC86" s="132" t="s">
        <v>828</v>
      </c>
      <c r="AD86" s="8" t="s">
        <v>766</v>
      </c>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18"/>
      <c r="BD86" s="1121"/>
      <c r="BE86" s="1121"/>
      <c r="BF86" s="936" t="s">
        <v>842</v>
      </c>
    </row>
    <row r="87" spans="1:58" s="1327" customFormat="1" ht="14.25" customHeight="1">
      <c r="A87" s="1121"/>
      <c r="B87" s="1104"/>
      <c r="C87" s="1121"/>
      <c r="D87" s="1121"/>
      <c r="E87" s="545">
        <v>15</v>
      </c>
      <c r="F87" s="3" t="str" cm="1">
        <f t="array" aca="1" ref="F87" ca="1">OFFSET(E87,-1,1)</f>
        <v>1</v>
      </c>
      <c r="G87" s="23" t="s">
        <v>843</v>
      </c>
      <c r="H87" s="1121"/>
      <c r="I87" s="1121"/>
      <c r="J87" s="1121"/>
      <c r="K87" s="1121"/>
      <c r="L87" s="1121"/>
      <c r="M87" s="1121"/>
      <c r="N87" s="1121"/>
      <c r="O87" s="1121"/>
      <c r="P87" s="1121"/>
      <c r="Q87" s="1121"/>
      <c r="R87" s="1121"/>
      <c r="S87" s="1121"/>
      <c r="T87" s="381" t="b" cm="1">
        <f t="array" ref="T87">T86</f>
        <v>1</v>
      </c>
      <c r="U87" s="1121"/>
      <c r="V87" s="1121"/>
      <c r="W87" s="1121"/>
      <c r="X87" s="1787"/>
      <c r="Y87" s="1121"/>
      <c r="Z87" s="1788"/>
      <c r="AA87" s="1121"/>
      <c r="AB87" s="7" t="s">
        <v>844</v>
      </c>
      <c r="AC87" s="132" t="s">
        <v>831</v>
      </c>
      <c r="AD87" s="8" t="s">
        <v>766</v>
      </c>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18"/>
      <c r="BD87" s="1121"/>
      <c r="BE87" s="1121"/>
      <c r="BF87" s="936" t="s">
        <v>845</v>
      </c>
    </row>
    <row r="88" spans="1:58" s="1327" customFormat="1" ht="14.25" customHeight="1">
      <c r="A88" s="1121"/>
      <c r="B88" s="1104"/>
      <c r="C88" s="1121"/>
      <c r="D88" s="1121"/>
      <c r="E88" s="545">
        <v>15</v>
      </c>
      <c r="F88" s="3" t="str" cm="1">
        <f t="array" aca="1" ref="F88" ca="1">OFFSET(E88,-1,1)</f>
        <v>1</v>
      </c>
      <c r="G88" s="23" t="s">
        <v>846</v>
      </c>
      <c r="H88" s="1121"/>
      <c r="I88" s="1121"/>
      <c r="J88" s="1121"/>
      <c r="K88" s="1121"/>
      <c r="L88" s="1121"/>
      <c r="M88" s="1121"/>
      <c r="N88" s="1121"/>
      <c r="O88" s="1121"/>
      <c r="P88" s="1121"/>
      <c r="Q88" s="1121"/>
      <c r="R88" s="1121"/>
      <c r="S88" s="1121"/>
      <c r="T88" s="381" t="b" cm="1">
        <f t="array" ref="T88">T87</f>
        <v>1</v>
      </c>
      <c r="U88" s="1121"/>
      <c r="V88" s="1121"/>
      <c r="W88" s="1121"/>
      <c r="X88" s="1787"/>
      <c r="Y88" s="1121"/>
      <c r="Z88" s="1788"/>
      <c r="AA88" s="1121"/>
      <c r="AB88" s="7" t="s">
        <v>847</v>
      </c>
      <c r="AC88" s="132" t="s">
        <v>835</v>
      </c>
      <c r="AD88" s="8" t="s">
        <v>766</v>
      </c>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18"/>
      <c r="BD88" s="1121"/>
      <c r="BE88" s="1121"/>
      <c r="BF88" s="936" t="s">
        <v>848</v>
      </c>
    </row>
    <row r="89" spans="1:58" s="441" customFormat="1" ht="14.25" customHeight="1">
      <c r="B89" s="348"/>
      <c r="E89" s="545">
        <v>15</v>
      </c>
      <c r="F89" s="3" t="str" cm="1">
        <f t="array" aca="1" ref="F89" ca="1">OFFSET(E89,-1,1)</f>
        <v>1</v>
      </c>
      <c r="G89" s="23" t="s">
        <v>325</v>
      </c>
      <c r="T89" s="381" t="b" cm="1">
        <f t="array" ref="T89">T88</f>
        <v>1</v>
      </c>
      <c r="X89" s="1787"/>
      <c r="Z89" s="1788"/>
      <c r="AB89" s="129">
        <v>3</v>
      </c>
      <c r="AC89" s="130" t="s">
        <v>849</v>
      </c>
      <c r="AD89" s="8" t="s">
        <v>766</v>
      </c>
      <c r="AE89" s="1098">
        <f t="shared" ref="AE89:BB89" si="25">SUM(AE90:AE94)</f>
        <v>0</v>
      </c>
      <c r="AF89" s="1098">
        <f t="shared" si="25"/>
        <v>0</v>
      </c>
      <c r="AG89" s="1098">
        <f t="shared" si="25"/>
        <v>0</v>
      </c>
      <c r="AH89" s="1098">
        <f t="shared" si="25"/>
        <v>0</v>
      </c>
      <c r="AI89" s="1098">
        <f t="shared" si="25"/>
        <v>0</v>
      </c>
      <c r="AJ89" s="1098">
        <f t="shared" si="25"/>
        <v>0</v>
      </c>
      <c r="AK89" s="1098">
        <f t="shared" si="25"/>
        <v>0</v>
      </c>
      <c r="AL89" s="1098">
        <f t="shared" si="25"/>
        <v>0</v>
      </c>
      <c r="AM89" s="1098">
        <f t="shared" si="25"/>
        <v>0</v>
      </c>
      <c r="AN89" s="1098">
        <f t="shared" si="25"/>
        <v>0</v>
      </c>
      <c r="AO89" s="1098">
        <f t="shared" si="25"/>
        <v>0</v>
      </c>
      <c r="AP89" s="1098">
        <f t="shared" si="25"/>
        <v>0</v>
      </c>
      <c r="AQ89" s="1098">
        <f t="shared" si="25"/>
        <v>0</v>
      </c>
      <c r="AR89" s="1098">
        <f t="shared" si="25"/>
        <v>0</v>
      </c>
      <c r="AS89" s="1098">
        <f t="shared" si="25"/>
        <v>0</v>
      </c>
      <c r="AT89" s="1098">
        <f t="shared" si="25"/>
        <v>0</v>
      </c>
      <c r="AU89" s="1098">
        <f t="shared" si="25"/>
        <v>0</v>
      </c>
      <c r="AV89" s="1098">
        <f t="shared" si="25"/>
        <v>0</v>
      </c>
      <c r="AW89" s="1098">
        <f t="shared" si="25"/>
        <v>0</v>
      </c>
      <c r="AX89" s="1098">
        <f t="shared" si="25"/>
        <v>0</v>
      </c>
      <c r="AY89" s="1098">
        <f t="shared" si="25"/>
        <v>0</v>
      </c>
      <c r="AZ89" s="1098">
        <f t="shared" si="25"/>
        <v>0</v>
      </c>
      <c r="BA89" s="1098">
        <f t="shared" si="25"/>
        <v>0</v>
      </c>
      <c r="BB89" s="1098">
        <f t="shared" si="25"/>
        <v>0</v>
      </c>
      <c r="BC89" s="118"/>
      <c r="BF89" s="936" t="s">
        <v>850</v>
      </c>
    </row>
    <row r="90" spans="1:58" s="1327" customFormat="1" ht="14.25" customHeight="1">
      <c r="A90" s="1121"/>
      <c r="B90" s="1104"/>
      <c r="C90" s="1121"/>
      <c r="D90" s="1121"/>
      <c r="E90" s="545">
        <v>15</v>
      </c>
      <c r="F90" s="3" t="str" cm="1">
        <f t="array" aca="1" ref="F90" ca="1">OFFSET(E90,-1,1)</f>
        <v>1</v>
      </c>
      <c r="G90" s="23" t="s">
        <v>851</v>
      </c>
      <c r="H90" s="1121"/>
      <c r="I90" s="1121"/>
      <c r="J90" s="1121"/>
      <c r="K90" s="1121"/>
      <c r="L90" s="1121"/>
      <c r="M90" s="1121"/>
      <c r="N90" s="1121"/>
      <c r="O90" s="1121"/>
      <c r="P90" s="1121"/>
      <c r="Q90" s="1121"/>
      <c r="R90" s="1121"/>
      <c r="S90" s="1121"/>
      <c r="T90" s="381" t="b" cm="1">
        <f t="array" ref="T90">T89</f>
        <v>1</v>
      </c>
      <c r="U90" s="1121"/>
      <c r="V90" s="1121"/>
      <c r="W90" s="1121"/>
      <c r="X90" s="1787"/>
      <c r="Y90" s="1121"/>
      <c r="Z90" s="1788"/>
      <c r="AA90" s="1121"/>
      <c r="AB90" s="7" t="s">
        <v>516</v>
      </c>
      <c r="AC90" s="132" t="s">
        <v>822</v>
      </c>
      <c r="AD90" s="8" t="s">
        <v>766</v>
      </c>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18"/>
      <c r="BD90" s="1121"/>
      <c r="BE90" s="1121"/>
      <c r="BF90" s="936" t="s">
        <v>852</v>
      </c>
    </row>
    <row r="91" spans="1:58" s="1327" customFormat="1" ht="14.25" customHeight="1">
      <c r="A91" s="1121"/>
      <c r="B91" s="1104"/>
      <c r="C91" s="1121"/>
      <c r="D91" s="1121"/>
      <c r="E91" s="545">
        <v>15</v>
      </c>
      <c r="F91" s="3" t="str" cm="1">
        <f t="array" aca="1" ref="F91" ca="1">OFFSET(E91,-1,1)</f>
        <v>1</v>
      </c>
      <c r="G91" s="23" t="s">
        <v>853</v>
      </c>
      <c r="H91" s="1121"/>
      <c r="I91" s="1121"/>
      <c r="J91" s="1121"/>
      <c r="K91" s="1121"/>
      <c r="L91" s="1121"/>
      <c r="M91" s="1121"/>
      <c r="N91" s="1121"/>
      <c r="O91" s="1121"/>
      <c r="P91" s="1121"/>
      <c r="Q91" s="1121"/>
      <c r="R91" s="1121"/>
      <c r="S91" s="1121"/>
      <c r="T91" s="381" t="b" cm="1">
        <f t="array" ref="T91">T90</f>
        <v>1</v>
      </c>
      <c r="U91" s="1121"/>
      <c r="V91" s="1121"/>
      <c r="W91" s="1121"/>
      <c r="X91" s="1787"/>
      <c r="Y91" s="1121"/>
      <c r="Z91" s="1788"/>
      <c r="AA91" s="1121"/>
      <c r="AB91" s="7" t="s">
        <v>520</v>
      </c>
      <c r="AC91" s="132" t="s">
        <v>825</v>
      </c>
      <c r="AD91" s="8" t="s">
        <v>766</v>
      </c>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18"/>
      <c r="BD91" s="1121"/>
      <c r="BE91" s="1121"/>
      <c r="BF91" s="936" t="s">
        <v>854</v>
      </c>
    </row>
    <row r="92" spans="1:58" s="1327" customFormat="1" ht="14.25" customHeight="1">
      <c r="A92" s="1121"/>
      <c r="B92" s="1104"/>
      <c r="C92" s="1121"/>
      <c r="D92" s="1121"/>
      <c r="E92" s="545">
        <v>15</v>
      </c>
      <c r="F92" s="3" t="str" cm="1">
        <f t="array" aca="1" ref="F92" ca="1">OFFSET(E92,-1,1)</f>
        <v>1</v>
      </c>
      <c r="G92" s="23" t="s">
        <v>855</v>
      </c>
      <c r="H92" s="1121"/>
      <c r="I92" s="1121"/>
      <c r="J92" s="1121"/>
      <c r="K92" s="1121"/>
      <c r="L92" s="1121"/>
      <c r="M92" s="1121"/>
      <c r="N92" s="1121"/>
      <c r="O92" s="1121"/>
      <c r="P92" s="1121"/>
      <c r="Q92" s="1121"/>
      <c r="R92" s="1121"/>
      <c r="S92" s="1121"/>
      <c r="T92" s="381" t="b" cm="1">
        <f t="array" ref="T92">T91</f>
        <v>1</v>
      </c>
      <c r="U92" s="1121"/>
      <c r="V92" s="1121"/>
      <c r="W92" s="1121"/>
      <c r="X92" s="1787"/>
      <c r="Y92" s="1121"/>
      <c r="Z92" s="1788"/>
      <c r="AA92" s="1121"/>
      <c r="AB92" s="7" t="s">
        <v>737</v>
      </c>
      <c r="AC92" s="132" t="s">
        <v>828</v>
      </c>
      <c r="AD92" s="8" t="s">
        <v>766</v>
      </c>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18"/>
      <c r="BD92" s="1121"/>
      <c r="BE92" s="1121"/>
      <c r="BF92" s="936" t="s">
        <v>856</v>
      </c>
    </row>
    <row r="93" spans="1:58" s="1327" customFormat="1" ht="14.25" customHeight="1">
      <c r="A93" s="1121"/>
      <c r="B93" s="1104"/>
      <c r="C93" s="1121"/>
      <c r="D93" s="1121"/>
      <c r="E93" s="545">
        <v>15</v>
      </c>
      <c r="F93" s="3" t="str" cm="1">
        <f t="array" aca="1" ref="F93" ca="1">OFFSET(E93,-1,1)</f>
        <v>1</v>
      </c>
      <c r="G93" s="23" t="s">
        <v>857</v>
      </c>
      <c r="H93" s="1121"/>
      <c r="I93" s="1121"/>
      <c r="J93" s="1121"/>
      <c r="K93" s="1121"/>
      <c r="L93" s="1121"/>
      <c r="M93" s="1121"/>
      <c r="N93" s="1121"/>
      <c r="O93" s="1121"/>
      <c r="P93" s="1121"/>
      <c r="Q93" s="1121"/>
      <c r="R93" s="1121"/>
      <c r="S93" s="1121"/>
      <c r="T93" s="381" t="b" cm="1">
        <f t="array" ref="T93">T92</f>
        <v>1</v>
      </c>
      <c r="U93" s="1121"/>
      <c r="V93" s="1121"/>
      <c r="W93" s="1121"/>
      <c r="X93" s="1787"/>
      <c r="Y93" s="1121"/>
      <c r="Z93" s="1788"/>
      <c r="AA93" s="1121"/>
      <c r="AB93" s="7" t="s">
        <v>858</v>
      </c>
      <c r="AC93" s="132" t="s">
        <v>831</v>
      </c>
      <c r="AD93" s="8" t="s">
        <v>766</v>
      </c>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18"/>
      <c r="BD93" s="1121"/>
      <c r="BE93" s="1121"/>
      <c r="BF93" s="936" t="s">
        <v>859</v>
      </c>
    </row>
    <row r="94" spans="1:58" s="1327" customFormat="1" ht="14.25" customHeight="1">
      <c r="A94" s="1121"/>
      <c r="B94" s="1104"/>
      <c r="C94" s="1121"/>
      <c r="D94" s="1121"/>
      <c r="E94" s="545">
        <v>15</v>
      </c>
      <c r="F94" s="3" t="str" cm="1">
        <f t="array" aca="1" ref="F94" ca="1">OFFSET(E94,-1,1)</f>
        <v>1</v>
      </c>
      <c r="G94" s="23" t="s">
        <v>860</v>
      </c>
      <c r="H94" s="1121"/>
      <c r="I94" s="1121"/>
      <c r="J94" s="1121"/>
      <c r="K94" s="1121"/>
      <c r="L94" s="1121"/>
      <c r="M94" s="1121"/>
      <c r="N94" s="1121"/>
      <c r="O94" s="1121"/>
      <c r="P94" s="1121"/>
      <c r="Q94" s="1121"/>
      <c r="R94" s="1121"/>
      <c r="S94" s="1121"/>
      <c r="T94" s="381" t="b" cm="1">
        <f t="array" ref="T94">T93</f>
        <v>1</v>
      </c>
      <c r="U94" s="1121"/>
      <c r="V94" s="1121"/>
      <c r="W94" s="1121"/>
      <c r="X94" s="1787"/>
      <c r="Y94" s="1121"/>
      <c r="Z94" s="1788"/>
      <c r="AA94" s="1121"/>
      <c r="AB94" s="7" t="s">
        <v>861</v>
      </c>
      <c r="AC94" s="132" t="s">
        <v>835</v>
      </c>
      <c r="AD94" s="8" t="s">
        <v>766</v>
      </c>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18"/>
      <c r="BD94" s="1121"/>
      <c r="BE94" s="1121"/>
      <c r="BF94" s="936" t="s">
        <v>862</v>
      </c>
    </row>
    <row r="95" spans="1:58" s="441" customFormat="1" ht="21.75" customHeight="1">
      <c r="B95" s="348"/>
      <c r="E95" s="586">
        <v>22.5</v>
      </c>
      <c r="F95" s="3" t="str" cm="1">
        <f t="array" aca="1" ref="F95" ca="1">OFFSET(E95,-1,1)</f>
        <v>1</v>
      </c>
      <c r="G95" s="23" t="s">
        <v>327</v>
      </c>
      <c r="T95" s="381" t="b" cm="1">
        <f t="array" ref="T95">T94</f>
        <v>1</v>
      </c>
      <c r="X95" s="1787"/>
      <c r="Z95" s="1788"/>
      <c r="AB95" s="129">
        <v>4</v>
      </c>
      <c r="AC95" s="130" t="s">
        <v>863</v>
      </c>
      <c r="AD95" s="8" t="s">
        <v>766</v>
      </c>
      <c r="AE95" s="1098">
        <f t="shared" ref="AE95:BB95" si="26">SUM(AE96:AE100)</f>
        <v>0</v>
      </c>
      <c r="AF95" s="1098">
        <f t="shared" si="26"/>
        <v>0</v>
      </c>
      <c r="AG95" s="1098">
        <f t="shared" si="26"/>
        <v>0</v>
      </c>
      <c r="AH95" s="1098">
        <f t="shared" si="26"/>
        <v>0</v>
      </c>
      <c r="AI95" s="1098">
        <f t="shared" si="26"/>
        <v>0</v>
      </c>
      <c r="AJ95" s="1098">
        <f t="shared" si="26"/>
        <v>0</v>
      </c>
      <c r="AK95" s="1098">
        <f t="shared" si="26"/>
        <v>0</v>
      </c>
      <c r="AL95" s="1098">
        <f t="shared" si="26"/>
        <v>0</v>
      </c>
      <c r="AM95" s="1098">
        <f t="shared" si="26"/>
        <v>0</v>
      </c>
      <c r="AN95" s="1098">
        <f t="shared" si="26"/>
        <v>0</v>
      </c>
      <c r="AO95" s="1098">
        <f t="shared" si="26"/>
        <v>0</v>
      </c>
      <c r="AP95" s="1098">
        <f t="shared" si="26"/>
        <v>0</v>
      </c>
      <c r="AQ95" s="1098">
        <f t="shared" si="26"/>
        <v>0</v>
      </c>
      <c r="AR95" s="1098">
        <f t="shared" si="26"/>
        <v>0</v>
      </c>
      <c r="AS95" s="1098">
        <f t="shared" si="26"/>
        <v>0</v>
      </c>
      <c r="AT95" s="1098">
        <f t="shared" si="26"/>
        <v>0</v>
      </c>
      <c r="AU95" s="1098">
        <f t="shared" si="26"/>
        <v>0</v>
      </c>
      <c r="AV95" s="1098">
        <f t="shared" si="26"/>
        <v>0</v>
      </c>
      <c r="AW95" s="1098">
        <f t="shared" si="26"/>
        <v>0</v>
      </c>
      <c r="AX95" s="1098">
        <f t="shared" si="26"/>
        <v>0</v>
      </c>
      <c r="AY95" s="1098">
        <f t="shared" si="26"/>
        <v>0</v>
      </c>
      <c r="AZ95" s="1098">
        <f t="shared" si="26"/>
        <v>0</v>
      </c>
      <c r="BA95" s="1098">
        <f t="shared" si="26"/>
        <v>0</v>
      </c>
      <c r="BB95" s="1098">
        <f t="shared" si="26"/>
        <v>0</v>
      </c>
      <c r="BC95" s="118"/>
      <c r="BF95" s="936" t="s">
        <v>864</v>
      </c>
    </row>
    <row r="96" spans="1:58" s="1327" customFormat="1" ht="14.25" customHeight="1">
      <c r="A96" s="1121"/>
      <c r="B96" s="1104"/>
      <c r="C96" s="1121"/>
      <c r="D96" s="1121"/>
      <c r="E96" s="545">
        <v>15</v>
      </c>
      <c r="F96" s="3" t="str" cm="1">
        <f t="array" aca="1" ref="F96" ca="1">OFFSET(E96,-1,1)</f>
        <v>1</v>
      </c>
      <c r="G96" s="23" t="s">
        <v>501</v>
      </c>
      <c r="H96" s="1121"/>
      <c r="I96" s="1121"/>
      <c r="J96" s="1121"/>
      <c r="K96" s="1121"/>
      <c r="L96" s="1121"/>
      <c r="M96" s="1121"/>
      <c r="N96" s="1121"/>
      <c r="O96" s="1121"/>
      <c r="P96" s="1121"/>
      <c r="Q96" s="1121"/>
      <c r="R96" s="1121"/>
      <c r="S96" s="1121"/>
      <c r="T96" s="381" t="b" cm="1">
        <f t="array" ref="T96">T95</f>
        <v>1</v>
      </c>
      <c r="U96" s="1121"/>
      <c r="V96" s="1121"/>
      <c r="W96" s="1121"/>
      <c r="X96" s="1787"/>
      <c r="Y96" s="1121"/>
      <c r="Z96" s="1788"/>
      <c r="AA96" s="1121"/>
      <c r="AB96" s="7" t="s">
        <v>639</v>
      </c>
      <c r="AC96" s="132" t="s">
        <v>822</v>
      </c>
      <c r="AD96" s="8" t="s">
        <v>766</v>
      </c>
      <c r="AE96" s="133">
        <f t="shared" ref="AE96:BB96" si="27">AE78+AE84-AE90</f>
        <v>0</v>
      </c>
      <c r="AF96" s="133">
        <f t="shared" si="27"/>
        <v>0</v>
      </c>
      <c r="AG96" s="133">
        <f t="shared" si="27"/>
        <v>0</v>
      </c>
      <c r="AH96" s="133">
        <f t="shared" si="27"/>
        <v>0</v>
      </c>
      <c r="AI96" s="133">
        <f t="shared" si="27"/>
        <v>0</v>
      </c>
      <c r="AJ96" s="133">
        <f t="shared" si="27"/>
        <v>0</v>
      </c>
      <c r="AK96" s="133">
        <f t="shared" si="27"/>
        <v>0</v>
      </c>
      <c r="AL96" s="133">
        <f t="shared" si="27"/>
        <v>0</v>
      </c>
      <c r="AM96" s="133">
        <f t="shared" si="27"/>
        <v>0</v>
      </c>
      <c r="AN96" s="133">
        <f t="shared" si="27"/>
        <v>0</v>
      </c>
      <c r="AO96" s="133">
        <f t="shared" si="27"/>
        <v>0</v>
      </c>
      <c r="AP96" s="133">
        <f t="shared" si="27"/>
        <v>0</v>
      </c>
      <c r="AQ96" s="133">
        <f t="shared" si="27"/>
        <v>0</v>
      </c>
      <c r="AR96" s="133">
        <f t="shared" si="27"/>
        <v>0</v>
      </c>
      <c r="AS96" s="133">
        <f t="shared" si="27"/>
        <v>0</v>
      </c>
      <c r="AT96" s="133">
        <f t="shared" si="27"/>
        <v>0</v>
      </c>
      <c r="AU96" s="133">
        <f t="shared" si="27"/>
        <v>0</v>
      </c>
      <c r="AV96" s="133">
        <f t="shared" si="27"/>
        <v>0</v>
      </c>
      <c r="AW96" s="133">
        <f t="shared" si="27"/>
        <v>0</v>
      </c>
      <c r="AX96" s="133">
        <f t="shared" si="27"/>
        <v>0</v>
      </c>
      <c r="AY96" s="133">
        <f t="shared" si="27"/>
        <v>0</v>
      </c>
      <c r="AZ96" s="133">
        <f t="shared" si="27"/>
        <v>0</v>
      </c>
      <c r="BA96" s="133">
        <f t="shared" si="27"/>
        <v>0</v>
      </c>
      <c r="BB96" s="133">
        <f t="shared" si="27"/>
        <v>0</v>
      </c>
      <c r="BC96" s="118"/>
      <c r="BD96" s="1121"/>
      <c r="BE96" s="1121"/>
      <c r="BF96" s="936" t="s">
        <v>865</v>
      </c>
    </row>
    <row r="97" spans="1:58" s="1327" customFormat="1" ht="14.25" customHeight="1">
      <c r="A97" s="1121"/>
      <c r="B97" s="1104"/>
      <c r="C97" s="1121"/>
      <c r="D97" s="1121"/>
      <c r="E97" s="545">
        <v>15</v>
      </c>
      <c r="F97" s="3" t="str" cm="1">
        <f t="array" aca="1" ref="F97" ca="1">OFFSET(E97,-1,1)</f>
        <v>1</v>
      </c>
      <c r="G97" s="23" t="s">
        <v>505</v>
      </c>
      <c r="H97" s="1121"/>
      <c r="I97" s="1121"/>
      <c r="J97" s="1121"/>
      <c r="K97" s="1121"/>
      <c r="L97" s="1121"/>
      <c r="M97" s="1121"/>
      <c r="N97" s="1121"/>
      <c r="O97" s="1121"/>
      <c r="P97" s="1121"/>
      <c r="Q97" s="1121"/>
      <c r="R97" s="1121"/>
      <c r="S97" s="1121"/>
      <c r="T97" s="381" t="b" cm="1">
        <f t="array" ref="T97">T96</f>
        <v>1</v>
      </c>
      <c r="U97" s="1121"/>
      <c r="V97" s="1121"/>
      <c r="W97" s="1121"/>
      <c r="X97" s="1787"/>
      <c r="Y97" s="1121"/>
      <c r="Z97" s="1788"/>
      <c r="AA97" s="1121"/>
      <c r="AB97" s="7" t="s">
        <v>642</v>
      </c>
      <c r="AC97" s="132" t="s">
        <v>825</v>
      </c>
      <c r="AD97" s="8" t="s">
        <v>766</v>
      </c>
      <c r="AE97" s="133">
        <f t="shared" ref="AE97:BB97" si="28">AE79+AE85-AE91</f>
        <v>0</v>
      </c>
      <c r="AF97" s="133">
        <f t="shared" si="28"/>
        <v>0</v>
      </c>
      <c r="AG97" s="133">
        <f t="shared" si="28"/>
        <v>0</v>
      </c>
      <c r="AH97" s="133">
        <f t="shared" si="28"/>
        <v>0</v>
      </c>
      <c r="AI97" s="133">
        <f t="shared" si="28"/>
        <v>0</v>
      </c>
      <c r="AJ97" s="133">
        <f t="shared" si="28"/>
        <v>0</v>
      </c>
      <c r="AK97" s="133">
        <f t="shared" si="28"/>
        <v>0</v>
      </c>
      <c r="AL97" s="133">
        <f t="shared" si="28"/>
        <v>0</v>
      </c>
      <c r="AM97" s="133">
        <f t="shared" si="28"/>
        <v>0</v>
      </c>
      <c r="AN97" s="133">
        <f t="shared" si="28"/>
        <v>0</v>
      </c>
      <c r="AO97" s="133">
        <f t="shared" si="28"/>
        <v>0</v>
      </c>
      <c r="AP97" s="133">
        <f t="shared" si="28"/>
        <v>0</v>
      </c>
      <c r="AQ97" s="133">
        <f t="shared" si="28"/>
        <v>0</v>
      </c>
      <c r="AR97" s="133">
        <f t="shared" si="28"/>
        <v>0</v>
      </c>
      <c r="AS97" s="133">
        <f t="shared" si="28"/>
        <v>0</v>
      </c>
      <c r="AT97" s="133">
        <f t="shared" si="28"/>
        <v>0</v>
      </c>
      <c r="AU97" s="133">
        <f t="shared" si="28"/>
        <v>0</v>
      </c>
      <c r="AV97" s="133">
        <f t="shared" si="28"/>
        <v>0</v>
      </c>
      <c r="AW97" s="133">
        <f t="shared" si="28"/>
        <v>0</v>
      </c>
      <c r="AX97" s="133">
        <f t="shared" si="28"/>
        <v>0</v>
      </c>
      <c r="AY97" s="133">
        <f t="shared" si="28"/>
        <v>0</v>
      </c>
      <c r="AZ97" s="133">
        <f t="shared" si="28"/>
        <v>0</v>
      </c>
      <c r="BA97" s="133">
        <f t="shared" si="28"/>
        <v>0</v>
      </c>
      <c r="BB97" s="133">
        <f t="shared" si="28"/>
        <v>0</v>
      </c>
      <c r="BC97" s="118"/>
      <c r="BD97" s="1121"/>
      <c r="BE97" s="1121"/>
      <c r="BF97" s="936" t="s">
        <v>866</v>
      </c>
    </row>
    <row r="98" spans="1:58" s="1327" customFormat="1" ht="14.25" customHeight="1">
      <c r="A98" s="1121"/>
      <c r="B98" s="1104"/>
      <c r="C98" s="1121"/>
      <c r="D98" s="1121"/>
      <c r="E98" s="545">
        <v>15</v>
      </c>
      <c r="F98" s="3" t="str" cm="1">
        <f t="array" aca="1" ref="F98" ca="1">OFFSET(E98,-1,1)</f>
        <v>1</v>
      </c>
      <c r="G98" s="23" t="s">
        <v>509</v>
      </c>
      <c r="H98" s="1121"/>
      <c r="I98" s="1121"/>
      <c r="J98" s="1121"/>
      <c r="K98" s="1121"/>
      <c r="L98" s="1121"/>
      <c r="M98" s="1121"/>
      <c r="N98" s="1121"/>
      <c r="O98" s="1121"/>
      <c r="P98" s="1121"/>
      <c r="Q98" s="1121"/>
      <c r="R98" s="1121"/>
      <c r="S98" s="1121"/>
      <c r="T98" s="381" t="b" cm="1">
        <f t="array" ref="T98">T97</f>
        <v>1</v>
      </c>
      <c r="U98" s="1121"/>
      <c r="V98" s="1121"/>
      <c r="W98" s="1121"/>
      <c r="X98" s="1787"/>
      <c r="Y98" s="1121"/>
      <c r="Z98" s="1788"/>
      <c r="AA98" s="1121"/>
      <c r="AB98" s="7" t="s">
        <v>676</v>
      </c>
      <c r="AC98" s="132" t="s">
        <v>828</v>
      </c>
      <c r="AD98" s="8" t="s">
        <v>766</v>
      </c>
      <c r="AE98" s="133">
        <f t="shared" ref="AE98:BB98" si="29">AE80+AE86-AE92</f>
        <v>0</v>
      </c>
      <c r="AF98" s="133">
        <f t="shared" si="29"/>
        <v>0</v>
      </c>
      <c r="AG98" s="133">
        <f t="shared" si="29"/>
        <v>0</v>
      </c>
      <c r="AH98" s="133">
        <f t="shared" si="29"/>
        <v>0</v>
      </c>
      <c r="AI98" s="133">
        <f t="shared" si="29"/>
        <v>0</v>
      </c>
      <c r="AJ98" s="133">
        <f t="shared" si="29"/>
        <v>0</v>
      </c>
      <c r="AK98" s="133">
        <f t="shared" si="29"/>
        <v>0</v>
      </c>
      <c r="AL98" s="133">
        <f t="shared" si="29"/>
        <v>0</v>
      </c>
      <c r="AM98" s="133">
        <f t="shared" si="29"/>
        <v>0</v>
      </c>
      <c r="AN98" s="133">
        <f t="shared" si="29"/>
        <v>0</v>
      </c>
      <c r="AO98" s="133">
        <f t="shared" si="29"/>
        <v>0</v>
      </c>
      <c r="AP98" s="133">
        <f t="shared" si="29"/>
        <v>0</v>
      </c>
      <c r="AQ98" s="133">
        <f t="shared" si="29"/>
        <v>0</v>
      </c>
      <c r="AR98" s="133">
        <f t="shared" si="29"/>
        <v>0</v>
      </c>
      <c r="AS98" s="133">
        <f t="shared" si="29"/>
        <v>0</v>
      </c>
      <c r="AT98" s="133">
        <f t="shared" si="29"/>
        <v>0</v>
      </c>
      <c r="AU98" s="133">
        <f t="shared" si="29"/>
        <v>0</v>
      </c>
      <c r="AV98" s="133">
        <f t="shared" si="29"/>
        <v>0</v>
      </c>
      <c r="AW98" s="133">
        <f t="shared" si="29"/>
        <v>0</v>
      </c>
      <c r="AX98" s="133">
        <f t="shared" si="29"/>
        <v>0</v>
      </c>
      <c r="AY98" s="133">
        <f t="shared" si="29"/>
        <v>0</v>
      </c>
      <c r="AZ98" s="133">
        <f t="shared" si="29"/>
        <v>0</v>
      </c>
      <c r="BA98" s="133">
        <f t="shared" si="29"/>
        <v>0</v>
      </c>
      <c r="BB98" s="133">
        <f t="shared" si="29"/>
        <v>0</v>
      </c>
      <c r="BC98" s="118"/>
      <c r="BD98" s="1121"/>
      <c r="BE98" s="1121"/>
      <c r="BF98" s="936" t="s">
        <v>867</v>
      </c>
    </row>
    <row r="99" spans="1:58" s="1327" customFormat="1" ht="14.25" customHeight="1">
      <c r="A99" s="1121"/>
      <c r="B99" s="1104"/>
      <c r="C99" s="1121"/>
      <c r="D99" s="1121"/>
      <c r="E99" s="545">
        <v>15</v>
      </c>
      <c r="F99" s="3" t="str" cm="1">
        <f t="array" aca="1" ref="F99" ca="1">OFFSET(E99,-1,1)</f>
        <v>1</v>
      </c>
      <c r="G99" s="23" t="s">
        <v>868</v>
      </c>
      <c r="H99" s="1121"/>
      <c r="I99" s="1121"/>
      <c r="J99" s="1121"/>
      <c r="K99" s="1121"/>
      <c r="L99" s="1121"/>
      <c r="M99" s="1121"/>
      <c r="N99" s="1121"/>
      <c r="O99" s="1121"/>
      <c r="P99" s="1121"/>
      <c r="Q99" s="1121"/>
      <c r="R99" s="1121"/>
      <c r="S99" s="1121"/>
      <c r="T99" s="381" t="b" cm="1">
        <f t="array" ref="T99">T98</f>
        <v>1</v>
      </c>
      <c r="U99" s="1121"/>
      <c r="V99" s="1121"/>
      <c r="W99" s="1121"/>
      <c r="X99" s="1787"/>
      <c r="Y99" s="1121"/>
      <c r="Z99" s="1788"/>
      <c r="AA99" s="1121"/>
      <c r="AB99" s="7" t="s">
        <v>685</v>
      </c>
      <c r="AC99" s="132" t="s">
        <v>831</v>
      </c>
      <c r="AD99" s="8" t="s">
        <v>766</v>
      </c>
      <c r="AE99" s="133">
        <f t="shared" ref="AE99:BB99" si="30">AE81+AE87-AE93</f>
        <v>0</v>
      </c>
      <c r="AF99" s="133">
        <f t="shared" si="30"/>
        <v>0</v>
      </c>
      <c r="AG99" s="133">
        <f t="shared" si="30"/>
        <v>0</v>
      </c>
      <c r="AH99" s="133">
        <f t="shared" si="30"/>
        <v>0</v>
      </c>
      <c r="AI99" s="133">
        <f t="shared" si="30"/>
        <v>0</v>
      </c>
      <c r="AJ99" s="133">
        <f t="shared" si="30"/>
        <v>0</v>
      </c>
      <c r="AK99" s="133">
        <f t="shared" si="30"/>
        <v>0</v>
      </c>
      <c r="AL99" s="133">
        <f t="shared" si="30"/>
        <v>0</v>
      </c>
      <c r="AM99" s="133">
        <f t="shared" si="30"/>
        <v>0</v>
      </c>
      <c r="AN99" s="133">
        <f t="shared" si="30"/>
        <v>0</v>
      </c>
      <c r="AO99" s="133">
        <f t="shared" si="30"/>
        <v>0</v>
      </c>
      <c r="AP99" s="133">
        <f t="shared" si="30"/>
        <v>0</v>
      </c>
      <c r="AQ99" s="133">
        <f t="shared" si="30"/>
        <v>0</v>
      </c>
      <c r="AR99" s="133">
        <f t="shared" si="30"/>
        <v>0</v>
      </c>
      <c r="AS99" s="133">
        <f t="shared" si="30"/>
        <v>0</v>
      </c>
      <c r="AT99" s="133">
        <f t="shared" si="30"/>
        <v>0</v>
      </c>
      <c r="AU99" s="133">
        <f t="shared" si="30"/>
        <v>0</v>
      </c>
      <c r="AV99" s="133">
        <f t="shared" si="30"/>
        <v>0</v>
      </c>
      <c r="AW99" s="133">
        <f t="shared" si="30"/>
        <v>0</v>
      </c>
      <c r="AX99" s="133">
        <f t="shared" si="30"/>
        <v>0</v>
      </c>
      <c r="AY99" s="133">
        <f t="shared" si="30"/>
        <v>0</v>
      </c>
      <c r="AZ99" s="133">
        <f t="shared" si="30"/>
        <v>0</v>
      </c>
      <c r="BA99" s="133">
        <f t="shared" si="30"/>
        <v>0</v>
      </c>
      <c r="BB99" s="133">
        <f t="shared" si="30"/>
        <v>0</v>
      </c>
      <c r="BC99" s="118"/>
      <c r="BD99" s="1121"/>
      <c r="BE99" s="1121"/>
      <c r="BF99" s="936" t="s">
        <v>869</v>
      </c>
    </row>
    <row r="100" spans="1:58" s="1327" customFormat="1" ht="14.25" customHeight="1">
      <c r="A100" s="1121"/>
      <c r="B100" s="1104"/>
      <c r="C100" s="1121"/>
      <c r="D100" s="1121"/>
      <c r="E100" s="545">
        <v>15</v>
      </c>
      <c r="F100" s="3" t="str" cm="1">
        <f t="array" aca="1" ref="F100" ca="1">OFFSET(E100,-1,1)</f>
        <v>1</v>
      </c>
      <c r="G100" s="23" t="s">
        <v>870</v>
      </c>
      <c r="H100" s="1121"/>
      <c r="I100" s="1121"/>
      <c r="J100" s="1121"/>
      <c r="K100" s="1121"/>
      <c r="L100" s="1121"/>
      <c r="M100" s="1121"/>
      <c r="N100" s="1121"/>
      <c r="O100" s="1121"/>
      <c r="P100" s="1121"/>
      <c r="Q100" s="1121"/>
      <c r="R100" s="1121"/>
      <c r="S100" s="1121"/>
      <c r="T100" s="381" t="b" cm="1">
        <f t="array" ref="T100">T99</f>
        <v>1</v>
      </c>
      <c r="U100" s="1121"/>
      <c r="V100" s="1121"/>
      <c r="W100" s="1121"/>
      <c r="X100" s="1787"/>
      <c r="Y100" s="1121"/>
      <c r="Z100" s="1788"/>
      <c r="AA100" s="1121"/>
      <c r="AB100" s="7" t="s">
        <v>695</v>
      </c>
      <c r="AC100" s="132" t="s">
        <v>835</v>
      </c>
      <c r="AD100" s="8" t="s">
        <v>766</v>
      </c>
      <c r="AE100" s="133">
        <f t="shared" ref="AE100:BB100" si="31">AE82+AE88-AE94</f>
        <v>0</v>
      </c>
      <c r="AF100" s="133">
        <f t="shared" si="31"/>
        <v>0</v>
      </c>
      <c r="AG100" s="133">
        <f t="shared" si="31"/>
        <v>0</v>
      </c>
      <c r="AH100" s="133">
        <f t="shared" si="31"/>
        <v>0</v>
      </c>
      <c r="AI100" s="133">
        <f t="shared" si="31"/>
        <v>0</v>
      </c>
      <c r="AJ100" s="133">
        <f t="shared" si="31"/>
        <v>0</v>
      </c>
      <c r="AK100" s="133">
        <f t="shared" si="31"/>
        <v>0</v>
      </c>
      <c r="AL100" s="133">
        <f t="shared" si="31"/>
        <v>0</v>
      </c>
      <c r="AM100" s="133">
        <f t="shared" si="31"/>
        <v>0</v>
      </c>
      <c r="AN100" s="133">
        <f t="shared" si="31"/>
        <v>0</v>
      </c>
      <c r="AO100" s="133">
        <f t="shared" si="31"/>
        <v>0</v>
      </c>
      <c r="AP100" s="133">
        <f t="shared" si="31"/>
        <v>0</v>
      </c>
      <c r="AQ100" s="133">
        <f t="shared" si="31"/>
        <v>0</v>
      </c>
      <c r="AR100" s="133">
        <f t="shared" si="31"/>
        <v>0</v>
      </c>
      <c r="AS100" s="133">
        <f t="shared" si="31"/>
        <v>0</v>
      </c>
      <c r="AT100" s="133">
        <f t="shared" si="31"/>
        <v>0</v>
      </c>
      <c r="AU100" s="133">
        <f t="shared" si="31"/>
        <v>0</v>
      </c>
      <c r="AV100" s="133">
        <f t="shared" si="31"/>
        <v>0</v>
      </c>
      <c r="AW100" s="133">
        <f t="shared" si="31"/>
        <v>0</v>
      </c>
      <c r="AX100" s="133">
        <f t="shared" si="31"/>
        <v>0</v>
      </c>
      <c r="AY100" s="133">
        <f t="shared" si="31"/>
        <v>0</v>
      </c>
      <c r="AZ100" s="133">
        <f t="shared" si="31"/>
        <v>0</v>
      </c>
      <c r="BA100" s="133">
        <f t="shared" si="31"/>
        <v>0</v>
      </c>
      <c r="BB100" s="133">
        <f t="shared" si="31"/>
        <v>0</v>
      </c>
      <c r="BC100" s="118"/>
      <c r="BD100" s="1121"/>
      <c r="BE100" s="1121"/>
      <c r="BF100" s="936" t="s">
        <v>871</v>
      </c>
    </row>
    <row r="101" spans="1:58" s="441" customFormat="1" ht="14.25" customHeight="1">
      <c r="B101" s="348"/>
      <c r="E101" s="545">
        <v>15</v>
      </c>
      <c r="F101" s="3" t="str" cm="1">
        <f t="array" aca="1" ref="F101" ca="1">OFFSET(E101,-1,1)</f>
        <v>1</v>
      </c>
      <c r="G101" s="23" t="s">
        <v>326</v>
      </c>
      <c r="T101" s="381" t="b" cm="1">
        <f t="array" ref="T101">T100</f>
        <v>1</v>
      </c>
      <c r="X101" s="1787"/>
      <c r="Z101" s="1788"/>
      <c r="AB101" s="129">
        <v>5</v>
      </c>
      <c r="AC101" s="130" t="s">
        <v>872</v>
      </c>
      <c r="AD101" s="8" t="s">
        <v>766</v>
      </c>
      <c r="AE101" s="1098">
        <f t="shared" ref="AE101:BB101" si="32">SUM(AE102:AE106)</f>
        <v>0</v>
      </c>
      <c r="AF101" s="1098">
        <f t="shared" si="32"/>
        <v>0</v>
      </c>
      <c r="AG101" s="1098">
        <f t="shared" si="32"/>
        <v>0</v>
      </c>
      <c r="AH101" s="1098">
        <f t="shared" si="32"/>
        <v>0</v>
      </c>
      <c r="AI101" s="1098">
        <f t="shared" si="32"/>
        <v>0</v>
      </c>
      <c r="AJ101" s="1098">
        <f t="shared" si="32"/>
        <v>0</v>
      </c>
      <c r="AK101" s="1098">
        <f t="shared" si="32"/>
        <v>0</v>
      </c>
      <c r="AL101" s="1098">
        <f t="shared" si="32"/>
        <v>0</v>
      </c>
      <c r="AM101" s="1098">
        <f t="shared" si="32"/>
        <v>0</v>
      </c>
      <c r="AN101" s="1098">
        <f t="shared" si="32"/>
        <v>0</v>
      </c>
      <c r="AO101" s="1098">
        <f t="shared" si="32"/>
        <v>0</v>
      </c>
      <c r="AP101" s="1098">
        <f t="shared" si="32"/>
        <v>0</v>
      </c>
      <c r="AQ101" s="1098">
        <f t="shared" si="32"/>
        <v>0</v>
      </c>
      <c r="AR101" s="1098">
        <f t="shared" si="32"/>
        <v>0</v>
      </c>
      <c r="AS101" s="1098">
        <f t="shared" si="32"/>
        <v>0</v>
      </c>
      <c r="AT101" s="1098">
        <f t="shared" si="32"/>
        <v>0</v>
      </c>
      <c r="AU101" s="1098">
        <f t="shared" si="32"/>
        <v>0</v>
      </c>
      <c r="AV101" s="1098">
        <f t="shared" si="32"/>
        <v>0</v>
      </c>
      <c r="AW101" s="1098">
        <f t="shared" si="32"/>
        <v>0</v>
      </c>
      <c r="AX101" s="1098">
        <f t="shared" si="32"/>
        <v>0</v>
      </c>
      <c r="AY101" s="1098">
        <f t="shared" si="32"/>
        <v>0</v>
      </c>
      <c r="AZ101" s="1098">
        <f t="shared" si="32"/>
        <v>0</v>
      </c>
      <c r="BA101" s="1098">
        <f t="shared" si="32"/>
        <v>0</v>
      </c>
      <c r="BB101" s="1098">
        <f t="shared" si="32"/>
        <v>0</v>
      </c>
      <c r="BC101" s="118"/>
      <c r="BF101" s="936" t="s">
        <v>873</v>
      </c>
    </row>
    <row r="102" spans="1:58" s="1327" customFormat="1" ht="14.25" customHeight="1">
      <c r="A102" s="1121"/>
      <c r="B102" s="1104"/>
      <c r="C102" s="1121"/>
      <c r="D102" s="1121"/>
      <c r="E102" s="545">
        <v>15</v>
      </c>
      <c r="F102" s="3" t="str" cm="1">
        <f t="array" aca="1" ref="F102" ca="1">OFFSET(E102,-1,1)</f>
        <v>1</v>
      </c>
      <c r="G102" s="23" t="s">
        <v>515</v>
      </c>
      <c r="H102" s="1121"/>
      <c r="I102" s="1121"/>
      <c r="J102" s="1121"/>
      <c r="K102" s="1121"/>
      <c r="L102" s="1121"/>
      <c r="M102" s="1121"/>
      <c r="N102" s="1121"/>
      <c r="O102" s="1121"/>
      <c r="P102" s="1121"/>
      <c r="Q102" s="1121"/>
      <c r="R102" s="1121"/>
      <c r="S102" s="1121"/>
      <c r="T102" s="381" t="b" cm="1">
        <f t="array" ref="T102">T101</f>
        <v>1</v>
      </c>
      <c r="U102" s="1121"/>
      <c r="V102" s="1121"/>
      <c r="W102" s="1121"/>
      <c r="X102" s="1787"/>
      <c r="Y102" s="1121"/>
      <c r="Z102" s="1788"/>
      <c r="AA102" s="1121"/>
      <c r="AB102" s="7" t="s">
        <v>646</v>
      </c>
      <c r="AC102" s="132" t="s">
        <v>822</v>
      </c>
      <c r="AD102" s="8" t="s">
        <v>766</v>
      </c>
      <c r="AE102" s="133">
        <f t="shared" ref="AE102:BB102" si="33">(AE96+AE78)/2</f>
        <v>0</v>
      </c>
      <c r="AF102" s="133">
        <f t="shared" si="33"/>
        <v>0</v>
      </c>
      <c r="AG102" s="133">
        <f t="shared" si="33"/>
        <v>0</v>
      </c>
      <c r="AH102" s="133">
        <f t="shared" si="33"/>
        <v>0</v>
      </c>
      <c r="AI102" s="133">
        <f t="shared" si="33"/>
        <v>0</v>
      </c>
      <c r="AJ102" s="133">
        <f t="shared" si="33"/>
        <v>0</v>
      </c>
      <c r="AK102" s="133">
        <f t="shared" si="33"/>
        <v>0</v>
      </c>
      <c r="AL102" s="133">
        <f t="shared" si="33"/>
        <v>0</v>
      </c>
      <c r="AM102" s="133">
        <f t="shared" si="33"/>
        <v>0</v>
      </c>
      <c r="AN102" s="133">
        <f t="shared" si="33"/>
        <v>0</v>
      </c>
      <c r="AO102" s="133">
        <f t="shared" si="33"/>
        <v>0</v>
      </c>
      <c r="AP102" s="133">
        <f t="shared" si="33"/>
        <v>0</v>
      </c>
      <c r="AQ102" s="133">
        <f t="shared" si="33"/>
        <v>0</v>
      </c>
      <c r="AR102" s="133">
        <f t="shared" si="33"/>
        <v>0</v>
      </c>
      <c r="AS102" s="133">
        <f t="shared" si="33"/>
        <v>0</v>
      </c>
      <c r="AT102" s="133">
        <f t="shared" si="33"/>
        <v>0</v>
      </c>
      <c r="AU102" s="133">
        <f t="shared" si="33"/>
        <v>0</v>
      </c>
      <c r="AV102" s="133">
        <f t="shared" si="33"/>
        <v>0</v>
      </c>
      <c r="AW102" s="133">
        <f t="shared" si="33"/>
        <v>0</v>
      </c>
      <c r="AX102" s="133">
        <f t="shared" si="33"/>
        <v>0</v>
      </c>
      <c r="AY102" s="133">
        <f t="shared" si="33"/>
        <v>0</v>
      </c>
      <c r="AZ102" s="133">
        <f t="shared" si="33"/>
        <v>0</v>
      </c>
      <c r="BA102" s="133">
        <f t="shared" si="33"/>
        <v>0</v>
      </c>
      <c r="BB102" s="133">
        <f t="shared" si="33"/>
        <v>0</v>
      </c>
      <c r="BC102" s="118"/>
      <c r="BD102" s="1121"/>
      <c r="BE102" s="1121"/>
      <c r="BF102" s="936" t="s">
        <v>874</v>
      </c>
    </row>
    <row r="103" spans="1:58" s="1327" customFormat="1" ht="14.25" customHeight="1">
      <c r="A103" s="1121"/>
      <c r="B103" s="1104"/>
      <c r="C103" s="1121"/>
      <c r="D103" s="1121"/>
      <c r="E103" s="545">
        <v>15</v>
      </c>
      <c r="F103" s="3" t="str" cm="1">
        <f t="array" aca="1" ref="F103" ca="1">OFFSET(E103,-1,1)</f>
        <v>1</v>
      </c>
      <c r="G103" s="23" t="s">
        <v>519</v>
      </c>
      <c r="H103" s="1121"/>
      <c r="I103" s="1121"/>
      <c r="J103" s="1121"/>
      <c r="K103" s="1121"/>
      <c r="L103" s="1121"/>
      <c r="M103" s="1121"/>
      <c r="N103" s="1121"/>
      <c r="O103" s="1121"/>
      <c r="P103" s="1121"/>
      <c r="Q103" s="1121"/>
      <c r="R103" s="1121"/>
      <c r="S103" s="1121"/>
      <c r="T103" s="381" t="b" cm="1">
        <f t="array" ref="T103">T102</f>
        <v>1</v>
      </c>
      <c r="U103" s="1121"/>
      <c r="V103" s="1121"/>
      <c r="W103" s="1121"/>
      <c r="X103" s="1787"/>
      <c r="Y103" s="1121"/>
      <c r="Z103" s="1788"/>
      <c r="AA103" s="1121"/>
      <c r="AB103" s="7" t="s">
        <v>649</v>
      </c>
      <c r="AC103" s="132" t="s">
        <v>825</v>
      </c>
      <c r="AD103" s="8" t="s">
        <v>766</v>
      </c>
      <c r="AE103" s="133">
        <f t="shared" ref="AE103:BB103" si="34">(AE97+AE79)/2</f>
        <v>0</v>
      </c>
      <c r="AF103" s="133">
        <f t="shared" si="34"/>
        <v>0</v>
      </c>
      <c r="AG103" s="133">
        <f t="shared" si="34"/>
        <v>0</v>
      </c>
      <c r="AH103" s="133">
        <f t="shared" si="34"/>
        <v>0</v>
      </c>
      <c r="AI103" s="133">
        <f t="shared" si="34"/>
        <v>0</v>
      </c>
      <c r="AJ103" s="133">
        <f t="shared" si="34"/>
        <v>0</v>
      </c>
      <c r="AK103" s="133">
        <f t="shared" si="34"/>
        <v>0</v>
      </c>
      <c r="AL103" s="133">
        <f t="shared" si="34"/>
        <v>0</v>
      </c>
      <c r="AM103" s="133">
        <f t="shared" si="34"/>
        <v>0</v>
      </c>
      <c r="AN103" s="133">
        <f t="shared" si="34"/>
        <v>0</v>
      </c>
      <c r="AO103" s="133">
        <f t="shared" si="34"/>
        <v>0</v>
      </c>
      <c r="AP103" s="133">
        <f t="shared" si="34"/>
        <v>0</v>
      </c>
      <c r="AQ103" s="133">
        <f t="shared" si="34"/>
        <v>0</v>
      </c>
      <c r="AR103" s="133">
        <f t="shared" si="34"/>
        <v>0</v>
      </c>
      <c r="AS103" s="133">
        <f t="shared" si="34"/>
        <v>0</v>
      </c>
      <c r="AT103" s="133">
        <f t="shared" si="34"/>
        <v>0</v>
      </c>
      <c r="AU103" s="133">
        <f t="shared" si="34"/>
        <v>0</v>
      </c>
      <c r="AV103" s="133">
        <f t="shared" si="34"/>
        <v>0</v>
      </c>
      <c r="AW103" s="133">
        <f t="shared" si="34"/>
        <v>0</v>
      </c>
      <c r="AX103" s="133">
        <f t="shared" si="34"/>
        <v>0</v>
      </c>
      <c r="AY103" s="133">
        <f t="shared" si="34"/>
        <v>0</v>
      </c>
      <c r="AZ103" s="133">
        <f t="shared" si="34"/>
        <v>0</v>
      </c>
      <c r="BA103" s="133">
        <f t="shared" si="34"/>
        <v>0</v>
      </c>
      <c r="BB103" s="133">
        <f t="shared" si="34"/>
        <v>0</v>
      </c>
      <c r="BC103" s="118"/>
      <c r="BD103" s="1121"/>
      <c r="BE103" s="1121"/>
      <c r="BF103" s="936" t="s">
        <v>875</v>
      </c>
    </row>
    <row r="104" spans="1:58" s="1327" customFormat="1" ht="14.25" customHeight="1">
      <c r="A104" s="1121"/>
      <c r="B104" s="1104"/>
      <c r="C104" s="1121"/>
      <c r="D104" s="1121"/>
      <c r="E104" s="545">
        <v>15</v>
      </c>
      <c r="F104" s="3" t="str" cm="1">
        <f t="array" aca="1" ref="F104" ca="1">OFFSET(E104,-1,1)</f>
        <v>1</v>
      </c>
      <c r="G104" s="23" t="s">
        <v>736</v>
      </c>
      <c r="H104" s="1121"/>
      <c r="I104" s="1121"/>
      <c r="J104" s="1121"/>
      <c r="K104" s="1121"/>
      <c r="L104" s="1121"/>
      <c r="M104" s="1121"/>
      <c r="N104" s="1121"/>
      <c r="O104" s="1121"/>
      <c r="P104" s="1121"/>
      <c r="Q104" s="1121"/>
      <c r="R104" s="1121"/>
      <c r="S104" s="1121"/>
      <c r="T104" s="381" t="b" cm="1">
        <f t="array" ref="T104">T103</f>
        <v>1</v>
      </c>
      <c r="U104" s="1121"/>
      <c r="V104" s="1121"/>
      <c r="W104" s="1121"/>
      <c r="X104" s="1787"/>
      <c r="Y104" s="1121"/>
      <c r="Z104" s="1788"/>
      <c r="AA104" s="1121"/>
      <c r="AB104" s="7" t="s">
        <v>876</v>
      </c>
      <c r="AC104" s="132" t="s">
        <v>828</v>
      </c>
      <c r="AD104" s="8" t="s">
        <v>766</v>
      </c>
      <c r="AE104" s="133">
        <f t="shared" ref="AE104:BB104" si="35">(AE98+AE80)/2</f>
        <v>0</v>
      </c>
      <c r="AF104" s="133">
        <f t="shared" si="35"/>
        <v>0</v>
      </c>
      <c r="AG104" s="133">
        <f t="shared" si="35"/>
        <v>0</v>
      </c>
      <c r="AH104" s="133">
        <f t="shared" si="35"/>
        <v>0</v>
      </c>
      <c r="AI104" s="133">
        <f t="shared" si="35"/>
        <v>0</v>
      </c>
      <c r="AJ104" s="133">
        <f t="shared" si="35"/>
        <v>0</v>
      </c>
      <c r="AK104" s="133">
        <f t="shared" si="35"/>
        <v>0</v>
      </c>
      <c r="AL104" s="133">
        <f t="shared" si="35"/>
        <v>0</v>
      </c>
      <c r="AM104" s="133">
        <f t="shared" si="35"/>
        <v>0</v>
      </c>
      <c r="AN104" s="133">
        <f t="shared" si="35"/>
        <v>0</v>
      </c>
      <c r="AO104" s="133">
        <f t="shared" si="35"/>
        <v>0</v>
      </c>
      <c r="AP104" s="133">
        <f t="shared" si="35"/>
        <v>0</v>
      </c>
      <c r="AQ104" s="133">
        <f t="shared" si="35"/>
        <v>0</v>
      </c>
      <c r="AR104" s="133">
        <f t="shared" si="35"/>
        <v>0</v>
      </c>
      <c r="AS104" s="133">
        <f t="shared" si="35"/>
        <v>0</v>
      </c>
      <c r="AT104" s="133">
        <f t="shared" si="35"/>
        <v>0</v>
      </c>
      <c r="AU104" s="133">
        <f t="shared" si="35"/>
        <v>0</v>
      </c>
      <c r="AV104" s="133">
        <f t="shared" si="35"/>
        <v>0</v>
      </c>
      <c r="AW104" s="133">
        <f t="shared" si="35"/>
        <v>0</v>
      </c>
      <c r="AX104" s="133">
        <f t="shared" si="35"/>
        <v>0</v>
      </c>
      <c r="AY104" s="133">
        <f t="shared" si="35"/>
        <v>0</v>
      </c>
      <c r="AZ104" s="133">
        <f t="shared" si="35"/>
        <v>0</v>
      </c>
      <c r="BA104" s="133">
        <f t="shared" si="35"/>
        <v>0</v>
      </c>
      <c r="BB104" s="133">
        <f t="shared" si="35"/>
        <v>0</v>
      </c>
      <c r="BC104" s="118"/>
      <c r="BD104" s="1121"/>
      <c r="BE104" s="1121"/>
      <c r="BF104" s="936" t="s">
        <v>877</v>
      </c>
    </row>
    <row r="105" spans="1:58" s="1327" customFormat="1" ht="14.25" customHeight="1">
      <c r="A105" s="1121"/>
      <c r="B105" s="1104"/>
      <c r="C105" s="1121"/>
      <c r="D105" s="1121"/>
      <c r="E105" s="545">
        <v>15</v>
      </c>
      <c r="F105" s="3" t="str" cm="1">
        <f t="array" aca="1" ref="F105" ca="1">OFFSET(E105,-1,1)</f>
        <v>1</v>
      </c>
      <c r="G105" s="23" t="s">
        <v>878</v>
      </c>
      <c r="H105" s="1121"/>
      <c r="I105" s="1121"/>
      <c r="J105" s="1121"/>
      <c r="K105" s="1121"/>
      <c r="L105" s="1121"/>
      <c r="M105" s="1121"/>
      <c r="N105" s="1121"/>
      <c r="O105" s="1121"/>
      <c r="P105" s="1121"/>
      <c r="Q105" s="1121"/>
      <c r="R105" s="1121"/>
      <c r="S105" s="1121"/>
      <c r="T105" s="381" t="b" cm="1">
        <f t="array" ref="T105">T104</f>
        <v>1</v>
      </c>
      <c r="U105" s="1121"/>
      <c r="V105" s="1121"/>
      <c r="W105" s="1121"/>
      <c r="X105" s="1787"/>
      <c r="Y105" s="1121"/>
      <c r="Z105" s="1788"/>
      <c r="AA105" s="1121"/>
      <c r="AB105" s="7" t="s">
        <v>879</v>
      </c>
      <c r="AC105" s="132" t="s">
        <v>831</v>
      </c>
      <c r="AD105" s="8" t="s">
        <v>766</v>
      </c>
      <c r="AE105" s="133">
        <f t="shared" ref="AE105:BB105" si="36">(AE99+AE81)/2</f>
        <v>0</v>
      </c>
      <c r="AF105" s="133">
        <f t="shared" si="36"/>
        <v>0</v>
      </c>
      <c r="AG105" s="133">
        <f t="shared" si="36"/>
        <v>0</v>
      </c>
      <c r="AH105" s="133">
        <f t="shared" si="36"/>
        <v>0</v>
      </c>
      <c r="AI105" s="133">
        <f t="shared" si="36"/>
        <v>0</v>
      </c>
      <c r="AJ105" s="133">
        <f t="shared" si="36"/>
        <v>0</v>
      </c>
      <c r="AK105" s="133">
        <f t="shared" si="36"/>
        <v>0</v>
      </c>
      <c r="AL105" s="133">
        <f t="shared" si="36"/>
        <v>0</v>
      </c>
      <c r="AM105" s="133">
        <f t="shared" si="36"/>
        <v>0</v>
      </c>
      <c r="AN105" s="133">
        <f t="shared" si="36"/>
        <v>0</v>
      </c>
      <c r="AO105" s="133">
        <f t="shared" si="36"/>
        <v>0</v>
      </c>
      <c r="AP105" s="133">
        <f t="shared" si="36"/>
        <v>0</v>
      </c>
      <c r="AQ105" s="133">
        <f t="shared" si="36"/>
        <v>0</v>
      </c>
      <c r="AR105" s="133">
        <f t="shared" si="36"/>
        <v>0</v>
      </c>
      <c r="AS105" s="133">
        <f t="shared" si="36"/>
        <v>0</v>
      </c>
      <c r="AT105" s="133">
        <f t="shared" si="36"/>
        <v>0</v>
      </c>
      <c r="AU105" s="133">
        <f t="shared" si="36"/>
        <v>0</v>
      </c>
      <c r="AV105" s="133">
        <f t="shared" si="36"/>
        <v>0</v>
      </c>
      <c r="AW105" s="133">
        <f t="shared" si="36"/>
        <v>0</v>
      </c>
      <c r="AX105" s="133">
        <f t="shared" si="36"/>
        <v>0</v>
      </c>
      <c r="AY105" s="133">
        <f t="shared" si="36"/>
        <v>0</v>
      </c>
      <c r="AZ105" s="133">
        <f t="shared" si="36"/>
        <v>0</v>
      </c>
      <c r="BA105" s="133">
        <f t="shared" si="36"/>
        <v>0</v>
      </c>
      <c r="BB105" s="133">
        <f t="shared" si="36"/>
        <v>0</v>
      </c>
      <c r="BC105" s="118"/>
      <c r="BD105" s="1121"/>
      <c r="BE105" s="1121"/>
      <c r="BF105" s="936" t="s">
        <v>880</v>
      </c>
    </row>
    <row r="106" spans="1:58" s="1327" customFormat="1" ht="14.25" customHeight="1">
      <c r="A106" s="1121"/>
      <c r="B106" s="1104"/>
      <c r="C106" s="1121"/>
      <c r="D106" s="1121"/>
      <c r="E106" s="545">
        <v>15</v>
      </c>
      <c r="F106" s="3" t="str" cm="1">
        <f t="array" aca="1" ref="F106" ca="1">OFFSET(E106,-1,1)</f>
        <v>1</v>
      </c>
      <c r="G106" s="23" t="s">
        <v>881</v>
      </c>
      <c r="H106" s="1121"/>
      <c r="I106" s="1121"/>
      <c r="J106" s="1121"/>
      <c r="K106" s="1121"/>
      <c r="L106" s="1121"/>
      <c r="M106" s="1121"/>
      <c r="N106" s="1121"/>
      <c r="O106" s="1121"/>
      <c r="P106" s="1121"/>
      <c r="Q106" s="1121"/>
      <c r="R106" s="1121"/>
      <c r="S106" s="1121"/>
      <c r="T106" s="381" t="b" cm="1">
        <f t="array" ref="T106">T105</f>
        <v>1</v>
      </c>
      <c r="U106" s="1121"/>
      <c r="V106" s="1121"/>
      <c r="W106" s="1121"/>
      <c r="X106" s="1787"/>
      <c r="Y106" s="1121"/>
      <c r="Z106" s="1788"/>
      <c r="AA106" s="1121"/>
      <c r="AB106" s="7" t="s">
        <v>882</v>
      </c>
      <c r="AC106" s="132" t="s">
        <v>835</v>
      </c>
      <c r="AD106" s="8" t="s">
        <v>766</v>
      </c>
      <c r="AE106" s="133">
        <f t="shared" ref="AE106:BB106" si="37">(AE100+AE82)/2</f>
        <v>0</v>
      </c>
      <c r="AF106" s="133">
        <f t="shared" si="37"/>
        <v>0</v>
      </c>
      <c r="AG106" s="133">
        <f t="shared" si="37"/>
        <v>0</v>
      </c>
      <c r="AH106" s="133">
        <f t="shared" si="37"/>
        <v>0</v>
      </c>
      <c r="AI106" s="133">
        <f t="shared" si="37"/>
        <v>0</v>
      </c>
      <c r="AJ106" s="133">
        <f t="shared" si="37"/>
        <v>0</v>
      </c>
      <c r="AK106" s="133">
        <f t="shared" si="37"/>
        <v>0</v>
      </c>
      <c r="AL106" s="133">
        <f t="shared" si="37"/>
        <v>0</v>
      </c>
      <c r="AM106" s="133">
        <f t="shared" si="37"/>
        <v>0</v>
      </c>
      <c r="AN106" s="133">
        <f t="shared" si="37"/>
        <v>0</v>
      </c>
      <c r="AO106" s="133">
        <f t="shared" si="37"/>
        <v>0</v>
      </c>
      <c r="AP106" s="133">
        <f t="shared" si="37"/>
        <v>0</v>
      </c>
      <c r="AQ106" s="133">
        <f t="shared" si="37"/>
        <v>0</v>
      </c>
      <c r="AR106" s="133">
        <f t="shared" si="37"/>
        <v>0</v>
      </c>
      <c r="AS106" s="133">
        <f t="shared" si="37"/>
        <v>0</v>
      </c>
      <c r="AT106" s="133">
        <f t="shared" si="37"/>
        <v>0</v>
      </c>
      <c r="AU106" s="133">
        <f t="shared" si="37"/>
        <v>0</v>
      </c>
      <c r="AV106" s="133">
        <f t="shared" si="37"/>
        <v>0</v>
      </c>
      <c r="AW106" s="133">
        <f t="shared" si="37"/>
        <v>0</v>
      </c>
      <c r="AX106" s="133">
        <f t="shared" si="37"/>
        <v>0</v>
      </c>
      <c r="AY106" s="133">
        <f t="shared" si="37"/>
        <v>0</v>
      </c>
      <c r="AZ106" s="133">
        <f t="shared" si="37"/>
        <v>0</v>
      </c>
      <c r="BA106" s="133">
        <f t="shared" si="37"/>
        <v>0</v>
      </c>
      <c r="BB106" s="133">
        <f t="shared" si="37"/>
        <v>0</v>
      </c>
      <c r="BC106" s="118"/>
      <c r="BD106" s="1121"/>
      <c r="BE106" s="1121"/>
      <c r="BF106" s="936" t="s">
        <v>883</v>
      </c>
    </row>
    <row r="107" spans="1:58" s="441" customFormat="1" ht="21.75" customHeight="1">
      <c r="B107" s="348"/>
      <c r="E107" s="586">
        <v>22.5</v>
      </c>
      <c r="F107" s="3" t="str" cm="1">
        <f t="array" aca="1" ref="F107" ca="1">OFFSET(E107,-1,1)</f>
        <v>1</v>
      </c>
      <c r="G107" s="23" t="s">
        <v>477</v>
      </c>
      <c r="T107" s="381" t="b" cm="1">
        <f t="array" ref="T107">T106</f>
        <v>1</v>
      </c>
      <c r="X107" s="1787"/>
      <c r="Z107" s="1788"/>
      <c r="AB107" s="129">
        <v>6</v>
      </c>
      <c r="AC107" s="130" t="s">
        <v>884</v>
      </c>
      <c r="AD107" s="129"/>
      <c r="AE107" s="134"/>
      <c r="AF107" s="134"/>
      <c r="AG107" s="134"/>
      <c r="AH107" s="134"/>
      <c r="AI107" s="134"/>
      <c r="AJ107" s="134"/>
      <c r="AK107" s="134"/>
      <c r="AL107" s="134"/>
      <c r="AM107" s="134"/>
      <c r="AN107" s="134"/>
      <c r="AO107" s="134"/>
      <c r="AP107" s="134"/>
      <c r="AQ107" s="134"/>
      <c r="AR107" s="134"/>
      <c r="AS107" s="134"/>
      <c r="AT107" s="134"/>
      <c r="AU107" s="134"/>
      <c r="AV107" s="134"/>
      <c r="AW107" s="134"/>
      <c r="AX107" s="134"/>
      <c r="AY107" s="134"/>
      <c r="AZ107" s="134"/>
      <c r="BA107" s="134"/>
      <c r="BB107" s="134"/>
      <c r="BC107" s="118"/>
      <c r="BF107" s="936" t="s">
        <v>885</v>
      </c>
    </row>
    <row r="108" spans="1:58" s="1327" customFormat="1" ht="14.25" customHeight="1">
      <c r="A108" s="1121"/>
      <c r="B108" s="1104"/>
      <c r="C108" s="1121"/>
      <c r="D108" s="1121"/>
      <c r="E108" s="545">
        <v>15</v>
      </c>
      <c r="F108" s="3" t="str" cm="1">
        <f t="array" aca="1" ref="F108" ca="1">OFFSET(E108,-1,1)</f>
        <v>1</v>
      </c>
      <c r="G108" s="23" t="s">
        <v>638</v>
      </c>
      <c r="H108" s="1121"/>
      <c r="I108" s="1121"/>
      <c r="J108" s="1121"/>
      <c r="K108" s="1121"/>
      <c r="L108" s="1121"/>
      <c r="M108" s="1121"/>
      <c r="N108" s="1121"/>
      <c r="O108" s="1121"/>
      <c r="P108" s="1121"/>
      <c r="Q108" s="1121"/>
      <c r="R108" s="1121"/>
      <c r="S108" s="1121"/>
      <c r="T108" s="381" t="b" cm="1">
        <f t="array" ref="T108">T107</f>
        <v>1</v>
      </c>
      <c r="U108" s="1121"/>
      <c r="V108" s="1121"/>
      <c r="W108" s="1121"/>
      <c r="X108" s="1787"/>
      <c r="Y108" s="1121"/>
      <c r="Z108" s="1788"/>
      <c r="AA108" s="1121"/>
      <c r="AB108" s="7" t="s">
        <v>532</v>
      </c>
      <c r="AC108" s="132" t="s">
        <v>822</v>
      </c>
      <c r="AD108" s="7" t="s">
        <v>423</v>
      </c>
      <c r="AE108" s="133">
        <f t="shared" ref="AE108:BB108" si="38">IF(AE102=0,0,AE114/AE102*100)</f>
        <v>0</v>
      </c>
      <c r="AF108" s="133">
        <f t="shared" si="38"/>
        <v>0</v>
      </c>
      <c r="AG108" s="133">
        <f t="shared" si="38"/>
        <v>0</v>
      </c>
      <c r="AH108" s="133">
        <f t="shared" si="38"/>
        <v>0</v>
      </c>
      <c r="AI108" s="133">
        <f t="shared" si="38"/>
        <v>0</v>
      </c>
      <c r="AJ108" s="133">
        <f t="shared" si="38"/>
        <v>0</v>
      </c>
      <c r="AK108" s="133">
        <f t="shared" si="38"/>
        <v>0</v>
      </c>
      <c r="AL108" s="133">
        <f t="shared" si="38"/>
        <v>0</v>
      </c>
      <c r="AM108" s="133">
        <f t="shared" si="38"/>
        <v>0</v>
      </c>
      <c r="AN108" s="133">
        <f t="shared" si="38"/>
        <v>0</v>
      </c>
      <c r="AO108" s="133">
        <f t="shared" si="38"/>
        <v>0</v>
      </c>
      <c r="AP108" s="133">
        <f t="shared" si="38"/>
        <v>0</v>
      </c>
      <c r="AQ108" s="133">
        <f t="shared" si="38"/>
        <v>0</v>
      </c>
      <c r="AR108" s="133">
        <f t="shared" si="38"/>
        <v>0</v>
      </c>
      <c r="AS108" s="133">
        <f t="shared" si="38"/>
        <v>0</v>
      </c>
      <c r="AT108" s="133">
        <f t="shared" si="38"/>
        <v>0</v>
      </c>
      <c r="AU108" s="133">
        <f t="shared" si="38"/>
        <v>0</v>
      </c>
      <c r="AV108" s="133">
        <f t="shared" si="38"/>
        <v>0</v>
      </c>
      <c r="AW108" s="133">
        <f t="shared" si="38"/>
        <v>0</v>
      </c>
      <c r="AX108" s="133">
        <f t="shared" si="38"/>
        <v>0</v>
      </c>
      <c r="AY108" s="133">
        <f t="shared" si="38"/>
        <v>0</v>
      </c>
      <c r="AZ108" s="133">
        <f t="shared" si="38"/>
        <v>0</v>
      </c>
      <c r="BA108" s="133">
        <f t="shared" si="38"/>
        <v>0</v>
      </c>
      <c r="BB108" s="133">
        <f t="shared" si="38"/>
        <v>0</v>
      </c>
      <c r="BC108" s="118"/>
      <c r="BD108" s="1121"/>
      <c r="BE108" s="1121"/>
      <c r="BF108" s="936" t="s">
        <v>886</v>
      </c>
    </row>
    <row r="109" spans="1:58" s="1327" customFormat="1" ht="14.25" customHeight="1">
      <c r="A109" s="1121"/>
      <c r="B109" s="1104"/>
      <c r="C109" s="1121"/>
      <c r="D109" s="1121"/>
      <c r="E109" s="545">
        <v>15</v>
      </c>
      <c r="F109" s="3" t="str" cm="1">
        <f t="array" aca="1" ref="F109" ca="1">OFFSET(E109,-1,1)</f>
        <v>1</v>
      </c>
      <c r="G109" s="23" t="s">
        <v>641</v>
      </c>
      <c r="H109" s="1121"/>
      <c r="I109" s="1121"/>
      <c r="J109" s="1121"/>
      <c r="K109" s="1121"/>
      <c r="L109" s="1121"/>
      <c r="M109" s="1121"/>
      <c r="N109" s="1121"/>
      <c r="O109" s="1121"/>
      <c r="P109" s="1121"/>
      <c r="Q109" s="1121"/>
      <c r="R109" s="1121"/>
      <c r="S109" s="1121"/>
      <c r="T109" s="381" t="b" cm="1">
        <f t="array" ref="T109">T108</f>
        <v>1</v>
      </c>
      <c r="U109" s="1121"/>
      <c r="V109" s="1121"/>
      <c r="W109" s="1121"/>
      <c r="X109" s="1787"/>
      <c r="Y109" s="1121"/>
      <c r="Z109" s="1788"/>
      <c r="AA109" s="1121"/>
      <c r="AB109" s="7" t="s">
        <v>536</v>
      </c>
      <c r="AC109" s="132" t="s">
        <v>825</v>
      </c>
      <c r="AD109" s="7" t="s">
        <v>423</v>
      </c>
      <c r="AE109" s="133">
        <f t="shared" ref="AE109:BB109" si="39">IF(AE103=0,0,AE115/AE103*100)</f>
        <v>0</v>
      </c>
      <c r="AF109" s="133">
        <f t="shared" si="39"/>
        <v>0</v>
      </c>
      <c r="AG109" s="133">
        <f t="shared" si="39"/>
        <v>0</v>
      </c>
      <c r="AH109" s="133">
        <f t="shared" si="39"/>
        <v>0</v>
      </c>
      <c r="AI109" s="133">
        <f t="shared" si="39"/>
        <v>0</v>
      </c>
      <c r="AJ109" s="133">
        <f t="shared" si="39"/>
        <v>0</v>
      </c>
      <c r="AK109" s="133">
        <f t="shared" si="39"/>
        <v>0</v>
      </c>
      <c r="AL109" s="133">
        <f t="shared" si="39"/>
        <v>0</v>
      </c>
      <c r="AM109" s="133">
        <f t="shared" si="39"/>
        <v>0</v>
      </c>
      <c r="AN109" s="133">
        <f t="shared" si="39"/>
        <v>0</v>
      </c>
      <c r="AO109" s="133">
        <f t="shared" si="39"/>
        <v>0</v>
      </c>
      <c r="AP109" s="133">
        <f t="shared" si="39"/>
        <v>0</v>
      </c>
      <c r="AQ109" s="133">
        <f t="shared" si="39"/>
        <v>0</v>
      </c>
      <c r="AR109" s="133">
        <f t="shared" si="39"/>
        <v>0</v>
      </c>
      <c r="AS109" s="133">
        <f t="shared" si="39"/>
        <v>0</v>
      </c>
      <c r="AT109" s="133">
        <f t="shared" si="39"/>
        <v>0</v>
      </c>
      <c r="AU109" s="133">
        <f t="shared" si="39"/>
        <v>0</v>
      </c>
      <c r="AV109" s="133">
        <f t="shared" si="39"/>
        <v>0</v>
      </c>
      <c r="AW109" s="133">
        <f t="shared" si="39"/>
        <v>0</v>
      </c>
      <c r="AX109" s="133">
        <f t="shared" si="39"/>
        <v>0</v>
      </c>
      <c r="AY109" s="133">
        <f t="shared" si="39"/>
        <v>0</v>
      </c>
      <c r="AZ109" s="133">
        <f t="shared" si="39"/>
        <v>0</v>
      </c>
      <c r="BA109" s="133">
        <f t="shared" si="39"/>
        <v>0</v>
      </c>
      <c r="BB109" s="133">
        <f t="shared" si="39"/>
        <v>0</v>
      </c>
      <c r="BC109" s="118"/>
      <c r="BD109" s="1121"/>
      <c r="BE109" s="1121"/>
      <c r="BF109" s="936" t="s">
        <v>887</v>
      </c>
    </row>
    <row r="110" spans="1:58" s="1327" customFormat="1" ht="14.25" customHeight="1">
      <c r="A110" s="1121"/>
      <c r="B110" s="1104"/>
      <c r="C110" s="1121"/>
      <c r="D110" s="1121"/>
      <c r="E110" s="545">
        <v>15</v>
      </c>
      <c r="F110" s="3" t="str" cm="1">
        <f t="array" aca="1" ref="F110" ca="1">OFFSET(E110,-1,1)</f>
        <v>1</v>
      </c>
      <c r="G110" s="23" t="s">
        <v>675</v>
      </c>
      <c r="H110" s="1121"/>
      <c r="I110" s="1121"/>
      <c r="J110" s="1121"/>
      <c r="K110" s="1121"/>
      <c r="L110" s="1121"/>
      <c r="M110" s="1121"/>
      <c r="N110" s="1121"/>
      <c r="O110" s="1121"/>
      <c r="P110" s="1121"/>
      <c r="Q110" s="1121"/>
      <c r="R110" s="1121"/>
      <c r="S110" s="1121"/>
      <c r="T110" s="381" t="b" cm="1">
        <f t="array" ref="T110">T109</f>
        <v>1</v>
      </c>
      <c r="U110" s="1121"/>
      <c r="V110" s="1121"/>
      <c r="W110" s="1121"/>
      <c r="X110" s="1787"/>
      <c r="Y110" s="1121"/>
      <c r="Z110" s="1788"/>
      <c r="AA110" s="1121"/>
      <c r="AB110" s="7" t="s">
        <v>540</v>
      </c>
      <c r="AC110" s="132" t="s">
        <v>828</v>
      </c>
      <c r="AD110" s="7" t="s">
        <v>423</v>
      </c>
      <c r="AE110" s="133">
        <f t="shared" ref="AE110:BB110" si="40">IF(AE104=0,0,AE116/AE104*100)</f>
        <v>0</v>
      </c>
      <c r="AF110" s="133">
        <f t="shared" si="40"/>
        <v>0</v>
      </c>
      <c r="AG110" s="133">
        <f t="shared" si="40"/>
        <v>0</v>
      </c>
      <c r="AH110" s="133">
        <f t="shared" si="40"/>
        <v>0</v>
      </c>
      <c r="AI110" s="133">
        <f t="shared" si="40"/>
        <v>0</v>
      </c>
      <c r="AJ110" s="133">
        <f t="shared" si="40"/>
        <v>0</v>
      </c>
      <c r="AK110" s="133">
        <f t="shared" si="40"/>
        <v>0</v>
      </c>
      <c r="AL110" s="133">
        <f t="shared" si="40"/>
        <v>0</v>
      </c>
      <c r="AM110" s="133">
        <f t="shared" si="40"/>
        <v>0</v>
      </c>
      <c r="AN110" s="133">
        <f t="shared" si="40"/>
        <v>0</v>
      </c>
      <c r="AO110" s="133">
        <f t="shared" si="40"/>
        <v>0</v>
      </c>
      <c r="AP110" s="133">
        <f t="shared" si="40"/>
        <v>0</v>
      </c>
      <c r="AQ110" s="133">
        <f t="shared" si="40"/>
        <v>0</v>
      </c>
      <c r="AR110" s="133">
        <f t="shared" si="40"/>
        <v>0</v>
      </c>
      <c r="AS110" s="133">
        <f t="shared" si="40"/>
        <v>0</v>
      </c>
      <c r="AT110" s="133">
        <f t="shared" si="40"/>
        <v>0</v>
      </c>
      <c r="AU110" s="133">
        <f t="shared" si="40"/>
        <v>0</v>
      </c>
      <c r="AV110" s="133">
        <f t="shared" si="40"/>
        <v>0</v>
      </c>
      <c r="AW110" s="133">
        <f t="shared" si="40"/>
        <v>0</v>
      </c>
      <c r="AX110" s="133">
        <f t="shared" si="40"/>
        <v>0</v>
      </c>
      <c r="AY110" s="133">
        <f t="shared" si="40"/>
        <v>0</v>
      </c>
      <c r="AZ110" s="133">
        <f t="shared" si="40"/>
        <v>0</v>
      </c>
      <c r="BA110" s="133">
        <f t="shared" si="40"/>
        <v>0</v>
      </c>
      <c r="BB110" s="133">
        <f t="shared" si="40"/>
        <v>0</v>
      </c>
      <c r="BC110" s="118"/>
      <c r="BD110" s="1121"/>
      <c r="BE110" s="1121"/>
      <c r="BF110" s="936" t="s">
        <v>888</v>
      </c>
    </row>
    <row r="111" spans="1:58" s="1327" customFormat="1" ht="14.25" customHeight="1">
      <c r="A111" s="1121"/>
      <c r="B111" s="1104"/>
      <c r="C111" s="1121"/>
      <c r="D111" s="1121"/>
      <c r="E111" s="545">
        <v>15</v>
      </c>
      <c r="F111" s="3" t="str" cm="1">
        <f t="array" aca="1" ref="F111" ca="1">OFFSET(E111,-1,1)</f>
        <v>1</v>
      </c>
      <c r="G111" s="23" t="s">
        <v>684</v>
      </c>
      <c r="H111" s="1121"/>
      <c r="I111" s="1121"/>
      <c r="J111" s="1121"/>
      <c r="K111" s="1121"/>
      <c r="L111" s="1121"/>
      <c r="M111" s="1121"/>
      <c r="N111" s="1121"/>
      <c r="O111" s="1121"/>
      <c r="P111" s="1121"/>
      <c r="Q111" s="1121"/>
      <c r="R111" s="1121"/>
      <c r="S111" s="1121"/>
      <c r="T111" s="381" t="b" cm="1">
        <f t="array" ref="T111">T110</f>
        <v>1</v>
      </c>
      <c r="U111" s="1121"/>
      <c r="V111" s="1121"/>
      <c r="W111" s="1121"/>
      <c r="X111" s="1787"/>
      <c r="Y111" s="1121"/>
      <c r="Z111" s="1788"/>
      <c r="AA111" s="1121"/>
      <c r="AB111" s="7" t="s">
        <v>889</v>
      </c>
      <c r="AC111" s="132" t="s">
        <v>831</v>
      </c>
      <c r="AD111" s="7" t="s">
        <v>423</v>
      </c>
      <c r="AE111" s="133">
        <f t="shared" ref="AE111:BB111" si="41">IF(AE105=0,0,AE117/AE105*100)</f>
        <v>0</v>
      </c>
      <c r="AF111" s="133">
        <f t="shared" si="41"/>
        <v>0</v>
      </c>
      <c r="AG111" s="133">
        <f t="shared" si="41"/>
        <v>0</v>
      </c>
      <c r="AH111" s="133">
        <f t="shared" si="41"/>
        <v>0</v>
      </c>
      <c r="AI111" s="133">
        <f t="shared" si="41"/>
        <v>0</v>
      </c>
      <c r="AJ111" s="133">
        <f t="shared" si="41"/>
        <v>0</v>
      </c>
      <c r="AK111" s="133">
        <f t="shared" si="41"/>
        <v>0</v>
      </c>
      <c r="AL111" s="133">
        <f t="shared" si="41"/>
        <v>0</v>
      </c>
      <c r="AM111" s="133">
        <f t="shared" si="41"/>
        <v>0</v>
      </c>
      <c r="AN111" s="133">
        <f t="shared" si="41"/>
        <v>0</v>
      </c>
      <c r="AO111" s="133">
        <f t="shared" si="41"/>
        <v>0</v>
      </c>
      <c r="AP111" s="133">
        <f t="shared" si="41"/>
        <v>0</v>
      </c>
      <c r="AQ111" s="133">
        <f t="shared" si="41"/>
        <v>0</v>
      </c>
      <c r="AR111" s="133">
        <f t="shared" si="41"/>
        <v>0</v>
      </c>
      <c r="AS111" s="133">
        <f t="shared" si="41"/>
        <v>0</v>
      </c>
      <c r="AT111" s="133">
        <f t="shared" si="41"/>
        <v>0</v>
      </c>
      <c r="AU111" s="133">
        <f t="shared" si="41"/>
        <v>0</v>
      </c>
      <c r="AV111" s="133">
        <f t="shared" si="41"/>
        <v>0</v>
      </c>
      <c r="AW111" s="133">
        <f t="shared" si="41"/>
        <v>0</v>
      </c>
      <c r="AX111" s="133">
        <f t="shared" si="41"/>
        <v>0</v>
      </c>
      <c r="AY111" s="133">
        <f t="shared" si="41"/>
        <v>0</v>
      </c>
      <c r="AZ111" s="133">
        <f t="shared" si="41"/>
        <v>0</v>
      </c>
      <c r="BA111" s="133">
        <f t="shared" si="41"/>
        <v>0</v>
      </c>
      <c r="BB111" s="133">
        <f t="shared" si="41"/>
        <v>0</v>
      </c>
      <c r="BC111" s="118"/>
      <c r="BD111" s="1121"/>
      <c r="BE111" s="1121"/>
      <c r="BF111" s="936" t="s">
        <v>890</v>
      </c>
    </row>
    <row r="112" spans="1:58" s="1327" customFormat="1" ht="14.25" customHeight="1">
      <c r="A112" s="1121"/>
      <c r="B112" s="1104"/>
      <c r="C112" s="1121"/>
      <c r="D112" s="1121"/>
      <c r="E112" s="545">
        <v>15</v>
      </c>
      <c r="F112" s="3" t="str" cm="1">
        <f t="array" aca="1" ref="F112" ca="1">OFFSET(E112,-1,1)</f>
        <v>1</v>
      </c>
      <c r="G112" s="23" t="s">
        <v>694</v>
      </c>
      <c r="H112" s="1121"/>
      <c r="I112" s="1121"/>
      <c r="J112" s="1121"/>
      <c r="K112" s="1121"/>
      <c r="L112" s="1121"/>
      <c r="M112" s="1121"/>
      <c r="N112" s="1121"/>
      <c r="O112" s="1121"/>
      <c r="P112" s="1121"/>
      <c r="Q112" s="1121"/>
      <c r="R112" s="1121"/>
      <c r="S112" s="1121"/>
      <c r="T112" s="381" t="b" cm="1">
        <f t="array" ref="T112">T111</f>
        <v>1</v>
      </c>
      <c r="U112" s="1121"/>
      <c r="V112" s="1121"/>
      <c r="W112" s="1121"/>
      <c r="X112" s="1787"/>
      <c r="Y112" s="1121"/>
      <c r="Z112" s="1788"/>
      <c r="AA112" s="1121"/>
      <c r="AB112" s="7" t="s">
        <v>891</v>
      </c>
      <c r="AC112" s="132" t="s">
        <v>835</v>
      </c>
      <c r="AD112" s="7" t="s">
        <v>423</v>
      </c>
      <c r="AE112" s="133">
        <f t="shared" ref="AE112:BB112" si="42">IF(AE106=0,0,AE118/AE106*100)</f>
        <v>0</v>
      </c>
      <c r="AF112" s="133">
        <f t="shared" si="42"/>
        <v>0</v>
      </c>
      <c r="AG112" s="133">
        <f t="shared" si="42"/>
        <v>0</v>
      </c>
      <c r="AH112" s="133">
        <f t="shared" si="42"/>
        <v>0</v>
      </c>
      <c r="AI112" s="133">
        <f t="shared" si="42"/>
        <v>0</v>
      </c>
      <c r="AJ112" s="133">
        <f t="shared" si="42"/>
        <v>0</v>
      </c>
      <c r="AK112" s="133">
        <f t="shared" si="42"/>
        <v>0</v>
      </c>
      <c r="AL112" s="133">
        <f t="shared" si="42"/>
        <v>0</v>
      </c>
      <c r="AM112" s="133">
        <f t="shared" si="42"/>
        <v>0</v>
      </c>
      <c r="AN112" s="133">
        <f t="shared" si="42"/>
        <v>0</v>
      </c>
      <c r="AO112" s="133">
        <f t="shared" si="42"/>
        <v>0</v>
      </c>
      <c r="AP112" s="133">
        <f t="shared" si="42"/>
        <v>0</v>
      </c>
      <c r="AQ112" s="133">
        <f t="shared" si="42"/>
        <v>0</v>
      </c>
      <c r="AR112" s="133">
        <f t="shared" si="42"/>
        <v>0</v>
      </c>
      <c r="AS112" s="133">
        <f t="shared" si="42"/>
        <v>0</v>
      </c>
      <c r="AT112" s="133">
        <f t="shared" si="42"/>
        <v>0</v>
      </c>
      <c r="AU112" s="133">
        <f t="shared" si="42"/>
        <v>0</v>
      </c>
      <c r="AV112" s="133">
        <f t="shared" si="42"/>
        <v>0</v>
      </c>
      <c r="AW112" s="133">
        <f t="shared" si="42"/>
        <v>0</v>
      </c>
      <c r="AX112" s="133">
        <f t="shared" si="42"/>
        <v>0</v>
      </c>
      <c r="AY112" s="133">
        <f t="shared" si="42"/>
        <v>0</v>
      </c>
      <c r="AZ112" s="133">
        <f t="shared" si="42"/>
        <v>0</v>
      </c>
      <c r="BA112" s="133">
        <f t="shared" si="42"/>
        <v>0</v>
      </c>
      <c r="BB112" s="133">
        <f t="shared" si="42"/>
        <v>0</v>
      </c>
      <c r="BC112" s="118"/>
      <c r="BD112" s="1121"/>
      <c r="BE112" s="1121"/>
      <c r="BF112" s="936" t="s">
        <v>892</v>
      </c>
    </row>
    <row r="113" spans="1:58" s="441" customFormat="1" ht="14.25" customHeight="1">
      <c r="B113" s="348"/>
      <c r="E113" s="545">
        <v>15</v>
      </c>
      <c r="F113" s="3" t="str" cm="1">
        <f t="array" aca="1" ref="F113" ca="1">OFFSET(E113,-1,1)</f>
        <v>1</v>
      </c>
      <c r="G113" s="23" t="s">
        <v>481</v>
      </c>
      <c r="K113" s="43" t="str">
        <f ca="1">F113&amp;"komm"</f>
        <v>1komm</v>
      </c>
      <c r="L113" s="825" cm="1">
        <f t="array" ref="L113">BC113</f>
        <v>0</v>
      </c>
      <c r="T113" s="381" t="b" cm="1">
        <f t="array" ref="T113">T112</f>
        <v>1</v>
      </c>
      <c r="X113" s="1787"/>
      <c r="Z113" s="1788"/>
      <c r="AB113" s="129">
        <v>7</v>
      </c>
      <c r="AC113" s="130" t="s">
        <v>893</v>
      </c>
      <c r="AD113" s="8" t="s">
        <v>766</v>
      </c>
      <c r="AE113" s="1098">
        <f t="shared" ref="AE113:BB113" si="43">SUM(AE114:AE118)</f>
        <v>0</v>
      </c>
      <c r="AF113" s="1098">
        <f t="shared" si="43"/>
        <v>0</v>
      </c>
      <c r="AG113" s="1098">
        <f t="shared" si="43"/>
        <v>0</v>
      </c>
      <c r="AH113" s="1098">
        <f t="shared" si="43"/>
        <v>0</v>
      </c>
      <c r="AI113" s="1098">
        <f t="shared" si="43"/>
        <v>0</v>
      </c>
      <c r="AJ113" s="1098">
        <f t="shared" si="43"/>
        <v>0</v>
      </c>
      <c r="AK113" s="1098">
        <f t="shared" si="43"/>
        <v>0</v>
      </c>
      <c r="AL113" s="1098">
        <f t="shared" si="43"/>
        <v>0</v>
      </c>
      <c r="AM113" s="1098">
        <f t="shared" si="43"/>
        <v>0</v>
      </c>
      <c r="AN113" s="1098">
        <f t="shared" si="43"/>
        <v>0</v>
      </c>
      <c r="AO113" s="1098">
        <f t="shared" si="43"/>
        <v>0</v>
      </c>
      <c r="AP113" s="1098">
        <f t="shared" si="43"/>
        <v>0</v>
      </c>
      <c r="AQ113" s="1098">
        <f t="shared" si="43"/>
        <v>0</v>
      </c>
      <c r="AR113" s="1098">
        <f t="shared" si="43"/>
        <v>0</v>
      </c>
      <c r="AS113" s="1098">
        <f t="shared" si="43"/>
        <v>0</v>
      </c>
      <c r="AT113" s="1098">
        <f t="shared" si="43"/>
        <v>0</v>
      </c>
      <c r="AU113" s="1098">
        <f t="shared" si="43"/>
        <v>0</v>
      </c>
      <c r="AV113" s="1098">
        <f t="shared" si="43"/>
        <v>0</v>
      </c>
      <c r="AW113" s="1098">
        <f t="shared" si="43"/>
        <v>0</v>
      </c>
      <c r="AX113" s="1098">
        <f t="shared" si="43"/>
        <v>0</v>
      </c>
      <c r="AY113" s="1098">
        <f t="shared" si="43"/>
        <v>0</v>
      </c>
      <c r="AZ113" s="1098">
        <f t="shared" si="43"/>
        <v>0</v>
      </c>
      <c r="BA113" s="1098">
        <f t="shared" si="43"/>
        <v>0</v>
      </c>
      <c r="BB113" s="1098">
        <f t="shared" si="43"/>
        <v>0</v>
      </c>
      <c r="BC113" s="118"/>
      <c r="BF113" s="936" t="s">
        <v>894</v>
      </c>
    </row>
    <row r="114" spans="1:58" s="1327" customFormat="1" ht="14.65" customHeight="1">
      <c r="A114" s="1121"/>
      <c r="B114" s="1104"/>
      <c r="C114" s="1121"/>
      <c r="D114" s="1121"/>
      <c r="E114" s="545">
        <v>15</v>
      </c>
      <c r="F114" s="3" t="str" cm="1">
        <f t="array" aca="1" ref="F114" ca="1">OFFSET(E114,-1,1)</f>
        <v>1</v>
      </c>
      <c r="G114" s="23" t="s">
        <v>645</v>
      </c>
      <c r="H114" s="1121"/>
      <c r="I114" s="1121"/>
      <c r="J114" s="1121"/>
      <c r="K114" s="1121"/>
      <c r="L114" s="1121"/>
      <c r="M114" s="1121"/>
      <c r="N114" s="1121"/>
      <c r="O114" s="1121"/>
      <c r="P114" s="1121"/>
      <c r="Q114" s="1121"/>
      <c r="R114" s="1121"/>
      <c r="S114" s="1121"/>
      <c r="T114" s="381" t="b" cm="1">
        <f t="array" ref="T114">T113</f>
        <v>1</v>
      </c>
      <c r="U114" s="1121"/>
      <c r="V114" s="1121"/>
      <c r="W114" s="1121"/>
      <c r="X114" s="1787"/>
      <c r="Y114" s="1121"/>
      <c r="Z114" s="1788"/>
      <c r="AA114" s="1121"/>
      <c r="AB114" s="7" t="s">
        <v>548</v>
      </c>
      <c r="AC114" s="132" t="s">
        <v>822</v>
      </c>
      <c r="AD114" s="8" t="s">
        <v>766</v>
      </c>
      <c r="AE114" s="133">
        <v>0</v>
      </c>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18" t="s">
        <v>363</v>
      </c>
      <c r="BD114" s="1121"/>
      <c r="BE114" s="1121"/>
      <c r="BF114" s="936" t="s">
        <v>895</v>
      </c>
    </row>
    <row r="115" spans="1:58" s="1327" customFormat="1" ht="14.65" customHeight="1">
      <c r="A115" s="1121"/>
      <c r="B115" s="1104"/>
      <c r="C115" s="1121"/>
      <c r="D115" s="1121"/>
      <c r="E115" s="545">
        <v>15</v>
      </c>
      <c r="F115" s="3" t="str" cm="1">
        <f t="array" aca="1" ref="F115" ca="1">OFFSET(E115,-1,1)</f>
        <v>1</v>
      </c>
      <c r="G115" s="23" t="s">
        <v>648</v>
      </c>
      <c r="H115" s="1121"/>
      <c r="I115" s="1121"/>
      <c r="J115" s="1121"/>
      <c r="K115" s="1121"/>
      <c r="L115" s="1121"/>
      <c r="M115" s="1121"/>
      <c r="N115" s="1121"/>
      <c r="O115" s="1121"/>
      <c r="P115" s="1121"/>
      <c r="Q115" s="1121"/>
      <c r="R115" s="1121"/>
      <c r="S115" s="1121"/>
      <c r="T115" s="381" t="b" cm="1">
        <f t="array" ref="T115">T114</f>
        <v>1</v>
      </c>
      <c r="U115" s="1121"/>
      <c r="V115" s="1121"/>
      <c r="W115" s="1121"/>
      <c r="X115" s="1787"/>
      <c r="Y115" s="1121"/>
      <c r="Z115" s="1788"/>
      <c r="AA115" s="1121"/>
      <c r="AB115" s="7" t="s">
        <v>896</v>
      </c>
      <c r="AC115" s="132" t="s">
        <v>825</v>
      </c>
      <c r="AD115" s="8" t="s">
        <v>766</v>
      </c>
      <c r="AE115" s="133">
        <v>0</v>
      </c>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18" t="s">
        <v>363</v>
      </c>
      <c r="BD115" s="1121"/>
      <c r="BE115" s="1121"/>
      <c r="BF115" s="936" t="s">
        <v>897</v>
      </c>
    </row>
    <row r="116" spans="1:58" s="1327" customFormat="1" ht="14.65" customHeight="1">
      <c r="A116" s="1121"/>
      <c r="B116" s="1104"/>
      <c r="C116" s="1121"/>
      <c r="D116" s="1121"/>
      <c r="E116" s="545">
        <v>15</v>
      </c>
      <c r="F116" s="3" t="str" cm="1">
        <f t="array" aca="1" ref="F116" ca="1">OFFSET(E116,-1,1)</f>
        <v>1</v>
      </c>
      <c r="G116" s="23" t="s">
        <v>898</v>
      </c>
      <c r="H116" s="1121"/>
      <c r="I116" s="1121"/>
      <c r="J116" s="1121"/>
      <c r="K116" s="1121"/>
      <c r="L116" s="1121"/>
      <c r="M116" s="1121"/>
      <c r="N116" s="1121"/>
      <c r="O116" s="1121"/>
      <c r="P116" s="1121"/>
      <c r="Q116" s="1121"/>
      <c r="R116" s="1121"/>
      <c r="S116" s="1121"/>
      <c r="T116" s="381" t="b" cm="1">
        <f t="array" ref="T116">T115</f>
        <v>1</v>
      </c>
      <c r="U116" s="1121"/>
      <c r="V116" s="1121"/>
      <c r="W116" s="1121"/>
      <c r="X116" s="1787"/>
      <c r="Y116" s="1121"/>
      <c r="Z116" s="1788"/>
      <c r="AA116" s="1121"/>
      <c r="AB116" s="7" t="s">
        <v>899</v>
      </c>
      <c r="AC116" s="132" t="s">
        <v>828</v>
      </c>
      <c r="AD116" s="8" t="s">
        <v>766</v>
      </c>
      <c r="AE116" s="133">
        <v>0</v>
      </c>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18" t="s">
        <v>363</v>
      </c>
      <c r="BD116" s="1121"/>
      <c r="BE116" s="1121"/>
      <c r="BF116" s="936" t="s">
        <v>900</v>
      </c>
    </row>
    <row r="117" spans="1:58" s="1327" customFormat="1" ht="14.65" customHeight="1">
      <c r="A117" s="1121"/>
      <c r="B117" s="1104"/>
      <c r="C117" s="1121"/>
      <c r="D117" s="1121"/>
      <c r="E117" s="545">
        <v>15</v>
      </c>
      <c r="F117" s="3" t="str" cm="1">
        <f t="array" aca="1" ref="F117" ca="1">OFFSET(E117,-1,1)</f>
        <v>1</v>
      </c>
      <c r="G117" s="23" t="s">
        <v>901</v>
      </c>
      <c r="H117" s="1121"/>
      <c r="I117" s="1121"/>
      <c r="J117" s="1121"/>
      <c r="K117" s="1121"/>
      <c r="L117" s="1121"/>
      <c r="M117" s="1121"/>
      <c r="N117" s="1121"/>
      <c r="O117" s="1121"/>
      <c r="P117" s="1121"/>
      <c r="Q117" s="1121"/>
      <c r="R117" s="1121"/>
      <c r="S117" s="1121"/>
      <c r="T117" s="381" t="b" cm="1">
        <f t="array" ref="T117">T116</f>
        <v>1</v>
      </c>
      <c r="U117" s="1121"/>
      <c r="V117" s="1121"/>
      <c r="W117" s="1121"/>
      <c r="X117" s="1787"/>
      <c r="Y117" s="1121"/>
      <c r="Z117" s="1788"/>
      <c r="AA117" s="1121"/>
      <c r="AB117" s="7" t="s">
        <v>902</v>
      </c>
      <c r="AC117" s="132" t="s">
        <v>831</v>
      </c>
      <c r="AD117" s="8" t="s">
        <v>766</v>
      </c>
      <c r="AE117" s="133">
        <v>0</v>
      </c>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18" t="s">
        <v>363</v>
      </c>
      <c r="BD117" s="1121"/>
      <c r="BE117" s="1121"/>
      <c r="BF117" s="936" t="s">
        <v>903</v>
      </c>
    </row>
    <row r="118" spans="1:58" s="1327" customFormat="1" ht="14.65" customHeight="1">
      <c r="A118" s="1121"/>
      <c r="B118" s="1104"/>
      <c r="C118" s="1121"/>
      <c r="D118" s="1121"/>
      <c r="E118" s="545">
        <v>15</v>
      </c>
      <c r="F118" s="3" t="str" cm="1">
        <f t="array" aca="1" ref="F118" ca="1">OFFSET(E118,-1,1)</f>
        <v>1</v>
      </c>
      <c r="G118" s="23" t="s">
        <v>904</v>
      </c>
      <c r="H118" s="1121"/>
      <c r="I118" s="1121"/>
      <c r="J118" s="1121"/>
      <c r="K118" s="1121"/>
      <c r="L118" s="1121"/>
      <c r="M118" s="1121"/>
      <c r="N118" s="1121"/>
      <c r="O118" s="1121"/>
      <c r="P118" s="1121"/>
      <c r="Q118" s="1121"/>
      <c r="R118" s="1121"/>
      <c r="S118" s="1121"/>
      <c r="T118" s="381" t="b" cm="1">
        <f t="array" ref="T118">T117</f>
        <v>1</v>
      </c>
      <c r="U118" s="1121"/>
      <c r="V118" s="1121"/>
      <c r="W118" s="1121"/>
      <c r="X118" s="1787"/>
      <c r="Y118" s="1121"/>
      <c r="Z118" s="1788"/>
      <c r="AA118" s="1121"/>
      <c r="AB118" s="7" t="s">
        <v>905</v>
      </c>
      <c r="AC118" s="132" t="s">
        <v>835</v>
      </c>
      <c r="AD118" s="8" t="s">
        <v>766</v>
      </c>
      <c r="AE118" s="133">
        <v>0</v>
      </c>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18" t="s">
        <v>363</v>
      </c>
      <c r="BD118" s="1121"/>
      <c r="BE118" s="1121"/>
      <c r="BF118" s="936" t="s">
        <v>906</v>
      </c>
    </row>
    <row r="119" spans="1:58" s="441" customFormat="1" ht="14.25" customHeight="1">
      <c r="B119" s="348"/>
      <c r="E119" s="545">
        <v>15</v>
      </c>
      <c r="F119" s="3" t="str" cm="1">
        <f t="array" aca="1" ref="F119" ca="1">OFFSET(E119,-1,1)</f>
        <v>1</v>
      </c>
      <c r="G119" s="23" t="s">
        <v>528</v>
      </c>
      <c r="T119" s="381" t="b" cm="1">
        <f t="array" ref="T119">T118</f>
        <v>1</v>
      </c>
      <c r="X119" s="1787"/>
      <c r="Z119" s="1788"/>
      <c r="AB119" s="129">
        <v>8</v>
      </c>
      <c r="AC119" s="130" t="s">
        <v>907</v>
      </c>
      <c r="AD119" s="8" t="s">
        <v>766</v>
      </c>
      <c r="AE119" s="1098">
        <f t="shared" ref="AE119:BB119" si="44">SUM(AE120:AE124)</f>
        <v>0</v>
      </c>
      <c r="AF119" s="1098">
        <f t="shared" si="44"/>
        <v>0</v>
      </c>
      <c r="AG119" s="1098">
        <f t="shared" si="44"/>
        <v>0</v>
      </c>
      <c r="AH119" s="1098">
        <f t="shared" si="44"/>
        <v>0</v>
      </c>
      <c r="AI119" s="1098">
        <f t="shared" si="44"/>
        <v>0</v>
      </c>
      <c r="AJ119" s="1098">
        <f t="shared" si="44"/>
        <v>0</v>
      </c>
      <c r="AK119" s="1098">
        <f t="shared" si="44"/>
        <v>0</v>
      </c>
      <c r="AL119" s="1098">
        <f t="shared" si="44"/>
        <v>0</v>
      </c>
      <c r="AM119" s="1098">
        <f t="shared" si="44"/>
        <v>0</v>
      </c>
      <c r="AN119" s="1098">
        <f t="shared" si="44"/>
        <v>0</v>
      </c>
      <c r="AO119" s="1098">
        <f t="shared" si="44"/>
        <v>0</v>
      </c>
      <c r="AP119" s="1098">
        <f t="shared" si="44"/>
        <v>0</v>
      </c>
      <c r="AQ119" s="1098">
        <f t="shared" si="44"/>
        <v>0</v>
      </c>
      <c r="AR119" s="1098">
        <f t="shared" si="44"/>
        <v>0</v>
      </c>
      <c r="AS119" s="1098">
        <f t="shared" si="44"/>
        <v>0</v>
      </c>
      <c r="AT119" s="1098">
        <f t="shared" si="44"/>
        <v>0</v>
      </c>
      <c r="AU119" s="1098">
        <f t="shared" si="44"/>
        <v>0</v>
      </c>
      <c r="AV119" s="1098">
        <f t="shared" si="44"/>
        <v>0</v>
      </c>
      <c r="AW119" s="1098">
        <f t="shared" si="44"/>
        <v>0</v>
      </c>
      <c r="AX119" s="1098">
        <f t="shared" si="44"/>
        <v>0</v>
      </c>
      <c r="AY119" s="1098">
        <f t="shared" si="44"/>
        <v>0</v>
      </c>
      <c r="AZ119" s="1098">
        <f t="shared" si="44"/>
        <v>0</v>
      </c>
      <c r="BA119" s="1098">
        <f t="shared" si="44"/>
        <v>0</v>
      </c>
      <c r="BB119" s="1098">
        <f t="shared" si="44"/>
        <v>0</v>
      </c>
      <c r="BC119" s="118"/>
      <c r="BF119" s="936" t="s">
        <v>908</v>
      </c>
    </row>
    <row r="120" spans="1:58" s="1327" customFormat="1" ht="14.25" customHeight="1">
      <c r="A120" s="1121"/>
      <c r="B120" s="1104"/>
      <c r="C120" s="1121"/>
      <c r="D120" s="1121"/>
      <c r="E120" s="545">
        <v>15</v>
      </c>
      <c r="F120" s="3" t="str" cm="1">
        <f t="array" aca="1" ref="F120" ca="1">OFFSET(E120,-1,1)</f>
        <v>1</v>
      </c>
      <c r="G120" s="23" t="s">
        <v>531</v>
      </c>
      <c r="H120" s="1121"/>
      <c r="I120" s="1121"/>
      <c r="J120" s="1121"/>
      <c r="K120" s="1121"/>
      <c r="L120" s="1121"/>
      <c r="M120" s="1121"/>
      <c r="N120" s="1121"/>
      <c r="O120" s="1121"/>
      <c r="P120" s="1121"/>
      <c r="Q120" s="1121"/>
      <c r="R120" s="1121"/>
      <c r="S120" s="1121"/>
      <c r="T120" s="381" t="b" cm="1">
        <f t="array" ref="T120">T119</f>
        <v>1</v>
      </c>
      <c r="U120" s="1121"/>
      <c r="V120" s="1121"/>
      <c r="W120" s="1121"/>
      <c r="X120" s="1787"/>
      <c r="Y120" s="1121"/>
      <c r="Z120" s="1788"/>
      <c r="AA120" s="1121"/>
      <c r="AB120" s="7" t="s">
        <v>556</v>
      </c>
      <c r="AC120" s="132" t="s">
        <v>822</v>
      </c>
      <c r="AD120" s="8" t="s">
        <v>766</v>
      </c>
      <c r="AE120" s="133"/>
      <c r="AF120" s="133"/>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18"/>
      <c r="BD120" s="1121"/>
      <c r="BE120" s="1121"/>
      <c r="BF120" s="936" t="s">
        <v>909</v>
      </c>
    </row>
    <row r="121" spans="1:58" s="1327" customFormat="1" ht="14.25" customHeight="1">
      <c r="A121" s="1121"/>
      <c r="B121" s="1104"/>
      <c r="C121" s="1121"/>
      <c r="D121" s="1121"/>
      <c r="E121" s="545">
        <v>15</v>
      </c>
      <c r="F121" s="3" t="str" cm="1">
        <f t="array" aca="1" ref="F121" ca="1">OFFSET(E121,-1,1)</f>
        <v>1</v>
      </c>
      <c r="G121" s="23" t="s">
        <v>535</v>
      </c>
      <c r="H121" s="1121"/>
      <c r="I121" s="1121"/>
      <c r="J121" s="1121"/>
      <c r="K121" s="1121"/>
      <c r="L121" s="1121"/>
      <c r="M121" s="1121"/>
      <c r="N121" s="1121"/>
      <c r="O121" s="1121"/>
      <c r="P121" s="1121"/>
      <c r="Q121" s="1121"/>
      <c r="R121" s="1121"/>
      <c r="S121" s="1121"/>
      <c r="T121" s="381" t="b" cm="1">
        <f t="array" ref="T121">T120</f>
        <v>1</v>
      </c>
      <c r="U121" s="1121"/>
      <c r="V121" s="1121"/>
      <c r="W121" s="1121"/>
      <c r="X121" s="1787"/>
      <c r="Y121" s="1121"/>
      <c r="Z121" s="1788"/>
      <c r="AA121" s="1121"/>
      <c r="AB121" s="7" t="s">
        <v>573</v>
      </c>
      <c r="AC121" s="132" t="s">
        <v>825</v>
      </c>
      <c r="AD121" s="8" t="s">
        <v>766</v>
      </c>
      <c r="AE121" s="133"/>
      <c r="AF121" s="133"/>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18"/>
      <c r="BD121" s="1121"/>
      <c r="BE121" s="1121"/>
      <c r="BF121" s="936" t="s">
        <v>910</v>
      </c>
    </row>
    <row r="122" spans="1:58" s="1327" customFormat="1" ht="14.25" customHeight="1">
      <c r="A122" s="1121"/>
      <c r="B122" s="1104"/>
      <c r="C122" s="1121"/>
      <c r="D122" s="1121"/>
      <c r="E122" s="545">
        <v>15</v>
      </c>
      <c r="F122" s="3" t="str" cm="1">
        <f t="array" aca="1" ref="F122" ca="1">OFFSET(E122,-1,1)</f>
        <v>1</v>
      </c>
      <c r="G122" s="23" t="s">
        <v>539</v>
      </c>
      <c r="H122" s="1121"/>
      <c r="I122" s="1121"/>
      <c r="J122" s="1121"/>
      <c r="K122" s="1121"/>
      <c r="L122" s="1121"/>
      <c r="M122" s="1121"/>
      <c r="N122" s="1121"/>
      <c r="O122" s="1121"/>
      <c r="P122" s="1121"/>
      <c r="Q122" s="1121"/>
      <c r="R122" s="1121"/>
      <c r="S122" s="1121"/>
      <c r="T122" s="381" t="b" cm="1">
        <f t="array" ref="T122">T121</f>
        <v>1</v>
      </c>
      <c r="U122" s="1121"/>
      <c r="V122" s="1121"/>
      <c r="W122" s="1121"/>
      <c r="X122" s="1787"/>
      <c r="Y122" s="1121"/>
      <c r="Z122" s="1788"/>
      <c r="AA122" s="1121"/>
      <c r="AB122" s="7" t="s">
        <v>585</v>
      </c>
      <c r="AC122" s="132" t="s">
        <v>828</v>
      </c>
      <c r="AD122" s="8" t="s">
        <v>766</v>
      </c>
      <c r="AE122" s="133"/>
      <c r="AF122" s="133"/>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18"/>
      <c r="BD122" s="1121"/>
      <c r="BE122" s="1121"/>
      <c r="BF122" s="936" t="s">
        <v>911</v>
      </c>
    </row>
    <row r="123" spans="1:58" s="1327" customFormat="1" ht="14.25" customHeight="1">
      <c r="A123" s="1121"/>
      <c r="B123" s="1104"/>
      <c r="C123" s="1121"/>
      <c r="D123" s="1121"/>
      <c r="E123" s="545">
        <v>15</v>
      </c>
      <c r="F123" s="3" t="str" cm="1">
        <f t="array" aca="1" ref="F123" ca="1">OFFSET(E123,-1,1)</f>
        <v>1</v>
      </c>
      <c r="G123" s="23" t="s">
        <v>912</v>
      </c>
      <c r="H123" s="1121"/>
      <c r="I123" s="1121"/>
      <c r="J123" s="1121"/>
      <c r="K123" s="1121"/>
      <c r="L123" s="1121"/>
      <c r="M123" s="1121"/>
      <c r="N123" s="1121"/>
      <c r="O123" s="1121"/>
      <c r="P123" s="1121"/>
      <c r="Q123" s="1121"/>
      <c r="R123" s="1121"/>
      <c r="S123" s="1121"/>
      <c r="T123" s="381" t="b" cm="1">
        <f t="array" ref="T123">T122</f>
        <v>1</v>
      </c>
      <c r="U123" s="1121"/>
      <c r="V123" s="1121"/>
      <c r="W123" s="1121"/>
      <c r="X123" s="1787"/>
      <c r="Y123" s="1121"/>
      <c r="Z123" s="1788"/>
      <c r="AA123" s="1121"/>
      <c r="AB123" s="7" t="s">
        <v>620</v>
      </c>
      <c r="AC123" s="132" t="s">
        <v>831</v>
      </c>
      <c r="AD123" s="8" t="s">
        <v>766</v>
      </c>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18"/>
      <c r="BD123" s="1121"/>
      <c r="BE123" s="1121"/>
      <c r="BF123" s="936" t="s">
        <v>913</v>
      </c>
    </row>
    <row r="124" spans="1:58" s="1327" customFormat="1" ht="14.25" customHeight="1">
      <c r="A124" s="1121"/>
      <c r="B124" s="1104"/>
      <c r="C124" s="1121"/>
      <c r="D124" s="1121"/>
      <c r="E124" s="545">
        <v>15</v>
      </c>
      <c r="F124" s="3" t="str" cm="1">
        <f t="array" aca="1" ref="F124" ca="1">OFFSET(E124,-1,1)</f>
        <v>1</v>
      </c>
      <c r="G124" s="23" t="s">
        <v>914</v>
      </c>
      <c r="H124" s="1121"/>
      <c r="I124" s="1121"/>
      <c r="J124" s="1121"/>
      <c r="K124" s="1121"/>
      <c r="L124" s="1121"/>
      <c r="M124" s="1121"/>
      <c r="N124" s="1121"/>
      <c r="O124" s="1121"/>
      <c r="P124" s="1121"/>
      <c r="Q124" s="1121"/>
      <c r="R124" s="1121"/>
      <c r="S124" s="1121"/>
      <c r="T124" s="381" t="b" cm="1">
        <f t="array" ref="T124">T123</f>
        <v>1</v>
      </c>
      <c r="U124" s="1121"/>
      <c r="V124" s="1121"/>
      <c r="W124" s="1121"/>
      <c r="X124" s="1787"/>
      <c r="Y124" s="1121"/>
      <c r="Z124" s="1788"/>
      <c r="AA124" s="1121"/>
      <c r="AB124" s="7" t="s">
        <v>623</v>
      </c>
      <c r="AC124" s="132" t="s">
        <v>835</v>
      </c>
      <c r="AD124" s="8" t="s">
        <v>766</v>
      </c>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18"/>
      <c r="BD124" s="1121"/>
      <c r="BE124" s="1121"/>
      <c r="BF124" s="936" t="s">
        <v>915</v>
      </c>
    </row>
    <row r="125" spans="1:58" ht="10.7" customHeight="1">
      <c r="E125" s="545">
        <v>11</v>
      </c>
      <c r="F125" s="261"/>
      <c r="U125" s="23" t="s">
        <v>177</v>
      </c>
      <c r="V125" s="59" t="s">
        <v>916</v>
      </c>
      <c r="Z125" s="484"/>
      <c r="AA125" s="484"/>
      <c r="AB125" s="384"/>
      <c r="AC125" s="384"/>
      <c r="AD125" s="384"/>
      <c r="AE125" s="384"/>
      <c r="AF125" s="384"/>
      <c r="AG125" s="384"/>
      <c r="AH125" s="384"/>
      <c r="AI125" s="859"/>
      <c r="AJ125" s="859"/>
      <c r="AK125" s="859"/>
      <c r="AL125" s="859"/>
      <c r="AM125" s="859"/>
      <c r="AN125" s="859"/>
      <c r="AO125" s="859"/>
      <c r="AP125" s="859"/>
      <c r="AQ125" s="859"/>
      <c r="AR125" s="859"/>
      <c r="AS125" s="859"/>
      <c r="AT125" s="859"/>
      <c r="AU125" s="859"/>
      <c r="AV125" s="859"/>
      <c r="AW125" s="859"/>
      <c r="AX125" s="859"/>
      <c r="AY125" s="859"/>
      <c r="AZ125" s="859"/>
      <c r="BA125" s="859"/>
      <c r="BB125" s="859"/>
      <c r="BC125" s="859"/>
    </row>
    <row r="126" spans="1:58" ht="14.65" customHeight="1">
      <c r="E126" s="545">
        <v>15</v>
      </c>
      <c r="AA126" s="17"/>
      <c r="AB126" s="1758" t="s">
        <v>394</v>
      </c>
      <c r="AC126" s="1758"/>
      <c r="AD126" s="1758"/>
      <c r="AE126" s="1758"/>
      <c r="AF126" s="1758"/>
      <c r="AG126" s="1758"/>
      <c r="AH126" s="1758"/>
      <c r="AI126" s="1789"/>
      <c r="AJ126" s="1789"/>
      <c r="AK126" s="1789"/>
      <c r="AL126" s="1789"/>
      <c r="AM126" s="1789"/>
      <c r="AN126" s="1789"/>
      <c r="AO126" s="1789"/>
      <c r="AP126" s="1789"/>
      <c r="AQ126" s="1789"/>
      <c r="AR126" s="1789"/>
      <c r="AS126" s="1789"/>
      <c r="AT126" s="1789"/>
      <c r="AU126" s="1789"/>
      <c r="AV126" s="1789"/>
      <c r="AW126" s="1789"/>
      <c r="AX126" s="1789"/>
      <c r="AY126" s="1789"/>
      <c r="AZ126" s="1789"/>
      <c r="BA126" s="1789"/>
      <c r="BB126" s="1789"/>
      <c r="BC126" s="1789"/>
      <c r="BD126" s="17"/>
    </row>
    <row r="127" spans="1:58" ht="14.65" customHeight="1">
      <c r="E127" s="545">
        <v>15</v>
      </c>
      <c r="T127" s="405"/>
      <c r="AA127" s="92"/>
      <c r="AB127" s="1790"/>
      <c r="AC127" s="1790"/>
      <c r="AD127" s="1790"/>
      <c r="AE127" s="1790"/>
      <c r="AF127" s="1790"/>
      <c r="AG127" s="1790"/>
      <c r="AH127" s="1790"/>
      <c r="AI127" s="1791"/>
      <c r="AJ127" s="1803"/>
      <c r="AK127" s="1803"/>
      <c r="AL127" s="1803"/>
      <c r="AM127" s="1803"/>
      <c r="AN127" s="1803"/>
      <c r="AO127" s="1803"/>
      <c r="AP127" s="1803"/>
      <c r="AQ127" s="1803"/>
      <c r="AR127" s="1803"/>
      <c r="AS127" s="1791"/>
      <c r="AT127" s="1803"/>
      <c r="AU127" s="1803"/>
      <c r="AV127" s="1803"/>
      <c r="AW127" s="1803"/>
      <c r="AX127" s="1803"/>
      <c r="AY127" s="1803"/>
      <c r="AZ127" s="1803"/>
      <c r="BA127" s="1803"/>
      <c r="BB127" s="1803"/>
      <c r="BC127" s="1791"/>
      <c r="BD127" s="17"/>
    </row>
    <row r="128" spans="1:58" ht="14.65" hidden="1" customHeight="1">
      <c r="E128" s="545">
        <v>15</v>
      </c>
      <c r="T128" s="381" t="b">
        <f>ROW(W128)&gt;ROW(W$128)</f>
        <v>0</v>
      </c>
      <c r="W128" s="671" t="s">
        <v>173</v>
      </c>
      <c r="AA128" s="589" t="s">
        <v>174</v>
      </c>
      <c r="AB128" s="1802" t="s">
        <v>231</v>
      </c>
      <c r="AC128" s="1802"/>
      <c r="AD128" s="1802"/>
      <c r="AE128" s="1802"/>
      <c r="AF128" s="1802"/>
      <c r="AG128" s="1802"/>
      <c r="AH128" s="1802"/>
      <c r="AI128" s="1791"/>
      <c r="AJ128" s="1803"/>
      <c r="AK128" s="1803"/>
      <c r="AL128" s="1803"/>
      <c r="AM128" s="1803"/>
      <c r="AN128" s="1803"/>
      <c r="AO128" s="1803"/>
      <c r="AP128" s="1803"/>
      <c r="AQ128" s="1803"/>
      <c r="AR128" s="1803"/>
      <c r="AS128" s="1791"/>
      <c r="AT128" s="1803"/>
      <c r="AU128" s="1803"/>
      <c r="AV128" s="1803"/>
      <c r="AW128" s="1803"/>
      <c r="AX128" s="1803"/>
      <c r="AY128" s="1803"/>
      <c r="AZ128" s="1803"/>
      <c r="BA128" s="1803"/>
      <c r="BB128" s="1803"/>
      <c r="BC128" s="1803"/>
      <c r="BD128" s="17"/>
    </row>
    <row r="129" spans="5:56" ht="14.65" customHeight="1">
      <c r="E129" s="545">
        <v>15</v>
      </c>
      <c r="W129" s="671" t="s">
        <v>395</v>
      </c>
      <c r="AA129" s="17"/>
      <c r="AB129" s="564"/>
      <c r="AC129" s="430" t="s">
        <v>396</v>
      </c>
      <c r="AD129" s="224"/>
      <c r="AE129" s="224"/>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6"/>
      <c r="BD129" s="17"/>
    </row>
    <row r="130" spans="5:56" ht="10.9" customHeight="1">
      <c r="E130" s="545">
        <v>11.25</v>
      </c>
      <c r="BD130" s="343"/>
    </row>
  </sheetData>
  <sheetProtection formatColumns="0" formatRows="0" insertRows="0" deleteColumns="0" deleteRows="0" sort="0" autoFilter="0"/>
  <mergeCells count="12">
    <mergeCell ref="AB23:BB23"/>
    <mergeCell ref="AB24:AB25"/>
    <mergeCell ref="AC24:AC25"/>
    <mergeCell ref="AD24:AD25"/>
    <mergeCell ref="BC24:BC25"/>
    <mergeCell ref="AB128:BC128"/>
    <mergeCell ref="X27:X75"/>
    <mergeCell ref="Z27:Z75"/>
    <mergeCell ref="AB127:BC127"/>
    <mergeCell ref="AB126:BC126"/>
    <mergeCell ref="X76:X124"/>
    <mergeCell ref="Z76:Z124"/>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5 BA71:BA75 BA78:BA82 BA84:BA88 BA90:BA94 BA96:BA100 BA102:BA106 BA108:BA112 BA114:BA118 BA120:BA125 AZ71:AZ75 AZ78:AZ82 AZ84:AZ88 AZ90:AZ94 AZ96:AZ100 AZ102:AZ106 AZ108:AZ112 AZ114:AZ118 AZ120:AZ125 AY71:AY75 AY78:AY82 AY84:AY88 AY90:AY94 AY96:AY100 AY102:AY106 AY108:AY112 AY114:AY118 AY120:AY125 AX71:AX75 AX78:AX82 AX84:AX88 AX90:AX94 AX96:AX100 AX102:AX106 AX108:AX112 AX114:AX118 AX120:AX125 AW71:AW75 AW78:AW82 AW84:AW88 AW90:AW94 AW96:AW100 AW102:AW106 AW108:AW112 AW114:AW118 AW120:AW125 AV71:AV75 AV78:AV82 AV84:AV88 AV90:AV94 AV96:AV100 AV102:AV106 AV108:AV112 AV114:AV118 AV120:AV125 AU71:AU75 AU78:AU82 AU84:AU88 AU90:AU94 AU96:AU100 AU102:AU106 AU108:AU112 AU114:AU118 AU120:AU125 AT71:AT75 AT78:AT82 AT84:AT88 AT90:AT94 AT96:AT100 AT102:AT106 AT108:AT112 AT114:AT118 AT120:AT125 AS71:AS75 AS78:AS82 AS84:AS88 AS90:AS94 AS96:AS100 AS102:AS106 AS108:AS112 AS114:AS118 AS120:AS125 AR71:AR75 AR78:AR82 AR84:AR88 AR90:AR94 AR96:AR100 AR102:AR106 AR108:AR112 AR114:AR118 AR120:AR125 AQ71:AQ75 AQ78:AQ82 AQ84:AQ88 AQ90:AQ94 AQ96:AQ100 AQ102:AQ106 AQ108:AQ112 AQ114:AQ118 AQ120:AQ125 AP71:AP75 AP78:AP82 AP84:AP88 AP90:AP94 AP96:AP100 AP102:AP106 AP108:AP112 AP114:AP118 AP120:AP125 AO71:AO75 AO78:AO82 AO84:AO88 AO90:AO94 AO96:AO100 AO102:AO106 AO108:AO112 AO114:AO118 AO120:AO125 AN71:AN75 AN78:AN82 AN84:AN88 AN90:AN94 AN96:AN100 AN102:AN106 AN108:AN112 AN114:AN118 AN120:AN125 AM71:AM75 AM78:AM82 AM84:AM88 AM90:AM94 AM96:AM100 AM102:AM106 AM108:AM112 AM114:AM118 AM120:AM125 AL71:AL75 AL78:AL82 AL84:AL88 AL90:AL94 AL96:AL100 AL102:AL106 AL108:AL112 AL114:AL118 AL120:AL125 AK71:AK75 AK78:AK82 AK84:AK88 AK90:AK94 AK96:AK100 AK102:AK106 AK108:AK112 AK114:AK118 AK120:AK125 AJ71:AJ75 AJ78:AJ82 AJ84:AJ88 AJ90:AJ94 AJ96:AJ100 AJ102:AJ106 AJ108:AJ112 AJ114:AJ118 AJ120:AJ125 AI71:AI75 AI78:AI82 AI84:AI88 AI90:AI94 AI96:AI100 AI102:AI106 AI108:AI112 AI114:AI118 AI120:AI125 AH71:AH75 AH78:AH82 AH84:AH88 AH90:AH94 AH96:AH100 AH102:AH106 AH108:AH112 AH114:AH118 AH120:AH125 AG71:AG75 AG78:AG82 AG84:AG88 AG90:AG94 AG96:AG100 AG102:AG106 AG108:AG112 AG114:AG118 AG120:AG125 AF71:AF75 AF78:AF82 AF84:AF88 AF90:AF94 AF96:AF100 AF102:AF106 AF108:AF112 AF114:AF118 AF120:AF125 AE71:AE75 AE78:AE82 AE84:AE88 AE90:AE94 AE96:AE100 AE102:AE106 AE108:AE112 AE114:AE118 AE120:AE125 AE53:BB57 AE47:BB51 AE41:BB45 AE35:BB39 AE29:BB33 AE65:BB69">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5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0" hidden="1" customWidth="1"/>
    <col min="2" max="2" width="4.85546875" style="1104" hidden="1" customWidth="1"/>
    <col min="3" max="3" width="3.5703125" style="1210" hidden="1" customWidth="1"/>
    <col min="4" max="4" width="7.140625" style="1210" hidden="1" customWidth="1"/>
    <col min="5" max="5" width="3.5703125" style="1073" hidden="1" customWidth="1"/>
    <col min="6" max="19" width="3.5703125" style="1210" hidden="1" customWidth="1"/>
    <col min="20" max="20" width="8.425781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11" style="1210" customWidth="1"/>
    <col min="29" max="29" width="35" style="1210" customWidth="1"/>
    <col min="30" max="30" width="12" style="1210" customWidth="1"/>
    <col min="31" max="31" width="13" style="1323" customWidth="1"/>
    <col min="32" max="35" width="13" style="1210" customWidth="1"/>
    <col min="36" max="44" width="13" style="1210" hidden="1" customWidth="1"/>
    <col min="45" max="45" width="13" style="1210" customWidth="1"/>
    <col min="46" max="54" width="13" style="1210" hidden="1" customWidth="1"/>
    <col min="55" max="55" width="20" style="1210" customWidth="1"/>
    <col min="56" max="56" width="3" style="1210" customWidth="1"/>
    <col min="57" max="57" width="9.140625" style="1210" hidden="1"/>
    <col min="58" max="58" width="9.140625" style="1126" hidden="1"/>
  </cols>
  <sheetData>
    <row r="1" spans="1:58" ht="11.25" hidden="1" customHeight="1">
      <c r="E1" s="68"/>
      <c r="F1" s="68" t="s">
        <v>311</v>
      </c>
      <c r="H1" s="68" t="s">
        <v>322</v>
      </c>
      <c r="T1" s="381" t="s">
        <v>92</v>
      </c>
      <c r="U1" s="381" t="s">
        <v>97</v>
      </c>
      <c r="V1" s="381" t="s">
        <v>93</v>
      </c>
      <c r="W1" s="381" t="s">
        <v>94</v>
      </c>
      <c r="X1" s="381" t="s">
        <v>95</v>
      </c>
      <c r="Y1" s="383" t="s">
        <v>313</v>
      </c>
      <c r="Z1" s="381" t="s">
        <v>99</v>
      </c>
      <c r="AA1" s="382" t="s">
        <v>96</v>
      </c>
      <c r="AB1" s="4"/>
      <c r="AC1" s="382" t="s">
        <v>98</v>
      </c>
      <c r="BF1" s="940" t="s">
        <v>314</v>
      </c>
    </row>
    <row r="2" spans="1:58" s="1104" customFormat="1" ht="11.25" hidden="1" customHeight="1">
      <c r="B2" s="364" t="s">
        <v>18</v>
      </c>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39"/>
    </row>
    <row r="3" spans="1:58" ht="11.25" hidden="1" customHeight="1">
      <c r="E3" s="68"/>
      <c r="AI3" s="411"/>
      <c r="AJ3" s="411"/>
      <c r="AK3" s="411"/>
      <c r="AL3" s="411"/>
      <c r="AM3" s="411"/>
      <c r="AN3" s="411"/>
      <c r="AO3" s="411"/>
      <c r="AP3" s="411"/>
      <c r="AQ3" s="411"/>
      <c r="AR3" s="411"/>
      <c r="AS3" s="411"/>
      <c r="AT3" s="411"/>
      <c r="AU3" s="411"/>
      <c r="AV3" s="411"/>
      <c r="AW3" s="411"/>
      <c r="AX3" s="411"/>
      <c r="AY3" s="411"/>
      <c r="AZ3" s="411"/>
      <c r="BA3" s="411"/>
      <c r="BB3" s="411"/>
    </row>
    <row r="4" spans="1:58" ht="11.25" hidden="1" customHeight="1">
      <c r="E4" s="68"/>
    </row>
    <row r="5" spans="1:58" s="1073" customFormat="1" ht="11.25" hidden="1" customHeight="1">
      <c r="A5" s="68"/>
      <c r="B5" s="359"/>
      <c r="C5" s="68"/>
      <c r="D5" s="68"/>
      <c r="E5" s="593" t="s">
        <v>19</v>
      </c>
      <c r="AA5" s="593">
        <v>3</v>
      </c>
      <c r="AB5" s="593">
        <v>11</v>
      </c>
      <c r="AC5" s="593">
        <v>35</v>
      </c>
      <c r="AD5" s="593">
        <v>12</v>
      </c>
      <c r="AE5" s="594">
        <v>13</v>
      </c>
      <c r="AF5" s="593">
        <v>13</v>
      </c>
      <c r="AG5" s="593">
        <v>13</v>
      </c>
      <c r="AH5" s="593">
        <v>13</v>
      </c>
      <c r="AI5" s="593">
        <v>13</v>
      </c>
      <c r="AJ5" s="593">
        <v>13</v>
      </c>
      <c r="AK5" s="593">
        <v>13</v>
      </c>
      <c r="AL5" s="593">
        <v>13</v>
      </c>
      <c r="AM5" s="593">
        <v>13</v>
      </c>
      <c r="AN5" s="593">
        <v>13</v>
      </c>
      <c r="AO5" s="593">
        <v>13</v>
      </c>
      <c r="AP5" s="593">
        <v>13</v>
      </c>
      <c r="AQ5" s="593">
        <v>13</v>
      </c>
      <c r="AR5" s="593">
        <v>13</v>
      </c>
      <c r="AS5" s="593">
        <v>13</v>
      </c>
      <c r="AT5" s="593">
        <v>13</v>
      </c>
      <c r="AU5" s="593">
        <v>13</v>
      </c>
      <c r="AV5" s="593">
        <v>13</v>
      </c>
      <c r="AW5" s="593">
        <v>13</v>
      </c>
      <c r="AX5" s="593">
        <v>13</v>
      </c>
      <c r="AY5" s="593">
        <v>13</v>
      </c>
      <c r="AZ5" s="593">
        <v>13</v>
      </c>
      <c r="BA5" s="593">
        <v>13</v>
      </c>
      <c r="BB5" s="593">
        <v>13</v>
      </c>
      <c r="BC5" s="593">
        <v>20</v>
      </c>
      <c r="BD5" s="593">
        <v>3</v>
      </c>
      <c r="BF5" s="940"/>
    </row>
    <row r="6" spans="1:58" ht="11.25" hidden="1" customHeight="1">
      <c r="A6" s="68" t="s">
        <v>350</v>
      </c>
      <c r="AE6" s="288">
        <f>god-2</f>
        <v>2024</v>
      </c>
      <c r="AF6" s="69">
        <f>god-2</f>
        <v>2024</v>
      </c>
      <c r="AG6" s="69">
        <f>god-2</f>
        <v>2024</v>
      </c>
      <c r="AH6" s="69">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68" t="s">
        <v>351</v>
      </c>
      <c r="AE7" s="288" t="str" cm="1">
        <f t="array" ref="AE7">AE25</f>
        <v>Принято органом регулирования</v>
      </c>
      <c r="AF7" s="288" t="str" cm="1">
        <f t="array" ref="AF7">AF25</f>
        <v>Факт по данным организации</v>
      </c>
      <c r="AG7" s="288" t="str" cm="1">
        <f t="array" ref="AG7">AG25</f>
        <v>Факт, принятый органом регулирования</v>
      </c>
      <c r="AH7" s="288" t="str" cm="1">
        <f t="array" ref="AH7">AH25</f>
        <v>Принято органом регулирования</v>
      </c>
      <c r="AI7" s="288" t="str" cm="1">
        <f t="array" ref="AI7">AI25</f>
        <v>Предложение организации</v>
      </c>
      <c r="AJ7" s="288" t="str" cm="1">
        <f t="array" ref="AJ7">AJ25</f>
        <v>Предложение организации</v>
      </c>
      <c r="AK7" s="288" t="str" cm="1">
        <f t="array" ref="AK7">AK25</f>
        <v>Предложение организации</v>
      </c>
      <c r="AL7" s="288" t="str" cm="1">
        <f t="array" ref="AL7">AL25</f>
        <v>Предложение организации</v>
      </c>
      <c r="AM7" s="288" t="str" cm="1">
        <f t="array" ref="AM7">AM25</f>
        <v>Предложение организации</v>
      </c>
      <c r="AN7" s="288" t="str" cm="1">
        <f t="array" ref="AN7">AN25</f>
        <v>Предложение организации</v>
      </c>
      <c r="AO7" s="288" t="str" cm="1">
        <f t="array" ref="AO7">AO25</f>
        <v>Предложение организации</v>
      </c>
      <c r="AP7" s="288" t="str" cm="1">
        <f t="array" ref="AP7">AP25</f>
        <v>Предложение организации</v>
      </c>
      <c r="AQ7" s="288" t="str" cm="1">
        <f t="array" ref="AQ7">AQ25</f>
        <v>Предложение организации</v>
      </c>
      <c r="AR7" s="288" t="str" cm="1">
        <f t="array" ref="AR7">AR25</f>
        <v>Предложение организации</v>
      </c>
      <c r="AS7" s="288" t="str" cm="1">
        <f t="array" ref="AS7">AS25</f>
        <v>Принято органом регулирования</v>
      </c>
      <c r="AT7" s="288" t="str" cm="1">
        <f t="array" ref="AT7">AT25</f>
        <v>Принято органом регулирования</v>
      </c>
      <c r="AU7" s="288" t="str" cm="1">
        <f t="array" ref="AU7">AU25</f>
        <v>Принято органом регулирования</v>
      </c>
      <c r="AV7" s="288" t="str" cm="1">
        <f t="array" ref="AV7">AV25</f>
        <v>Принято органом регулирования</v>
      </c>
      <c r="AW7" s="288" t="str" cm="1">
        <f t="array" ref="AW7">AW25</f>
        <v>Принято органом регулирования</v>
      </c>
      <c r="AX7" s="288" t="str" cm="1">
        <f t="array" ref="AX7">AX25</f>
        <v>Принято органом регулирования</v>
      </c>
      <c r="AY7" s="288" t="str" cm="1">
        <f t="array" ref="AY7">AY25</f>
        <v>Принято органом регулирования</v>
      </c>
      <c r="AZ7" s="288" t="str" cm="1">
        <f t="array" ref="AZ7">AZ25</f>
        <v>Принято органом регулирования</v>
      </c>
      <c r="BA7" s="288" t="str" cm="1">
        <f t="array" ref="BA7">BA25</f>
        <v>Принято органом регулирования</v>
      </c>
      <c r="BB7" s="288" t="str" cm="1">
        <f t="array" ref="BB7">BB25</f>
        <v>Принято органом регулирования</v>
      </c>
    </row>
    <row r="8" spans="1:58" ht="11.25" hidden="1" customHeight="1"/>
    <row r="9" spans="1:58" s="1126" customFormat="1" ht="11.25" hidden="1" customHeight="1">
      <c r="A9" s="917" t="s">
        <v>355</v>
      </c>
      <c r="B9" s="939"/>
      <c r="AE9" s="941" cm="1">
        <f t="array" ref="AE9">AE6</f>
        <v>2024</v>
      </c>
      <c r="AF9" s="941" cm="1">
        <f t="array" ref="AF9">AF6</f>
        <v>2024</v>
      </c>
      <c r="AG9" s="941" cm="1">
        <f t="array" ref="AG9">AG6</f>
        <v>2024</v>
      </c>
      <c r="AH9" s="941" cm="1">
        <f t="array" ref="AH9">AH6</f>
        <v>2025</v>
      </c>
      <c r="AI9" s="941" cm="1">
        <f t="array" ref="AI9">AI6</f>
        <v>2026</v>
      </c>
      <c r="AJ9" s="941" cm="1">
        <f t="array" ref="AJ9">AJ6</f>
        <v>2027</v>
      </c>
      <c r="AK9" s="941" cm="1">
        <f t="array" ref="AK9">AK6</f>
        <v>2028</v>
      </c>
      <c r="AL9" s="941" cm="1">
        <f t="array" ref="AL9">AL6</f>
        <v>2029</v>
      </c>
      <c r="AM9" s="941" cm="1">
        <f t="array" ref="AM9">AM6</f>
        <v>2030</v>
      </c>
      <c r="AN9" s="941" cm="1">
        <f t="array" ref="AN9">AN6</f>
        <v>2031</v>
      </c>
      <c r="AO9" s="941" cm="1">
        <f t="array" ref="AO9">AO6</f>
        <v>2032</v>
      </c>
      <c r="AP9" s="941" cm="1">
        <f t="array" ref="AP9">AP6</f>
        <v>2033</v>
      </c>
      <c r="AQ9" s="941" cm="1">
        <f t="array" ref="AQ9">AQ6</f>
        <v>2034</v>
      </c>
      <c r="AR9" s="941" cm="1">
        <f t="array" ref="AR9">AR6</f>
        <v>2035</v>
      </c>
      <c r="AS9" s="941" cm="1">
        <f t="array" ref="AS9">AS6</f>
        <v>2026</v>
      </c>
      <c r="AT9" s="941" cm="1">
        <f t="array" ref="AT9">AT6</f>
        <v>2027</v>
      </c>
      <c r="AU9" s="941" cm="1">
        <f t="array" ref="AU9">AU6</f>
        <v>2028</v>
      </c>
      <c r="AV9" s="941" cm="1">
        <f t="array" ref="AV9">AV6</f>
        <v>2029</v>
      </c>
      <c r="AW9" s="941" cm="1">
        <f t="array" ref="AW9">AW6</f>
        <v>2030</v>
      </c>
      <c r="AX9" s="941" cm="1">
        <f t="array" ref="AX9">AX6</f>
        <v>2031</v>
      </c>
      <c r="AY9" s="941" cm="1">
        <f t="array" ref="AY9">AY6</f>
        <v>2032</v>
      </c>
      <c r="AZ9" s="941" cm="1">
        <f t="array" ref="AZ9">AZ6</f>
        <v>2033</v>
      </c>
      <c r="BA9" s="941" cm="1">
        <f t="array" ref="BA9">BA6</f>
        <v>2034</v>
      </c>
      <c r="BB9" s="941" cm="1">
        <f t="array" ref="BB9">BB6</f>
        <v>2035</v>
      </c>
    </row>
    <row r="10" spans="1:58" s="1126" customFormat="1" ht="11.25" hidden="1" customHeight="1">
      <c r="A10" s="917" t="s">
        <v>356</v>
      </c>
      <c r="B10" s="939"/>
      <c r="AE10" s="941" t="str" cm="1">
        <f t="array" ref="AE10">AE25</f>
        <v>Принято органом регулирования</v>
      </c>
      <c r="AF10" s="941" t="str" cm="1">
        <f t="array" ref="AF10">AF25</f>
        <v>Факт по данным организации</v>
      </c>
      <c r="AG10" s="941" t="str" cm="1">
        <f t="array" ref="AG10">AG25</f>
        <v>Факт, принятый органом регулирования</v>
      </c>
      <c r="AH10" s="941" t="str" cm="1">
        <f t="array" ref="AH10">AH25</f>
        <v>Принято органом регулирования</v>
      </c>
      <c r="AI10" s="941" t="str" cm="1">
        <f t="array" ref="AI10">AI25</f>
        <v>Предложение организации</v>
      </c>
      <c r="AJ10" s="941" t="str" cm="1">
        <f t="array" ref="AJ10">AJ25</f>
        <v>Предложение организации</v>
      </c>
      <c r="AK10" s="941" t="str" cm="1">
        <f t="array" ref="AK10">AK25</f>
        <v>Предложение организации</v>
      </c>
      <c r="AL10" s="941" t="str" cm="1">
        <f t="array" ref="AL10">AL25</f>
        <v>Предложение организации</v>
      </c>
      <c r="AM10" s="941" t="str" cm="1">
        <f t="array" ref="AM10">AM25</f>
        <v>Предложение организации</v>
      </c>
      <c r="AN10" s="941" t="str" cm="1">
        <f t="array" ref="AN10">AN25</f>
        <v>Предложение организации</v>
      </c>
      <c r="AO10" s="941" t="str" cm="1">
        <f t="array" ref="AO10">AO25</f>
        <v>Предложение организации</v>
      </c>
      <c r="AP10" s="941" t="str" cm="1">
        <f t="array" ref="AP10">AP25</f>
        <v>Предложение организации</v>
      </c>
      <c r="AQ10" s="941" t="str" cm="1">
        <f t="array" ref="AQ10">AQ25</f>
        <v>Предложение организации</v>
      </c>
      <c r="AR10" s="941" t="str" cm="1">
        <f t="array" ref="AR10">AR25</f>
        <v>Предложение организации</v>
      </c>
      <c r="AS10" s="941" t="str" cm="1">
        <f t="array" ref="AS10">AS25</f>
        <v>Принято органом регулирования</v>
      </c>
      <c r="AT10" s="941" t="str" cm="1">
        <f t="array" ref="AT10">AT25</f>
        <v>Принято органом регулирования</v>
      </c>
      <c r="AU10" s="941" t="str" cm="1">
        <f t="array" ref="AU10">AU25</f>
        <v>Принято органом регулирования</v>
      </c>
      <c r="AV10" s="941" t="str" cm="1">
        <f t="array" ref="AV10">AV25</f>
        <v>Принято органом регулирования</v>
      </c>
      <c r="AW10" s="941" t="str" cm="1">
        <f t="array" ref="AW10">AW25</f>
        <v>Принято органом регулирования</v>
      </c>
      <c r="AX10" s="941" t="str" cm="1">
        <f t="array" ref="AX10">AX25</f>
        <v>Принято органом регулирования</v>
      </c>
      <c r="AY10" s="941" t="str" cm="1">
        <f t="array" ref="AY10">AY25</f>
        <v>Принято органом регулирования</v>
      </c>
      <c r="AZ10" s="941" t="str" cm="1">
        <f t="array" ref="AZ10">AZ25</f>
        <v>Принято органом регулирования</v>
      </c>
      <c r="BA10" s="941" t="str" cm="1">
        <f t="array" ref="BA10">BA25</f>
        <v>Принято органом регулирования</v>
      </c>
      <c r="BB10" s="941" t="str" cm="1">
        <f t="array" ref="BB10">BB25</f>
        <v>Принято органом регулирования</v>
      </c>
    </row>
    <row r="11" spans="1:58" s="1126" customFormat="1" ht="11.25" hidden="1" customHeight="1">
      <c r="A11" s="917" t="s">
        <v>357</v>
      </c>
      <c r="B11" s="939"/>
      <c r="AE11" s="941"/>
      <c r="BC11" s="940"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593">
        <v>15</v>
      </c>
      <c r="AA21" s="342"/>
      <c r="AC21" s="278" t="str" cm="1">
        <f t="array" ref="AC21">tpl_title</f>
        <v>Кемеровская область / 2026 / ОАО «СКЭК» (ИНН:4205153492, КПП:420501001) / ДПР: 2026-2026</v>
      </c>
    </row>
    <row r="22" spans="1:58" s="1210" customFormat="1" ht="19.5" customHeight="1">
      <c r="B22" s="345"/>
      <c r="E22" s="535">
        <v>20</v>
      </c>
      <c r="AB22" s="232" t="s">
        <v>57</v>
      </c>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F22" s="899"/>
    </row>
    <row r="23" spans="1:58" s="1210" customFormat="1" ht="10.9" customHeight="1">
      <c r="B23" s="345"/>
      <c r="E23" s="535">
        <v>11.25</v>
      </c>
      <c r="AB23" s="70"/>
      <c r="AE23" s="51"/>
      <c r="BF23" s="899"/>
    </row>
    <row r="24" spans="1:58" s="1210" customFormat="1" ht="14.65" customHeight="1">
      <c r="B24" s="345"/>
      <c r="E24" s="535">
        <v>15</v>
      </c>
      <c r="AB24" s="1758" t="s">
        <v>21</v>
      </c>
      <c r="AC24" s="1758" t="s">
        <v>359</v>
      </c>
      <c r="AD24" s="1758" t="s">
        <v>917</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81" t="s">
        <v>494</v>
      </c>
      <c r="BF24" s="899"/>
    </row>
    <row r="25" spans="1:58" s="1210" customFormat="1" ht="48.75" customHeight="1">
      <c r="B25" s="345"/>
      <c r="E25" s="535">
        <v>50</v>
      </c>
      <c r="AB25" s="1758"/>
      <c r="AC25" s="1758"/>
      <c r="AD25" s="1758"/>
      <c r="AE25" s="11" t="s">
        <v>352</v>
      </c>
      <c r="AF25" s="1019" t="s">
        <v>417</v>
      </c>
      <c r="AG25" s="11" t="s">
        <v>418</v>
      </c>
      <c r="AH25" s="11" t="s">
        <v>352</v>
      </c>
      <c r="AI25" s="1023" t="s">
        <v>353</v>
      </c>
      <c r="AJ25" s="1023" t="s">
        <v>353</v>
      </c>
      <c r="AK25" s="1023" t="s">
        <v>353</v>
      </c>
      <c r="AL25" s="1023" t="s">
        <v>353</v>
      </c>
      <c r="AM25" s="1023" t="s">
        <v>353</v>
      </c>
      <c r="AN25" s="1023" t="s">
        <v>353</v>
      </c>
      <c r="AO25" s="1023" t="s">
        <v>353</v>
      </c>
      <c r="AP25" s="1023" t="s">
        <v>353</v>
      </c>
      <c r="AQ25" s="1023" t="s">
        <v>353</v>
      </c>
      <c r="AR25" s="1023" t="s">
        <v>353</v>
      </c>
      <c r="AS25" s="272" t="s">
        <v>352</v>
      </c>
      <c r="AT25" s="272" t="s">
        <v>352</v>
      </c>
      <c r="AU25" s="272" t="s">
        <v>352</v>
      </c>
      <c r="AV25" s="272" t="s">
        <v>352</v>
      </c>
      <c r="AW25" s="272" t="s">
        <v>352</v>
      </c>
      <c r="AX25" s="272" t="s">
        <v>352</v>
      </c>
      <c r="AY25" s="272" t="s">
        <v>352</v>
      </c>
      <c r="AZ25" s="272" t="s">
        <v>352</v>
      </c>
      <c r="BA25" s="272" t="s">
        <v>352</v>
      </c>
      <c r="BB25" s="272" t="s">
        <v>352</v>
      </c>
      <c r="BC25" s="1781"/>
      <c r="BF25" s="899"/>
    </row>
    <row r="26" spans="1:58" s="1327" customFormat="1" ht="11.25" hidden="1" customHeight="1">
      <c r="A26" s="415"/>
      <c r="B26" s="575"/>
      <c r="C26" s="415"/>
      <c r="D26" s="415"/>
      <c r="E26" s="576">
        <v>0</v>
      </c>
      <c r="F26" s="571" t="s">
        <v>918</v>
      </c>
      <c r="G26" s="415"/>
      <c r="H26" s="415"/>
      <c r="I26" s="415"/>
      <c r="J26" s="415"/>
      <c r="K26" s="415"/>
      <c r="L26" s="415"/>
      <c r="M26" s="415"/>
      <c r="N26" s="415"/>
      <c r="O26" s="415"/>
      <c r="P26" s="415"/>
      <c r="Q26" s="415"/>
      <c r="R26" s="415"/>
      <c r="S26" s="415"/>
      <c r="T26" s="415"/>
      <c r="U26" s="415"/>
      <c r="V26" s="415"/>
      <c r="W26" s="415"/>
      <c r="X26" s="415"/>
      <c r="Y26" s="415"/>
      <c r="Z26" s="415"/>
      <c r="AC26" s="19"/>
      <c r="AD26" s="19"/>
      <c r="AE26" s="19"/>
      <c r="AF26" s="19"/>
      <c r="AQ26" s="20"/>
      <c r="BF26" s="906"/>
    </row>
    <row r="27" spans="1:58" s="1210" customFormat="1" ht="14.65" hidden="1" customHeight="1">
      <c r="B27" s="345"/>
      <c r="E27" s="535">
        <v>15</v>
      </c>
      <c r="F27" s="17" cm="1">
        <f t="array" ref="F27">X27</f>
        <v>0</v>
      </c>
      <c r="T27" s="381" t="b">
        <f>X27&gt;0</f>
        <v>0</v>
      </c>
      <c r="V27" s="41" t="s">
        <v>270</v>
      </c>
      <c r="X27" s="1755">
        <v>0</v>
      </c>
      <c r="Z27" s="1787"/>
      <c r="AB27" s="140" t="str" cm="1">
        <f t="array" ref="AB27">INDEX('Общие сведения'!$AG$179:$AG$208,MATCH($X27,'Общие сведения'!$Z$179:$Z$208,0))</f>
        <v xml:space="preserve">Тариф 0 () - </v>
      </c>
      <c r="AC27" s="99"/>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128"/>
      <c r="BF27" s="899"/>
    </row>
    <row r="28" spans="1:58" s="1210" customFormat="1" ht="71.650000000000006" hidden="1" customHeight="1">
      <c r="B28" s="345"/>
      <c r="E28" s="535">
        <v>73.5</v>
      </c>
      <c r="F28" s="3" cm="1">
        <f t="array" aca="1" ref="F28" ca="1">OFFSET(E28,-1,1)</f>
        <v>0</v>
      </c>
      <c r="G28" s="410" t="s">
        <v>919</v>
      </c>
      <c r="H28" s="41" t="s">
        <v>323</v>
      </c>
      <c r="K28" s="43" t="str">
        <f ca="1">F28&amp;"komm"</f>
        <v>0komm</v>
      </c>
      <c r="L28" s="825" cm="1">
        <f t="array" ref="L28">BC28</f>
        <v>0</v>
      </c>
      <c r="T28" s="381" t="b" cm="1">
        <f t="array" ref="T28">T27</f>
        <v>0</v>
      </c>
      <c r="X28" s="1755"/>
      <c r="Z28" s="1787"/>
      <c r="AB28" s="136" t="s">
        <v>281</v>
      </c>
      <c r="AC28" s="137" t="s">
        <v>920</v>
      </c>
      <c r="AD28" s="123" t="s">
        <v>766</v>
      </c>
      <c r="AE28" s="687">
        <f t="shared" ref="AE28:BB28" si="1">AE29+AE32+AE33+AE34</f>
        <v>0</v>
      </c>
      <c r="AF28" s="687">
        <f t="shared" si="1"/>
        <v>0</v>
      </c>
      <c r="AG28" s="687">
        <f t="shared" si="1"/>
        <v>0</v>
      </c>
      <c r="AH28" s="687">
        <f t="shared" si="1"/>
        <v>0</v>
      </c>
      <c r="AI28" s="687">
        <f t="shared" si="1"/>
        <v>0</v>
      </c>
      <c r="AJ28" s="687">
        <f t="shared" si="1"/>
        <v>0</v>
      </c>
      <c r="AK28" s="687">
        <f t="shared" si="1"/>
        <v>0</v>
      </c>
      <c r="AL28" s="687">
        <f t="shared" si="1"/>
        <v>0</v>
      </c>
      <c r="AM28" s="687">
        <f t="shared" si="1"/>
        <v>0</v>
      </c>
      <c r="AN28" s="687">
        <f t="shared" si="1"/>
        <v>0</v>
      </c>
      <c r="AO28" s="687">
        <f t="shared" si="1"/>
        <v>0</v>
      </c>
      <c r="AP28" s="687">
        <f t="shared" si="1"/>
        <v>0</v>
      </c>
      <c r="AQ28" s="687">
        <f t="shared" si="1"/>
        <v>0</v>
      </c>
      <c r="AR28" s="687">
        <f t="shared" si="1"/>
        <v>0</v>
      </c>
      <c r="AS28" s="687">
        <f t="shared" si="1"/>
        <v>0</v>
      </c>
      <c r="AT28" s="687">
        <f t="shared" si="1"/>
        <v>0</v>
      </c>
      <c r="AU28" s="687">
        <f t="shared" si="1"/>
        <v>0</v>
      </c>
      <c r="AV28" s="687">
        <f t="shared" si="1"/>
        <v>0</v>
      </c>
      <c r="AW28" s="687">
        <f t="shared" si="1"/>
        <v>0</v>
      </c>
      <c r="AX28" s="687">
        <f t="shared" si="1"/>
        <v>0</v>
      </c>
      <c r="AY28" s="687">
        <f t="shared" si="1"/>
        <v>0</v>
      </c>
      <c r="AZ28" s="687">
        <f t="shared" si="1"/>
        <v>0</v>
      </c>
      <c r="BA28" s="687">
        <f t="shared" si="1"/>
        <v>0</v>
      </c>
      <c r="BB28" s="687">
        <f t="shared" si="1"/>
        <v>0</v>
      </c>
      <c r="BC28" s="1361"/>
      <c r="BF28" s="942" t="s">
        <v>921</v>
      </c>
    </row>
    <row r="29" spans="1:58" s="1210" customFormat="1" ht="14.65" hidden="1" customHeight="1">
      <c r="B29" s="345"/>
      <c r="D29" s="41" t="s">
        <v>922</v>
      </c>
      <c r="E29" s="535">
        <v>15</v>
      </c>
      <c r="F29" s="3" cm="1">
        <f t="array" aca="1" ref="F29" ca="1">OFFSET(E29,-1,1)</f>
        <v>0</v>
      </c>
      <c r="H29" s="41" t="s">
        <v>427</v>
      </c>
      <c r="T29" s="381" t="b" cm="1">
        <f t="array" ref="T29">T28</f>
        <v>0</v>
      </c>
      <c r="X29" s="1755"/>
      <c r="Z29" s="1787"/>
      <c r="AB29" s="138" t="s">
        <v>821</v>
      </c>
      <c r="AC29" s="676" t="s">
        <v>922</v>
      </c>
      <c r="AD29" s="835" t="s">
        <v>766</v>
      </c>
      <c r="AE29" s="1396">
        <f t="shared" ref="AE29:BB29" si="2">SUM(AE30:AE31)</f>
        <v>0</v>
      </c>
      <c r="AF29" s="1396">
        <f t="shared" si="2"/>
        <v>0</v>
      </c>
      <c r="AG29" s="1396">
        <f t="shared" si="2"/>
        <v>0</v>
      </c>
      <c r="AH29" s="1396">
        <f t="shared" si="2"/>
        <v>0</v>
      </c>
      <c r="AI29" s="686">
        <f t="shared" si="2"/>
        <v>0</v>
      </c>
      <c r="AJ29" s="1396">
        <f t="shared" si="2"/>
        <v>0</v>
      </c>
      <c r="AK29" s="1396">
        <f t="shared" si="2"/>
        <v>0</v>
      </c>
      <c r="AL29" s="1396">
        <f t="shared" si="2"/>
        <v>0</v>
      </c>
      <c r="AM29" s="1396">
        <f t="shared" si="2"/>
        <v>0</v>
      </c>
      <c r="AN29" s="1396">
        <f t="shared" si="2"/>
        <v>0</v>
      </c>
      <c r="AO29" s="1396">
        <f t="shared" si="2"/>
        <v>0</v>
      </c>
      <c r="AP29" s="1396">
        <f t="shared" si="2"/>
        <v>0</v>
      </c>
      <c r="AQ29" s="1396">
        <f t="shared" si="2"/>
        <v>0</v>
      </c>
      <c r="AR29" s="1396">
        <f t="shared" si="2"/>
        <v>0</v>
      </c>
      <c r="AS29" s="686">
        <f t="shared" si="2"/>
        <v>0</v>
      </c>
      <c r="AT29" s="1396">
        <f t="shared" si="2"/>
        <v>0</v>
      </c>
      <c r="AU29" s="1396">
        <f t="shared" si="2"/>
        <v>0</v>
      </c>
      <c r="AV29" s="1396">
        <f t="shared" si="2"/>
        <v>0</v>
      </c>
      <c r="AW29" s="1396">
        <f t="shared" si="2"/>
        <v>0</v>
      </c>
      <c r="AX29" s="1396">
        <f t="shared" si="2"/>
        <v>0</v>
      </c>
      <c r="AY29" s="1396">
        <f t="shared" si="2"/>
        <v>0</v>
      </c>
      <c r="AZ29" s="1396">
        <f t="shared" si="2"/>
        <v>0</v>
      </c>
      <c r="BA29" s="1396">
        <f t="shared" si="2"/>
        <v>0</v>
      </c>
      <c r="BB29" s="1396">
        <f t="shared" si="2"/>
        <v>0</v>
      </c>
      <c r="BC29" s="1361"/>
      <c r="BF29" s="942" t="s">
        <v>923</v>
      </c>
    </row>
    <row r="30" spans="1:58" s="1210" customFormat="1" ht="23.45" hidden="1" customHeight="1">
      <c r="B30" s="345"/>
      <c r="E30" s="535">
        <v>24</v>
      </c>
      <c r="F30" s="3" cm="1">
        <f t="array" aca="1" ref="F30" ca="1">OFFSET(E30,-1,1)</f>
        <v>0</v>
      </c>
      <c r="H30" s="41" t="s">
        <v>924</v>
      </c>
      <c r="T30" s="381" t="b" cm="1">
        <f t="array" ref="T30">T29</f>
        <v>0</v>
      </c>
      <c r="X30" s="1755"/>
      <c r="Z30" s="1787"/>
      <c r="AB30" s="138" t="s">
        <v>925</v>
      </c>
      <c r="AC30" s="679" t="s">
        <v>926</v>
      </c>
      <c r="AD30" s="835" t="s">
        <v>766</v>
      </c>
      <c r="AE30" s="1396"/>
      <c r="AF30" s="1396"/>
      <c r="AG30" s="1396"/>
      <c r="AH30" s="1396"/>
      <c r="AI30" s="686"/>
      <c r="AJ30" s="1396"/>
      <c r="AK30" s="1396"/>
      <c r="AL30" s="1396"/>
      <c r="AM30" s="1396"/>
      <c r="AN30" s="1396"/>
      <c r="AO30" s="1396"/>
      <c r="AP30" s="1396"/>
      <c r="AQ30" s="1396"/>
      <c r="AR30" s="1396"/>
      <c r="AS30" s="686"/>
      <c r="AT30" s="1396"/>
      <c r="AU30" s="1396"/>
      <c r="AV30" s="1396"/>
      <c r="AW30" s="1396"/>
      <c r="AX30" s="1396"/>
      <c r="AY30" s="1396"/>
      <c r="AZ30" s="1396"/>
      <c r="BA30" s="1396"/>
      <c r="BB30" s="1396"/>
      <c r="BC30" s="1361"/>
      <c r="BF30" s="899" t="s">
        <v>927</v>
      </c>
    </row>
    <row r="31" spans="1:58" s="1210" customFormat="1" ht="14.65" hidden="1" customHeight="1">
      <c r="B31" s="345"/>
      <c r="E31" s="535">
        <v>15</v>
      </c>
      <c r="F31" s="3" cm="1">
        <f t="array" aca="1" ref="F31" ca="1">OFFSET(E31,-1,1)</f>
        <v>0</v>
      </c>
      <c r="H31" s="41" t="s">
        <v>928</v>
      </c>
      <c r="T31" s="381" t="b" cm="1">
        <f t="array" ref="T31">T30</f>
        <v>0</v>
      </c>
      <c r="X31" s="1755"/>
      <c r="Z31" s="1787"/>
      <c r="AB31" s="138" t="s">
        <v>929</v>
      </c>
      <c r="AC31" s="679" t="s">
        <v>930</v>
      </c>
      <c r="AD31" s="835" t="s">
        <v>766</v>
      </c>
      <c r="AE31" s="1396"/>
      <c r="AF31" s="1396"/>
      <c r="AG31" s="1396"/>
      <c r="AH31" s="1396"/>
      <c r="AI31" s="686"/>
      <c r="AJ31" s="1396"/>
      <c r="AK31" s="1396"/>
      <c r="AL31" s="1396"/>
      <c r="AM31" s="1396"/>
      <c r="AN31" s="1396"/>
      <c r="AO31" s="1396"/>
      <c r="AP31" s="1396"/>
      <c r="AQ31" s="1396"/>
      <c r="AR31" s="1396"/>
      <c r="AS31" s="686"/>
      <c r="AT31" s="1396"/>
      <c r="AU31" s="1396"/>
      <c r="AV31" s="1396"/>
      <c r="AW31" s="1396"/>
      <c r="AX31" s="1396"/>
      <c r="AY31" s="1396"/>
      <c r="AZ31" s="1396"/>
      <c r="BA31" s="1396"/>
      <c r="BB31" s="1396"/>
      <c r="BC31" s="1361"/>
      <c r="BF31" s="899" t="s">
        <v>931</v>
      </c>
    </row>
    <row r="32" spans="1:58" s="1210" customFormat="1" ht="14.65" hidden="1" customHeight="1">
      <c r="B32" s="345"/>
      <c r="D32" s="41" t="s">
        <v>932</v>
      </c>
      <c r="E32" s="535">
        <v>15</v>
      </c>
      <c r="F32" s="3" cm="1">
        <f t="array" aca="1" ref="F32" ca="1">OFFSET(E32,-1,1)</f>
        <v>0</v>
      </c>
      <c r="H32" s="41" t="s">
        <v>431</v>
      </c>
      <c r="T32" s="381" t="b" cm="1">
        <f t="array" ref="T32">T31</f>
        <v>0</v>
      </c>
      <c r="X32" s="1755"/>
      <c r="Z32" s="1787"/>
      <c r="AB32" s="138" t="s">
        <v>824</v>
      </c>
      <c r="AC32" s="836" t="s">
        <v>933</v>
      </c>
      <c r="AD32" s="835" t="s">
        <v>766</v>
      </c>
      <c r="AE32" s="1396"/>
      <c r="AF32" s="1396"/>
      <c r="AG32" s="1396"/>
      <c r="AH32" s="1396"/>
      <c r="AI32" s="686"/>
      <c r="AJ32" s="1396"/>
      <c r="AK32" s="1396"/>
      <c r="AL32" s="1396"/>
      <c r="AM32" s="1396"/>
      <c r="AN32" s="1396"/>
      <c r="AO32" s="1396"/>
      <c r="AP32" s="1396"/>
      <c r="AQ32" s="1396"/>
      <c r="AR32" s="1396"/>
      <c r="AS32" s="686"/>
      <c r="AT32" s="1396"/>
      <c r="AU32" s="1396"/>
      <c r="AV32" s="1396"/>
      <c r="AW32" s="1396"/>
      <c r="AX32" s="1396"/>
      <c r="AY32" s="1396"/>
      <c r="AZ32" s="1396"/>
      <c r="BA32" s="1396"/>
      <c r="BB32" s="1396"/>
      <c r="BC32" s="1361"/>
      <c r="BF32" s="899" t="s">
        <v>934</v>
      </c>
    </row>
    <row r="33" spans="1:58" s="1210" customFormat="1" ht="14.65" hidden="1" customHeight="1">
      <c r="B33" s="345"/>
      <c r="D33" s="41" t="s">
        <v>935</v>
      </c>
      <c r="E33" s="535">
        <v>15</v>
      </c>
      <c r="F33" s="3" cm="1">
        <f t="array" aca="1" ref="F33" ca="1">OFFSET(E33,-1,1)</f>
        <v>0</v>
      </c>
      <c r="H33" s="41" t="s">
        <v>434</v>
      </c>
      <c r="T33" s="381" t="b" cm="1">
        <f t="array" ref="T33">T32</f>
        <v>0</v>
      </c>
      <c r="X33" s="1755"/>
      <c r="Z33" s="1787"/>
      <c r="AB33" s="138" t="s">
        <v>827</v>
      </c>
      <c r="AC33" s="676" t="s">
        <v>936</v>
      </c>
      <c r="AD33" s="835" t="s">
        <v>766</v>
      </c>
      <c r="AE33" s="1396"/>
      <c r="AF33" s="1396"/>
      <c r="AG33" s="1396"/>
      <c r="AH33" s="1396"/>
      <c r="AI33" s="686"/>
      <c r="AJ33" s="1396"/>
      <c r="AK33" s="1396"/>
      <c r="AL33" s="1396"/>
      <c r="AM33" s="1396"/>
      <c r="AN33" s="1396"/>
      <c r="AO33" s="1396"/>
      <c r="AP33" s="1396"/>
      <c r="AQ33" s="1396"/>
      <c r="AR33" s="1396"/>
      <c r="AS33" s="686"/>
      <c r="AT33" s="1396"/>
      <c r="AU33" s="1396"/>
      <c r="AV33" s="1396"/>
      <c r="AW33" s="1396"/>
      <c r="AX33" s="1396"/>
      <c r="AY33" s="1396"/>
      <c r="AZ33" s="1396"/>
      <c r="BA33" s="1396"/>
      <c r="BB33" s="1396"/>
      <c r="BC33" s="1361"/>
      <c r="BF33" s="899" t="s">
        <v>937</v>
      </c>
    </row>
    <row r="34" spans="1:58" s="1210" customFormat="1" ht="14.65" hidden="1" customHeight="1">
      <c r="B34" s="345"/>
      <c r="D34" s="41" t="s">
        <v>938</v>
      </c>
      <c r="E34" s="535">
        <v>15</v>
      </c>
      <c r="F34" s="3" cm="1">
        <f t="array" aca="1" ref="F34" ca="1">OFFSET(E34,-1,1)</f>
        <v>0</v>
      </c>
      <c r="H34" s="41" t="s">
        <v>438</v>
      </c>
      <c r="T34" s="381" t="b" cm="1">
        <f t="array" ref="T34">T33</f>
        <v>0</v>
      </c>
      <c r="X34" s="1755"/>
      <c r="Z34" s="1787"/>
      <c r="AB34" s="138" t="s">
        <v>830</v>
      </c>
      <c r="AC34" s="676" t="s">
        <v>939</v>
      </c>
      <c r="AD34" s="835" t="s">
        <v>766</v>
      </c>
      <c r="AE34" s="1396">
        <f t="shared" ref="AE34:BB34" si="3">SUM(AE35:AE36)</f>
        <v>0</v>
      </c>
      <c r="AF34" s="1396">
        <f t="shared" si="3"/>
        <v>0</v>
      </c>
      <c r="AG34" s="1396">
        <f t="shared" si="3"/>
        <v>0</v>
      </c>
      <c r="AH34" s="1396">
        <f t="shared" si="3"/>
        <v>0</v>
      </c>
      <c r="AI34" s="686">
        <f t="shared" si="3"/>
        <v>0</v>
      </c>
      <c r="AJ34" s="1396">
        <f t="shared" si="3"/>
        <v>0</v>
      </c>
      <c r="AK34" s="1396">
        <f t="shared" si="3"/>
        <v>0</v>
      </c>
      <c r="AL34" s="1396">
        <f t="shared" si="3"/>
        <v>0</v>
      </c>
      <c r="AM34" s="1396">
        <f t="shared" si="3"/>
        <v>0</v>
      </c>
      <c r="AN34" s="1396">
        <f t="shared" si="3"/>
        <v>0</v>
      </c>
      <c r="AO34" s="1396">
        <f t="shared" si="3"/>
        <v>0</v>
      </c>
      <c r="AP34" s="1396">
        <f t="shared" si="3"/>
        <v>0</v>
      </c>
      <c r="AQ34" s="1396">
        <f t="shared" si="3"/>
        <v>0</v>
      </c>
      <c r="AR34" s="1396">
        <f t="shared" si="3"/>
        <v>0</v>
      </c>
      <c r="AS34" s="686">
        <f t="shared" si="3"/>
        <v>0</v>
      </c>
      <c r="AT34" s="1396">
        <f t="shared" si="3"/>
        <v>0</v>
      </c>
      <c r="AU34" s="1396">
        <f t="shared" si="3"/>
        <v>0</v>
      </c>
      <c r="AV34" s="1396">
        <f t="shared" si="3"/>
        <v>0</v>
      </c>
      <c r="AW34" s="1396">
        <f t="shared" si="3"/>
        <v>0</v>
      </c>
      <c r="AX34" s="1396">
        <f t="shared" si="3"/>
        <v>0</v>
      </c>
      <c r="AY34" s="1396">
        <f t="shared" si="3"/>
        <v>0</v>
      </c>
      <c r="AZ34" s="1396">
        <f t="shared" si="3"/>
        <v>0</v>
      </c>
      <c r="BA34" s="1396">
        <f t="shared" si="3"/>
        <v>0</v>
      </c>
      <c r="BB34" s="1396">
        <f t="shared" si="3"/>
        <v>0</v>
      </c>
      <c r="BC34" s="1361"/>
      <c r="BF34" s="899" t="s">
        <v>940</v>
      </c>
    </row>
    <row r="35" spans="1:58" s="1210" customFormat="1" ht="35.1" hidden="1" customHeight="1">
      <c r="B35" s="345"/>
      <c r="E35" s="535">
        <v>36</v>
      </c>
      <c r="F35" s="3" cm="1">
        <f t="array" aca="1" ref="F35" ca="1">OFFSET(E35,-1,1)</f>
        <v>0</v>
      </c>
      <c r="T35" s="381" t="b" cm="1">
        <f t="array" ref="T35">T34</f>
        <v>0</v>
      </c>
      <c r="X35" s="1755"/>
      <c r="Z35" s="1787"/>
      <c r="AB35" s="138" t="s">
        <v>941</v>
      </c>
      <c r="AC35" s="676" t="s">
        <v>942</v>
      </c>
      <c r="AD35" s="835" t="s">
        <v>766</v>
      </c>
      <c r="AE35" s="1396"/>
      <c r="AF35" s="1396"/>
      <c r="AG35" s="1396"/>
      <c r="AH35" s="1396"/>
      <c r="AI35" s="686"/>
      <c r="AJ35" s="1396"/>
      <c r="AK35" s="1396"/>
      <c r="AL35" s="1396"/>
      <c r="AM35" s="1396"/>
      <c r="AN35" s="1396"/>
      <c r="AO35" s="1396"/>
      <c r="AP35" s="1396"/>
      <c r="AQ35" s="1396"/>
      <c r="AR35" s="1396"/>
      <c r="AS35" s="686"/>
      <c r="AT35" s="1396"/>
      <c r="AU35" s="1396"/>
      <c r="AV35" s="1396"/>
      <c r="AW35" s="1396"/>
      <c r="AX35" s="1396"/>
      <c r="AY35" s="1396"/>
      <c r="AZ35" s="1396"/>
      <c r="BA35" s="1396"/>
      <c r="BB35" s="1396"/>
      <c r="BC35" s="1361"/>
      <c r="BF35" s="899" t="s">
        <v>943</v>
      </c>
    </row>
    <row r="36" spans="1:58" s="1210" customFormat="1" ht="35.1" hidden="1" customHeight="1">
      <c r="B36" s="345"/>
      <c r="E36" s="535">
        <v>36</v>
      </c>
      <c r="F36" s="3" cm="1">
        <f t="array" aca="1" ref="F36" ca="1">OFFSET(E36,-1,1)</f>
        <v>0</v>
      </c>
      <c r="T36" s="381" t="b" cm="1">
        <f t="array" ref="T36">T35</f>
        <v>0</v>
      </c>
      <c r="X36" s="1755"/>
      <c r="Z36" s="1787"/>
      <c r="AB36" s="138" t="s">
        <v>944</v>
      </c>
      <c r="AC36" s="676" t="s">
        <v>945</v>
      </c>
      <c r="AD36" s="835" t="s">
        <v>766</v>
      </c>
      <c r="AE36" s="1396"/>
      <c r="AF36" s="1396"/>
      <c r="AG36" s="1396"/>
      <c r="AH36" s="1396"/>
      <c r="AI36" s="686"/>
      <c r="AJ36" s="1396"/>
      <c r="AK36" s="1396"/>
      <c r="AL36" s="1396"/>
      <c r="AM36" s="1396"/>
      <c r="AN36" s="1396"/>
      <c r="AO36" s="1396"/>
      <c r="AP36" s="1396"/>
      <c r="AQ36" s="1396"/>
      <c r="AR36" s="1396"/>
      <c r="AS36" s="686"/>
      <c r="AT36" s="1396"/>
      <c r="AU36" s="1396"/>
      <c r="AV36" s="1396"/>
      <c r="AW36" s="1396"/>
      <c r="AX36" s="1396"/>
      <c r="AY36" s="1396"/>
      <c r="AZ36" s="1396"/>
      <c r="BA36" s="1396"/>
      <c r="BB36" s="1396"/>
      <c r="BC36" s="1361"/>
      <c r="BF36" s="899" t="s">
        <v>946</v>
      </c>
    </row>
    <row r="37" spans="1:58" s="454" customFormat="1" ht="14.25" customHeight="1">
      <c r="A37" s="1210"/>
      <c r="B37" s="345"/>
      <c r="C37" s="1210"/>
      <c r="D37" s="1210"/>
      <c r="E37" s="535">
        <v>15</v>
      </c>
      <c r="F37" s="17" t="str" cm="1">
        <f t="array" ref="F37">X37</f>
        <v>1</v>
      </c>
      <c r="G37" s="1210"/>
      <c r="H37" s="1210"/>
      <c r="I37" s="1210"/>
      <c r="J37" s="1210"/>
      <c r="K37" s="1210"/>
      <c r="L37" s="1210"/>
      <c r="M37" s="1210"/>
      <c r="N37" s="1210"/>
      <c r="O37" s="1210"/>
      <c r="P37" s="1210"/>
      <c r="Q37" s="1210"/>
      <c r="R37" s="1210"/>
      <c r="S37" s="1210"/>
      <c r="T37" s="381" t="b">
        <f>X37&gt;0</f>
        <v>1</v>
      </c>
      <c r="U37" s="1210"/>
      <c r="V37" s="41" t="str" cm="1">
        <f t="array" ref="V37">'Амортизация (аналог)'!$AB$34</f>
        <v>Тариф 1 (Водоснабжение) - тариф на питьевую воду</v>
      </c>
      <c r="W37" s="1210"/>
      <c r="X37" s="1755" t="s">
        <v>281</v>
      </c>
      <c r="Y37" s="1210"/>
      <c r="Z37" s="1787"/>
      <c r="AA37" s="1210"/>
      <c r="AB37" s="140" t="str" cm="1">
        <f t="array" ref="AB37">'Амортизация (аналог)'!$AB$34</f>
        <v>Тариф 1 (Водоснабжение) - тариф на питьевую воду</v>
      </c>
      <c r="AC37" s="99"/>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128"/>
      <c r="BD37" s="1210"/>
      <c r="BE37" s="1210"/>
      <c r="BF37" s="899"/>
    </row>
    <row r="38" spans="1:58" s="454" customFormat="1" ht="71.25" customHeight="1">
      <c r="A38" s="1210"/>
      <c r="B38" s="345"/>
      <c r="C38" s="1210"/>
      <c r="D38" s="1210"/>
      <c r="E38" s="535">
        <v>73.5</v>
      </c>
      <c r="F38" s="3" t="str" cm="1">
        <f t="array" aca="1" ref="F38" ca="1">OFFSET(E38,-1,1)</f>
        <v>1</v>
      </c>
      <c r="G38" s="410" t="s">
        <v>919</v>
      </c>
      <c r="H38" s="41" t="s">
        <v>323</v>
      </c>
      <c r="I38" s="1210"/>
      <c r="J38" s="1210"/>
      <c r="K38" s="43" t="str">
        <f ca="1">F38&amp;"komm"</f>
        <v>1komm</v>
      </c>
      <c r="L38" s="825" cm="1">
        <f t="array" ref="L38">BC38</f>
        <v>0</v>
      </c>
      <c r="M38" s="1210"/>
      <c r="N38" s="1210"/>
      <c r="O38" s="1210"/>
      <c r="P38" s="1210"/>
      <c r="Q38" s="1210"/>
      <c r="R38" s="1210"/>
      <c r="S38" s="1210"/>
      <c r="T38" s="381" t="b" cm="1">
        <f t="array" ref="T38">T37</f>
        <v>1</v>
      </c>
      <c r="U38" s="1210"/>
      <c r="V38" s="1210"/>
      <c r="W38" s="1210"/>
      <c r="X38" s="1755"/>
      <c r="Y38" s="1210"/>
      <c r="Z38" s="1787"/>
      <c r="AA38" s="1210"/>
      <c r="AB38" s="136" t="s">
        <v>281</v>
      </c>
      <c r="AC38" s="137" t="s">
        <v>920</v>
      </c>
      <c r="AD38" s="123" t="s">
        <v>766</v>
      </c>
      <c r="AE38" s="687">
        <f t="shared" ref="AE38:BB38" si="4">AE39+AE42+AE43+AE44</f>
        <v>0</v>
      </c>
      <c r="AF38" s="687">
        <f t="shared" si="4"/>
        <v>0</v>
      </c>
      <c r="AG38" s="687">
        <f t="shared" si="4"/>
        <v>0</v>
      </c>
      <c r="AH38" s="687">
        <f t="shared" si="4"/>
        <v>0</v>
      </c>
      <c r="AI38" s="687">
        <f t="shared" si="4"/>
        <v>0</v>
      </c>
      <c r="AJ38" s="687">
        <f t="shared" si="4"/>
        <v>0</v>
      </c>
      <c r="AK38" s="687">
        <f t="shared" si="4"/>
        <v>0</v>
      </c>
      <c r="AL38" s="687">
        <f t="shared" si="4"/>
        <v>0</v>
      </c>
      <c r="AM38" s="687">
        <f t="shared" si="4"/>
        <v>0</v>
      </c>
      <c r="AN38" s="687">
        <f t="shared" si="4"/>
        <v>0</v>
      </c>
      <c r="AO38" s="687">
        <f t="shared" si="4"/>
        <v>0</v>
      </c>
      <c r="AP38" s="687">
        <f t="shared" si="4"/>
        <v>0</v>
      </c>
      <c r="AQ38" s="687">
        <f t="shared" si="4"/>
        <v>0</v>
      </c>
      <c r="AR38" s="687">
        <f t="shared" si="4"/>
        <v>0</v>
      </c>
      <c r="AS38" s="687">
        <f t="shared" si="4"/>
        <v>0</v>
      </c>
      <c r="AT38" s="687">
        <f t="shared" si="4"/>
        <v>0</v>
      </c>
      <c r="AU38" s="687">
        <f t="shared" si="4"/>
        <v>0</v>
      </c>
      <c r="AV38" s="687">
        <f t="shared" si="4"/>
        <v>0</v>
      </c>
      <c r="AW38" s="687">
        <f t="shared" si="4"/>
        <v>0</v>
      </c>
      <c r="AX38" s="687">
        <f t="shared" si="4"/>
        <v>0</v>
      </c>
      <c r="AY38" s="687">
        <f t="shared" si="4"/>
        <v>0</v>
      </c>
      <c r="AZ38" s="687">
        <f t="shared" si="4"/>
        <v>0</v>
      </c>
      <c r="BA38" s="687">
        <f t="shared" si="4"/>
        <v>0</v>
      </c>
      <c r="BB38" s="687">
        <f t="shared" si="4"/>
        <v>0</v>
      </c>
      <c r="BC38" s="118"/>
      <c r="BD38" s="1210"/>
      <c r="BE38" s="1210"/>
      <c r="BF38" s="942" t="s">
        <v>921</v>
      </c>
    </row>
    <row r="39" spans="1:58" s="454" customFormat="1" ht="14.25" customHeight="1">
      <c r="A39" s="1210"/>
      <c r="B39" s="345"/>
      <c r="C39" s="1210"/>
      <c r="D39" s="41" t="s">
        <v>922</v>
      </c>
      <c r="E39" s="535">
        <v>15</v>
      </c>
      <c r="F39" s="3" t="str" cm="1">
        <f t="array" aca="1" ref="F39" ca="1">OFFSET(E39,-1,1)</f>
        <v>1</v>
      </c>
      <c r="G39" s="1210"/>
      <c r="H39" s="41" t="s">
        <v>427</v>
      </c>
      <c r="I39" s="1210"/>
      <c r="J39" s="1210"/>
      <c r="K39" s="1210"/>
      <c r="L39" s="1210"/>
      <c r="M39" s="1210"/>
      <c r="N39" s="1210"/>
      <c r="O39" s="1210"/>
      <c r="P39" s="1210"/>
      <c r="Q39" s="1210"/>
      <c r="R39" s="1210"/>
      <c r="S39" s="1210"/>
      <c r="T39" s="381" t="b" cm="1">
        <f t="array" ref="T39">T38</f>
        <v>1</v>
      </c>
      <c r="U39" s="1210"/>
      <c r="V39" s="1210"/>
      <c r="W39" s="1210"/>
      <c r="X39" s="1755"/>
      <c r="Y39" s="1210"/>
      <c r="Z39" s="1787"/>
      <c r="AA39" s="1210"/>
      <c r="AB39" s="138" t="s">
        <v>821</v>
      </c>
      <c r="AC39" s="676" t="s">
        <v>922</v>
      </c>
      <c r="AD39" s="835" t="s">
        <v>766</v>
      </c>
      <c r="AE39" s="686">
        <f t="shared" ref="AE39:BB39" si="5">SUM(AE40:AE41)</f>
        <v>0</v>
      </c>
      <c r="AF39" s="686">
        <f t="shared" si="5"/>
        <v>0</v>
      </c>
      <c r="AG39" s="686">
        <f t="shared" si="5"/>
        <v>0</v>
      </c>
      <c r="AH39" s="686">
        <f t="shared" si="5"/>
        <v>0</v>
      </c>
      <c r="AI39" s="686">
        <f t="shared" si="5"/>
        <v>0</v>
      </c>
      <c r="AJ39" s="686">
        <f t="shared" si="5"/>
        <v>0</v>
      </c>
      <c r="AK39" s="686">
        <f t="shared" si="5"/>
        <v>0</v>
      </c>
      <c r="AL39" s="686">
        <f t="shared" si="5"/>
        <v>0</v>
      </c>
      <c r="AM39" s="686">
        <f t="shared" si="5"/>
        <v>0</v>
      </c>
      <c r="AN39" s="686">
        <f t="shared" si="5"/>
        <v>0</v>
      </c>
      <c r="AO39" s="686">
        <f t="shared" si="5"/>
        <v>0</v>
      </c>
      <c r="AP39" s="686">
        <f t="shared" si="5"/>
        <v>0</v>
      </c>
      <c r="AQ39" s="686">
        <f t="shared" si="5"/>
        <v>0</v>
      </c>
      <c r="AR39" s="686">
        <f t="shared" si="5"/>
        <v>0</v>
      </c>
      <c r="AS39" s="686">
        <f t="shared" si="5"/>
        <v>0</v>
      </c>
      <c r="AT39" s="686">
        <f t="shared" si="5"/>
        <v>0</v>
      </c>
      <c r="AU39" s="686">
        <f t="shared" si="5"/>
        <v>0</v>
      </c>
      <c r="AV39" s="686">
        <f t="shared" si="5"/>
        <v>0</v>
      </c>
      <c r="AW39" s="686">
        <f t="shared" si="5"/>
        <v>0</v>
      </c>
      <c r="AX39" s="686">
        <f t="shared" si="5"/>
        <v>0</v>
      </c>
      <c r="AY39" s="686">
        <f t="shared" si="5"/>
        <v>0</v>
      </c>
      <c r="AZ39" s="686">
        <f t="shared" si="5"/>
        <v>0</v>
      </c>
      <c r="BA39" s="686">
        <f t="shared" si="5"/>
        <v>0</v>
      </c>
      <c r="BB39" s="686">
        <f t="shared" si="5"/>
        <v>0</v>
      </c>
      <c r="BC39" s="118"/>
      <c r="BD39" s="1210"/>
      <c r="BE39" s="1210"/>
      <c r="BF39" s="942" t="s">
        <v>923</v>
      </c>
    </row>
    <row r="40" spans="1:58" s="454" customFormat="1" ht="23.25" customHeight="1">
      <c r="A40" s="1210"/>
      <c r="B40" s="345"/>
      <c r="C40" s="1210"/>
      <c r="D40" s="1210"/>
      <c r="E40" s="535">
        <v>24</v>
      </c>
      <c r="F40" s="3" t="str" cm="1">
        <f t="array" aca="1" ref="F40" ca="1">OFFSET(E40,-1,1)</f>
        <v>1</v>
      </c>
      <c r="G40" s="1210"/>
      <c r="H40" s="41" t="s">
        <v>924</v>
      </c>
      <c r="I40" s="1210"/>
      <c r="J40" s="1210"/>
      <c r="K40" s="1210"/>
      <c r="L40" s="1210"/>
      <c r="M40" s="1210"/>
      <c r="N40" s="1210"/>
      <c r="O40" s="1210"/>
      <c r="P40" s="1210"/>
      <c r="Q40" s="1210"/>
      <c r="R40" s="1210"/>
      <c r="S40" s="1210"/>
      <c r="T40" s="381" t="b" cm="1">
        <f t="array" ref="T40">T39</f>
        <v>1</v>
      </c>
      <c r="U40" s="1210"/>
      <c r="V40" s="1210"/>
      <c r="W40" s="1210"/>
      <c r="X40" s="1755"/>
      <c r="Y40" s="1210"/>
      <c r="Z40" s="1787"/>
      <c r="AA40" s="1210"/>
      <c r="AB40" s="138" t="s">
        <v>925</v>
      </c>
      <c r="AC40" s="679" t="s">
        <v>926</v>
      </c>
      <c r="AD40" s="835" t="s">
        <v>766</v>
      </c>
      <c r="AE40" s="686"/>
      <c r="AF40" s="686"/>
      <c r="AG40" s="686"/>
      <c r="AH40" s="686"/>
      <c r="AI40" s="686"/>
      <c r="AJ40" s="686"/>
      <c r="AK40" s="686"/>
      <c r="AL40" s="686"/>
      <c r="AM40" s="686"/>
      <c r="AN40" s="686"/>
      <c r="AO40" s="686"/>
      <c r="AP40" s="686"/>
      <c r="AQ40" s="686"/>
      <c r="AR40" s="686"/>
      <c r="AS40" s="686"/>
      <c r="AT40" s="686"/>
      <c r="AU40" s="686"/>
      <c r="AV40" s="686"/>
      <c r="AW40" s="686"/>
      <c r="AX40" s="686"/>
      <c r="AY40" s="686"/>
      <c r="AZ40" s="686"/>
      <c r="BA40" s="686"/>
      <c r="BB40" s="686"/>
      <c r="BC40" s="118"/>
      <c r="BD40" s="1210"/>
      <c r="BE40" s="1210"/>
      <c r="BF40" s="899" t="s">
        <v>927</v>
      </c>
    </row>
    <row r="41" spans="1:58" s="454" customFormat="1" ht="14.25" customHeight="1">
      <c r="A41" s="1210"/>
      <c r="B41" s="345"/>
      <c r="C41" s="1210"/>
      <c r="D41" s="1210"/>
      <c r="E41" s="535">
        <v>15</v>
      </c>
      <c r="F41" s="3" t="str" cm="1">
        <f t="array" aca="1" ref="F41" ca="1">OFFSET(E41,-1,1)</f>
        <v>1</v>
      </c>
      <c r="G41" s="1210"/>
      <c r="H41" s="41" t="s">
        <v>928</v>
      </c>
      <c r="I41" s="1210"/>
      <c r="J41" s="1210"/>
      <c r="K41" s="1210"/>
      <c r="L41" s="1210"/>
      <c r="M41" s="1210"/>
      <c r="N41" s="1210"/>
      <c r="O41" s="1210"/>
      <c r="P41" s="1210"/>
      <c r="Q41" s="1210"/>
      <c r="R41" s="1210"/>
      <c r="S41" s="1210"/>
      <c r="T41" s="381" t="b" cm="1">
        <f t="array" ref="T41">T40</f>
        <v>1</v>
      </c>
      <c r="U41" s="1210"/>
      <c r="V41" s="1210"/>
      <c r="W41" s="1210"/>
      <c r="X41" s="1755"/>
      <c r="Y41" s="1210"/>
      <c r="Z41" s="1787"/>
      <c r="AA41" s="1210"/>
      <c r="AB41" s="138" t="s">
        <v>929</v>
      </c>
      <c r="AC41" s="679" t="s">
        <v>930</v>
      </c>
      <c r="AD41" s="835" t="s">
        <v>766</v>
      </c>
      <c r="AE41" s="686"/>
      <c r="AF41" s="686"/>
      <c r="AG41" s="686"/>
      <c r="AH41" s="686"/>
      <c r="AI41" s="686"/>
      <c r="AJ41" s="686"/>
      <c r="AK41" s="686"/>
      <c r="AL41" s="686"/>
      <c r="AM41" s="686"/>
      <c r="AN41" s="686"/>
      <c r="AO41" s="686"/>
      <c r="AP41" s="686"/>
      <c r="AQ41" s="686"/>
      <c r="AR41" s="686"/>
      <c r="AS41" s="686"/>
      <c r="AT41" s="686"/>
      <c r="AU41" s="686"/>
      <c r="AV41" s="686"/>
      <c r="AW41" s="686"/>
      <c r="AX41" s="686"/>
      <c r="AY41" s="686"/>
      <c r="AZ41" s="686"/>
      <c r="BA41" s="686"/>
      <c r="BB41" s="686"/>
      <c r="BC41" s="118"/>
      <c r="BD41" s="1210"/>
      <c r="BE41" s="1210"/>
      <c r="BF41" s="899" t="s">
        <v>931</v>
      </c>
    </row>
    <row r="42" spans="1:58" s="454" customFormat="1" ht="14.25" customHeight="1">
      <c r="A42" s="1210"/>
      <c r="B42" s="345"/>
      <c r="C42" s="1210"/>
      <c r="D42" s="41" t="s">
        <v>932</v>
      </c>
      <c r="E42" s="535">
        <v>15</v>
      </c>
      <c r="F42" s="3" t="str" cm="1">
        <f t="array" aca="1" ref="F42" ca="1">OFFSET(E42,-1,1)</f>
        <v>1</v>
      </c>
      <c r="G42" s="1210"/>
      <c r="H42" s="41" t="s">
        <v>431</v>
      </c>
      <c r="I42" s="1210"/>
      <c r="J42" s="1210"/>
      <c r="K42" s="1210"/>
      <c r="L42" s="1210"/>
      <c r="M42" s="1210"/>
      <c r="N42" s="1210"/>
      <c r="O42" s="1210"/>
      <c r="P42" s="1210"/>
      <c r="Q42" s="1210"/>
      <c r="R42" s="1210"/>
      <c r="S42" s="1210"/>
      <c r="T42" s="381" t="b" cm="1">
        <f t="array" ref="T42">T41</f>
        <v>1</v>
      </c>
      <c r="U42" s="1210"/>
      <c r="V42" s="1210"/>
      <c r="W42" s="1210"/>
      <c r="X42" s="1755"/>
      <c r="Y42" s="1210"/>
      <c r="Z42" s="1787"/>
      <c r="AA42" s="1210"/>
      <c r="AB42" s="138" t="s">
        <v>824</v>
      </c>
      <c r="AC42" s="836" t="s">
        <v>933</v>
      </c>
      <c r="AD42" s="835" t="s">
        <v>766</v>
      </c>
      <c r="AE42" s="686"/>
      <c r="AF42" s="686"/>
      <c r="AG42" s="686"/>
      <c r="AH42" s="686"/>
      <c r="AI42" s="686"/>
      <c r="AJ42" s="686"/>
      <c r="AK42" s="686"/>
      <c r="AL42" s="686"/>
      <c r="AM42" s="686"/>
      <c r="AN42" s="686"/>
      <c r="AO42" s="686"/>
      <c r="AP42" s="686"/>
      <c r="AQ42" s="686"/>
      <c r="AR42" s="686"/>
      <c r="AS42" s="686"/>
      <c r="AT42" s="686"/>
      <c r="AU42" s="686"/>
      <c r="AV42" s="686"/>
      <c r="AW42" s="686"/>
      <c r="AX42" s="686"/>
      <c r="AY42" s="686"/>
      <c r="AZ42" s="686"/>
      <c r="BA42" s="686"/>
      <c r="BB42" s="686"/>
      <c r="BC42" s="118"/>
      <c r="BD42" s="1210"/>
      <c r="BE42" s="1210"/>
      <c r="BF42" s="899" t="s">
        <v>934</v>
      </c>
    </row>
    <row r="43" spans="1:58" s="454" customFormat="1" ht="14.25" customHeight="1">
      <c r="A43" s="1210"/>
      <c r="B43" s="345"/>
      <c r="C43" s="1210"/>
      <c r="D43" s="41" t="s">
        <v>935</v>
      </c>
      <c r="E43" s="535">
        <v>15</v>
      </c>
      <c r="F43" s="3" t="str" cm="1">
        <f t="array" aca="1" ref="F43" ca="1">OFFSET(E43,-1,1)</f>
        <v>1</v>
      </c>
      <c r="G43" s="1210"/>
      <c r="H43" s="41" t="s">
        <v>434</v>
      </c>
      <c r="I43" s="1210"/>
      <c r="J43" s="1210"/>
      <c r="K43" s="1210"/>
      <c r="L43" s="1210"/>
      <c r="M43" s="1210"/>
      <c r="N43" s="1210"/>
      <c r="O43" s="1210"/>
      <c r="P43" s="1210"/>
      <c r="Q43" s="1210"/>
      <c r="R43" s="1210"/>
      <c r="S43" s="1210"/>
      <c r="T43" s="381" t="b" cm="1">
        <f t="array" ref="T43">T42</f>
        <v>1</v>
      </c>
      <c r="U43" s="1210"/>
      <c r="V43" s="1210"/>
      <c r="W43" s="1210"/>
      <c r="X43" s="1755"/>
      <c r="Y43" s="1210"/>
      <c r="Z43" s="1787"/>
      <c r="AA43" s="1210"/>
      <c r="AB43" s="138" t="s">
        <v>827</v>
      </c>
      <c r="AC43" s="676" t="s">
        <v>936</v>
      </c>
      <c r="AD43" s="835" t="s">
        <v>766</v>
      </c>
      <c r="AE43" s="686"/>
      <c r="AF43" s="686"/>
      <c r="AG43" s="686"/>
      <c r="AH43" s="686"/>
      <c r="AI43" s="686"/>
      <c r="AJ43" s="686"/>
      <c r="AK43" s="686"/>
      <c r="AL43" s="686"/>
      <c r="AM43" s="686"/>
      <c r="AN43" s="686"/>
      <c r="AO43" s="686"/>
      <c r="AP43" s="686"/>
      <c r="AQ43" s="686"/>
      <c r="AR43" s="686"/>
      <c r="AS43" s="686"/>
      <c r="AT43" s="686"/>
      <c r="AU43" s="686"/>
      <c r="AV43" s="686"/>
      <c r="AW43" s="686"/>
      <c r="AX43" s="686"/>
      <c r="AY43" s="686"/>
      <c r="AZ43" s="686"/>
      <c r="BA43" s="686"/>
      <c r="BB43" s="686"/>
      <c r="BC43" s="118"/>
      <c r="BD43" s="1210"/>
      <c r="BE43" s="1210"/>
      <c r="BF43" s="899" t="s">
        <v>937</v>
      </c>
    </row>
    <row r="44" spans="1:58" s="454" customFormat="1" ht="14.25" customHeight="1">
      <c r="A44" s="1210"/>
      <c r="B44" s="345"/>
      <c r="C44" s="1210"/>
      <c r="D44" s="41" t="s">
        <v>938</v>
      </c>
      <c r="E44" s="535">
        <v>15</v>
      </c>
      <c r="F44" s="3" t="str" cm="1">
        <f t="array" aca="1" ref="F44" ca="1">OFFSET(E44,-1,1)</f>
        <v>1</v>
      </c>
      <c r="G44" s="1210"/>
      <c r="H44" s="41" t="s">
        <v>438</v>
      </c>
      <c r="I44" s="1210"/>
      <c r="J44" s="1210"/>
      <c r="K44" s="1210"/>
      <c r="L44" s="1210"/>
      <c r="M44" s="1210"/>
      <c r="N44" s="1210"/>
      <c r="O44" s="1210"/>
      <c r="P44" s="1210"/>
      <c r="Q44" s="1210"/>
      <c r="R44" s="1210"/>
      <c r="S44" s="1210"/>
      <c r="T44" s="381" t="b" cm="1">
        <f t="array" ref="T44">T43</f>
        <v>1</v>
      </c>
      <c r="U44" s="1210"/>
      <c r="V44" s="1210"/>
      <c r="W44" s="1210"/>
      <c r="X44" s="1755"/>
      <c r="Y44" s="1210"/>
      <c r="Z44" s="1787"/>
      <c r="AA44" s="1210"/>
      <c r="AB44" s="138" t="s">
        <v>830</v>
      </c>
      <c r="AC44" s="676" t="s">
        <v>939</v>
      </c>
      <c r="AD44" s="835" t="s">
        <v>766</v>
      </c>
      <c r="AE44" s="686">
        <f t="shared" ref="AE44:BB44" si="6">SUM(AE45:AE46)</f>
        <v>0</v>
      </c>
      <c r="AF44" s="686">
        <f t="shared" si="6"/>
        <v>0</v>
      </c>
      <c r="AG44" s="686">
        <f t="shared" si="6"/>
        <v>0</v>
      </c>
      <c r="AH44" s="686">
        <f t="shared" si="6"/>
        <v>0</v>
      </c>
      <c r="AI44" s="686">
        <f t="shared" si="6"/>
        <v>0</v>
      </c>
      <c r="AJ44" s="686">
        <f t="shared" si="6"/>
        <v>0</v>
      </c>
      <c r="AK44" s="686">
        <f t="shared" si="6"/>
        <v>0</v>
      </c>
      <c r="AL44" s="686">
        <f t="shared" si="6"/>
        <v>0</v>
      </c>
      <c r="AM44" s="686">
        <f t="shared" si="6"/>
        <v>0</v>
      </c>
      <c r="AN44" s="686">
        <f t="shared" si="6"/>
        <v>0</v>
      </c>
      <c r="AO44" s="686">
        <f t="shared" si="6"/>
        <v>0</v>
      </c>
      <c r="AP44" s="686">
        <f t="shared" si="6"/>
        <v>0</v>
      </c>
      <c r="AQ44" s="686">
        <f t="shared" si="6"/>
        <v>0</v>
      </c>
      <c r="AR44" s="686">
        <f t="shared" si="6"/>
        <v>0</v>
      </c>
      <c r="AS44" s="686">
        <f t="shared" si="6"/>
        <v>0</v>
      </c>
      <c r="AT44" s="686">
        <f t="shared" si="6"/>
        <v>0</v>
      </c>
      <c r="AU44" s="686">
        <f t="shared" si="6"/>
        <v>0</v>
      </c>
      <c r="AV44" s="686">
        <f t="shared" si="6"/>
        <v>0</v>
      </c>
      <c r="AW44" s="686">
        <f t="shared" si="6"/>
        <v>0</v>
      </c>
      <c r="AX44" s="686">
        <f t="shared" si="6"/>
        <v>0</v>
      </c>
      <c r="AY44" s="686">
        <f t="shared" si="6"/>
        <v>0</v>
      </c>
      <c r="AZ44" s="686">
        <f t="shared" si="6"/>
        <v>0</v>
      </c>
      <c r="BA44" s="686">
        <f t="shared" si="6"/>
        <v>0</v>
      </c>
      <c r="BB44" s="686">
        <f t="shared" si="6"/>
        <v>0</v>
      </c>
      <c r="BC44" s="118"/>
      <c r="BD44" s="1210"/>
      <c r="BE44" s="1210"/>
      <c r="BF44" s="899" t="s">
        <v>940</v>
      </c>
    </row>
    <row r="45" spans="1:58" s="454" customFormat="1" ht="34.5" customHeight="1">
      <c r="A45" s="1210"/>
      <c r="B45" s="345"/>
      <c r="C45" s="1210"/>
      <c r="D45" s="1210"/>
      <c r="E45" s="535">
        <v>36</v>
      </c>
      <c r="F45" s="3" t="str" cm="1">
        <f t="array" aca="1" ref="F45" ca="1">OFFSET(E45,-1,1)</f>
        <v>1</v>
      </c>
      <c r="G45" s="1210"/>
      <c r="H45" s="1210"/>
      <c r="I45" s="1210"/>
      <c r="J45" s="1210"/>
      <c r="K45" s="1210"/>
      <c r="L45" s="1210"/>
      <c r="M45" s="1210"/>
      <c r="N45" s="1210"/>
      <c r="O45" s="1210"/>
      <c r="P45" s="1210"/>
      <c r="Q45" s="1210"/>
      <c r="R45" s="1210"/>
      <c r="S45" s="1210"/>
      <c r="T45" s="381" t="b" cm="1">
        <f t="array" ref="T45">T44</f>
        <v>1</v>
      </c>
      <c r="U45" s="1210"/>
      <c r="V45" s="1210"/>
      <c r="W45" s="1210"/>
      <c r="X45" s="1755"/>
      <c r="Y45" s="1210"/>
      <c r="Z45" s="1787"/>
      <c r="AA45" s="1210"/>
      <c r="AB45" s="138" t="s">
        <v>941</v>
      </c>
      <c r="AC45" s="676" t="s">
        <v>942</v>
      </c>
      <c r="AD45" s="835" t="s">
        <v>766</v>
      </c>
      <c r="AE45" s="686"/>
      <c r="AF45" s="686"/>
      <c r="AG45" s="686"/>
      <c r="AH45" s="686"/>
      <c r="AI45" s="686"/>
      <c r="AJ45" s="686"/>
      <c r="AK45" s="686"/>
      <c r="AL45" s="686"/>
      <c r="AM45" s="686"/>
      <c r="AN45" s="686"/>
      <c r="AO45" s="686"/>
      <c r="AP45" s="686"/>
      <c r="AQ45" s="686"/>
      <c r="AR45" s="686"/>
      <c r="AS45" s="686"/>
      <c r="AT45" s="686"/>
      <c r="AU45" s="686"/>
      <c r="AV45" s="686"/>
      <c r="AW45" s="686"/>
      <c r="AX45" s="686"/>
      <c r="AY45" s="686"/>
      <c r="AZ45" s="686"/>
      <c r="BA45" s="686"/>
      <c r="BB45" s="686"/>
      <c r="BC45" s="118"/>
      <c r="BD45" s="1210"/>
      <c r="BE45" s="1210"/>
      <c r="BF45" s="899" t="s">
        <v>943</v>
      </c>
    </row>
    <row r="46" spans="1:58" s="454" customFormat="1" ht="34.5" customHeight="1">
      <c r="A46" s="1210"/>
      <c r="B46" s="345"/>
      <c r="C46" s="1210"/>
      <c r="D46" s="1210"/>
      <c r="E46" s="535">
        <v>36</v>
      </c>
      <c r="F46" s="3" t="str" cm="1">
        <f t="array" aca="1" ref="F46" ca="1">OFFSET(E46,-1,1)</f>
        <v>1</v>
      </c>
      <c r="G46" s="1210"/>
      <c r="H46" s="1210"/>
      <c r="I46" s="1210"/>
      <c r="J46" s="1210"/>
      <c r="K46" s="1210"/>
      <c r="L46" s="1210"/>
      <c r="M46" s="1210"/>
      <c r="N46" s="1210"/>
      <c r="O46" s="1210"/>
      <c r="P46" s="1210"/>
      <c r="Q46" s="1210"/>
      <c r="R46" s="1210"/>
      <c r="S46" s="1210"/>
      <c r="T46" s="381" t="b" cm="1">
        <f t="array" ref="T46">T45</f>
        <v>1</v>
      </c>
      <c r="U46" s="1210"/>
      <c r="V46" s="1210"/>
      <c r="W46" s="1210"/>
      <c r="X46" s="1755"/>
      <c r="Y46" s="1210"/>
      <c r="Z46" s="1787"/>
      <c r="AA46" s="1210"/>
      <c r="AB46" s="138" t="s">
        <v>944</v>
      </c>
      <c r="AC46" s="676" t="s">
        <v>945</v>
      </c>
      <c r="AD46" s="835" t="s">
        <v>766</v>
      </c>
      <c r="AE46" s="686"/>
      <c r="AF46" s="686"/>
      <c r="AG46" s="686"/>
      <c r="AH46" s="686"/>
      <c r="AI46" s="686"/>
      <c r="AJ46" s="686"/>
      <c r="AK46" s="686"/>
      <c r="AL46" s="686"/>
      <c r="AM46" s="686"/>
      <c r="AN46" s="686"/>
      <c r="AO46" s="686"/>
      <c r="AP46" s="686"/>
      <c r="AQ46" s="686"/>
      <c r="AR46" s="686"/>
      <c r="AS46" s="686"/>
      <c r="AT46" s="686"/>
      <c r="AU46" s="686"/>
      <c r="AV46" s="686"/>
      <c r="AW46" s="686"/>
      <c r="AX46" s="686"/>
      <c r="AY46" s="686"/>
      <c r="AZ46" s="686"/>
      <c r="BA46" s="686"/>
      <c r="BB46" s="686"/>
      <c r="BC46" s="118"/>
      <c r="BD46" s="1210"/>
      <c r="BE46" s="1210"/>
      <c r="BF46" s="899" t="s">
        <v>946</v>
      </c>
    </row>
    <row r="47" spans="1:58" ht="10.9" customHeight="1">
      <c r="E47" s="593">
        <v>11.25</v>
      </c>
      <c r="U47" s="68" t="s">
        <v>177</v>
      </c>
      <c r="V47" s="59" t="s">
        <v>947</v>
      </c>
    </row>
    <row r="48" spans="1:58" ht="14.65" customHeight="1">
      <c r="E48" s="593">
        <v>15</v>
      </c>
      <c r="AA48" s="17"/>
      <c r="AB48" s="1758" t="s">
        <v>394</v>
      </c>
      <c r="AC48" s="1758"/>
      <c r="AD48" s="1758"/>
      <c r="AE48" s="1758"/>
      <c r="AF48" s="1758"/>
      <c r="AG48" s="1758"/>
      <c r="AH48" s="1758"/>
      <c r="AI48" s="1789"/>
      <c r="AJ48" s="1789"/>
      <c r="AK48" s="1789"/>
      <c r="AL48" s="1789"/>
      <c r="AM48" s="1789"/>
      <c r="AN48" s="1789"/>
      <c r="AO48" s="1789"/>
      <c r="AP48" s="1789"/>
      <c r="AQ48" s="1789"/>
      <c r="AR48" s="1789"/>
      <c r="AS48" s="1789"/>
      <c r="AT48" s="1789"/>
      <c r="AU48" s="1789"/>
      <c r="AV48" s="1789"/>
      <c r="AW48" s="1789"/>
      <c r="AX48" s="1789"/>
      <c r="AY48" s="1789"/>
      <c r="AZ48" s="1789"/>
      <c r="BA48" s="1789"/>
      <c r="BB48" s="1789"/>
      <c r="BC48" s="1789"/>
      <c r="BD48" s="17"/>
    </row>
    <row r="49" spans="5:56" ht="14.65" customHeight="1">
      <c r="E49" s="593">
        <v>15</v>
      </c>
      <c r="AA49" s="92"/>
      <c r="AB49" s="1790"/>
      <c r="AC49" s="1790"/>
      <c r="AD49" s="1790"/>
      <c r="AE49" s="1790"/>
      <c r="AF49" s="1790"/>
      <c r="AG49" s="1790"/>
      <c r="AH49" s="1790"/>
      <c r="AI49" s="1791"/>
      <c r="AJ49" s="1803"/>
      <c r="AK49" s="1803"/>
      <c r="AL49" s="1803"/>
      <c r="AM49" s="1803"/>
      <c r="AN49" s="1803"/>
      <c r="AO49" s="1803"/>
      <c r="AP49" s="1803"/>
      <c r="AQ49" s="1803"/>
      <c r="AR49" s="1803"/>
      <c r="AS49" s="1791"/>
      <c r="AT49" s="1803"/>
      <c r="AU49" s="1803"/>
      <c r="AV49" s="1803"/>
      <c r="AW49" s="1803"/>
      <c r="AX49" s="1803"/>
      <c r="AY49" s="1803"/>
      <c r="AZ49" s="1803"/>
      <c r="BA49" s="1803"/>
      <c r="BB49" s="1803"/>
      <c r="BC49" s="1791"/>
      <c r="BD49" s="17"/>
    </row>
    <row r="50" spans="5:56" ht="14.65" hidden="1" customHeight="1">
      <c r="E50" s="593">
        <v>15</v>
      </c>
      <c r="T50" s="381" t="b">
        <f>ROW(W50)&gt;ROW(W$50)</f>
        <v>0</v>
      </c>
      <c r="W50" s="671" t="s">
        <v>173</v>
      </c>
      <c r="AA50" s="589" t="s">
        <v>174</v>
      </c>
      <c r="AB50" s="1802" t="s">
        <v>231</v>
      </c>
      <c r="AC50" s="1802"/>
      <c r="AD50" s="1802"/>
      <c r="AE50" s="1802"/>
      <c r="AF50" s="1802"/>
      <c r="AG50" s="1802"/>
      <c r="AH50" s="1802"/>
      <c r="AI50" s="1791"/>
      <c r="AJ50" s="1803"/>
      <c r="AK50" s="1803"/>
      <c r="AL50" s="1803"/>
      <c r="AM50" s="1803"/>
      <c r="AN50" s="1803"/>
      <c r="AO50" s="1803"/>
      <c r="AP50" s="1803"/>
      <c r="AQ50" s="1803"/>
      <c r="AR50" s="1803"/>
      <c r="AS50" s="1791"/>
      <c r="AT50" s="1803"/>
      <c r="AU50" s="1803"/>
      <c r="AV50" s="1803"/>
      <c r="AW50" s="1803"/>
      <c r="AX50" s="1803"/>
      <c r="AY50" s="1803"/>
      <c r="AZ50" s="1803"/>
      <c r="BA50" s="1803"/>
      <c r="BB50" s="1803"/>
      <c r="BC50" s="1803"/>
      <c r="BD50" s="17"/>
    </row>
    <row r="51" spans="5:56" ht="14.65" customHeight="1">
      <c r="E51" s="593">
        <v>15</v>
      </c>
      <c r="W51" s="671" t="s">
        <v>395</v>
      </c>
      <c r="AA51" s="17"/>
      <c r="AB51" s="564"/>
      <c r="AC51" s="430" t="s">
        <v>396</v>
      </c>
      <c r="AD51" s="224"/>
      <c r="AE51" s="224"/>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6"/>
      <c r="BD51" s="17"/>
    </row>
    <row r="52" spans="5:56" ht="10.9" customHeight="1">
      <c r="E52" s="593">
        <v>11.25</v>
      </c>
      <c r="BD52" s="343"/>
    </row>
  </sheetData>
  <sheetProtection formatColumns="0" formatRows="0" insertRows="0" deleteColumns="0" deleteRows="0" sort="0" autoFilter="0"/>
  <mergeCells count="11">
    <mergeCell ref="AB50:BC50"/>
    <mergeCell ref="AB48:BC48"/>
    <mergeCell ref="AB49:BC49"/>
    <mergeCell ref="X37:X46"/>
    <mergeCell ref="Z37:Z4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A30:BA36 BA40:BA46 AZ30:AZ36 AZ40:AZ46 AY30:AY36 AY40:AY46 AX30:AX36 AX40:AX46 AW30:AW36 AW40:AW46 AV30:AV36 AV40:AV46 AU30:AU36 AU40:AU46 AT30:AT36 AT40:AT46 AS30:AS36 AS40:AS46 AR30:AR36 AR40:AR46 AQ30:AQ36 AQ40:AQ46 AP30:AP36 AP40:AP46 AO30:AO36 AO40:AO46 AN30:AN36 AN40:AN46 AM30:AM36 AM40:AM46 AL30:AL36 AL40:AL46 AK30:AK36 AK40:AK46 AJ30:AJ36 AJ40:AJ46 AI30:AI36 AI40:AI46 AH30:AH36 AH40:AH46 AG30:AG36 AG40:AG46 AF30:AF36 AF40:AF46 AE30:AE36 AE40:AE46">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I4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42578125" style="1121" hidden="1" customWidth="1"/>
    <col min="2" max="2" width="6.7109375" style="1121" hidden="1" customWidth="1"/>
    <col min="3" max="4" width="2.7109375" style="1121" hidden="1" customWidth="1"/>
    <col min="5" max="5" width="3.7109375" style="1074" hidden="1" customWidth="1"/>
    <col min="6" max="19" width="2.7109375" style="1121" hidden="1" customWidth="1"/>
    <col min="20" max="20" width="8.140625" style="1121" hidden="1" customWidth="1"/>
    <col min="21" max="21" width="5.85546875" style="1121" hidden="1" customWidth="1"/>
    <col min="22" max="23" width="6.140625" style="1121" hidden="1" customWidth="1"/>
    <col min="24" max="25" width="5.5703125" style="1121" hidden="1" customWidth="1"/>
    <col min="26" max="26" width="5.28515625" style="1121" hidden="1" customWidth="1"/>
    <col min="27" max="27" width="3" style="1121" customWidth="1"/>
    <col min="28" max="28" width="11.7109375" style="1121" customWidth="1"/>
    <col min="29" max="29" width="41.7109375" style="1121" customWidth="1"/>
    <col min="30" max="30" width="15.7109375" style="1326" customWidth="1"/>
    <col min="31" max="32" width="12.5703125" style="1326" customWidth="1"/>
    <col min="33" max="33" width="8.7109375" style="1121"/>
    <col min="34" max="34" width="8.7109375" style="1121" hidden="1"/>
    <col min="35" max="35" width="8.7109375" style="1075" hidden="1"/>
  </cols>
  <sheetData>
    <row r="1" spans="1:35" ht="11.25" hidden="1" customHeight="1">
      <c r="E1" s="404"/>
      <c r="F1" s="404" t="s">
        <v>311</v>
      </c>
      <c r="G1" s="404" t="s">
        <v>322</v>
      </c>
      <c r="T1" s="381" t="s">
        <v>92</v>
      </c>
      <c r="U1" s="381" t="s">
        <v>97</v>
      </c>
      <c r="V1" s="381" t="s">
        <v>93</v>
      </c>
      <c r="W1" s="381" t="s">
        <v>94</v>
      </c>
      <c r="X1" s="381" t="s">
        <v>95</v>
      </c>
      <c r="Y1" s="1313" t="s">
        <v>313</v>
      </c>
      <c r="Z1" s="381" t="s">
        <v>99</v>
      </c>
      <c r="AA1" s="383" t="s">
        <v>96</v>
      </c>
      <c r="AB1" s="1314"/>
      <c r="AC1" s="1315" t="s">
        <v>98</v>
      </c>
      <c r="AI1" s="927" t="s">
        <v>314</v>
      </c>
    </row>
    <row r="2" spans="1:35" ht="11.25" hidden="1" customHeight="1">
      <c r="B2" s="1099" t="s">
        <v>18</v>
      </c>
      <c r="E2" s="404"/>
      <c r="T2" s="1316"/>
      <c r="U2" s="1316"/>
      <c r="V2" s="1316"/>
      <c r="W2" s="1316"/>
      <c r="X2" s="1316"/>
      <c r="Y2" s="436"/>
      <c r="Z2" s="1316"/>
      <c r="AA2" s="436"/>
      <c r="AB2" s="1317"/>
      <c r="AC2" s="1317"/>
      <c r="AE2" s="455" t="b">
        <f>AE13&lt;=last_year_vis</f>
        <v>1</v>
      </c>
      <c r="AF2" s="455" t="b">
        <f>AF13&lt;=last_year_vis</f>
        <v>1</v>
      </c>
    </row>
    <row r="3" spans="1:35" ht="11.25" hidden="1" customHeight="1">
      <c r="A3" s="332"/>
      <c r="B3" s="332"/>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I3" s="1100"/>
    </row>
    <row r="4" spans="1:35" ht="11.25" hidden="1" customHeight="1">
      <c r="A4" s="332"/>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I4" s="1100"/>
    </row>
    <row r="5" spans="1:35" s="1124" customFormat="1" ht="11.25" hidden="1" customHeight="1">
      <c r="A5" s="332"/>
      <c r="B5" s="332"/>
      <c r="C5" s="332"/>
      <c r="D5" s="332"/>
      <c r="E5" s="1101" t="s">
        <v>19</v>
      </c>
      <c r="F5" s="573"/>
      <c r="G5" s="573"/>
      <c r="H5" s="573"/>
      <c r="I5" s="573"/>
      <c r="J5" s="573"/>
      <c r="K5" s="573"/>
      <c r="L5" s="573"/>
      <c r="M5" s="573"/>
      <c r="N5" s="573"/>
      <c r="O5" s="573"/>
      <c r="P5" s="573"/>
      <c r="Q5" s="573"/>
      <c r="R5" s="573"/>
      <c r="S5" s="573"/>
      <c r="T5" s="573"/>
      <c r="U5" s="573"/>
      <c r="V5" s="573"/>
      <c r="W5" s="573"/>
      <c r="X5" s="573"/>
      <c r="Y5" s="573"/>
      <c r="Z5" s="573"/>
      <c r="AA5" s="573">
        <v>3</v>
      </c>
      <c r="AB5" s="1102" t="s">
        <v>948</v>
      </c>
      <c r="AC5" s="592">
        <v>41.71</v>
      </c>
      <c r="AD5" s="592">
        <v>15.71</v>
      </c>
      <c r="AE5" s="592">
        <v>12.57</v>
      </c>
      <c r="AF5" s="592">
        <v>12.57</v>
      </c>
      <c r="AG5" s="592" t="s">
        <v>321</v>
      </c>
      <c r="AI5" s="908"/>
    </row>
    <row r="6" spans="1:35" ht="11.25" hidden="1" customHeight="1">
      <c r="A6" s="332"/>
      <c r="B6" s="332"/>
      <c r="C6" s="332"/>
      <c r="D6" s="332"/>
      <c r="E6" s="573"/>
      <c r="F6" s="332"/>
      <c r="G6" s="332"/>
      <c r="H6" s="332"/>
      <c r="I6" s="332"/>
      <c r="J6" s="332"/>
      <c r="K6" s="332"/>
      <c r="L6" s="332"/>
      <c r="M6" s="332"/>
      <c r="N6" s="332"/>
      <c r="O6" s="332"/>
      <c r="P6" s="332"/>
      <c r="Q6" s="332"/>
      <c r="R6" s="332"/>
      <c r="S6" s="332"/>
      <c r="T6" s="332"/>
      <c r="U6" s="332"/>
      <c r="V6" s="332"/>
      <c r="W6" s="332"/>
      <c r="X6" s="332"/>
      <c r="Y6" s="332"/>
      <c r="Z6" s="332"/>
      <c r="AA6" s="332"/>
      <c r="AI6" s="1100"/>
    </row>
    <row r="7" spans="1:35" ht="11.25" hidden="1" customHeight="1">
      <c r="A7" s="332"/>
      <c r="B7" s="332"/>
      <c r="C7" s="332"/>
      <c r="D7" s="332"/>
      <c r="E7" s="573"/>
      <c r="F7" s="332"/>
      <c r="G7" s="332"/>
      <c r="H7" s="332"/>
      <c r="I7" s="332"/>
      <c r="J7" s="332"/>
      <c r="K7" s="332"/>
      <c r="L7" s="332"/>
      <c r="M7" s="332"/>
      <c r="N7" s="332"/>
      <c r="O7" s="332"/>
      <c r="P7" s="332"/>
      <c r="Q7" s="332"/>
      <c r="R7" s="332"/>
      <c r="S7" s="332"/>
      <c r="T7" s="332"/>
      <c r="U7" s="332"/>
      <c r="V7" s="332"/>
      <c r="W7" s="332"/>
      <c r="X7" s="332"/>
      <c r="Y7" s="332"/>
      <c r="Z7" s="332"/>
      <c r="AA7" s="332"/>
      <c r="AI7" s="1100"/>
    </row>
    <row r="8" spans="1:35" ht="11.25" hidden="1" customHeight="1">
      <c r="A8" s="332"/>
      <c r="B8" s="332"/>
      <c r="C8" s="332"/>
      <c r="D8" s="332"/>
      <c r="E8" s="573"/>
      <c r="F8" s="332"/>
      <c r="G8" s="332"/>
      <c r="H8" s="332"/>
      <c r="I8" s="332"/>
      <c r="J8" s="332"/>
      <c r="K8" s="332"/>
      <c r="L8" s="332"/>
      <c r="M8" s="332"/>
      <c r="N8" s="332"/>
      <c r="O8" s="332"/>
      <c r="P8" s="332"/>
      <c r="Q8" s="332"/>
      <c r="R8" s="332"/>
      <c r="S8" s="332"/>
      <c r="T8" s="332"/>
      <c r="U8" s="332"/>
      <c r="V8" s="332"/>
      <c r="W8" s="332"/>
      <c r="X8" s="332"/>
      <c r="Y8" s="332"/>
      <c r="Z8" s="332"/>
      <c r="AA8" s="332"/>
      <c r="AI8" s="1100"/>
    </row>
    <row r="9" spans="1:35" s="1100" customFormat="1" ht="11.25" hidden="1" customHeight="1">
      <c r="A9" s="1103" t="s">
        <v>355</v>
      </c>
      <c r="B9" s="903"/>
      <c r="C9" s="903"/>
      <c r="D9" s="903"/>
      <c r="E9" s="903"/>
      <c r="F9" s="903"/>
      <c r="G9" s="903"/>
      <c r="H9" s="903"/>
      <c r="I9" s="903"/>
      <c r="J9" s="903"/>
      <c r="K9" s="903"/>
      <c r="L9" s="903"/>
      <c r="M9" s="903"/>
      <c r="N9" s="903"/>
      <c r="O9" s="903"/>
      <c r="P9" s="903"/>
      <c r="Q9" s="903"/>
      <c r="R9" s="903"/>
      <c r="S9" s="903"/>
      <c r="T9" s="903"/>
      <c r="U9" s="903"/>
      <c r="V9" s="903"/>
      <c r="W9" s="903"/>
      <c r="X9" s="903"/>
      <c r="Y9" s="903"/>
      <c r="Z9" s="903"/>
      <c r="AA9" s="903"/>
    </row>
    <row r="10" spans="1:35" s="1100" customFormat="1" ht="11.25" hidden="1" customHeight="1">
      <c r="A10" s="903" t="s">
        <v>356</v>
      </c>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E10" s="903" cm="1">
        <f t="array" ref="AE10">AE13</f>
        <v>2026</v>
      </c>
      <c r="AF10" s="903" cm="1">
        <f t="array" ref="AF10">AF13</f>
        <v>2026</v>
      </c>
    </row>
    <row r="11" spans="1:35" ht="11.25" hidden="1" customHeight="1">
      <c r="A11" s="332"/>
      <c r="B11" s="332"/>
      <c r="C11" s="332"/>
      <c r="D11" s="332"/>
      <c r="E11" s="573"/>
      <c r="F11" s="332"/>
      <c r="G11" s="332"/>
      <c r="H11" s="332"/>
      <c r="I11" s="332"/>
      <c r="J11" s="332"/>
      <c r="K11" s="332"/>
      <c r="L11" s="332"/>
      <c r="M11" s="332"/>
      <c r="N11" s="332"/>
      <c r="O11" s="332"/>
      <c r="P11" s="332"/>
      <c r="Q11" s="332"/>
      <c r="R11" s="332"/>
      <c r="S11" s="332"/>
      <c r="T11" s="332"/>
      <c r="U11" s="332"/>
      <c r="V11" s="332"/>
      <c r="W11" s="332"/>
      <c r="X11" s="332"/>
      <c r="Y11" s="332"/>
      <c r="Z11" s="332"/>
      <c r="AA11" s="332"/>
      <c r="AE11" s="332" t="str" cm="1">
        <f t="array" ref="AE11">AE25</f>
        <v>Предложение организации</v>
      </c>
      <c r="AF11" s="332" t="str" cm="1">
        <f t="array" ref="AF11">AF25</f>
        <v>Принято органом регулирования</v>
      </c>
      <c r="AI11" s="1100"/>
    </row>
    <row r="12" spans="1:35" ht="11.25" hidden="1" customHeight="1">
      <c r="B12" s="1104"/>
      <c r="T12" s="1316"/>
      <c r="U12" s="1316"/>
      <c r="V12" s="1316"/>
      <c r="W12" s="1316"/>
      <c r="X12" s="1316"/>
      <c r="Y12" s="436"/>
      <c r="Z12" s="1316"/>
      <c r="AA12" s="436"/>
      <c r="AB12" s="1317"/>
      <c r="AC12" s="1317"/>
    </row>
    <row r="13" spans="1:35" ht="11.25" hidden="1" customHeight="1">
      <c r="A13" s="404" t="s">
        <v>350</v>
      </c>
      <c r="B13" s="1104"/>
      <c r="AE13" s="432" cm="1">
        <f t="array" ref="AE13">god</f>
        <v>2026</v>
      </c>
      <c r="AF13" s="432" cm="1">
        <f t="array" ref="AF13">god</f>
        <v>2026</v>
      </c>
    </row>
    <row r="14" spans="1:35" ht="11.25" hidden="1" customHeight="1">
      <c r="A14" s="404" t="s">
        <v>351</v>
      </c>
      <c r="AE14" s="432" t="str" cm="1">
        <f t="array" ref="AE14">AE25</f>
        <v>Предложение организации</v>
      </c>
      <c r="AF14" s="432" t="str" cm="1">
        <f t="array" ref="AF14">AF25</f>
        <v>Принято органом регулирования</v>
      </c>
    </row>
    <row r="15" spans="1:35" ht="11.25" hidden="1" customHeight="1">
      <c r="AE15" s="432"/>
      <c r="AF15" s="432"/>
    </row>
    <row r="16" spans="1:35" ht="11.25" hidden="1" customHeight="1">
      <c r="AE16" s="432"/>
      <c r="AF16" s="432"/>
    </row>
    <row r="17" spans="1:35" ht="11.25" hidden="1" customHeight="1">
      <c r="AE17" s="432"/>
      <c r="AF17" s="432"/>
    </row>
    <row r="18" spans="1:35" ht="11.25" hidden="1" customHeight="1"/>
    <row r="19" spans="1:35" ht="11.25" hidden="1" customHeight="1"/>
    <row r="20" spans="1:35" ht="11.25" hidden="1" customHeight="1"/>
    <row r="21" spans="1:35" ht="14.65" customHeight="1">
      <c r="E21" s="566">
        <v>15</v>
      </c>
      <c r="AA21" s="404"/>
      <c r="AC21" s="439" t="str" cm="1">
        <f t="array" ref="AC21">tpl_title</f>
        <v>Кемеровская область / 2026 / ОАО «СКЭК» (ИНН:4205153492, КПП:420501001) / ДПР: 2026-2026</v>
      </c>
    </row>
    <row r="22" spans="1:35" ht="37.35" customHeight="1">
      <c r="E22" s="566">
        <v>38.25</v>
      </c>
      <c r="AB22" s="1807" t="s">
        <v>55</v>
      </c>
      <c r="AC22" s="1808"/>
      <c r="AD22" s="1808"/>
      <c r="AE22" s="1808"/>
      <c r="AF22" s="1808"/>
    </row>
    <row r="23" spans="1:35" ht="10.9" customHeight="1">
      <c r="E23" s="566">
        <v>11.25</v>
      </c>
      <c r="AB23" s="1772"/>
      <c r="AC23" s="1772"/>
      <c r="AD23" s="1772"/>
      <c r="AE23" s="1772"/>
      <c r="AF23" s="1772"/>
    </row>
    <row r="24" spans="1:35" ht="14.65" customHeight="1">
      <c r="E24" s="566">
        <v>15</v>
      </c>
      <c r="AB24" s="1758" t="s">
        <v>748</v>
      </c>
      <c r="AC24" s="1804" t="s">
        <v>194</v>
      </c>
      <c r="AD24" s="1758" t="s">
        <v>360</v>
      </c>
      <c r="AE24" s="1809" t="str">
        <f>god&amp;" год"</f>
        <v>2026 год</v>
      </c>
      <c r="AF24" s="1810"/>
    </row>
    <row r="25" spans="1:35" ht="48.75" customHeight="1">
      <c r="E25" s="566">
        <v>50</v>
      </c>
      <c r="AB25" s="1758"/>
      <c r="AC25" s="1804"/>
      <c r="AD25" s="1758"/>
      <c r="AE25" s="1223" t="s">
        <v>353</v>
      </c>
      <c r="AF25" s="435" t="s">
        <v>352</v>
      </c>
    </row>
    <row r="26" spans="1:35" ht="11.25" hidden="1" customHeight="1">
      <c r="E26" s="566">
        <v>0</v>
      </c>
      <c r="AB26" s="640"/>
      <c r="AC26" s="652"/>
      <c r="AD26" s="640"/>
      <c r="AE26" s="1224"/>
      <c r="AF26" s="1224"/>
    </row>
    <row r="27" spans="1:35" ht="14.65" hidden="1" customHeight="1">
      <c r="C27" s="432"/>
      <c r="E27" s="566">
        <v>15</v>
      </c>
      <c r="F27" s="432" cm="1">
        <f t="array" ref="F27">X27</f>
        <v>0</v>
      </c>
      <c r="T27" s="381" t="b">
        <f>X27&gt;0</f>
        <v>0</v>
      </c>
      <c r="V27" s="404" t="s">
        <v>270</v>
      </c>
      <c r="X27" s="1787">
        <v>0</v>
      </c>
      <c r="Z27" s="1788"/>
      <c r="AB27" s="1105" t="str" cm="1">
        <f t="array" ref="AB27">INDEX('Общие сведения'!$AG$179:$AG$208,MATCH($X27,'Общие сведения'!$Z$179:$Z$208,0))</f>
        <v xml:space="preserve">Тариф 0 () - </v>
      </c>
      <c r="AC27" s="99"/>
      <c r="AD27" s="1106"/>
      <c r="AE27" s="1106"/>
      <c r="AF27" s="1107"/>
    </row>
    <row r="28" spans="1:35" s="441" customFormat="1" ht="14.65" hidden="1" customHeight="1">
      <c r="A28" s="404"/>
      <c r="C28" s="1225"/>
      <c r="E28" s="591">
        <v>15</v>
      </c>
      <c r="F28" s="3" cm="1">
        <f t="array" aca="1" ref="F28" ca="1">OFFSET(E28,-1,1)</f>
        <v>0</v>
      </c>
      <c r="G28" s="441" t="s">
        <v>323</v>
      </c>
      <c r="T28" s="381" t="b" cm="1">
        <f t="array" ref="T28">T27</f>
        <v>0</v>
      </c>
      <c r="X28" s="1787"/>
      <c r="Z28" s="1788"/>
      <c r="AB28" s="1108" t="s">
        <v>281</v>
      </c>
      <c r="AC28" s="1109" t="s">
        <v>949</v>
      </c>
      <c r="AD28" s="431" t="s">
        <v>950</v>
      </c>
      <c r="AE28" s="1110">
        <f ca="1">IF(AE30=0,0,AE29/AE30)</f>
        <v>0</v>
      </c>
      <c r="AF28" s="443">
        <f ca="1">IF(AF30=0,0,AF29/AF30)</f>
        <v>0</v>
      </c>
      <c r="AI28" s="937" t="s">
        <v>951</v>
      </c>
    </row>
    <row r="29" spans="1:35" ht="14.65" hidden="1" customHeight="1">
      <c r="C29" s="434"/>
      <c r="E29" s="566">
        <v>15</v>
      </c>
      <c r="F29" s="3" cm="1">
        <f t="array" aca="1" ref="F29" ca="1">OFFSET(E29,-1,1)</f>
        <v>0</v>
      </c>
      <c r="G29" s="404" t="s">
        <v>427</v>
      </c>
      <c r="T29" s="381" t="b" cm="1">
        <f t="array" ref="T29">T28</f>
        <v>0</v>
      </c>
      <c r="X29" s="1787"/>
      <c r="Z29" s="1788"/>
      <c r="AB29" s="1111" t="s">
        <v>821</v>
      </c>
      <c r="AC29" s="1112" t="s">
        <v>952</v>
      </c>
      <c r="AD29" s="444" t="s">
        <v>766</v>
      </c>
      <c r="AE29" s="1113"/>
      <c r="AF29" s="1113"/>
      <c r="AI29" s="927" t="s">
        <v>953</v>
      </c>
    </row>
    <row r="30" spans="1:35" ht="32.85" hidden="1" customHeight="1">
      <c r="C30" s="434"/>
      <c r="E30" s="566">
        <v>33.75</v>
      </c>
      <c r="F30" s="3" cm="1">
        <f t="array" aca="1" ref="F30" ca="1">OFFSET(E30,-1,1)</f>
        <v>0</v>
      </c>
      <c r="G30" s="404" t="s">
        <v>431</v>
      </c>
      <c r="T30" s="381" t="b" cm="1">
        <f t="array" ref="T30">T29</f>
        <v>0</v>
      </c>
      <c r="X30" s="1787"/>
      <c r="Z30" s="1788"/>
      <c r="AB30" s="444" t="s">
        <v>824</v>
      </c>
      <c r="AC30" s="445" t="s">
        <v>954</v>
      </c>
      <c r="AD30" s="444" t="s">
        <v>758</v>
      </c>
      <c r="AE30" s="1114">
        <f ca="1">SUMIFS('Условные метры'!$AL$28:$AL$35,'Условные метры'!$F$28:$F$35,$F30,'Условные метры'!$G$28:$G$35,"Итог")</f>
        <v>0</v>
      </c>
      <c r="AF30" s="987">
        <f ca="1">SUMIFS('Условные метры'!$AN$28:$AN$35,'Условные метры'!$F$28:$F$35,$F30,'Условные метры'!$G$28:$G$35,"Итог")</f>
        <v>0</v>
      </c>
      <c r="AI30" s="927" t="s">
        <v>955</v>
      </c>
    </row>
    <row r="31" spans="1:35" s="441" customFormat="1" ht="32.85" hidden="1" customHeight="1">
      <c r="A31" s="404"/>
      <c r="C31" s="1226"/>
      <c r="E31" s="591">
        <v>33.75</v>
      </c>
      <c r="F31" s="3" cm="1">
        <f t="array" aca="1" ref="F31" ca="1">OFFSET(E31,-1,1)</f>
        <v>0</v>
      </c>
      <c r="G31" s="441" t="s">
        <v>324</v>
      </c>
      <c r="T31" s="381" t="b" cm="1">
        <f t="array" ref="T31">T30</f>
        <v>0</v>
      </c>
      <c r="X31" s="1787"/>
      <c r="Z31" s="1788"/>
      <c r="AB31" s="1115">
        <v>2</v>
      </c>
      <c r="AC31" s="1116" t="s">
        <v>956</v>
      </c>
      <c r="AD31" s="1117" t="s">
        <v>950</v>
      </c>
      <c r="AE31" s="1118">
        <f ca="1">MIN(AE33,AE28)</f>
        <v>0</v>
      </c>
      <c r="AF31" s="448">
        <f ca="1">MIN(AF33,AF28)</f>
        <v>0</v>
      </c>
      <c r="AI31" s="937" t="s">
        <v>957</v>
      </c>
    </row>
    <row r="32" spans="1:35" ht="21.95" hidden="1" customHeight="1">
      <c r="C32" s="434"/>
      <c r="E32" s="566">
        <v>22.5</v>
      </c>
      <c r="F32" s="3" cm="1">
        <f t="array" aca="1" ref="F32" ca="1">OFFSET(E32,-1,1)</f>
        <v>0</v>
      </c>
      <c r="G32" s="404" t="s">
        <v>325</v>
      </c>
      <c r="T32" s="381" t="b" cm="1">
        <f t="array" ref="T32">T31</f>
        <v>0</v>
      </c>
      <c r="X32" s="1787"/>
      <c r="Z32" s="1788"/>
      <c r="AB32" s="1119">
        <v>3</v>
      </c>
      <c r="AC32" s="442" t="s">
        <v>958</v>
      </c>
      <c r="AD32" s="431" t="s">
        <v>950</v>
      </c>
      <c r="AE32" s="443" cm="1">
        <f t="array" aca="1" ref="AE32" ca="1">INDEX('Калькуляция (МСА)'!$L$26:$M$67,MATCH('Амортизация (аналог)'!$F32&amp;"УТР",'Калькуляция (МСА)'!$K$26:$K$67,0),1)</f>
        <v>0</v>
      </c>
      <c r="AF32" s="443" cm="1">
        <f t="array" aca="1" ref="AF32" ca="1">INDEX('Калькуляция (МСА)'!$L$26:$M$67,MATCH('Амортизация (аналог)'!$F32&amp;"УТР",'Калькуляция (МСА)'!$K$26:$K$67,0),2)</f>
        <v>0</v>
      </c>
      <c r="AI32" s="927" t="s">
        <v>959</v>
      </c>
    </row>
    <row r="33" spans="1:35" ht="14.65" hidden="1" customHeight="1">
      <c r="C33" s="434"/>
      <c r="E33" s="566">
        <v>15</v>
      </c>
      <c r="F33" s="3" cm="1">
        <f t="array" aca="1" ref="F33" ca="1">OFFSET(E33,-1,1)</f>
        <v>0</v>
      </c>
      <c r="G33" s="404" t="s">
        <v>327</v>
      </c>
      <c r="T33" s="381" t="b" cm="1">
        <f t="array" ref="T33">T32</f>
        <v>0</v>
      </c>
      <c r="X33" s="1787"/>
      <c r="Z33" s="1788"/>
      <c r="AB33" s="449">
        <v>4</v>
      </c>
      <c r="AC33" s="442" t="s">
        <v>960</v>
      </c>
      <c r="AD33" s="431" t="s">
        <v>950</v>
      </c>
      <c r="AE33" s="1120">
        <f ca="1">AE32*0.15</f>
        <v>0</v>
      </c>
      <c r="AF33" s="450">
        <f ca="1">AF32*0.15</f>
        <v>0</v>
      </c>
      <c r="AI33" s="927" t="s">
        <v>961</v>
      </c>
    </row>
    <row r="34" spans="1:35" s="1327" customFormat="1" ht="14.25" customHeight="1">
      <c r="A34" s="1121"/>
      <c r="B34" s="1121"/>
      <c r="C34" s="432"/>
      <c r="D34" s="1121"/>
      <c r="E34" s="566">
        <v>15</v>
      </c>
      <c r="F34" s="432" t="str" cm="1">
        <f t="array" ref="F34">X34</f>
        <v>1</v>
      </c>
      <c r="G34" s="1121"/>
      <c r="H34" s="1121"/>
      <c r="I34" s="1121"/>
      <c r="J34" s="1121"/>
      <c r="K34" s="1121"/>
      <c r="L34" s="1121"/>
      <c r="M34" s="1121"/>
      <c r="N34" s="1121"/>
      <c r="O34" s="1121"/>
      <c r="P34" s="1121"/>
      <c r="Q34" s="1121"/>
      <c r="R34" s="1121"/>
      <c r="S34" s="1121"/>
      <c r="T34" s="381" t="b">
        <f>X34&gt;0</f>
        <v>1</v>
      </c>
      <c r="U34" s="1121"/>
      <c r="V34" s="404" t="str" cm="1">
        <f t="array" ref="V34">Амортизация!$AB$76</f>
        <v>Тариф 1 (Водоснабжение) - тариф на питьевую воду</v>
      </c>
      <c r="W34" s="1121"/>
      <c r="X34" s="1787" t="s">
        <v>281</v>
      </c>
      <c r="Y34" s="1121"/>
      <c r="Z34" s="1788"/>
      <c r="AA34" s="1121"/>
      <c r="AB34" s="1105" t="str" cm="1">
        <f t="array" ref="AB34">Амортизация!$AB$76</f>
        <v>Тариф 1 (Водоснабжение) - тариф на питьевую воду</v>
      </c>
      <c r="AC34" s="99"/>
      <c r="AD34" s="1106"/>
      <c r="AE34" s="1106"/>
      <c r="AF34" s="1107"/>
      <c r="AG34" s="1121"/>
      <c r="AH34" s="1121"/>
      <c r="AI34" s="1075"/>
    </row>
    <row r="35" spans="1:35" s="441" customFormat="1" ht="14.25" customHeight="1">
      <c r="A35" s="404"/>
      <c r="C35" s="1225"/>
      <c r="E35" s="591">
        <v>15</v>
      </c>
      <c r="F35" s="3" t="str" cm="1">
        <f t="array" aca="1" ref="F35" ca="1">OFFSET(E35,-1,1)</f>
        <v>1</v>
      </c>
      <c r="G35" s="441" t="s">
        <v>323</v>
      </c>
      <c r="T35" s="381" t="b" cm="1">
        <f t="array" ref="T35">T34</f>
        <v>1</v>
      </c>
      <c r="X35" s="1787"/>
      <c r="Z35" s="1788"/>
      <c r="AB35" s="1108" t="s">
        <v>281</v>
      </c>
      <c r="AC35" s="1109" t="s">
        <v>949</v>
      </c>
      <c r="AD35" s="431" t="s">
        <v>950</v>
      </c>
      <c r="AE35" s="1110">
        <f ca="1">IF(AE37=0,0,AE36/AE37)</f>
        <v>0</v>
      </c>
      <c r="AF35" s="443">
        <f ca="1">IF(AF37=0,0,AF36/AF37)</f>
        <v>0</v>
      </c>
      <c r="AI35" s="937" t="s">
        <v>951</v>
      </c>
    </row>
    <row r="36" spans="1:35" s="1327" customFormat="1" ht="14.25" customHeight="1">
      <c r="A36" s="1121"/>
      <c r="B36" s="1121"/>
      <c r="C36" s="434"/>
      <c r="D36" s="1121"/>
      <c r="E36" s="566">
        <v>15</v>
      </c>
      <c r="F36" s="3" t="str" cm="1">
        <f t="array" aca="1" ref="F36" ca="1">OFFSET(E36,-1,1)</f>
        <v>1</v>
      </c>
      <c r="G36" s="404" t="s">
        <v>427</v>
      </c>
      <c r="H36" s="1121"/>
      <c r="I36" s="1121"/>
      <c r="J36" s="1121"/>
      <c r="K36" s="1121"/>
      <c r="L36" s="1121"/>
      <c r="M36" s="1121"/>
      <c r="N36" s="1121"/>
      <c r="O36" s="1121"/>
      <c r="P36" s="1121"/>
      <c r="Q36" s="1121"/>
      <c r="R36" s="1121"/>
      <c r="S36" s="1121"/>
      <c r="T36" s="381" t="b" cm="1">
        <f t="array" ref="T36">T35</f>
        <v>1</v>
      </c>
      <c r="U36" s="1121"/>
      <c r="V36" s="1121"/>
      <c r="W36" s="1121"/>
      <c r="X36" s="1787"/>
      <c r="Y36" s="1121"/>
      <c r="Z36" s="1788"/>
      <c r="AA36" s="1121"/>
      <c r="AB36" s="1111" t="s">
        <v>821</v>
      </c>
      <c r="AC36" s="1112" t="s">
        <v>952</v>
      </c>
      <c r="AD36" s="444" t="s">
        <v>766</v>
      </c>
      <c r="AE36" s="1113"/>
      <c r="AF36" s="1113"/>
      <c r="AG36" s="1121"/>
      <c r="AH36" s="1121"/>
      <c r="AI36" s="927" t="s">
        <v>953</v>
      </c>
    </row>
    <row r="37" spans="1:35" s="1327" customFormat="1" ht="32.25" customHeight="1">
      <c r="A37" s="1121"/>
      <c r="B37" s="1121"/>
      <c r="C37" s="434"/>
      <c r="D37" s="1121"/>
      <c r="E37" s="566">
        <v>33.75</v>
      </c>
      <c r="F37" s="3" t="str" cm="1">
        <f t="array" aca="1" ref="F37" ca="1">OFFSET(E37,-1,1)</f>
        <v>1</v>
      </c>
      <c r="G37" s="404" t="s">
        <v>431</v>
      </c>
      <c r="H37" s="1121"/>
      <c r="I37" s="1121"/>
      <c r="J37" s="1121"/>
      <c r="K37" s="1121"/>
      <c r="L37" s="1121"/>
      <c r="M37" s="1121"/>
      <c r="N37" s="1121"/>
      <c r="O37" s="1121"/>
      <c r="P37" s="1121"/>
      <c r="Q37" s="1121"/>
      <c r="R37" s="1121"/>
      <c r="S37" s="1121"/>
      <c r="T37" s="381" t="b" cm="1">
        <f t="array" ref="T37">T36</f>
        <v>1</v>
      </c>
      <c r="U37" s="1121"/>
      <c r="V37" s="1121"/>
      <c r="W37" s="1121"/>
      <c r="X37" s="1787"/>
      <c r="Y37" s="1121"/>
      <c r="Z37" s="1788"/>
      <c r="AA37" s="1121"/>
      <c r="AB37" s="444" t="s">
        <v>824</v>
      </c>
      <c r="AC37" s="445" t="s">
        <v>954</v>
      </c>
      <c r="AD37" s="444" t="s">
        <v>758</v>
      </c>
      <c r="AE37" s="1114">
        <f ca="1">SUMIFS('Условные метры'!$AL$28:$AL$35,'Условные метры'!$F$28:$F$35,$F37,'Условные метры'!$G$28:$G$35,"Итог")</f>
        <v>0</v>
      </c>
      <c r="AF37" s="987">
        <f ca="1">SUMIFS('Условные метры'!$AN$28:$AN$35,'Условные метры'!$F$28:$F$35,$F37,'Условные метры'!$G$28:$G$35,"Итог")</f>
        <v>0</v>
      </c>
      <c r="AG37" s="1121"/>
      <c r="AH37" s="1121"/>
      <c r="AI37" s="927" t="s">
        <v>955</v>
      </c>
    </row>
    <row r="38" spans="1:35" s="441" customFormat="1" ht="32.25" customHeight="1">
      <c r="A38" s="404"/>
      <c r="C38" s="1226"/>
      <c r="E38" s="591">
        <v>33.75</v>
      </c>
      <c r="F38" s="3" t="str" cm="1">
        <f t="array" aca="1" ref="F38" ca="1">OFFSET(E38,-1,1)</f>
        <v>1</v>
      </c>
      <c r="G38" s="441" t="s">
        <v>324</v>
      </c>
      <c r="T38" s="381" t="b" cm="1">
        <f t="array" ref="T38">T37</f>
        <v>1</v>
      </c>
      <c r="X38" s="1787"/>
      <c r="Z38" s="1788"/>
      <c r="AB38" s="1115">
        <v>2</v>
      </c>
      <c r="AC38" s="1116" t="s">
        <v>956</v>
      </c>
      <c r="AD38" s="1117" t="s">
        <v>950</v>
      </c>
      <c r="AE38" s="1118">
        <f ca="1">MIN(AE40,AE35)</f>
        <v>0</v>
      </c>
      <c r="AF38" s="448">
        <f ca="1">MIN(AF40,AF35)</f>
        <v>0</v>
      </c>
      <c r="AI38" s="937" t="s">
        <v>957</v>
      </c>
    </row>
    <row r="39" spans="1:35" s="1327" customFormat="1" ht="21.75" customHeight="1">
      <c r="A39" s="1121"/>
      <c r="B39" s="1121"/>
      <c r="C39" s="434"/>
      <c r="D39" s="1121"/>
      <c r="E39" s="566">
        <v>22.5</v>
      </c>
      <c r="F39" s="3" t="str" cm="1">
        <f t="array" aca="1" ref="F39" ca="1">OFFSET(E39,-1,1)</f>
        <v>1</v>
      </c>
      <c r="G39" s="404" t="s">
        <v>325</v>
      </c>
      <c r="H39" s="1121"/>
      <c r="I39" s="1121"/>
      <c r="J39" s="1121"/>
      <c r="K39" s="1121"/>
      <c r="L39" s="1121"/>
      <c r="M39" s="1121"/>
      <c r="N39" s="1121"/>
      <c r="O39" s="1121"/>
      <c r="P39" s="1121"/>
      <c r="Q39" s="1121"/>
      <c r="R39" s="1121"/>
      <c r="S39" s="1121"/>
      <c r="T39" s="381" t="b" cm="1">
        <f t="array" ref="T39">T38</f>
        <v>1</v>
      </c>
      <c r="U39" s="1121"/>
      <c r="V39" s="1121"/>
      <c r="W39" s="1121"/>
      <c r="X39" s="1787"/>
      <c r="Y39" s="1121"/>
      <c r="Z39" s="1788"/>
      <c r="AA39" s="1121"/>
      <c r="AB39" s="1119">
        <v>3</v>
      </c>
      <c r="AC39" s="442" t="s">
        <v>958</v>
      </c>
      <c r="AD39" s="431" t="s">
        <v>950</v>
      </c>
      <c r="AE39" s="443" cm="1">
        <f t="array" aca="1" ref="AE39" ca="1">INDEX('Калькуляция (МСА)'!$L$26:$M$67,MATCH('Амортизация (аналог)'!$F39&amp;"УТР",'Калькуляция (МСА)'!$K$26:$K$67,0),1)</f>
        <v>0</v>
      </c>
      <c r="AF39" s="443" cm="1">
        <f t="array" aca="1" ref="AF39" ca="1">INDEX('Калькуляция (МСА)'!$L$26:$M$67,MATCH('Амортизация (аналог)'!$F39&amp;"УТР",'Калькуляция (МСА)'!$K$26:$K$67,0),2)</f>
        <v>0</v>
      </c>
      <c r="AG39" s="1121"/>
      <c r="AH39" s="1121"/>
      <c r="AI39" s="927" t="s">
        <v>959</v>
      </c>
    </row>
    <row r="40" spans="1:35" s="1327" customFormat="1" ht="14.25" customHeight="1">
      <c r="A40" s="1121"/>
      <c r="B40" s="1121"/>
      <c r="C40" s="434"/>
      <c r="D40" s="1121"/>
      <c r="E40" s="566">
        <v>15</v>
      </c>
      <c r="F40" s="3" t="str" cm="1">
        <f t="array" aca="1" ref="F40" ca="1">OFFSET(E40,-1,1)</f>
        <v>1</v>
      </c>
      <c r="G40" s="404" t="s">
        <v>327</v>
      </c>
      <c r="H40" s="1121"/>
      <c r="I40" s="1121"/>
      <c r="J40" s="1121"/>
      <c r="K40" s="1121"/>
      <c r="L40" s="1121"/>
      <c r="M40" s="1121"/>
      <c r="N40" s="1121"/>
      <c r="O40" s="1121"/>
      <c r="P40" s="1121"/>
      <c r="Q40" s="1121"/>
      <c r="R40" s="1121"/>
      <c r="S40" s="1121"/>
      <c r="T40" s="381" t="b" cm="1">
        <f t="array" ref="T40">T39</f>
        <v>1</v>
      </c>
      <c r="U40" s="1121"/>
      <c r="V40" s="1121"/>
      <c r="W40" s="1121"/>
      <c r="X40" s="1787"/>
      <c r="Y40" s="1121"/>
      <c r="Z40" s="1788"/>
      <c r="AA40" s="1121"/>
      <c r="AB40" s="449">
        <v>4</v>
      </c>
      <c r="AC40" s="442" t="s">
        <v>960</v>
      </c>
      <c r="AD40" s="431" t="s">
        <v>950</v>
      </c>
      <c r="AE40" s="1120">
        <f ca="1">AE39*0.15</f>
        <v>0</v>
      </c>
      <c r="AF40" s="450">
        <f ca="1">AF39*0.15</f>
        <v>0</v>
      </c>
      <c r="AG40" s="1121"/>
      <c r="AH40" s="1121"/>
      <c r="AI40" s="927" t="s">
        <v>961</v>
      </c>
    </row>
    <row r="41" spans="1:35" ht="10.9" customHeight="1">
      <c r="E41" s="566">
        <v>11.25</v>
      </c>
      <c r="U41" s="23" t="s">
        <v>177</v>
      </c>
      <c r="V41" s="59" t="s">
        <v>962</v>
      </c>
      <c r="AB41" s="451"/>
      <c r="AC41" s="452"/>
      <c r="AD41" s="451"/>
      <c r="AE41" s="453"/>
    </row>
    <row r="42" spans="1:35" s="1207" customFormat="1" ht="14.65" customHeight="1">
      <c r="E42" s="565">
        <v>15</v>
      </c>
      <c r="AB42" s="1758" t="s">
        <v>394</v>
      </c>
      <c r="AC42" s="1758"/>
      <c r="AD42" s="1758"/>
      <c r="AE42" s="1789"/>
      <c r="AF42" s="1789"/>
      <c r="AI42" s="938"/>
    </row>
    <row r="43" spans="1:35" s="1207" customFormat="1" ht="14.65" customHeight="1">
      <c r="E43" s="565">
        <v>15</v>
      </c>
      <c r="AB43" s="1790"/>
      <c r="AC43" s="1790"/>
      <c r="AD43" s="1790"/>
      <c r="AE43" s="1791"/>
      <c r="AF43" s="1791"/>
      <c r="AI43" s="938"/>
    </row>
    <row r="44" spans="1:35" s="1207" customFormat="1" ht="14.65" hidden="1" customHeight="1">
      <c r="E44" s="565">
        <v>15</v>
      </c>
      <c r="T44" s="381" t="b">
        <f>ROW(W44)&gt;ROW(W$44)</f>
        <v>0</v>
      </c>
      <c r="U44" s="1121"/>
      <c r="V44" s="1121"/>
      <c r="W44" s="671" t="s">
        <v>173</v>
      </c>
      <c r="X44" s="1121"/>
      <c r="Y44" s="1121"/>
      <c r="Z44" s="1121"/>
      <c r="AA44" s="1227" t="s">
        <v>174</v>
      </c>
      <c r="AB44" s="1793"/>
      <c r="AC44" s="1794"/>
      <c r="AD44" s="1794"/>
      <c r="AE44" s="1795"/>
      <c r="AF44" s="1798"/>
      <c r="AI44" s="938"/>
    </row>
    <row r="45" spans="1:35" s="1207" customFormat="1" ht="14.65" customHeight="1">
      <c r="E45" s="565">
        <v>15</v>
      </c>
      <c r="W45" s="671" t="s">
        <v>395</v>
      </c>
      <c r="AB45" s="1228"/>
      <c r="AC45" s="1229" t="s">
        <v>396</v>
      </c>
      <c r="AD45" s="1230"/>
      <c r="AE45" s="1231"/>
      <c r="AF45" s="1232"/>
      <c r="AI45" s="938"/>
    </row>
    <row r="46" spans="1:35" ht="10.9" customHeight="1">
      <c r="E46" s="566">
        <v>11.25</v>
      </c>
      <c r="AC46" s="454"/>
      <c r="AG46" s="404"/>
    </row>
  </sheetData>
  <sheetProtection formatColumns="0" formatRows="0" insertRows="0" deleteColumns="0" deleteRows="0" sort="0" autoFilter="0"/>
  <mergeCells count="13">
    <mergeCell ref="X27:X33"/>
    <mergeCell ref="Z27:Z33"/>
    <mergeCell ref="AB42:AF42"/>
    <mergeCell ref="AB43:AF43"/>
    <mergeCell ref="AB44:AF44"/>
    <mergeCell ref="X34:X40"/>
    <mergeCell ref="Z34:Z40"/>
    <mergeCell ref="AB22:AF22"/>
    <mergeCell ref="AB23:AF23"/>
    <mergeCell ref="AB24:AB25"/>
    <mergeCell ref="AC24:AC25"/>
    <mergeCell ref="AD24:AD25"/>
    <mergeCell ref="AE24:AF24"/>
  </mergeCells>
  <dataValidations count="1">
    <dataValidation type="decimal" allowBlank="1" showErrorMessage="1" errorTitle="Ошибка" error="Допускается ввод только неотрицательных чисел!" sqref="AE31:AF31 AF33 AF38 AF40 AE33 AE38 AE4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95"/>
  <sheetViews>
    <sheetView showGridLines="0" workbookViewId="0">
      <pane xSplit="30" ySplit="25" topLeftCell="AE57" activePane="bottomRight" state="frozen"/>
      <selection pane="topRight" activeCell="AE1" sqref="AE1"/>
      <selection pane="bottomLeft" activeCell="A26" sqref="A26"/>
      <selection pane="bottomRight" activeCell="AB94" sqref="AB94"/>
    </sheetView>
  </sheetViews>
  <sheetFormatPr defaultColWidth="8.7109375" defaultRowHeight="10.5" customHeight="1"/>
  <cols>
    <col min="1" max="1" width="3.5703125" style="795" hidden="1" customWidth="1"/>
    <col min="2" max="2" width="8.5703125" style="357" hidden="1" customWidth="1"/>
    <col min="3" max="4" width="3.5703125" style="795" hidden="1" customWidth="1"/>
    <col min="5" max="5" width="3.5703125" style="595" hidden="1" customWidth="1"/>
    <col min="6" max="6" width="13.5703125" style="795" hidden="1" customWidth="1"/>
    <col min="7" max="8" width="3.5703125" style="795" hidden="1" customWidth="1"/>
    <col min="9" max="9" width="13.42578125" style="795" hidden="1" customWidth="1"/>
    <col min="10" max="10" width="3.5703125" style="795" hidden="1" customWidth="1"/>
    <col min="11" max="11" width="5.85546875" style="817" hidden="1" customWidth="1"/>
    <col min="12" max="19" width="3.5703125" style="795" hidden="1" customWidth="1"/>
    <col min="20" max="20" width="9.85546875" style="795" hidden="1" customWidth="1"/>
    <col min="21" max="21" width="7" style="795" hidden="1" customWidth="1"/>
    <col min="22" max="23" width="6.140625" style="795" hidden="1" customWidth="1"/>
    <col min="24" max="24" width="5.5703125" style="795" hidden="1" customWidth="1"/>
    <col min="25" max="25" width="5.85546875" style="795" hidden="1" customWidth="1"/>
    <col min="26" max="26" width="5.28515625" style="795" hidden="1" customWidth="1"/>
    <col min="27" max="27" width="3" style="795" customWidth="1"/>
    <col min="28" max="28" width="11" style="795" customWidth="1"/>
    <col min="29" max="29" width="43.42578125" style="795" customWidth="1"/>
    <col min="30" max="34" width="15.7109375" style="795" customWidth="1"/>
    <col min="35" max="35" width="12.5703125" style="795" customWidth="1"/>
    <col min="36" max="44" width="12.5703125" style="795" hidden="1" customWidth="1"/>
    <col min="45" max="45" width="12.5703125" style="795" customWidth="1"/>
    <col min="46" max="54" width="12.5703125" style="795" hidden="1" customWidth="1"/>
    <col min="55" max="55" width="20" style="795" customWidth="1"/>
    <col min="56" max="56" width="3" style="795" customWidth="1"/>
    <col min="57" max="57" width="8.7109375" style="795" hidden="1"/>
    <col min="58" max="60" width="8.7109375" style="943" hidden="1"/>
    <col min="61" max="62" width="8.7109375" style="595" hidden="1"/>
  </cols>
  <sheetData>
    <row r="1" spans="1:62" ht="11.25" hidden="1" customHeight="1">
      <c r="E1" s="71"/>
      <c r="F1" s="71" t="s">
        <v>311</v>
      </c>
      <c r="G1" s="71" t="s">
        <v>322</v>
      </c>
      <c r="H1" s="71" t="s">
        <v>347</v>
      </c>
      <c r="T1" s="381" t="s">
        <v>92</v>
      </c>
      <c r="U1" s="381" t="s">
        <v>97</v>
      </c>
      <c r="V1" s="381" t="s">
        <v>93</v>
      </c>
      <c r="W1" s="381" t="s">
        <v>94</v>
      </c>
      <c r="X1" s="381" t="s">
        <v>95</v>
      </c>
      <c r="Y1" s="383" t="s">
        <v>313</v>
      </c>
      <c r="Z1" s="381" t="s">
        <v>99</v>
      </c>
      <c r="AA1" s="383" t="s">
        <v>96</v>
      </c>
      <c r="AB1" s="4"/>
      <c r="AC1" s="382" t="s">
        <v>98</v>
      </c>
      <c r="BF1" s="943" t="s">
        <v>314</v>
      </c>
      <c r="BG1" s="943" t="s">
        <v>315</v>
      </c>
      <c r="BH1" s="943" t="s">
        <v>316</v>
      </c>
      <c r="BI1" s="595" t="s">
        <v>319</v>
      </c>
      <c r="BJ1" s="595" t="s">
        <v>320</v>
      </c>
    </row>
    <row r="2" spans="1:62" s="357" customFormat="1" ht="11.25" hidden="1" customHeight="1">
      <c r="B2" s="363" t="s">
        <v>18</v>
      </c>
      <c r="K2" s="818"/>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44"/>
      <c r="BG2" s="944"/>
      <c r="BH2" s="944"/>
      <c r="BI2" s="947"/>
      <c r="BJ2" s="947"/>
    </row>
    <row r="3" spans="1:62" ht="11.25" hidden="1" customHeight="1">
      <c r="E3" s="71"/>
    </row>
    <row r="4" spans="1:62" ht="11.25" hidden="1" customHeight="1">
      <c r="E4" s="71"/>
    </row>
    <row r="5" spans="1:62" s="595" customFormat="1" ht="11.25" hidden="1" customHeight="1">
      <c r="A5" s="71"/>
      <c r="B5" s="357"/>
      <c r="C5" s="71"/>
      <c r="D5" s="71"/>
      <c r="E5" s="595" t="s">
        <v>19</v>
      </c>
      <c r="K5" s="819"/>
      <c r="AA5" s="595">
        <v>3</v>
      </c>
      <c r="AB5" s="595">
        <v>11</v>
      </c>
      <c r="AC5" s="595">
        <v>43.43</v>
      </c>
      <c r="AD5" s="595">
        <v>15.71</v>
      </c>
      <c r="AE5" s="595">
        <v>15.71</v>
      </c>
      <c r="AF5" s="595">
        <v>15.71</v>
      </c>
      <c r="AG5" s="595">
        <v>15.71</v>
      </c>
      <c r="AH5" s="595">
        <v>15.71</v>
      </c>
      <c r="AI5" s="595">
        <v>12.57</v>
      </c>
      <c r="AJ5" s="595">
        <v>12.57</v>
      </c>
      <c r="AK5" s="595">
        <v>12.57</v>
      </c>
      <c r="AL5" s="595">
        <v>12.57</v>
      </c>
      <c r="AM5" s="595">
        <v>12.57</v>
      </c>
      <c r="AN5" s="595">
        <v>12.57</v>
      </c>
      <c r="AO5" s="595">
        <v>12.57</v>
      </c>
      <c r="AP5" s="595">
        <v>12.57</v>
      </c>
      <c r="AQ5" s="595">
        <v>12.57</v>
      </c>
      <c r="AR5" s="595">
        <v>12.57</v>
      </c>
      <c r="AS5" s="595">
        <v>12.57</v>
      </c>
      <c r="AT5" s="595">
        <v>12.57</v>
      </c>
      <c r="AU5" s="595">
        <v>12.57</v>
      </c>
      <c r="AV5" s="595">
        <v>12.57</v>
      </c>
      <c r="AW5" s="595">
        <v>12.57</v>
      </c>
      <c r="AX5" s="595">
        <v>12.57</v>
      </c>
      <c r="AY5" s="595">
        <v>12.57</v>
      </c>
      <c r="AZ5" s="595">
        <v>12.57</v>
      </c>
      <c r="BA5" s="595">
        <v>12.57</v>
      </c>
      <c r="BB5" s="595">
        <v>12.57</v>
      </c>
      <c r="BC5" s="595">
        <v>20</v>
      </c>
      <c r="BD5" s="595">
        <v>3</v>
      </c>
      <c r="BF5" s="943"/>
      <c r="BG5" s="943"/>
      <c r="BH5" s="943"/>
    </row>
    <row r="6" spans="1:62" ht="11.25" hidden="1" customHeight="1">
      <c r="A6" s="71" t="s">
        <v>350</v>
      </c>
      <c r="AE6" s="71">
        <f>god-2</f>
        <v>2024</v>
      </c>
      <c r="AF6" s="71">
        <f>god-2</f>
        <v>2024</v>
      </c>
      <c r="AG6" s="71">
        <f>god-2</f>
        <v>2024</v>
      </c>
      <c r="AH6" s="71">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71" t="s">
        <v>351</v>
      </c>
      <c r="AE7" s="71" t="str" cm="1">
        <f t="array" ref="AE7">AE25</f>
        <v>Принято органом регулирования</v>
      </c>
      <c r="AF7" s="71" t="str" cm="1">
        <f t="array" ref="AF7">AF25</f>
        <v>Факт по данным организации</v>
      </c>
      <c r="AG7" s="71" t="str" cm="1">
        <f t="array" ref="AG7">AG25</f>
        <v>Факт, принятый органом регулирования</v>
      </c>
      <c r="AH7" s="71" t="str" cm="1">
        <f t="array" ref="AH7">AH25</f>
        <v>Принято органом регулирования</v>
      </c>
      <c r="AI7" s="71" t="str" cm="1">
        <f t="array" ref="AI7">AI25</f>
        <v>Предложение организации</v>
      </c>
      <c r="AJ7" s="71" t="str" cm="1">
        <f t="array" ref="AJ7">AJ25</f>
        <v>Предложение организации</v>
      </c>
      <c r="AK7" s="71" t="str" cm="1">
        <f t="array" ref="AK7">AK25</f>
        <v>Предложение организации</v>
      </c>
      <c r="AL7" s="71" t="str" cm="1">
        <f t="array" ref="AL7">AL25</f>
        <v>Предложение организации</v>
      </c>
      <c r="AM7" s="71" t="str" cm="1">
        <f t="array" ref="AM7">AM25</f>
        <v>Предложение организации</v>
      </c>
      <c r="AN7" s="71" t="str" cm="1">
        <f t="array" ref="AN7">AN25</f>
        <v>Предложение организации</v>
      </c>
      <c r="AO7" s="71" t="str" cm="1">
        <f t="array" ref="AO7">AO25</f>
        <v>Предложение организации</v>
      </c>
      <c r="AP7" s="71" t="str" cm="1">
        <f t="array" ref="AP7">AP25</f>
        <v>Предложение организации</v>
      </c>
      <c r="AQ7" s="71" t="str" cm="1">
        <f t="array" ref="AQ7">AQ25</f>
        <v>Предложение организации</v>
      </c>
      <c r="AR7" s="71" t="str" cm="1">
        <f t="array" ref="AR7">AR25</f>
        <v>Предложение организации</v>
      </c>
      <c r="AS7" s="71" t="str" cm="1">
        <f t="array" ref="AS7">AS25</f>
        <v>Принято органом регулирования</v>
      </c>
      <c r="AT7" s="71" t="str" cm="1">
        <f t="array" ref="AT7">AT25</f>
        <v>Принято органом регулирования</v>
      </c>
      <c r="AU7" s="71" t="str" cm="1">
        <f t="array" ref="AU7">AU25</f>
        <v>Принято органом регулирования</v>
      </c>
      <c r="AV7" s="71" t="str" cm="1">
        <f t="array" ref="AV7">AV25</f>
        <v>Принято органом регулирования</v>
      </c>
      <c r="AW7" s="71" t="str" cm="1">
        <f t="array" ref="AW7">AW25</f>
        <v>Принято органом регулирования</v>
      </c>
      <c r="AX7" s="71" t="str" cm="1">
        <f t="array" ref="AX7">AX25</f>
        <v>Принято органом регулирования</v>
      </c>
      <c r="AY7" s="71" t="str" cm="1">
        <f t="array" ref="AY7">AY25</f>
        <v>Принято органом регулирования</v>
      </c>
      <c r="AZ7" s="71" t="str" cm="1">
        <f t="array" ref="AZ7">AZ25</f>
        <v>Принято органом регулирования</v>
      </c>
      <c r="BA7" s="71" t="str" cm="1">
        <f t="array" ref="BA7">BA25</f>
        <v>Принято органом регулирования</v>
      </c>
      <c r="BB7" s="71" t="str" cm="1">
        <f t="array" ref="BB7">BB25</f>
        <v>Принято органом регулирования</v>
      </c>
    </row>
    <row r="8" spans="1:62" ht="11.25" hidden="1" customHeight="1"/>
    <row r="9" spans="1:62" s="943" customFormat="1" ht="11.25" hidden="1" customHeight="1">
      <c r="A9" s="943" t="s">
        <v>355</v>
      </c>
      <c r="B9" s="944"/>
      <c r="K9" s="945"/>
      <c r="AE9" s="943" cm="1">
        <f t="array" ref="AE9">AE6</f>
        <v>2024</v>
      </c>
      <c r="AF9" s="943" cm="1">
        <f t="array" ref="AF9">AF6</f>
        <v>2024</v>
      </c>
      <c r="AG9" s="943" cm="1">
        <f t="array" ref="AG9">AG6</f>
        <v>2024</v>
      </c>
      <c r="AH9" s="943" cm="1">
        <f t="array" ref="AH9">AH6</f>
        <v>2025</v>
      </c>
      <c r="AI9" s="943" cm="1">
        <f t="array" ref="AI9">AI6</f>
        <v>2026</v>
      </c>
      <c r="AJ9" s="943" cm="1">
        <f t="array" ref="AJ9">AJ6</f>
        <v>2027</v>
      </c>
      <c r="AK9" s="943" cm="1">
        <f t="array" ref="AK9">AK6</f>
        <v>2028</v>
      </c>
      <c r="AL9" s="943" cm="1">
        <f t="array" ref="AL9">AL6</f>
        <v>2029</v>
      </c>
      <c r="AM9" s="943" cm="1">
        <f t="array" ref="AM9">AM6</f>
        <v>2030</v>
      </c>
      <c r="AN9" s="943" cm="1">
        <f t="array" ref="AN9">AN6</f>
        <v>2031</v>
      </c>
      <c r="AO9" s="943" cm="1">
        <f t="array" ref="AO9">AO6</f>
        <v>2032</v>
      </c>
      <c r="AP9" s="943" cm="1">
        <f t="array" ref="AP9">AP6</f>
        <v>2033</v>
      </c>
      <c r="AQ9" s="943" cm="1">
        <f t="array" ref="AQ9">AQ6</f>
        <v>2034</v>
      </c>
      <c r="AR9" s="943" cm="1">
        <f t="array" ref="AR9">AR6</f>
        <v>2035</v>
      </c>
      <c r="AS9" s="943" cm="1">
        <f t="array" ref="AS9">AS6</f>
        <v>2026</v>
      </c>
      <c r="AT9" s="943" cm="1">
        <f t="array" ref="AT9">AT6</f>
        <v>2027</v>
      </c>
      <c r="AU9" s="943" cm="1">
        <f t="array" ref="AU9">AU6</f>
        <v>2028</v>
      </c>
      <c r="AV9" s="943" cm="1">
        <f t="array" ref="AV9">AV6</f>
        <v>2029</v>
      </c>
      <c r="AW9" s="943" cm="1">
        <f t="array" ref="AW9">AW6</f>
        <v>2030</v>
      </c>
      <c r="AX9" s="943" cm="1">
        <f t="array" ref="AX9">AX6</f>
        <v>2031</v>
      </c>
      <c r="AY9" s="943" cm="1">
        <f t="array" ref="AY9">AY6</f>
        <v>2032</v>
      </c>
      <c r="AZ9" s="943" cm="1">
        <f t="array" ref="AZ9">AZ6</f>
        <v>2033</v>
      </c>
      <c r="BA9" s="943" cm="1">
        <f t="array" ref="BA9">BA6</f>
        <v>2034</v>
      </c>
      <c r="BB9" s="943" cm="1">
        <f t="array" ref="BB9">BB6</f>
        <v>2035</v>
      </c>
      <c r="BI9" s="595"/>
      <c r="BJ9" s="595"/>
    </row>
    <row r="10" spans="1:62" s="943" customFormat="1" ht="11.25" hidden="1" customHeight="1">
      <c r="A10" s="943" t="s">
        <v>356</v>
      </c>
      <c r="B10" s="944"/>
      <c r="K10" s="945"/>
      <c r="AE10" s="943" t="str" cm="1">
        <f t="array" ref="AE10">AE25</f>
        <v>Принято органом регулирования</v>
      </c>
      <c r="AF10" s="943" t="str" cm="1">
        <f t="array" ref="AF10">AF25</f>
        <v>Факт по данным организации</v>
      </c>
      <c r="AG10" s="943" t="str" cm="1">
        <f t="array" ref="AG10">AG25</f>
        <v>Факт, принятый органом регулирования</v>
      </c>
      <c r="AH10" s="943" t="str" cm="1">
        <f t="array" ref="AH10">AH25</f>
        <v>Принято органом регулирования</v>
      </c>
      <c r="AI10" s="943" t="str" cm="1">
        <f t="array" ref="AI10">AI25</f>
        <v>Предложение организации</v>
      </c>
      <c r="AJ10" s="943" t="str" cm="1">
        <f t="array" ref="AJ10">AJ25</f>
        <v>Предложение организации</v>
      </c>
      <c r="AK10" s="943" t="str" cm="1">
        <f t="array" ref="AK10">AK25</f>
        <v>Предложение организации</v>
      </c>
      <c r="AL10" s="943" t="str" cm="1">
        <f t="array" ref="AL10">AL25</f>
        <v>Предложение организации</v>
      </c>
      <c r="AM10" s="943" t="str" cm="1">
        <f t="array" ref="AM10">AM25</f>
        <v>Предложение организации</v>
      </c>
      <c r="AN10" s="943" t="str" cm="1">
        <f t="array" ref="AN10">AN25</f>
        <v>Предложение организации</v>
      </c>
      <c r="AO10" s="943" t="str" cm="1">
        <f t="array" ref="AO10">AO25</f>
        <v>Предложение организации</v>
      </c>
      <c r="AP10" s="943" t="str" cm="1">
        <f t="array" ref="AP10">AP25</f>
        <v>Предложение организации</v>
      </c>
      <c r="AQ10" s="943" t="str" cm="1">
        <f t="array" ref="AQ10">AQ25</f>
        <v>Предложение организации</v>
      </c>
      <c r="AR10" s="943" t="str" cm="1">
        <f t="array" ref="AR10">AR25</f>
        <v>Предложение организации</v>
      </c>
      <c r="AS10" s="943" t="str" cm="1">
        <f t="array" ref="AS10">AS25</f>
        <v>Принято органом регулирования</v>
      </c>
      <c r="AT10" s="943" t="str" cm="1">
        <f t="array" ref="AT10">AT25</f>
        <v>Принято органом регулирования</v>
      </c>
      <c r="AU10" s="943" t="str" cm="1">
        <f t="array" ref="AU10">AU25</f>
        <v>Принято органом регулирования</v>
      </c>
      <c r="AV10" s="943" t="str" cm="1">
        <f t="array" ref="AV10">AV25</f>
        <v>Принято органом регулирования</v>
      </c>
      <c r="AW10" s="943" t="str" cm="1">
        <f t="array" ref="AW10">AW25</f>
        <v>Принято органом регулирования</v>
      </c>
      <c r="AX10" s="943" t="str" cm="1">
        <f t="array" ref="AX10">AX25</f>
        <v>Принято органом регулирования</v>
      </c>
      <c r="AY10" s="943" t="str" cm="1">
        <f t="array" ref="AY10">AY25</f>
        <v>Принято органом регулирования</v>
      </c>
      <c r="AZ10" s="943" t="str" cm="1">
        <f t="array" ref="AZ10">AZ25</f>
        <v>Принято органом регулирования</v>
      </c>
      <c r="BA10" s="943" t="str" cm="1">
        <f t="array" ref="BA10">BA25</f>
        <v>Принято органом регулирования</v>
      </c>
      <c r="BB10" s="943" t="str" cm="1">
        <f t="array" ref="BB10">BB25</f>
        <v>Принято органом регулирования</v>
      </c>
      <c r="BI10" s="595"/>
      <c r="BJ10" s="595"/>
    </row>
    <row r="11" spans="1:62" s="943" customFormat="1" ht="11.25" hidden="1" customHeight="1">
      <c r="A11" s="943" t="s">
        <v>357</v>
      </c>
      <c r="B11" s="944"/>
      <c r="K11" s="945"/>
      <c r="BC11" s="943" t="str" cm="1">
        <f t="array" ref="BC11">BC24</f>
        <v>Ссылка на правовую норму (основание для принятия показателя в расчет тарифа)</v>
      </c>
      <c r="BI11" s="595"/>
      <c r="BJ11" s="595"/>
    </row>
    <row r="12" spans="1:62" s="943" customFormat="1" ht="11.25" hidden="1" customHeight="1">
      <c r="A12" s="943" t="s">
        <v>329</v>
      </c>
      <c r="B12" s="944"/>
      <c r="K12" s="945"/>
      <c r="AC12" s="943" t="s">
        <v>316</v>
      </c>
      <c r="BI12" s="595"/>
      <c r="BJ12" s="595"/>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71" t="s">
        <v>358</v>
      </c>
      <c r="AC18" s="71" t="s">
        <v>963</v>
      </c>
    </row>
    <row r="19" spans="1:62" ht="11.25" hidden="1" customHeight="1"/>
    <row r="20" spans="1:62" ht="11.25" hidden="1" customHeight="1"/>
    <row r="21" spans="1:62" ht="14.65" customHeight="1">
      <c r="E21" s="595">
        <v>15</v>
      </c>
      <c r="AA21" s="574"/>
      <c r="AC21" s="3" t="str" cm="1">
        <f t="array" ref="AC21">tpl_title</f>
        <v>Кемеровская область / 2026 / ОАО «СКЭК» (ИНН:4205153492, КПП:420501001) / ДПР: 2026-2026</v>
      </c>
    </row>
    <row r="22" spans="1:62" ht="19.5" customHeight="1">
      <c r="E22" s="595">
        <v>20</v>
      </c>
      <c r="AB22" s="231" t="s">
        <v>59</v>
      </c>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26"/>
    </row>
    <row r="23" spans="1:62" ht="10.9" customHeight="1">
      <c r="E23" s="595">
        <v>11.25</v>
      </c>
      <c r="AB23" s="72"/>
      <c r="AC23" s="73"/>
      <c r="AD23" s="73"/>
      <c r="AE23" s="73"/>
      <c r="AF23" s="73"/>
      <c r="AG23" s="73"/>
      <c r="AH23" s="73"/>
      <c r="AI23" s="73"/>
      <c r="AJ23" s="73"/>
      <c r="AK23" s="73"/>
      <c r="AL23" s="73"/>
      <c r="AM23" s="73"/>
      <c r="AN23" s="73"/>
      <c r="AO23" s="73"/>
      <c r="AP23" s="73"/>
      <c r="AQ23" s="73"/>
      <c r="AR23" s="73"/>
      <c r="AS23" s="73"/>
      <c r="AT23" s="74"/>
      <c r="AU23" s="74"/>
      <c r="AV23" s="74"/>
      <c r="AW23" s="74"/>
      <c r="AX23" s="74"/>
      <c r="AY23" s="74"/>
      <c r="AZ23" s="74"/>
      <c r="BA23" s="74"/>
      <c r="BB23" s="74"/>
    </row>
    <row r="24" spans="1:62" ht="14.65" customHeight="1">
      <c r="E24" s="595">
        <v>15</v>
      </c>
      <c r="AB24" s="1758" t="s">
        <v>748</v>
      </c>
      <c r="AC24" s="1804" t="s">
        <v>194</v>
      </c>
      <c r="AD24" s="1758" t="s">
        <v>360</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781" t="s">
        <v>494</v>
      </c>
    </row>
    <row r="25" spans="1:62" ht="48.75" customHeight="1">
      <c r="E25" s="595">
        <v>50</v>
      </c>
      <c r="AB25" s="1814"/>
      <c r="AC25" s="1814"/>
      <c r="AD25" s="1814"/>
      <c r="AE25" s="11" t="s">
        <v>352</v>
      </c>
      <c r="AF25" s="1019" t="s">
        <v>417</v>
      </c>
      <c r="AG25" s="11" t="s">
        <v>418</v>
      </c>
      <c r="AH25" s="11" t="s">
        <v>352</v>
      </c>
      <c r="AI25" s="1023" t="s">
        <v>353</v>
      </c>
      <c r="AJ25" s="1023" t="s">
        <v>353</v>
      </c>
      <c r="AK25" s="1023" t="s">
        <v>353</v>
      </c>
      <c r="AL25" s="1023" t="s">
        <v>353</v>
      </c>
      <c r="AM25" s="1023" t="s">
        <v>353</v>
      </c>
      <c r="AN25" s="1023" t="s">
        <v>353</v>
      </c>
      <c r="AO25" s="1023" t="s">
        <v>353</v>
      </c>
      <c r="AP25" s="1023" t="s">
        <v>353</v>
      </c>
      <c r="AQ25" s="1023" t="s">
        <v>353</v>
      </c>
      <c r="AR25" s="1023" t="s">
        <v>353</v>
      </c>
      <c r="AS25" s="272" t="s">
        <v>352</v>
      </c>
      <c r="AT25" s="272" t="s">
        <v>352</v>
      </c>
      <c r="AU25" s="272" t="s">
        <v>352</v>
      </c>
      <c r="AV25" s="272" t="s">
        <v>352</v>
      </c>
      <c r="AW25" s="272" t="s">
        <v>352</v>
      </c>
      <c r="AX25" s="272" t="s">
        <v>352</v>
      </c>
      <c r="AY25" s="272" t="s">
        <v>352</v>
      </c>
      <c r="AZ25" s="272" t="s">
        <v>352</v>
      </c>
      <c r="BA25" s="272" t="s">
        <v>352</v>
      </c>
      <c r="BB25" s="272" t="s">
        <v>352</v>
      </c>
      <c r="BC25" s="1814"/>
    </row>
    <row r="26" spans="1:62" s="1327" customFormat="1" ht="11.25" hidden="1" customHeight="1">
      <c r="A26" s="415"/>
      <c r="B26" s="575"/>
      <c r="C26" s="415"/>
      <c r="D26" s="415"/>
      <c r="E26" s="576">
        <v>0</v>
      </c>
      <c r="F26" s="571" t="s">
        <v>964</v>
      </c>
      <c r="G26" s="415"/>
      <c r="H26" s="415"/>
      <c r="I26" s="398"/>
      <c r="J26" s="415"/>
      <c r="K26" s="820"/>
      <c r="L26" s="398"/>
      <c r="M26" s="415"/>
      <c r="N26" s="415"/>
      <c r="O26" s="415"/>
      <c r="P26" s="415"/>
      <c r="Q26" s="415"/>
      <c r="R26" s="415"/>
      <c r="S26" s="415"/>
      <c r="T26" s="415"/>
      <c r="U26" s="415"/>
      <c r="V26" s="415"/>
      <c r="W26" s="415"/>
      <c r="X26" s="415"/>
      <c r="Y26" s="415"/>
      <c r="Z26" s="415"/>
      <c r="AA26" s="415"/>
      <c r="AB26" s="415"/>
      <c r="AC26" s="19"/>
      <c r="AD26" s="19"/>
      <c r="AE26" s="19"/>
      <c r="AF26" s="19"/>
      <c r="AQ26" s="20"/>
      <c r="BF26" s="906"/>
      <c r="BG26" s="906"/>
      <c r="BH26" s="906"/>
      <c r="BI26" s="541"/>
      <c r="BJ26" s="541"/>
    </row>
    <row r="27" spans="1:62" ht="14.65" hidden="1" customHeight="1">
      <c r="E27" s="595">
        <v>15</v>
      </c>
      <c r="F27" s="17" cm="1">
        <f t="array" ref="F27">X27</f>
        <v>0</v>
      </c>
      <c r="I27" s="795" t="s">
        <v>965</v>
      </c>
      <c r="T27" s="381" t="b">
        <f>X27&gt;0</f>
        <v>0</v>
      </c>
      <c r="V27" s="71" t="s">
        <v>270</v>
      </c>
      <c r="X27" s="1711">
        <v>0</v>
      </c>
      <c r="Y27" s="597"/>
      <c r="Z27" s="1811"/>
      <c r="AB27" s="140" t="str" cm="1">
        <f t="array" ref="AB27">INDEX('Общие сведения'!$AG$179:$AG$208,MATCH($X27,'Общие сведения'!$Z$179:$Z$208,0))</f>
        <v xml:space="preserve">Тариф 0 () - </v>
      </c>
      <c r="AC27" s="99"/>
      <c r="AD27" s="99"/>
      <c r="AE27" s="220">
        <f t="shared" ref="AE27:BB27" si="1">AE33+AE38+AE43+AE48+AE28+AE53+AE54+AE55+AE56</f>
        <v>0</v>
      </c>
      <c r="AF27" s="220">
        <f t="shared" si="1"/>
        <v>0</v>
      </c>
      <c r="AG27" s="220">
        <f t="shared" si="1"/>
        <v>0</v>
      </c>
      <c r="AH27" s="220">
        <f t="shared" si="1"/>
        <v>0</v>
      </c>
      <c r="AI27" s="220">
        <f t="shared" si="1"/>
        <v>0</v>
      </c>
      <c r="AJ27" s="220">
        <f t="shared" si="1"/>
        <v>0</v>
      </c>
      <c r="AK27" s="220">
        <f t="shared" si="1"/>
        <v>0</v>
      </c>
      <c r="AL27" s="220">
        <f t="shared" si="1"/>
        <v>0</v>
      </c>
      <c r="AM27" s="220">
        <f t="shared" si="1"/>
        <v>0</v>
      </c>
      <c r="AN27" s="220">
        <f t="shared" si="1"/>
        <v>0</v>
      </c>
      <c r="AO27" s="220">
        <f t="shared" si="1"/>
        <v>0</v>
      </c>
      <c r="AP27" s="220">
        <f t="shared" si="1"/>
        <v>0</v>
      </c>
      <c r="AQ27" s="220">
        <f t="shared" si="1"/>
        <v>0</v>
      </c>
      <c r="AR27" s="220">
        <f t="shared" si="1"/>
        <v>0</v>
      </c>
      <c r="AS27" s="220">
        <f t="shared" si="1"/>
        <v>0</v>
      </c>
      <c r="AT27" s="220">
        <f t="shared" si="1"/>
        <v>0</v>
      </c>
      <c r="AU27" s="220">
        <f t="shared" si="1"/>
        <v>0</v>
      </c>
      <c r="AV27" s="220">
        <f t="shared" si="1"/>
        <v>0</v>
      </c>
      <c r="AW27" s="220">
        <f t="shared" si="1"/>
        <v>0</v>
      </c>
      <c r="AX27" s="220">
        <f t="shared" si="1"/>
        <v>0</v>
      </c>
      <c r="AY27" s="220">
        <f t="shared" si="1"/>
        <v>0</v>
      </c>
      <c r="AZ27" s="220">
        <f t="shared" si="1"/>
        <v>0</v>
      </c>
      <c r="BA27" s="220">
        <f t="shared" si="1"/>
        <v>0</v>
      </c>
      <c r="BB27" s="220">
        <f t="shared" si="1"/>
        <v>0</v>
      </c>
      <c r="BC27" s="142"/>
    </row>
    <row r="28" spans="1:62" ht="14.65" hidden="1" customHeight="1">
      <c r="E28" s="595">
        <v>15</v>
      </c>
      <c r="F28" s="3" cm="1">
        <f t="array" aca="1" ref="F28" ca="1">OFFSET(E28,-1,1)</f>
        <v>0</v>
      </c>
      <c r="G28" s="71" t="s">
        <v>323</v>
      </c>
      <c r="K28" s="817" t="str">
        <f ca="1">F28&amp;"1komm"</f>
        <v>01komm</v>
      </c>
      <c r="L28" s="821" cm="1">
        <f t="array" ref="L28">BC28</f>
        <v>0</v>
      </c>
      <c r="T28" s="381" t="b" cm="1">
        <f t="array" ref="T28">T27</f>
        <v>0</v>
      </c>
      <c r="X28" s="1711"/>
      <c r="Z28" s="1811"/>
      <c r="AB28" s="129">
        <v>1</v>
      </c>
      <c r="AC28" s="130" t="s">
        <v>966</v>
      </c>
      <c r="AD28" s="129" t="s">
        <v>766</v>
      </c>
      <c r="AE28" s="131">
        <f>SUMIF(AD30:AD32,AD28,AE30:AE32)</f>
        <v>0</v>
      </c>
      <c r="AF28" s="131">
        <f>SUMIF(AD30:AD32,AD28,AF30:AF32)</f>
        <v>0</v>
      </c>
      <c r="AG28" s="131">
        <f>SUMIF(AD30:AD32,AD28,AG30:AG32)</f>
        <v>0</v>
      </c>
      <c r="AH28" s="131">
        <f>SUMIF(AD30:AD32,AD28,AH30:AH32)</f>
        <v>0</v>
      </c>
      <c r="AI28" s="131">
        <f>SUMIF(AD30:AD32,AD28,AI30:AI32)</f>
        <v>0</v>
      </c>
      <c r="AJ28" s="1318">
        <f>SUMIF(AD30:AD32,AD28,AJ30:AJ32)</f>
        <v>0</v>
      </c>
      <c r="AK28" s="1318">
        <f>SUMIF(AD30:AD32,AD28,AK30:AK32)</f>
        <v>0</v>
      </c>
      <c r="AL28" s="1318">
        <f>SUMIF(AD30:AD32,AD28,AL30:AL32)</f>
        <v>0</v>
      </c>
      <c r="AM28" s="1318">
        <f>SUMIF(AD30:AD32,AD28,AM30:AM32)</f>
        <v>0</v>
      </c>
      <c r="AN28" s="1318">
        <f>SUMIF(AD30:AD32,AD28,AN30:AN32)</f>
        <v>0</v>
      </c>
      <c r="AO28" s="1318">
        <f>SUMIF(AD30:AD32,AD28,AO30:AO32)</f>
        <v>0</v>
      </c>
      <c r="AP28" s="1318">
        <f>SUMIF(AD30:AD32,AD28,AP30:AP32)</f>
        <v>0</v>
      </c>
      <c r="AQ28" s="1318">
        <f>SUMIF(AD30:AD32,AD28,AQ30:AQ32)</f>
        <v>0</v>
      </c>
      <c r="AR28" s="1318">
        <f>SUMIF(AD30:AD32,AD28,AR30:AR32)</f>
        <v>0</v>
      </c>
      <c r="AS28" s="131">
        <f>SUMIF(AD30:AD32,AD28,AS30:AS32)</f>
        <v>0</v>
      </c>
      <c r="AT28" s="1318">
        <f>SUMIF(AD30:AD32,AD28,AT30:AT32)</f>
        <v>0</v>
      </c>
      <c r="AU28" s="1318">
        <f>SUMIF(AD30:AD32,AD28,AU30:AU32)</f>
        <v>0</v>
      </c>
      <c r="AV28" s="1318">
        <f>SUMIF(AD30:AD32,AD28,AV30:AV32)</f>
        <v>0</v>
      </c>
      <c r="AW28" s="1318">
        <f>SUMIF(AD30:AD32,AD28,AW30:AW32)</f>
        <v>0</v>
      </c>
      <c r="AX28" s="1318">
        <f>SUMIF(AD30:AD32,AD28,AX30:AX32)</f>
        <v>0</v>
      </c>
      <c r="AY28" s="1318">
        <f>SUMIF(AD30:AD32,AD28,AY30:AY32)</f>
        <v>0</v>
      </c>
      <c r="AZ28" s="1318">
        <f>SUMIF(AD30:AD32,AD28,AZ30:AZ32)</f>
        <v>0</v>
      </c>
      <c r="BA28" s="1318">
        <f>SUMIF(AD30:AD32,AD28,BA30:BA32)</f>
        <v>0</v>
      </c>
      <c r="BB28" s="1318">
        <f>SUMIF(AD30:AD32,AD28,BB30:BB32)</f>
        <v>0</v>
      </c>
      <c r="BC28" s="1361"/>
      <c r="BF28" s="943" t="s">
        <v>967</v>
      </c>
    </row>
    <row r="29" spans="1:62" ht="15" hidden="1" customHeight="1">
      <c r="E29" s="595">
        <v>0</v>
      </c>
      <c r="F29" s="3" cm="1">
        <f t="array" aca="1" ref="F29" ca="1">OFFSET(E29,-1,1)</f>
        <v>0</v>
      </c>
      <c r="L29" s="821"/>
      <c r="T29" s="381" t="b">
        <v>0</v>
      </c>
      <c r="W29" s="71" t="s">
        <v>173</v>
      </c>
      <c r="X29" s="1711"/>
      <c r="Y29" s="1711">
        <v>0</v>
      </c>
      <c r="Z29" s="1811"/>
      <c r="AA29" s="1812" t="s">
        <v>174</v>
      </c>
      <c r="AB29" s="129"/>
      <c r="AC29" s="130"/>
      <c r="AD29" s="129"/>
      <c r="AE29" s="134" t="b">
        <f t="shared" ref="AE29:BB29" si="2">OR(AND(AE30&lt;&gt;"",AE31=""),AND(AE30="",AE31&lt;&gt;""))</f>
        <v>0</v>
      </c>
      <c r="AF29" s="134" t="b">
        <f t="shared" si="2"/>
        <v>0</v>
      </c>
      <c r="AG29" s="134" t="b">
        <f t="shared" si="2"/>
        <v>0</v>
      </c>
      <c r="AH29" s="134" t="b">
        <f t="shared" si="2"/>
        <v>0</v>
      </c>
      <c r="AI29" s="134" t="b">
        <f t="shared" si="2"/>
        <v>0</v>
      </c>
      <c r="AJ29" s="134" t="b">
        <f t="shared" si="2"/>
        <v>0</v>
      </c>
      <c r="AK29" s="134" t="b">
        <f t="shared" si="2"/>
        <v>0</v>
      </c>
      <c r="AL29" s="134" t="b">
        <f t="shared" si="2"/>
        <v>0</v>
      </c>
      <c r="AM29" s="134" t="b">
        <f t="shared" si="2"/>
        <v>0</v>
      </c>
      <c r="AN29" s="134" t="b">
        <f t="shared" si="2"/>
        <v>0</v>
      </c>
      <c r="AO29" s="134" t="b">
        <f t="shared" si="2"/>
        <v>0</v>
      </c>
      <c r="AP29" s="134" t="b">
        <f t="shared" si="2"/>
        <v>0</v>
      </c>
      <c r="AQ29" s="134" t="b">
        <f t="shared" si="2"/>
        <v>0</v>
      </c>
      <c r="AR29" s="134" t="b">
        <f t="shared" si="2"/>
        <v>0</v>
      </c>
      <c r="AS29" s="134" t="b">
        <f t="shared" si="2"/>
        <v>0</v>
      </c>
      <c r="AT29" s="134" t="b">
        <f t="shared" si="2"/>
        <v>0</v>
      </c>
      <c r="AU29" s="134" t="b">
        <f t="shared" si="2"/>
        <v>0</v>
      </c>
      <c r="AV29" s="134" t="b">
        <f t="shared" si="2"/>
        <v>0</v>
      </c>
      <c r="AW29" s="134" t="b">
        <f t="shared" si="2"/>
        <v>0</v>
      </c>
      <c r="AX29" s="134" t="b">
        <f t="shared" si="2"/>
        <v>0</v>
      </c>
      <c r="AY29" s="134" t="b">
        <f t="shared" si="2"/>
        <v>0</v>
      </c>
      <c r="AZ29" s="134" t="b">
        <f t="shared" si="2"/>
        <v>0</v>
      </c>
      <c r="BA29" s="134" t="b">
        <f t="shared" si="2"/>
        <v>0</v>
      </c>
      <c r="BB29" s="134" t="b">
        <f t="shared" si="2"/>
        <v>0</v>
      </c>
      <c r="BC29" s="876"/>
    </row>
    <row r="30" spans="1:62" ht="14.65" hidden="1" customHeight="1">
      <c r="E30" s="595">
        <v>15</v>
      </c>
      <c r="F30" s="3" cm="1">
        <f t="array" aca="1" ref="F30" ca="1">OFFSET(E30,-1,1)</f>
        <v>0</v>
      </c>
      <c r="G30" s="71" t="s">
        <v>323</v>
      </c>
      <c r="H30" s="74" cm="1">
        <f t="array" ref="H30">AC30</f>
        <v>0</v>
      </c>
      <c r="I30" s="71" t="s">
        <v>968</v>
      </c>
      <c r="T30" s="381" t="b">
        <f ca="1">AND(F30&gt;0,Y29&gt;0)</f>
        <v>0</v>
      </c>
      <c r="X30" s="1711"/>
      <c r="Y30" s="1711"/>
      <c r="Z30" s="1811"/>
      <c r="AA30" s="1812"/>
      <c r="AB30" s="7" t="str">
        <f>"1."&amp;Y29</f>
        <v>1.0</v>
      </c>
      <c r="AC30" s="190"/>
      <c r="AD30" s="129" t="s">
        <v>766</v>
      </c>
      <c r="AE30" s="1397"/>
      <c r="AF30" s="1397"/>
      <c r="AG30" s="1397"/>
      <c r="AH30" s="1397"/>
      <c r="AI30" s="1320"/>
      <c r="AJ30" s="1397"/>
      <c r="AK30" s="1397"/>
      <c r="AL30" s="1397"/>
      <c r="AM30" s="1397"/>
      <c r="AN30" s="1397"/>
      <c r="AO30" s="1397"/>
      <c r="AP30" s="1397"/>
      <c r="AQ30" s="1397"/>
      <c r="AR30" s="1397"/>
      <c r="AS30" s="1320"/>
      <c r="AT30" s="1397"/>
      <c r="AU30" s="1397"/>
      <c r="AV30" s="1397"/>
      <c r="AW30" s="1397"/>
      <c r="AX30" s="1397"/>
      <c r="AY30" s="1397"/>
      <c r="AZ30" s="1397"/>
      <c r="BA30" s="1397"/>
      <c r="BB30" s="1397"/>
      <c r="BC30" s="1361"/>
      <c r="BF30" s="943" t="s">
        <v>969</v>
      </c>
      <c r="BG30" s="943" t="s">
        <v>970</v>
      </c>
      <c r="BH30" s="943" cm="1">
        <f t="array" ref="BH30">AC30</f>
        <v>0</v>
      </c>
      <c r="BJ30" s="595" t="b">
        <v>1</v>
      </c>
    </row>
    <row r="31" spans="1:62" ht="14.65" hidden="1" customHeight="1">
      <c r="E31" s="595">
        <v>15</v>
      </c>
      <c r="F31" s="3" cm="1">
        <f t="array" aca="1" ref="F31" ca="1">OFFSET(E31,-1,1)</f>
        <v>0</v>
      </c>
      <c r="G31" s="71" t="s">
        <v>427</v>
      </c>
      <c r="H31" s="74" cm="1">
        <f t="array" ref="H31">H30</f>
        <v>0</v>
      </c>
      <c r="I31" s="71" t="s">
        <v>968</v>
      </c>
      <c r="T31" s="381" t="b" cm="1">
        <f t="array" aca="1" ref="T31" ca="1">T30</f>
        <v>0</v>
      </c>
      <c r="X31" s="1711"/>
      <c r="Y31" s="1711"/>
      <c r="Z31" s="1811"/>
      <c r="AA31" s="1812"/>
      <c r="AB31" s="7" t="str">
        <f>AB30&amp;".1"</f>
        <v>1.0.1</v>
      </c>
      <c r="AC31" s="139" t="s">
        <v>971</v>
      </c>
      <c r="AD31" s="7" t="s">
        <v>499</v>
      </c>
      <c r="AE31" s="1395"/>
      <c r="AF31" s="1395"/>
      <c r="AG31" s="1395"/>
      <c r="AH31" s="1395"/>
      <c r="AI31" s="133"/>
      <c r="AJ31" s="1395"/>
      <c r="AK31" s="1395"/>
      <c r="AL31" s="1395"/>
      <c r="AM31" s="1395"/>
      <c r="AN31" s="1395"/>
      <c r="AO31" s="1395"/>
      <c r="AP31" s="1395"/>
      <c r="AQ31" s="1395"/>
      <c r="AR31" s="1395"/>
      <c r="AS31" s="133"/>
      <c r="AT31" s="1395"/>
      <c r="AU31" s="1395"/>
      <c r="AV31" s="1395"/>
      <c r="AW31" s="1395"/>
      <c r="AX31" s="1395"/>
      <c r="AY31" s="1395"/>
      <c r="AZ31" s="1395"/>
      <c r="BA31" s="1395"/>
      <c r="BB31" s="1395"/>
      <c r="BC31" s="1361"/>
      <c r="BF31" s="943" t="s">
        <v>972</v>
      </c>
      <c r="BG31" s="943" t="s">
        <v>970</v>
      </c>
      <c r="BH31" s="943" cm="1">
        <f t="array" ref="BH31">BH30</f>
        <v>0</v>
      </c>
    </row>
    <row r="32" spans="1:62" ht="14.65" hidden="1" customHeight="1">
      <c r="E32" s="595">
        <v>15</v>
      </c>
      <c r="F32" s="3" cm="1">
        <f t="array" aca="1" ref="F32" ca="1">OFFSET(E32,-1,1)</f>
        <v>0</v>
      </c>
      <c r="H32" s="71" t="str">
        <f>"!=='не определено' &amp;&amp; row.l1 !== null"</f>
        <v>!=='не определено' &amp;&amp; row.l1 !== null</v>
      </c>
      <c r="T32" s="381" t="b">
        <f ca="1">F32&gt;0</f>
        <v>0</v>
      </c>
      <c r="W32" s="602" t="s">
        <v>973</v>
      </c>
      <c r="X32" s="1711"/>
      <c r="Z32" s="1811"/>
      <c r="AB32" s="598"/>
      <c r="AC32" s="150" t="s">
        <v>974</v>
      </c>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1"/>
      <c r="BI32" s="595" t="s">
        <v>970</v>
      </c>
    </row>
    <row r="33" spans="5:62" ht="21.95" hidden="1" customHeight="1">
      <c r="E33" s="595">
        <v>22.5</v>
      </c>
      <c r="F33" s="3" cm="1">
        <f t="array" aca="1" ref="F33" ca="1">OFFSET(E33,-1,1)</f>
        <v>0</v>
      </c>
      <c r="K33" s="817" t="str">
        <f ca="1">F28&amp;"2komm"</f>
        <v>02komm</v>
      </c>
      <c r="L33" s="821" cm="1">
        <f t="array" ref="L33">BC33</f>
        <v>0</v>
      </c>
      <c r="T33" s="381" t="b" cm="1">
        <f t="array" aca="1" ref="T33" ca="1">T32</f>
        <v>0</v>
      </c>
      <c r="X33" s="1711"/>
      <c r="Y33" s="601"/>
      <c r="Z33" s="1811"/>
      <c r="AB33" s="129">
        <v>2</v>
      </c>
      <c r="AC33" s="130" t="s">
        <v>975</v>
      </c>
      <c r="AD33" s="129" t="s">
        <v>766</v>
      </c>
      <c r="AE33" s="131">
        <f>SUMIF(AD35:AD37,AD33,AE35:AE37)</f>
        <v>0</v>
      </c>
      <c r="AF33" s="131">
        <f>SUMIF(AD35:AD37,AD33,AF35:AF37)</f>
        <v>0</v>
      </c>
      <c r="AG33" s="131">
        <f>SUMIF(AD35:AD37,AD33,AG35:AG37)</f>
        <v>0</v>
      </c>
      <c r="AH33" s="131">
        <f>SUMIF(AD35:AD37,AD33,AH35:AH37)</f>
        <v>0</v>
      </c>
      <c r="AI33" s="131">
        <f>SUMIF(AD35:AD37,AD33,AI35:AI37)</f>
        <v>0</v>
      </c>
      <c r="AJ33" s="1318">
        <f>SUMIF(AD35:AD37,AD33,AJ35:AJ37)</f>
        <v>0</v>
      </c>
      <c r="AK33" s="1318">
        <f>SUMIF(AD35:AD37,AD33,AK35:AK37)</f>
        <v>0</v>
      </c>
      <c r="AL33" s="1318">
        <f>SUMIF(AD35:AD37,AD33,AL35:AL37)</f>
        <v>0</v>
      </c>
      <c r="AM33" s="1318">
        <f>SUMIF(AD35:AD37,AD33,AM35:AM37)</f>
        <v>0</v>
      </c>
      <c r="AN33" s="1318">
        <f>SUMIF(AD35:AD37,AD33,AN35:AN37)</f>
        <v>0</v>
      </c>
      <c r="AO33" s="1318">
        <f>SUMIF(AD35:AD37,AD33,AO35:AO37)</f>
        <v>0</v>
      </c>
      <c r="AP33" s="1318">
        <f>SUMIF(AD35:AD37,AD33,AP35:AP37)</f>
        <v>0</v>
      </c>
      <c r="AQ33" s="1318">
        <f>SUMIF(AD35:AD37,AD33,AQ35:AQ37)</f>
        <v>0</v>
      </c>
      <c r="AR33" s="1318">
        <f>SUMIF(AD35:AD37,AD33,AR35:AR37)</f>
        <v>0</v>
      </c>
      <c r="AS33" s="131">
        <f>SUMIF(AD35:AD37,AD33,AS35:AS37)</f>
        <v>0</v>
      </c>
      <c r="AT33" s="1318">
        <f>SUMIF(AD35:AD37,AD33,AT35:AT37)</f>
        <v>0</v>
      </c>
      <c r="AU33" s="1318">
        <f>SUMIF(AD35:AD37,AD33,AU35:AU37)</f>
        <v>0</v>
      </c>
      <c r="AV33" s="1318">
        <f>SUMIF(AD35:AD37,AD33,AV35:AV37)</f>
        <v>0</v>
      </c>
      <c r="AW33" s="1318">
        <f>SUMIF(AD35:AD37,AD33,AW35:AW37)</f>
        <v>0</v>
      </c>
      <c r="AX33" s="1318">
        <f>SUMIF(AD35:AD37,AD33,AX35:AX37)</f>
        <v>0</v>
      </c>
      <c r="AY33" s="1318">
        <f>SUMIF(AD35:AD37,AD33,AY35:AY37)</f>
        <v>0</v>
      </c>
      <c r="AZ33" s="1318">
        <f>SUMIF(AD35:AD37,AD33,AZ35:AZ37)</f>
        <v>0</v>
      </c>
      <c r="BA33" s="1318">
        <f>SUMIF(AD35:AD37,AD33,BA35:BA37)</f>
        <v>0</v>
      </c>
      <c r="BB33" s="1318">
        <f>SUMIF(AD35:AD37,AD33,BB35:BB37)</f>
        <v>0</v>
      </c>
      <c r="BC33" s="1361"/>
      <c r="BF33" s="943" t="s">
        <v>976</v>
      </c>
    </row>
    <row r="34" spans="5:62" ht="15" hidden="1" customHeight="1">
      <c r="E34" s="595">
        <v>0</v>
      </c>
      <c r="F34" s="3" cm="1">
        <f t="array" aca="1" ref="F34" ca="1">OFFSET(E34,-1,1)</f>
        <v>0</v>
      </c>
      <c r="G34" s="71" t="s">
        <v>324</v>
      </c>
      <c r="L34" s="821"/>
      <c r="T34" s="381" t="b">
        <v>0</v>
      </c>
      <c r="W34" s="71" t="s">
        <v>173</v>
      </c>
      <c r="X34" s="1711"/>
      <c r="Y34" s="1711">
        <v>0</v>
      </c>
      <c r="Z34" s="1811"/>
      <c r="AA34" s="1813" t="s">
        <v>174</v>
      </c>
      <c r="AB34" s="129"/>
      <c r="AC34" s="130"/>
      <c r="AD34" s="129"/>
      <c r="AE34" s="1321" t="b">
        <f t="shared" ref="AE34:BB34" si="3">OR(AND(AE35&lt;&gt;"",AE36=""),AND(AE35="",AE36&lt;&gt;""))</f>
        <v>0</v>
      </c>
      <c r="AF34" s="1321" t="b">
        <f t="shared" si="3"/>
        <v>0</v>
      </c>
      <c r="AG34" s="1321" t="b">
        <f t="shared" si="3"/>
        <v>0</v>
      </c>
      <c r="AH34" s="1321" t="b">
        <f t="shared" si="3"/>
        <v>0</v>
      </c>
      <c r="AI34" s="1321" t="b">
        <f t="shared" si="3"/>
        <v>0</v>
      </c>
      <c r="AJ34" s="1321" t="b">
        <f t="shared" si="3"/>
        <v>0</v>
      </c>
      <c r="AK34" s="1321" t="b">
        <f t="shared" si="3"/>
        <v>0</v>
      </c>
      <c r="AL34" s="1321" t="b">
        <f t="shared" si="3"/>
        <v>0</v>
      </c>
      <c r="AM34" s="1321" t="b">
        <f t="shared" si="3"/>
        <v>0</v>
      </c>
      <c r="AN34" s="1321" t="b">
        <f t="shared" si="3"/>
        <v>0</v>
      </c>
      <c r="AO34" s="1321" t="b">
        <f t="shared" si="3"/>
        <v>0</v>
      </c>
      <c r="AP34" s="1321" t="b">
        <f t="shared" si="3"/>
        <v>0</v>
      </c>
      <c r="AQ34" s="1321" t="b">
        <f t="shared" si="3"/>
        <v>0</v>
      </c>
      <c r="AR34" s="1321" t="b">
        <f t="shared" si="3"/>
        <v>0</v>
      </c>
      <c r="AS34" s="1321" t="b">
        <f t="shared" si="3"/>
        <v>0</v>
      </c>
      <c r="AT34" s="1321" t="b">
        <f t="shared" si="3"/>
        <v>0</v>
      </c>
      <c r="AU34" s="1321" t="b">
        <f t="shared" si="3"/>
        <v>0</v>
      </c>
      <c r="AV34" s="1321" t="b">
        <f t="shared" si="3"/>
        <v>0</v>
      </c>
      <c r="AW34" s="1321" t="b">
        <f t="shared" si="3"/>
        <v>0</v>
      </c>
      <c r="AX34" s="1321" t="b">
        <f t="shared" si="3"/>
        <v>0</v>
      </c>
      <c r="AY34" s="1321" t="b">
        <f t="shared" si="3"/>
        <v>0</v>
      </c>
      <c r="AZ34" s="1321" t="b">
        <f t="shared" si="3"/>
        <v>0</v>
      </c>
      <c r="BA34" s="1321" t="b">
        <f t="shared" si="3"/>
        <v>0</v>
      </c>
      <c r="BB34" s="1321" t="b">
        <f t="shared" si="3"/>
        <v>0</v>
      </c>
      <c r="BC34" s="876"/>
    </row>
    <row r="35" spans="5:62" ht="14.65" hidden="1" customHeight="1">
      <c r="E35" s="595">
        <v>15</v>
      </c>
      <c r="F35" s="3" cm="1">
        <f t="array" aca="1" ref="F35" ca="1">OFFSET(E35,-1,1)</f>
        <v>0</v>
      </c>
      <c r="G35" s="71" t="s">
        <v>324</v>
      </c>
      <c r="H35" s="74" cm="1">
        <f t="array" ref="H35">AC35</f>
        <v>0</v>
      </c>
      <c r="I35" s="71" t="s">
        <v>977</v>
      </c>
      <c r="T35" s="381" t="b">
        <f ca="1">AND(F35&gt;0,Y34&gt;0)</f>
        <v>0</v>
      </c>
      <c r="X35" s="1711"/>
      <c r="Y35" s="1711"/>
      <c r="Z35" s="1811"/>
      <c r="AA35" s="1813"/>
      <c r="AB35" s="7" t="str">
        <f>"2."&amp;Y34</f>
        <v>2.0</v>
      </c>
      <c r="AC35" s="190"/>
      <c r="AD35" s="129" t="s">
        <v>766</v>
      </c>
      <c r="AE35" s="1395"/>
      <c r="AF35" s="1395"/>
      <c r="AG35" s="1395"/>
      <c r="AH35" s="1395"/>
      <c r="AI35" s="133"/>
      <c r="AJ35" s="1395"/>
      <c r="AK35" s="1395"/>
      <c r="AL35" s="1395"/>
      <c r="AM35" s="1395"/>
      <c r="AN35" s="1395"/>
      <c r="AO35" s="1395"/>
      <c r="AP35" s="1395"/>
      <c r="AQ35" s="1395"/>
      <c r="AR35" s="1395"/>
      <c r="AS35" s="133"/>
      <c r="AT35" s="1395"/>
      <c r="AU35" s="1395"/>
      <c r="AV35" s="1395"/>
      <c r="AW35" s="1395"/>
      <c r="AX35" s="1395"/>
      <c r="AY35" s="1395"/>
      <c r="AZ35" s="1395"/>
      <c r="BA35" s="1395"/>
      <c r="BB35" s="1395"/>
      <c r="BC35" s="1361"/>
      <c r="BF35" s="943" t="s">
        <v>969</v>
      </c>
      <c r="BG35" s="943" t="s">
        <v>978</v>
      </c>
      <c r="BH35" s="943" cm="1">
        <f t="array" ref="BH35">AC35</f>
        <v>0</v>
      </c>
      <c r="BJ35" s="595" t="b">
        <v>1</v>
      </c>
    </row>
    <row r="36" spans="5:62" ht="14.65" hidden="1" customHeight="1">
      <c r="E36" s="595">
        <v>15</v>
      </c>
      <c r="F36" s="3" cm="1">
        <f t="array" aca="1" ref="F36" ca="1">OFFSET(E36,-1,1)</f>
        <v>0</v>
      </c>
      <c r="G36" s="71" t="s">
        <v>445</v>
      </c>
      <c r="H36" s="74" cm="1">
        <f t="array" ref="H36">H35</f>
        <v>0</v>
      </c>
      <c r="I36" s="71" t="s">
        <v>977</v>
      </c>
      <c r="T36" s="381" t="b" cm="1">
        <f t="array" aca="1" ref="T36" ca="1">T35</f>
        <v>0</v>
      </c>
      <c r="X36" s="1711"/>
      <c r="Y36" s="1711"/>
      <c r="Z36" s="1811"/>
      <c r="AA36" s="1813"/>
      <c r="AB36" s="7" t="str">
        <f>AB35&amp;".1"</f>
        <v>2.0.1</v>
      </c>
      <c r="AC36" s="139" t="s">
        <v>979</v>
      </c>
      <c r="AD36" s="7" t="s">
        <v>499</v>
      </c>
      <c r="AE36" s="1395"/>
      <c r="AF36" s="1395"/>
      <c r="AG36" s="1395"/>
      <c r="AH36" s="1395"/>
      <c r="AI36" s="133"/>
      <c r="AJ36" s="1395"/>
      <c r="AK36" s="1395"/>
      <c r="AL36" s="1395"/>
      <c r="AM36" s="1395"/>
      <c r="AN36" s="1395"/>
      <c r="AO36" s="1395"/>
      <c r="AP36" s="1395"/>
      <c r="AQ36" s="1395"/>
      <c r="AR36" s="1395"/>
      <c r="AS36" s="133"/>
      <c r="AT36" s="1395"/>
      <c r="AU36" s="1395"/>
      <c r="AV36" s="1395"/>
      <c r="AW36" s="1395"/>
      <c r="AX36" s="1395"/>
      <c r="AY36" s="1395"/>
      <c r="AZ36" s="1395"/>
      <c r="BA36" s="1395"/>
      <c r="BB36" s="1395"/>
      <c r="BC36" s="1361"/>
      <c r="BF36" s="943" t="s">
        <v>972</v>
      </c>
      <c r="BG36" s="943" t="s">
        <v>978</v>
      </c>
      <c r="BH36" s="943" cm="1">
        <f t="array" ref="BH36">BH35</f>
        <v>0</v>
      </c>
    </row>
    <row r="37" spans="5:62" ht="14.65" hidden="1" customHeight="1">
      <c r="E37" s="595">
        <v>15</v>
      </c>
      <c r="F37" s="3" cm="1">
        <f t="array" aca="1" ref="F37" ca="1">OFFSET(E37,-1,1)</f>
        <v>0</v>
      </c>
      <c r="H37" s="71" t="str">
        <f>"!=='не определено' &amp;&amp; row.l2 !== null"</f>
        <v>!=='не определено' &amp;&amp; row.l2 !== null</v>
      </c>
      <c r="T37" s="381" t="b">
        <f ca="1">F37&gt;0</f>
        <v>0</v>
      </c>
      <c r="W37" s="602" t="s">
        <v>973</v>
      </c>
      <c r="X37" s="1711"/>
      <c r="Y37" s="600"/>
      <c r="Z37" s="1811"/>
      <c r="AB37" s="598"/>
      <c r="AC37" s="150" t="s">
        <v>974</v>
      </c>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1"/>
      <c r="BI37" s="595" t="s">
        <v>978</v>
      </c>
    </row>
    <row r="38" spans="5:62" ht="22.35" hidden="1" customHeight="1">
      <c r="E38" s="595">
        <v>23</v>
      </c>
      <c r="F38" s="3" cm="1">
        <f t="array" aca="1" ref="F38" ca="1">OFFSET(E38,-1,1)</f>
        <v>0</v>
      </c>
      <c r="K38" s="817" t="str">
        <f ca="1">F28&amp;"3komm"</f>
        <v>03komm</v>
      </c>
      <c r="L38" s="821" cm="1">
        <f t="array" ref="L38">BC38</f>
        <v>0</v>
      </c>
      <c r="T38" s="381" t="b" cm="1">
        <f t="array" aca="1" ref="T38" ca="1">T37</f>
        <v>0</v>
      </c>
      <c r="X38" s="1711"/>
      <c r="Y38" s="601"/>
      <c r="Z38" s="1811"/>
      <c r="AB38" s="129">
        <v>3</v>
      </c>
      <c r="AC38" s="130" t="s">
        <v>980</v>
      </c>
      <c r="AD38" s="129" t="s">
        <v>766</v>
      </c>
      <c r="AE38" s="131">
        <f>SUMIF(AD40:AD42,AD38,AE40:AE42)</f>
        <v>0</v>
      </c>
      <c r="AF38" s="131">
        <f>SUMIF(AD40:AD42,AD38,AF40:AF42)</f>
        <v>0</v>
      </c>
      <c r="AG38" s="131">
        <f>SUMIF(AD40:AD42,AD38,AG40:AG42)</f>
        <v>0</v>
      </c>
      <c r="AH38" s="131">
        <f>SUMIF(AD40:AD42,AD38,AH40:AH42)</f>
        <v>0</v>
      </c>
      <c r="AI38" s="131">
        <f>SUMIF(AD40:AD42,AD38,AI40:AI42)</f>
        <v>0</v>
      </c>
      <c r="AJ38" s="1318">
        <f>SUMIF(AD40:AD42,AD38,AJ40:AJ42)</f>
        <v>0</v>
      </c>
      <c r="AK38" s="1318">
        <f>SUMIF(AD40:AD42,AD38,AK40:AK42)</f>
        <v>0</v>
      </c>
      <c r="AL38" s="1318">
        <f>SUMIF(AD40:AD42,AD38,AL40:AL42)</f>
        <v>0</v>
      </c>
      <c r="AM38" s="1318">
        <f>SUMIF(AD40:AD42,AD38,AM40:AM42)</f>
        <v>0</v>
      </c>
      <c r="AN38" s="1318">
        <f>SUMIF(AD40:AD42,AD38,AN40:AN42)</f>
        <v>0</v>
      </c>
      <c r="AO38" s="1318">
        <f>SUMIF(AD40:AD42,AD38,AO40:AO42)</f>
        <v>0</v>
      </c>
      <c r="AP38" s="1318">
        <f>SUMIF(AD40:AD42,AD38,AP40:AP42)</f>
        <v>0</v>
      </c>
      <c r="AQ38" s="1318">
        <f>SUMIF(AD40:AD42,AD38,AQ40:AQ42)</f>
        <v>0</v>
      </c>
      <c r="AR38" s="1318">
        <f>SUMIF(AD40:AD42,AD38,AR40:AR42)</f>
        <v>0</v>
      </c>
      <c r="AS38" s="131">
        <f>SUMIF(AD40:AD42,AD38,AS40:AS42)</f>
        <v>0</v>
      </c>
      <c r="AT38" s="1318">
        <f>SUMIF(AD40:AD42,AD38,AT40:AT42)</f>
        <v>0</v>
      </c>
      <c r="AU38" s="1318">
        <f>SUMIF(AD40:AD42,AD38,AU40:AU42)</f>
        <v>0</v>
      </c>
      <c r="AV38" s="1318">
        <f>SUMIF(AD40:AD42,AD38,AV40:AV42)</f>
        <v>0</v>
      </c>
      <c r="AW38" s="1318">
        <f>SUMIF(AD40:AD42,AD38,AW40:AW42)</f>
        <v>0</v>
      </c>
      <c r="AX38" s="1318">
        <f>SUMIF(AD40:AD42,AD38,AX40:AX42)</f>
        <v>0</v>
      </c>
      <c r="AY38" s="1318">
        <f>SUMIF(AD40:AD42,AD38,AY40:AY42)</f>
        <v>0</v>
      </c>
      <c r="AZ38" s="1318">
        <f>SUMIF(AD40:AD42,AD38,AZ40:AZ42)</f>
        <v>0</v>
      </c>
      <c r="BA38" s="1318">
        <f>SUMIF(AD40:AD42,AD38,BA40:BA42)</f>
        <v>0</v>
      </c>
      <c r="BB38" s="1318">
        <f>SUMIF(AD40:AD42,AD38,BB40:BB42)</f>
        <v>0</v>
      </c>
      <c r="BC38" s="1361"/>
      <c r="BF38" s="943" t="s">
        <v>981</v>
      </c>
    </row>
    <row r="39" spans="5:62" ht="15" hidden="1" customHeight="1">
      <c r="E39" s="595">
        <v>0</v>
      </c>
      <c r="F39" s="3" cm="1">
        <f t="array" aca="1" ref="F39" ca="1">OFFSET(E39,-1,1)</f>
        <v>0</v>
      </c>
      <c r="G39" s="71" t="s">
        <v>325</v>
      </c>
      <c r="L39" s="821"/>
      <c r="T39" s="381" t="b">
        <v>0</v>
      </c>
      <c r="W39" s="71" t="s">
        <v>173</v>
      </c>
      <c r="X39" s="1711"/>
      <c r="Y39" s="1711">
        <v>0</v>
      </c>
      <c r="Z39" s="1811"/>
      <c r="AA39" s="1813" t="s">
        <v>174</v>
      </c>
      <c r="AB39" s="129"/>
      <c r="AC39" s="130"/>
      <c r="AD39" s="129"/>
      <c r="AE39" s="1321" t="b">
        <f t="shared" ref="AE39:BB39" si="4">OR(AND(AE40&lt;&gt;"",AE41=""),AND(AE40="",AE41&lt;&gt;""))</f>
        <v>0</v>
      </c>
      <c r="AF39" s="1321" t="b">
        <f t="shared" si="4"/>
        <v>0</v>
      </c>
      <c r="AG39" s="1321" t="b">
        <f t="shared" si="4"/>
        <v>0</v>
      </c>
      <c r="AH39" s="1321" t="b">
        <f t="shared" si="4"/>
        <v>0</v>
      </c>
      <c r="AI39" s="1321" t="b">
        <f t="shared" si="4"/>
        <v>0</v>
      </c>
      <c r="AJ39" s="1321" t="b">
        <f t="shared" si="4"/>
        <v>0</v>
      </c>
      <c r="AK39" s="1321" t="b">
        <f t="shared" si="4"/>
        <v>0</v>
      </c>
      <c r="AL39" s="1321" t="b">
        <f t="shared" si="4"/>
        <v>0</v>
      </c>
      <c r="AM39" s="1321" t="b">
        <f t="shared" si="4"/>
        <v>0</v>
      </c>
      <c r="AN39" s="1321" t="b">
        <f t="shared" si="4"/>
        <v>0</v>
      </c>
      <c r="AO39" s="1321" t="b">
        <f t="shared" si="4"/>
        <v>0</v>
      </c>
      <c r="AP39" s="1321" t="b">
        <f t="shared" si="4"/>
        <v>0</v>
      </c>
      <c r="AQ39" s="1321" t="b">
        <f t="shared" si="4"/>
        <v>0</v>
      </c>
      <c r="AR39" s="1321" t="b">
        <f t="shared" si="4"/>
        <v>0</v>
      </c>
      <c r="AS39" s="1321" t="b">
        <f t="shared" si="4"/>
        <v>0</v>
      </c>
      <c r="AT39" s="1321" t="b">
        <f t="shared" si="4"/>
        <v>0</v>
      </c>
      <c r="AU39" s="1321" t="b">
        <f t="shared" si="4"/>
        <v>0</v>
      </c>
      <c r="AV39" s="1321" t="b">
        <f t="shared" si="4"/>
        <v>0</v>
      </c>
      <c r="AW39" s="1321" t="b">
        <f t="shared" si="4"/>
        <v>0</v>
      </c>
      <c r="AX39" s="1321" t="b">
        <f t="shared" si="4"/>
        <v>0</v>
      </c>
      <c r="AY39" s="1321" t="b">
        <f t="shared" si="4"/>
        <v>0</v>
      </c>
      <c r="AZ39" s="1321" t="b">
        <f t="shared" si="4"/>
        <v>0</v>
      </c>
      <c r="BA39" s="1321" t="b">
        <f t="shared" si="4"/>
        <v>0</v>
      </c>
      <c r="BB39" s="1321" t="b">
        <f t="shared" si="4"/>
        <v>0</v>
      </c>
      <c r="BC39" s="876"/>
    </row>
    <row r="40" spans="5:62" ht="14.65" hidden="1" customHeight="1">
      <c r="E40" s="595">
        <v>15</v>
      </c>
      <c r="F40" s="3" cm="1">
        <f t="array" aca="1" ref="F40" ca="1">OFFSET(E40,-1,1)</f>
        <v>0</v>
      </c>
      <c r="G40" s="71" t="s">
        <v>325</v>
      </c>
      <c r="H40" s="74" cm="1">
        <f t="array" ref="H40">AC40</f>
        <v>0</v>
      </c>
      <c r="I40" s="71" t="s">
        <v>982</v>
      </c>
      <c r="T40" s="381" t="b">
        <f ca="1">AND(F40&gt;0,Y39&gt;0)</f>
        <v>0</v>
      </c>
      <c r="X40" s="1711"/>
      <c r="Y40" s="1711"/>
      <c r="Z40" s="1811"/>
      <c r="AA40" s="1813"/>
      <c r="AB40" s="7" t="str">
        <f>"3."&amp;Y39</f>
        <v>3.0</v>
      </c>
      <c r="AC40" s="190"/>
      <c r="AD40" s="129" t="s">
        <v>766</v>
      </c>
      <c r="AE40" s="1395"/>
      <c r="AF40" s="1395"/>
      <c r="AG40" s="1395"/>
      <c r="AH40" s="1395"/>
      <c r="AI40" s="133"/>
      <c r="AJ40" s="1395"/>
      <c r="AK40" s="1395"/>
      <c r="AL40" s="1395"/>
      <c r="AM40" s="1395"/>
      <c r="AN40" s="1395"/>
      <c r="AO40" s="1395"/>
      <c r="AP40" s="1395"/>
      <c r="AQ40" s="1395"/>
      <c r="AR40" s="1395"/>
      <c r="AS40" s="133"/>
      <c r="AT40" s="1395"/>
      <c r="AU40" s="1395"/>
      <c r="AV40" s="1395"/>
      <c r="AW40" s="1395"/>
      <c r="AX40" s="1395"/>
      <c r="AY40" s="1395"/>
      <c r="AZ40" s="1395"/>
      <c r="BA40" s="1395"/>
      <c r="BB40" s="1395"/>
      <c r="BC40" s="1361"/>
      <c r="BF40" s="943" t="s">
        <v>969</v>
      </c>
      <c r="BG40" s="943" t="s">
        <v>983</v>
      </c>
      <c r="BH40" s="943" cm="1">
        <f t="array" ref="BH40">AC40</f>
        <v>0</v>
      </c>
      <c r="BJ40" s="595" t="b">
        <v>1</v>
      </c>
    </row>
    <row r="41" spans="5:62" ht="14.65" hidden="1" customHeight="1">
      <c r="E41" s="595">
        <v>15</v>
      </c>
      <c r="F41" s="3" cm="1">
        <f t="array" aca="1" ref="F41" ca="1">OFFSET(E41,-1,1)</f>
        <v>0</v>
      </c>
      <c r="G41" s="71" t="s">
        <v>851</v>
      </c>
      <c r="H41" s="74" cm="1">
        <f t="array" ref="H41">H40</f>
        <v>0</v>
      </c>
      <c r="I41" s="71" t="s">
        <v>982</v>
      </c>
      <c r="T41" s="381" t="b" cm="1">
        <f t="array" aca="1" ref="T41" ca="1">T40</f>
        <v>0</v>
      </c>
      <c r="X41" s="1711"/>
      <c r="Y41" s="1711"/>
      <c r="Z41" s="1811"/>
      <c r="AA41" s="1813"/>
      <c r="AB41" s="7" t="str">
        <f>AB40&amp;".1"</f>
        <v>3.0.1</v>
      </c>
      <c r="AC41" s="139" t="s">
        <v>984</v>
      </c>
      <c r="AD41" s="7" t="s">
        <v>499</v>
      </c>
      <c r="AE41" s="1395"/>
      <c r="AF41" s="1395"/>
      <c r="AG41" s="1395"/>
      <c r="AH41" s="1395"/>
      <c r="AI41" s="133"/>
      <c r="AJ41" s="1395"/>
      <c r="AK41" s="1395"/>
      <c r="AL41" s="1395"/>
      <c r="AM41" s="1395"/>
      <c r="AN41" s="1395"/>
      <c r="AO41" s="1395"/>
      <c r="AP41" s="1395"/>
      <c r="AQ41" s="1395"/>
      <c r="AR41" s="1395"/>
      <c r="AS41" s="133"/>
      <c r="AT41" s="1395"/>
      <c r="AU41" s="1395"/>
      <c r="AV41" s="1395"/>
      <c r="AW41" s="1395"/>
      <c r="AX41" s="1395"/>
      <c r="AY41" s="1395"/>
      <c r="AZ41" s="1395"/>
      <c r="BA41" s="1395"/>
      <c r="BB41" s="1395"/>
      <c r="BC41" s="1361"/>
      <c r="BF41" s="943" t="s">
        <v>972</v>
      </c>
      <c r="BG41" s="943" t="s">
        <v>983</v>
      </c>
      <c r="BH41" s="943" cm="1">
        <f t="array" ref="BH41">BH40</f>
        <v>0</v>
      </c>
    </row>
    <row r="42" spans="5:62" ht="14.65" hidden="1" customHeight="1">
      <c r="E42" s="595">
        <v>15</v>
      </c>
      <c r="F42" s="3" cm="1">
        <f t="array" aca="1" ref="F42" ca="1">OFFSET(E42,-1,1)</f>
        <v>0</v>
      </c>
      <c r="H42" s="71" t="str">
        <f>"!=='не определено' &amp;&amp; row.l3 !== null"</f>
        <v>!=='не определено' &amp;&amp; row.l3 !== null</v>
      </c>
      <c r="T42" s="381" t="b">
        <f ca="1">F42&gt;0</f>
        <v>0</v>
      </c>
      <c r="W42" s="602" t="s">
        <v>985</v>
      </c>
      <c r="X42" s="1711"/>
      <c r="Y42" s="600"/>
      <c r="Z42" s="1811"/>
      <c r="AB42" s="598"/>
      <c r="AC42" s="150" t="s">
        <v>974</v>
      </c>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1"/>
      <c r="BI42" s="595" t="s">
        <v>983</v>
      </c>
    </row>
    <row r="43" spans="5:62" ht="22.35" hidden="1" customHeight="1">
      <c r="E43" s="595">
        <v>23</v>
      </c>
      <c r="F43" s="3" cm="1">
        <f t="array" aca="1" ref="F43" ca="1">OFFSET(E43,-1,1)</f>
        <v>0</v>
      </c>
      <c r="K43" s="817" t="str">
        <f ca="1">F28&amp;"4komm"</f>
        <v>04komm</v>
      </c>
      <c r="L43" s="821" cm="1">
        <f t="array" ref="L43">BC43</f>
        <v>0</v>
      </c>
      <c r="T43" s="381" t="b" cm="1">
        <f t="array" aca="1" ref="T43" ca="1">T42</f>
        <v>0</v>
      </c>
      <c r="X43" s="1711"/>
      <c r="Y43" s="601"/>
      <c r="Z43" s="1811"/>
      <c r="AB43" s="129">
        <v>4</v>
      </c>
      <c r="AC43" s="130" t="s">
        <v>986</v>
      </c>
      <c r="AD43" s="129" t="s">
        <v>766</v>
      </c>
      <c r="AE43" s="131">
        <f>SUMIF(AD45:AD47,AD43,AE45:AE47)</f>
        <v>0</v>
      </c>
      <c r="AF43" s="131">
        <f>SUMIF(AD45:AD47,AD43,AF45:AF47)</f>
        <v>0</v>
      </c>
      <c r="AG43" s="131">
        <f>SUMIF(AD45:AD47,AD43,AG45:AG47)</f>
        <v>0</v>
      </c>
      <c r="AH43" s="131">
        <f>SUMIF(AD45:AD47,AD43,AH45:AH47)</f>
        <v>0</v>
      </c>
      <c r="AI43" s="131">
        <f>SUMIF(AD45:AD47,AD43,AI45:AI47)</f>
        <v>0</v>
      </c>
      <c r="AJ43" s="1318">
        <f>SUMIF(AD45:AD47,AD43,AJ45:AJ47)</f>
        <v>0</v>
      </c>
      <c r="AK43" s="1318">
        <f>SUMIF(AD45:AD47,AD43,AK45:AK47)</f>
        <v>0</v>
      </c>
      <c r="AL43" s="1318">
        <f>SUMIF(AD45:AD47,AD43,AL45:AL47)</f>
        <v>0</v>
      </c>
      <c r="AM43" s="1318">
        <f>SUMIF(AD45:AD47,AD43,AM45:AM47)</f>
        <v>0</v>
      </c>
      <c r="AN43" s="1318">
        <f>SUMIF(AD45:AD47,AD43,AN45:AN47)</f>
        <v>0</v>
      </c>
      <c r="AO43" s="1318">
        <f>SUMIF(AD45:AD47,AD43,AO45:AO47)</f>
        <v>0</v>
      </c>
      <c r="AP43" s="1318">
        <f>SUMIF(AD45:AD47,AD43,AP45:AP47)</f>
        <v>0</v>
      </c>
      <c r="AQ43" s="1318">
        <f>SUMIF(AD45:AD47,AD43,AQ45:AQ47)</f>
        <v>0</v>
      </c>
      <c r="AR43" s="1318">
        <f>SUMIF(AD45:AD47,AD43,AR45:AR47)</f>
        <v>0</v>
      </c>
      <c r="AS43" s="131">
        <f>SUMIF(AD45:AD47,AD43,AS45:AS47)</f>
        <v>0</v>
      </c>
      <c r="AT43" s="1318">
        <f>SUMIF(AD45:AD47,AD43,AT45:AT47)</f>
        <v>0</v>
      </c>
      <c r="AU43" s="1318">
        <f>SUMIF(AD45:AD47,AD43,AU45:AU47)</f>
        <v>0</v>
      </c>
      <c r="AV43" s="1318">
        <f>SUMIF(AD45:AD47,AD43,AV45:AV47)</f>
        <v>0</v>
      </c>
      <c r="AW43" s="1318">
        <f>SUMIF(AD45:AD47,AD43,AW45:AW47)</f>
        <v>0</v>
      </c>
      <c r="AX43" s="1318">
        <f>SUMIF(AD45:AD47,AD43,AX45:AX47)</f>
        <v>0</v>
      </c>
      <c r="AY43" s="1318">
        <f>SUMIF(AD45:AD47,AD43,AY45:AY47)</f>
        <v>0</v>
      </c>
      <c r="AZ43" s="1318">
        <f>SUMIF(AD45:AD47,AD43,AZ45:AZ47)</f>
        <v>0</v>
      </c>
      <c r="BA43" s="1318">
        <f>SUMIF(AD45:AD47,AD43,BA45:BA47)</f>
        <v>0</v>
      </c>
      <c r="BB43" s="1318">
        <f>SUMIF(AD45:AD47,AD43,BB45:BB47)</f>
        <v>0</v>
      </c>
      <c r="BC43" s="1361"/>
      <c r="BF43" s="943" t="s">
        <v>987</v>
      </c>
    </row>
    <row r="44" spans="5:62" ht="15" hidden="1" customHeight="1">
      <c r="E44" s="595">
        <v>0</v>
      </c>
      <c r="F44" s="3" cm="1">
        <f t="array" aca="1" ref="F44" ca="1">OFFSET(E44,-1,1)</f>
        <v>0</v>
      </c>
      <c r="G44" s="71" t="s">
        <v>327</v>
      </c>
      <c r="L44" s="821"/>
      <c r="T44" s="381" t="b">
        <v>0</v>
      </c>
      <c r="W44" s="71" t="s">
        <v>173</v>
      </c>
      <c r="X44" s="1711"/>
      <c r="Y44" s="1711">
        <v>0</v>
      </c>
      <c r="Z44" s="1811"/>
      <c r="AA44" s="1813" t="s">
        <v>174</v>
      </c>
      <c r="AB44" s="129"/>
      <c r="AC44" s="130"/>
      <c r="AD44" s="129"/>
      <c r="AE44" s="1321" t="b">
        <f t="shared" ref="AE44:BB44" si="5">OR(AND(AE45&lt;&gt;"",AE46=""),AND(AE45="",AE46&lt;&gt;""))</f>
        <v>0</v>
      </c>
      <c r="AF44" s="1321" t="b">
        <f t="shared" si="5"/>
        <v>0</v>
      </c>
      <c r="AG44" s="1321" t="b">
        <f t="shared" si="5"/>
        <v>0</v>
      </c>
      <c r="AH44" s="1321" t="b">
        <f t="shared" si="5"/>
        <v>0</v>
      </c>
      <c r="AI44" s="1321" t="b">
        <f t="shared" si="5"/>
        <v>0</v>
      </c>
      <c r="AJ44" s="1321" t="b">
        <f t="shared" si="5"/>
        <v>0</v>
      </c>
      <c r="AK44" s="1321" t="b">
        <f t="shared" si="5"/>
        <v>0</v>
      </c>
      <c r="AL44" s="1321" t="b">
        <f t="shared" si="5"/>
        <v>0</v>
      </c>
      <c r="AM44" s="1321" t="b">
        <f t="shared" si="5"/>
        <v>0</v>
      </c>
      <c r="AN44" s="1321" t="b">
        <f t="shared" si="5"/>
        <v>0</v>
      </c>
      <c r="AO44" s="1321" t="b">
        <f t="shared" si="5"/>
        <v>0</v>
      </c>
      <c r="AP44" s="1321" t="b">
        <f t="shared" si="5"/>
        <v>0</v>
      </c>
      <c r="AQ44" s="1321" t="b">
        <f t="shared" si="5"/>
        <v>0</v>
      </c>
      <c r="AR44" s="1321" t="b">
        <f t="shared" si="5"/>
        <v>0</v>
      </c>
      <c r="AS44" s="1321" t="b">
        <f t="shared" si="5"/>
        <v>0</v>
      </c>
      <c r="AT44" s="1321" t="b">
        <f t="shared" si="5"/>
        <v>0</v>
      </c>
      <c r="AU44" s="1321" t="b">
        <f t="shared" si="5"/>
        <v>0</v>
      </c>
      <c r="AV44" s="1321" t="b">
        <f t="shared" si="5"/>
        <v>0</v>
      </c>
      <c r="AW44" s="1321" t="b">
        <f t="shared" si="5"/>
        <v>0</v>
      </c>
      <c r="AX44" s="1321" t="b">
        <f t="shared" si="5"/>
        <v>0</v>
      </c>
      <c r="AY44" s="1321" t="b">
        <f t="shared" si="5"/>
        <v>0</v>
      </c>
      <c r="AZ44" s="1321" t="b">
        <f t="shared" si="5"/>
        <v>0</v>
      </c>
      <c r="BA44" s="1321" t="b">
        <f t="shared" si="5"/>
        <v>0</v>
      </c>
      <c r="BB44" s="1321" t="b">
        <f t="shared" si="5"/>
        <v>0</v>
      </c>
      <c r="BC44" s="876"/>
    </row>
    <row r="45" spans="5:62" ht="14.65" hidden="1" customHeight="1">
      <c r="E45" s="595">
        <v>15</v>
      </c>
      <c r="F45" s="3" cm="1">
        <f t="array" aca="1" ref="F45" ca="1">OFFSET(E45,-1,1)</f>
        <v>0</v>
      </c>
      <c r="G45" s="71" t="s">
        <v>327</v>
      </c>
      <c r="H45" s="74" cm="1">
        <f t="array" ref="H45">AC45</f>
        <v>0</v>
      </c>
      <c r="I45" s="71" t="s">
        <v>988</v>
      </c>
      <c r="T45" s="381" t="b">
        <f ca="1">AND(F45&gt;0,Y44&gt;0)</f>
        <v>0</v>
      </c>
      <c r="X45" s="1711"/>
      <c r="Y45" s="1711"/>
      <c r="Z45" s="1811"/>
      <c r="AA45" s="1813"/>
      <c r="AB45" s="7" t="str">
        <f>"4."&amp;Y44</f>
        <v>4.0</v>
      </c>
      <c r="AC45" s="190"/>
      <c r="AD45" s="129" t="s">
        <v>766</v>
      </c>
      <c r="AE45" s="1395"/>
      <c r="AF45" s="1395"/>
      <c r="AG45" s="1395"/>
      <c r="AH45" s="1395"/>
      <c r="AI45" s="133"/>
      <c r="AJ45" s="1395"/>
      <c r="AK45" s="1395"/>
      <c r="AL45" s="1395"/>
      <c r="AM45" s="1395"/>
      <c r="AN45" s="1395"/>
      <c r="AO45" s="1395"/>
      <c r="AP45" s="1395"/>
      <c r="AQ45" s="1395"/>
      <c r="AR45" s="1395"/>
      <c r="AS45" s="133"/>
      <c r="AT45" s="1395"/>
      <c r="AU45" s="1395"/>
      <c r="AV45" s="1395"/>
      <c r="AW45" s="1395"/>
      <c r="AX45" s="1395"/>
      <c r="AY45" s="1395"/>
      <c r="AZ45" s="1395"/>
      <c r="BA45" s="1395"/>
      <c r="BB45" s="1395"/>
      <c r="BC45" s="1361"/>
      <c r="BF45" s="943" t="s">
        <v>969</v>
      </c>
      <c r="BG45" s="943" t="s">
        <v>989</v>
      </c>
      <c r="BH45" s="943" cm="1">
        <f t="array" ref="BH45">AC45</f>
        <v>0</v>
      </c>
      <c r="BJ45" s="595" t="b">
        <v>1</v>
      </c>
    </row>
    <row r="46" spans="5:62" ht="14.65" hidden="1" customHeight="1">
      <c r="E46" s="595">
        <v>15</v>
      </c>
      <c r="F46" s="3" cm="1">
        <f t="array" aca="1" ref="F46" ca="1">OFFSET(E46,-1,1)</f>
        <v>0</v>
      </c>
      <c r="G46" s="71" t="s">
        <v>501</v>
      </c>
      <c r="H46" s="74" cm="1">
        <f t="array" ref="H46">H45</f>
        <v>0</v>
      </c>
      <c r="I46" s="71" t="s">
        <v>988</v>
      </c>
      <c r="T46" s="381" t="b" cm="1">
        <f t="array" aca="1" ref="T46" ca="1">T45</f>
        <v>0</v>
      </c>
      <c r="X46" s="1711"/>
      <c r="Y46" s="1711"/>
      <c r="Z46" s="1811"/>
      <c r="AA46" s="1813"/>
      <c r="AB46" s="7" t="str">
        <f>AB45&amp;".1"</f>
        <v>4.0.1</v>
      </c>
      <c r="AC46" s="139" t="s">
        <v>990</v>
      </c>
      <c r="AD46" s="7" t="s">
        <v>499</v>
      </c>
      <c r="AE46" s="1395"/>
      <c r="AF46" s="1395"/>
      <c r="AG46" s="1395"/>
      <c r="AH46" s="1395"/>
      <c r="AI46" s="133"/>
      <c r="AJ46" s="1395"/>
      <c r="AK46" s="1395"/>
      <c r="AL46" s="1395"/>
      <c r="AM46" s="1395"/>
      <c r="AN46" s="1395"/>
      <c r="AO46" s="1395"/>
      <c r="AP46" s="1395"/>
      <c r="AQ46" s="1395"/>
      <c r="AR46" s="1395"/>
      <c r="AS46" s="133"/>
      <c r="AT46" s="1395"/>
      <c r="AU46" s="1395"/>
      <c r="AV46" s="1395"/>
      <c r="AW46" s="1395"/>
      <c r="AX46" s="1395"/>
      <c r="AY46" s="1395"/>
      <c r="AZ46" s="1395"/>
      <c r="BA46" s="1395"/>
      <c r="BB46" s="1395"/>
      <c r="BC46" s="1361"/>
      <c r="BF46" s="943" t="s">
        <v>972</v>
      </c>
      <c r="BG46" s="943" t="s">
        <v>989</v>
      </c>
      <c r="BH46" s="943" cm="1">
        <f t="array" ref="BH46">BH45</f>
        <v>0</v>
      </c>
    </row>
    <row r="47" spans="5:62" ht="14.65" hidden="1" customHeight="1">
      <c r="E47" s="595">
        <v>15</v>
      </c>
      <c r="F47" s="3" cm="1">
        <f t="array" aca="1" ref="F47" ca="1">OFFSET(E47,-1,1)</f>
        <v>0</v>
      </c>
      <c r="H47" s="71" t="str">
        <f>"!=='не определено' &amp;&amp; row.l4 !== null"</f>
        <v>!=='не определено' &amp;&amp; row.l4 !== null</v>
      </c>
      <c r="T47" s="381" t="b">
        <f ca="1">F47&gt;0</f>
        <v>0</v>
      </c>
      <c r="W47" s="602" t="s">
        <v>991</v>
      </c>
      <c r="X47" s="1711"/>
      <c r="Y47" s="600"/>
      <c r="Z47" s="1811"/>
      <c r="AB47" s="598"/>
      <c r="AC47" s="150" t="s">
        <v>974</v>
      </c>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1"/>
      <c r="BI47" s="595" t="s">
        <v>989</v>
      </c>
    </row>
    <row r="48" spans="5:62" ht="22.35" hidden="1" customHeight="1">
      <c r="E48" s="595">
        <v>23</v>
      </c>
      <c r="F48" s="3" cm="1">
        <f t="array" aca="1" ref="F48" ca="1">OFFSET(E48,-1,1)</f>
        <v>0</v>
      </c>
      <c r="K48" s="817" t="str">
        <f ca="1">F28&amp;"5komm"</f>
        <v>05komm</v>
      </c>
      <c r="L48" s="821" cm="1">
        <f t="array" ref="L48">BC48</f>
        <v>0</v>
      </c>
      <c r="T48" s="381" t="b" cm="1">
        <f t="array" aca="1" ref="T48" ca="1">T47</f>
        <v>0</v>
      </c>
      <c r="X48" s="1711"/>
      <c r="Y48" s="601"/>
      <c r="Z48" s="1811"/>
      <c r="AB48" s="129">
        <v>5</v>
      </c>
      <c r="AC48" s="130" t="s">
        <v>992</v>
      </c>
      <c r="AD48" s="129" t="s">
        <v>766</v>
      </c>
      <c r="AE48" s="131">
        <f>SUMIF(AD50:AD52,AD48,AE50:AE52)</f>
        <v>0</v>
      </c>
      <c r="AF48" s="131">
        <f>SUMIF(AD50:AD52,AD48,AF50:AF52)</f>
        <v>0</v>
      </c>
      <c r="AG48" s="131">
        <f>SUMIF(AD50:AD52,AD48,AG50:AG52)</f>
        <v>0</v>
      </c>
      <c r="AH48" s="131">
        <f>SUMIF(AD50:AD52,AD48,AH50:AH52)</f>
        <v>0</v>
      </c>
      <c r="AI48" s="131">
        <f>SUMIF(AD50:AD52,AD48,AI50:AI52)</f>
        <v>0</v>
      </c>
      <c r="AJ48" s="1318">
        <f>SUMIF(AD50:AD52,AD48,AJ50:AJ52)</f>
        <v>0</v>
      </c>
      <c r="AK48" s="1318">
        <f>SUMIF(AD50:AD52,AD48,AK50:AK52)</f>
        <v>0</v>
      </c>
      <c r="AL48" s="1318">
        <f>SUMIF(AD50:AD52,AD48,AL50:AL52)</f>
        <v>0</v>
      </c>
      <c r="AM48" s="1318">
        <f>SUMIF(AD50:AD52,AD48,AM50:AM52)</f>
        <v>0</v>
      </c>
      <c r="AN48" s="1318">
        <f>SUMIF(AD50:AD52,AD48,AN50:AN52)</f>
        <v>0</v>
      </c>
      <c r="AO48" s="1318">
        <f>SUMIF(AD50:AD52,AD48,AO50:AO52)</f>
        <v>0</v>
      </c>
      <c r="AP48" s="1318">
        <f>SUMIF(AD50:AD52,AD48,AP50:AP52)</f>
        <v>0</v>
      </c>
      <c r="AQ48" s="1318">
        <f>SUMIF(AD50:AD52,AD48,AQ50:AQ52)</f>
        <v>0</v>
      </c>
      <c r="AR48" s="1318">
        <f>SUMIF(AD50:AD52,AD48,AR50:AR52)</f>
        <v>0</v>
      </c>
      <c r="AS48" s="131">
        <f>SUMIF(AD50:AD52,AD48,AS50:AS52)</f>
        <v>0</v>
      </c>
      <c r="AT48" s="1318">
        <f>SUMIF(AD50:AD52,AD48,AT50:AT52)</f>
        <v>0</v>
      </c>
      <c r="AU48" s="1318">
        <f>SUMIF(AD50:AD52,AD48,AU50:AU52)</f>
        <v>0</v>
      </c>
      <c r="AV48" s="1318">
        <f>SUMIF(AD50:AD52,AD48,AV50:AV52)</f>
        <v>0</v>
      </c>
      <c r="AW48" s="1318">
        <f>SUMIF(AD50:AD52,AD48,AW50:AW52)</f>
        <v>0</v>
      </c>
      <c r="AX48" s="1318">
        <f>SUMIF(AD50:AD52,AD48,AX50:AX52)</f>
        <v>0</v>
      </c>
      <c r="AY48" s="1318">
        <f>SUMIF(AD50:AD52,AD48,AY50:AY52)</f>
        <v>0</v>
      </c>
      <c r="AZ48" s="1318">
        <f>SUMIF(AD50:AD52,AD48,AZ50:AZ52)</f>
        <v>0</v>
      </c>
      <c r="BA48" s="1318">
        <f>SUMIF(AD50:AD52,AD48,BA50:BA52)</f>
        <v>0</v>
      </c>
      <c r="BB48" s="1318">
        <f>SUMIF(AD50:AD52,AD48,BB50:BB52)</f>
        <v>0</v>
      </c>
      <c r="BC48" s="1361"/>
      <c r="BF48" s="943" t="s">
        <v>993</v>
      </c>
    </row>
    <row r="49" spans="1:62" ht="15" hidden="1" customHeight="1">
      <c r="E49" s="595">
        <v>0</v>
      </c>
      <c r="F49" s="3" cm="1">
        <f t="array" aca="1" ref="F49" ca="1">OFFSET(E49,-1,1)</f>
        <v>0</v>
      </c>
      <c r="G49" s="71" t="s">
        <v>326</v>
      </c>
      <c r="L49" s="821"/>
      <c r="T49" s="381" t="b">
        <v>0</v>
      </c>
      <c r="W49" s="71" t="s">
        <v>173</v>
      </c>
      <c r="X49" s="1711"/>
      <c r="Y49" s="1711">
        <v>0</v>
      </c>
      <c r="Z49" s="1811"/>
      <c r="AA49" s="1813" t="s">
        <v>174</v>
      </c>
      <c r="AB49" s="129"/>
      <c r="AC49" s="130"/>
      <c r="AD49" s="129"/>
      <c r="AE49" s="1321" t="b">
        <f t="shared" ref="AE49:BB49" si="6">OR(AND(AE50&lt;&gt;"",AE51=""),AND(AE50="",AE51&lt;&gt;""))</f>
        <v>0</v>
      </c>
      <c r="AF49" s="1321" t="b">
        <f t="shared" si="6"/>
        <v>0</v>
      </c>
      <c r="AG49" s="1321" t="b">
        <f t="shared" si="6"/>
        <v>0</v>
      </c>
      <c r="AH49" s="1321" t="b">
        <f t="shared" si="6"/>
        <v>0</v>
      </c>
      <c r="AI49" s="1321" t="b">
        <f t="shared" si="6"/>
        <v>0</v>
      </c>
      <c r="AJ49" s="1321" t="b">
        <f t="shared" si="6"/>
        <v>0</v>
      </c>
      <c r="AK49" s="1321" t="b">
        <f t="shared" si="6"/>
        <v>0</v>
      </c>
      <c r="AL49" s="1321" t="b">
        <f t="shared" si="6"/>
        <v>0</v>
      </c>
      <c r="AM49" s="1321" t="b">
        <f t="shared" si="6"/>
        <v>0</v>
      </c>
      <c r="AN49" s="1321" t="b">
        <f t="shared" si="6"/>
        <v>0</v>
      </c>
      <c r="AO49" s="1321" t="b">
        <f t="shared" si="6"/>
        <v>0</v>
      </c>
      <c r="AP49" s="1321" t="b">
        <f t="shared" si="6"/>
        <v>0</v>
      </c>
      <c r="AQ49" s="1321" t="b">
        <f t="shared" si="6"/>
        <v>0</v>
      </c>
      <c r="AR49" s="1321" t="b">
        <f t="shared" si="6"/>
        <v>0</v>
      </c>
      <c r="AS49" s="1321" t="b">
        <f t="shared" si="6"/>
        <v>0</v>
      </c>
      <c r="AT49" s="1321" t="b">
        <f t="shared" si="6"/>
        <v>0</v>
      </c>
      <c r="AU49" s="1321" t="b">
        <f t="shared" si="6"/>
        <v>0</v>
      </c>
      <c r="AV49" s="1321" t="b">
        <f t="shared" si="6"/>
        <v>0</v>
      </c>
      <c r="AW49" s="1321" t="b">
        <f t="shared" si="6"/>
        <v>0</v>
      </c>
      <c r="AX49" s="1321" t="b">
        <f t="shared" si="6"/>
        <v>0</v>
      </c>
      <c r="AY49" s="1321" t="b">
        <f t="shared" si="6"/>
        <v>0</v>
      </c>
      <c r="AZ49" s="1321" t="b">
        <f t="shared" si="6"/>
        <v>0</v>
      </c>
      <c r="BA49" s="1321" t="b">
        <f t="shared" si="6"/>
        <v>0</v>
      </c>
      <c r="BB49" s="1321" t="b">
        <f t="shared" si="6"/>
        <v>0</v>
      </c>
      <c r="BC49" s="876"/>
    </row>
    <row r="50" spans="1:62" ht="14.65" hidden="1" customHeight="1">
      <c r="E50" s="595">
        <v>15</v>
      </c>
      <c r="F50" s="3" cm="1">
        <f t="array" aca="1" ref="F50" ca="1">OFFSET(E50,-1,1)</f>
        <v>0</v>
      </c>
      <c r="G50" s="71" t="s">
        <v>326</v>
      </c>
      <c r="H50" s="74" cm="1">
        <f t="array" ref="H50">AC50</f>
        <v>0</v>
      </c>
      <c r="I50" s="71" t="s">
        <v>994</v>
      </c>
      <c r="T50" s="381" t="b">
        <f ca="1">AND(F50&gt;0,Y49&gt;0)</f>
        <v>0</v>
      </c>
      <c r="X50" s="1711"/>
      <c r="Y50" s="1711"/>
      <c r="Z50" s="1811"/>
      <c r="AA50" s="1813"/>
      <c r="AB50" s="7" t="str">
        <f>"5."&amp;Y49</f>
        <v>5.0</v>
      </c>
      <c r="AC50" s="190"/>
      <c r="AD50" s="129" t="s">
        <v>766</v>
      </c>
      <c r="AE50" s="1395"/>
      <c r="AF50" s="1395"/>
      <c r="AG50" s="1395"/>
      <c r="AH50" s="1395"/>
      <c r="AI50" s="133"/>
      <c r="AJ50" s="1395"/>
      <c r="AK50" s="1395"/>
      <c r="AL50" s="1395"/>
      <c r="AM50" s="1395"/>
      <c r="AN50" s="1395"/>
      <c r="AO50" s="1395"/>
      <c r="AP50" s="1395"/>
      <c r="AQ50" s="1395"/>
      <c r="AR50" s="1395"/>
      <c r="AS50" s="133"/>
      <c r="AT50" s="1395"/>
      <c r="AU50" s="1395"/>
      <c r="AV50" s="1395"/>
      <c r="AW50" s="1395"/>
      <c r="AX50" s="1395"/>
      <c r="AY50" s="1395"/>
      <c r="AZ50" s="1395"/>
      <c r="BA50" s="1395"/>
      <c r="BB50" s="1395"/>
      <c r="BC50" s="1361"/>
      <c r="BF50" s="943" t="s">
        <v>969</v>
      </c>
      <c r="BG50" s="943" t="s">
        <v>995</v>
      </c>
      <c r="BH50" s="943" cm="1">
        <f t="array" ref="BH50">AC50</f>
        <v>0</v>
      </c>
      <c r="BJ50" s="595" t="b">
        <v>1</v>
      </c>
    </row>
    <row r="51" spans="1:62" ht="14.65" hidden="1" customHeight="1">
      <c r="E51" s="595">
        <v>15</v>
      </c>
      <c r="F51" s="3" cm="1">
        <f t="array" aca="1" ref="F51" ca="1">OFFSET(E51,-1,1)</f>
        <v>0</v>
      </c>
      <c r="G51" s="71" t="s">
        <v>515</v>
      </c>
      <c r="H51" s="74" cm="1">
        <f t="array" ref="H51">H50</f>
        <v>0</v>
      </c>
      <c r="I51" s="71" t="s">
        <v>994</v>
      </c>
      <c r="T51" s="381" t="b" cm="1">
        <f t="array" aca="1" ref="T51" ca="1">T50</f>
        <v>0</v>
      </c>
      <c r="X51" s="1711"/>
      <c r="Y51" s="1711"/>
      <c r="Z51" s="1811"/>
      <c r="AA51" s="1813"/>
      <c r="AB51" s="7" t="str">
        <f>AB50&amp;".1"</f>
        <v>5.0.1</v>
      </c>
      <c r="AC51" s="139" t="s">
        <v>996</v>
      </c>
      <c r="AD51" s="7" t="s">
        <v>499</v>
      </c>
      <c r="AE51" s="1395"/>
      <c r="AF51" s="1395"/>
      <c r="AG51" s="1395"/>
      <c r="AH51" s="1395"/>
      <c r="AI51" s="133"/>
      <c r="AJ51" s="1395"/>
      <c r="AK51" s="1395"/>
      <c r="AL51" s="1395"/>
      <c r="AM51" s="1395"/>
      <c r="AN51" s="1395"/>
      <c r="AO51" s="1395"/>
      <c r="AP51" s="1395"/>
      <c r="AQ51" s="1395"/>
      <c r="AR51" s="1395"/>
      <c r="AS51" s="133"/>
      <c r="AT51" s="1395"/>
      <c r="AU51" s="1395"/>
      <c r="AV51" s="1395"/>
      <c r="AW51" s="1395"/>
      <c r="AX51" s="1395"/>
      <c r="AY51" s="1395"/>
      <c r="AZ51" s="1395"/>
      <c r="BA51" s="1395"/>
      <c r="BB51" s="1395"/>
      <c r="BC51" s="1361"/>
      <c r="BF51" s="943" t="s">
        <v>972</v>
      </c>
      <c r="BG51" s="943" t="s">
        <v>995</v>
      </c>
      <c r="BH51" s="943" cm="1">
        <f t="array" ref="BH51">BH50</f>
        <v>0</v>
      </c>
    </row>
    <row r="52" spans="1:62" ht="14.65" hidden="1" customHeight="1">
      <c r="E52" s="595">
        <v>15</v>
      </c>
      <c r="F52" s="3" cm="1">
        <f t="array" aca="1" ref="F52" ca="1">OFFSET(E52,-1,1)</f>
        <v>0</v>
      </c>
      <c r="H52" s="71" t="str">
        <f>"!=='не определено' &amp;&amp; row.l5 !== null"</f>
        <v>!=='не определено' &amp;&amp; row.l5 !== null</v>
      </c>
      <c r="T52" s="381" t="b">
        <f ca="1">F52&gt;0</f>
        <v>0</v>
      </c>
      <c r="W52" s="602" t="s">
        <v>997</v>
      </c>
      <c r="X52" s="1711"/>
      <c r="Y52" s="88"/>
      <c r="Z52" s="1811"/>
      <c r="AB52" s="598"/>
      <c r="AC52" s="150" t="s">
        <v>974</v>
      </c>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1"/>
      <c r="BI52" s="595" t="s">
        <v>995</v>
      </c>
    </row>
    <row r="53" spans="1:62" s="72" customFormat="1" ht="14.65" hidden="1" customHeight="1">
      <c r="B53" s="358"/>
      <c r="E53" s="596">
        <v>15</v>
      </c>
      <c r="F53" s="3" cm="1">
        <f t="array" aca="1" ref="F53" ca="1">OFFSET(E53,-1,1)</f>
        <v>0</v>
      </c>
      <c r="G53" s="71" t="s">
        <v>477</v>
      </c>
      <c r="K53" s="817" t="str">
        <f ca="1">F28&amp;"6komm"</f>
        <v>06komm</v>
      </c>
      <c r="L53" s="821" cm="1">
        <f t="array" ref="L53">BC53</f>
        <v>0</v>
      </c>
      <c r="T53" s="381" t="b" cm="1">
        <f t="array" aca="1" ref="T53" ca="1">T52</f>
        <v>0</v>
      </c>
      <c r="X53" s="1711"/>
      <c r="Z53" s="1811"/>
      <c r="AB53" s="129">
        <v>6</v>
      </c>
      <c r="AC53" s="130" t="s">
        <v>998</v>
      </c>
      <c r="AD53" s="129" t="s">
        <v>766</v>
      </c>
      <c r="AE53" s="1398"/>
      <c r="AF53" s="1398"/>
      <c r="AG53" s="1398"/>
      <c r="AH53" s="1398"/>
      <c r="AI53" s="143"/>
      <c r="AJ53" s="1398"/>
      <c r="AK53" s="1398"/>
      <c r="AL53" s="1398"/>
      <c r="AM53" s="1398"/>
      <c r="AN53" s="1398"/>
      <c r="AO53" s="1398"/>
      <c r="AP53" s="1398"/>
      <c r="AQ53" s="1398"/>
      <c r="AR53" s="1398"/>
      <c r="AS53" s="143"/>
      <c r="AT53" s="1398"/>
      <c r="AU53" s="1398"/>
      <c r="AV53" s="1398"/>
      <c r="AW53" s="1398"/>
      <c r="AX53" s="1398"/>
      <c r="AY53" s="1398"/>
      <c r="AZ53" s="1398"/>
      <c r="BA53" s="1398"/>
      <c r="BB53" s="1398"/>
      <c r="BC53" s="1361"/>
      <c r="BF53" s="946" t="s">
        <v>999</v>
      </c>
      <c r="BG53" s="946"/>
      <c r="BH53" s="946"/>
      <c r="BI53" s="596"/>
      <c r="BJ53" s="596"/>
    </row>
    <row r="54" spans="1:62" s="72" customFormat="1" ht="14.65" hidden="1" customHeight="1">
      <c r="B54" s="358"/>
      <c r="E54" s="596">
        <v>15</v>
      </c>
      <c r="F54" s="3" cm="1">
        <f t="array" aca="1" ref="F54" ca="1">OFFSET(E54,-1,1)</f>
        <v>0</v>
      </c>
      <c r="G54" s="71" t="s">
        <v>481</v>
      </c>
      <c r="K54" s="817" t="str">
        <f ca="1">F28&amp;"7komm"</f>
        <v>07komm</v>
      </c>
      <c r="L54" s="821" cm="1">
        <f t="array" ref="L54">BC54</f>
        <v>0</v>
      </c>
      <c r="T54" s="381" t="b" cm="1">
        <f t="array" aca="1" ref="T54" ca="1">T53</f>
        <v>0</v>
      </c>
      <c r="X54" s="1711"/>
      <c r="Z54" s="1811"/>
      <c r="AB54" s="129">
        <v>7</v>
      </c>
      <c r="AC54" s="130" t="s">
        <v>1000</v>
      </c>
      <c r="AD54" s="129" t="s">
        <v>766</v>
      </c>
      <c r="AE54" s="1398"/>
      <c r="AF54" s="1398"/>
      <c r="AG54" s="1398"/>
      <c r="AH54" s="1398"/>
      <c r="AI54" s="143"/>
      <c r="AJ54" s="1398"/>
      <c r="AK54" s="1398"/>
      <c r="AL54" s="1398"/>
      <c r="AM54" s="1398"/>
      <c r="AN54" s="1398"/>
      <c r="AO54" s="1398"/>
      <c r="AP54" s="1398"/>
      <c r="AQ54" s="1398"/>
      <c r="AR54" s="1398"/>
      <c r="AS54" s="143"/>
      <c r="AT54" s="1398"/>
      <c r="AU54" s="1398"/>
      <c r="AV54" s="1398"/>
      <c r="AW54" s="1398"/>
      <c r="AX54" s="1398"/>
      <c r="AY54" s="1398"/>
      <c r="AZ54" s="1398"/>
      <c r="BA54" s="1398"/>
      <c r="BB54" s="1398"/>
      <c r="BC54" s="1361"/>
      <c r="BF54" s="946" t="s">
        <v>1001</v>
      </c>
      <c r="BG54" s="946"/>
      <c r="BH54" s="946"/>
      <c r="BI54" s="596"/>
      <c r="BJ54" s="596"/>
    </row>
    <row r="55" spans="1:62" s="72" customFormat="1" ht="14.65" hidden="1" customHeight="1">
      <c r="B55" s="358"/>
      <c r="E55" s="596">
        <v>15</v>
      </c>
      <c r="F55" s="3" cm="1">
        <f t="array" aca="1" ref="F55" ca="1">OFFSET(E55,-1,1)</f>
        <v>0</v>
      </c>
      <c r="G55" s="71" t="s">
        <v>528</v>
      </c>
      <c r="K55" s="817" t="str">
        <f ca="1">F28&amp;"8komm"</f>
        <v>08komm</v>
      </c>
      <c r="L55" s="821" cm="1">
        <f t="array" ref="L55">BC55</f>
        <v>0</v>
      </c>
      <c r="T55" s="381" t="b" cm="1">
        <f t="array" aca="1" ref="T55" ca="1">T54</f>
        <v>0</v>
      </c>
      <c r="X55" s="1711"/>
      <c r="Z55" s="1811"/>
      <c r="AB55" s="129">
        <v>8</v>
      </c>
      <c r="AC55" s="130" t="s">
        <v>1002</v>
      </c>
      <c r="AD55" s="129" t="s">
        <v>766</v>
      </c>
      <c r="AE55" s="1398"/>
      <c r="AF55" s="1398"/>
      <c r="AG55" s="1398"/>
      <c r="AH55" s="1398"/>
      <c r="AI55" s="143"/>
      <c r="AJ55" s="1398"/>
      <c r="AK55" s="1398"/>
      <c r="AL55" s="1398"/>
      <c r="AM55" s="1398"/>
      <c r="AN55" s="1398"/>
      <c r="AO55" s="1398"/>
      <c r="AP55" s="1398"/>
      <c r="AQ55" s="1398"/>
      <c r="AR55" s="1398"/>
      <c r="AS55" s="143"/>
      <c r="AT55" s="1398"/>
      <c r="AU55" s="1398"/>
      <c r="AV55" s="1398"/>
      <c r="AW55" s="1398"/>
      <c r="AX55" s="1398"/>
      <c r="AY55" s="1398"/>
      <c r="AZ55" s="1398"/>
      <c r="BA55" s="1398"/>
      <c r="BB55" s="1398"/>
      <c r="BC55" s="1361"/>
      <c r="BF55" s="946" t="s">
        <v>1003</v>
      </c>
      <c r="BG55" s="946"/>
      <c r="BH55" s="946"/>
      <c r="BI55" s="596"/>
      <c r="BJ55" s="596"/>
    </row>
    <row r="56" spans="1:62" s="72" customFormat="1" ht="14.65" hidden="1" customHeight="1">
      <c r="B56" s="358"/>
      <c r="E56" s="596">
        <v>15</v>
      </c>
      <c r="F56" s="3" cm="1">
        <f t="array" aca="1" ref="F56" ca="1">OFFSET(E56,-1,1)</f>
        <v>0</v>
      </c>
      <c r="G56" s="71"/>
      <c r="K56" s="817" t="str">
        <f ca="1">F28&amp;"9komm"</f>
        <v>09komm</v>
      </c>
      <c r="L56" s="821" cm="1">
        <f t="array" ref="L56">BC56</f>
        <v>0</v>
      </c>
      <c r="T56" s="381" t="b" cm="1">
        <f t="array" aca="1" ref="T56" ca="1">T55</f>
        <v>0</v>
      </c>
      <c r="X56" s="1711"/>
      <c r="Z56" s="1811"/>
      <c r="AB56" s="129">
        <v>9</v>
      </c>
      <c r="AC56" s="130" t="s">
        <v>1004</v>
      </c>
      <c r="AD56" s="129" t="s">
        <v>766</v>
      </c>
      <c r="AE56" s="1398"/>
      <c r="AF56" s="1398"/>
      <c r="AG56" s="1398"/>
      <c r="AH56" s="1398"/>
      <c r="AI56" s="143"/>
      <c r="AJ56" s="1398"/>
      <c r="AK56" s="1398"/>
      <c r="AL56" s="1398"/>
      <c r="AM56" s="1398"/>
      <c r="AN56" s="1398"/>
      <c r="AO56" s="1398"/>
      <c r="AP56" s="1398"/>
      <c r="AQ56" s="1398"/>
      <c r="AR56" s="1398"/>
      <c r="AS56" s="143"/>
      <c r="AT56" s="1398"/>
      <c r="AU56" s="1398"/>
      <c r="AV56" s="1398"/>
      <c r="AW56" s="1398"/>
      <c r="AX56" s="1398"/>
      <c r="AY56" s="1398"/>
      <c r="AZ56" s="1398"/>
      <c r="BA56" s="1398"/>
      <c r="BB56" s="1398"/>
      <c r="BC56" s="1361"/>
      <c r="BF56" s="946" t="s">
        <v>1005</v>
      </c>
      <c r="BG56" s="946"/>
      <c r="BH56" s="946"/>
      <c r="BI56" s="596"/>
      <c r="BJ56" s="596"/>
    </row>
    <row r="57" spans="1:62" s="1327" customFormat="1" ht="14.25" customHeight="1">
      <c r="A57" s="795"/>
      <c r="B57" s="357"/>
      <c r="C57" s="795"/>
      <c r="D57" s="795"/>
      <c r="E57" s="595">
        <v>15</v>
      </c>
      <c r="F57" s="17" t="str" cm="1">
        <f t="array" ref="F57">X57</f>
        <v>1</v>
      </c>
      <c r="G57" s="795"/>
      <c r="H57" s="795"/>
      <c r="I57" s="795" t="s">
        <v>965</v>
      </c>
      <c r="J57" s="795"/>
      <c r="K57" s="817"/>
      <c r="L57" s="795"/>
      <c r="M57" s="795"/>
      <c r="N57" s="795"/>
      <c r="O57" s="795"/>
      <c r="P57" s="795"/>
      <c r="Q57" s="795"/>
      <c r="R57" s="795"/>
      <c r="S57" s="795"/>
      <c r="T57" s="381" t="b">
        <f>X57&gt;0</f>
        <v>1</v>
      </c>
      <c r="U57" s="795"/>
      <c r="V57" s="71" t="str" cm="1">
        <f t="array" ref="V57">Аренда!$AB$37</f>
        <v>Тариф 1 (Водоснабжение) - тариф на питьевую воду</v>
      </c>
      <c r="W57" s="795"/>
      <c r="X57" s="1711" t="s">
        <v>281</v>
      </c>
      <c r="Y57" s="597"/>
      <c r="Z57" s="1811"/>
      <c r="AA57" s="795"/>
      <c r="AB57" s="140" t="str" cm="1">
        <f t="array" ref="AB57">Аренда!$AB$37</f>
        <v>Тариф 1 (Водоснабжение) - тариф на питьевую воду</v>
      </c>
      <c r="AC57" s="99"/>
      <c r="AD57" s="99"/>
      <c r="AE57" s="220">
        <f t="shared" ref="AE57:BB57" si="7">AE66+AE71+AE76+AE81+AE58+AE86+AE87+AE88+AE89</f>
        <v>140.82</v>
      </c>
      <c r="AF57" s="220">
        <f t="shared" si="7"/>
        <v>5.6</v>
      </c>
      <c r="AG57" s="220">
        <f t="shared" si="7"/>
        <v>5.6</v>
      </c>
      <c r="AH57" s="220">
        <f t="shared" si="7"/>
        <v>146.88999999999999</v>
      </c>
      <c r="AI57" s="220">
        <f t="shared" si="7"/>
        <v>155.30000000000001</v>
      </c>
      <c r="AJ57" s="220">
        <f t="shared" si="7"/>
        <v>0</v>
      </c>
      <c r="AK57" s="220">
        <f t="shared" si="7"/>
        <v>0</v>
      </c>
      <c r="AL57" s="220">
        <f t="shared" si="7"/>
        <v>0</v>
      </c>
      <c r="AM57" s="220">
        <f t="shared" si="7"/>
        <v>0</v>
      </c>
      <c r="AN57" s="220">
        <f t="shared" si="7"/>
        <v>0</v>
      </c>
      <c r="AO57" s="220">
        <f t="shared" si="7"/>
        <v>0</v>
      </c>
      <c r="AP57" s="220">
        <f t="shared" si="7"/>
        <v>0</v>
      </c>
      <c r="AQ57" s="220">
        <f t="shared" si="7"/>
        <v>0</v>
      </c>
      <c r="AR57" s="220">
        <f t="shared" si="7"/>
        <v>0</v>
      </c>
      <c r="AS57" s="220">
        <f t="shared" si="7"/>
        <v>155.33000000000001</v>
      </c>
      <c r="AT57" s="220">
        <f t="shared" si="7"/>
        <v>0</v>
      </c>
      <c r="AU57" s="220">
        <f t="shared" si="7"/>
        <v>0</v>
      </c>
      <c r="AV57" s="220">
        <f t="shared" si="7"/>
        <v>0</v>
      </c>
      <c r="AW57" s="220">
        <f t="shared" si="7"/>
        <v>0</v>
      </c>
      <c r="AX57" s="220">
        <f t="shared" si="7"/>
        <v>0</v>
      </c>
      <c r="AY57" s="220">
        <f t="shared" si="7"/>
        <v>0</v>
      </c>
      <c r="AZ57" s="220">
        <f t="shared" si="7"/>
        <v>0</v>
      </c>
      <c r="BA57" s="220">
        <f t="shared" si="7"/>
        <v>0</v>
      </c>
      <c r="BB57" s="220">
        <f t="shared" si="7"/>
        <v>0</v>
      </c>
      <c r="BC57" s="142"/>
      <c r="BD57" s="795"/>
      <c r="BE57" s="795"/>
      <c r="BF57" s="943"/>
      <c r="BG57" s="943"/>
      <c r="BH57" s="943"/>
      <c r="BI57" s="595"/>
      <c r="BJ57" s="595"/>
    </row>
    <row r="58" spans="1:62" s="1327" customFormat="1" ht="14.25" customHeight="1">
      <c r="A58" s="795"/>
      <c r="B58" s="357"/>
      <c r="C58" s="795"/>
      <c r="D58" s="795"/>
      <c r="E58" s="595">
        <v>15</v>
      </c>
      <c r="F58" s="3" t="str" cm="1">
        <f t="array" aca="1" ref="F58" ca="1">OFFSET(E58,-1,1)</f>
        <v>1</v>
      </c>
      <c r="G58" s="71" t="s">
        <v>323</v>
      </c>
      <c r="H58" s="795"/>
      <c r="I58" s="795"/>
      <c r="J58" s="795"/>
      <c r="K58" s="817" t="str">
        <f ca="1">F58&amp;"1komm"</f>
        <v>11komm</v>
      </c>
      <c r="L58" s="821" cm="1">
        <f t="array" ref="L58">BC58</f>
        <v>0</v>
      </c>
      <c r="M58" s="795"/>
      <c r="N58" s="795"/>
      <c r="O58" s="795"/>
      <c r="P58" s="795"/>
      <c r="Q58" s="795"/>
      <c r="R58" s="795"/>
      <c r="S58" s="795"/>
      <c r="T58" s="381" t="b" cm="1">
        <f t="array" ref="T58">T57</f>
        <v>1</v>
      </c>
      <c r="U58" s="795"/>
      <c r="V58" s="795"/>
      <c r="W58" s="795"/>
      <c r="X58" s="1711"/>
      <c r="Y58" s="795"/>
      <c r="Z58" s="1811"/>
      <c r="AA58" s="795"/>
      <c r="AB58" s="129">
        <v>1</v>
      </c>
      <c r="AC58" s="130" t="s">
        <v>966</v>
      </c>
      <c r="AD58" s="129" t="s">
        <v>766</v>
      </c>
      <c r="AE58" s="131">
        <f>SUMIF(AD60:AD65,AD58,AE60:AE65)</f>
        <v>140.82</v>
      </c>
      <c r="AF58" s="131">
        <f>SUMIF(AD60:AD65,AD58,AF60:AF65)</f>
        <v>5.6</v>
      </c>
      <c r="AG58" s="131">
        <f>SUMIF(AD60:AD65,AD58,AG60:AG65)</f>
        <v>5.6</v>
      </c>
      <c r="AH58" s="131">
        <f>SUMIF(AD60:AD65,AD58,AH60:AH65)</f>
        <v>146.88999999999999</v>
      </c>
      <c r="AI58" s="131">
        <f>SUMIF(AD60:AD65,AD58,AI60:AI65)</f>
        <v>155.30000000000001</v>
      </c>
      <c r="AJ58" s="1318">
        <f>SUMIF(AD60:AD65,AD58,AJ60:AJ65)</f>
        <v>0</v>
      </c>
      <c r="AK58" s="1318">
        <f>SUMIF(AD60:AD65,AD58,AK60:AK65)</f>
        <v>0</v>
      </c>
      <c r="AL58" s="1318">
        <f>SUMIF(AD60:AD65,AD58,AL60:AL65)</f>
        <v>0</v>
      </c>
      <c r="AM58" s="1318">
        <f>SUMIF(AD60:AD65,AD58,AM60:AM65)</f>
        <v>0</v>
      </c>
      <c r="AN58" s="1318">
        <f>SUMIF(AD60:AD65,AD58,AN60:AN65)</f>
        <v>0</v>
      </c>
      <c r="AO58" s="1318">
        <f>SUMIF(AD60:AD65,AD58,AO60:AO65)</f>
        <v>0</v>
      </c>
      <c r="AP58" s="1318">
        <f>SUMIF(AD60:AD65,AD58,AP60:AP65)</f>
        <v>0</v>
      </c>
      <c r="AQ58" s="1318">
        <f>SUMIF(AD60:AD65,AD58,AQ60:AQ65)</f>
        <v>0</v>
      </c>
      <c r="AR58" s="1318">
        <f>SUMIF(AD60:AD65,AD58,AR60:AR65)</f>
        <v>0</v>
      </c>
      <c r="AS58" s="131">
        <f>SUMIF(AD60:AD65,AD58,AS60:AS65)</f>
        <v>155.33000000000001</v>
      </c>
      <c r="AT58" s="1318">
        <f>SUMIF(AD60:AD65,AD58,AT60:AT65)</f>
        <v>0</v>
      </c>
      <c r="AU58" s="1318">
        <f>SUMIF(AD60:AD65,AD58,AU60:AU65)</f>
        <v>0</v>
      </c>
      <c r="AV58" s="1318">
        <f>SUMIF(AD60:AD65,AD58,AV60:AV65)</f>
        <v>0</v>
      </c>
      <c r="AW58" s="1318">
        <f>SUMIF(AD60:AD65,AD58,AW60:AW65)</f>
        <v>0</v>
      </c>
      <c r="AX58" s="1318">
        <f>SUMIF(AD60:AD65,AD58,AX60:AX65)</f>
        <v>0</v>
      </c>
      <c r="AY58" s="1318">
        <f>SUMIF(AD60:AD65,AD58,AY60:AY65)</f>
        <v>0</v>
      </c>
      <c r="AZ58" s="1318">
        <f>SUMIF(AD60:AD65,AD58,AZ60:AZ65)</f>
        <v>0</v>
      </c>
      <c r="BA58" s="1318">
        <f>SUMIF(AD60:AD65,AD58,BA60:BA65)</f>
        <v>0</v>
      </c>
      <c r="BB58" s="1318">
        <f>SUMIF(AD60:AD65,AD58,BB60:BB65)</f>
        <v>0</v>
      </c>
      <c r="BC58" s="118"/>
      <c r="BD58" s="795"/>
      <c r="BE58" s="795"/>
      <c r="BF58" s="943" t="s">
        <v>967</v>
      </c>
      <c r="BG58" s="943"/>
      <c r="BH58" s="943"/>
      <c r="BI58" s="595"/>
      <c r="BJ58" s="595"/>
    </row>
    <row r="59" spans="1:62" s="1327" customFormat="1" ht="15" hidden="1" customHeight="1">
      <c r="A59" s="795"/>
      <c r="B59" s="357"/>
      <c r="C59" s="795"/>
      <c r="D59" s="795"/>
      <c r="E59" s="595">
        <v>0</v>
      </c>
      <c r="F59" s="3" t="str" cm="1">
        <f t="array" aca="1" ref="F59" ca="1">OFFSET(E59,-1,1)</f>
        <v>1</v>
      </c>
      <c r="G59" s="795"/>
      <c r="H59" s="795"/>
      <c r="I59" s="795"/>
      <c r="J59" s="795"/>
      <c r="K59" s="817"/>
      <c r="L59" s="821"/>
      <c r="M59" s="795"/>
      <c r="N59" s="795"/>
      <c r="O59" s="795"/>
      <c r="P59" s="795"/>
      <c r="Q59" s="795"/>
      <c r="R59" s="795"/>
      <c r="S59" s="795"/>
      <c r="T59" s="381" t="b">
        <v>0</v>
      </c>
      <c r="U59" s="795"/>
      <c r="V59" s="795"/>
      <c r="W59" s="71" t="s">
        <v>173</v>
      </c>
      <c r="X59" s="1711"/>
      <c r="Y59" s="1711">
        <v>0</v>
      </c>
      <c r="Z59" s="1811"/>
      <c r="AA59" s="1812" t="s">
        <v>174</v>
      </c>
      <c r="AB59" s="129"/>
      <c r="AC59" s="130"/>
      <c r="AD59" s="129"/>
      <c r="AE59" s="134" t="b">
        <f t="shared" ref="AE59:BB59" si="8">OR(AND(AE60&lt;&gt;"",AE61=""),AND(AE60="",AE61&lt;&gt;""))</f>
        <v>0</v>
      </c>
      <c r="AF59" s="134" t="b">
        <f t="shared" si="8"/>
        <v>0</v>
      </c>
      <c r="AG59" s="134" t="b">
        <f t="shared" si="8"/>
        <v>0</v>
      </c>
      <c r="AH59" s="134" t="b">
        <f t="shared" si="8"/>
        <v>0</v>
      </c>
      <c r="AI59" s="134" t="b">
        <f t="shared" si="8"/>
        <v>0</v>
      </c>
      <c r="AJ59" s="134" t="b">
        <f t="shared" si="8"/>
        <v>0</v>
      </c>
      <c r="AK59" s="134" t="b">
        <f t="shared" si="8"/>
        <v>0</v>
      </c>
      <c r="AL59" s="134" t="b">
        <f t="shared" si="8"/>
        <v>0</v>
      </c>
      <c r="AM59" s="134" t="b">
        <f t="shared" si="8"/>
        <v>0</v>
      </c>
      <c r="AN59" s="134" t="b">
        <f t="shared" si="8"/>
        <v>0</v>
      </c>
      <c r="AO59" s="134" t="b">
        <f t="shared" si="8"/>
        <v>0</v>
      </c>
      <c r="AP59" s="134" t="b">
        <f t="shared" si="8"/>
        <v>0</v>
      </c>
      <c r="AQ59" s="134" t="b">
        <f t="shared" si="8"/>
        <v>0</v>
      </c>
      <c r="AR59" s="134" t="b">
        <f t="shared" si="8"/>
        <v>0</v>
      </c>
      <c r="AS59" s="134" t="b">
        <f t="shared" si="8"/>
        <v>0</v>
      </c>
      <c r="AT59" s="134" t="b">
        <f t="shared" si="8"/>
        <v>0</v>
      </c>
      <c r="AU59" s="134" t="b">
        <f t="shared" si="8"/>
        <v>0</v>
      </c>
      <c r="AV59" s="134" t="b">
        <f t="shared" si="8"/>
        <v>0</v>
      </c>
      <c r="AW59" s="134" t="b">
        <f t="shared" si="8"/>
        <v>0</v>
      </c>
      <c r="AX59" s="134" t="b">
        <f t="shared" si="8"/>
        <v>0</v>
      </c>
      <c r="AY59" s="134" t="b">
        <f t="shared" si="8"/>
        <v>0</v>
      </c>
      <c r="AZ59" s="134" t="b">
        <f t="shared" si="8"/>
        <v>0</v>
      </c>
      <c r="BA59" s="134" t="b">
        <f t="shared" si="8"/>
        <v>0</v>
      </c>
      <c r="BB59" s="134" t="b">
        <f t="shared" si="8"/>
        <v>0</v>
      </c>
      <c r="BC59" s="876"/>
      <c r="BD59" s="795"/>
      <c r="BE59" s="795"/>
      <c r="BF59" s="943"/>
      <c r="BG59" s="943"/>
      <c r="BH59" s="943"/>
      <c r="BI59" s="595"/>
      <c r="BJ59" s="595"/>
    </row>
    <row r="60" spans="1:62" s="1327" customFormat="1" ht="14.25" hidden="1" customHeight="1">
      <c r="A60" s="795"/>
      <c r="B60" s="357"/>
      <c r="C60" s="795"/>
      <c r="D60" s="795"/>
      <c r="E60" s="595">
        <v>15</v>
      </c>
      <c r="F60" s="3" t="str" cm="1">
        <f t="array" aca="1" ref="F60" ca="1">OFFSET(E60,-1,1)</f>
        <v>1</v>
      </c>
      <c r="G60" s="71" t="s">
        <v>323</v>
      </c>
      <c r="H60" s="74" cm="1">
        <f t="array" ref="H60">AC60</f>
        <v>0</v>
      </c>
      <c r="I60" s="71" t="s">
        <v>968</v>
      </c>
      <c r="J60" s="795"/>
      <c r="K60" s="817"/>
      <c r="L60" s="795"/>
      <c r="M60" s="795"/>
      <c r="N60" s="795"/>
      <c r="O60" s="795"/>
      <c r="P60" s="795"/>
      <c r="Q60" s="795"/>
      <c r="R60" s="795"/>
      <c r="S60" s="795"/>
      <c r="T60" s="381" t="b">
        <f ca="1">AND(F60&gt;0,Y59&gt;0)</f>
        <v>0</v>
      </c>
      <c r="U60" s="795"/>
      <c r="V60" s="795"/>
      <c r="W60" s="795"/>
      <c r="X60" s="1711"/>
      <c r="Y60" s="1711"/>
      <c r="Z60" s="1811"/>
      <c r="AA60" s="1812"/>
      <c r="AB60" s="7" t="str">
        <f>"1."&amp;Y59</f>
        <v>1.0</v>
      </c>
      <c r="AC60" s="190"/>
      <c r="AD60" s="129" t="s">
        <v>766</v>
      </c>
      <c r="AE60" s="1397"/>
      <c r="AF60" s="1397"/>
      <c r="AG60" s="1397"/>
      <c r="AH60" s="1397"/>
      <c r="AI60" s="1320"/>
      <c r="AJ60" s="1397"/>
      <c r="AK60" s="1397"/>
      <c r="AL60" s="1397"/>
      <c r="AM60" s="1397"/>
      <c r="AN60" s="1397"/>
      <c r="AO60" s="1397"/>
      <c r="AP60" s="1397"/>
      <c r="AQ60" s="1397"/>
      <c r="AR60" s="1397"/>
      <c r="AS60" s="1320"/>
      <c r="AT60" s="1397"/>
      <c r="AU60" s="1397"/>
      <c r="AV60" s="1397"/>
      <c r="AW60" s="1397"/>
      <c r="AX60" s="1397"/>
      <c r="AY60" s="1397"/>
      <c r="AZ60" s="1397"/>
      <c r="BA60" s="1397"/>
      <c r="BB60" s="1397"/>
      <c r="BC60" s="1361"/>
      <c r="BD60" s="795"/>
      <c r="BE60" s="795"/>
      <c r="BF60" s="943" t="s">
        <v>969</v>
      </c>
      <c r="BG60" s="943" t="s">
        <v>970</v>
      </c>
      <c r="BH60" s="943" cm="1">
        <f t="array" ref="BH60">AC60</f>
        <v>0</v>
      </c>
      <c r="BI60" s="595"/>
      <c r="BJ60" s="595" t="b">
        <v>1</v>
      </c>
    </row>
    <row r="61" spans="1:62" s="1327" customFormat="1" ht="14.25" hidden="1" customHeight="1">
      <c r="A61" s="795"/>
      <c r="B61" s="357"/>
      <c r="C61" s="795"/>
      <c r="D61" s="795"/>
      <c r="E61" s="595">
        <v>15</v>
      </c>
      <c r="F61" s="3" t="str" cm="1">
        <f t="array" aca="1" ref="F61" ca="1">OFFSET(E61,-1,1)</f>
        <v>1</v>
      </c>
      <c r="G61" s="71" t="s">
        <v>427</v>
      </c>
      <c r="H61" s="74" cm="1">
        <f t="array" ref="H61">H60</f>
        <v>0</v>
      </c>
      <c r="I61" s="71" t="s">
        <v>968</v>
      </c>
      <c r="J61" s="795"/>
      <c r="K61" s="817"/>
      <c r="L61" s="795"/>
      <c r="M61" s="795"/>
      <c r="N61" s="795"/>
      <c r="O61" s="795"/>
      <c r="P61" s="795"/>
      <c r="Q61" s="795"/>
      <c r="R61" s="795"/>
      <c r="S61" s="795"/>
      <c r="T61" s="381" t="b" cm="1">
        <f t="array" aca="1" ref="T61" ca="1">T60</f>
        <v>0</v>
      </c>
      <c r="U61" s="795"/>
      <c r="V61" s="795"/>
      <c r="W61" s="795"/>
      <c r="X61" s="1711"/>
      <c r="Y61" s="1711"/>
      <c r="Z61" s="1811"/>
      <c r="AA61" s="1812"/>
      <c r="AB61" s="7" t="str">
        <f>AB60&amp;".1"</f>
        <v>1.0.1</v>
      </c>
      <c r="AC61" s="139" t="s">
        <v>971</v>
      </c>
      <c r="AD61" s="7" t="s">
        <v>499</v>
      </c>
      <c r="AE61" s="1395"/>
      <c r="AF61" s="1395"/>
      <c r="AG61" s="1395"/>
      <c r="AH61" s="1395"/>
      <c r="AI61" s="133"/>
      <c r="AJ61" s="1395"/>
      <c r="AK61" s="1395"/>
      <c r="AL61" s="1395"/>
      <c r="AM61" s="1395"/>
      <c r="AN61" s="1395"/>
      <c r="AO61" s="1395"/>
      <c r="AP61" s="1395"/>
      <c r="AQ61" s="1395"/>
      <c r="AR61" s="1395"/>
      <c r="AS61" s="133"/>
      <c r="AT61" s="1395"/>
      <c r="AU61" s="1395"/>
      <c r="AV61" s="1395"/>
      <c r="AW61" s="1395"/>
      <c r="AX61" s="1395"/>
      <c r="AY61" s="1395"/>
      <c r="AZ61" s="1395"/>
      <c r="BA61" s="1395"/>
      <c r="BB61" s="1395"/>
      <c r="BC61" s="1361"/>
      <c r="BD61" s="795"/>
      <c r="BE61" s="795"/>
      <c r="BF61" s="943" t="s">
        <v>972</v>
      </c>
      <c r="BG61" s="943" t="s">
        <v>970</v>
      </c>
      <c r="BH61" s="943" cm="1">
        <f t="array" ref="BH61">BH60</f>
        <v>0</v>
      </c>
      <c r="BI61" s="595"/>
      <c r="BJ61" s="595"/>
    </row>
    <row r="62" spans="1:62" s="1327" customFormat="1" ht="15" hidden="1" customHeight="1">
      <c r="A62" s="795"/>
      <c r="B62" s="357"/>
      <c r="C62" s="795"/>
      <c r="D62" s="795"/>
      <c r="E62" s="595">
        <v>0</v>
      </c>
      <c r="F62" s="3" t="str" cm="1">
        <f t="array" aca="1" ref="F62" ca="1">OFFSET(E62,-1,1)</f>
        <v>1</v>
      </c>
      <c r="G62" s="795"/>
      <c r="H62" s="795"/>
      <c r="I62" s="795"/>
      <c r="J62" s="795"/>
      <c r="K62" s="817"/>
      <c r="L62" s="821"/>
      <c r="M62" s="795"/>
      <c r="N62" s="795"/>
      <c r="O62" s="795"/>
      <c r="P62" s="795"/>
      <c r="Q62" s="795"/>
      <c r="R62" s="795"/>
      <c r="S62" s="795"/>
      <c r="T62" s="381" t="b">
        <v>0</v>
      </c>
      <c r="U62" s="795"/>
      <c r="V62" s="795"/>
      <c r="W62" s="71"/>
      <c r="X62" s="1711"/>
      <c r="Y62" s="1711" t="s">
        <v>281</v>
      </c>
      <c r="Z62" s="1811"/>
      <c r="AA62" s="1812" t="s">
        <v>174</v>
      </c>
      <c r="AB62" s="129"/>
      <c r="AC62" s="130"/>
      <c r="AD62" s="129"/>
      <c r="AE62" s="134" t="b">
        <f t="shared" ref="AE62:BB62" si="9">OR(AND(AE63&lt;&gt;"",AE64=""),AND(AE63="",AE64&lt;&gt;""))</f>
        <v>0</v>
      </c>
      <c r="AF62" s="134" t="b">
        <f t="shared" si="9"/>
        <v>0</v>
      </c>
      <c r="AG62" s="134" t="b">
        <f t="shared" si="9"/>
        <v>0</v>
      </c>
      <c r="AH62" s="134" t="b">
        <f t="shared" si="9"/>
        <v>0</v>
      </c>
      <c r="AI62" s="134" t="b">
        <f t="shared" si="9"/>
        <v>0</v>
      </c>
      <c r="AJ62" s="134" t="b">
        <f t="shared" si="9"/>
        <v>0</v>
      </c>
      <c r="AK62" s="134" t="b">
        <f t="shared" si="9"/>
        <v>0</v>
      </c>
      <c r="AL62" s="134" t="b">
        <f t="shared" si="9"/>
        <v>0</v>
      </c>
      <c r="AM62" s="134" t="b">
        <f t="shared" si="9"/>
        <v>0</v>
      </c>
      <c r="AN62" s="134" t="b">
        <f t="shared" si="9"/>
        <v>0</v>
      </c>
      <c r="AO62" s="134" t="b">
        <f t="shared" si="9"/>
        <v>0</v>
      </c>
      <c r="AP62" s="134" t="b">
        <f t="shared" si="9"/>
        <v>0</v>
      </c>
      <c r="AQ62" s="134" t="b">
        <f t="shared" si="9"/>
        <v>0</v>
      </c>
      <c r="AR62" s="134" t="b">
        <f t="shared" si="9"/>
        <v>0</v>
      </c>
      <c r="AS62" s="134" t="b">
        <f t="shared" si="9"/>
        <v>0</v>
      </c>
      <c r="AT62" s="134" t="b">
        <f t="shared" si="9"/>
        <v>0</v>
      </c>
      <c r="AU62" s="134" t="b">
        <f t="shared" si="9"/>
        <v>0</v>
      </c>
      <c r="AV62" s="134" t="b">
        <f t="shared" si="9"/>
        <v>0</v>
      </c>
      <c r="AW62" s="134" t="b">
        <f t="shared" si="9"/>
        <v>0</v>
      </c>
      <c r="AX62" s="134" t="b">
        <f t="shared" si="9"/>
        <v>0</v>
      </c>
      <c r="AY62" s="134" t="b">
        <f t="shared" si="9"/>
        <v>0</v>
      </c>
      <c r="AZ62" s="134" t="b">
        <f t="shared" si="9"/>
        <v>0</v>
      </c>
      <c r="BA62" s="134" t="b">
        <f t="shared" si="9"/>
        <v>0</v>
      </c>
      <c r="BB62" s="134" t="b">
        <f t="shared" si="9"/>
        <v>0</v>
      </c>
      <c r="BC62" s="876"/>
      <c r="BD62" s="795"/>
      <c r="BE62" s="795"/>
      <c r="BF62" s="943"/>
      <c r="BG62" s="943"/>
      <c r="BH62" s="943"/>
      <c r="BI62" s="595"/>
      <c r="BJ62" s="595"/>
    </row>
    <row r="63" spans="1:62" s="1327" customFormat="1" ht="33.75" customHeight="1">
      <c r="A63" s="795"/>
      <c r="B63" s="357"/>
      <c r="C63" s="795"/>
      <c r="D63" s="795"/>
      <c r="E63" s="595">
        <v>15</v>
      </c>
      <c r="F63" s="3" t="str" cm="1">
        <f t="array" aca="1" ref="F63" ca="1">OFFSET(E63,-1,1)</f>
        <v>1</v>
      </c>
      <c r="G63" s="71" t="s">
        <v>323</v>
      </c>
      <c r="H63" s="74" t="str" cm="1">
        <f t="array" ref="H63">AC63</f>
        <v>ОАО «СКЭК»::4205153492::420501001</v>
      </c>
      <c r="I63" s="71" t="s">
        <v>968</v>
      </c>
      <c r="J63" s="795"/>
      <c r="K63" s="817"/>
      <c r="L63" s="795"/>
      <c r="M63" s="795"/>
      <c r="N63" s="795"/>
      <c r="O63" s="795"/>
      <c r="P63" s="795"/>
      <c r="Q63" s="795"/>
      <c r="R63" s="795"/>
      <c r="S63" s="795"/>
      <c r="T63" s="381" t="b">
        <f ca="1">AND(F63&gt;0,Y62&gt;0)</f>
        <v>1</v>
      </c>
      <c r="U63" s="795"/>
      <c r="V63" s="795"/>
      <c r="W63" s="795"/>
      <c r="X63" s="1711"/>
      <c r="Y63" s="1711"/>
      <c r="Z63" s="1811"/>
      <c r="AA63" s="1812"/>
      <c r="AB63" s="7" t="str">
        <f>"1."&amp;Y62</f>
        <v>1.1</v>
      </c>
      <c r="AC63" s="190" t="s">
        <v>1006</v>
      </c>
      <c r="AD63" s="129" t="s">
        <v>766</v>
      </c>
      <c r="AE63" s="1320">
        <v>140.82</v>
      </c>
      <c r="AF63" s="1320">
        <v>5.6</v>
      </c>
      <c r="AG63" s="1320">
        <v>5.6</v>
      </c>
      <c r="AH63" s="1320">
        <v>146.88999999999999</v>
      </c>
      <c r="AI63" s="1320">
        <v>155.30000000000001</v>
      </c>
      <c r="AJ63" s="1320"/>
      <c r="AK63" s="1320"/>
      <c r="AL63" s="1320"/>
      <c r="AM63" s="1320"/>
      <c r="AN63" s="1320"/>
      <c r="AO63" s="1320"/>
      <c r="AP63" s="1320"/>
      <c r="AQ63" s="1320"/>
      <c r="AR63" s="1320"/>
      <c r="AS63" s="1320">
        <v>155.33000000000001</v>
      </c>
      <c r="AT63" s="1320"/>
      <c r="AU63" s="1320"/>
      <c r="AV63" s="1320"/>
      <c r="AW63" s="1320"/>
      <c r="AX63" s="1320"/>
      <c r="AY63" s="1320"/>
      <c r="AZ63" s="1320"/>
      <c r="BA63" s="1320"/>
      <c r="BB63" s="1320"/>
      <c r="BC63" s="118" t="s">
        <v>1007</v>
      </c>
      <c r="BD63" s="795"/>
      <c r="BE63" s="795"/>
      <c r="BF63" s="943" t="s">
        <v>969</v>
      </c>
      <c r="BG63" s="943" t="s">
        <v>970</v>
      </c>
      <c r="BH63" s="943" t="str" cm="1">
        <f t="array" ref="BH63">AC63</f>
        <v>ОАО «СКЭК»::4205153492::420501001</v>
      </c>
      <c r="BI63" s="595"/>
      <c r="BJ63" s="595" t="b">
        <v>1</v>
      </c>
    </row>
    <row r="64" spans="1:62" s="1327" customFormat="1" ht="33.75" customHeight="1">
      <c r="A64" s="795"/>
      <c r="B64" s="357"/>
      <c r="C64" s="795"/>
      <c r="D64" s="795"/>
      <c r="E64" s="595">
        <v>15</v>
      </c>
      <c r="F64" s="3" t="str" cm="1">
        <f t="array" aca="1" ref="F64" ca="1">OFFSET(E64,-1,1)</f>
        <v>1</v>
      </c>
      <c r="G64" s="71" t="s">
        <v>427</v>
      </c>
      <c r="H64" s="74" t="str" cm="1">
        <f t="array" ref="H64">H63</f>
        <v>ОАО «СКЭК»::4205153492::420501001</v>
      </c>
      <c r="I64" s="71" t="s">
        <v>968</v>
      </c>
      <c r="J64" s="795"/>
      <c r="K64" s="817"/>
      <c r="L64" s="795"/>
      <c r="M64" s="795"/>
      <c r="N64" s="795"/>
      <c r="O64" s="795"/>
      <c r="P64" s="795"/>
      <c r="Q64" s="795"/>
      <c r="R64" s="795"/>
      <c r="S64" s="795"/>
      <c r="T64" s="381" t="b" cm="1">
        <f t="array" aca="1" ref="T64" ca="1">T63</f>
        <v>1</v>
      </c>
      <c r="U64" s="795"/>
      <c r="V64" s="795"/>
      <c r="W64" s="795"/>
      <c r="X64" s="1711"/>
      <c r="Y64" s="1711"/>
      <c r="Z64" s="1811"/>
      <c r="AA64" s="1812"/>
      <c r="AB64" s="7" t="str">
        <f>AB63&amp;".1"</f>
        <v>1.1.1</v>
      </c>
      <c r="AC64" s="139" t="s">
        <v>971</v>
      </c>
      <c r="AD64" s="7" t="s">
        <v>499</v>
      </c>
      <c r="AE64" s="133">
        <v>2.7665999999999999</v>
      </c>
      <c r="AF64" s="133">
        <v>110</v>
      </c>
      <c r="AG64" s="133">
        <v>110</v>
      </c>
      <c r="AH64" s="133">
        <v>2.6282700000000001</v>
      </c>
      <c r="AI64" s="133">
        <v>2.5756999999999999</v>
      </c>
      <c r="AJ64" s="133"/>
      <c r="AK64" s="133"/>
      <c r="AL64" s="133"/>
      <c r="AM64" s="133"/>
      <c r="AN64" s="133"/>
      <c r="AO64" s="133"/>
      <c r="AP64" s="133"/>
      <c r="AQ64" s="133"/>
      <c r="AR64" s="133"/>
      <c r="AS64" s="133">
        <v>2.5756999999999999</v>
      </c>
      <c r="AT64" s="133"/>
      <c r="AU64" s="133"/>
      <c r="AV64" s="133"/>
      <c r="AW64" s="133"/>
      <c r="AX64" s="133"/>
      <c r="AY64" s="133"/>
      <c r="AZ64" s="133"/>
      <c r="BA64" s="133"/>
      <c r="BB64" s="133"/>
      <c r="BC64" s="118" t="s">
        <v>739</v>
      </c>
      <c r="BD64" s="795"/>
      <c r="BE64" s="795"/>
      <c r="BF64" s="943" t="s">
        <v>972</v>
      </c>
      <c r="BG64" s="943" t="s">
        <v>970</v>
      </c>
      <c r="BH64" s="943" t="str" cm="1">
        <f t="array" ref="BH64">BH63</f>
        <v>ОАО «СКЭК»::4205153492::420501001</v>
      </c>
      <c r="BI64" s="595"/>
      <c r="BJ64" s="595"/>
    </row>
    <row r="65" spans="1:62" s="1327" customFormat="1" ht="14.25" customHeight="1">
      <c r="A65" s="795"/>
      <c r="B65" s="357"/>
      <c r="C65" s="795"/>
      <c r="D65" s="795"/>
      <c r="E65" s="595">
        <v>15</v>
      </c>
      <c r="F65" s="3" t="str" cm="1">
        <f t="array" aca="1" ref="F65" ca="1">OFFSET(E65,-1,1)</f>
        <v>1</v>
      </c>
      <c r="G65" s="795"/>
      <c r="H65" s="71" t="str">
        <f>"!=='не определено' &amp;&amp; row.l1 !== null"</f>
        <v>!=='не определено' &amp;&amp; row.l1 !== null</v>
      </c>
      <c r="I65" s="795"/>
      <c r="J65" s="795"/>
      <c r="K65" s="817"/>
      <c r="L65" s="795"/>
      <c r="M65" s="795"/>
      <c r="N65" s="795"/>
      <c r="O65" s="795"/>
      <c r="P65" s="795"/>
      <c r="Q65" s="795"/>
      <c r="R65" s="795"/>
      <c r="S65" s="795"/>
      <c r="T65" s="381" t="b">
        <f ca="1">F65&gt;0</f>
        <v>1</v>
      </c>
      <c r="U65" s="795"/>
      <c r="V65" s="795"/>
      <c r="W65" s="602" t="s">
        <v>973</v>
      </c>
      <c r="X65" s="1711"/>
      <c r="Y65" s="795"/>
      <c r="Z65" s="1811"/>
      <c r="AA65" s="795"/>
      <c r="AB65" s="598"/>
      <c r="AC65" s="150" t="s">
        <v>974</v>
      </c>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1"/>
      <c r="BD65" s="795"/>
      <c r="BE65" s="795"/>
      <c r="BF65" s="943"/>
      <c r="BG65" s="943"/>
      <c r="BH65" s="943"/>
      <c r="BI65" s="595" t="s">
        <v>970</v>
      </c>
      <c r="BJ65" s="595"/>
    </row>
    <row r="66" spans="1:62" s="1327" customFormat="1" ht="21.75" customHeight="1">
      <c r="A66" s="795"/>
      <c r="B66" s="357"/>
      <c r="C66" s="795"/>
      <c r="D66" s="795"/>
      <c r="E66" s="595">
        <v>22.5</v>
      </c>
      <c r="F66" s="3" t="str" cm="1">
        <f t="array" aca="1" ref="F66" ca="1">OFFSET(E66,-1,1)</f>
        <v>1</v>
      </c>
      <c r="G66" s="795"/>
      <c r="H66" s="795"/>
      <c r="I66" s="795"/>
      <c r="J66" s="795"/>
      <c r="K66" s="817" t="str">
        <f ca="1">F58&amp;"2komm"</f>
        <v>12komm</v>
      </c>
      <c r="L66" s="821" cm="1">
        <f t="array" ref="L66">BC66</f>
        <v>0</v>
      </c>
      <c r="M66" s="795"/>
      <c r="N66" s="795"/>
      <c r="O66" s="795"/>
      <c r="P66" s="795"/>
      <c r="Q66" s="795"/>
      <c r="R66" s="795"/>
      <c r="S66" s="795"/>
      <c r="T66" s="381" t="b" cm="1">
        <f t="array" aca="1" ref="T66" ca="1">T65</f>
        <v>1</v>
      </c>
      <c r="U66" s="795"/>
      <c r="V66" s="795"/>
      <c r="W66" s="795"/>
      <c r="X66" s="1711"/>
      <c r="Y66" s="601"/>
      <c r="Z66" s="1811"/>
      <c r="AA66" s="795"/>
      <c r="AB66" s="129">
        <v>2</v>
      </c>
      <c r="AC66" s="130" t="s">
        <v>975</v>
      </c>
      <c r="AD66" s="129" t="s">
        <v>766</v>
      </c>
      <c r="AE66" s="131">
        <f>SUMIF(AD68:AD70,AD66,AE68:AE70)</f>
        <v>0</v>
      </c>
      <c r="AF66" s="131">
        <f>SUMIF(AD68:AD70,AD66,AF68:AF70)</f>
        <v>0</v>
      </c>
      <c r="AG66" s="131">
        <f>SUMIF(AD68:AD70,AD66,AG68:AG70)</f>
        <v>0</v>
      </c>
      <c r="AH66" s="131">
        <f>SUMIF(AD68:AD70,AD66,AH68:AH70)</f>
        <v>0</v>
      </c>
      <c r="AI66" s="131">
        <f>SUMIF(AD68:AD70,AD66,AI68:AI70)</f>
        <v>0</v>
      </c>
      <c r="AJ66" s="1318">
        <f>SUMIF(AD68:AD70,AD66,AJ68:AJ70)</f>
        <v>0</v>
      </c>
      <c r="AK66" s="1318">
        <f>SUMIF(AD68:AD70,AD66,AK68:AK70)</f>
        <v>0</v>
      </c>
      <c r="AL66" s="1318">
        <f>SUMIF(AD68:AD70,AD66,AL68:AL70)</f>
        <v>0</v>
      </c>
      <c r="AM66" s="1318">
        <f>SUMIF(AD68:AD70,AD66,AM68:AM70)</f>
        <v>0</v>
      </c>
      <c r="AN66" s="1318">
        <f>SUMIF(AD68:AD70,AD66,AN68:AN70)</f>
        <v>0</v>
      </c>
      <c r="AO66" s="1318">
        <f>SUMIF(AD68:AD70,AD66,AO68:AO70)</f>
        <v>0</v>
      </c>
      <c r="AP66" s="1318">
        <f>SUMIF(AD68:AD70,AD66,AP68:AP70)</f>
        <v>0</v>
      </c>
      <c r="AQ66" s="1318">
        <f>SUMIF(AD68:AD70,AD66,AQ68:AQ70)</f>
        <v>0</v>
      </c>
      <c r="AR66" s="1318">
        <f>SUMIF(AD68:AD70,AD66,AR68:AR70)</f>
        <v>0</v>
      </c>
      <c r="AS66" s="131">
        <f>SUMIF(AD68:AD70,AD66,AS68:AS70)</f>
        <v>0</v>
      </c>
      <c r="AT66" s="1318">
        <f>SUMIF(AD68:AD70,AD66,AT68:AT70)</f>
        <v>0</v>
      </c>
      <c r="AU66" s="1318">
        <f>SUMIF(AD68:AD70,AD66,AU68:AU70)</f>
        <v>0</v>
      </c>
      <c r="AV66" s="1318">
        <f>SUMIF(AD68:AD70,AD66,AV68:AV70)</f>
        <v>0</v>
      </c>
      <c r="AW66" s="1318">
        <f>SUMIF(AD68:AD70,AD66,AW68:AW70)</f>
        <v>0</v>
      </c>
      <c r="AX66" s="1318">
        <f>SUMIF(AD68:AD70,AD66,AX68:AX70)</f>
        <v>0</v>
      </c>
      <c r="AY66" s="1318">
        <f>SUMIF(AD68:AD70,AD66,AY68:AY70)</f>
        <v>0</v>
      </c>
      <c r="AZ66" s="1318">
        <f>SUMIF(AD68:AD70,AD66,AZ68:AZ70)</f>
        <v>0</v>
      </c>
      <c r="BA66" s="1318">
        <f>SUMIF(AD68:AD70,AD66,BA68:BA70)</f>
        <v>0</v>
      </c>
      <c r="BB66" s="1318">
        <f>SUMIF(AD68:AD70,AD66,BB68:BB70)</f>
        <v>0</v>
      </c>
      <c r="BC66" s="118"/>
      <c r="BD66" s="795"/>
      <c r="BE66" s="795"/>
      <c r="BF66" s="943" t="s">
        <v>976</v>
      </c>
      <c r="BG66" s="943"/>
      <c r="BH66" s="943"/>
      <c r="BI66" s="595"/>
      <c r="BJ66" s="595"/>
    </row>
    <row r="67" spans="1:62" s="1327" customFormat="1" ht="15" hidden="1" customHeight="1">
      <c r="A67" s="795"/>
      <c r="B67" s="357"/>
      <c r="C67" s="795"/>
      <c r="D67" s="795"/>
      <c r="E67" s="595">
        <v>0</v>
      </c>
      <c r="F67" s="3" t="str" cm="1">
        <f t="array" aca="1" ref="F67" ca="1">OFFSET(E67,-1,1)</f>
        <v>1</v>
      </c>
      <c r="G67" s="71" t="s">
        <v>324</v>
      </c>
      <c r="H67" s="795"/>
      <c r="I67" s="795"/>
      <c r="J67" s="795"/>
      <c r="K67" s="817"/>
      <c r="L67" s="821"/>
      <c r="M67" s="795"/>
      <c r="N67" s="795"/>
      <c r="O67" s="795"/>
      <c r="P67" s="795"/>
      <c r="Q67" s="795"/>
      <c r="R67" s="795"/>
      <c r="S67" s="795"/>
      <c r="T67" s="381" t="b">
        <v>0</v>
      </c>
      <c r="U67" s="795"/>
      <c r="V67" s="795"/>
      <c r="W67" s="71" t="s">
        <v>173</v>
      </c>
      <c r="X67" s="1711"/>
      <c r="Y67" s="1711">
        <v>0</v>
      </c>
      <c r="Z67" s="1811"/>
      <c r="AA67" s="1813" t="s">
        <v>174</v>
      </c>
      <c r="AB67" s="129"/>
      <c r="AC67" s="130"/>
      <c r="AD67" s="129"/>
      <c r="AE67" s="1321" t="b">
        <f t="shared" ref="AE67:BB67" si="10">OR(AND(AE68&lt;&gt;"",AE69=""),AND(AE68="",AE69&lt;&gt;""))</f>
        <v>0</v>
      </c>
      <c r="AF67" s="1321" t="b">
        <f t="shared" si="10"/>
        <v>0</v>
      </c>
      <c r="AG67" s="1321" t="b">
        <f t="shared" si="10"/>
        <v>0</v>
      </c>
      <c r="AH67" s="1321" t="b">
        <f t="shared" si="10"/>
        <v>0</v>
      </c>
      <c r="AI67" s="1321" t="b">
        <f t="shared" si="10"/>
        <v>0</v>
      </c>
      <c r="AJ67" s="1321" t="b">
        <f t="shared" si="10"/>
        <v>0</v>
      </c>
      <c r="AK67" s="1321" t="b">
        <f t="shared" si="10"/>
        <v>0</v>
      </c>
      <c r="AL67" s="1321" t="b">
        <f t="shared" si="10"/>
        <v>0</v>
      </c>
      <c r="AM67" s="1321" t="b">
        <f t="shared" si="10"/>
        <v>0</v>
      </c>
      <c r="AN67" s="1321" t="b">
        <f t="shared" si="10"/>
        <v>0</v>
      </c>
      <c r="AO67" s="1321" t="b">
        <f t="shared" si="10"/>
        <v>0</v>
      </c>
      <c r="AP67" s="1321" t="b">
        <f t="shared" si="10"/>
        <v>0</v>
      </c>
      <c r="AQ67" s="1321" t="b">
        <f t="shared" si="10"/>
        <v>0</v>
      </c>
      <c r="AR67" s="1321" t="b">
        <f t="shared" si="10"/>
        <v>0</v>
      </c>
      <c r="AS67" s="1321" t="b">
        <f t="shared" si="10"/>
        <v>0</v>
      </c>
      <c r="AT67" s="1321" t="b">
        <f t="shared" si="10"/>
        <v>0</v>
      </c>
      <c r="AU67" s="1321" t="b">
        <f t="shared" si="10"/>
        <v>0</v>
      </c>
      <c r="AV67" s="1321" t="b">
        <f t="shared" si="10"/>
        <v>0</v>
      </c>
      <c r="AW67" s="1321" t="b">
        <f t="shared" si="10"/>
        <v>0</v>
      </c>
      <c r="AX67" s="1321" t="b">
        <f t="shared" si="10"/>
        <v>0</v>
      </c>
      <c r="AY67" s="1321" t="b">
        <f t="shared" si="10"/>
        <v>0</v>
      </c>
      <c r="AZ67" s="1321" t="b">
        <f t="shared" si="10"/>
        <v>0</v>
      </c>
      <c r="BA67" s="1321" t="b">
        <f t="shared" si="10"/>
        <v>0</v>
      </c>
      <c r="BB67" s="1321" t="b">
        <f t="shared" si="10"/>
        <v>0</v>
      </c>
      <c r="BC67" s="876"/>
      <c r="BD67" s="795"/>
      <c r="BE67" s="795"/>
      <c r="BF67" s="943"/>
      <c r="BG67" s="943"/>
      <c r="BH67" s="943"/>
      <c r="BI67" s="595"/>
      <c r="BJ67" s="595"/>
    </row>
    <row r="68" spans="1:62" s="1327" customFormat="1" ht="14.25" hidden="1" customHeight="1">
      <c r="A68" s="795"/>
      <c r="B68" s="357"/>
      <c r="C68" s="795"/>
      <c r="D68" s="795"/>
      <c r="E68" s="595">
        <v>15</v>
      </c>
      <c r="F68" s="3" t="str" cm="1">
        <f t="array" aca="1" ref="F68" ca="1">OFFSET(E68,-1,1)</f>
        <v>1</v>
      </c>
      <c r="G68" s="71" t="s">
        <v>324</v>
      </c>
      <c r="H68" s="74" cm="1">
        <f t="array" ref="H68">AC68</f>
        <v>0</v>
      </c>
      <c r="I68" s="71" t="s">
        <v>977</v>
      </c>
      <c r="J68" s="795"/>
      <c r="K68" s="817"/>
      <c r="L68" s="795"/>
      <c r="M68" s="795"/>
      <c r="N68" s="795"/>
      <c r="O68" s="795"/>
      <c r="P68" s="795"/>
      <c r="Q68" s="795"/>
      <c r="R68" s="795"/>
      <c r="S68" s="795"/>
      <c r="T68" s="381" t="b">
        <f ca="1">AND(F68&gt;0,Y67&gt;0)</f>
        <v>0</v>
      </c>
      <c r="U68" s="795"/>
      <c r="V68" s="795"/>
      <c r="W68" s="795"/>
      <c r="X68" s="1711"/>
      <c r="Y68" s="1711"/>
      <c r="Z68" s="1811"/>
      <c r="AA68" s="1813"/>
      <c r="AB68" s="7" t="str">
        <f>"2."&amp;Y67</f>
        <v>2.0</v>
      </c>
      <c r="AC68" s="190"/>
      <c r="AD68" s="129" t="s">
        <v>766</v>
      </c>
      <c r="AE68" s="1395"/>
      <c r="AF68" s="1395"/>
      <c r="AG68" s="1395"/>
      <c r="AH68" s="1395"/>
      <c r="AI68" s="133"/>
      <c r="AJ68" s="1395"/>
      <c r="AK68" s="1395"/>
      <c r="AL68" s="1395"/>
      <c r="AM68" s="1395"/>
      <c r="AN68" s="1395"/>
      <c r="AO68" s="1395"/>
      <c r="AP68" s="1395"/>
      <c r="AQ68" s="1395"/>
      <c r="AR68" s="1395"/>
      <c r="AS68" s="133"/>
      <c r="AT68" s="1395"/>
      <c r="AU68" s="1395"/>
      <c r="AV68" s="1395"/>
      <c r="AW68" s="1395"/>
      <c r="AX68" s="1395"/>
      <c r="AY68" s="1395"/>
      <c r="AZ68" s="1395"/>
      <c r="BA68" s="1395"/>
      <c r="BB68" s="1395"/>
      <c r="BC68" s="1361"/>
      <c r="BD68" s="795"/>
      <c r="BE68" s="795"/>
      <c r="BF68" s="943" t="s">
        <v>969</v>
      </c>
      <c r="BG68" s="943" t="s">
        <v>978</v>
      </c>
      <c r="BH68" s="943" cm="1">
        <f t="array" ref="BH68">AC68</f>
        <v>0</v>
      </c>
      <c r="BI68" s="595"/>
      <c r="BJ68" s="595" t="b">
        <v>1</v>
      </c>
    </row>
    <row r="69" spans="1:62" s="1327" customFormat="1" ht="14.25" hidden="1" customHeight="1">
      <c r="A69" s="795"/>
      <c r="B69" s="357"/>
      <c r="C69" s="795"/>
      <c r="D69" s="795"/>
      <c r="E69" s="595">
        <v>15</v>
      </c>
      <c r="F69" s="3" t="str" cm="1">
        <f t="array" aca="1" ref="F69" ca="1">OFFSET(E69,-1,1)</f>
        <v>1</v>
      </c>
      <c r="G69" s="71" t="s">
        <v>445</v>
      </c>
      <c r="H69" s="74" cm="1">
        <f t="array" ref="H69">H68</f>
        <v>0</v>
      </c>
      <c r="I69" s="71" t="s">
        <v>977</v>
      </c>
      <c r="J69" s="795"/>
      <c r="K69" s="817"/>
      <c r="L69" s="795"/>
      <c r="M69" s="795"/>
      <c r="N69" s="795"/>
      <c r="O69" s="795"/>
      <c r="P69" s="795"/>
      <c r="Q69" s="795"/>
      <c r="R69" s="795"/>
      <c r="S69" s="795"/>
      <c r="T69" s="381" t="b" cm="1">
        <f t="array" aca="1" ref="T69" ca="1">T68</f>
        <v>0</v>
      </c>
      <c r="U69" s="795"/>
      <c r="V69" s="795"/>
      <c r="W69" s="795"/>
      <c r="X69" s="1711"/>
      <c r="Y69" s="1711"/>
      <c r="Z69" s="1811"/>
      <c r="AA69" s="1813"/>
      <c r="AB69" s="7" t="str">
        <f>AB68&amp;".1"</f>
        <v>2.0.1</v>
      </c>
      <c r="AC69" s="139" t="s">
        <v>979</v>
      </c>
      <c r="AD69" s="7" t="s">
        <v>499</v>
      </c>
      <c r="AE69" s="1395"/>
      <c r="AF69" s="1395"/>
      <c r="AG69" s="1395"/>
      <c r="AH69" s="1395"/>
      <c r="AI69" s="133"/>
      <c r="AJ69" s="1395"/>
      <c r="AK69" s="1395"/>
      <c r="AL69" s="1395"/>
      <c r="AM69" s="1395"/>
      <c r="AN69" s="1395"/>
      <c r="AO69" s="1395"/>
      <c r="AP69" s="1395"/>
      <c r="AQ69" s="1395"/>
      <c r="AR69" s="1395"/>
      <c r="AS69" s="133"/>
      <c r="AT69" s="1395"/>
      <c r="AU69" s="1395"/>
      <c r="AV69" s="1395"/>
      <c r="AW69" s="1395"/>
      <c r="AX69" s="1395"/>
      <c r="AY69" s="1395"/>
      <c r="AZ69" s="1395"/>
      <c r="BA69" s="1395"/>
      <c r="BB69" s="1395"/>
      <c r="BC69" s="1361"/>
      <c r="BD69" s="795"/>
      <c r="BE69" s="795"/>
      <c r="BF69" s="943" t="s">
        <v>972</v>
      </c>
      <c r="BG69" s="943" t="s">
        <v>978</v>
      </c>
      <c r="BH69" s="943" cm="1">
        <f t="array" ref="BH69">BH68</f>
        <v>0</v>
      </c>
      <c r="BI69" s="595"/>
      <c r="BJ69" s="595"/>
    </row>
    <row r="70" spans="1:62" s="1327" customFormat="1" ht="14.25" customHeight="1">
      <c r="A70" s="795"/>
      <c r="B70" s="357"/>
      <c r="C70" s="795"/>
      <c r="D70" s="795"/>
      <c r="E70" s="595">
        <v>15</v>
      </c>
      <c r="F70" s="3" t="str" cm="1">
        <f t="array" aca="1" ref="F70" ca="1">OFFSET(E70,-1,1)</f>
        <v>1</v>
      </c>
      <c r="G70" s="795"/>
      <c r="H70" s="71" t="str">
        <f>"!=='не определено' &amp;&amp; row.l2 !== null"</f>
        <v>!=='не определено' &amp;&amp; row.l2 !== null</v>
      </c>
      <c r="I70" s="795"/>
      <c r="J70" s="795"/>
      <c r="K70" s="817"/>
      <c r="L70" s="795"/>
      <c r="M70" s="795"/>
      <c r="N70" s="795"/>
      <c r="O70" s="795"/>
      <c r="P70" s="795"/>
      <c r="Q70" s="795"/>
      <c r="R70" s="795"/>
      <c r="S70" s="795"/>
      <c r="T70" s="381" t="b">
        <f ca="1">F70&gt;0</f>
        <v>1</v>
      </c>
      <c r="U70" s="795"/>
      <c r="V70" s="795"/>
      <c r="W70" s="602" t="s">
        <v>973</v>
      </c>
      <c r="X70" s="1711"/>
      <c r="Y70" s="600"/>
      <c r="Z70" s="1811"/>
      <c r="AA70" s="795"/>
      <c r="AB70" s="598"/>
      <c r="AC70" s="150" t="s">
        <v>974</v>
      </c>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1"/>
      <c r="BD70" s="795"/>
      <c r="BE70" s="795"/>
      <c r="BF70" s="943"/>
      <c r="BG70" s="943"/>
      <c r="BH70" s="943"/>
      <c r="BI70" s="595" t="s">
        <v>978</v>
      </c>
      <c r="BJ70" s="595"/>
    </row>
    <row r="71" spans="1:62" s="1327" customFormat="1" ht="21.75" customHeight="1">
      <c r="A71" s="795"/>
      <c r="B71" s="357"/>
      <c r="C71" s="795"/>
      <c r="D71" s="795"/>
      <c r="E71" s="595">
        <v>23</v>
      </c>
      <c r="F71" s="3" t="str" cm="1">
        <f t="array" aca="1" ref="F71" ca="1">OFFSET(E71,-1,1)</f>
        <v>1</v>
      </c>
      <c r="G71" s="795"/>
      <c r="H71" s="795"/>
      <c r="I71" s="795"/>
      <c r="J71" s="795"/>
      <c r="K71" s="817" t="str">
        <f ca="1">F58&amp;"3komm"</f>
        <v>13komm</v>
      </c>
      <c r="L71" s="821" cm="1">
        <f t="array" ref="L71">BC71</f>
        <v>0</v>
      </c>
      <c r="M71" s="795"/>
      <c r="N71" s="795"/>
      <c r="O71" s="795"/>
      <c r="P71" s="795"/>
      <c r="Q71" s="795"/>
      <c r="R71" s="795"/>
      <c r="S71" s="795"/>
      <c r="T71" s="381" t="b" cm="1">
        <f t="array" aca="1" ref="T71" ca="1">T70</f>
        <v>1</v>
      </c>
      <c r="U71" s="795"/>
      <c r="V71" s="795"/>
      <c r="W71" s="795"/>
      <c r="X71" s="1711"/>
      <c r="Y71" s="601"/>
      <c r="Z71" s="1811"/>
      <c r="AA71" s="795"/>
      <c r="AB71" s="129">
        <v>3</v>
      </c>
      <c r="AC71" s="130" t="s">
        <v>980</v>
      </c>
      <c r="AD71" s="129" t="s">
        <v>766</v>
      </c>
      <c r="AE71" s="131">
        <f>SUMIF(AD73:AD75,AD71,AE73:AE75)</f>
        <v>0</v>
      </c>
      <c r="AF71" s="131">
        <f>SUMIF(AD73:AD75,AD71,AF73:AF75)</f>
        <v>0</v>
      </c>
      <c r="AG71" s="131">
        <f>SUMIF(AD73:AD75,AD71,AG73:AG75)</f>
        <v>0</v>
      </c>
      <c r="AH71" s="131">
        <f>SUMIF(AD73:AD75,AD71,AH73:AH75)</f>
        <v>0</v>
      </c>
      <c r="AI71" s="131">
        <f>SUMIF(AD73:AD75,AD71,AI73:AI75)</f>
        <v>0</v>
      </c>
      <c r="AJ71" s="1318">
        <f>SUMIF(AD73:AD75,AD71,AJ73:AJ75)</f>
        <v>0</v>
      </c>
      <c r="AK71" s="1318">
        <f>SUMIF(AD73:AD75,AD71,AK73:AK75)</f>
        <v>0</v>
      </c>
      <c r="AL71" s="1318">
        <f>SUMIF(AD73:AD75,AD71,AL73:AL75)</f>
        <v>0</v>
      </c>
      <c r="AM71" s="1318">
        <f>SUMIF(AD73:AD75,AD71,AM73:AM75)</f>
        <v>0</v>
      </c>
      <c r="AN71" s="1318">
        <f>SUMIF(AD73:AD75,AD71,AN73:AN75)</f>
        <v>0</v>
      </c>
      <c r="AO71" s="1318">
        <f>SUMIF(AD73:AD75,AD71,AO73:AO75)</f>
        <v>0</v>
      </c>
      <c r="AP71" s="1318">
        <f>SUMIF(AD73:AD75,AD71,AP73:AP75)</f>
        <v>0</v>
      </c>
      <c r="AQ71" s="1318">
        <f>SUMIF(AD73:AD75,AD71,AQ73:AQ75)</f>
        <v>0</v>
      </c>
      <c r="AR71" s="1318">
        <f>SUMIF(AD73:AD75,AD71,AR73:AR75)</f>
        <v>0</v>
      </c>
      <c r="AS71" s="131">
        <f>SUMIF(AD73:AD75,AD71,AS73:AS75)</f>
        <v>0</v>
      </c>
      <c r="AT71" s="1318">
        <f>SUMIF(AD73:AD75,AD71,AT73:AT75)</f>
        <v>0</v>
      </c>
      <c r="AU71" s="1318">
        <f>SUMIF(AD73:AD75,AD71,AU73:AU75)</f>
        <v>0</v>
      </c>
      <c r="AV71" s="1318">
        <f>SUMIF(AD73:AD75,AD71,AV73:AV75)</f>
        <v>0</v>
      </c>
      <c r="AW71" s="1318">
        <f>SUMIF(AD73:AD75,AD71,AW73:AW75)</f>
        <v>0</v>
      </c>
      <c r="AX71" s="1318">
        <f>SUMIF(AD73:AD75,AD71,AX73:AX75)</f>
        <v>0</v>
      </c>
      <c r="AY71" s="1318">
        <f>SUMIF(AD73:AD75,AD71,AY73:AY75)</f>
        <v>0</v>
      </c>
      <c r="AZ71" s="1318">
        <f>SUMIF(AD73:AD75,AD71,AZ73:AZ75)</f>
        <v>0</v>
      </c>
      <c r="BA71" s="1318">
        <f>SUMIF(AD73:AD75,AD71,BA73:BA75)</f>
        <v>0</v>
      </c>
      <c r="BB71" s="1318">
        <f>SUMIF(AD73:AD75,AD71,BB73:BB75)</f>
        <v>0</v>
      </c>
      <c r="BC71" s="118"/>
      <c r="BD71" s="795"/>
      <c r="BE71" s="795"/>
      <c r="BF71" s="943" t="s">
        <v>981</v>
      </c>
      <c r="BG71" s="943"/>
      <c r="BH71" s="943"/>
      <c r="BI71" s="595"/>
      <c r="BJ71" s="595"/>
    </row>
    <row r="72" spans="1:62" s="1327" customFormat="1" ht="15" hidden="1" customHeight="1">
      <c r="A72" s="795"/>
      <c r="B72" s="357"/>
      <c r="C72" s="795"/>
      <c r="D72" s="795"/>
      <c r="E72" s="595">
        <v>0</v>
      </c>
      <c r="F72" s="3" t="str" cm="1">
        <f t="array" aca="1" ref="F72" ca="1">OFFSET(E72,-1,1)</f>
        <v>1</v>
      </c>
      <c r="G72" s="71" t="s">
        <v>325</v>
      </c>
      <c r="H72" s="795"/>
      <c r="I72" s="795"/>
      <c r="J72" s="795"/>
      <c r="K72" s="817"/>
      <c r="L72" s="821"/>
      <c r="M72" s="795"/>
      <c r="N72" s="795"/>
      <c r="O72" s="795"/>
      <c r="P72" s="795"/>
      <c r="Q72" s="795"/>
      <c r="R72" s="795"/>
      <c r="S72" s="795"/>
      <c r="T72" s="381" t="b">
        <v>0</v>
      </c>
      <c r="U72" s="795"/>
      <c r="V72" s="795"/>
      <c r="W72" s="71" t="s">
        <v>173</v>
      </c>
      <c r="X72" s="1711"/>
      <c r="Y72" s="1711">
        <v>0</v>
      </c>
      <c r="Z72" s="1811"/>
      <c r="AA72" s="1813" t="s">
        <v>174</v>
      </c>
      <c r="AB72" s="129"/>
      <c r="AC72" s="130"/>
      <c r="AD72" s="129"/>
      <c r="AE72" s="1321" t="b">
        <f t="shared" ref="AE72:BB72" si="11">OR(AND(AE73&lt;&gt;"",AE74=""),AND(AE73="",AE74&lt;&gt;""))</f>
        <v>0</v>
      </c>
      <c r="AF72" s="1321" t="b">
        <f t="shared" si="11"/>
        <v>0</v>
      </c>
      <c r="AG72" s="1321" t="b">
        <f t="shared" si="11"/>
        <v>0</v>
      </c>
      <c r="AH72" s="1321" t="b">
        <f t="shared" si="11"/>
        <v>0</v>
      </c>
      <c r="AI72" s="1321" t="b">
        <f t="shared" si="11"/>
        <v>0</v>
      </c>
      <c r="AJ72" s="1321" t="b">
        <f t="shared" si="11"/>
        <v>0</v>
      </c>
      <c r="AK72" s="1321" t="b">
        <f t="shared" si="11"/>
        <v>0</v>
      </c>
      <c r="AL72" s="1321" t="b">
        <f t="shared" si="11"/>
        <v>0</v>
      </c>
      <c r="AM72" s="1321" t="b">
        <f t="shared" si="11"/>
        <v>0</v>
      </c>
      <c r="AN72" s="1321" t="b">
        <f t="shared" si="11"/>
        <v>0</v>
      </c>
      <c r="AO72" s="1321" t="b">
        <f t="shared" si="11"/>
        <v>0</v>
      </c>
      <c r="AP72" s="1321" t="b">
        <f t="shared" si="11"/>
        <v>0</v>
      </c>
      <c r="AQ72" s="1321" t="b">
        <f t="shared" si="11"/>
        <v>0</v>
      </c>
      <c r="AR72" s="1321" t="b">
        <f t="shared" si="11"/>
        <v>0</v>
      </c>
      <c r="AS72" s="1321" t="b">
        <f t="shared" si="11"/>
        <v>0</v>
      </c>
      <c r="AT72" s="1321" t="b">
        <f t="shared" si="11"/>
        <v>0</v>
      </c>
      <c r="AU72" s="1321" t="b">
        <f t="shared" si="11"/>
        <v>0</v>
      </c>
      <c r="AV72" s="1321" t="b">
        <f t="shared" si="11"/>
        <v>0</v>
      </c>
      <c r="AW72" s="1321" t="b">
        <f t="shared" si="11"/>
        <v>0</v>
      </c>
      <c r="AX72" s="1321" t="b">
        <f t="shared" si="11"/>
        <v>0</v>
      </c>
      <c r="AY72" s="1321" t="b">
        <f t="shared" si="11"/>
        <v>0</v>
      </c>
      <c r="AZ72" s="1321" t="b">
        <f t="shared" si="11"/>
        <v>0</v>
      </c>
      <c r="BA72" s="1321" t="b">
        <f t="shared" si="11"/>
        <v>0</v>
      </c>
      <c r="BB72" s="1321" t="b">
        <f t="shared" si="11"/>
        <v>0</v>
      </c>
      <c r="BC72" s="876"/>
      <c r="BD72" s="795"/>
      <c r="BE72" s="795"/>
      <c r="BF72" s="943"/>
      <c r="BG72" s="943"/>
      <c r="BH72" s="943"/>
      <c r="BI72" s="595"/>
      <c r="BJ72" s="595"/>
    </row>
    <row r="73" spans="1:62" s="1327" customFormat="1" ht="14.25" hidden="1" customHeight="1">
      <c r="A73" s="795"/>
      <c r="B73" s="357"/>
      <c r="C73" s="795"/>
      <c r="D73" s="795"/>
      <c r="E73" s="595">
        <v>15</v>
      </c>
      <c r="F73" s="3" t="str" cm="1">
        <f t="array" aca="1" ref="F73" ca="1">OFFSET(E73,-1,1)</f>
        <v>1</v>
      </c>
      <c r="G73" s="71" t="s">
        <v>325</v>
      </c>
      <c r="H73" s="74" cm="1">
        <f t="array" ref="H73">AC73</f>
        <v>0</v>
      </c>
      <c r="I73" s="71" t="s">
        <v>982</v>
      </c>
      <c r="J73" s="795"/>
      <c r="K73" s="817"/>
      <c r="L73" s="795"/>
      <c r="M73" s="795"/>
      <c r="N73" s="795"/>
      <c r="O73" s="795"/>
      <c r="P73" s="795"/>
      <c r="Q73" s="795"/>
      <c r="R73" s="795"/>
      <c r="S73" s="795"/>
      <c r="T73" s="381" t="b">
        <f ca="1">AND(F73&gt;0,Y72&gt;0)</f>
        <v>0</v>
      </c>
      <c r="U73" s="795"/>
      <c r="V73" s="795"/>
      <c r="W73" s="795"/>
      <c r="X73" s="1711"/>
      <c r="Y73" s="1711"/>
      <c r="Z73" s="1811"/>
      <c r="AA73" s="1813"/>
      <c r="AB73" s="7" t="str">
        <f>"3."&amp;Y72</f>
        <v>3.0</v>
      </c>
      <c r="AC73" s="190"/>
      <c r="AD73" s="129" t="s">
        <v>766</v>
      </c>
      <c r="AE73" s="1395"/>
      <c r="AF73" s="1395"/>
      <c r="AG73" s="1395"/>
      <c r="AH73" s="1395"/>
      <c r="AI73" s="133"/>
      <c r="AJ73" s="1395"/>
      <c r="AK73" s="1395"/>
      <c r="AL73" s="1395"/>
      <c r="AM73" s="1395"/>
      <c r="AN73" s="1395"/>
      <c r="AO73" s="1395"/>
      <c r="AP73" s="1395"/>
      <c r="AQ73" s="1395"/>
      <c r="AR73" s="1395"/>
      <c r="AS73" s="133"/>
      <c r="AT73" s="1395"/>
      <c r="AU73" s="1395"/>
      <c r="AV73" s="1395"/>
      <c r="AW73" s="1395"/>
      <c r="AX73" s="1395"/>
      <c r="AY73" s="1395"/>
      <c r="AZ73" s="1395"/>
      <c r="BA73" s="1395"/>
      <c r="BB73" s="1395"/>
      <c r="BC73" s="1361"/>
      <c r="BD73" s="795"/>
      <c r="BE73" s="795"/>
      <c r="BF73" s="943" t="s">
        <v>969</v>
      </c>
      <c r="BG73" s="943" t="s">
        <v>983</v>
      </c>
      <c r="BH73" s="943" cm="1">
        <f t="array" ref="BH73">AC73</f>
        <v>0</v>
      </c>
      <c r="BI73" s="595"/>
      <c r="BJ73" s="595" t="b">
        <v>1</v>
      </c>
    </row>
    <row r="74" spans="1:62" s="1327" customFormat="1" ht="14.25" hidden="1" customHeight="1">
      <c r="A74" s="795"/>
      <c r="B74" s="357"/>
      <c r="C74" s="795"/>
      <c r="D74" s="795"/>
      <c r="E74" s="595">
        <v>15</v>
      </c>
      <c r="F74" s="3" t="str" cm="1">
        <f t="array" aca="1" ref="F74" ca="1">OFFSET(E74,-1,1)</f>
        <v>1</v>
      </c>
      <c r="G74" s="71" t="s">
        <v>851</v>
      </c>
      <c r="H74" s="74" cm="1">
        <f t="array" ref="H74">H73</f>
        <v>0</v>
      </c>
      <c r="I74" s="71" t="s">
        <v>982</v>
      </c>
      <c r="J74" s="795"/>
      <c r="K74" s="817"/>
      <c r="L74" s="795"/>
      <c r="M74" s="795"/>
      <c r="N74" s="795"/>
      <c r="O74" s="795"/>
      <c r="P74" s="795"/>
      <c r="Q74" s="795"/>
      <c r="R74" s="795"/>
      <c r="S74" s="795"/>
      <c r="T74" s="381" t="b" cm="1">
        <f t="array" aca="1" ref="T74" ca="1">T73</f>
        <v>0</v>
      </c>
      <c r="U74" s="795"/>
      <c r="V74" s="795"/>
      <c r="W74" s="795"/>
      <c r="X74" s="1711"/>
      <c r="Y74" s="1711"/>
      <c r="Z74" s="1811"/>
      <c r="AA74" s="1813"/>
      <c r="AB74" s="7" t="str">
        <f>AB73&amp;".1"</f>
        <v>3.0.1</v>
      </c>
      <c r="AC74" s="139" t="s">
        <v>984</v>
      </c>
      <c r="AD74" s="7" t="s">
        <v>499</v>
      </c>
      <c r="AE74" s="1395"/>
      <c r="AF74" s="1395"/>
      <c r="AG74" s="1395"/>
      <c r="AH74" s="1395"/>
      <c r="AI74" s="133"/>
      <c r="AJ74" s="1395"/>
      <c r="AK74" s="1395"/>
      <c r="AL74" s="1395"/>
      <c r="AM74" s="1395"/>
      <c r="AN74" s="1395"/>
      <c r="AO74" s="1395"/>
      <c r="AP74" s="1395"/>
      <c r="AQ74" s="1395"/>
      <c r="AR74" s="1395"/>
      <c r="AS74" s="133"/>
      <c r="AT74" s="1395"/>
      <c r="AU74" s="1395"/>
      <c r="AV74" s="1395"/>
      <c r="AW74" s="1395"/>
      <c r="AX74" s="1395"/>
      <c r="AY74" s="1395"/>
      <c r="AZ74" s="1395"/>
      <c r="BA74" s="1395"/>
      <c r="BB74" s="1395"/>
      <c r="BC74" s="1361"/>
      <c r="BD74" s="795"/>
      <c r="BE74" s="795"/>
      <c r="BF74" s="943" t="s">
        <v>972</v>
      </c>
      <c r="BG74" s="943" t="s">
        <v>983</v>
      </c>
      <c r="BH74" s="943" cm="1">
        <f t="array" ref="BH74">BH73</f>
        <v>0</v>
      </c>
      <c r="BI74" s="595"/>
      <c r="BJ74" s="595"/>
    </row>
    <row r="75" spans="1:62" s="1327" customFormat="1" ht="14.25" customHeight="1">
      <c r="A75" s="795"/>
      <c r="B75" s="357"/>
      <c r="C75" s="795"/>
      <c r="D75" s="795"/>
      <c r="E75" s="595">
        <v>15</v>
      </c>
      <c r="F75" s="3" t="str" cm="1">
        <f t="array" aca="1" ref="F75" ca="1">OFFSET(E75,-1,1)</f>
        <v>1</v>
      </c>
      <c r="G75" s="795"/>
      <c r="H75" s="71" t="str">
        <f>"!=='не определено' &amp;&amp; row.l3 !== null"</f>
        <v>!=='не определено' &amp;&amp; row.l3 !== null</v>
      </c>
      <c r="I75" s="795"/>
      <c r="J75" s="795"/>
      <c r="K75" s="817"/>
      <c r="L75" s="795"/>
      <c r="M75" s="795"/>
      <c r="N75" s="795"/>
      <c r="O75" s="795"/>
      <c r="P75" s="795"/>
      <c r="Q75" s="795"/>
      <c r="R75" s="795"/>
      <c r="S75" s="795"/>
      <c r="T75" s="381" t="b">
        <f ca="1">F75&gt;0</f>
        <v>1</v>
      </c>
      <c r="U75" s="795"/>
      <c r="V75" s="795"/>
      <c r="W75" s="602" t="s">
        <v>985</v>
      </c>
      <c r="X75" s="1711"/>
      <c r="Y75" s="600"/>
      <c r="Z75" s="1811"/>
      <c r="AA75" s="795"/>
      <c r="AB75" s="598"/>
      <c r="AC75" s="150" t="s">
        <v>974</v>
      </c>
      <c r="AD75" s="150"/>
      <c r="AE75" s="150"/>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1"/>
      <c r="BD75" s="795"/>
      <c r="BE75" s="795"/>
      <c r="BF75" s="943"/>
      <c r="BG75" s="943"/>
      <c r="BH75" s="943"/>
      <c r="BI75" s="595" t="s">
        <v>983</v>
      </c>
      <c r="BJ75" s="595"/>
    </row>
    <row r="76" spans="1:62" s="1327" customFormat="1" ht="21.75" customHeight="1">
      <c r="A76" s="795"/>
      <c r="B76" s="357"/>
      <c r="C76" s="795"/>
      <c r="D76" s="795"/>
      <c r="E76" s="595">
        <v>23</v>
      </c>
      <c r="F76" s="3" t="str" cm="1">
        <f t="array" aca="1" ref="F76" ca="1">OFFSET(E76,-1,1)</f>
        <v>1</v>
      </c>
      <c r="G76" s="795"/>
      <c r="H76" s="795"/>
      <c r="I76" s="795"/>
      <c r="J76" s="795"/>
      <c r="K76" s="817" t="str">
        <f ca="1">F58&amp;"4komm"</f>
        <v>14komm</v>
      </c>
      <c r="L76" s="821" cm="1">
        <f t="array" ref="L76">BC76</f>
        <v>0</v>
      </c>
      <c r="M76" s="795"/>
      <c r="N76" s="795"/>
      <c r="O76" s="795"/>
      <c r="P76" s="795"/>
      <c r="Q76" s="795"/>
      <c r="R76" s="795"/>
      <c r="S76" s="795"/>
      <c r="T76" s="381" t="b" cm="1">
        <f t="array" aca="1" ref="T76" ca="1">T75</f>
        <v>1</v>
      </c>
      <c r="U76" s="795"/>
      <c r="V76" s="795"/>
      <c r="W76" s="795"/>
      <c r="X76" s="1711"/>
      <c r="Y76" s="601"/>
      <c r="Z76" s="1811"/>
      <c r="AA76" s="795"/>
      <c r="AB76" s="129">
        <v>4</v>
      </c>
      <c r="AC76" s="130" t="s">
        <v>986</v>
      </c>
      <c r="AD76" s="129" t="s">
        <v>766</v>
      </c>
      <c r="AE76" s="131">
        <f>SUMIF(AD78:AD80,AD76,AE78:AE80)</f>
        <v>0</v>
      </c>
      <c r="AF76" s="131">
        <f>SUMIF(AD78:AD80,AD76,AF78:AF80)</f>
        <v>0</v>
      </c>
      <c r="AG76" s="131">
        <f>SUMIF(AD78:AD80,AD76,AG78:AG80)</f>
        <v>0</v>
      </c>
      <c r="AH76" s="131">
        <f>SUMIF(AD78:AD80,AD76,AH78:AH80)</f>
        <v>0</v>
      </c>
      <c r="AI76" s="131">
        <f>SUMIF(AD78:AD80,AD76,AI78:AI80)</f>
        <v>0</v>
      </c>
      <c r="AJ76" s="1318">
        <f>SUMIF(AD78:AD80,AD76,AJ78:AJ80)</f>
        <v>0</v>
      </c>
      <c r="AK76" s="1318">
        <f>SUMIF(AD78:AD80,AD76,AK78:AK80)</f>
        <v>0</v>
      </c>
      <c r="AL76" s="1318">
        <f>SUMIF(AD78:AD80,AD76,AL78:AL80)</f>
        <v>0</v>
      </c>
      <c r="AM76" s="1318">
        <f>SUMIF(AD78:AD80,AD76,AM78:AM80)</f>
        <v>0</v>
      </c>
      <c r="AN76" s="1318">
        <f>SUMIF(AD78:AD80,AD76,AN78:AN80)</f>
        <v>0</v>
      </c>
      <c r="AO76" s="1318">
        <f>SUMIF(AD78:AD80,AD76,AO78:AO80)</f>
        <v>0</v>
      </c>
      <c r="AP76" s="1318">
        <f>SUMIF(AD78:AD80,AD76,AP78:AP80)</f>
        <v>0</v>
      </c>
      <c r="AQ76" s="1318">
        <f>SUMIF(AD78:AD80,AD76,AQ78:AQ80)</f>
        <v>0</v>
      </c>
      <c r="AR76" s="1318">
        <f>SUMIF(AD78:AD80,AD76,AR78:AR80)</f>
        <v>0</v>
      </c>
      <c r="AS76" s="131">
        <f>SUMIF(AD78:AD80,AD76,AS78:AS80)</f>
        <v>0</v>
      </c>
      <c r="AT76" s="1318">
        <f>SUMIF(AD78:AD80,AD76,AT78:AT80)</f>
        <v>0</v>
      </c>
      <c r="AU76" s="1318">
        <f>SUMIF(AD78:AD80,AD76,AU78:AU80)</f>
        <v>0</v>
      </c>
      <c r="AV76" s="1318">
        <f>SUMIF(AD78:AD80,AD76,AV78:AV80)</f>
        <v>0</v>
      </c>
      <c r="AW76" s="1318">
        <f>SUMIF(AD78:AD80,AD76,AW78:AW80)</f>
        <v>0</v>
      </c>
      <c r="AX76" s="1318">
        <f>SUMIF(AD78:AD80,AD76,AX78:AX80)</f>
        <v>0</v>
      </c>
      <c r="AY76" s="1318">
        <f>SUMIF(AD78:AD80,AD76,AY78:AY80)</f>
        <v>0</v>
      </c>
      <c r="AZ76" s="1318">
        <f>SUMIF(AD78:AD80,AD76,AZ78:AZ80)</f>
        <v>0</v>
      </c>
      <c r="BA76" s="1318">
        <f>SUMIF(AD78:AD80,AD76,BA78:BA80)</f>
        <v>0</v>
      </c>
      <c r="BB76" s="1318">
        <f>SUMIF(AD78:AD80,AD76,BB78:BB80)</f>
        <v>0</v>
      </c>
      <c r="BC76" s="118"/>
      <c r="BD76" s="795"/>
      <c r="BE76" s="795"/>
      <c r="BF76" s="943" t="s">
        <v>987</v>
      </c>
      <c r="BG76" s="943"/>
      <c r="BH76" s="943"/>
      <c r="BI76" s="595"/>
      <c r="BJ76" s="595"/>
    </row>
    <row r="77" spans="1:62" s="1327" customFormat="1" ht="15" hidden="1" customHeight="1">
      <c r="A77" s="795"/>
      <c r="B77" s="357"/>
      <c r="C77" s="795"/>
      <c r="D77" s="795"/>
      <c r="E77" s="595">
        <v>0</v>
      </c>
      <c r="F77" s="3" t="str" cm="1">
        <f t="array" aca="1" ref="F77" ca="1">OFFSET(E77,-1,1)</f>
        <v>1</v>
      </c>
      <c r="G77" s="71" t="s">
        <v>327</v>
      </c>
      <c r="H77" s="795"/>
      <c r="I77" s="795"/>
      <c r="J77" s="795"/>
      <c r="K77" s="817"/>
      <c r="L77" s="821"/>
      <c r="M77" s="795"/>
      <c r="N77" s="795"/>
      <c r="O77" s="795"/>
      <c r="P77" s="795"/>
      <c r="Q77" s="795"/>
      <c r="R77" s="795"/>
      <c r="S77" s="795"/>
      <c r="T77" s="381" t="b">
        <v>0</v>
      </c>
      <c r="U77" s="795"/>
      <c r="V77" s="795"/>
      <c r="W77" s="71" t="s">
        <v>173</v>
      </c>
      <c r="X77" s="1711"/>
      <c r="Y77" s="1711">
        <v>0</v>
      </c>
      <c r="Z77" s="1811"/>
      <c r="AA77" s="1813" t="s">
        <v>174</v>
      </c>
      <c r="AB77" s="129"/>
      <c r="AC77" s="130"/>
      <c r="AD77" s="129"/>
      <c r="AE77" s="1321" t="b">
        <f t="shared" ref="AE77:BB77" si="12">OR(AND(AE78&lt;&gt;"",AE79=""),AND(AE78="",AE79&lt;&gt;""))</f>
        <v>0</v>
      </c>
      <c r="AF77" s="1321" t="b">
        <f t="shared" si="12"/>
        <v>0</v>
      </c>
      <c r="AG77" s="1321" t="b">
        <f t="shared" si="12"/>
        <v>0</v>
      </c>
      <c r="AH77" s="1321" t="b">
        <f t="shared" si="12"/>
        <v>0</v>
      </c>
      <c r="AI77" s="1321" t="b">
        <f t="shared" si="12"/>
        <v>0</v>
      </c>
      <c r="AJ77" s="1321" t="b">
        <f t="shared" si="12"/>
        <v>0</v>
      </c>
      <c r="AK77" s="1321" t="b">
        <f t="shared" si="12"/>
        <v>0</v>
      </c>
      <c r="AL77" s="1321" t="b">
        <f t="shared" si="12"/>
        <v>0</v>
      </c>
      <c r="AM77" s="1321" t="b">
        <f t="shared" si="12"/>
        <v>0</v>
      </c>
      <c r="AN77" s="1321" t="b">
        <f t="shared" si="12"/>
        <v>0</v>
      </c>
      <c r="AO77" s="1321" t="b">
        <f t="shared" si="12"/>
        <v>0</v>
      </c>
      <c r="AP77" s="1321" t="b">
        <f t="shared" si="12"/>
        <v>0</v>
      </c>
      <c r="AQ77" s="1321" t="b">
        <f t="shared" si="12"/>
        <v>0</v>
      </c>
      <c r="AR77" s="1321" t="b">
        <f t="shared" si="12"/>
        <v>0</v>
      </c>
      <c r="AS77" s="1321" t="b">
        <f t="shared" si="12"/>
        <v>0</v>
      </c>
      <c r="AT77" s="1321" t="b">
        <f t="shared" si="12"/>
        <v>0</v>
      </c>
      <c r="AU77" s="1321" t="b">
        <f t="shared" si="12"/>
        <v>0</v>
      </c>
      <c r="AV77" s="1321" t="b">
        <f t="shared" si="12"/>
        <v>0</v>
      </c>
      <c r="AW77" s="1321" t="b">
        <f t="shared" si="12"/>
        <v>0</v>
      </c>
      <c r="AX77" s="1321" t="b">
        <f t="shared" si="12"/>
        <v>0</v>
      </c>
      <c r="AY77" s="1321" t="b">
        <f t="shared" si="12"/>
        <v>0</v>
      </c>
      <c r="AZ77" s="1321" t="b">
        <f t="shared" si="12"/>
        <v>0</v>
      </c>
      <c r="BA77" s="1321" t="b">
        <f t="shared" si="12"/>
        <v>0</v>
      </c>
      <c r="BB77" s="1321" t="b">
        <f t="shared" si="12"/>
        <v>0</v>
      </c>
      <c r="BC77" s="876"/>
      <c r="BD77" s="795"/>
      <c r="BE77" s="795"/>
      <c r="BF77" s="943"/>
      <c r="BG77" s="943"/>
      <c r="BH77" s="943"/>
      <c r="BI77" s="595"/>
      <c r="BJ77" s="595"/>
    </row>
    <row r="78" spans="1:62" s="1327" customFormat="1" ht="14.25" hidden="1" customHeight="1">
      <c r="A78" s="795"/>
      <c r="B78" s="357"/>
      <c r="C78" s="795"/>
      <c r="D78" s="795"/>
      <c r="E78" s="595">
        <v>15</v>
      </c>
      <c r="F78" s="3" t="str" cm="1">
        <f t="array" aca="1" ref="F78" ca="1">OFFSET(E78,-1,1)</f>
        <v>1</v>
      </c>
      <c r="G78" s="71" t="s">
        <v>327</v>
      </c>
      <c r="H78" s="74" cm="1">
        <f t="array" ref="H78">AC78</f>
        <v>0</v>
      </c>
      <c r="I78" s="71" t="s">
        <v>988</v>
      </c>
      <c r="J78" s="795"/>
      <c r="K78" s="817"/>
      <c r="L78" s="795"/>
      <c r="M78" s="795"/>
      <c r="N78" s="795"/>
      <c r="O78" s="795"/>
      <c r="P78" s="795"/>
      <c r="Q78" s="795"/>
      <c r="R78" s="795"/>
      <c r="S78" s="795"/>
      <c r="T78" s="381" t="b">
        <f ca="1">AND(F78&gt;0,Y77&gt;0)</f>
        <v>0</v>
      </c>
      <c r="U78" s="795"/>
      <c r="V78" s="795"/>
      <c r="W78" s="795"/>
      <c r="X78" s="1711"/>
      <c r="Y78" s="1711"/>
      <c r="Z78" s="1811"/>
      <c r="AA78" s="1813"/>
      <c r="AB78" s="7" t="str">
        <f>"4."&amp;Y77</f>
        <v>4.0</v>
      </c>
      <c r="AC78" s="190"/>
      <c r="AD78" s="129" t="s">
        <v>766</v>
      </c>
      <c r="AE78" s="1395"/>
      <c r="AF78" s="1395"/>
      <c r="AG78" s="1395"/>
      <c r="AH78" s="1395"/>
      <c r="AI78" s="133"/>
      <c r="AJ78" s="1395"/>
      <c r="AK78" s="1395"/>
      <c r="AL78" s="1395"/>
      <c r="AM78" s="1395"/>
      <c r="AN78" s="1395"/>
      <c r="AO78" s="1395"/>
      <c r="AP78" s="1395"/>
      <c r="AQ78" s="1395"/>
      <c r="AR78" s="1395"/>
      <c r="AS78" s="133"/>
      <c r="AT78" s="1395"/>
      <c r="AU78" s="1395"/>
      <c r="AV78" s="1395"/>
      <c r="AW78" s="1395"/>
      <c r="AX78" s="1395"/>
      <c r="AY78" s="1395"/>
      <c r="AZ78" s="1395"/>
      <c r="BA78" s="1395"/>
      <c r="BB78" s="1395"/>
      <c r="BC78" s="1361"/>
      <c r="BD78" s="795"/>
      <c r="BE78" s="795"/>
      <c r="BF78" s="943" t="s">
        <v>969</v>
      </c>
      <c r="BG78" s="943" t="s">
        <v>989</v>
      </c>
      <c r="BH78" s="943" cm="1">
        <f t="array" ref="BH78">AC78</f>
        <v>0</v>
      </c>
      <c r="BI78" s="595"/>
      <c r="BJ78" s="595" t="b">
        <v>1</v>
      </c>
    </row>
    <row r="79" spans="1:62" s="1327" customFormat="1" ht="14.25" hidden="1" customHeight="1">
      <c r="A79" s="795"/>
      <c r="B79" s="357"/>
      <c r="C79" s="795"/>
      <c r="D79" s="795"/>
      <c r="E79" s="595">
        <v>15</v>
      </c>
      <c r="F79" s="3" t="str" cm="1">
        <f t="array" aca="1" ref="F79" ca="1">OFFSET(E79,-1,1)</f>
        <v>1</v>
      </c>
      <c r="G79" s="71" t="s">
        <v>501</v>
      </c>
      <c r="H79" s="74" cm="1">
        <f t="array" ref="H79">H78</f>
        <v>0</v>
      </c>
      <c r="I79" s="71" t="s">
        <v>988</v>
      </c>
      <c r="J79" s="795"/>
      <c r="K79" s="817"/>
      <c r="L79" s="795"/>
      <c r="M79" s="795"/>
      <c r="N79" s="795"/>
      <c r="O79" s="795"/>
      <c r="P79" s="795"/>
      <c r="Q79" s="795"/>
      <c r="R79" s="795"/>
      <c r="S79" s="795"/>
      <c r="T79" s="381" t="b" cm="1">
        <f t="array" aca="1" ref="T79" ca="1">T78</f>
        <v>0</v>
      </c>
      <c r="U79" s="795"/>
      <c r="V79" s="795"/>
      <c r="W79" s="795"/>
      <c r="X79" s="1711"/>
      <c r="Y79" s="1711"/>
      <c r="Z79" s="1811"/>
      <c r="AA79" s="1813"/>
      <c r="AB79" s="7" t="str">
        <f>AB78&amp;".1"</f>
        <v>4.0.1</v>
      </c>
      <c r="AC79" s="139" t="s">
        <v>990</v>
      </c>
      <c r="AD79" s="7" t="s">
        <v>499</v>
      </c>
      <c r="AE79" s="1395"/>
      <c r="AF79" s="1395"/>
      <c r="AG79" s="1395"/>
      <c r="AH79" s="1395"/>
      <c r="AI79" s="133"/>
      <c r="AJ79" s="1395"/>
      <c r="AK79" s="1395"/>
      <c r="AL79" s="1395"/>
      <c r="AM79" s="1395"/>
      <c r="AN79" s="1395"/>
      <c r="AO79" s="1395"/>
      <c r="AP79" s="1395"/>
      <c r="AQ79" s="1395"/>
      <c r="AR79" s="1395"/>
      <c r="AS79" s="133"/>
      <c r="AT79" s="1395"/>
      <c r="AU79" s="1395"/>
      <c r="AV79" s="1395"/>
      <c r="AW79" s="1395"/>
      <c r="AX79" s="1395"/>
      <c r="AY79" s="1395"/>
      <c r="AZ79" s="1395"/>
      <c r="BA79" s="1395"/>
      <c r="BB79" s="1395"/>
      <c r="BC79" s="1361"/>
      <c r="BD79" s="795"/>
      <c r="BE79" s="795"/>
      <c r="BF79" s="943" t="s">
        <v>972</v>
      </c>
      <c r="BG79" s="943" t="s">
        <v>989</v>
      </c>
      <c r="BH79" s="943" cm="1">
        <f t="array" ref="BH79">BH78</f>
        <v>0</v>
      </c>
      <c r="BI79" s="595"/>
      <c r="BJ79" s="595"/>
    </row>
    <row r="80" spans="1:62" s="1327" customFormat="1" ht="14.25" customHeight="1">
      <c r="A80" s="795"/>
      <c r="B80" s="357"/>
      <c r="C80" s="795"/>
      <c r="D80" s="795"/>
      <c r="E80" s="595">
        <v>15</v>
      </c>
      <c r="F80" s="3" t="str" cm="1">
        <f t="array" aca="1" ref="F80" ca="1">OFFSET(E80,-1,1)</f>
        <v>1</v>
      </c>
      <c r="G80" s="795"/>
      <c r="H80" s="71" t="str">
        <f>"!=='не определено' &amp;&amp; row.l4 !== null"</f>
        <v>!=='не определено' &amp;&amp; row.l4 !== null</v>
      </c>
      <c r="I80" s="795"/>
      <c r="J80" s="795"/>
      <c r="K80" s="817"/>
      <c r="L80" s="795"/>
      <c r="M80" s="795"/>
      <c r="N80" s="795"/>
      <c r="O80" s="795"/>
      <c r="P80" s="795"/>
      <c r="Q80" s="795"/>
      <c r="R80" s="795"/>
      <c r="S80" s="795"/>
      <c r="T80" s="381" t="b">
        <f ca="1">F80&gt;0</f>
        <v>1</v>
      </c>
      <c r="U80" s="795"/>
      <c r="V80" s="795"/>
      <c r="W80" s="602" t="s">
        <v>991</v>
      </c>
      <c r="X80" s="1711"/>
      <c r="Y80" s="600"/>
      <c r="Z80" s="1811"/>
      <c r="AA80" s="795"/>
      <c r="AB80" s="598"/>
      <c r="AC80" s="150" t="s">
        <v>974</v>
      </c>
      <c r="AD80" s="150"/>
      <c r="AE80" s="150"/>
      <c r="AF80" s="150"/>
      <c r="AG80" s="150"/>
      <c r="AH80" s="150"/>
      <c r="AI80" s="150"/>
      <c r="AJ80" s="150"/>
      <c r="AK80" s="150"/>
      <c r="AL80" s="150"/>
      <c r="AM80" s="150"/>
      <c r="AN80" s="150"/>
      <c r="AO80" s="150"/>
      <c r="AP80" s="150"/>
      <c r="AQ80" s="150"/>
      <c r="AR80" s="150"/>
      <c r="AS80" s="150"/>
      <c r="AT80" s="150"/>
      <c r="AU80" s="150"/>
      <c r="AV80" s="150"/>
      <c r="AW80" s="150"/>
      <c r="AX80" s="150"/>
      <c r="AY80" s="150"/>
      <c r="AZ80" s="150"/>
      <c r="BA80" s="150"/>
      <c r="BB80" s="150"/>
      <c r="BC80" s="151"/>
      <c r="BD80" s="795"/>
      <c r="BE80" s="795"/>
      <c r="BF80" s="943"/>
      <c r="BG80" s="943"/>
      <c r="BH80" s="943"/>
      <c r="BI80" s="595" t="s">
        <v>989</v>
      </c>
      <c r="BJ80" s="595"/>
    </row>
    <row r="81" spans="1:62" s="1327" customFormat="1" ht="21.75" customHeight="1">
      <c r="A81" s="795"/>
      <c r="B81" s="357"/>
      <c r="C81" s="795"/>
      <c r="D81" s="795"/>
      <c r="E81" s="595">
        <v>23</v>
      </c>
      <c r="F81" s="3" t="str" cm="1">
        <f t="array" aca="1" ref="F81" ca="1">OFFSET(E81,-1,1)</f>
        <v>1</v>
      </c>
      <c r="G81" s="795"/>
      <c r="H81" s="795"/>
      <c r="I81" s="795"/>
      <c r="J81" s="795"/>
      <c r="K81" s="817" t="str">
        <f ca="1">F58&amp;"5komm"</f>
        <v>15komm</v>
      </c>
      <c r="L81" s="821" cm="1">
        <f t="array" ref="L81">BC81</f>
        <v>0</v>
      </c>
      <c r="M81" s="795"/>
      <c r="N81" s="795"/>
      <c r="O81" s="795"/>
      <c r="P81" s="795"/>
      <c r="Q81" s="795"/>
      <c r="R81" s="795"/>
      <c r="S81" s="795"/>
      <c r="T81" s="381" t="b" cm="1">
        <f t="array" aca="1" ref="T81" ca="1">T80</f>
        <v>1</v>
      </c>
      <c r="U81" s="795"/>
      <c r="V81" s="795"/>
      <c r="W81" s="795"/>
      <c r="X81" s="1711"/>
      <c r="Y81" s="601"/>
      <c r="Z81" s="1811"/>
      <c r="AA81" s="795"/>
      <c r="AB81" s="129">
        <v>5</v>
      </c>
      <c r="AC81" s="130" t="s">
        <v>992</v>
      </c>
      <c r="AD81" s="129" t="s">
        <v>766</v>
      </c>
      <c r="AE81" s="131">
        <f>SUMIF(AD83:AD85,AD81,AE83:AE85)</f>
        <v>0</v>
      </c>
      <c r="AF81" s="131">
        <f>SUMIF(AD83:AD85,AD81,AF83:AF85)</f>
        <v>0</v>
      </c>
      <c r="AG81" s="131">
        <f>SUMIF(AD83:AD85,AD81,AG83:AG85)</f>
        <v>0</v>
      </c>
      <c r="AH81" s="131">
        <f>SUMIF(AD83:AD85,AD81,AH83:AH85)</f>
        <v>0</v>
      </c>
      <c r="AI81" s="131">
        <f>SUMIF(AD83:AD85,AD81,AI83:AI85)</f>
        <v>0</v>
      </c>
      <c r="AJ81" s="1318">
        <f>SUMIF(AD83:AD85,AD81,AJ83:AJ85)</f>
        <v>0</v>
      </c>
      <c r="AK81" s="1318">
        <f>SUMIF(AD83:AD85,AD81,AK83:AK85)</f>
        <v>0</v>
      </c>
      <c r="AL81" s="1318">
        <f>SUMIF(AD83:AD85,AD81,AL83:AL85)</f>
        <v>0</v>
      </c>
      <c r="AM81" s="1318">
        <f>SUMIF(AD83:AD85,AD81,AM83:AM85)</f>
        <v>0</v>
      </c>
      <c r="AN81" s="1318">
        <f>SUMIF(AD83:AD85,AD81,AN83:AN85)</f>
        <v>0</v>
      </c>
      <c r="AO81" s="1318">
        <f>SUMIF(AD83:AD85,AD81,AO83:AO85)</f>
        <v>0</v>
      </c>
      <c r="AP81" s="1318">
        <f>SUMIF(AD83:AD85,AD81,AP83:AP85)</f>
        <v>0</v>
      </c>
      <c r="AQ81" s="1318">
        <f>SUMIF(AD83:AD85,AD81,AQ83:AQ85)</f>
        <v>0</v>
      </c>
      <c r="AR81" s="1318">
        <f>SUMIF(AD83:AD85,AD81,AR83:AR85)</f>
        <v>0</v>
      </c>
      <c r="AS81" s="131">
        <f>SUMIF(AD83:AD85,AD81,AS83:AS85)</f>
        <v>0</v>
      </c>
      <c r="AT81" s="1318">
        <f>SUMIF(AD83:AD85,AD81,AT83:AT85)</f>
        <v>0</v>
      </c>
      <c r="AU81" s="1318">
        <f>SUMIF(AD83:AD85,AD81,AU83:AU85)</f>
        <v>0</v>
      </c>
      <c r="AV81" s="1318">
        <f>SUMIF(AD83:AD85,AD81,AV83:AV85)</f>
        <v>0</v>
      </c>
      <c r="AW81" s="1318">
        <f>SUMIF(AD83:AD85,AD81,AW83:AW85)</f>
        <v>0</v>
      </c>
      <c r="AX81" s="1318">
        <f>SUMIF(AD83:AD85,AD81,AX83:AX85)</f>
        <v>0</v>
      </c>
      <c r="AY81" s="1318">
        <f>SUMIF(AD83:AD85,AD81,AY83:AY85)</f>
        <v>0</v>
      </c>
      <c r="AZ81" s="1318">
        <f>SUMIF(AD83:AD85,AD81,AZ83:AZ85)</f>
        <v>0</v>
      </c>
      <c r="BA81" s="1318">
        <f>SUMIF(AD83:AD85,AD81,BA83:BA85)</f>
        <v>0</v>
      </c>
      <c r="BB81" s="1318">
        <f>SUMIF(AD83:AD85,AD81,BB83:BB85)</f>
        <v>0</v>
      </c>
      <c r="BC81" s="118"/>
      <c r="BD81" s="795"/>
      <c r="BE81" s="795"/>
      <c r="BF81" s="943" t="s">
        <v>993</v>
      </c>
      <c r="BG81" s="943"/>
      <c r="BH81" s="943"/>
      <c r="BI81" s="595"/>
      <c r="BJ81" s="595"/>
    </row>
    <row r="82" spans="1:62" s="1327" customFormat="1" ht="15" hidden="1" customHeight="1">
      <c r="A82" s="795"/>
      <c r="B82" s="357"/>
      <c r="C82" s="795"/>
      <c r="D82" s="795"/>
      <c r="E82" s="595">
        <v>0</v>
      </c>
      <c r="F82" s="3" t="str" cm="1">
        <f t="array" aca="1" ref="F82" ca="1">OFFSET(E82,-1,1)</f>
        <v>1</v>
      </c>
      <c r="G82" s="71" t="s">
        <v>326</v>
      </c>
      <c r="H82" s="795"/>
      <c r="I82" s="795"/>
      <c r="J82" s="795"/>
      <c r="K82" s="817"/>
      <c r="L82" s="821"/>
      <c r="M82" s="795"/>
      <c r="N82" s="795"/>
      <c r="O82" s="795"/>
      <c r="P82" s="795"/>
      <c r="Q82" s="795"/>
      <c r="R82" s="795"/>
      <c r="S82" s="795"/>
      <c r="T82" s="381" t="b">
        <v>0</v>
      </c>
      <c r="U82" s="795"/>
      <c r="V82" s="795"/>
      <c r="W82" s="71" t="s">
        <v>173</v>
      </c>
      <c r="X82" s="1711"/>
      <c r="Y82" s="1711">
        <v>0</v>
      </c>
      <c r="Z82" s="1811"/>
      <c r="AA82" s="1813" t="s">
        <v>174</v>
      </c>
      <c r="AB82" s="129"/>
      <c r="AC82" s="130"/>
      <c r="AD82" s="129"/>
      <c r="AE82" s="1321" t="b">
        <f t="shared" ref="AE82:BB82" si="13">OR(AND(AE83&lt;&gt;"",AE84=""),AND(AE83="",AE84&lt;&gt;""))</f>
        <v>0</v>
      </c>
      <c r="AF82" s="1321" t="b">
        <f t="shared" si="13"/>
        <v>0</v>
      </c>
      <c r="AG82" s="1321" t="b">
        <f t="shared" si="13"/>
        <v>0</v>
      </c>
      <c r="AH82" s="1321" t="b">
        <f t="shared" si="13"/>
        <v>0</v>
      </c>
      <c r="AI82" s="1321" t="b">
        <f t="shared" si="13"/>
        <v>0</v>
      </c>
      <c r="AJ82" s="1321" t="b">
        <f t="shared" si="13"/>
        <v>0</v>
      </c>
      <c r="AK82" s="1321" t="b">
        <f t="shared" si="13"/>
        <v>0</v>
      </c>
      <c r="AL82" s="1321" t="b">
        <f t="shared" si="13"/>
        <v>0</v>
      </c>
      <c r="AM82" s="1321" t="b">
        <f t="shared" si="13"/>
        <v>0</v>
      </c>
      <c r="AN82" s="1321" t="b">
        <f t="shared" si="13"/>
        <v>0</v>
      </c>
      <c r="AO82" s="1321" t="b">
        <f t="shared" si="13"/>
        <v>0</v>
      </c>
      <c r="AP82" s="1321" t="b">
        <f t="shared" si="13"/>
        <v>0</v>
      </c>
      <c r="AQ82" s="1321" t="b">
        <f t="shared" si="13"/>
        <v>0</v>
      </c>
      <c r="AR82" s="1321" t="b">
        <f t="shared" si="13"/>
        <v>0</v>
      </c>
      <c r="AS82" s="1321" t="b">
        <f t="shared" si="13"/>
        <v>0</v>
      </c>
      <c r="AT82" s="1321" t="b">
        <f t="shared" si="13"/>
        <v>0</v>
      </c>
      <c r="AU82" s="1321" t="b">
        <f t="shared" si="13"/>
        <v>0</v>
      </c>
      <c r="AV82" s="1321" t="b">
        <f t="shared" si="13"/>
        <v>0</v>
      </c>
      <c r="AW82" s="1321" t="b">
        <f t="shared" si="13"/>
        <v>0</v>
      </c>
      <c r="AX82" s="1321" t="b">
        <f t="shared" si="13"/>
        <v>0</v>
      </c>
      <c r="AY82" s="1321" t="b">
        <f t="shared" si="13"/>
        <v>0</v>
      </c>
      <c r="AZ82" s="1321" t="b">
        <f t="shared" si="13"/>
        <v>0</v>
      </c>
      <c r="BA82" s="1321" t="b">
        <f t="shared" si="13"/>
        <v>0</v>
      </c>
      <c r="BB82" s="1321" t="b">
        <f t="shared" si="13"/>
        <v>0</v>
      </c>
      <c r="BC82" s="876"/>
      <c r="BD82" s="795"/>
      <c r="BE82" s="795"/>
      <c r="BF82" s="943"/>
      <c r="BG82" s="943"/>
      <c r="BH82" s="943"/>
      <c r="BI82" s="595"/>
      <c r="BJ82" s="595"/>
    </row>
    <row r="83" spans="1:62" s="1327" customFormat="1" ht="14.25" hidden="1" customHeight="1">
      <c r="A83" s="795"/>
      <c r="B83" s="357"/>
      <c r="C83" s="795"/>
      <c r="D83" s="795"/>
      <c r="E83" s="595">
        <v>15</v>
      </c>
      <c r="F83" s="3" t="str" cm="1">
        <f t="array" aca="1" ref="F83" ca="1">OFFSET(E83,-1,1)</f>
        <v>1</v>
      </c>
      <c r="G83" s="71" t="s">
        <v>326</v>
      </c>
      <c r="H83" s="74" cm="1">
        <f t="array" ref="H83">AC83</f>
        <v>0</v>
      </c>
      <c r="I83" s="71" t="s">
        <v>994</v>
      </c>
      <c r="J83" s="795"/>
      <c r="K83" s="817"/>
      <c r="L83" s="795"/>
      <c r="M83" s="795"/>
      <c r="N83" s="795"/>
      <c r="O83" s="795"/>
      <c r="P83" s="795"/>
      <c r="Q83" s="795"/>
      <c r="R83" s="795"/>
      <c r="S83" s="795"/>
      <c r="T83" s="381" t="b">
        <f ca="1">AND(F83&gt;0,Y82&gt;0)</f>
        <v>0</v>
      </c>
      <c r="U83" s="795"/>
      <c r="V83" s="795"/>
      <c r="W83" s="795"/>
      <c r="X83" s="1711"/>
      <c r="Y83" s="1711"/>
      <c r="Z83" s="1811"/>
      <c r="AA83" s="1813"/>
      <c r="AB83" s="7" t="str">
        <f>"5."&amp;Y82</f>
        <v>5.0</v>
      </c>
      <c r="AC83" s="190"/>
      <c r="AD83" s="129" t="s">
        <v>766</v>
      </c>
      <c r="AE83" s="1395"/>
      <c r="AF83" s="1395"/>
      <c r="AG83" s="1395"/>
      <c r="AH83" s="1395"/>
      <c r="AI83" s="133"/>
      <c r="AJ83" s="1395"/>
      <c r="AK83" s="1395"/>
      <c r="AL83" s="1395"/>
      <c r="AM83" s="1395"/>
      <c r="AN83" s="1395"/>
      <c r="AO83" s="1395"/>
      <c r="AP83" s="1395"/>
      <c r="AQ83" s="1395"/>
      <c r="AR83" s="1395"/>
      <c r="AS83" s="133"/>
      <c r="AT83" s="1395"/>
      <c r="AU83" s="1395"/>
      <c r="AV83" s="1395"/>
      <c r="AW83" s="1395"/>
      <c r="AX83" s="1395"/>
      <c r="AY83" s="1395"/>
      <c r="AZ83" s="1395"/>
      <c r="BA83" s="1395"/>
      <c r="BB83" s="1395"/>
      <c r="BC83" s="1361"/>
      <c r="BD83" s="795"/>
      <c r="BE83" s="795"/>
      <c r="BF83" s="943" t="s">
        <v>969</v>
      </c>
      <c r="BG83" s="943" t="s">
        <v>995</v>
      </c>
      <c r="BH83" s="943" cm="1">
        <f t="array" ref="BH83">AC83</f>
        <v>0</v>
      </c>
      <c r="BI83" s="595"/>
      <c r="BJ83" s="595" t="b">
        <v>1</v>
      </c>
    </row>
    <row r="84" spans="1:62" s="1327" customFormat="1" ht="14.25" hidden="1" customHeight="1">
      <c r="A84" s="795"/>
      <c r="B84" s="357"/>
      <c r="C84" s="795"/>
      <c r="D84" s="795"/>
      <c r="E84" s="595">
        <v>15</v>
      </c>
      <c r="F84" s="3" t="str" cm="1">
        <f t="array" aca="1" ref="F84" ca="1">OFFSET(E84,-1,1)</f>
        <v>1</v>
      </c>
      <c r="G84" s="71" t="s">
        <v>515</v>
      </c>
      <c r="H84" s="74" cm="1">
        <f t="array" ref="H84">H83</f>
        <v>0</v>
      </c>
      <c r="I84" s="71" t="s">
        <v>994</v>
      </c>
      <c r="J84" s="795"/>
      <c r="K84" s="817"/>
      <c r="L84" s="795"/>
      <c r="M84" s="795"/>
      <c r="N84" s="795"/>
      <c r="O84" s="795"/>
      <c r="P84" s="795"/>
      <c r="Q84" s="795"/>
      <c r="R84" s="795"/>
      <c r="S84" s="795"/>
      <c r="T84" s="381" t="b" cm="1">
        <f t="array" aca="1" ref="T84" ca="1">T83</f>
        <v>0</v>
      </c>
      <c r="U84" s="795"/>
      <c r="V84" s="795"/>
      <c r="W84" s="795"/>
      <c r="X84" s="1711"/>
      <c r="Y84" s="1711"/>
      <c r="Z84" s="1811"/>
      <c r="AA84" s="1813"/>
      <c r="AB84" s="7" t="str">
        <f>AB83&amp;".1"</f>
        <v>5.0.1</v>
      </c>
      <c r="AC84" s="139" t="s">
        <v>996</v>
      </c>
      <c r="AD84" s="7" t="s">
        <v>499</v>
      </c>
      <c r="AE84" s="1395"/>
      <c r="AF84" s="1395"/>
      <c r="AG84" s="1395"/>
      <c r="AH84" s="1395"/>
      <c r="AI84" s="133"/>
      <c r="AJ84" s="1395"/>
      <c r="AK84" s="1395"/>
      <c r="AL84" s="1395"/>
      <c r="AM84" s="1395"/>
      <c r="AN84" s="1395"/>
      <c r="AO84" s="1395"/>
      <c r="AP84" s="1395"/>
      <c r="AQ84" s="1395"/>
      <c r="AR84" s="1395"/>
      <c r="AS84" s="133"/>
      <c r="AT84" s="1395"/>
      <c r="AU84" s="1395"/>
      <c r="AV84" s="1395"/>
      <c r="AW84" s="1395"/>
      <c r="AX84" s="1395"/>
      <c r="AY84" s="1395"/>
      <c r="AZ84" s="1395"/>
      <c r="BA84" s="1395"/>
      <c r="BB84" s="1395"/>
      <c r="BC84" s="1361"/>
      <c r="BD84" s="795"/>
      <c r="BE84" s="795"/>
      <c r="BF84" s="943" t="s">
        <v>972</v>
      </c>
      <c r="BG84" s="943" t="s">
        <v>995</v>
      </c>
      <c r="BH84" s="943" cm="1">
        <f t="array" ref="BH84">BH83</f>
        <v>0</v>
      </c>
      <c r="BI84" s="595"/>
      <c r="BJ84" s="595"/>
    </row>
    <row r="85" spans="1:62" s="1327" customFormat="1" ht="14.25" customHeight="1">
      <c r="A85" s="795"/>
      <c r="B85" s="357"/>
      <c r="C85" s="795"/>
      <c r="D85" s="795"/>
      <c r="E85" s="595">
        <v>15</v>
      </c>
      <c r="F85" s="3" t="str" cm="1">
        <f t="array" aca="1" ref="F85" ca="1">OFFSET(E85,-1,1)</f>
        <v>1</v>
      </c>
      <c r="G85" s="795"/>
      <c r="H85" s="71" t="str">
        <f>"!=='не определено' &amp;&amp; row.l5 !== null"</f>
        <v>!=='не определено' &amp;&amp; row.l5 !== null</v>
      </c>
      <c r="I85" s="795"/>
      <c r="J85" s="795"/>
      <c r="K85" s="817"/>
      <c r="L85" s="795"/>
      <c r="M85" s="795"/>
      <c r="N85" s="795"/>
      <c r="O85" s="795"/>
      <c r="P85" s="795"/>
      <c r="Q85" s="795"/>
      <c r="R85" s="795"/>
      <c r="S85" s="795"/>
      <c r="T85" s="381" t="b">
        <f ca="1">F85&gt;0</f>
        <v>1</v>
      </c>
      <c r="U85" s="795"/>
      <c r="V85" s="795"/>
      <c r="W85" s="602" t="s">
        <v>997</v>
      </c>
      <c r="X85" s="1711"/>
      <c r="Y85" s="88"/>
      <c r="Z85" s="1811"/>
      <c r="AA85" s="795"/>
      <c r="AB85" s="598"/>
      <c r="AC85" s="150" t="s">
        <v>974</v>
      </c>
      <c r="AD85" s="150"/>
      <c r="AE85" s="150"/>
      <c r="AF85" s="150"/>
      <c r="AG85" s="150"/>
      <c r="AH85" s="150"/>
      <c r="AI85" s="150"/>
      <c r="AJ85" s="150"/>
      <c r="AK85" s="150"/>
      <c r="AL85" s="150"/>
      <c r="AM85" s="150"/>
      <c r="AN85" s="150"/>
      <c r="AO85" s="150"/>
      <c r="AP85" s="150"/>
      <c r="AQ85" s="150"/>
      <c r="AR85" s="150"/>
      <c r="AS85" s="150"/>
      <c r="AT85" s="150"/>
      <c r="AU85" s="150"/>
      <c r="AV85" s="150"/>
      <c r="AW85" s="150"/>
      <c r="AX85" s="150"/>
      <c r="AY85" s="150"/>
      <c r="AZ85" s="150"/>
      <c r="BA85" s="150"/>
      <c r="BB85" s="150"/>
      <c r="BC85" s="151"/>
      <c r="BD85" s="795"/>
      <c r="BE85" s="795"/>
      <c r="BF85" s="943"/>
      <c r="BG85" s="943"/>
      <c r="BH85" s="943"/>
      <c r="BI85" s="595" t="s">
        <v>995</v>
      </c>
      <c r="BJ85" s="595"/>
    </row>
    <row r="86" spans="1:62" s="72" customFormat="1" ht="14.25" customHeight="1">
      <c r="B86" s="358"/>
      <c r="E86" s="596">
        <v>15</v>
      </c>
      <c r="F86" s="3" t="str" cm="1">
        <f t="array" aca="1" ref="F86" ca="1">OFFSET(E86,-1,1)</f>
        <v>1</v>
      </c>
      <c r="G86" s="71" t="s">
        <v>477</v>
      </c>
      <c r="K86" s="817" t="str">
        <f ca="1">F58&amp;"6komm"</f>
        <v>16komm</v>
      </c>
      <c r="L86" s="821" cm="1">
        <f t="array" ref="L86">BC86</f>
        <v>0</v>
      </c>
      <c r="T86" s="381" t="b" cm="1">
        <f t="array" aca="1" ref="T86" ca="1">T85</f>
        <v>1</v>
      </c>
      <c r="X86" s="1711"/>
      <c r="Z86" s="1811"/>
      <c r="AB86" s="129">
        <v>6</v>
      </c>
      <c r="AC86" s="130" t="s">
        <v>998</v>
      </c>
      <c r="AD86" s="129" t="s">
        <v>766</v>
      </c>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18"/>
      <c r="BF86" s="946" t="s">
        <v>999</v>
      </c>
      <c r="BG86" s="946"/>
      <c r="BH86" s="946"/>
      <c r="BI86" s="596"/>
      <c r="BJ86" s="596"/>
    </row>
    <row r="87" spans="1:62" s="72" customFormat="1" ht="14.25" customHeight="1">
      <c r="B87" s="358"/>
      <c r="E87" s="596">
        <v>15</v>
      </c>
      <c r="F87" s="3" t="str" cm="1">
        <f t="array" aca="1" ref="F87" ca="1">OFFSET(E87,-1,1)</f>
        <v>1</v>
      </c>
      <c r="G87" s="71" t="s">
        <v>481</v>
      </c>
      <c r="K87" s="817" t="str">
        <f ca="1">F58&amp;"7komm"</f>
        <v>17komm</v>
      </c>
      <c r="L87" s="821" cm="1">
        <f t="array" ref="L87">BC87</f>
        <v>0</v>
      </c>
      <c r="T87" s="381" t="b" cm="1">
        <f t="array" aca="1" ref="T87" ca="1">T86</f>
        <v>1</v>
      </c>
      <c r="X87" s="1711"/>
      <c r="Z87" s="1811"/>
      <c r="AB87" s="129">
        <v>7</v>
      </c>
      <c r="AC87" s="130" t="s">
        <v>1000</v>
      </c>
      <c r="AD87" s="129" t="s">
        <v>766</v>
      </c>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18"/>
      <c r="BF87" s="946" t="s">
        <v>1001</v>
      </c>
      <c r="BG87" s="946"/>
      <c r="BH87" s="946"/>
      <c r="BI87" s="596"/>
      <c r="BJ87" s="596"/>
    </row>
    <row r="88" spans="1:62" s="72" customFormat="1" ht="14.25" customHeight="1">
      <c r="B88" s="358"/>
      <c r="E88" s="596">
        <v>15</v>
      </c>
      <c r="F88" s="3" t="str" cm="1">
        <f t="array" aca="1" ref="F88" ca="1">OFFSET(E88,-1,1)</f>
        <v>1</v>
      </c>
      <c r="G88" s="71" t="s">
        <v>528</v>
      </c>
      <c r="K88" s="817" t="str">
        <f ca="1">F58&amp;"8komm"</f>
        <v>18komm</v>
      </c>
      <c r="L88" s="821" cm="1">
        <f t="array" ref="L88">BC88</f>
        <v>0</v>
      </c>
      <c r="T88" s="381" t="b" cm="1">
        <f t="array" aca="1" ref="T88" ca="1">T87</f>
        <v>1</v>
      </c>
      <c r="X88" s="1711"/>
      <c r="Z88" s="1811"/>
      <c r="AB88" s="129">
        <v>8</v>
      </c>
      <c r="AC88" s="130" t="s">
        <v>1002</v>
      </c>
      <c r="AD88" s="129" t="s">
        <v>766</v>
      </c>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18"/>
      <c r="BF88" s="946" t="s">
        <v>1003</v>
      </c>
      <c r="BG88" s="946"/>
      <c r="BH88" s="946"/>
      <c r="BI88" s="596"/>
      <c r="BJ88" s="596"/>
    </row>
    <row r="89" spans="1:62" s="72" customFormat="1" ht="14.25" customHeight="1">
      <c r="B89" s="358"/>
      <c r="E89" s="596">
        <v>15</v>
      </c>
      <c r="F89" s="3" t="str" cm="1">
        <f t="array" aca="1" ref="F89" ca="1">OFFSET(E89,-1,1)</f>
        <v>1</v>
      </c>
      <c r="G89" s="71"/>
      <c r="K89" s="817" t="str">
        <f ca="1">F58&amp;"9komm"</f>
        <v>19komm</v>
      </c>
      <c r="L89" s="821" cm="1">
        <f t="array" ref="L89">BC89</f>
        <v>0</v>
      </c>
      <c r="T89" s="381" t="b" cm="1">
        <f t="array" aca="1" ref="T89" ca="1">T88</f>
        <v>1</v>
      </c>
      <c r="X89" s="1711"/>
      <c r="Z89" s="1811"/>
      <c r="AB89" s="129">
        <v>9</v>
      </c>
      <c r="AC89" s="130" t="s">
        <v>1004</v>
      </c>
      <c r="AD89" s="129" t="s">
        <v>766</v>
      </c>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18"/>
      <c r="BF89" s="946" t="s">
        <v>1005</v>
      </c>
      <c r="BG89" s="946"/>
      <c r="BH89" s="946"/>
      <c r="BI89" s="596"/>
      <c r="BJ89" s="596"/>
    </row>
    <row r="90" spans="1:62" ht="10.15" customHeight="1">
      <c r="E90" s="595">
        <v>10.5</v>
      </c>
      <c r="U90" s="68" t="s">
        <v>177</v>
      </c>
      <c r="V90" s="59" t="s">
        <v>1008</v>
      </c>
    </row>
    <row r="91" spans="1:62" ht="14.65" customHeight="1">
      <c r="E91" s="595">
        <v>15</v>
      </c>
      <c r="AA91" s="17"/>
      <c r="AB91" s="1758" t="s">
        <v>394</v>
      </c>
      <c r="AC91" s="1758"/>
      <c r="AD91" s="1758"/>
      <c r="AE91" s="1758"/>
      <c r="AF91" s="1758"/>
      <c r="AG91" s="1758"/>
      <c r="AH91" s="1758"/>
      <c r="AI91" s="1789"/>
      <c r="AJ91" s="1789"/>
      <c r="AK91" s="1789"/>
      <c r="AL91" s="1789"/>
      <c r="AM91" s="1789"/>
      <c r="AN91" s="1789"/>
      <c r="AO91" s="1789"/>
      <c r="AP91" s="1789"/>
      <c r="AQ91" s="1789"/>
      <c r="AR91" s="1789"/>
      <c r="AS91" s="1789"/>
      <c r="AT91" s="1789"/>
      <c r="AU91" s="1789"/>
      <c r="AV91" s="1789"/>
      <c r="AW91" s="1789"/>
      <c r="AX91" s="1789"/>
      <c r="AY91" s="1789"/>
      <c r="AZ91" s="1789"/>
      <c r="BA91" s="1789"/>
      <c r="BB91" s="1789"/>
      <c r="BC91" s="1789"/>
      <c r="BD91" s="17"/>
    </row>
    <row r="92" spans="1:62" ht="14.65" customHeight="1">
      <c r="E92" s="595">
        <v>15</v>
      </c>
      <c r="AA92" s="578"/>
      <c r="AB92" s="1790" t="s">
        <v>1009</v>
      </c>
      <c r="AC92" s="1790"/>
      <c r="AD92" s="1790"/>
      <c r="AE92" s="1790"/>
      <c r="AF92" s="1790"/>
      <c r="AG92" s="1790"/>
      <c r="AH92" s="1790"/>
      <c r="AI92" s="1791"/>
      <c r="AJ92" s="1803"/>
      <c r="AK92" s="1803"/>
      <c r="AL92" s="1803"/>
      <c r="AM92" s="1803"/>
      <c r="AN92" s="1803"/>
      <c r="AO92" s="1803"/>
      <c r="AP92" s="1803"/>
      <c r="AQ92" s="1803"/>
      <c r="AR92" s="1803"/>
      <c r="AS92" s="1791"/>
      <c r="AT92" s="1803"/>
      <c r="AU92" s="1803"/>
      <c r="AV92" s="1803"/>
      <c r="AW92" s="1803"/>
      <c r="AX92" s="1803"/>
      <c r="AY92" s="1803"/>
      <c r="AZ92" s="1803"/>
      <c r="BA92" s="1803"/>
      <c r="BB92" s="1803"/>
      <c r="BC92" s="1791"/>
      <c r="BD92" s="17"/>
    </row>
    <row r="93" spans="1:62" ht="14.65" hidden="1" customHeight="1">
      <c r="E93" s="595">
        <v>15</v>
      </c>
      <c r="T93" s="381" t="b">
        <f>ROW(W93)&gt;ROW(W$93)</f>
        <v>0</v>
      </c>
      <c r="W93" s="671" t="s">
        <v>173</v>
      </c>
      <c r="AA93" s="589" t="s">
        <v>174</v>
      </c>
      <c r="AB93" s="1802" t="s">
        <v>231</v>
      </c>
      <c r="AC93" s="1802"/>
      <c r="AD93" s="1802"/>
      <c r="AE93" s="1802"/>
      <c r="AF93" s="1802"/>
      <c r="AG93" s="1802"/>
      <c r="AH93" s="1802"/>
      <c r="AI93" s="1791"/>
      <c r="AJ93" s="1803"/>
      <c r="AK93" s="1803"/>
      <c r="AL93" s="1803"/>
      <c r="AM93" s="1803"/>
      <c r="AN93" s="1803"/>
      <c r="AO93" s="1803"/>
      <c r="AP93" s="1803"/>
      <c r="AQ93" s="1803"/>
      <c r="AR93" s="1803"/>
      <c r="AS93" s="1791"/>
      <c r="AT93" s="1803"/>
      <c r="AU93" s="1803"/>
      <c r="AV93" s="1803"/>
      <c r="AW93" s="1803"/>
      <c r="AX93" s="1803"/>
      <c r="AY93" s="1803"/>
      <c r="AZ93" s="1803"/>
      <c r="BA93" s="1803"/>
      <c r="BB93" s="1803"/>
      <c r="BC93" s="1803"/>
      <c r="BD93" s="17"/>
    </row>
    <row r="94" spans="1:62" ht="14.65" customHeight="1">
      <c r="E94" s="595">
        <v>15</v>
      </c>
      <c r="W94" s="671" t="s">
        <v>395</v>
      </c>
      <c r="AA94" s="17"/>
      <c r="AB94" s="599"/>
      <c r="AC94" s="430" t="s">
        <v>396</v>
      </c>
      <c r="AD94" s="224"/>
      <c r="AE94" s="224"/>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6"/>
      <c r="BD94" s="17"/>
    </row>
    <row r="95" spans="1:62" ht="10.9" customHeight="1">
      <c r="E95" s="595">
        <v>11.25</v>
      </c>
      <c r="BD95" s="343"/>
    </row>
  </sheetData>
  <sheetProtection formatColumns="0" formatRows="0" insertRows="0" deleteColumns="0" deleteRows="0" sort="0" autoFilter="0"/>
  <mergeCells count="33">
    <mergeCell ref="X57:X89"/>
    <mergeCell ref="Z57:Z89"/>
    <mergeCell ref="Y59:Y61"/>
    <mergeCell ref="AA59:AA61"/>
    <mergeCell ref="Y67:Y69"/>
    <mergeCell ref="AA67:AA69"/>
    <mergeCell ref="Y72:Y74"/>
    <mergeCell ref="AA72:AA74"/>
    <mergeCell ref="Y77:Y79"/>
    <mergeCell ref="AA77:AA79"/>
    <mergeCell ref="Y82:Y84"/>
    <mergeCell ref="AA82:AA84"/>
    <mergeCell ref="Y62:Y64"/>
    <mergeCell ref="AA62:AA64"/>
    <mergeCell ref="AB93:BC93"/>
    <mergeCell ref="AB91:BC91"/>
    <mergeCell ref="AB92:BC92"/>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s>
  <dataValidations count="1">
    <dataValidation type="decimal" allowBlank="1" showErrorMessage="1" errorTitle="Ошибка" error="Допускается ввод только неотрицательных чисел!" sqref="AE35:BB36 AE50:BB51 AE40:BB41 AE45:BB46 AE30:BB31 BB53:BB56 BB60:BB61 BB63:BB64 BB68:BB69 BB73:BB74 BB78:BB79 BB83:BB84 BB86:BB89 BA53:BA56 BA60:BA61 BA63:BA64 BA68:BA69 BA73:BA74 BA78:BA79 BA83:BA84 BA86:BA89 AZ53:AZ56 AZ60:AZ61 AZ63:AZ64 AZ68:AZ69 AZ73:AZ74 AZ78:AZ79 AZ83:AZ84 AZ86:AZ89 AY53:AY56 AY60:AY61 AY63:AY64 AY68:AY69 AY73:AY74 AY78:AY79 AY83:AY84 AY86:AY89 AX53:AX56 AX60:AX61 AX63:AX64 AX68:AX69 AX73:AX74 AX78:AX79 AX83:AX84 AX86:AX89 AW53:AW56 AW60:AW61 AW63:AW64 AW68:AW69 AW73:AW74 AW78:AW79 AW83:AW84 AW86:AW89 AV53:AV56 AV60:AV61 AV63:AV64 AV68:AV69 AV73:AV74 AV78:AV79 AV83:AV84 AV86:AV89 AU53:AU56 AU60:AU61 AU63:AU64 AU68:AU69 AU73:AU74 AU78:AU79 AU83:AU84 AU86:AU89 AT53:AT56 AT60:AT61 AT63:AT64 AT68:AT69 AT73:AT74 AT78:AT79 AT83:AT84 AT86:AT89 AS53:AS56 AS60:AS61 AS63:AS64 AS68:AS69 AS73:AS74 AS78:AS79 AS83:AS84 AS86:AS89 AR53:AR56 AR60:AR61 AR63:AR64 AR68:AR69 AR73:AR74 AR78:AR79 AR83:AR84 AR86:AR89 AQ53:AQ56 AQ60:AQ61 AQ63:AQ64 AQ68:AQ69 AQ73:AQ74 AQ78:AQ79 AQ83:AQ84 AQ86:AQ89 AP53:AP56 AP60:AP61 AP63:AP64 AP68:AP69 AP73:AP74 AP78:AP79 AP83:AP84 AP86:AP89 AO53:AO56 AO60:AO61 AO63:AO64 AO68:AO69 AO73:AO74 AO78:AO79 AO83:AO84 AO86:AO89 AN53:AN56 AN60:AN61 AN63:AN64 AN68:AN69 AN73:AN74 AN78:AN79 AN83:AN84 AN86:AN89 AM53:AM56 AM60:AM61 AM63:AM64 AM68:AM69 AM73:AM74 AM78:AM79 AM83:AM84 AM86:AM89 AL53:AL56 AL60:AL61 AL63:AL64 AL68:AL69 AL73:AL74 AL78:AL79 AL83:AL84 AL86:AL89 AK53:AK56 AK60:AK61 AK63:AK64 AK68:AK69 AK73:AK74 AK78:AK79 AK83:AK84 AK86:AK89 AJ53:AJ56 AJ60:AJ61 AJ63:AJ64 AJ68:AJ69 AJ73:AJ74 AJ78:AJ79 AJ83:AJ84 AJ86:AJ89 AI53:AI56 AI60:AI61 AI63:AI64 AI68:AI69 AI73:AI74 AI78:AI79 AI83:AI84 AI86:AI89 AH53:AH56 AH60:AH61 AH63:AH64 AH68:AH69 AH73:AH74 AH78:AH79 AH83:AH84 AH86:AH89 AG53:AG56 AG60:AG61 AG63:AG64 AG68:AG69 AG73:AG74 AG78:AG79 AG83:AG84 AG86:AG89 AF53:AF56 AF60:AF61 AF63:AF64 AF68:AF69 AF73:AF74 AF78:AF79 AF83:AF84 AF86:AF89 AE53:AE56 AE60:AE61 AE63:AE64 AE68:AE69 AE73:AE74 AE78:AE79 AE83:AE84 AE86:AE89">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8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4" width="3.5703125" style="1207" hidden="1" customWidth="1"/>
    <col min="5" max="5" width="3.5703125" style="1208" hidden="1" customWidth="1"/>
    <col min="6" max="6" width="3.5703125" style="1207" hidden="1" customWidth="1"/>
    <col min="7" max="7" width="9.85546875" style="1215" hidden="1" customWidth="1"/>
    <col min="8" max="10" width="3.5703125" style="1207" hidden="1" customWidth="1"/>
    <col min="11" max="11" width="6.42578125" style="1215" hidden="1" customWidth="1"/>
    <col min="12" max="12" width="3.5703125" style="1215" hidden="1" customWidth="1"/>
    <col min="13" max="17" width="3.5703125" style="1207" hidden="1" customWidth="1"/>
    <col min="18" max="18" width="3.5703125" style="1225" hidden="1" customWidth="1"/>
    <col min="19" max="19" width="3.5703125" style="1207" hidden="1" customWidth="1"/>
    <col min="20" max="20" width="11.140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56.7109375" style="1207" customWidth="1"/>
    <col min="30" max="30" width="12" style="1207" customWidth="1"/>
    <col min="31" max="36" width="13" style="1207" customWidth="1"/>
    <col min="37" max="37" width="20" style="1207" customWidth="1"/>
    <col min="38" max="38" width="3" style="1207" customWidth="1"/>
    <col min="39" max="39" width="9.140625" style="1207" hidden="1"/>
    <col min="40" max="42" width="9.140625" style="1209" hidden="1"/>
    <col min="43" max="44" width="9.140625" style="1208" hidden="1"/>
  </cols>
  <sheetData>
    <row r="1" spans="1:44" ht="11.25" hidden="1" customHeight="1">
      <c r="E1" s="17"/>
      <c r="F1" s="17" t="s">
        <v>311</v>
      </c>
      <c r="H1" s="17" t="s">
        <v>322</v>
      </c>
      <c r="I1" s="17" t="s">
        <v>347</v>
      </c>
      <c r="T1" s="381" t="s">
        <v>92</v>
      </c>
      <c r="U1" s="381" t="s">
        <v>97</v>
      </c>
      <c r="V1" s="381" t="s">
        <v>93</v>
      </c>
      <c r="W1" s="381" t="s">
        <v>94</v>
      </c>
      <c r="X1" s="381" t="s">
        <v>95</v>
      </c>
      <c r="Y1" s="383" t="s">
        <v>313</v>
      </c>
      <c r="Z1" s="381" t="s">
        <v>99</v>
      </c>
      <c r="AA1" s="383" t="s">
        <v>96</v>
      </c>
      <c r="AB1" s="332"/>
      <c r="AC1" s="382" t="s">
        <v>98</v>
      </c>
      <c r="AN1" s="917" t="s">
        <v>314</v>
      </c>
      <c r="AO1" s="917" t="s">
        <v>315</v>
      </c>
      <c r="AP1" s="917" t="s">
        <v>316</v>
      </c>
      <c r="AQ1" s="549" t="s">
        <v>319</v>
      </c>
      <c r="AR1" s="549" t="s">
        <v>320</v>
      </c>
    </row>
    <row r="2" spans="1:44" s="1076" customFormat="1" ht="11.25" hidden="1" customHeight="1">
      <c r="B2" s="362" t="s">
        <v>18</v>
      </c>
      <c r="G2" s="401"/>
      <c r="K2" s="401"/>
      <c r="L2" s="401"/>
      <c r="AI2" s="363" t="b">
        <f>AI11&lt;=last_year_vis</f>
        <v>1</v>
      </c>
      <c r="AJ2" s="363" t="b">
        <f>AJ11&lt;=last_year_vis</f>
        <v>1</v>
      </c>
      <c r="AN2" s="918"/>
      <c r="AO2" s="918"/>
      <c r="AP2" s="918"/>
      <c r="AQ2" s="931"/>
      <c r="AR2" s="931"/>
    </row>
    <row r="3" spans="1:44" ht="11.25" hidden="1" customHeight="1">
      <c r="E3" s="17"/>
    </row>
    <row r="4" spans="1:44" ht="11.25" hidden="1" customHeight="1">
      <c r="E4" s="17"/>
    </row>
    <row r="5" spans="1:44" s="1208" customFormat="1" ht="11.25" hidden="1" customHeight="1">
      <c r="A5" s="17"/>
      <c r="B5" s="344"/>
      <c r="C5" s="17"/>
      <c r="D5" s="17"/>
      <c r="E5" s="549" t="s">
        <v>19</v>
      </c>
      <c r="G5" s="604"/>
      <c r="K5" s="604"/>
      <c r="L5" s="604"/>
      <c r="R5" s="534"/>
      <c r="AA5" s="549">
        <v>3</v>
      </c>
      <c r="AB5" s="549">
        <v>11</v>
      </c>
      <c r="AC5" s="549">
        <v>56.71</v>
      </c>
      <c r="AD5" s="549">
        <v>12</v>
      </c>
      <c r="AE5" s="549">
        <v>13</v>
      </c>
      <c r="AF5" s="549">
        <v>13</v>
      </c>
      <c r="AG5" s="549">
        <v>13</v>
      </c>
      <c r="AH5" s="549">
        <v>13</v>
      </c>
      <c r="AI5" s="549">
        <v>13</v>
      </c>
      <c r="AJ5" s="549">
        <v>13</v>
      </c>
      <c r="AK5" s="549">
        <v>20</v>
      </c>
      <c r="AL5" s="549">
        <v>3</v>
      </c>
      <c r="AN5" s="917"/>
      <c r="AO5" s="917"/>
      <c r="AP5" s="917"/>
    </row>
    <row r="6" spans="1:44" ht="11.25" hidden="1" customHeight="1"/>
    <row r="7" spans="1:44" s="1209" customFormat="1" ht="11.25" hidden="1" customHeight="1">
      <c r="A7" s="917" t="s">
        <v>355</v>
      </c>
      <c r="B7" s="918"/>
      <c r="G7" s="933"/>
      <c r="K7" s="933"/>
      <c r="L7" s="933"/>
      <c r="R7" s="919"/>
      <c r="AE7" s="917" cm="1">
        <f t="array" ref="AE7">AE11</f>
        <v>2024</v>
      </c>
      <c r="AF7" s="917" cm="1">
        <f t="array" ref="AF7">AF11</f>
        <v>2024</v>
      </c>
      <c r="AG7" s="917" cm="1">
        <f t="array" ref="AG7">AG11</f>
        <v>2024</v>
      </c>
      <c r="AH7" s="917" cm="1">
        <f t="array" ref="AH7">AH11</f>
        <v>2025</v>
      </c>
      <c r="AI7" s="917" cm="1">
        <f t="array" ref="AI7">AI11</f>
        <v>2026</v>
      </c>
      <c r="AJ7" s="917" cm="1">
        <f t="array" ref="AJ7">AJ11</f>
        <v>2026</v>
      </c>
      <c r="AQ7" s="549"/>
      <c r="AR7" s="549"/>
    </row>
    <row r="8" spans="1:44" s="1209" customFormat="1" ht="11.25" hidden="1" customHeight="1">
      <c r="A8" s="917" t="s">
        <v>356</v>
      </c>
      <c r="B8" s="918"/>
      <c r="G8" s="933"/>
      <c r="K8" s="933"/>
      <c r="L8" s="933"/>
      <c r="R8" s="919"/>
      <c r="AE8" s="917" t="str" cm="1">
        <f t="array" ref="AE8">AE25</f>
        <v>Принято органом регулирования</v>
      </c>
      <c r="AF8" s="917" t="str" cm="1">
        <f t="array" ref="AF8">AF25</f>
        <v>Факт по данным организации</v>
      </c>
      <c r="AG8" s="917" t="str" cm="1">
        <f t="array" ref="AG8">AG25</f>
        <v>Факт, принятый органом регулирования</v>
      </c>
      <c r="AH8" s="917" t="str" cm="1">
        <f t="array" ref="AH8">AH25</f>
        <v>Принято органом регулирования</v>
      </c>
      <c r="AI8" s="917" t="str" cm="1">
        <f t="array" ref="AI8">AI25</f>
        <v>Предложение организации</v>
      </c>
      <c r="AJ8" s="917" t="str" cm="1">
        <f t="array" ref="AJ8">AJ25</f>
        <v>Принято органом регулирования</v>
      </c>
      <c r="AQ8" s="549"/>
      <c r="AR8" s="549"/>
    </row>
    <row r="9" spans="1:44" s="1209" customFormat="1" ht="11.25" hidden="1" customHeight="1">
      <c r="A9" s="917" t="s">
        <v>357</v>
      </c>
      <c r="B9" s="918"/>
      <c r="G9" s="933"/>
      <c r="K9" s="933"/>
      <c r="L9" s="933"/>
      <c r="R9" s="919"/>
      <c r="AK9" s="917" t="str" cm="1">
        <f t="array" ref="AK9">AK24</f>
        <v>Ссылка на правовую норму (основание для принятия показателя в расчет тарифа)</v>
      </c>
      <c r="AQ9" s="549"/>
      <c r="AR9" s="549"/>
    </row>
    <row r="10" spans="1:44" s="1209" customFormat="1" ht="11.25" hidden="1" customHeight="1">
      <c r="A10" s="917" t="s">
        <v>329</v>
      </c>
      <c r="B10" s="918"/>
      <c r="G10" s="933"/>
      <c r="K10" s="933"/>
      <c r="L10" s="933"/>
      <c r="R10" s="919"/>
      <c r="AC10" s="917" t="s">
        <v>316</v>
      </c>
      <c r="AQ10" s="549"/>
      <c r="AR10" s="549"/>
    </row>
    <row r="11" spans="1:44" ht="11.25" hidden="1" customHeight="1">
      <c r="A11" s="17" t="s">
        <v>350</v>
      </c>
      <c r="AE11" s="17">
        <f>god-2</f>
        <v>2024</v>
      </c>
      <c r="AF11" s="17">
        <f>god-2</f>
        <v>2024</v>
      </c>
      <c r="AG11" s="17">
        <f>god-2</f>
        <v>2024</v>
      </c>
      <c r="AH11" s="17">
        <f>god-1</f>
        <v>2025</v>
      </c>
      <c r="AI11" s="17" cm="1">
        <f t="array" ref="AI11">god</f>
        <v>2026</v>
      </c>
      <c r="AJ11" s="17" cm="1">
        <f t="array" ref="AJ11">god</f>
        <v>2026</v>
      </c>
      <c r="AK11" s="71"/>
    </row>
    <row r="12" spans="1:44" ht="11.25" hidden="1" customHeight="1">
      <c r="A12" s="17" t="s">
        <v>351</v>
      </c>
      <c r="AE12" s="41" t="str" cm="1">
        <f t="array" ref="AE12">AE25</f>
        <v>Принято органом регулирования</v>
      </c>
      <c r="AF12" s="41" t="str" cm="1">
        <f t="array" ref="AF12">AF25</f>
        <v>Факт по данным организации</v>
      </c>
      <c r="AG12" s="41" t="str" cm="1">
        <f t="array" ref="AG12">AG25</f>
        <v>Факт, принятый органом регулирования</v>
      </c>
      <c r="AH12" s="41" t="str" cm="1">
        <f t="array" ref="AH12">AH25</f>
        <v>Принято органом регулирования</v>
      </c>
      <c r="AI12" s="41" t="str" cm="1">
        <f t="array" ref="AI12">AI25</f>
        <v>Предложение организации</v>
      </c>
      <c r="AJ12" s="41" t="str" cm="1">
        <f t="array" ref="AJ12">AJ25</f>
        <v>Принято органом регулирования</v>
      </c>
    </row>
    <row r="13" spans="1:44" ht="11.25" hidden="1" customHeight="1">
      <c r="AE13" s="41" t="str">
        <f t="shared" ref="AE13:AJ13" si="0">AE11&amp;AE12</f>
        <v>2024Принято органом регулирования</v>
      </c>
      <c r="AF13" s="41" t="str">
        <f t="shared" si="0"/>
        <v>2024Факт по данным организации</v>
      </c>
      <c r="AG13" s="41" t="str">
        <f t="shared" si="0"/>
        <v>2024Факт, принятый органом регулирования</v>
      </c>
      <c r="AH13" s="41" t="str">
        <f t="shared" si="0"/>
        <v>2025Принято органом регулирования</v>
      </c>
      <c r="AI13" s="41" t="str">
        <f t="shared" si="0"/>
        <v>2026Предложение организации</v>
      </c>
      <c r="AJ13" s="41" t="str">
        <f t="shared" si="0"/>
        <v>2026Принято органом регулирования</v>
      </c>
    </row>
    <row r="14" spans="1:44" ht="11.25" hidden="1" customHeight="1"/>
    <row r="15" spans="1:44" ht="11.25" hidden="1" customHeight="1"/>
    <row r="16" spans="1:44" ht="11.25" hidden="1" customHeight="1"/>
    <row r="17" spans="1:44" ht="11.25" hidden="1" customHeight="1">
      <c r="AK17" s="71"/>
    </row>
    <row r="18" spans="1:44" ht="11.25" hidden="1" customHeight="1">
      <c r="A18" s="17" t="s">
        <v>358</v>
      </c>
      <c r="AC18" s="17" t="s">
        <v>194</v>
      </c>
    </row>
    <row r="19" spans="1:44" ht="11.25" hidden="1" customHeight="1"/>
    <row r="20" spans="1:44" ht="11.25" hidden="1" customHeight="1"/>
    <row r="21" spans="1:44" ht="14.65" customHeight="1">
      <c r="E21" s="549">
        <v>15</v>
      </c>
      <c r="AA21" s="574"/>
      <c r="AC21" s="3" t="str" cm="1">
        <f t="array" ref="AC21">tpl_title</f>
        <v>Кемеровская область / 2026 / ОАО «СКЭК» (ИНН:4205153492, КПП:420501001) / ДПР: 2026-2026</v>
      </c>
    </row>
    <row r="22" spans="1:44" s="1242" customFormat="1" ht="19.7" customHeight="1">
      <c r="B22" s="344"/>
      <c r="E22" s="550">
        <v>20.25</v>
      </c>
      <c r="G22" s="400"/>
      <c r="K22" s="400"/>
      <c r="L22" s="400"/>
      <c r="R22" s="3"/>
      <c r="AB22" s="231" t="s">
        <v>1010</v>
      </c>
      <c r="AC22" s="262"/>
      <c r="AD22" s="262"/>
      <c r="AE22" s="262"/>
      <c r="AF22" s="262"/>
      <c r="AG22" s="262"/>
      <c r="AH22" s="262"/>
      <c r="AI22" s="262"/>
      <c r="AJ22" s="262"/>
      <c r="AK22" s="262"/>
      <c r="AN22" s="920"/>
      <c r="AO22" s="920"/>
      <c r="AP22" s="920"/>
      <c r="AQ22" s="550"/>
      <c r="AR22" s="550"/>
    </row>
    <row r="23" spans="1:44" s="1242" customFormat="1" ht="10.9" customHeight="1">
      <c r="B23" s="344"/>
      <c r="C23" s="409"/>
      <c r="D23" s="409"/>
      <c r="E23" s="754">
        <v>11.25</v>
      </c>
      <c r="F23" s="409"/>
      <c r="G23" s="409"/>
      <c r="H23" s="409"/>
      <c r="I23" s="409"/>
      <c r="J23" s="409"/>
      <c r="K23" s="400"/>
      <c r="L23" s="400"/>
      <c r="M23" s="409"/>
      <c r="N23" s="409"/>
      <c r="O23" s="409"/>
      <c r="P23" s="409"/>
      <c r="Q23" s="409"/>
      <c r="R23" s="286"/>
      <c r="S23" s="409"/>
      <c r="T23" s="409"/>
      <c r="U23" s="409"/>
      <c r="V23" s="409"/>
      <c r="W23" s="409"/>
      <c r="X23" s="409"/>
      <c r="Y23" s="409"/>
      <c r="Z23" s="409"/>
      <c r="AA23" s="409"/>
      <c r="AB23" s="775"/>
      <c r="AC23" s="776"/>
      <c r="AD23" s="776"/>
      <c r="AE23" s="776"/>
      <c r="AF23" s="776"/>
      <c r="AG23" s="776"/>
      <c r="AH23" s="776"/>
      <c r="AI23" s="776"/>
      <c r="AJ23" s="776"/>
      <c r="AK23" s="776"/>
      <c r="AN23" s="920"/>
      <c r="AO23" s="920"/>
      <c r="AP23" s="920"/>
      <c r="AQ23" s="550"/>
      <c r="AR23" s="550"/>
    </row>
    <row r="24" spans="1:44" s="1079" customFormat="1" ht="14.65" customHeight="1">
      <c r="B24" s="346"/>
      <c r="C24" s="485"/>
      <c r="D24" s="485"/>
      <c r="E24" s="777">
        <v>15</v>
      </c>
      <c r="F24" s="485"/>
      <c r="G24" s="485"/>
      <c r="H24" s="485"/>
      <c r="I24" s="485"/>
      <c r="J24" s="485"/>
      <c r="K24" s="402"/>
      <c r="L24" s="402"/>
      <c r="M24" s="485"/>
      <c r="N24" s="485"/>
      <c r="O24" s="485"/>
      <c r="P24" s="485"/>
      <c r="Q24" s="485"/>
      <c r="R24" s="286"/>
      <c r="S24" s="485"/>
      <c r="T24" s="485"/>
      <c r="U24" s="485"/>
      <c r="V24" s="485"/>
      <c r="W24" s="485"/>
      <c r="X24" s="485"/>
      <c r="Y24" s="485"/>
      <c r="Z24" s="485"/>
      <c r="AA24" s="485"/>
      <c r="AB24" s="1758" t="s">
        <v>748</v>
      </c>
      <c r="AC24" s="1804" t="s">
        <v>194</v>
      </c>
      <c r="AD24" s="1758" t="s">
        <v>360</v>
      </c>
      <c r="AE24" s="680" t="str">
        <f>god-2&amp;" год"</f>
        <v>2024 год</v>
      </c>
      <c r="AF24" s="1024" t="str">
        <f>god-2&amp;" год"</f>
        <v>2024 год</v>
      </c>
      <c r="AG24" s="680" t="str">
        <f>god-2&amp;" год"</f>
        <v>2024 год</v>
      </c>
      <c r="AH24" s="680" t="str">
        <f>god-1&amp;" год"</f>
        <v>2025 год</v>
      </c>
      <c r="AI24" s="1025" t="str">
        <f>god&amp;" год"</f>
        <v>2026 год</v>
      </c>
      <c r="AJ24" s="778" t="str">
        <f>god&amp;" год"</f>
        <v>2026 год</v>
      </c>
      <c r="AK24" s="1758" t="s">
        <v>494</v>
      </c>
      <c r="AN24" s="915"/>
      <c r="AO24" s="915"/>
      <c r="AP24" s="915"/>
      <c r="AQ24" s="547"/>
      <c r="AR24" s="547"/>
    </row>
    <row r="25" spans="1:44" s="1079" customFormat="1" ht="44.1" customHeight="1">
      <c r="B25" s="346"/>
      <c r="C25" s="485"/>
      <c r="D25" s="485"/>
      <c r="E25" s="777">
        <v>45.25</v>
      </c>
      <c r="F25" s="485"/>
      <c r="G25" s="485"/>
      <c r="H25" s="485"/>
      <c r="I25" s="485"/>
      <c r="J25" s="485"/>
      <c r="K25" s="402"/>
      <c r="L25" s="402"/>
      <c r="M25" s="485"/>
      <c r="N25" s="485"/>
      <c r="O25" s="485"/>
      <c r="P25" s="485"/>
      <c r="Q25" s="485"/>
      <c r="R25" s="286"/>
      <c r="S25" s="485"/>
      <c r="T25" s="485"/>
      <c r="U25" s="485"/>
      <c r="V25" s="485"/>
      <c r="W25" s="485"/>
      <c r="X25" s="485"/>
      <c r="Y25" s="485"/>
      <c r="Z25" s="485"/>
      <c r="AA25" s="485"/>
      <c r="AB25" s="1817"/>
      <c r="AC25" s="1817"/>
      <c r="AD25" s="1817"/>
      <c r="AE25" s="680" t="s">
        <v>352</v>
      </c>
      <c r="AF25" s="1024" t="s">
        <v>417</v>
      </c>
      <c r="AG25" s="680" t="s">
        <v>418</v>
      </c>
      <c r="AH25" s="680" t="s">
        <v>352</v>
      </c>
      <c r="AI25" s="1026" t="s">
        <v>353</v>
      </c>
      <c r="AJ25" s="779" t="s">
        <v>352</v>
      </c>
      <c r="AK25" s="1817"/>
      <c r="AN25" s="915"/>
      <c r="AO25" s="915"/>
      <c r="AP25" s="915"/>
      <c r="AQ25" s="547"/>
      <c r="AR25" s="547"/>
    </row>
    <row r="26" spans="1:44" s="1327" customFormat="1" ht="11.25" hidden="1" customHeight="1">
      <c r="A26" s="385"/>
      <c r="B26" s="575"/>
      <c r="C26" s="398"/>
      <c r="D26" s="398"/>
      <c r="E26" s="780">
        <v>0</v>
      </c>
      <c r="F26" s="398"/>
      <c r="G26" s="398"/>
      <c r="H26" s="398"/>
      <c r="I26" s="398"/>
      <c r="J26" s="398"/>
      <c r="K26" s="820"/>
      <c r="L26" s="820"/>
      <c r="M26" s="398"/>
      <c r="N26" s="398"/>
      <c r="O26" s="398"/>
      <c r="P26" s="398"/>
      <c r="Q26" s="398"/>
      <c r="R26" s="398"/>
      <c r="S26" s="398"/>
      <c r="T26" s="398"/>
      <c r="U26" s="398"/>
      <c r="V26" s="398"/>
      <c r="W26" s="398"/>
      <c r="X26" s="398"/>
      <c r="Y26" s="398"/>
      <c r="Z26" s="398"/>
      <c r="AA26" s="398"/>
      <c r="AB26" s="398"/>
      <c r="AC26" s="398"/>
      <c r="AD26" s="398"/>
      <c r="AE26" s="398"/>
      <c r="AF26" s="398"/>
      <c r="AG26"/>
      <c r="AH26"/>
      <c r="AI26"/>
      <c r="AJ26"/>
      <c r="AK26"/>
      <c r="AN26" s="921"/>
      <c r="AO26" s="921"/>
      <c r="AP26" s="921"/>
      <c r="AQ26" s="909"/>
      <c r="AR26" s="603"/>
    </row>
    <row r="27" spans="1:44" s="1325" customFormat="1" ht="14.65" hidden="1" customHeight="1">
      <c r="B27" s="346"/>
      <c r="C27" s="781"/>
      <c r="D27" s="781"/>
      <c r="E27" s="782">
        <v>15</v>
      </c>
      <c r="F27" s="409" cm="1">
        <f t="array" ref="F27">X27</f>
        <v>0</v>
      </c>
      <c r="G27" s="753" t="s">
        <v>60</v>
      </c>
      <c r="H27" s="753"/>
      <c r="I27" s="753"/>
      <c r="J27" s="781"/>
      <c r="K27" s="399"/>
      <c r="L27" s="399"/>
      <c r="M27" s="781"/>
      <c r="N27" s="781"/>
      <c r="O27" s="781"/>
      <c r="P27" s="781"/>
      <c r="Q27" s="781"/>
      <c r="R27" s="781"/>
      <c r="S27" s="781"/>
      <c r="T27" s="381" t="b">
        <f>X27&gt;0</f>
        <v>0</v>
      </c>
      <c r="U27" s="781"/>
      <c r="V27" s="781" t="s">
        <v>270</v>
      </c>
      <c r="W27" s="781"/>
      <c r="X27" s="1815">
        <v>0</v>
      </c>
      <c r="Y27" s="781"/>
      <c r="Z27" s="1816"/>
      <c r="AA27" s="781"/>
      <c r="AB27" s="160" t="str" cm="1">
        <f t="array" ref="AB27">INDEX('Общие сведения'!$AG$179:$AG$208,MATCH($X27,'Общие сведения'!$Z$179:$Z$208,0))</f>
        <v xml:space="preserve">Тариф 0 () - </v>
      </c>
      <c r="AC27" s="783"/>
      <c r="AD27" s="783"/>
      <c r="AE27" s="784">
        <f t="shared" ref="AE27:AJ27" ca="1" si="1">AE28+AE33+AE34+AE39+AE40+AE45+AE46+AE51</f>
        <v>0</v>
      </c>
      <c r="AF27" s="784">
        <f t="shared" ca="1" si="1"/>
        <v>0</v>
      </c>
      <c r="AG27" s="784">
        <f t="shared" ca="1" si="1"/>
        <v>0</v>
      </c>
      <c r="AH27" s="784">
        <f t="shared" ca="1" si="1"/>
        <v>0</v>
      </c>
      <c r="AI27" s="784">
        <f t="shared" ca="1" si="1"/>
        <v>0</v>
      </c>
      <c r="AJ27" s="784">
        <f t="shared" ca="1" si="1"/>
        <v>0</v>
      </c>
      <c r="AK27" s="784"/>
      <c r="AN27" s="932"/>
      <c r="AO27" s="932"/>
      <c r="AP27" s="932"/>
      <c r="AQ27" s="183"/>
      <c r="AR27" s="183"/>
    </row>
    <row r="28" spans="1:44" s="1325" customFormat="1" ht="21.95" hidden="1" customHeight="1">
      <c r="B28" s="346"/>
      <c r="C28" s="781"/>
      <c r="D28" s="781"/>
      <c r="E28" s="782">
        <v>22.5</v>
      </c>
      <c r="F28" s="3" cm="1">
        <f t="array" aca="1" ref="F28" ca="1">OFFSET(E28,-1,1)</f>
        <v>0</v>
      </c>
      <c r="G28" s="286" t="s">
        <v>1011</v>
      </c>
      <c r="H28" s="753" t="s">
        <v>323</v>
      </c>
      <c r="I28" s="753"/>
      <c r="J28" s="781"/>
      <c r="K28" s="399" t="str">
        <f ca="1">F28&amp;"1komm"</f>
        <v>01komm</v>
      </c>
      <c r="L28" s="823" cm="1">
        <f t="array" ref="L28">AK28</f>
        <v>0</v>
      </c>
      <c r="M28" s="781"/>
      <c r="N28" s="781"/>
      <c r="O28" s="781"/>
      <c r="P28" s="781"/>
      <c r="Q28" s="781"/>
      <c r="R28" s="781"/>
      <c r="S28" s="781"/>
      <c r="T28" s="381" t="b" cm="1">
        <f t="array" ref="T28">T27</f>
        <v>0</v>
      </c>
      <c r="U28" s="781"/>
      <c r="V28" s="781"/>
      <c r="W28" s="781"/>
      <c r="X28" s="1815"/>
      <c r="Y28" s="781"/>
      <c r="Z28" s="1816"/>
      <c r="AA28" s="781"/>
      <c r="AB28" s="607">
        <v>1</v>
      </c>
      <c r="AC28" s="761" t="s">
        <v>1012</v>
      </c>
      <c r="AD28" s="680" t="s">
        <v>766</v>
      </c>
      <c r="AE28" s="1399"/>
      <c r="AF28" s="1399"/>
      <c r="AG28" s="1399"/>
      <c r="AH28" s="1399"/>
      <c r="AI28" s="131">
        <f>SUMIFS(AI29:AI32,$AD29:$AD32,$AD28)</f>
        <v>0</v>
      </c>
      <c r="AJ28" s="131">
        <f>SUMIFS(AJ29:AJ32,$AD29:$AD32,$AD28)</f>
        <v>0</v>
      </c>
      <c r="AK28" s="1358"/>
      <c r="AN28" s="932" t="s">
        <v>1013</v>
      </c>
      <c r="AO28" s="932"/>
      <c r="AP28" s="932"/>
      <c r="AQ28" s="183"/>
      <c r="AR28" s="183"/>
    </row>
    <row r="29" spans="1:44" s="1325" customFormat="1" ht="18.2" hidden="1" customHeight="1">
      <c r="B29" s="346"/>
      <c r="C29" s="781"/>
      <c r="D29" s="781"/>
      <c r="E29" s="782">
        <v>18.75</v>
      </c>
      <c r="F29" s="3" cm="1">
        <f t="array" aca="1" ref="F29" ca="1">OFFSET(E29,-1,1)</f>
        <v>0</v>
      </c>
      <c r="G29" s="753"/>
      <c r="H29" s="753" t="s">
        <v>323</v>
      </c>
      <c r="I29" s="753" cm="1">
        <f t="array" ref="I29">AC29</f>
        <v>0</v>
      </c>
      <c r="J29" s="781"/>
      <c r="K29" s="399"/>
      <c r="L29" s="399"/>
      <c r="M29" s="781"/>
      <c r="N29" s="781"/>
      <c r="O29" s="781"/>
      <c r="P29" s="781"/>
      <c r="Q29" s="781"/>
      <c r="R29" s="781"/>
      <c r="S29" s="781"/>
      <c r="T29" s="381" t="b">
        <f ca="1">AND(F29&gt;0,Y29&gt;0)</f>
        <v>0</v>
      </c>
      <c r="U29" s="781"/>
      <c r="V29" s="781"/>
      <c r="W29" s="781" t="s">
        <v>173</v>
      </c>
      <c r="X29" s="1815"/>
      <c r="Y29" s="1815">
        <v>0</v>
      </c>
      <c r="Z29" s="1816"/>
      <c r="AA29" s="1813" t="s">
        <v>174</v>
      </c>
      <c r="AB29" s="216" t="str">
        <f>"1."&amp;Y29</f>
        <v>1.0</v>
      </c>
      <c r="AC29" s="1400"/>
      <c r="AD29" s="680" t="s">
        <v>766</v>
      </c>
      <c r="AE29" s="1401"/>
      <c r="AF29" s="1401"/>
      <c r="AG29" s="1401"/>
      <c r="AH29" s="1401"/>
      <c r="AI29" s="686">
        <f>AI30*AI31*12/1000</f>
        <v>0</v>
      </c>
      <c r="AJ29" s="686">
        <f>AJ30*AJ31*12/1000</f>
        <v>0</v>
      </c>
      <c r="AK29" s="1358"/>
      <c r="AN29" s="932" t="s">
        <v>1014</v>
      </c>
      <c r="AO29" s="932" t="s">
        <v>1015</v>
      </c>
      <c r="AP29" s="932" cm="1">
        <f t="array" ref="AP29">AC29</f>
        <v>0</v>
      </c>
      <c r="AQ29" s="183"/>
      <c r="AR29" s="183" t="b">
        <v>1</v>
      </c>
    </row>
    <row r="30" spans="1:44" s="1325" customFormat="1" ht="14.65" hidden="1" customHeight="1">
      <c r="B30" s="346"/>
      <c r="C30" s="781"/>
      <c r="D30" s="781"/>
      <c r="E30" s="782">
        <v>15</v>
      </c>
      <c r="F30" s="3" cm="1">
        <f t="array" aca="1" ref="F30" ca="1">OFFSET(E30,-1,1)</f>
        <v>0</v>
      </c>
      <c r="G30" s="785" t="s">
        <v>1016</v>
      </c>
      <c r="H30" s="753" t="str">
        <f>H29&amp;"_1"</f>
        <v>l1_1</v>
      </c>
      <c r="I30" s="753" cm="1">
        <f t="array" ref="I30">I29</f>
        <v>0</v>
      </c>
      <c r="J30" s="781"/>
      <c r="K30" s="399"/>
      <c r="L30" s="399"/>
      <c r="M30" s="781"/>
      <c r="N30" s="781"/>
      <c r="O30" s="781"/>
      <c r="P30" s="781"/>
      <c r="Q30" s="781"/>
      <c r="R30" s="781"/>
      <c r="S30" s="781"/>
      <c r="T30" s="381" t="b" cm="1">
        <f t="array" aca="1" ref="T30" ca="1">T29</f>
        <v>0</v>
      </c>
      <c r="U30" s="781"/>
      <c r="V30" s="781"/>
      <c r="W30" s="781"/>
      <c r="X30" s="1815"/>
      <c r="Y30" s="1815"/>
      <c r="Z30" s="1816"/>
      <c r="AA30" s="1813"/>
      <c r="AB30" s="607" t="str">
        <f>AB29&amp;".1"</f>
        <v>1.0.1</v>
      </c>
      <c r="AC30" s="679" t="s">
        <v>1017</v>
      </c>
      <c r="AD30" s="680" t="s">
        <v>1018</v>
      </c>
      <c r="AE30" s="1401"/>
      <c r="AF30" s="1401"/>
      <c r="AG30" s="1401"/>
      <c r="AH30" s="1401"/>
      <c r="AI30" s="214"/>
      <c r="AJ30" s="214"/>
      <c r="AK30" s="1358"/>
      <c r="AN30" s="932" t="s">
        <v>1019</v>
      </c>
      <c r="AO30" s="932" t="s">
        <v>1015</v>
      </c>
      <c r="AP30" s="932" cm="1">
        <f t="array" ref="AP30">AP29</f>
        <v>0</v>
      </c>
      <c r="AQ30" s="183"/>
      <c r="AR30" s="183"/>
    </row>
    <row r="31" spans="1:44" s="1325" customFormat="1" ht="14.65" hidden="1" customHeight="1">
      <c r="B31" s="346"/>
      <c r="C31" s="781"/>
      <c r="D31" s="781"/>
      <c r="E31" s="782">
        <v>15</v>
      </c>
      <c r="F31" s="3" cm="1">
        <f t="array" aca="1" ref="F31" ca="1">OFFSET(E31,-1,1)</f>
        <v>0</v>
      </c>
      <c r="G31" s="753"/>
      <c r="H31" s="753" t="str">
        <f>H29&amp;"_2"</f>
        <v>l1_2</v>
      </c>
      <c r="I31" s="753" cm="1">
        <f t="array" ref="I31">I30</f>
        <v>0</v>
      </c>
      <c r="J31" s="781"/>
      <c r="K31" s="399"/>
      <c r="L31" s="399"/>
      <c r="M31" s="781"/>
      <c r="N31" s="781"/>
      <c r="O31" s="781"/>
      <c r="P31" s="781"/>
      <c r="Q31" s="781"/>
      <c r="R31" s="781"/>
      <c r="S31" s="781"/>
      <c r="T31" s="381" t="b" cm="1">
        <f t="array" aca="1" ref="T31" ca="1">T30</f>
        <v>0</v>
      </c>
      <c r="U31" s="781"/>
      <c r="V31" s="781"/>
      <c r="W31" s="781"/>
      <c r="X31" s="1815"/>
      <c r="Y31" s="1815"/>
      <c r="Z31" s="1816"/>
      <c r="AA31" s="1813"/>
      <c r="AB31" s="607" t="str">
        <f>AB29&amp;".2"</f>
        <v>1.0.2</v>
      </c>
      <c r="AC31" s="679" t="s">
        <v>1020</v>
      </c>
      <c r="AD31" s="680" t="s">
        <v>1021</v>
      </c>
      <c r="AE31" s="1401"/>
      <c r="AF31" s="1401"/>
      <c r="AG31" s="1401"/>
      <c r="AH31" s="1401"/>
      <c r="AI31" s="214"/>
      <c r="AJ31" s="214"/>
      <c r="AK31" s="1358"/>
      <c r="AN31" s="932" t="s">
        <v>1022</v>
      </c>
      <c r="AO31" s="932" t="s">
        <v>1015</v>
      </c>
      <c r="AP31" s="932" cm="1">
        <f t="array" ref="AP31">AP30</f>
        <v>0</v>
      </c>
      <c r="AQ31" s="183"/>
      <c r="AR31" s="183"/>
    </row>
    <row r="32" spans="1:44" s="1325" customFormat="1" ht="14.65" hidden="1" customHeight="1">
      <c r="B32" s="346"/>
      <c r="C32" s="781"/>
      <c r="D32" s="781"/>
      <c r="E32" s="782">
        <v>15</v>
      </c>
      <c r="F32" s="3" cm="1">
        <f t="array" aca="1" ref="F32" ca="1">OFFSET(E32,-1,1)</f>
        <v>0</v>
      </c>
      <c r="G32" s="286"/>
      <c r="H32" s="753"/>
      <c r="I32" s="71" t="str">
        <f>"!=='не определено' &amp;&amp; row.l1 !== null"</f>
        <v>!=='не определено' &amp;&amp; row.l1 !== null</v>
      </c>
      <c r="J32" s="781"/>
      <c r="K32" s="399"/>
      <c r="L32" s="399"/>
      <c r="M32" s="781"/>
      <c r="N32" s="781"/>
      <c r="O32" s="781"/>
      <c r="P32" s="781"/>
      <c r="Q32" s="781"/>
      <c r="R32" s="781"/>
      <c r="S32" s="781"/>
      <c r="T32" s="381" t="b">
        <f ca="1">F32&gt;0</f>
        <v>0</v>
      </c>
      <c r="U32" s="781"/>
      <c r="V32" s="781"/>
      <c r="W32" s="671" t="s">
        <v>389</v>
      </c>
      <c r="X32" s="1815"/>
      <c r="Y32" s="786"/>
      <c r="Z32" s="1816"/>
      <c r="AA32" s="781"/>
      <c r="AB32" s="787"/>
      <c r="AC32" s="176" t="s">
        <v>177</v>
      </c>
      <c r="AD32" s="690"/>
      <c r="AE32" s="690"/>
      <c r="AF32" s="690"/>
      <c r="AG32" s="690"/>
      <c r="AH32" s="690"/>
      <c r="AI32" s="690"/>
      <c r="AJ32" s="690"/>
      <c r="AK32" s="691"/>
      <c r="AN32" s="932"/>
      <c r="AO32" s="932"/>
      <c r="AP32" s="932"/>
      <c r="AQ32" s="183" t="s">
        <v>1015</v>
      </c>
      <c r="AR32" s="183"/>
    </row>
    <row r="33" spans="2:44" s="1325" customFormat="1" ht="21.95" hidden="1" customHeight="1">
      <c r="B33" s="346"/>
      <c r="C33" s="781"/>
      <c r="D33" s="781"/>
      <c r="E33" s="782">
        <v>22.5</v>
      </c>
      <c r="F33" s="3" cm="1">
        <f t="array" aca="1" ref="F33" ca="1">OFFSET(E33,-1,1)</f>
        <v>0</v>
      </c>
      <c r="G33" s="286" t="s">
        <v>1023</v>
      </c>
      <c r="H33" s="753" t="s">
        <v>324</v>
      </c>
      <c r="I33" s="753"/>
      <c r="J33" s="781"/>
      <c r="K33" s="399" t="str">
        <f ca="1">F33&amp;"2komm"</f>
        <v>02komm</v>
      </c>
      <c r="L33" s="823" cm="1">
        <f t="array" ref="L33">AK33</f>
        <v>0</v>
      </c>
      <c r="M33" s="781"/>
      <c r="N33" s="781"/>
      <c r="O33" s="781"/>
      <c r="P33" s="781"/>
      <c r="Q33" s="781"/>
      <c r="R33" s="781"/>
      <c r="S33" s="781"/>
      <c r="T33" s="381" t="b" cm="1">
        <f t="array" aca="1" ref="T33" ca="1">T32</f>
        <v>0</v>
      </c>
      <c r="U33" s="781"/>
      <c r="V33" s="781"/>
      <c r="W33" s="781"/>
      <c r="X33" s="1815"/>
      <c r="Y33" s="786"/>
      <c r="Z33" s="1816"/>
      <c r="AA33" s="781"/>
      <c r="AB33" s="607" t="s">
        <v>224</v>
      </c>
      <c r="AC33" s="761" t="s">
        <v>1024</v>
      </c>
      <c r="AD33" s="680" t="s">
        <v>766</v>
      </c>
      <c r="AE33" s="1399">
        <f ca="1">AE28*SUMIFS(INDEX(Сценарии!$AE$25:$BF$82,,MATCH(AE$13,Сценарии!$AE$8:$BF$8,0)),Сценарии!$F$25:$F$82,$F33,Сценарии!$G$25:$G$82,"СВФОТ")/100</f>
        <v>0</v>
      </c>
      <c r="AF33" s="1399">
        <f ca="1">AF28*SUMIFS(INDEX(Сценарии!$AE$25:$BF$82,,MATCH(AF$13,Сценарии!$AE$8:$BF$8,0)),Сценарии!$F$25:$F$82,$F33,Сценарии!$G$25:$G$82,"СВФОТ")/100</f>
        <v>0</v>
      </c>
      <c r="AG33" s="1399">
        <f ca="1">AG28*SUMIFS(INDEX(Сценарии!$AE$25:$BF$82,,MATCH(AG$13,Сценарии!$AE$8:$BF$8,0)),Сценарии!$F$25:$F$82,$F33,Сценарии!$G$25:$G$82,"СВФОТ")/100</f>
        <v>0</v>
      </c>
      <c r="AH33" s="1399">
        <f ca="1">AH28*SUMIFS(INDEX(Сценарии!$AE$25:$BF$82,,MATCH(AH$13,Сценарии!$AE$8:$BF$8,0)),Сценарии!$F$25:$F$82,$F33,Сценарии!$G$25:$G$82,"СВФОТ")/100</f>
        <v>0</v>
      </c>
      <c r="AI33" s="214">
        <f ca="1">AI28*SUMIFS(INDEX(Сценарии!$AE$25:$BF$82,,MATCH(AI$13,Сценарии!$AE$8:$BF$8,0)),Сценарии!$F$25:$F$82,$F33,Сценарии!$G$25:$G$82,"СВФОТ")/100</f>
        <v>0</v>
      </c>
      <c r="AJ33" s="214">
        <f ca="1">AJ28*SUMIFS(INDEX(Сценарии!$AE$25:$BF$82,,MATCH(AJ$13,Сценарии!$AE$8:$BF$8,0)),Сценарии!$F$25:$F$82,$F33,Сценарии!$G$25:$G$82,"СВФОТ")/100</f>
        <v>0</v>
      </c>
      <c r="AK33" s="1358"/>
      <c r="AN33" s="932" t="s">
        <v>1025</v>
      </c>
      <c r="AO33" s="932"/>
      <c r="AP33" s="932"/>
      <c r="AQ33" s="183"/>
      <c r="AR33" s="183"/>
    </row>
    <row r="34" spans="2:44" s="1325" customFormat="1" ht="14.65" hidden="1" customHeight="1">
      <c r="B34" s="346"/>
      <c r="C34" s="781"/>
      <c r="D34" s="781"/>
      <c r="E34" s="782">
        <v>15</v>
      </c>
      <c r="F34" s="3" cm="1">
        <f t="array" aca="1" ref="F34" ca="1">OFFSET(E34,-1,1)</f>
        <v>0</v>
      </c>
      <c r="G34" s="286" t="s">
        <v>1026</v>
      </c>
      <c r="H34" s="753" t="s">
        <v>325</v>
      </c>
      <c r="I34" s="753"/>
      <c r="J34" s="781"/>
      <c r="K34" s="399" t="str">
        <f ca="1">F34&amp;"3komm"</f>
        <v>03komm</v>
      </c>
      <c r="L34" s="823" cm="1">
        <f t="array" ref="L34">AK34</f>
        <v>0</v>
      </c>
      <c r="M34" s="781"/>
      <c r="N34" s="781"/>
      <c r="O34" s="781"/>
      <c r="P34" s="781"/>
      <c r="Q34" s="781"/>
      <c r="R34" s="781"/>
      <c r="S34" s="781"/>
      <c r="T34" s="381" t="b" cm="1">
        <f t="array" aca="1" ref="T34" ca="1">T33</f>
        <v>0</v>
      </c>
      <c r="U34" s="781"/>
      <c r="V34" s="781"/>
      <c r="W34" s="781"/>
      <c r="X34" s="1815"/>
      <c r="Y34" s="786"/>
      <c r="Z34" s="1816"/>
      <c r="AA34" s="781"/>
      <c r="AB34" s="607" t="s">
        <v>321</v>
      </c>
      <c r="AC34" s="761" t="s">
        <v>1027</v>
      </c>
      <c r="AD34" s="680" t="s">
        <v>766</v>
      </c>
      <c r="AE34" s="1399"/>
      <c r="AF34" s="1399"/>
      <c r="AG34" s="1399"/>
      <c r="AH34" s="1399"/>
      <c r="AI34" s="131">
        <f>SUMIFS(AI35:AI38,$AD35:$AD38,$AD34)</f>
        <v>0</v>
      </c>
      <c r="AJ34" s="131">
        <f>SUMIFS(AJ35:AJ38,$AD35:$AD38,$AD34)</f>
        <v>0</v>
      </c>
      <c r="AK34" s="1358"/>
      <c r="AN34" s="932" t="s">
        <v>1028</v>
      </c>
      <c r="AO34" s="932"/>
      <c r="AP34" s="932"/>
      <c r="AQ34" s="183"/>
      <c r="AR34" s="183"/>
    </row>
    <row r="35" spans="2:44" s="1325" customFormat="1" ht="18.2" hidden="1" customHeight="1">
      <c r="B35" s="346"/>
      <c r="C35" s="781"/>
      <c r="D35" s="781"/>
      <c r="E35" s="782">
        <v>18.75</v>
      </c>
      <c r="F35" s="3" cm="1">
        <f t="array" aca="1" ref="F35" ca="1">OFFSET(E35,-1,1)</f>
        <v>0</v>
      </c>
      <c r="G35" s="753"/>
      <c r="H35" s="753" t="s">
        <v>325</v>
      </c>
      <c r="I35" s="753" cm="1">
        <f t="array" ref="I35">AC35</f>
        <v>0</v>
      </c>
      <c r="J35" s="781"/>
      <c r="K35" s="399"/>
      <c r="L35" s="399"/>
      <c r="M35" s="781"/>
      <c r="N35" s="781"/>
      <c r="O35" s="781"/>
      <c r="P35" s="781"/>
      <c r="Q35" s="781"/>
      <c r="R35" s="781"/>
      <c r="S35" s="781"/>
      <c r="T35" s="381" t="b">
        <f ca="1">AND(F35&gt;0,Y35&gt;0)</f>
        <v>0</v>
      </c>
      <c r="U35" s="781"/>
      <c r="V35" s="781"/>
      <c r="W35" s="781" t="s">
        <v>173</v>
      </c>
      <c r="X35" s="1815"/>
      <c r="Y35" s="1815">
        <v>0</v>
      </c>
      <c r="Z35" s="1816"/>
      <c r="AA35" s="1813" t="s">
        <v>174</v>
      </c>
      <c r="AB35" s="216" t="str">
        <f>"3."&amp;Y35</f>
        <v>3.0</v>
      </c>
      <c r="AC35" s="1400"/>
      <c r="AD35" s="680" t="s">
        <v>766</v>
      </c>
      <c r="AE35" s="1401"/>
      <c r="AF35" s="1401"/>
      <c r="AG35" s="1401"/>
      <c r="AH35" s="1401"/>
      <c r="AI35" s="686">
        <f>AI36*AI37*12/1000</f>
        <v>0</v>
      </c>
      <c r="AJ35" s="686">
        <f>AJ36*AJ37*12/1000</f>
        <v>0</v>
      </c>
      <c r="AK35" s="1358"/>
      <c r="AN35" s="932" t="s">
        <v>1014</v>
      </c>
      <c r="AO35" s="932" t="s">
        <v>1029</v>
      </c>
      <c r="AP35" s="932" cm="1">
        <f t="array" ref="AP35">AC35</f>
        <v>0</v>
      </c>
      <c r="AQ35" s="183"/>
      <c r="AR35" s="183" t="b">
        <v>1</v>
      </c>
    </row>
    <row r="36" spans="2:44" s="1325" customFormat="1" ht="14.65" hidden="1" customHeight="1">
      <c r="B36" s="346"/>
      <c r="C36" s="781"/>
      <c r="D36" s="781"/>
      <c r="E36" s="782">
        <v>15</v>
      </c>
      <c r="F36" s="3" cm="1">
        <f t="array" aca="1" ref="F36" ca="1">OFFSET(E36,-1,1)</f>
        <v>0</v>
      </c>
      <c r="G36" s="785" t="s">
        <v>1030</v>
      </c>
      <c r="H36" s="753" t="str">
        <f>H35&amp;"_1"</f>
        <v>l3_1</v>
      </c>
      <c r="I36" s="753" cm="1">
        <f t="array" ref="I36">I35</f>
        <v>0</v>
      </c>
      <c r="J36" s="781"/>
      <c r="K36" s="399"/>
      <c r="L36" s="399"/>
      <c r="M36" s="781"/>
      <c r="N36" s="781"/>
      <c r="O36" s="781"/>
      <c r="P36" s="781"/>
      <c r="Q36" s="781"/>
      <c r="R36" s="781"/>
      <c r="S36" s="781"/>
      <c r="T36" s="381" t="b" cm="1">
        <f t="array" aca="1" ref="T36" ca="1">T35</f>
        <v>0</v>
      </c>
      <c r="U36" s="781"/>
      <c r="V36" s="781"/>
      <c r="W36" s="781"/>
      <c r="X36" s="1815"/>
      <c r="Y36" s="1815"/>
      <c r="Z36" s="1816"/>
      <c r="AA36" s="1813"/>
      <c r="AB36" s="607" t="str">
        <f>AB35&amp;".1"</f>
        <v>3.0.1</v>
      </c>
      <c r="AC36" s="679" t="s">
        <v>1017</v>
      </c>
      <c r="AD36" s="680" t="s">
        <v>1018</v>
      </c>
      <c r="AE36" s="1401"/>
      <c r="AF36" s="1401"/>
      <c r="AG36" s="1401"/>
      <c r="AH36" s="1401"/>
      <c r="AI36" s="214"/>
      <c r="AJ36" s="214"/>
      <c r="AK36" s="1358"/>
      <c r="AN36" s="932" t="s">
        <v>1019</v>
      </c>
      <c r="AO36" s="932" t="s">
        <v>1029</v>
      </c>
      <c r="AP36" s="932" cm="1">
        <f t="array" ref="AP36">AP35</f>
        <v>0</v>
      </c>
      <c r="AQ36" s="183"/>
      <c r="AR36" s="183"/>
    </row>
    <row r="37" spans="2:44" s="1325" customFormat="1" ht="14.65" hidden="1" customHeight="1">
      <c r="B37" s="346"/>
      <c r="C37" s="781"/>
      <c r="D37" s="781"/>
      <c r="E37" s="782">
        <v>15</v>
      </c>
      <c r="F37" s="3" cm="1">
        <f t="array" aca="1" ref="F37" ca="1">OFFSET(E37,-1,1)</f>
        <v>0</v>
      </c>
      <c r="G37" s="753"/>
      <c r="H37" s="753" t="str">
        <f>H35&amp;"_2"</f>
        <v>l3_2</v>
      </c>
      <c r="I37" s="753" cm="1">
        <f t="array" ref="I37">I36</f>
        <v>0</v>
      </c>
      <c r="J37" s="781"/>
      <c r="K37" s="399"/>
      <c r="L37" s="399"/>
      <c r="M37" s="781"/>
      <c r="N37" s="781"/>
      <c r="O37" s="781"/>
      <c r="P37" s="781"/>
      <c r="Q37" s="781"/>
      <c r="R37" s="781"/>
      <c r="S37" s="781"/>
      <c r="T37" s="381" t="b" cm="1">
        <f t="array" aca="1" ref="T37" ca="1">T36</f>
        <v>0</v>
      </c>
      <c r="U37" s="781"/>
      <c r="V37" s="781"/>
      <c r="W37" s="781"/>
      <c r="X37" s="1815"/>
      <c r="Y37" s="1815"/>
      <c r="Z37" s="1816"/>
      <c r="AA37" s="1813"/>
      <c r="AB37" s="607" t="str">
        <f>AB35&amp;".2"</f>
        <v>3.0.2</v>
      </c>
      <c r="AC37" s="679" t="s">
        <v>1020</v>
      </c>
      <c r="AD37" s="680" t="s">
        <v>1021</v>
      </c>
      <c r="AE37" s="1401"/>
      <c r="AF37" s="1401"/>
      <c r="AG37" s="1401"/>
      <c r="AH37" s="1401"/>
      <c r="AI37" s="214"/>
      <c r="AJ37" s="214"/>
      <c r="AK37" s="1358"/>
      <c r="AN37" s="932" t="s">
        <v>1022</v>
      </c>
      <c r="AO37" s="932" t="s">
        <v>1029</v>
      </c>
      <c r="AP37" s="932" cm="1">
        <f t="array" ref="AP37">AP36</f>
        <v>0</v>
      </c>
      <c r="AQ37" s="183"/>
      <c r="AR37" s="183"/>
    </row>
    <row r="38" spans="2:44" s="1325" customFormat="1" ht="14.65" hidden="1" customHeight="1">
      <c r="B38" s="346"/>
      <c r="C38" s="781"/>
      <c r="D38" s="781"/>
      <c r="E38" s="782">
        <v>15</v>
      </c>
      <c r="F38" s="3" cm="1">
        <f t="array" aca="1" ref="F38" ca="1">OFFSET(E38,-1,1)</f>
        <v>0</v>
      </c>
      <c r="G38" s="286"/>
      <c r="H38" s="753"/>
      <c r="I38" s="71" t="str">
        <f>"!=='не определено' &amp;&amp; row.l3 !== null"</f>
        <v>!=='не определено' &amp;&amp; row.l3 !== null</v>
      </c>
      <c r="J38" s="781"/>
      <c r="K38" s="399"/>
      <c r="L38" s="399"/>
      <c r="M38" s="781"/>
      <c r="N38" s="781"/>
      <c r="O38" s="781"/>
      <c r="P38" s="781"/>
      <c r="Q38" s="781"/>
      <c r="R38" s="781"/>
      <c r="S38" s="781"/>
      <c r="T38" s="381" t="b">
        <f ca="1">F38&gt;0</f>
        <v>0</v>
      </c>
      <c r="U38" s="781"/>
      <c r="V38" s="781"/>
      <c r="W38" s="671" t="s">
        <v>814</v>
      </c>
      <c r="X38" s="1815"/>
      <c r="Y38" s="786"/>
      <c r="Z38" s="1816"/>
      <c r="AA38" s="781"/>
      <c r="AB38" s="787"/>
      <c r="AC38" s="176" t="s">
        <v>177</v>
      </c>
      <c r="AD38" s="690"/>
      <c r="AE38" s="690"/>
      <c r="AF38" s="690"/>
      <c r="AG38" s="690"/>
      <c r="AH38" s="690"/>
      <c r="AI38" s="690"/>
      <c r="AJ38" s="690"/>
      <c r="AK38" s="691"/>
      <c r="AN38" s="932"/>
      <c r="AO38" s="932"/>
      <c r="AP38" s="932"/>
      <c r="AQ38" s="183" t="s">
        <v>1029</v>
      </c>
      <c r="AR38" s="183"/>
    </row>
    <row r="39" spans="2:44" s="1325" customFormat="1" ht="21.95" hidden="1" customHeight="1">
      <c r="B39" s="346"/>
      <c r="C39" s="781"/>
      <c r="D39" s="781"/>
      <c r="E39" s="782">
        <v>22.5</v>
      </c>
      <c r="F39" s="3" cm="1">
        <f t="array" aca="1" ref="F39" ca="1">OFFSET(E39,-1,1)</f>
        <v>0</v>
      </c>
      <c r="G39" s="286" t="s">
        <v>1031</v>
      </c>
      <c r="H39" s="753" t="s">
        <v>327</v>
      </c>
      <c r="I39" s="753"/>
      <c r="J39" s="781"/>
      <c r="K39" s="399" t="str">
        <f ca="1">F39&amp;"4komm"</f>
        <v>04komm</v>
      </c>
      <c r="L39" s="823" cm="1">
        <f t="array" ref="L39">AK39</f>
        <v>0</v>
      </c>
      <c r="M39" s="781"/>
      <c r="N39" s="781"/>
      <c r="O39" s="781"/>
      <c r="P39" s="781"/>
      <c r="Q39" s="781"/>
      <c r="R39" s="781"/>
      <c r="S39" s="781"/>
      <c r="T39" s="381" t="b" cm="1">
        <f t="array" aca="1" ref="T39" ca="1">T38</f>
        <v>0</v>
      </c>
      <c r="U39" s="781"/>
      <c r="V39" s="781"/>
      <c r="W39" s="781"/>
      <c r="X39" s="1815"/>
      <c r="Y39" s="786"/>
      <c r="Z39" s="1816"/>
      <c r="AA39" s="781"/>
      <c r="AB39" s="607" t="s">
        <v>523</v>
      </c>
      <c r="AC39" s="761" t="s">
        <v>1032</v>
      </c>
      <c r="AD39" s="680" t="s">
        <v>766</v>
      </c>
      <c r="AE39" s="1399">
        <f ca="1">AE34*SUMIFS(INDEX(Сценарии!$AE$25:$BF$82,,MATCH(AE$13,Сценарии!$AE$8:$BF$8,0)),Сценарии!$F$25:$F$82,$F39,Сценарии!$G$25:$G$82,"СВФОТ")/100</f>
        <v>0</v>
      </c>
      <c r="AF39" s="1399">
        <f ca="1">AF34*SUMIFS(INDEX(Сценарии!$AE$25:$BF$82,,MATCH(AF$13,Сценарии!$AE$8:$BF$8,0)),Сценарии!$F$25:$F$82,$F39,Сценарии!$G$25:$G$82,"СВФОТ")/100</f>
        <v>0</v>
      </c>
      <c r="AG39" s="1399">
        <f ca="1">AG34*SUMIFS(INDEX(Сценарии!$AE$25:$BF$82,,MATCH(AG$13,Сценарии!$AE$8:$BF$8,0)),Сценарии!$F$25:$F$82,$F39,Сценарии!$G$25:$G$82,"СВФОТ")/100</f>
        <v>0</v>
      </c>
      <c r="AH39" s="1399">
        <f ca="1">AH34*SUMIFS(INDEX(Сценарии!$AE$25:$BF$82,,MATCH(AH$13,Сценарии!$AE$8:$BF$8,0)),Сценарии!$F$25:$F$82,$F39,Сценарии!$G$25:$G$82,"СВФОТ")/100</f>
        <v>0</v>
      </c>
      <c r="AI39" s="214">
        <f ca="1">AI34*SUMIFS(INDEX(Сценарии!$AE$25:$BF$82,,MATCH(AI$13,Сценарии!$AE$8:$BF$8,0)),Сценарии!$F$25:$F$82,$F39,Сценарии!$G$25:$G$82,"СВФОТ")/100</f>
        <v>0</v>
      </c>
      <c r="AJ39" s="214">
        <f ca="1">AJ34*SUMIFS(INDEX(Сценарии!$AE$25:$BF$82,,MATCH(AJ$13,Сценарии!$AE$8:$BF$8,0)),Сценарии!$F$25:$F$82,$F39,Сценарии!$G$25:$G$82,"СВФОТ")/100</f>
        <v>0</v>
      </c>
      <c r="AK39" s="1358"/>
      <c r="AN39" s="932" t="s">
        <v>1033</v>
      </c>
      <c r="AO39" s="932"/>
      <c r="AP39" s="932"/>
      <c r="AQ39" s="183"/>
      <c r="AR39" s="183"/>
    </row>
    <row r="40" spans="2:44" s="1325" customFormat="1" ht="21.95" hidden="1" customHeight="1">
      <c r="B40" s="346"/>
      <c r="C40" s="781"/>
      <c r="D40" s="781"/>
      <c r="E40" s="782">
        <v>22.5</v>
      </c>
      <c r="F40" s="3" cm="1">
        <f t="array" aca="1" ref="F40" ca="1">OFFSET(E40,-1,1)</f>
        <v>0</v>
      </c>
      <c r="G40" s="286" t="s">
        <v>1034</v>
      </c>
      <c r="H40" s="753" t="s">
        <v>326</v>
      </c>
      <c r="I40" s="753"/>
      <c r="J40" s="781"/>
      <c r="K40" s="399" t="str">
        <f ca="1">F40&amp;"5komm"</f>
        <v>05komm</v>
      </c>
      <c r="L40" s="823" cm="1">
        <f t="array" ref="L40">AK40</f>
        <v>0</v>
      </c>
      <c r="M40" s="781"/>
      <c r="N40" s="781"/>
      <c r="O40" s="781"/>
      <c r="P40" s="781"/>
      <c r="Q40" s="781"/>
      <c r="R40" s="781"/>
      <c r="S40" s="781"/>
      <c r="T40" s="381" t="b" cm="1">
        <f t="array" aca="1" ref="T40" ca="1">T39</f>
        <v>0</v>
      </c>
      <c r="U40" s="781"/>
      <c r="V40" s="781"/>
      <c r="W40" s="781"/>
      <c r="X40" s="1815"/>
      <c r="Y40" s="786"/>
      <c r="Z40" s="1816"/>
      <c r="AA40" s="781"/>
      <c r="AB40" s="607" t="s">
        <v>478</v>
      </c>
      <c r="AC40" s="761" t="s">
        <v>1035</v>
      </c>
      <c r="AD40" s="680" t="s">
        <v>766</v>
      </c>
      <c r="AE40" s="1399"/>
      <c r="AF40" s="1399"/>
      <c r="AG40" s="1399"/>
      <c r="AH40" s="1399"/>
      <c r="AI40" s="131">
        <f>SUMIFS(AI41:AI44,$AD41:$AD44,$AD40)</f>
        <v>0</v>
      </c>
      <c r="AJ40" s="131">
        <f>SUMIFS(AJ41:AJ44,$AD41:$AD44,$AD40)</f>
        <v>0</v>
      </c>
      <c r="AK40" s="1358"/>
      <c r="AN40" s="932" t="s">
        <v>1036</v>
      </c>
      <c r="AO40" s="932"/>
      <c r="AP40" s="932"/>
      <c r="AQ40" s="183"/>
      <c r="AR40" s="183"/>
    </row>
    <row r="41" spans="2:44" s="1325" customFormat="1" ht="18.2" hidden="1" customHeight="1">
      <c r="B41" s="346"/>
      <c r="C41" s="781"/>
      <c r="D41" s="781"/>
      <c r="E41" s="782">
        <v>18.75</v>
      </c>
      <c r="F41" s="3" cm="1">
        <f t="array" aca="1" ref="F41" ca="1">OFFSET(E41,-1,1)</f>
        <v>0</v>
      </c>
      <c r="G41" s="753"/>
      <c r="H41" s="753" t="s">
        <v>326</v>
      </c>
      <c r="I41" s="753" cm="1">
        <f t="array" ref="I41">AC41</f>
        <v>0</v>
      </c>
      <c r="J41" s="781"/>
      <c r="K41" s="399"/>
      <c r="L41" s="399"/>
      <c r="M41" s="781"/>
      <c r="N41" s="781"/>
      <c r="O41" s="781"/>
      <c r="P41" s="781"/>
      <c r="Q41" s="781"/>
      <c r="R41" s="781"/>
      <c r="S41" s="781"/>
      <c r="T41" s="381" t="b">
        <f ca="1">AND(F41&gt;0,Y41&gt;0)</f>
        <v>0</v>
      </c>
      <c r="U41" s="781"/>
      <c r="V41" s="781"/>
      <c r="W41" s="781" t="s">
        <v>173</v>
      </c>
      <c r="X41" s="1815"/>
      <c r="Y41" s="1815">
        <v>0</v>
      </c>
      <c r="Z41" s="1816"/>
      <c r="AA41" s="1813" t="s">
        <v>174</v>
      </c>
      <c r="AB41" s="216" t="str">
        <f>"5."&amp;Y41</f>
        <v>5.0</v>
      </c>
      <c r="AC41" s="1400"/>
      <c r="AD41" s="680" t="s">
        <v>766</v>
      </c>
      <c r="AE41" s="1401"/>
      <c r="AF41" s="1401"/>
      <c r="AG41" s="1401"/>
      <c r="AH41" s="1401"/>
      <c r="AI41" s="686">
        <f>AI42*AI43*12/1000</f>
        <v>0</v>
      </c>
      <c r="AJ41" s="686">
        <f>AJ42*AJ43*12/1000</f>
        <v>0</v>
      </c>
      <c r="AK41" s="1358"/>
      <c r="AN41" s="932" t="s">
        <v>1014</v>
      </c>
      <c r="AO41" s="932" t="s">
        <v>1037</v>
      </c>
      <c r="AP41" s="932" cm="1">
        <f t="array" ref="AP41">AC41</f>
        <v>0</v>
      </c>
      <c r="AQ41" s="183"/>
      <c r="AR41" s="183" t="b">
        <v>1</v>
      </c>
    </row>
    <row r="42" spans="2:44" s="1325" customFormat="1" ht="14.65" hidden="1" customHeight="1">
      <c r="B42" s="346"/>
      <c r="C42" s="781"/>
      <c r="D42" s="781"/>
      <c r="E42" s="782">
        <v>15</v>
      </c>
      <c r="F42" s="3" cm="1">
        <f t="array" aca="1" ref="F42" ca="1">OFFSET(E42,-1,1)</f>
        <v>0</v>
      </c>
      <c r="G42" s="753"/>
      <c r="H42" s="753" t="str">
        <f>H41&amp;"_1"</f>
        <v>l5_1</v>
      </c>
      <c r="I42" s="753" cm="1">
        <f t="array" ref="I42">I41</f>
        <v>0</v>
      </c>
      <c r="J42" s="781"/>
      <c r="K42" s="399"/>
      <c r="L42" s="399"/>
      <c r="M42" s="781"/>
      <c r="N42" s="781"/>
      <c r="O42" s="781"/>
      <c r="P42" s="781"/>
      <c r="Q42" s="781"/>
      <c r="R42" s="781"/>
      <c r="S42" s="781"/>
      <c r="T42" s="381" t="b" cm="1">
        <f t="array" aca="1" ref="T42" ca="1">T41</f>
        <v>0</v>
      </c>
      <c r="U42" s="781"/>
      <c r="V42" s="781"/>
      <c r="W42" s="781"/>
      <c r="X42" s="1815"/>
      <c r="Y42" s="1815"/>
      <c r="Z42" s="1816"/>
      <c r="AA42" s="1813"/>
      <c r="AB42" s="607" t="str">
        <f>AB41&amp;".1"</f>
        <v>5.0.1</v>
      </c>
      <c r="AC42" s="679" t="s">
        <v>1017</v>
      </c>
      <c r="AD42" s="680" t="s">
        <v>1018</v>
      </c>
      <c r="AE42" s="1401"/>
      <c r="AF42" s="1401"/>
      <c r="AG42" s="1401"/>
      <c r="AH42" s="1401"/>
      <c r="AI42" s="214"/>
      <c r="AJ42" s="214"/>
      <c r="AK42" s="1358"/>
      <c r="AN42" s="932" t="s">
        <v>1019</v>
      </c>
      <c r="AO42" s="932" t="s">
        <v>1037</v>
      </c>
      <c r="AP42" s="932" cm="1">
        <f t="array" ref="AP42">AP41</f>
        <v>0</v>
      </c>
      <c r="AQ42" s="183"/>
      <c r="AR42" s="183"/>
    </row>
    <row r="43" spans="2:44" s="1325" customFormat="1" ht="14.65" hidden="1" customHeight="1">
      <c r="B43" s="346"/>
      <c r="C43" s="781"/>
      <c r="D43" s="781"/>
      <c r="E43" s="782">
        <v>15</v>
      </c>
      <c r="F43" s="3" cm="1">
        <f t="array" aca="1" ref="F43" ca="1">OFFSET(E43,-1,1)</f>
        <v>0</v>
      </c>
      <c r="G43" s="753"/>
      <c r="H43" s="753" t="str">
        <f>H41&amp;"_2"</f>
        <v>l5_2</v>
      </c>
      <c r="I43" s="753" cm="1">
        <f t="array" ref="I43">I42</f>
        <v>0</v>
      </c>
      <c r="J43" s="781"/>
      <c r="K43" s="399"/>
      <c r="L43" s="399"/>
      <c r="M43" s="781"/>
      <c r="N43" s="781"/>
      <c r="O43" s="781"/>
      <c r="P43" s="781"/>
      <c r="Q43" s="781"/>
      <c r="R43" s="781"/>
      <c r="S43" s="781"/>
      <c r="T43" s="381" t="b" cm="1">
        <f t="array" aca="1" ref="T43" ca="1">T42</f>
        <v>0</v>
      </c>
      <c r="U43" s="781"/>
      <c r="V43" s="781"/>
      <c r="W43" s="781"/>
      <c r="X43" s="1815"/>
      <c r="Y43" s="1815"/>
      <c r="Z43" s="1816"/>
      <c r="AA43" s="1813"/>
      <c r="AB43" s="607" t="str">
        <f>AB41&amp;".2"</f>
        <v>5.0.2</v>
      </c>
      <c r="AC43" s="679" t="s">
        <v>1020</v>
      </c>
      <c r="AD43" s="680" t="s">
        <v>1021</v>
      </c>
      <c r="AE43" s="1401"/>
      <c r="AF43" s="1401"/>
      <c r="AG43" s="1401"/>
      <c r="AH43" s="1401"/>
      <c r="AI43" s="214"/>
      <c r="AJ43" s="214"/>
      <c r="AK43" s="1358"/>
      <c r="AN43" s="932" t="s">
        <v>1022</v>
      </c>
      <c r="AO43" s="932" t="s">
        <v>1037</v>
      </c>
      <c r="AP43" s="932" cm="1">
        <f t="array" ref="AP43">AP42</f>
        <v>0</v>
      </c>
      <c r="AQ43" s="183"/>
      <c r="AR43" s="183"/>
    </row>
    <row r="44" spans="2:44" s="1325" customFormat="1" ht="14.65" hidden="1" customHeight="1">
      <c r="B44" s="346"/>
      <c r="C44" s="781"/>
      <c r="D44" s="781"/>
      <c r="E44" s="782">
        <v>15</v>
      </c>
      <c r="F44" s="3" cm="1">
        <f t="array" aca="1" ref="F44" ca="1">OFFSET(E44,-1,1)</f>
        <v>0</v>
      </c>
      <c r="G44" s="286"/>
      <c r="H44" s="753"/>
      <c r="I44" s="71" t="str">
        <f>"!=='не определено' &amp;&amp; row.l5 !== null"</f>
        <v>!=='не определено' &amp;&amp; row.l5 !== null</v>
      </c>
      <c r="J44" s="781"/>
      <c r="K44" s="399"/>
      <c r="L44" s="399"/>
      <c r="M44" s="781"/>
      <c r="N44" s="781"/>
      <c r="O44" s="781"/>
      <c r="P44" s="781"/>
      <c r="Q44" s="781"/>
      <c r="R44" s="781"/>
      <c r="S44" s="781"/>
      <c r="T44" s="381" t="b">
        <f ca="1">F44&gt;0</f>
        <v>0</v>
      </c>
      <c r="U44" s="781"/>
      <c r="V44" s="781"/>
      <c r="W44" s="671" t="s">
        <v>1038</v>
      </c>
      <c r="X44" s="1815"/>
      <c r="Y44" s="786"/>
      <c r="Z44" s="1816"/>
      <c r="AA44" s="781"/>
      <c r="AB44" s="787"/>
      <c r="AC44" s="176" t="s">
        <v>177</v>
      </c>
      <c r="AD44" s="690"/>
      <c r="AE44" s="690"/>
      <c r="AF44" s="690"/>
      <c r="AG44" s="690"/>
      <c r="AH44" s="690"/>
      <c r="AI44" s="690"/>
      <c r="AJ44" s="690"/>
      <c r="AK44" s="691"/>
      <c r="AN44" s="932"/>
      <c r="AO44" s="932"/>
      <c r="AP44" s="932"/>
      <c r="AQ44" s="183" t="s">
        <v>1037</v>
      </c>
      <c r="AR44" s="183"/>
    </row>
    <row r="45" spans="2:44" s="1325" customFormat="1" ht="21.95" hidden="1" customHeight="1">
      <c r="B45" s="346"/>
      <c r="C45" s="781"/>
      <c r="D45" s="781"/>
      <c r="E45" s="782">
        <v>22.5</v>
      </c>
      <c r="F45" s="3" cm="1">
        <f t="array" aca="1" ref="F45" ca="1">OFFSET(E45,-1,1)</f>
        <v>0</v>
      </c>
      <c r="G45" s="286" t="s">
        <v>1039</v>
      </c>
      <c r="H45" s="753" t="s">
        <v>477</v>
      </c>
      <c r="I45" s="753"/>
      <c r="J45" s="781"/>
      <c r="K45" s="399" t="str">
        <f ca="1">F45&amp;"6komm"</f>
        <v>06komm</v>
      </c>
      <c r="L45" s="399" cm="1">
        <f t="array" ref="L45">AK45</f>
        <v>0</v>
      </c>
      <c r="M45" s="781"/>
      <c r="N45" s="781"/>
      <c r="O45" s="781"/>
      <c r="P45" s="781"/>
      <c r="Q45" s="781"/>
      <c r="R45" s="781"/>
      <c r="S45" s="781"/>
      <c r="T45" s="381" t="b" cm="1">
        <f t="array" aca="1" ref="T45" ca="1">T44</f>
        <v>0</v>
      </c>
      <c r="U45" s="781"/>
      <c r="V45" s="781"/>
      <c r="W45" s="781"/>
      <c r="X45" s="1815"/>
      <c r="Y45" s="786"/>
      <c r="Z45" s="1816"/>
      <c r="AA45" s="781"/>
      <c r="AB45" s="607" t="s">
        <v>482</v>
      </c>
      <c r="AC45" s="761" t="s">
        <v>1040</v>
      </c>
      <c r="AD45" s="680" t="s">
        <v>766</v>
      </c>
      <c r="AE45" s="1399">
        <f ca="1">AE40*SUMIFS(INDEX(Сценарии!$AE$25:$BF$82,,MATCH(AE$13,Сценарии!$AE$8:$BF$8,0)),Сценарии!$F$25:$F$82,$F45,Сценарии!$G$25:$G$82,"СВФОТ")/100</f>
        <v>0</v>
      </c>
      <c r="AF45" s="1399">
        <f ca="1">AF40*SUMIFS(INDEX(Сценарии!$AE$25:$BF$82,,MATCH(AF$13,Сценарии!$AE$8:$BF$8,0)),Сценарии!$F$25:$F$82,$F45,Сценарии!$G$25:$G$82,"СВФОТ")/100</f>
        <v>0</v>
      </c>
      <c r="AG45" s="1399">
        <f ca="1">AG40*SUMIFS(INDEX(Сценарии!$AE$25:$BF$82,,MATCH(AG$13,Сценарии!$AE$8:$BF$8,0)),Сценарии!$F$25:$F$82,$F45,Сценарии!$G$25:$G$82,"СВФОТ")/100</f>
        <v>0</v>
      </c>
      <c r="AH45" s="1399">
        <f ca="1">AH40*SUMIFS(INDEX(Сценарии!$AE$25:$BF$82,,MATCH(AH$13,Сценарии!$AE$8:$BF$8,0)),Сценарии!$F$25:$F$82,$F45,Сценарии!$G$25:$G$82,"СВФОТ")/100</f>
        <v>0</v>
      </c>
      <c r="AI45" s="214">
        <f ca="1">AI40*SUMIFS(INDEX(Сценарии!$AE$25:$BF$82,,MATCH(AI$13,Сценарии!$AE$8:$BF$8,0)),Сценарии!$F$25:$F$82,$F45,Сценарии!$G$25:$G$82,"СВФОТ")/100</f>
        <v>0</v>
      </c>
      <c r="AJ45" s="214">
        <f ca="1">AJ40*SUMIFS(INDEX(Сценарии!$AE$25:$BF$82,,MATCH(AJ$13,Сценарии!$AE$8:$BF$8,0)),Сценарии!$F$25:$F$82,$F45,Сценарии!$G$25:$G$82,"СВФОТ")/100</f>
        <v>0</v>
      </c>
      <c r="AK45" s="1402"/>
      <c r="AN45" s="932" t="s">
        <v>1041</v>
      </c>
      <c r="AO45" s="932"/>
      <c r="AP45" s="932"/>
      <c r="AQ45" s="183"/>
      <c r="AR45" s="183"/>
    </row>
    <row r="46" spans="2:44" s="1325" customFormat="1" ht="14.65" hidden="1" customHeight="1">
      <c r="B46" s="346"/>
      <c r="C46" s="781"/>
      <c r="D46" s="781"/>
      <c r="E46" s="782">
        <v>15</v>
      </c>
      <c r="F46" s="3" cm="1">
        <f t="array" aca="1" ref="F46" ca="1">OFFSET(E46,-1,1)</f>
        <v>0</v>
      </c>
      <c r="G46" s="286" t="s">
        <v>1042</v>
      </c>
      <c r="H46" s="753" t="s">
        <v>481</v>
      </c>
      <c r="I46" s="753"/>
      <c r="J46" s="781"/>
      <c r="K46" s="399" t="str">
        <f ca="1">F46&amp;"7komm"</f>
        <v>07komm</v>
      </c>
      <c r="L46" s="399" cm="1">
        <f t="array" ref="L46">AK46</f>
        <v>0</v>
      </c>
      <c r="M46" s="781"/>
      <c r="N46" s="781"/>
      <c r="O46" s="781"/>
      <c r="P46" s="781"/>
      <c r="Q46" s="781"/>
      <c r="R46" s="781"/>
      <c r="S46" s="781"/>
      <c r="T46" s="381" t="b" cm="1">
        <f t="array" aca="1" ref="T46" ca="1">T45</f>
        <v>0</v>
      </c>
      <c r="U46" s="781"/>
      <c r="V46" s="781"/>
      <c r="W46" s="781"/>
      <c r="X46" s="1815"/>
      <c r="Y46" s="786"/>
      <c r="Z46" s="1816"/>
      <c r="AA46" s="781"/>
      <c r="AB46" s="607" t="s">
        <v>544</v>
      </c>
      <c r="AC46" s="761" t="s">
        <v>1043</v>
      </c>
      <c r="AD46" s="680" t="s">
        <v>766</v>
      </c>
      <c r="AE46" s="1399"/>
      <c r="AF46" s="1399"/>
      <c r="AG46" s="1399"/>
      <c r="AH46" s="1399"/>
      <c r="AI46" s="131">
        <f>SUMIFS(AI47:AI50,$AD47:$AD50,$AD46)</f>
        <v>0</v>
      </c>
      <c r="AJ46" s="131">
        <f>SUMIFS(AJ47:AJ50,$AD47:$AD50,$AD46)</f>
        <v>0</v>
      </c>
      <c r="AK46" s="1402"/>
      <c r="AN46" s="932" t="s">
        <v>1044</v>
      </c>
      <c r="AO46" s="932"/>
      <c r="AP46" s="932"/>
      <c r="AQ46" s="183"/>
      <c r="AR46" s="183"/>
    </row>
    <row r="47" spans="2:44" s="1325" customFormat="1" ht="18.2" hidden="1" customHeight="1">
      <c r="C47" s="788"/>
      <c r="D47" s="788"/>
      <c r="E47" s="789">
        <v>18.75</v>
      </c>
      <c r="F47" s="3" cm="1">
        <f t="array" aca="1" ref="F47" ca="1">OFFSET(E47,-1,1)</f>
        <v>0</v>
      </c>
      <c r="G47" s="785"/>
      <c r="H47" s="753" t="s">
        <v>481</v>
      </c>
      <c r="I47" s="785" cm="1">
        <f t="array" ref="I47">AC47</f>
        <v>0</v>
      </c>
      <c r="J47" s="788"/>
      <c r="K47" s="822"/>
      <c r="L47" s="822"/>
      <c r="M47" s="788"/>
      <c r="N47" s="788"/>
      <c r="O47" s="788"/>
      <c r="P47" s="788"/>
      <c r="Q47" s="788"/>
      <c r="R47" s="788"/>
      <c r="S47" s="788"/>
      <c r="T47" s="381" t="b">
        <f ca="1">AND(F47&gt;0,Y47&gt;0)</f>
        <v>0</v>
      </c>
      <c r="U47" s="788"/>
      <c r="V47" s="788"/>
      <c r="W47" s="781" t="s">
        <v>173</v>
      </c>
      <c r="X47" s="1815"/>
      <c r="Y47" s="1815">
        <v>0</v>
      </c>
      <c r="Z47" s="1816"/>
      <c r="AA47" s="1813" t="s">
        <v>174</v>
      </c>
      <c r="AB47" s="1122" t="str">
        <f>"7."&amp;Y47</f>
        <v>7.0</v>
      </c>
      <c r="AC47" s="1403"/>
      <c r="AD47" s="790" t="s">
        <v>766</v>
      </c>
      <c r="AE47" s="1404"/>
      <c r="AF47" s="1404"/>
      <c r="AG47" s="1404"/>
      <c r="AH47" s="1404"/>
      <c r="AI47" s="791">
        <f>AI48*AI49*12/1000</f>
        <v>0</v>
      </c>
      <c r="AJ47" s="791">
        <f>AJ48*AJ49*12/1000</f>
        <v>0</v>
      </c>
      <c r="AK47" s="1405"/>
      <c r="AN47" s="932" t="s">
        <v>1014</v>
      </c>
      <c r="AO47" s="948" t="s">
        <v>1045</v>
      </c>
      <c r="AP47" s="932" cm="1">
        <f t="array" ref="AP47">AC47</f>
        <v>0</v>
      </c>
      <c r="AQ47" s="949"/>
      <c r="AR47" s="183" t="b">
        <v>1</v>
      </c>
    </row>
    <row r="48" spans="2:44" s="1325" customFormat="1" ht="14.65" hidden="1" customHeight="1">
      <c r="C48" s="788"/>
      <c r="D48" s="788"/>
      <c r="E48" s="789">
        <v>15</v>
      </c>
      <c r="F48" s="3" cm="1">
        <f t="array" aca="1" ref="F48" ca="1">OFFSET(E48,-1,1)</f>
        <v>0</v>
      </c>
      <c r="G48" s="785"/>
      <c r="H48" s="785" t="str">
        <f>H47&amp;"_1"</f>
        <v>l7_1</v>
      </c>
      <c r="I48" s="785" cm="1">
        <f t="array" ref="I48">I47</f>
        <v>0</v>
      </c>
      <c r="J48" s="788"/>
      <c r="K48" s="822"/>
      <c r="L48" s="822"/>
      <c r="M48" s="788"/>
      <c r="N48" s="788"/>
      <c r="O48" s="788"/>
      <c r="P48" s="788"/>
      <c r="Q48" s="788"/>
      <c r="R48" s="788"/>
      <c r="S48" s="788"/>
      <c r="T48" s="381" t="b" cm="1">
        <f t="array" aca="1" ref="T48" ca="1">T47</f>
        <v>0</v>
      </c>
      <c r="U48" s="788"/>
      <c r="V48" s="788"/>
      <c r="W48" s="788"/>
      <c r="X48" s="1815"/>
      <c r="Y48" s="1815"/>
      <c r="Z48" s="1816"/>
      <c r="AA48" s="1813"/>
      <c r="AB48" s="792" t="str">
        <f>AB47&amp;".1"</f>
        <v>7.0.1</v>
      </c>
      <c r="AC48" s="793" t="s">
        <v>1017</v>
      </c>
      <c r="AD48" s="790" t="s">
        <v>1018</v>
      </c>
      <c r="AE48" s="1404"/>
      <c r="AF48" s="1404"/>
      <c r="AG48" s="1404"/>
      <c r="AH48" s="1404"/>
      <c r="AI48" s="794"/>
      <c r="AJ48" s="794"/>
      <c r="AK48" s="1405"/>
      <c r="AN48" s="932" t="s">
        <v>1019</v>
      </c>
      <c r="AO48" s="948" t="s">
        <v>1045</v>
      </c>
      <c r="AP48" s="932" cm="1">
        <f t="array" ref="AP48">AP47</f>
        <v>0</v>
      </c>
      <c r="AQ48" s="949"/>
      <c r="AR48" s="949"/>
    </row>
    <row r="49" spans="1:44" s="1325" customFormat="1" ht="14.65" hidden="1" customHeight="1">
      <c r="C49" s="788"/>
      <c r="D49" s="788"/>
      <c r="E49" s="789">
        <v>15</v>
      </c>
      <c r="F49" s="3" cm="1">
        <f t="array" aca="1" ref="F49" ca="1">OFFSET(E49,-1,1)</f>
        <v>0</v>
      </c>
      <c r="G49" s="785"/>
      <c r="H49" s="785" t="str">
        <f>H47&amp;"_2"</f>
        <v>l7_2</v>
      </c>
      <c r="I49" s="785" cm="1">
        <f t="array" ref="I49">I48</f>
        <v>0</v>
      </c>
      <c r="J49" s="788"/>
      <c r="K49" s="822"/>
      <c r="L49" s="822"/>
      <c r="M49" s="788"/>
      <c r="N49" s="788"/>
      <c r="O49" s="788"/>
      <c r="P49" s="788"/>
      <c r="Q49" s="788"/>
      <c r="R49" s="788"/>
      <c r="S49" s="788"/>
      <c r="T49" s="381" t="b" cm="1">
        <f t="array" aca="1" ref="T49" ca="1">T48</f>
        <v>0</v>
      </c>
      <c r="U49" s="788"/>
      <c r="V49" s="788"/>
      <c r="W49" s="788"/>
      <c r="X49" s="1815"/>
      <c r="Y49" s="1815"/>
      <c r="Z49" s="1816"/>
      <c r="AA49" s="1813"/>
      <c r="AB49" s="792" t="str">
        <f>AB47&amp;".2"</f>
        <v>7.0.2</v>
      </c>
      <c r="AC49" s="793" t="s">
        <v>1020</v>
      </c>
      <c r="AD49" s="790" t="s">
        <v>1021</v>
      </c>
      <c r="AE49" s="1404"/>
      <c r="AF49" s="1404"/>
      <c r="AG49" s="1404"/>
      <c r="AH49" s="1404"/>
      <c r="AI49" s="794"/>
      <c r="AJ49" s="794"/>
      <c r="AK49" s="1405"/>
      <c r="AN49" s="932" t="s">
        <v>1022</v>
      </c>
      <c r="AO49" s="948" t="s">
        <v>1045</v>
      </c>
      <c r="AP49" s="932" cm="1">
        <f t="array" ref="AP49">AP48</f>
        <v>0</v>
      </c>
      <c r="AQ49" s="949"/>
      <c r="AR49" s="949"/>
    </row>
    <row r="50" spans="1:44" s="1325" customFormat="1" ht="14.65" hidden="1" customHeight="1">
      <c r="B50" s="346"/>
      <c r="C50" s="781"/>
      <c r="D50" s="781"/>
      <c r="E50" s="782">
        <v>15</v>
      </c>
      <c r="F50" s="3" cm="1">
        <f t="array" aca="1" ref="F50" ca="1">OFFSET(E50,-1,1)</f>
        <v>0</v>
      </c>
      <c r="G50" s="286"/>
      <c r="H50" s="753"/>
      <c r="I50" s="71" t="str">
        <f>"!=='не определено' &amp;&amp; row.l7 !== null"</f>
        <v>!=='не определено' &amp;&amp; row.l7 !== null</v>
      </c>
      <c r="J50" s="781"/>
      <c r="K50" s="399"/>
      <c r="L50" s="399"/>
      <c r="M50" s="781"/>
      <c r="N50" s="781"/>
      <c r="O50" s="781"/>
      <c r="P50" s="781"/>
      <c r="Q50" s="781"/>
      <c r="R50" s="781"/>
      <c r="S50" s="781"/>
      <c r="T50" s="381" t="b">
        <f ca="1">F50&gt;0</f>
        <v>0</v>
      </c>
      <c r="U50" s="781"/>
      <c r="V50" s="781"/>
      <c r="W50" s="671" t="s">
        <v>1046</v>
      </c>
      <c r="X50" s="1815"/>
      <c r="Y50" s="781"/>
      <c r="Z50" s="1816"/>
      <c r="AA50" s="781"/>
      <c r="AB50" s="787"/>
      <c r="AC50" s="176" t="s">
        <v>177</v>
      </c>
      <c r="AD50" s="690"/>
      <c r="AE50" s="690"/>
      <c r="AF50" s="690"/>
      <c r="AG50" s="690"/>
      <c r="AH50" s="690"/>
      <c r="AI50" s="690"/>
      <c r="AJ50" s="690"/>
      <c r="AK50" s="691"/>
      <c r="AN50" s="932"/>
      <c r="AO50" s="932"/>
      <c r="AP50" s="932"/>
      <c r="AQ50" s="949" t="s">
        <v>1045</v>
      </c>
      <c r="AR50" s="183"/>
    </row>
    <row r="51" spans="1:44" s="1325" customFormat="1" ht="21.95" hidden="1" customHeight="1">
      <c r="B51" s="346"/>
      <c r="C51" s="781"/>
      <c r="D51" s="781"/>
      <c r="E51" s="782">
        <v>22.5</v>
      </c>
      <c r="F51" s="3" cm="1">
        <f t="array" aca="1" ref="F51" ca="1">OFFSET(E51,-1,1)</f>
        <v>0</v>
      </c>
      <c r="G51" s="286" t="s">
        <v>1047</v>
      </c>
      <c r="H51" s="753" t="s">
        <v>528</v>
      </c>
      <c r="I51" s="753"/>
      <c r="J51" s="781"/>
      <c r="K51" s="399" t="str">
        <f ca="1">F51&amp;"8komm"</f>
        <v>08komm</v>
      </c>
      <c r="L51" s="823" cm="1">
        <f t="array" ref="L51">AK51</f>
        <v>0</v>
      </c>
      <c r="M51" s="781"/>
      <c r="N51" s="781"/>
      <c r="O51" s="781"/>
      <c r="P51" s="781"/>
      <c r="Q51" s="781"/>
      <c r="R51" s="781"/>
      <c r="S51" s="781"/>
      <c r="T51" s="381" t="b" cm="1">
        <f t="array" aca="1" ref="T51" ca="1">T50</f>
        <v>0</v>
      </c>
      <c r="U51" s="781"/>
      <c r="V51" s="781"/>
      <c r="W51" s="781"/>
      <c r="X51" s="1815"/>
      <c r="Y51" s="781"/>
      <c r="Z51" s="1816"/>
      <c r="AA51" s="781"/>
      <c r="AB51" s="607" t="s">
        <v>552</v>
      </c>
      <c r="AC51" s="761" t="s">
        <v>1048</v>
      </c>
      <c r="AD51" s="680" t="s">
        <v>766</v>
      </c>
      <c r="AE51" s="1399">
        <f ca="1">AE46*SUMIFS(INDEX(Сценарии!$AE$25:$BF$82,,MATCH(AE$13,Сценарии!$AE$8:$BF$8,0)),Сценарии!$F$25:$F$82,$F51,Сценарии!$G$25:$G$82,"СВФОТ")/100</f>
        <v>0</v>
      </c>
      <c r="AF51" s="1399">
        <f ca="1">AF46*SUMIFS(INDEX(Сценарии!$AE$25:$BF$82,,MATCH(AF$13,Сценарии!$AE$8:$BF$8,0)),Сценарии!$F$25:$F$82,$F51,Сценарии!$G$25:$G$82,"СВФОТ")/100</f>
        <v>0</v>
      </c>
      <c r="AG51" s="1399">
        <f ca="1">AG46*SUMIFS(INDEX(Сценарии!$AE$25:$BF$82,,MATCH(AG$13,Сценарии!$AE$8:$BF$8,0)),Сценарии!$F$25:$F$82,$F51,Сценарии!$G$25:$G$82,"СВФОТ")/100</f>
        <v>0</v>
      </c>
      <c r="AH51" s="1399">
        <f ca="1">AH46*SUMIFS(INDEX(Сценарии!$AE$25:$BF$82,,MATCH(AH$13,Сценарии!$AE$8:$BF$8,0)),Сценарии!$F$25:$F$82,$F51,Сценарии!$G$25:$G$82,"СВФОТ")/100</f>
        <v>0</v>
      </c>
      <c r="AI51" s="214">
        <f ca="1">AI46*SUMIFS(INDEX(Сценарии!$AE$25:$BF$82,,MATCH(AI$13,Сценарии!$AE$8:$BF$8,0)),Сценарии!$F$25:$F$82,$F51,Сценарии!$G$25:$G$82,"СВФОТ")/100</f>
        <v>0</v>
      </c>
      <c r="AJ51" s="214">
        <f ca="1">AJ46*SUMIFS(INDEX(Сценарии!$AE$25:$BF$82,,MATCH(AJ$13,Сценарии!$AE$8:$BF$8,0)),Сценарии!$F$25:$F$82,$F51,Сценарии!$G$25:$G$82,"СВФОТ")/100</f>
        <v>0</v>
      </c>
      <c r="AK51" s="1358"/>
      <c r="AN51" s="932" t="s">
        <v>1049</v>
      </c>
      <c r="AO51" s="932"/>
      <c r="AP51" s="932"/>
      <c r="AQ51" s="183"/>
      <c r="AR51" s="183"/>
    </row>
    <row r="52" spans="1:44" s="1081" customFormat="1" ht="14.25" customHeight="1">
      <c r="A52" s="1325"/>
      <c r="B52" s="346"/>
      <c r="C52" s="781"/>
      <c r="D52" s="781"/>
      <c r="E52" s="782">
        <v>15</v>
      </c>
      <c r="F52" s="409" t="str" cm="1">
        <f t="array" ref="F52">X52</f>
        <v>1</v>
      </c>
      <c r="G52" s="753" t="s">
        <v>60</v>
      </c>
      <c r="H52" s="753"/>
      <c r="I52" s="753"/>
      <c r="J52" s="781"/>
      <c r="K52" s="399"/>
      <c r="L52" s="399"/>
      <c r="M52" s="781"/>
      <c r="N52" s="781"/>
      <c r="O52" s="781"/>
      <c r="P52" s="781"/>
      <c r="Q52" s="781"/>
      <c r="R52" s="781"/>
      <c r="S52" s="781"/>
      <c r="T52" s="381" t="b">
        <f>X52&gt;0</f>
        <v>1</v>
      </c>
      <c r="U52" s="781"/>
      <c r="V52" s="781" t="str" cm="1">
        <f t="array" ref="V52">Покупка!$AB$57</f>
        <v>Тариф 1 (Водоснабжение) - тариф на питьевую воду</v>
      </c>
      <c r="W52" s="781"/>
      <c r="X52" s="1815" t="s">
        <v>281</v>
      </c>
      <c r="Y52" s="781"/>
      <c r="Z52" s="1816"/>
      <c r="AA52" s="781"/>
      <c r="AB52" s="160" t="str" cm="1">
        <f t="array" ref="AB52">Покупка!$AB$57</f>
        <v>Тариф 1 (Водоснабжение) - тариф на питьевую воду</v>
      </c>
      <c r="AC52" s="783"/>
      <c r="AD52" s="783"/>
      <c r="AE52" s="784">
        <f t="shared" ref="AE52:AJ52" ca="1" si="2">AE53+AE58+AE59+AE64+AE65+AE70+AE71+AE76</f>
        <v>0</v>
      </c>
      <c r="AF52" s="784">
        <f t="shared" ca="1" si="2"/>
        <v>0</v>
      </c>
      <c r="AG52" s="784">
        <f t="shared" ca="1" si="2"/>
        <v>0</v>
      </c>
      <c r="AH52" s="784">
        <f t="shared" ca="1" si="2"/>
        <v>0</v>
      </c>
      <c r="AI52" s="784">
        <f t="shared" ca="1" si="2"/>
        <v>0</v>
      </c>
      <c r="AJ52" s="784">
        <f t="shared" ca="1" si="2"/>
        <v>0</v>
      </c>
      <c r="AK52" s="784"/>
      <c r="AL52" s="1325"/>
      <c r="AM52" s="1325"/>
      <c r="AN52" s="932"/>
      <c r="AO52" s="932"/>
      <c r="AP52" s="932"/>
      <c r="AQ52" s="183"/>
      <c r="AR52" s="183"/>
    </row>
    <row r="53" spans="1:44" s="1081" customFormat="1" ht="21.95" customHeight="1">
      <c r="A53" s="1325"/>
      <c r="B53" s="346"/>
      <c r="C53" s="781"/>
      <c r="D53" s="781"/>
      <c r="E53" s="782">
        <v>22.5</v>
      </c>
      <c r="F53" s="3" t="str" cm="1">
        <f t="array" aca="1" ref="F53" ca="1">OFFSET(E53,-1,1)</f>
        <v>1</v>
      </c>
      <c r="G53" s="286" t="s">
        <v>1011</v>
      </c>
      <c r="H53" s="753" t="s">
        <v>323</v>
      </c>
      <c r="I53" s="753"/>
      <c r="J53" s="781"/>
      <c r="K53" s="399" t="str">
        <f ca="1">F53&amp;"1komm"</f>
        <v>11komm</v>
      </c>
      <c r="L53" s="823" cm="1">
        <f t="array" ref="L53">AK53</f>
        <v>0</v>
      </c>
      <c r="M53" s="781"/>
      <c r="N53" s="781"/>
      <c r="O53" s="781"/>
      <c r="P53" s="781"/>
      <c r="Q53" s="781"/>
      <c r="R53" s="781"/>
      <c r="S53" s="781"/>
      <c r="T53" s="381" t="b" cm="1">
        <f t="array" ref="T53">T52</f>
        <v>1</v>
      </c>
      <c r="U53" s="781"/>
      <c r="V53" s="781"/>
      <c r="W53" s="781"/>
      <c r="X53" s="1815"/>
      <c r="Y53" s="781"/>
      <c r="Z53" s="1816"/>
      <c r="AA53" s="781"/>
      <c r="AB53" s="607">
        <v>1</v>
      </c>
      <c r="AC53" s="761" t="s">
        <v>1012</v>
      </c>
      <c r="AD53" s="680" t="s">
        <v>766</v>
      </c>
      <c r="AE53" s="214">
        <v>0</v>
      </c>
      <c r="AF53" s="214"/>
      <c r="AG53" s="214"/>
      <c r="AH53" s="214"/>
      <c r="AI53" s="131">
        <f>SUMIFS(AI54:AI57,$AD54:$AD57,$AD53)</f>
        <v>0</v>
      </c>
      <c r="AJ53" s="131">
        <f>SUMIFS(AJ54:AJ57,$AD54:$AD57,$AD53)</f>
        <v>0</v>
      </c>
      <c r="AK53" s="760"/>
      <c r="AL53" s="1325"/>
      <c r="AM53" s="1325"/>
      <c r="AN53" s="932" t="s">
        <v>1013</v>
      </c>
      <c r="AO53" s="932"/>
      <c r="AP53" s="932"/>
      <c r="AQ53" s="183"/>
      <c r="AR53" s="183"/>
    </row>
    <row r="54" spans="1:44" s="1081" customFormat="1" ht="18" hidden="1" customHeight="1">
      <c r="A54" s="1325"/>
      <c r="B54" s="346"/>
      <c r="C54" s="781"/>
      <c r="D54" s="781"/>
      <c r="E54" s="782">
        <v>18.75</v>
      </c>
      <c r="F54" s="3" t="str" cm="1">
        <f t="array" aca="1" ref="F54" ca="1">OFFSET(E54,-1,1)</f>
        <v>1</v>
      </c>
      <c r="G54" s="753"/>
      <c r="H54" s="753" t="s">
        <v>323</v>
      </c>
      <c r="I54" s="753" cm="1">
        <f t="array" ref="I54">AC54</f>
        <v>0</v>
      </c>
      <c r="J54" s="781"/>
      <c r="K54" s="399"/>
      <c r="L54" s="399"/>
      <c r="M54" s="781"/>
      <c r="N54" s="781"/>
      <c r="O54" s="781"/>
      <c r="P54" s="781"/>
      <c r="Q54" s="781"/>
      <c r="R54" s="781"/>
      <c r="S54" s="781"/>
      <c r="T54" s="381" t="b">
        <f ca="1">AND(F54&gt;0,Y54&gt;0)</f>
        <v>0</v>
      </c>
      <c r="U54" s="781"/>
      <c r="V54" s="781"/>
      <c r="W54" s="781" t="s">
        <v>173</v>
      </c>
      <c r="X54" s="1815"/>
      <c r="Y54" s="1815">
        <v>0</v>
      </c>
      <c r="Z54" s="1816"/>
      <c r="AA54" s="1813" t="s">
        <v>174</v>
      </c>
      <c r="AB54" s="216" t="str">
        <f>"1."&amp;Y54</f>
        <v>1.0</v>
      </c>
      <c r="AC54" s="1400"/>
      <c r="AD54" s="680" t="s">
        <v>766</v>
      </c>
      <c r="AE54" s="1401"/>
      <c r="AF54" s="1401"/>
      <c r="AG54" s="1401"/>
      <c r="AH54" s="1401"/>
      <c r="AI54" s="686">
        <f>AI55*AI56*12/1000</f>
        <v>0</v>
      </c>
      <c r="AJ54" s="686">
        <f>AJ55*AJ56*12/1000</f>
        <v>0</v>
      </c>
      <c r="AK54" s="1358"/>
      <c r="AL54" s="1325"/>
      <c r="AM54" s="1325"/>
      <c r="AN54" s="932" t="s">
        <v>1014</v>
      </c>
      <c r="AO54" s="932" t="s">
        <v>1015</v>
      </c>
      <c r="AP54" s="932" cm="1">
        <f t="array" ref="AP54">AC54</f>
        <v>0</v>
      </c>
      <c r="AQ54" s="183"/>
      <c r="AR54" s="183" t="b">
        <v>1</v>
      </c>
    </row>
    <row r="55" spans="1:44" s="1081" customFormat="1" ht="14.25" hidden="1" customHeight="1">
      <c r="A55" s="1325"/>
      <c r="B55" s="346"/>
      <c r="C55" s="781"/>
      <c r="D55" s="781"/>
      <c r="E55" s="782">
        <v>15</v>
      </c>
      <c r="F55" s="3" t="str" cm="1">
        <f t="array" aca="1" ref="F55" ca="1">OFFSET(E55,-1,1)</f>
        <v>1</v>
      </c>
      <c r="G55" s="785" t="s">
        <v>1016</v>
      </c>
      <c r="H55" s="753" t="str">
        <f>H54&amp;"_1"</f>
        <v>l1_1</v>
      </c>
      <c r="I55" s="753" cm="1">
        <f t="array" ref="I55">I54</f>
        <v>0</v>
      </c>
      <c r="J55" s="781"/>
      <c r="K55" s="399"/>
      <c r="L55" s="399"/>
      <c r="M55" s="781"/>
      <c r="N55" s="781"/>
      <c r="O55" s="781"/>
      <c r="P55" s="781"/>
      <c r="Q55" s="781"/>
      <c r="R55" s="781"/>
      <c r="S55" s="781"/>
      <c r="T55" s="381" t="b" cm="1">
        <f t="array" aca="1" ref="T55" ca="1">T54</f>
        <v>0</v>
      </c>
      <c r="U55" s="781"/>
      <c r="V55" s="781"/>
      <c r="W55" s="781"/>
      <c r="X55" s="1815"/>
      <c r="Y55" s="1815"/>
      <c r="Z55" s="1816"/>
      <c r="AA55" s="1813"/>
      <c r="AB55" s="607" t="str">
        <f>AB54&amp;".1"</f>
        <v>1.0.1</v>
      </c>
      <c r="AC55" s="679" t="s">
        <v>1017</v>
      </c>
      <c r="AD55" s="680" t="s">
        <v>1018</v>
      </c>
      <c r="AE55" s="1401"/>
      <c r="AF55" s="1401"/>
      <c r="AG55" s="1401"/>
      <c r="AH55" s="1401"/>
      <c r="AI55" s="214"/>
      <c r="AJ55" s="214"/>
      <c r="AK55" s="1358"/>
      <c r="AL55" s="1325"/>
      <c r="AM55" s="1325"/>
      <c r="AN55" s="932" t="s">
        <v>1019</v>
      </c>
      <c r="AO55" s="932" t="s">
        <v>1015</v>
      </c>
      <c r="AP55" s="932" cm="1">
        <f t="array" ref="AP55">AP54</f>
        <v>0</v>
      </c>
      <c r="AQ55" s="183"/>
      <c r="AR55" s="183"/>
    </row>
    <row r="56" spans="1:44" s="1081" customFormat="1" ht="14.25" hidden="1" customHeight="1">
      <c r="A56" s="1325"/>
      <c r="B56" s="346"/>
      <c r="C56" s="781"/>
      <c r="D56" s="781"/>
      <c r="E56" s="782">
        <v>15</v>
      </c>
      <c r="F56" s="3" t="str" cm="1">
        <f t="array" aca="1" ref="F56" ca="1">OFFSET(E56,-1,1)</f>
        <v>1</v>
      </c>
      <c r="G56" s="753"/>
      <c r="H56" s="753" t="str">
        <f>H54&amp;"_2"</f>
        <v>l1_2</v>
      </c>
      <c r="I56" s="753" cm="1">
        <f t="array" ref="I56">I55</f>
        <v>0</v>
      </c>
      <c r="J56" s="781"/>
      <c r="K56" s="399"/>
      <c r="L56" s="399"/>
      <c r="M56" s="781"/>
      <c r="N56" s="781"/>
      <c r="O56" s="781"/>
      <c r="P56" s="781"/>
      <c r="Q56" s="781"/>
      <c r="R56" s="781"/>
      <c r="S56" s="781"/>
      <c r="T56" s="381" t="b" cm="1">
        <f t="array" aca="1" ref="T56" ca="1">T55</f>
        <v>0</v>
      </c>
      <c r="U56" s="781"/>
      <c r="V56" s="781"/>
      <c r="W56" s="781"/>
      <c r="X56" s="1815"/>
      <c r="Y56" s="1815"/>
      <c r="Z56" s="1816"/>
      <c r="AA56" s="1813"/>
      <c r="AB56" s="607" t="str">
        <f>AB54&amp;".2"</f>
        <v>1.0.2</v>
      </c>
      <c r="AC56" s="679" t="s">
        <v>1020</v>
      </c>
      <c r="AD56" s="680" t="s">
        <v>1021</v>
      </c>
      <c r="AE56" s="1401"/>
      <c r="AF56" s="1401"/>
      <c r="AG56" s="1401"/>
      <c r="AH56" s="1401"/>
      <c r="AI56" s="214"/>
      <c r="AJ56" s="214"/>
      <c r="AK56" s="1358"/>
      <c r="AL56" s="1325"/>
      <c r="AM56" s="1325"/>
      <c r="AN56" s="932" t="s">
        <v>1022</v>
      </c>
      <c r="AO56" s="932" t="s">
        <v>1015</v>
      </c>
      <c r="AP56" s="932" cm="1">
        <f t="array" ref="AP56">AP55</f>
        <v>0</v>
      </c>
      <c r="AQ56" s="183"/>
      <c r="AR56" s="183"/>
    </row>
    <row r="57" spans="1:44" s="1081" customFormat="1" ht="14.25" customHeight="1">
      <c r="A57" s="1325"/>
      <c r="B57" s="346"/>
      <c r="C57" s="781"/>
      <c r="D57" s="781"/>
      <c r="E57" s="782">
        <v>15</v>
      </c>
      <c r="F57" s="3" t="str" cm="1">
        <f t="array" aca="1" ref="F57" ca="1">OFFSET(E57,-1,1)</f>
        <v>1</v>
      </c>
      <c r="G57" s="286"/>
      <c r="H57" s="753"/>
      <c r="I57" s="71" t="str">
        <f>"!=='не определено' &amp;&amp; row.l1 !== null"</f>
        <v>!=='не определено' &amp;&amp; row.l1 !== null</v>
      </c>
      <c r="J57" s="781"/>
      <c r="K57" s="399"/>
      <c r="L57" s="399"/>
      <c r="M57" s="781"/>
      <c r="N57" s="781"/>
      <c r="O57" s="781"/>
      <c r="P57" s="781"/>
      <c r="Q57" s="781"/>
      <c r="R57" s="781"/>
      <c r="S57" s="781"/>
      <c r="T57" s="381" t="b">
        <f ca="1">F57&gt;0</f>
        <v>1</v>
      </c>
      <c r="U57" s="781"/>
      <c r="V57" s="781"/>
      <c r="W57" s="671" t="s">
        <v>389</v>
      </c>
      <c r="X57" s="1815"/>
      <c r="Y57" s="786"/>
      <c r="Z57" s="1816"/>
      <c r="AA57" s="781"/>
      <c r="AB57" s="787"/>
      <c r="AC57" s="176" t="s">
        <v>177</v>
      </c>
      <c r="AD57" s="690"/>
      <c r="AE57" s="690"/>
      <c r="AF57" s="690"/>
      <c r="AG57" s="690"/>
      <c r="AH57" s="690"/>
      <c r="AI57" s="690"/>
      <c r="AJ57" s="690"/>
      <c r="AK57" s="691"/>
      <c r="AL57" s="1325"/>
      <c r="AM57" s="1325"/>
      <c r="AN57" s="932"/>
      <c r="AO57" s="932"/>
      <c r="AP57" s="932"/>
      <c r="AQ57" s="183" t="s">
        <v>1015</v>
      </c>
      <c r="AR57" s="183"/>
    </row>
    <row r="58" spans="1:44" s="1081" customFormat="1" ht="21.75" customHeight="1">
      <c r="A58" s="1325"/>
      <c r="B58" s="346"/>
      <c r="C58" s="781"/>
      <c r="D58" s="781"/>
      <c r="E58" s="782">
        <v>22.5</v>
      </c>
      <c r="F58" s="3" t="str" cm="1">
        <f t="array" aca="1" ref="F58" ca="1">OFFSET(E58,-1,1)</f>
        <v>1</v>
      </c>
      <c r="G58" s="286" t="s">
        <v>1023</v>
      </c>
      <c r="H58" s="753" t="s">
        <v>324</v>
      </c>
      <c r="I58" s="753"/>
      <c r="J58" s="781"/>
      <c r="K58" s="399" t="str">
        <f ca="1">F58&amp;"2komm"</f>
        <v>12komm</v>
      </c>
      <c r="L58" s="823" cm="1">
        <f t="array" ref="L58">AK58</f>
        <v>0</v>
      </c>
      <c r="M58" s="781"/>
      <c r="N58" s="781"/>
      <c r="O58" s="781"/>
      <c r="P58" s="781"/>
      <c r="Q58" s="781"/>
      <c r="R58" s="781"/>
      <c r="S58" s="781"/>
      <c r="T58" s="381" t="b" cm="1">
        <f t="array" aca="1" ref="T58" ca="1">T57</f>
        <v>1</v>
      </c>
      <c r="U58" s="781"/>
      <c r="V58" s="781"/>
      <c r="W58" s="781"/>
      <c r="X58" s="1815"/>
      <c r="Y58" s="786"/>
      <c r="Z58" s="1816"/>
      <c r="AA58" s="781"/>
      <c r="AB58" s="607" t="s">
        <v>224</v>
      </c>
      <c r="AC58" s="761" t="s">
        <v>1024</v>
      </c>
      <c r="AD58" s="680" t="s">
        <v>766</v>
      </c>
      <c r="AE58" s="214">
        <f ca="1">AE53*SUMIFS(INDEX(Сценарии!$AE$25:$BF$82,,MATCH(AE$13,Сценарии!$AE$8:$BF$8,0)),Сценарии!$F$25:$F$82,$F58,Сценарии!$G$25:$G$82,"СВФОТ")/100</f>
        <v>0</v>
      </c>
      <c r="AF58" s="214">
        <f ca="1">AF53*SUMIFS(INDEX(Сценарии!$AE$25:$BF$82,,MATCH(AF$13,Сценарии!$AE$8:$BF$8,0)),Сценарии!$F$25:$F$82,$F58,Сценарии!$G$25:$G$82,"СВФОТ")/100</f>
        <v>0</v>
      </c>
      <c r="AG58" s="214">
        <f ca="1">AG53*SUMIFS(INDEX(Сценарии!$AE$25:$BF$82,,MATCH(AG$13,Сценарии!$AE$8:$BF$8,0)),Сценарии!$F$25:$F$82,$F58,Сценарии!$G$25:$G$82,"СВФОТ")/100</f>
        <v>0</v>
      </c>
      <c r="AH58" s="214">
        <f ca="1">AH53*SUMIFS(INDEX(Сценарии!$AE$25:$BF$82,,MATCH(AH$13,Сценарии!$AE$8:$BF$8,0)),Сценарии!$F$25:$F$82,$F58,Сценарии!$G$25:$G$82,"СВФОТ")/100</f>
        <v>0</v>
      </c>
      <c r="AI58" s="214">
        <f ca="1">AI53*SUMIFS(INDEX(Сценарии!$AE$25:$BF$82,,MATCH(AI$13,Сценарии!$AE$8:$BF$8,0)),Сценарии!$F$25:$F$82,$F58,Сценарии!$G$25:$G$82,"СВФОТ")/100</f>
        <v>0</v>
      </c>
      <c r="AJ58" s="214">
        <f ca="1">AJ53*SUMIFS(INDEX(Сценарии!$AE$25:$BF$82,,MATCH(AJ$13,Сценарии!$AE$8:$BF$8,0)),Сценарии!$F$25:$F$82,$F58,Сценарии!$G$25:$G$82,"СВФОТ")/100</f>
        <v>0</v>
      </c>
      <c r="AK58" s="760"/>
      <c r="AL58" s="1325"/>
      <c r="AM58" s="1325"/>
      <c r="AN58" s="932" t="s">
        <v>1025</v>
      </c>
      <c r="AO58" s="932"/>
      <c r="AP58" s="932"/>
      <c r="AQ58" s="183"/>
      <c r="AR58" s="183"/>
    </row>
    <row r="59" spans="1:44" s="1081" customFormat="1" ht="14.65" customHeight="1">
      <c r="A59" s="1325"/>
      <c r="B59" s="346"/>
      <c r="C59" s="781"/>
      <c r="D59" s="781"/>
      <c r="E59" s="782">
        <v>15</v>
      </c>
      <c r="F59" s="3" t="str" cm="1">
        <f t="array" aca="1" ref="F59" ca="1">OFFSET(E59,-1,1)</f>
        <v>1</v>
      </c>
      <c r="G59" s="286" t="s">
        <v>1026</v>
      </c>
      <c r="H59" s="753" t="s">
        <v>325</v>
      </c>
      <c r="I59" s="753"/>
      <c r="J59" s="781"/>
      <c r="K59" s="399" t="str">
        <f ca="1">F59&amp;"3komm"</f>
        <v>13komm</v>
      </c>
      <c r="L59" s="823" cm="1">
        <f t="array" ref="L59">AK59</f>
        <v>0</v>
      </c>
      <c r="M59" s="781"/>
      <c r="N59" s="781"/>
      <c r="O59" s="781"/>
      <c r="P59" s="781"/>
      <c r="Q59" s="781"/>
      <c r="R59" s="781"/>
      <c r="S59" s="781"/>
      <c r="T59" s="381" t="b" cm="1">
        <f t="array" aca="1" ref="T59" ca="1">T58</f>
        <v>1</v>
      </c>
      <c r="U59" s="781"/>
      <c r="V59" s="781"/>
      <c r="W59" s="781"/>
      <c r="X59" s="1815"/>
      <c r="Y59" s="786"/>
      <c r="Z59" s="1816"/>
      <c r="AA59" s="781"/>
      <c r="AB59" s="607" t="s">
        <v>321</v>
      </c>
      <c r="AC59" s="761" t="s">
        <v>1027</v>
      </c>
      <c r="AD59" s="680" t="s">
        <v>766</v>
      </c>
      <c r="AE59" s="214">
        <v>0</v>
      </c>
      <c r="AF59" s="214"/>
      <c r="AG59" s="214"/>
      <c r="AH59" s="214"/>
      <c r="AI59" s="131">
        <f>SUMIFS(AI60:AI63,$AD60:$AD63,$AD59)</f>
        <v>0</v>
      </c>
      <c r="AJ59" s="131">
        <f>SUMIFS(AJ60:AJ63,$AD60:$AD63,$AD59)</f>
        <v>0</v>
      </c>
      <c r="AK59" s="760"/>
      <c r="AL59" s="1325"/>
      <c r="AM59" s="1325"/>
      <c r="AN59" s="932" t="s">
        <v>1028</v>
      </c>
      <c r="AO59" s="932"/>
      <c r="AP59" s="932"/>
      <c r="AQ59" s="183"/>
      <c r="AR59" s="183"/>
    </row>
    <row r="60" spans="1:44" s="1081" customFormat="1" ht="18" hidden="1" customHeight="1">
      <c r="A60" s="1325"/>
      <c r="B60" s="346"/>
      <c r="C60" s="781"/>
      <c r="D60" s="781"/>
      <c r="E60" s="782">
        <v>18.75</v>
      </c>
      <c r="F60" s="3" t="str" cm="1">
        <f t="array" aca="1" ref="F60" ca="1">OFFSET(E60,-1,1)</f>
        <v>1</v>
      </c>
      <c r="G60" s="753"/>
      <c r="H60" s="753" t="s">
        <v>325</v>
      </c>
      <c r="I60" s="753" cm="1">
        <f t="array" ref="I60">AC60</f>
        <v>0</v>
      </c>
      <c r="J60" s="781"/>
      <c r="K60" s="399"/>
      <c r="L60" s="399"/>
      <c r="M60" s="781"/>
      <c r="N60" s="781"/>
      <c r="O60" s="781"/>
      <c r="P60" s="781"/>
      <c r="Q60" s="781"/>
      <c r="R60" s="781"/>
      <c r="S60" s="781"/>
      <c r="T60" s="381" t="b">
        <f ca="1">AND(F60&gt;0,Y60&gt;0)</f>
        <v>0</v>
      </c>
      <c r="U60" s="781"/>
      <c r="V60" s="781"/>
      <c r="W60" s="781" t="s">
        <v>173</v>
      </c>
      <c r="X60" s="1815"/>
      <c r="Y60" s="1815">
        <v>0</v>
      </c>
      <c r="Z60" s="1816"/>
      <c r="AA60" s="1813" t="s">
        <v>174</v>
      </c>
      <c r="AB60" s="216" t="str">
        <f>"3."&amp;Y60</f>
        <v>3.0</v>
      </c>
      <c r="AC60" s="1400"/>
      <c r="AD60" s="680" t="s">
        <v>766</v>
      </c>
      <c r="AE60" s="1401"/>
      <c r="AF60" s="1401"/>
      <c r="AG60" s="1401"/>
      <c r="AH60" s="1401"/>
      <c r="AI60" s="686">
        <f>AI61*AI62*12/1000</f>
        <v>0</v>
      </c>
      <c r="AJ60" s="686">
        <f>AJ61*AJ62*12/1000</f>
        <v>0</v>
      </c>
      <c r="AK60" s="1358"/>
      <c r="AL60" s="1325"/>
      <c r="AM60" s="1325"/>
      <c r="AN60" s="932" t="s">
        <v>1014</v>
      </c>
      <c r="AO60" s="932" t="s">
        <v>1029</v>
      </c>
      <c r="AP60" s="932" cm="1">
        <f t="array" ref="AP60">AC60</f>
        <v>0</v>
      </c>
      <c r="AQ60" s="183"/>
      <c r="AR60" s="183" t="b">
        <v>1</v>
      </c>
    </row>
    <row r="61" spans="1:44" s="1081" customFormat="1" ht="14.25" hidden="1" customHeight="1">
      <c r="A61" s="1325"/>
      <c r="B61" s="346"/>
      <c r="C61" s="781"/>
      <c r="D61" s="781"/>
      <c r="E61" s="782">
        <v>15</v>
      </c>
      <c r="F61" s="3" t="str" cm="1">
        <f t="array" aca="1" ref="F61" ca="1">OFFSET(E61,-1,1)</f>
        <v>1</v>
      </c>
      <c r="G61" s="785" t="s">
        <v>1030</v>
      </c>
      <c r="H61" s="753" t="str">
        <f>H60&amp;"_1"</f>
        <v>l3_1</v>
      </c>
      <c r="I61" s="753" cm="1">
        <f t="array" ref="I61">I60</f>
        <v>0</v>
      </c>
      <c r="J61" s="781"/>
      <c r="K61" s="399"/>
      <c r="L61" s="399"/>
      <c r="M61" s="781"/>
      <c r="N61" s="781"/>
      <c r="O61" s="781"/>
      <c r="P61" s="781"/>
      <c r="Q61" s="781"/>
      <c r="R61" s="781"/>
      <c r="S61" s="781"/>
      <c r="T61" s="381" t="b" cm="1">
        <f t="array" aca="1" ref="T61" ca="1">T60</f>
        <v>0</v>
      </c>
      <c r="U61" s="781"/>
      <c r="V61" s="781"/>
      <c r="W61" s="781"/>
      <c r="X61" s="1815"/>
      <c r="Y61" s="1815"/>
      <c r="Z61" s="1816"/>
      <c r="AA61" s="1813"/>
      <c r="AB61" s="607" t="str">
        <f>AB60&amp;".1"</f>
        <v>3.0.1</v>
      </c>
      <c r="AC61" s="679" t="s">
        <v>1017</v>
      </c>
      <c r="AD61" s="680" t="s">
        <v>1018</v>
      </c>
      <c r="AE61" s="1401"/>
      <c r="AF61" s="1401"/>
      <c r="AG61" s="1401"/>
      <c r="AH61" s="1401"/>
      <c r="AI61" s="214"/>
      <c r="AJ61" s="214"/>
      <c r="AK61" s="1358"/>
      <c r="AL61" s="1325"/>
      <c r="AM61" s="1325"/>
      <c r="AN61" s="932" t="s">
        <v>1019</v>
      </c>
      <c r="AO61" s="932" t="s">
        <v>1029</v>
      </c>
      <c r="AP61" s="932" cm="1">
        <f t="array" ref="AP61">AP60</f>
        <v>0</v>
      </c>
      <c r="AQ61" s="183"/>
      <c r="AR61" s="183"/>
    </row>
    <row r="62" spans="1:44" s="1081" customFormat="1" ht="14.25" hidden="1" customHeight="1">
      <c r="A62" s="1325"/>
      <c r="B62" s="346"/>
      <c r="C62" s="781"/>
      <c r="D62" s="781"/>
      <c r="E62" s="782">
        <v>15</v>
      </c>
      <c r="F62" s="3" t="str" cm="1">
        <f t="array" aca="1" ref="F62" ca="1">OFFSET(E62,-1,1)</f>
        <v>1</v>
      </c>
      <c r="G62" s="753"/>
      <c r="H62" s="753" t="str">
        <f>H60&amp;"_2"</f>
        <v>l3_2</v>
      </c>
      <c r="I62" s="753" cm="1">
        <f t="array" ref="I62">I61</f>
        <v>0</v>
      </c>
      <c r="J62" s="781"/>
      <c r="K62" s="399"/>
      <c r="L62" s="399"/>
      <c r="M62" s="781"/>
      <c r="N62" s="781"/>
      <c r="O62" s="781"/>
      <c r="P62" s="781"/>
      <c r="Q62" s="781"/>
      <c r="R62" s="781"/>
      <c r="S62" s="781"/>
      <c r="T62" s="381" t="b" cm="1">
        <f t="array" aca="1" ref="T62" ca="1">T61</f>
        <v>0</v>
      </c>
      <c r="U62" s="781"/>
      <c r="V62" s="781"/>
      <c r="W62" s="781"/>
      <c r="X62" s="1815"/>
      <c r="Y62" s="1815"/>
      <c r="Z62" s="1816"/>
      <c r="AA62" s="1813"/>
      <c r="AB62" s="607" t="str">
        <f>AB60&amp;".2"</f>
        <v>3.0.2</v>
      </c>
      <c r="AC62" s="679" t="s">
        <v>1020</v>
      </c>
      <c r="AD62" s="680" t="s">
        <v>1021</v>
      </c>
      <c r="AE62" s="1401"/>
      <c r="AF62" s="1401"/>
      <c r="AG62" s="1401"/>
      <c r="AH62" s="1401"/>
      <c r="AI62" s="214"/>
      <c r="AJ62" s="214"/>
      <c r="AK62" s="1358"/>
      <c r="AL62" s="1325"/>
      <c r="AM62" s="1325"/>
      <c r="AN62" s="932" t="s">
        <v>1022</v>
      </c>
      <c r="AO62" s="932" t="s">
        <v>1029</v>
      </c>
      <c r="AP62" s="932" cm="1">
        <f t="array" ref="AP62">AP61</f>
        <v>0</v>
      </c>
      <c r="AQ62" s="183"/>
      <c r="AR62" s="183"/>
    </row>
    <row r="63" spans="1:44" s="1081" customFormat="1" ht="14.25" customHeight="1">
      <c r="A63" s="1325"/>
      <c r="B63" s="346"/>
      <c r="C63" s="781"/>
      <c r="D63" s="781"/>
      <c r="E63" s="782">
        <v>15</v>
      </c>
      <c r="F63" s="3" t="str" cm="1">
        <f t="array" aca="1" ref="F63" ca="1">OFFSET(E63,-1,1)</f>
        <v>1</v>
      </c>
      <c r="G63" s="286"/>
      <c r="H63" s="753"/>
      <c r="I63" s="71" t="str">
        <f>"!=='не определено' &amp;&amp; row.l3 !== null"</f>
        <v>!=='не определено' &amp;&amp; row.l3 !== null</v>
      </c>
      <c r="J63" s="781"/>
      <c r="K63" s="399"/>
      <c r="L63" s="399"/>
      <c r="M63" s="781"/>
      <c r="N63" s="781"/>
      <c r="O63" s="781"/>
      <c r="P63" s="781"/>
      <c r="Q63" s="781"/>
      <c r="R63" s="781"/>
      <c r="S63" s="781"/>
      <c r="T63" s="381" t="b">
        <f ca="1">F63&gt;0</f>
        <v>1</v>
      </c>
      <c r="U63" s="781"/>
      <c r="V63" s="781"/>
      <c r="W63" s="671" t="s">
        <v>814</v>
      </c>
      <c r="X63" s="1815"/>
      <c r="Y63" s="786"/>
      <c r="Z63" s="1816"/>
      <c r="AA63" s="781"/>
      <c r="AB63" s="787"/>
      <c r="AC63" s="176" t="s">
        <v>177</v>
      </c>
      <c r="AD63" s="690"/>
      <c r="AE63" s="690"/>
      <c r="AF63" s="690"/>
      <c r="AG63" s="690"/>
      <c r="AH63" s="690"/>
      <c r="AI63" s="690"/>
      <c r="AJ63" s="690"/>
      <c r="AK63" s="691"/>
      <c r="AL63" s="1325"/>
      <c r="AM63" s="1325"/>
      <c r="AN63" s="932"/>
      <c r="AO63" s="932"/>
      <c r="AP63" s="932"/>
      <c r="AQ63" s="183" t="s">
        <v>1029</v>
      </c>
      <c r="AR63" s="183"/>
    </row>
    <row r="64" spans="1:44" s="1081" customFormat="1" ht="21.75" customHeight="1">
      <c r="A64" s="1325"/>
      <c r="B64" s="346"/>
      <c r="C64" s="781"/>
      <c r="D64" s="781"/>
      <c r="E64" s="782">
        <v>22.5</v>
      </c>
      <c r="F64" s="3" t="str" cm="1">
        <f t="array" aca="1" ref="F64" ca="1">OFFSET(E64,-1,1)</f>
        <v>1</v>
      </c>
      <c r="G64" s="286" t="s">
        <v>1031</v>
      </c>
      <c r="H64" s="753" t="s">
        <v>327</v>
      </c>
      <c r="I64" s="753"/>
      <c r="J64" s="781"/>
      <c r="K64" s="399" t="str">
        <f ca="1">F64&amp;"4komm"</f>
        <v>14komm</v>
      </c>
      <c r="L64" s="823" cm="1">
        <f t="array" ref="L64">AK64</f>
        <v>0</v>
      </c>
      <c r="M64" s="781"/>
      <c r="N64" s="781"/>
      <c r="O64" s="781"/>
      <c r="P64" s="781"/>
      <c r="Q64" s="781"/>
      <c r="R64" s="781"/>
      <c r="S64" s="781"/>
      <c r="T64" s="381" t="b" cm="1">
        <f t="array" aca="1" ref="T64" ca="1">T63</f>
        <v>1</v>
      </c>
      <c r="U64" s="781"/>
      <c r="V64" s="781"/>
      <c r="W64" s="781"/>
      <c r="X64" s="1815"/>
      <c r="Y64" s="786"/>
      <c r="Z64" s="1816"/>
      <c r="AA64" s="781"/>
      <c r="AB64" s="607" t="s">
        <v>523</v>
      </c>
      <c r="AC64" s="761" t="s">
        <v>1032</v>
      </c>
      <c r="AD64" s="680" t="s">
        <v>766</v>
      </c>
      <c r="AE64" s="214">
        <f ca="1">AE59*SUMIFS(INDEX(Сценарии!$AE$25:$BF$82,,MATCH(AE$13,Сценарии!$AE$8:$BF$8,0)),Сценарии!$F$25:$F$82,$F64,Сценарии!$G$25:$G$82,"СВФОТ")/100</f>
        <v>0</v>
      </c>
      <c r="AF64" s="214">
        <f ca="1">AF59*SUMIFS(INDEX(Сценарии!$AE$25:$BF$82,,MATCH(AF$13,Сценарии!$AE$8:$BF$8,0)),Сценарии!$F$25:$F$82,$F64,Сценарии!$G$25:$G$82,"СВФОТ")/100</f>
        <v>0</v>
      </c>
      <c r="AG64" s="214">
        <f ca="1">AG59*SUMIFS(INDEX(Сценарии!$AE$25:$BF$82,,MATCH(AG$13,Сценарии!$AE$8:$BF$8,0)),Сценарии!$F$25:$F$82,$F64,Сценарии!$G$25:$G$82,"СВФОТ")/100</f>
        <v>0</v>
      </c>
      <c r="AH64" s="214">
        <f ca="1">AH59*SUMIFS(INDEX(Сценарии!$AE$25:$BF$82,,MATCH(AH$13,Сценарии!$AE$8:$BF$8,0)),Сценарии!$F$25:$F$82,$F64,Сценарии!$G$25:$G$82,"СВФОТ")/100</f>
        <v>0</v>
      </c>
      <c r="AI64" s="214">
        <f ca="1">AI59*SUMIFS(INDEX(Сценарии!$AE$25:$BF$82,,MATCH(AI$13,Сценарии!$AE$8:$BF$8,0)),Сценарии!$F$25:$F$82,$F64,Сценарии!$G$25:$G$82,"СВФОТ")/100</f>
        <v>0</v>
      </c>
      <c r="AJ64" s="214">
        <f ca="1">AJ59*SUMIFS(INDEX(Сценарии!$AE$25:$BF$82,,MATCH(AJ$13,Сценарии!$AE$8:$BF$8,0)),Сценарии!$F$25:$F$82,$F64,Сценарии!$G$25:$G$82,"СВФОТ")/100</f>
        <v>0</v>
      </c>
      <c r="AK64" s="760"/>
      <c r="AL64" s="1325"/>
      <c r="AM64" s="1325"/>
      <c r="AN64" s="932" t="s">
        <v>1033</v>
      </c>
      <c r="AO64" s="932"/>
      <c r="AP64" s="932"/>
      <c r="AQ64" s="183"/>
      <c r="AR64" s="183"/>
    </row>
    <row r="65" spans="1:44" s="1081" customFormat="1" ht="23.25" customHeight="1">
      <c r="A65" s="1325"/>
      <c r="B65" s="346"/>
      <c r="C65" s="781"/>
      <c r="D65" s="781"/>
      <c r="E65" s="782">
        <v>22.5</v>
      </c>
      <c r="F65" s="3" t="str" cm="1">
        <f t="array" aca="1" ref="F65" ca="1">OFFSET(E65,-1,1)</f>
        <v>1</v>
      </c>
      <c r="G65" s="286" t="s">
        <v>1034</v>
      </c>
      <c r="H65" s="753" t="s">
        <v>326</v>
      </c>
      <c r="I65" s="753"/>
      <c r="J65" s="781"/>
      <c r="K65" s="399" t="str">
        <f ca="1">F65&amp;"5komm"</f>
        <v>15komm</v>
      </c>
      <c r="L65" s="823" cm="1">
        <f t="array" ref="L65">AK65</f>
        <v>0</v>
      </c>
      <c r="M65" s="781"/>
      <c r="N65" s="781"/>
      <c r="O65" s="781"/>
      <c r="P65" s="781"/>
      <c r="Q65" s="781"/>
      <c r="R65" s="781"/>
      <c r="S65" s="781"/>
      <c r="T65" s="381" t="b" cm="1">
        <f t="array" aca="1" ref="T65" ca="1">T64</f>
        <v>1</v>
      </c>
      <c r="U65" s="781"/>
      <c r="V65" s="781"/>
      <c r="W65" s="781"/>
      <c r="X65" s="1815"/>
      <c r="Y65" s="786"/>
      <c r="Z65" s="1816"/>
      <c r="AA65" s="781"/>
      <c r="AB65" s="607" t="s">
        <v>478</v>
      </c>
      <c r="AC65" s="761" t="s">
        <v>1035</v>
      </c>
      <c r="AD65" s="680" t="s">
        <v>766</v>
      </c>
      <c r="AE65" s="214">
        <v>0</v>
      </c>
      <c r="AF65" s="214"/>
      <c r="AG65" s="214"/>
      <c r="AH65" s="214"/>
      <c r="AI65" s="131">
        <f>SUMIFS(AI66:AI69,$AD66:$AD69,$AD65)</f>
        <v>0</v>
      </c>
      <c r="AJ65" s="131">
        <f>SUMIFS(AJ66:AJ69,$AD66:$AD69,$AD65)</f>
        <v>0</v>
      </c>
      <c r="AK65" s="760"/>
      <c r="AL65" s="1325"/>
      <c r="AM65" s="1325"/>
      <c r="AN65" s="932" t="s">
        <v>1036</v>
      </c>
      <c r="AO65" s="932"/>
      <c r="AP65" s="932"/>
      <c r="AQ65" s="183"/>
      <c r="AR65" s="183"/>
    </row>
    <row r="66" spans="1:44" s="1081" customFormat="1" ht="18" hidden="1" customHeight="1">
      <c r="A66" s="1325"/>
      <c r="B66" s="346"/>
      <c r="C66" s="781"/>
      <c r="D66" s="781"/>
      <c r="E66" s="782">
        <v>18.75</v>
      </c>
      <c r="F66" s="3" t="str" cm="1">
        <f t="array" aca="1" ref="F66" ca="1">OFFSET(E66,-1,1)</f>
        <v>1</v>
      </c>
      <c r="G66" s="753"/>
      <c r="H66" s="753" t="s">
        <v>326</v>
      </c>
      <c r="I66" s="753" cm="1">
        <f t="array" ref="I66">AC66</f>
        <v>0</v>
      </c>
      <c r="J66" s="781"/>
      <c r="K66" s="399"/>
      <c r="L66" s="399"/>
      <c r="M66" s="781"/>
      <c r="N66" s="781"/>
      <c r="O66" s="781"/>
      <c r="P66" s="781"/>
      <c r="Q66" s="781"/>
      <c r="R66" s="781"/>
      <c r="S66" s="781"/>
      <c r="T66" s="381" t="b">
        <f ca="1">AND(F66&gt;0,Y66&gt;0)</f>
        <v>0</v>
      </c>
      <c r="U66" s="781"/>
      <c r="V66" s="781"/>
      <c r="W66" s="781" t="s">
        <v>173</v>
      </c>
      <c r="X66" s="1815"/>
      <c r="Y66" s="1815">
        <v>0</v>
      </c>
      <c r="Z66" s="1816"/>
      <c r="AA66" s="1813" t="s">
        <v>174</v>
      </c>
      <c r="AB66" s="216" t="str">
        <f>"5."&amp;Y66</f>
        <v>5.0</v>
      </c>
      <c r="AC66" s="1400"/>
      <c r="AD66" s="680" t="s">
        <v>766</v>
      </c>
      <c r="AE66" s="1401"/>
      <c r="AF66" s="1401"/>
      <c r="AG66" s="1401"/>
      <c r="AH66" s="1401"/>
      <c r="AI66" s="686">
        <f>AI67*AI68*12/1000</f>
        <v>0</v>
      </c>
      <c r="AJ66" s="686">
        <f>AJ67*AJ68*12/1000</f>
        <v>0</v>
      </c>
      <c r="AK66" s="1358"/>
      <c r="AL66" s="1325"/>
      <c r="AM66" s="1325"/>
      <c r="AN66" s="932" t="s">
        <v>1014</v>
      </c>
      <c r="AO66" s="932" t="s">
        <v>1037</v>
      </c>
      <c r="AP66" s="932" cm="1">
        <f t="array" ref="AP66">AC66</f>
        <v>0</v>
      </c>
      <c r="AQ66" s="183"/>
      <c r="AR66" s="183" t="b">
        <v>1</v>
      </c>
    </row>
    <row r="67" spans="1:44" s="1081" customFormat="1" ht="14.25" hidden="1" customHeight="1">
      <c r="A67" s="1325"/>
      <c r="B67" s="346"/>
      <c r="C67" s="781"/>
      <c r="D67" s="781"/>
      <c r="E67" s="782">
        <v>15</v>
      </c>
      <c r="F67" s="3" t="str" cm="1">
        <f t="array" aca="1" ref="F67" ca="1">OFFSET(E67,-1,1)</f>
        <v>1</v>
      </c>
      <c r="G67" s="753"/>
      <c r="H67" s="753" t="str">
        <f>H66&amp;"_1"</f>
        <v>l5_1</v>
      </c>
      <c r="I67" s="753" cm="1">
        <f t="array" ref="I67">I66</f>
        <v>0</v>
      </c>
      <c r="J67" s="781"/>
      <c r="K67" s="399"/>
      <c r="L67" s="399"/>
      <c r="M67" s="781"/>
      <c r="N67" s="781"/>
      <c r="O67" s="781"/>
      <c r="P67" s="781"/>
      <c r="Q67" s="781"/>
      <c r="R67" s="781"/>
      <c r="S67" s="781"/>
      <c r="T67" s="381" t="b" cm="1">
        <f t="array" aca="1" ref="T67" ca="1">T66</f>
        <v>0</v>
      </c>
      <c r="U67" s="781"/>
      <c r="V67" s="781"/>
      <c r="W67" s="781"/>
      <c r="X67" s="1815"/>
      <c r="Y67" s="1815"/>
      <c r="Z67" s="1816"/>
      <c r="AA67" s="1813"/>
      <c r="AB67" s="607" t="str">
        <f>AB66&amp;".1"</f>
        <v>5.0.1</v>
      </c>
      <c r="AC67" s="679" t="s">
        <v>1017</v>
      </c>
      <c r="AD67" s="680" t="s">
        <v>1018</v>
      </c>
      <c r="AE67" s="1401"/>
      <c r="AF67" s="1401"/>
      <c r="AG67" s="1401"/>
      <c r="AH67" s="1401"/>
      <c r="AI67" s="214"/>
      <c r="AJ67" s="214"/>
      <c r="AK67" s="1358"/>
      <c r="AL67" s="1325"/>
      <c r="AM67" s="1325"/>
      <c r="AN67" s="932" t="s">
        <v>1019</v>
      </c>
      <c r="AO67" s="932" t="s">
        <v>1037</v>
      </c>
      <c r="AP67" s="932" cm="1">
        <f t="array" ref="AP67">AP66</f>
        <v>0</v>
      </c>
      <c r="AQ67" s="183"/>
      <c r="AR67" s="183"/>
    </row>
    <row r="68" spans="1:44" s="1081" customFormat="1" ht="14.25" hidden="1" customHeight="1">
      <c r="A68" s="1325"/>
      <c r="B68" s="346"/>
      <c r="C68" s="781"/>
      <c r="D68" s="781"/>
      <c r="E68" s="782">
        <v>15</v>
      </c>
      <c r="F68" s="3" t="str" cm="1">
        <f t="array" aca="1" ref="F68" ca="1">OFFSET(E68,-1,1)</f>
        <v>1</v>
      </c>
      <c r="G68" s="753"/>
      <c r="H68" s="753" t="str">
        <f>H66&amp;"_2"</f>
        <v>l5_2</v>
      </c>
      <c r="I68" s="753" cm="1">
        <f t="array" ref="I68">I67</f>
        <v>0</v>
      </c>
      <c r="J68" s="781"/>
      <c r="K68" s="399"/>
      <c r="L68" s="399"/>
      <c r="M68" s="781"/>
      <c r="N68" s="781"/>
      <c r="O68" s="781"/>
      <c r="P68" s="781"/>
      <c r="Q68" s="781"/>
      <c r="R68" s="781"/>
      <c r="S68" s="781"/>
      <c r="T68" s="381" t="b" cm="1">
        <f t="array" aca="1" ref="T68" ca="1">T67</f>
        <v>0</v>
      </c>
      <c r="U68" s="781"/>
      <c r="V68" s="781"/>
      <c r="W68" s="781"/>
      <c r="X68" s="1815"/>
      <c r="Y68" s="1815"/>
      <c r="Z68" s="1816"/>
      <c r="AA68" s="1813"/>
      <c r="AB68" s="607" t="str">
        <f>AB66&amp;".2"</f>
        <v>5.0.2</v>
      </c>
      <c r="AC68" s="679" t="s">
        <v>1020</v>
      </c>
      <c r="AD68" s="680" t="s">
        <v>1021</v>
      </c>
      <c r="AE68" s="1401"/>
      <c r="AF68" s="1401"/>
      <c r="AG68" s="1401"/>
      <c r="AH68" s="1401"/>
      <c r="AI68" s="214"/>
      <c r="AJ68" s="214"/>
      <c r="AK68" s="1358"/>
      <c r="AL68" s="1325"/>
      <c r="AM68" s="1325"/>
      <c r="AN68" s="932" t="s">
        <v>1022</v>
      </c>
      <c r="AO68" s="932" t="s">
        <v>1037</v>
      </c>
      <c r="AP68" s="932" cm="1">
        <f t="array" ref="AP68">AP67</f>
        <v>0</v>
      </c>
      <c r="AQ68" s="183"/>
      <c r="AR68" s="183"/>
    </row>
    <row r="69" spans="1:44" s="1081" customFormat="1" ht="14.25" customHeight="1">
      <c r="A69" s="1325"/>
      <c r="B69" s="346"/>
      <c r="C69" s="781"/>
      <c r="D69" s="781"/>
      <c r="E69" s="782">
        <v>15</v>
      </c>
      <c r="F69" s="3" t="str" cm="1">
        <f t="array" aca="1" ref="F69" ca="1">OFFSET(E69,-1,1)</f>
        <v>1</v>
      </c>
      <c r="G69" s="286"/>
      <c r="H69" s="753"/>
      <c r="I69" s="71" t="str">
        <f>"!=='не определено' &amp;&amp; row.l5 !== null"</f>
        <v>!=='не определено' &amp;&amp; row.l5 !== null</v>
      </c>
      <c r="J69" s="781"/>
      <c r="K69" s="399"/>
      <c r="L69" s="399"/>
      <c r="M69" s="781"/>
      <c r="N69" s="781"/>
      <c r="O69" s="781"/>
      <c r="P69" s="781"/>
      <c r="Q69" s="781"/>
      <c r="R69" s="781"/>
      <c r="S69" s="781"/>
      <c r="T69" s="381" t="b">
        <f ca="1">F69&gt;0</f>
        <v>1</v>
      </c>
      <c r="U69" s="781"/>
      <c r="V69" s="781"/>
      <c r="W69" s="671" t="s">
        <v>1038</v>
      </c>
      <c r="X69" s="1815"/>
      <c r="Y69" s="786"/>
      <c r="Z69" s="1816"/>
      <c r="AA69" s="781"/>
      <c r="AB69" s="787"/>
      <c r="AC69" s="176" t="s">
        <v>177</v>
      </c>
      <c r="AD69" s="690"/>
      <c r="AE69" s="690"/>
      <c r="AF69" s="690"/>
      <c r="AG69" s="690"/>
      <c r="AH69" s="690"/>
      <c r="AI69" s="690"/>
      <c r="AJ69" s="690"/>
      <c r="AK69" s="691"/>
      <c r="AL69" s="1325"/>
      <c r="AM69" s="1325"/>
      <c r="AN69" s="932"/>
      <c r="AO69" s="932"/>
      <c r="AP69" s="932"/>
      <c r="AQ69" s="183" t="s">
        <v>1037</v>
      </c>
      <c r="AR69" s="183"/>
    </row>
    <row r="70" spans="1:44" s="1081" customFormat="1" ht="21.75" customHeight="1">
      <c r="A70" s="1325"/>
      <c r="B70" s="346"/>
      <c r="C70" s="781"/>
      <c r="D70" s="781"/>
      <c r="E70" s="782">
        <v>22.5</v>
      </c>
      <c r="F70" s="3" t="str" cm="1">
        <f t="array" aca="1" ref="F70" ca="1">OFFSET(E70,-1,1)</f>
        <v>1</v>
      </c>
      <c r="G70" s="286" t="s">
        <v>1039</v>
      </c>
      <c r="H70" s="753" t="s">
        <v>477</v>
      </c>
      <c r="I70" s="753"/>
      <c r="J70" s="781"/>
      <c r="K70" s="399" t="str">
        <f ca="1">F70&amp;"6komm"</f>
        <v>16komm</v>
      </c>
      <c r="L70" s="399" cm="1">
        <f t="array" ref="L70">AK70</f>
        <v>0</v>
      </c>
      <c r="M70" s="781"/>
      <c r="N70" s="781"/>
      <c r="O70" s="781"/>
      <c r="P70" s="781"/>
      <c r="Q70" s="781"/>
      <c r="R70" s="781"/>
      <c r="S70" s="781"/>
      <c r="T70" s="381" t="b" cm="1">
        <f t="array" aca="1" ref="T70" ca="1">T69</f>
        <v>1</v>
      </c>
      <c r="U70" s="781"/>
      <c r="V70" s="781"/>
      <c r="W70" s="781"/>
      <c r="X70" s="1815"/>
      <c r="Y70" s="786"/>
      <c r="Z70" s="1816"/>
      <c r="AA70" s="781"/>
      <c r="AB70" s="607" t="s">
        <v>482</v>
      </c>
      <c r="AC70" s="761" t="s">
        <v>1040</v>
      </c>
      <c r="AD70" s="680" t="s">
        <v>766</v>
      </c>
      <c r="AE70" s="214">
        <f ca="1">AE65*SUMIFS(INDEX(Сценарии!$AE$25:$BF$82,,MATCH(AE$13,Сценарии!$AE$8:$BF$8,0)),Сценарии!$F$25:$F$82,$F70,Сценарии!$G$25:$G$82,"СВФОТ")/100</f>
        <v>0</v>
      </c>
      <c r="AF70" s="214">
        <f ca="1">AF65*SUMIFS(INDEX(Сценарии!$AE$25:$BF$82,,MATCH(AF$13,Сценарии!$AE$8:$BF$8,0)),Сценарии!$F$25:$F$82,$F70,Сценарии!$G$25:$G$82,"СВФОТ")/100</f>
        <v>0</v>
      </c>
      <c r="AG70" s="214">
        <f ca="1">AG65*SUMIFS(INDEX(Сценарии!$AE$25:$BF$82,,MATCH(AG$13,Сценарии!$AE$8:$BF$8,0)),Сценарии!$F$25:$F$82,$F70,Сценарии!$G$25:$G$82,"СВФОТ")/100</f>
        <v>0</v>
      </c>
      <c r="AH70" s="214">
        <f ca="1">AH65*SUMIFS(INDEX(Сценарии!$AE$25:$BF$82,,MATCH(AH$13,Сценарии!$AE$8:$BF$8,0)),Сценарии!$F$25:$F$82,$F70,Сценарии!$G$25:$G$82,"СВФОТ")/100</f>
        <v>0</v>
      </c>
      <c r="AI70" s="214">
        <f ca="1">AI65*SUMIFS(INDEX(Сценарии!$AE$25:$BF$82,,MATCH(AI$13,Сценарии!$AE$8:$BF$8,0)),Сценарии!$F$25:$F$82,$F70,Сценарии!$G$25:$G$82,"СВФОТ")/100</f>
        <v>0</v>
      </c>
      <c r="AJ70" s="214">
        <f ca="1">AJ65*SUMIFS(INDEX(Сценарии!$AE$25:$BF$82,,MATCH(AJ$13,Сценарии!$AE$8:$BF$8,0)),Сценарии!$F$25:$F$82,$F70,Сценарии!$G$25:$G$82,"СВФОТ")/100</f>
        <v>0</v>
      </c>
      <c r="AK70" s="824"/>
      <c r="AL70" s="1325"/>
      <c r="AM70" s="1325"/>
      <c r="AN70" s="932" t="s">
        <v>1041</v>
      </c>
      <c r="AO70" s="932"/>
      <c r="AP70" s="932"/>
      <c r="AQ70" s="183"/>
      <c r="AR70" s="183"/>
    </row>
    <row r="71" spans="1:44" s="1081" customFormat="1" ht="14.65" customHeight="1">
      <c r="A71" s="1325"/>
      <c r="B71" s="346"/>
      <c r="C71" s="781"/>
      <c r="D71" s="781"/>
      <c r="E71" s="782">
        <v>15</v>
      </c>
      <c r="F71" s="3" t="str" cm="1">
        <f t="array" aca="1" ref="F71" ca="1">OFFSET(E71,-1,1)</f>
        <v>1</v>
      </c>
      <c r="G71" s="286" t="s">
        <v>1042</v>
      </c>
      <c r="H71" s="753" t="s">
        <v>481</v>
      </c>
      <c r="I71" s="753"/>
      <c r="J71" s="781"/>
      <c r="K71" s="399" t="str">
        <f ca="1">F71&amp;"7komm"</f>
        <v>17komm</v>
      </c>
      <c r="L71" s="399" cm="1">
        <f t="array" ref="L71">AK71</f>
        <v>0</v>
      </c>
      <c r="M71" s="781"/>
      <c r="N71" s="781"/>
      <c r="O71" s="781"/>
      <c r="P71" s="781"/>
      <c r="Q71" s="781"/>
      <c r="R71" s="781"/>
      <c r="S71" s="781"/>
      <c r="T71" s="381" t="b" cm="1">
        <f t="array" aca="1" ref="T71" ca="1">T70</f>
        <v>1</v>
      </c>
      <c r="U71" s="781"/>
      <c r="V71" s="781"/>
      <c r="W71" s="781"/>
      <c r="X71" s="1815"/>
      <c r="Y71" s="786"/>
      <c r="Z71" s="1816"/>
      <c r="AA71" s="781"/>
      <c r="AB71" s="607" t="s">
        <v>544</v>
      </c>
      <c r="AC71" s="761" t="s">
        <v>1043</v>
      </c>
      <c r="AD71" s="680" t="s">
        <v>766</v>
      </c>
      <c r="AE71" s="214">
        <v>0</v>
      </c>
      <c r="AF71" s="214"/>
      <c r="AG71" s="214"/>
      <c r="AH71" s="214"/>
      <c r="AI71" s="131">
        <f>SUMIFS(AI72:AI75,$AD72:$AD75,$AD71)</f>
        <v>0</v>
      </c>
      <c r="AJ71" s="131">
        <f>SUMIFS(AJ72:AJ75,$AD72:$AD75,$AD71)</f>
        <v>0</v>
      </c>
      <c r="AK71" s="824"/>
      <c r="AL71" s="1325"/>
      <c r="AM71" s="1325"/>
      <c r="AN71" s="932" t="s">
        <v>1044</v>
      </c>
      <c r="AO71" s="932"/>
      <c r="AP71" s="932"/>
      <c r="AQ71" s="183"/>
      <c r="AR71" s="183"/>
    </row>
    <row r="72" spans="1:44" s="1081" customFormat="1" ht="18" hidden="1" customHeight="1">
      <c r="A72" s="1325"/>
      <c r="B72" s="1325"/>
      <c r="C72" s="788"/>
      <c r="D72" s="788"/>
      <c r="E72" s="789">
        <v>18.75</v>
      </c>
      <c r="F72" s="3" t="str" cm="1">
        <f t="array" aca="1" ref="F72" ca="1">OFFSET(E72,-1,1)</f>
        <v>1</v>
      </c>
      <c r="G72" s="785"/>
      <c r="H72" s="753" t="s">
        <v>481</v>
      </c>
      <c r="I72" s="785" cm="1">
        <f t="array" ref="I72">AC72</f>
        <v>0</v>
      </c>
      <c r="J72" s="788"/>
      <c r="K72" s="822"/>
      <c r="L72" s="822"/>
      <c r="M72" s="788"/>
      <c r="N72" s="788"/>
      <c r="O72" s="788"/>
      <c r="P72" s="788"/>
      <c r="Q72" s="788"/>
      <c r="R72" s="788"/>
      <c r="S72" s="788"/>
      <c r="T72" s="381" t="b">
        <f ca="1">AND(F72&gt;0,Y72&gt;0)</f>
        <v>0</v>
      </c>
      <c r="U72" s="788"/>
      <c r="V72" s="788"/>
      <c r="W72" s="781" t="s">
        <v>173</v>
      </c>
      <c r="X72" s="1815"/>
      <c r="Y72" s="1815">
        <v>0</v>
      </c>
      <c r="Z72" s="1816"/>
      <c r="AA72" s="1813" t="s">
        <v>174</v>
      </c>
      <c r="AB72" s="1122" t="str">
        <f>"7."&amp;Y72</f>
        <v>7.0</v>
      </c>
      <c r="AC72" s="1403"/>
      <c r="AD72" s="790" t="s">
        <v>766</v>
      </c>
      <c r="AE72" s="1404"/>
      <c r="AF72" s="1404"/>
      <c r="AG72" s="1404"/>
      <c r="AH72" s="1404"/>
      <c r="AI72" s="791">
        <f>AI73*AI74*12/1000</f>
        <v>0</v>
      </c>
      <c r="AJ72" s="791">
        <f>AJ73*AJ74*12/1000</f>
        <v>0</v>
      </c>
      <c r="AK72" s="1405"/>
      <c r="AL72" s="1325"/>
      <c r="AM72" s="1325"/>
      <c r="AN72" s="932" t="s">
        <v>1014</v>
      </c>
      <c r="AO72" s="948" t="s">
        <v>1045</v>
      </c>
      <c r="AP72" s="932" cm="1">
        <f t="array" ref="AP72">AC72</f>
        <v>0</v>
      </c>
      <c r="AQ72" s="949"/>
      <c r="AR72" s="183" t="b">
        <v>1</v>
      </c>
    </row>
    <row r="73" spans="1:44" s="1081" customFormat="1" ht="14.25" hidden="1" customHeight="1">
      <c r="A73" s="1325"/>
      <c r="B73" s="1325"/>
      <c r="C73" s="788"/>
      <c r="D73" s="788"/>
      <c r="E73" s="789">
        <v>15</v>
      </c>
      <c r="F73" s="3" t="str" cm="1">
        <f t="array" aca="1" ref="F73" ca="1">OFFSET(E73,-1,1)</f>
        <v>1</v>
      </c>
      <c r="G73" s="785"/>
      <c r="H73" s="785" t="str">
        <f>H72&amp;"_1"</f>
        <v>l7_1</v>
      </c>
      <c r="I73" s="785" cm="1">
        <f t="array" ref="I73">I72</f>
        <v>0</v>
      </c>
      <c r="J73" s="788"/>
      <c r="K73" s="822"/>
      <c r="L73" s="822"/>
      <c r="M73" s="788"/>
      <c r="N73" s="788"/>
      <c r="O73" s="788"/>
      <c r="P73" s="788"/>
      <c r="Q73" s="788"/>
      <c r="R73" s="788"/>
      <c r="S73" s="788"/>
      <c r="T73" s="381" t="b" cm="1">
        <f t="array" aca="1" ref="T73" ca="1">T72</f>
        <v>0</v>
      </c>
      <c r="U73" s="788"/>
      <c r="V73" s="788"/>
      <c r="W73" s="788"/>
      <c r="X73" s="1815"/>
      <c r="Y73" s="1815"/>
      <c r="Z73" s="1816"/>
      <c r="AA73" s="1813"/>
      <c r="AB73" s="792" t="str">
        <f>AB72&amp;".1"</f>
        <v>7.0.1</v>
      </c>
      <c r="AC73" s="793" t="s">
        <v>1017</v>
      </c>
      <c r="AD73" s="790" t="s">
        <v>1018</v>
      </c>
      <c r="AE73" s="1404"/>
      <c r="AF73" s="1404"/>
      <c r="AG73" s="1404"/>
      <c r="AH73" s="1404"/>
      <c r="AI73" s="794"/>
      <c r="AJ73" s="794"/>
      <c r="AK73" s="1405"/>
      <c r="AL73" s="1325"/>
      <c r="AM73" s="1325"/>
      <c r="AN73" s="932" t="s">
        <v>1019</v>
      </c>
      <c r="AO73" s="948" t="s">
        <v>1045</v>
      </c>
      <c r="AP73" s="932" cm="1">
        <f t="array" ref="AP73">AP72</f>
        <v>0</v>
      </c>
      <c r="AQ73" s="949"/>
      <c r="AR73" s="949"/>
    </row>
    <row r="74" spans="1:44" s="1081" customFormat="1" ht="14.25" hidden="1" customHeight="1">
      <c r="A74" s="1325"/>
      <c r="B74" s="1325"/>
      <c r="C74" s="788"/>
      <c r="D74" s="788"/>
      <c r="E74" s="789">
        <v>15</v>
      </c>
      <c r="F74" s="3" t="str" cm="1">
        <f t="array" aca="1" ref="F74" ca="1">OFFSET(E74,-1,1)</f>
        <v>1</v>
      </c>
      <c r="G74" s="785"/>
      <c r="H74" s="785" t="str">
        <f>H72&amp;"_2"</f>
        <v>l7_2</v>
      </c>
      <c r="I74" s="785" cm="1">
        <f t="array" ref="I74">I73</f>
        <v>0</v>
      </c>
      <c r="J74" s="788"/>
      <c r="K74" s="822"/>
      <c r="L74" s="822"/>
      <c r="M74" s="788"/>
      <c r="N74" s="788"/>
      <c r="O74" s="788"/>
      <c r="P74" s="788"/>
      <c r="Q74" s="788"/>
      <c r="R74" s="788"/>
      <c r="S74" s="788"/>
      <c r="T74" s="381" t="b" cm="1">
        <f t="array" aca="1" ref="T74" ca="1">T73</f>
        <v>0</v>
      </c>
      <c r="U74" s="788"/>
      <c r="V74" s="788"/>
      <c r="W74" s="788"/>
      <c r="X74" s="1815"/>
      <c r="Y74" s="1815"/>
      <c r="Z74" s="1816"/>
      <c r="AA74" s="1813"/>
      <c r="AB74" s="792" t="str">
        <f>AB72&amp;".2"</f>
        <v>7.0.2</v>
      </c>
      <c r="AC74" s="793" t="s">
        <v>1020</v>
      </c>
      <c r="AD74" s="790" t="s">
        <v>1021</v>
      </c>
      <c r="AE74" s="1404"/>
      <c r="AF74" s="1404"/>
      <c r="AG74" s="1404"/>
      <c r="AH74" s="1404"/>
      <c r="AI74" s="794"/>
      <c r="AJ74" s="794"/>
      <c r="AK74" s="1405"/>
      <c r="AL74" s="1325"/>
      <c r="AM74" s="1325"/>
      <c r="AN74" s="932" t="s">
        <v>1022</v>
      </c>
      <c r="AO74" s="948" t="s">
        <v>1045</v>
      </c>
      <c r="AP74" s="932" cm="1">
        <f t="array" ref="AP74">AP73</f>
        <v>0</v>
      </c>
      <c r="AQ74" s="949"/>
      <c r="AR74" s="949"/>
    </row>
    <row r="75" spans="1:44" s="1081" customFormat="1" ht="14.25" customHeight="1">
      <c r="A75" s="1325"/>
      <c r="B75" s="346"/>
      <c r="C75" s="781"/>
      <c r="D75" s="781"/>
      <c r="E75" s="782">
        <v>15</v>
      </c>
      <c r="F75" s="3" t="str" cm="1">
        <f t="array" aca="1" ref="F75" ca="1">OFFSET(E75,-1,1)</f>
        <v>1</v>
      </c>
      <c r="G75" s="286"/>
      <c r="H75" s="753"/>
      <c r="I75" s="71" t="str">
        <f>"!=='не определено' &amp;&amp; row.l7 !== null"</f>
        <v>!=='не определено' &amp;&amp; row.l7 !== null</v>
      </c>
      <c r="J75" s="781"/>
      <c r="K75" s="399"/>
      <c r="L75" s="399"/>
      <c r="M75" s="781"/>
      <c r="N75" s="781"/>
      <c r="O75" s="781"/>
      <c r="P75" s="781"/>
      <c r="Q75" s="781"/>
      <c r="R75" s="781"/>
      <c r="S75" s="781"/>
      <c r="T75" s="381" t="b">
        <f ca="1">F75&gt;0</f>
        <v>1</v>
      </c>
      <c r="U75" s="781"/>
      <c r="V75" s="781"/>
      <c r="W75" s="671" t="s">
        <v>1046</v>
      </c>
      <c r="X75" s="1815"/>
      <c r="Y75" s="781"/>
      <c r="Z75" s="1816"/>
      <c r="AA75" s="781"/>
      <c r="AB75" s="787"/>
      <c r="AC75" s="176" t="s">
        <v>177</v>
      </c>
      <c r="AD75" s="690"/>
      <c r="AE75" s="690"/>
      <c r="AF75" s="690"/>
      <c r="AG75" s="690"/>
      <c r="AH75" s="690"/>
      <c r="AI75" s="690"/>
      <c r="AJ75" s="690"/>
      <c r="AK75" s="691"/>
      <c r="AL75" s="1325"/>
      <c r="AM75" s="1325"/>
      <c r="AN75" s="932"/>
      <c r="AO75" s="932"/>
      <c r="AP75" s="932"/>
      <c r="AQ75" s="949" t="s">
        <v>1045</v>
      </c>
      <c r="AR75" s="183"/>
    </row>
    <row r="76" spans="1:44" s="1081" customFormat="1" ht="21.75" customHeight="1">
      <c r="A76" s="1325"/>
      <c r="B76" s="346"/>
      <c r="C76" s="781"/>
      <c r="D76" s="781"/>
      <c r="E76" s="782">
        <v>22.5</v>
      </c>
      <c r="F76" s="3" t="str" cm="1">
        <f t="array" aca="1" ref="F76" ca="1">OFFSET(E76,-1,1)</f>
        <v>1</v>
      </c>
      <c r="G76" s="286" t="s">
        <v>1047</v>
      </c>
      <c r="H76" s="753" t="s">
        <v>528</v>
      </c>
      <c r="I76" s="753"/>
      <c r="J76" s="781"/>
      <c r="K76" s="399" t="str">
        <f ca="1">F76&amp;"8komm"</f>
        <v>18komm</v>
      </c>
      <c r="L76" s="823" cm="1">
        <f t="array" ref="L76">AK76</f>
        <v>0</v>
      </c>
      <c r="M76" s="781"/>
      <c r="N76" s="781"/>
      <c r="O76" s="781"/>
      <c r="P76" s="781"/>
      <c r="Q76" s="781"/>
      <c r="R76" s="781"/>
      <c r="S76" s="781"/>
      <c r="T76" s="381" t="b" cm="1">
        <f t="array" aca="1" ref="T76" ca="1">T75</f>
        <v>1</v>
      </c>
      <c r="U76" s="781"/>
      <c r="V76" s="781"/>
      <c r="W76" s="781"/>
      <c r="X76" s="1815"/>
      <c r="Y76" s="781"/>
      <c r="Z76" s="1816"/>
      <c r="AA76" s="781"/>
      <c r="AB76" s="607" t="s">
        <v>552</v>
      </c>
      <c r="AC76" s="761" t="s">
        <v>1048</v>
      </c>
      <c r="AD76" s="680" t="s">
        <v>766</v>
      </c>
      <c r="AE76" s="214">
        <f ca="1">AE71*SUMIFS(INDEX(Сценарии!$AE$25:$BF$82,,MATCH(AE$13,Сценарии!$AE$8:$BF$8,0)),Сценарии!$F$25:$F$82,$F76,Сценарии!$G$25:$G$82,"СВФОТ")/100</f>
        <v>0</v>
      </c>
      <c r="AF76" s="214">
        <f ca="1">AF71*SUMIFS(INDEX(Сценарии!$AE$25:$BF$82,,MATCH(AF$13,Сценарии!$AE$8:$BF$8,0)),Сценарии!$F$25:$F$82,$F76,Сценарии!$G$25:$G$82,"СВФОТ")/100</f>
        <v>0</v>
      </c>
      <c r="AG76" s="214">
        <f ca="1">AG71*SUMIFS(INDEX(Сценарии!$AE$25:$BF$82,,MATCH(AG$13,Сценарии!$AE$8:$BF$8,0)),Сценарии!$F$25:$F$82,$F76,Сценарии!$G$25:$G$82,"СВФОТ")/100</f>
        <v>0</v>
      </c>
      <c r="AH76" s="214">
        <f ca="1">AH71*SUMIFS(INDEX(Сценарии!$AE$25:$BF$82,,MATCH(AH$13,Сценарии!$AE$8:$BF$8,0)),Сценарии!$F$25:$F$82,$F76,Сценарии!$G$25:$G$82,"СВФОТ")/100</f>
        <v>0</v>
      </c>
      <c r="AI76" s="214">
        <f ca="1">AI71*SUMIFS(INDEX(Сценарии!$AE$25:$BF$82,,MATCH(AI$13,Сценарии!$AE$8:$BF$8,0)),Сценарии!$F$25:$F$82,$F76,Сценарии!$G$25:$G$82,"СВФОТ")/100</f>
        <v>0</v>
      </c>
      <c r="AJ76" s="214">
        <f ca="1">AJ71*SUMIFS(INDEX(Сценарии!$AE$25:$BF$82,,MATCH(AJ$13,Сценарии!$AE$8:$BF$8,0)),Сценарии!$F$25:$F$82,$F76,Сценарии!$G$25:$G$82,"СВФОТ")/100</f>
        <v>0</v>
      </c>
      <c r="AK76" s="760"/>
      <c r="AL76" s="1325"/>
      <c r="AM76" s="1325"/>
      <c r="AN76" s="932" t="s">
        <v>1049</v>
      </c>
      <c r="AO76" s="932"/>
      <c r="AP76" s="932"/>
      <c r="AQ76" s="183"/>
      <c r="AR76" s="183"/>
    </row>
    <row r="77" spans="1:44" s="1327" customFormat="1" ht="10.9" customHeight="1">
      <c r="A77" s="385"/>
      <c r="B77" s="575"/>
      <c r="C77" s="398"/>
      <c r="D77" s="398"/>
      <c r="E77" s="780">
        <v>11.25</v>
      </c>
      <c r="F77" s="398"/>
      <c r="G77" s="398"/>
      <c r="H77" s="398"/>
      <c r="I77" s="398"/>
      <c r="J77" s="398"/>
      <c r="K77" s="820"/>
      <c r="L77" s="820"/>
      <c r="M77" s="398"/>
      <c r="N77" s="398"/>
      <c r="O77" s="398"/>
      <c r="P77" s="398"/>
      <c r="Q77" s="398"/>
      <c r="R77" s="398"/>
      <c r="S77" s="398"/>
      <c r="T77" s="398"/>
      <c r="U77" s="398" t="s">
        <v>177</v>
      </c>
      <c r="V77" s="763" t="s">
        <v>1050</v>
      </c>
      <c r="W77" s="398"/>
      <c r="X77" s="398"/>
      <c r="Y77" s="398"/>
      <c r="Z77" s="398"/>
      <c r="AA77" s="398"/>
      <c r="AB77" s="398"/>
      <c r="AC77" s="398"/>
      <c r="AD77" s="398"/>
      <c r="AE77" s="398"/>
      <c r="AF77" s="398"/>
      <c r="AG77"/>
      <c r="AH77"/>
      <c r="AI77"/>
      <c r="AJ77"/>
      <c r="AK77"/>
      <c r="AN77" s="921"/>
      <c r="AO77" s="921"/>
      <c r="AP77" s="921"/>
      <c r="AQ77" s="603"/>
      <c r="AR77" s="603"/>
    </row>
    <row r="78" spans="1:44" ht="14.65" customHeight="1">
      <c r="C78" s="409"/>
      <c r="D78" s="409"/>
      <c r="E78" s="754">
        <v>15</v>
      </c>
      <c r="F78" s="409"/>
      <c r="G78" s="409"/>
      <c r="H78" s="409"/>
      <c r="I78" s="409"/>
      <c r="J78" s="409"/>
      <c r="M78" s="409"/>
      <c r="N78" s="409"/>
      <c r="O78" s="409"/>
      <c r="P78" s="409"/>
      <c r="Q78" s="409"/>
      <c r="R78" s="286"/>
      <c r="S78" s="409"/>
      <c r="T78" s="409"/>
      <c r="U78" s="409"/>
      <c r="V78" s="409"/>
      <c r="W78" s="409"/>
      <c r="X78" s="409"/>
      <c r="Y78" s="409"/>
      <c r="Z78" s="409"/>
      <c r="AA78" s="409"/>
      <c r="AB78" s="1758" t="s">
        <v>394</v>
      </c>
      <c r="AC78" s="1758"/>
      <c r="AD78" s="1758"/>
      <c r="AE78" s="1758"/>
      <c r="AF78" s="1758"/>
      <c r="AG78" s="1758"/>
      <c r="AH78" s="1758"/>
      <c r="AI78" s="1818"/>
      <c r="AJ78" s="1818"/>
      <c r="AK78" s="1818"/>
    </row>
    <row r="79" spans="1:44" ht="14.65" customHeight="1">
      <c r="E79" s="549">
        <v>15</v>
      </c>
      <c r="AA79" s="578"/>
      <c r="AB79" s="1790"/>
      <c r="AC79" s="1790"/>
      <c r="AD79" s="1790"/>
      <c r="AE79" s="1790"/>
      <c r="AF79" s="1790"/>
      <c r="AG79" s="1790"/>
      <c r="AH79" s="1790"/>
      <c r="AI79" s="1791"/>
      <c r="AJ79" s="1791"/>
      <c r="AK79" s="1791"/>
    </row>
    <row r="80" spans="1:44" ht="14.65" hidden="1" customHeight="1">
      <c r="E80" s="549">
        <v>15</v>
      </c>
      <c r="T80" s="381" t="b">
        <f>ROW(W80)&gt;ROW(W$80)</f>
        <v>0</v>
      </c>
      <c r="W80" s="671" t="s">
        <v>173</v>
      </c>
      <c r="AA80" s="579" t="s">
        <v>174</v>
      </c>
      <c r="AB80" s="1802" t="s">
        <v>231</v>
      </c>
      <c r="AC80" s="1802"/>
      <c r="AD80" s="1802"/>
      <c r="AE80" s="1802"/>
      <c r="AF80" s="1802"/>
      <c r="AG80" s="1802"/>
      <c r="AH80" s="1802"/>
      <c r="AI80" s="1791"/>
      <c r="AJ80" s="1791"/>
      <c r="AK80" s="1803"/>
    </row>
    <row r="81" spans="5:38" ht="14.65" customHeight="1">
      <c r="E81" s="549">
        <v>15</v>
      </c>
      <c r="W81" s="671" t="s">
        <v>395</v>
      </c>
      <c r="AB81" s="599"/>
      <c r="AC81" s="430" t="s">
        <v>396</v>
      </c>
      <c r="AD81" s="224"/>
      <c r="AE81" s="224"/>
      <c r="AF81" s="225"/>
      <c r="AG81" s="225"/>
      <c r="AH81" s="225"/>
      <c r="AI81" s="225"/>
      <c r="AJ81" s="225"/>
      <c r="AK81" s="226"/>
    </row>
    <row r="82" spans="5:38" ht="10.7" customHeight="1">
      <c r="E82" s="549">
        <v>11</v>
      </c>
      <c r="AL82" s="343"/>
    </row>
  </sheetData>
  <sheetProtection formatColumns="0" formatRows="0" insertRows="0" deleteColumns="0" deleteRows="0" sort="0" autoFilter="0"/>
  <mergeCells count="27">
    <mergeCell ref="X52:X76"/>
    <mergeCell ref="Z52:Z76"/>
    <mergeCell ref="AA54:AA56"/>
    <mergeCell ref="AA60:AA62"/>
    <mergeCell ref="AA66:AA68"/>
    <mergeCell ref="AA72:AA74"/>
    <mergeCell ref="Y54:Y56"/>
    <mergeCell ref="Y60:Y62"/>
    <mergeCell ref="Y66:Y68"/>
    <mergeCell ref="Y72:Y74"/>
    <mergeCell ref="AB24:AB25"/>
    <mergeCell ref="AC24:AC25"/>
    <mergeCell ref="AD24:AD25"/>
    <mergeCell ref="AK24:AK25"/>
    <mergeCell ref="AB80:AK80"/>
    <mergeCell ref="AB78:AK78"/>
    <mergeCell ref="AB79:AK79"/>
    <mergeCell ref="X27:X51"/>
    <mergeCell ref="Z27:Z51"/>
    <mergeCell ref="AA29:AA31"/>
    <mergeCell ref="AA35:AA37"/>
    <mergeCell ref="AA41:AA43"/>
    <mergeCell ref="AA47:AA49"/>
    <mergeCell ref="Y29:Y31"/>
    <mergeCell ref="Y35:Y37"/>
    <mergeCell ref="Y41:Y43"/>
    <mergeCell ref="Y47:Y49"/>
  </mergeCells>
  <dataValidations count="1">
    <dataValidation type="decimal" allowBlank="1" showErrorMessage="1" errorTitle="Ошибка" error="Допускается ввод только неотрицательных чисел!" sqref="AJ51 AJ54:AJ56 AJ58 AJ60:AJ62 AJ64 AJ66:AJ68 AJ70 AJ72:AJ74 AJ76 AI51 AI54:AI56 AI58 AI60:AI62 AI64 AI66:AI68 AI70 AI72:AI74 AI76 AH51 AH53 AH58:AH59 AH64:AH65 AH70:AH71 AH76 AG51 AG53 AG58:AG59 AG64:AG65 AG70:AG71 AG76 AF51 AF53 AF58:AF59 AF64:AF65 AF70:AF71 AF76 AE51 AE53 AE58:AE59 AE64:AE65 AE70:AE71 AE76 AI47:AJ49 AE46:AH46 AE45:AJ45 AI41:AJ43 AE40:AH40 AE39:AJ39 AI35:AJ37 AE34:AH34 AE33:AJ33 AI29:AJ31 AE28:AH28">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
  <sheetViews>
    <sheetView showGridLines="0" showRowColHeaders="0" workbookViewId="0"/>
  </sheetViews>
  <sheetFormatPr defaultColWidth="10.42578125" defaultRowHeight="12.6" customHeight="1"/>
  <cols>
    <col min="1" max="1" width="5.140625" style="1067" customWidth="1"/>
    <col min="2" max="2" width="8.5703125" style="354" customWidth="1"/>
    <col min="3" max="3" width="15.5703125" style="1067" customWidth="1"/>
    <col min="4" max="25" width="6" style="1067" customWidth="1"/>
    <col min="26" max="27" width="10.42578125" style="1067"/>
  </cols>
  <sheetData>
    <row r="1" spans="1:27" ht="15.75" customHeight="1">
      <c r="A1" s="1035"/>
      <c r="B1" s="353"/>
      <c r="C1" s="1036"/>
      <c r="D1" s="1036"/>
      <c r="E1" s="1036"/>
      <c r="F1" s="1036"/>
      <c r="G1" s="1036"/>
      <c r="H1" s="1036"/>
      <c r="I1" s="1036"/>
      <c r="J1" s="1036"/>
      <c r="K1" s="1036"/>
      <c r="L1" s="1036"/>
      <c r="M1" s="1036"/>
      <c r="N1" s="1036"/>
      <c r="O1" s="1036"/>
      <c r="P1" s="1036"/>
      <c r="Q1" s="1036"/>
      <c r="R1" s="1036"/>
      <c r="S1" s="1036"/>
      <c r="T1" s="1036"/>
      <c r="U1" s="1036"/>
      <c r="V1" s="1036"/>
      <c r="W1" s="1036"/>
      <c r="X1" s="1036"/>
      <c r="Y1" s="1037"/>
      <c r="Z1" s="1036"/>
      <c r="AA1" s="1038" t="s">
        <v>3</v>
      </c>
    </row>
    <row r="2" spans="1:27" s="354" customFormat="1" ht="17.25" customHeight="1">
      <c r="A2" s="1039"/>
      <c r="B2" s="1661" t="s">
        <v>4</v>
      </c>
      <c r="C2" s="1661"/>
      <c r="D2" s="1661"/>
      <c r="E2" s="1661"/>
      <c r="F2" s="1661"/>
      <c r="G2" s="1661"/>
      <c r="H2" s="1661"/>
      <c r="I2" s="1661"/>
      <c r="J2" s="1661"/>
      <c r="K2" s="1661"/>
      <c r="L2" s="1661"/>
      <c r="M2" s="1661"/>
      <c r="N2" s="1661"/>
      <c r="O2" s="1661"/>
      <c r="P2" s="1661"/>
      <c r="Q2" s="1040"/>
      <c r="R2" s="1040"/>
      <c r="S2" s="1040"/>
      <c r="T2" s="1040"/>
      <c r="U2" s="1040"/>
      <c r="V2" s="1041"/>
      <c r="W2" s="1040"/>
      <c r="X2" s="1040"/>
      <c r="Y2" s="1042"/>
      <c r="Z2" s="1039"/>
      <c r="AA2" s="1039"/>
    </row>
    <row r="3" spans="1:27" ht="15.75" customHeight="1">
      <c r="A3" s="1036"/>
      <c r="B3" s="1662" t="s">
        <v>5</v>
      </c>
      <c r="C3" s="1662"/>
      <c r="D3" s="1662"/>
      <c r="E3" s="1662"/>
      <c r="F3" s="1662"/>
      <c r="G3" s="1662"/>
      <c r="H3" s="1662"/>
      <c r="I3" s="1662"/>
      <c r="J3" s="1662"/>
      <c r="K3" s="1662"/>
      <c r="L3" s="1662"/>
      <c r="M3" s="1662"/>
      <c r="N3" s="1662"/>
      <c r="O3" s="1662"/>
      <c r="P3" s="1662"/>
      <c r="Q3" s="1043"/>
      <c r="R3" s="1043"/>
      <c r="S3" s="1044"/>
      <c r="T3" s="1044"/>
      <c r="U3" s="1044"/>
      <c r="V3" s="1043"/>
      <c r="W3" s="1043"/>
      <c r="X3" s="1043"/>
      <c r="Y3" s="1043"/>
      <c r="Z3" s="1036"/>
      <c r="AA3" s="339"/>
    </row>
    <row r="4" spans="1:27" ht="16.5" customHeight="1">
      <c r="A4" s="1036"/>
      <c r="B4" s="355"/>
      <c r="C4" s="1036"/>
      <c r="D4" s="1043"/>
      <c r="E4" s="1043"/>
      <c r="F4" s="1043"/>
      <c r="G4" s="1043"/>
      <c r="H4" s="1043"/>
      <c r="I4" s="1043"/>
      <c r="J4" s="1043"/>
      <c r="K4" s="1043"/>
      <c r="L4" s="1043"/>
      <c r="M4" s="1043"/>
      <c r="N4" s="1043"/>
      <c r="O4" s="1043"/>
      <c r="P4" s="1043"/>
      <c r="Q4" s="1043"/>
      <c r="R4" s="1043"/>
      <c r="S4" s="1043"/>
      <c r="T4" s="1043"/>
      <c r="U4" s="1043"/>
      <c r="V4" s="1043"/>
      <c r="W4" s="1043"/>
      <c r="X4" s="1043"/>
      <c r="Y4" s="1043"/>
      <c r="Z4" s="1036"/>
      <c r="AA4" s="339"/>
    </row>
    <row r="5" spans="1:27" ht="22.5" customHeight="1">
      <c r="A5" s="1045"/>
      <c r="B5" s="1663"/>
      <c r="C5" s="1664"/>
      <c r="D5" s="1664"/>
      <c r="E5" s="1664"/>
      <c r="F5" s="1664"/>
      <c r="G5" s="1664"/>
      <c r="H5" s="1664"/>
      <c r="I5" s="1664"/>
      <c r="J5" s="1664"/>
      <c r="K5" s="1664"/>
      <c r="L5" s="1664"/>
      <c r="M5" s="1664"/>
      <c r="N5" s="1664"/>
      <c r="O5" s="1664"/>
      <c r="P5" s="1664"/>
      <c r="Q5" s="1664"/>
      <c r="R5" s="1664"/>
      <c r="S5" s="1664"/>
      <c r="T5" s="1664"/>
      <c r="U5" s="1664"/>
      <c r="V5" s="1664"/>
      <c r="W5" s="1664"/>
      <c r="X5" s="1664"/>
      <c r="Y5" s="1665"/>
      <c r="Z5" s="1045"/>
      <c r="AA5" s="339"/>
    </row>
    <row r="6" spans="1:27" ht="13.5" customHeight="1">
      <c r="A6" s="1046"/>
      <c r="B6" s="1666" t="s">
        <v>6</v>
      </c>
      <c r="C6" s="1667"/>
      <c r="D6" s="1047"/>
      <c r="E6" s="1047"/>
      <c r="F6" s="1047"/>
      <c r="G6" s="1047"/>
      <c r="H6" s="1047"/>
      <c r="I6" s="1047"/>
      <c r="J6" s="1047"/>
      <c r="K6" s="1047"/>
      <c r="L6" s="1047"/>
      <c r="M6" s="1047"/>
      <c r="N6" s="1047"/>
      <c r="O6" s="1047"/>
      <c r="P6" s="1047"/>
      <c r="Q6" s="1047"/>
      <c r="R6" s="1047"/>
      <c r="S6" s="1047"/>
      <c r="T6" s="1047"/>
      <c r="U6" s="1047"/>
      <c r="V6" s="1047"/>
      <c r="W6" s="1047"/>
      <c r="X6" s="1047"/>
      <c r="Y6" s="1048"/>
      <c r="Z6" s="1049"/>
      <c r="AA6" s="1050"/>
    </row>
    <row r="7" spans="1:27" ht="13.5" customHeight="1">
      <c r="A7" s="1046"/>
      <c r="B7" s="1666"/>
      <c r="C7" s="1667"/>
      <c r="D7" s="1047"/>
      <c r="E7" s="1047"/>
      <c r="F7" s="1051"/>
      <c r="G7" s="1051"/>
      <c r="H7" s="1051"/>
      <c r="I7" s="1051"/>
      <c r="J7" s="1051"/>
      <c r="K7" s="1051"/>
      <c r="L7" s="1051"/>
      <c r="M7" s="1051"/>
      <c r="N7" s="1051"/>
      <c r="O7" s="1047"/>
      <c r="P7" s="1051"/>
      <c r="Q7" s="1051"/>
      <c r="R7" s="1051"/>
      <c r="S7" s="1051"/>
      <c r="T7" s="1051"/>
      <c r="U7" s="1051"/>
      <c r="V7" s="1051"/>
      <c r="W7" s="1051"/>
      <c r="X7" s="1051"/>
      <c r="Y7" s="1048"/>
      <c r="Z7" s="1049"/>
      <c r="AA7" s="1050"/>
    </row>
    <row r="8" spans="1:27" ht="13.5" customHeight="1">
      <c r="A8" s="1046"/>
      <c r="B8" s="1666"/>
      <c r="C8" s="1667"/>
      <c r="D8" s="1052"/>
      <c r="E8" s="1053" t="s">
        <v>7</v>
      </c>
      <c r="F8" s="1669" t="s">
        <v>8</v>
      </c>
      <c r="G8" s="1670"/>
      <c r="H8" s="1670"/>
      <c r="I8" s="1670"/>
      <c r="J8" s="1670"/>
      <c r="K8" s="1670"/>
      <c r="L8" s="1670"/>
      <c r="M8" s="1670"/>
      <c r="N8" s="1052"/>
      <c r="O8" s="1054" t="s">
        <v>7</v>
      </c>
      <c r="P8" s="1671" t="s">
        <v>9</v>
      </c>
      <c r="Q8" s="1672"/>
      <c r="R8" s="1672"/>
      <c r="S8" s="1672"/>
      <c r="T8" s="1672"/>
      <c r="U8" s="1672"/>
      <c r="V8" s="1672"/>
      <c r="W8" s="1672"/>
      <c r="X8" s="1672"/>
      <c r="Y8" s="1048"/>
      <c r="Z8" s="1049"/>
      <c r="AA8" s="1050"/>
    </row>
    <row r="9" spans="1:27" ht="13.5" customHeight="1">
      <c r="A9" s="1046"/>
      <c r="B9" s="1666"/>
      <c r="C9" s="1667"/>
      <c r="D9" s="1052"/>
      <c r="E9" s="1055" t="s">
        <v>7</v>
      </c>
      <c r="F9" s="1669" t="s">
        <v>10</v>
      </c>
      <c r="G9" s="1670"/>
      <c r="H9" s="1670"/>
      <c r="I9" s="1670"/>
      <c r="J9" s="1670"/>
      <c r="K9" s="1670"/>
      <c r="L9" s="1670"/>
      <c r="M9" s="1670"/>
      <c r="N9" s="1052"/>
      <c r="O9" s="1056" t="s">
        <v>7</v>
      </c>
      <c r="P9" s="1671" t="s">
        <v>11</v>
      </c>
      <c r="Q9" s="1672"/>
      <c r="R9" s="1672"/>
      <c r="S9" s="1672"/>
      <c r="T9" s="1672"/>
      <c r="U9" s="1672"/>
      <c r="V9" s="1672"/>
      <c r="W9" s="1672"/>
      <c r="X9" s="1672"/>
      <c r="Y9" s="1048"/>
      <c r="Z9" s="1049"/>
      <c r="AA9" s="1050"/>
    </row>
    <row r="10" spans="1:27" ht="13.5" customHeight="1">
      <c r="A10" s="1046"/>
      <c r="B10" s="1666"/>
      <c r="C10" s="1668"/>
      <c r="D10" s="1052"/>
      <c r="E10" s="1057" t="s">
        <v>7</v>
      </c>
      <c r="F10" s="1672" t="s">
        <v>12</v>
      </c>
      <c r="G10" s="1673"/>
      <c r="H10" s="1673"/>
      <c r="I10" s="1673"/>
      <c r="J10" s="1673"/>
      <c r="K10" s="1673"/>
      <c r="L10" s="1673"/>
      <c r="M10" s="1673"/>
      <c r="N10" s="1673"/>
      <c r="O10" s="1058" t="s">
        <v>7</v>
      </c>
      <c r="P10" s="1672" t="s">
        <v>13</v>
      </c>
      <c r="Q10" s="1673"/>
      <c r="R10" s="1673"/>
      <c r="S10" s="1673"/>
      <c r="T10" s="1673"/>
      <c r="U10" s="1673"/>
      <c r="V10" s="1673"/>
      <c r="W10" s="1673"/>
      <c r="X10" s="1673"/>
      <c r="Y10" s="1048"/>
      <c r="Z10" s="1049"/>
      <c r="AA10" s="1050"/>
    </row>
    <row r="11" spans="1:27" ht="30" customHeight="1">
      <c r="A11" s="1046"/>
      <c r="B11" s="1666"/>
      <c r="C11" s="1668"/>
      <c r="D11" s="1059"/>
      <c r="E11" s="1060"/>
      <c r="F11" s="1051"/>
      <c r="G11" s="1051"/>
      <c r="H11" s="1051"/>
      <c r="I11" s="1051"/>
      <c r="J11" s="1051"/>
      <c r="K11" s="1051"/>
      <c r="L11" s="1051"/>
      <c r="M11" s="1051"/>
      <c r="N11" s="1051"/>
      <c r="O11" s="1060"/>
      <c r="P11" s="1051"/>
      <c r="Q11" s="1051"/>
      <c r="R11" s="1051"/>
      <c r="S11" s="1051"/>
      <c r="T11" s="1051"/>
      <c r="U11" s="1051"/>
      <c r="V11" s="1051"/>
      <c r="W11" s="1051"/>
      <c r="X11" s="1051"/>
      <c r="Y11" s="1048"/>
      <c r="Z11" s="1049"/>
      <c r="AA11" s="1050"/>
    </row>
    <row r="12" spans="1:27" ht="19.5" customHeight="1">
      <c r="A12" s="1046"/>
      <c r="B12" s="1674" t="s">
        <v>14</v>
      </c>
      <c r="C12" s="1675"/>
      <c r="D12" s="1052"/>
      <c r="E12" s="1061"/>
      <c r="F12" s="1061"/>
      <c r="G12" s="1061"/>
      <c r="H12" s="1061"/>
      <c r="I12" s="1061"/>
      <c r="J12" s="1061"/>
      <c r="K12" s="1061"/>
      <c r="L12" s="1061"/>
      <c r="M12" s="1061"/>
      <c r="N12" s="1061"/>
      <c r="O12" s="1061"/>
      <c r="P12" s="1061"/>
      <c r="Q12" s="1061"/>
      <c r="R12" s="1061"/>
      <c r="S12" s="1061"/>
      <c r="T12" s="1061"/>
      <c r="U12" s="1061"/>
      <c r="V12" s="1061"/>
      <c r="W12" s="1061"/>
      <c r="X12" s="1061"/>
      <c r="Y12" s="1048"/>
      <c r="Z12" s="1049"/>
      <c r="AA12" s="1050"/>
    </row>
    <row r="13" spans="1:27" ht="68.25" customHeight="1">
      <c r="A13" s="1046"/>
      <c r="B13" s="1666"/>
      <c r="C13" s="1668"/>
      <c r="D13" s="1062"/>
      <c r="E13" s="1670" t="s">
        <v>15</v>
      </c>
      <c r="F13" s="1670"/>
      <c r="G13" s="1670"/>
      <c r="H13" s="1670"/>
      <c r="I13" s="1670"/>
      <c r="J13" s="1670"/>
      <c r="K13" s="1670"/>
      <c r="L13" s="1670"/>
      <c r="M13" s="1670"/>
      <c r="N13" s="1670"/>
      <c r="O13" s="1670"/>
      <c r="P13" s="1670"/>
      <c r="Q13" s="1670"/>
      <c r="R13" s="1670"/>
      <c r="S13" s="1670"/>
      <c r="T13" s="1670"/>
      <c r="U13" s="1670"/>
      <c r="V13" s="1670"/>
      <c r="W13" s="1670"/>
      <c r="X13" s="1670"/>
      <c r="Y13" s="1048"/>
      <c r="Z13" s="1049"/>
      <c r="AA13" s="1050"/>
    </row>
    <row r="14" spans="1:27" ht="13.5" customHeight="1">
      <c r="A14" s="1046"/>
      <c r="B14" s="1674" t="s">
        <v>16</v>
      </c>
      <c r="C14" s="1675"/>
      <c r="D14" s="1047"/>
      <c r="E14" s="1061"/>
      <c r="F14" s="1061"/>
      <c r="G14" s="1061"/>
      <c r="H14" s="1061"/>
      <c r="I14" s="1061"/>
      <c r="J14" s="1061"/>
      <c r="K14" s="1061"/>
      <c r="L14" s="1061"/>
      <c r="M14" s="1061"/>
      <c r="N14" s="1061"/>
      <c r="O14" s="1061"/>
      <c r="P14" s="1061"/>
      <c r="Q14" s="1061"/>
      <c r="R14" s="1061"/>
      <c r="S14" s="1061"/>
      <c r="T14" s="1061"/>
      <c r="U14" s="1061"/>
      <c r="V14" s="1061"/>
      <c r="W14" s="1061"/>
      <c r="X14" s="1061"/>
      <c r="Y14" s="1048"/>
      <c r="Z14" s="1049"/>
      <c r="AA14" s="1050"/>
    </row>
    <row r="15" spans="1:27" ht="65.25" customHeight="1">
      <c r="A15" s="1046"/>
      <c r="B15" s="1666"/>
      <c r="C15" s="1667"/>
      <c r="D15" s="1052"/>
      <c r="E15" s="1678" t="s">
        <v>17</v>
      </c>
      <c r="F15" s="1678"/>
      <c r="G15" s="1678"/>
      <c r="H15" s="1678"/>
      <c r="I15" s="1678"/>
      <c r="J15" s="1678"/>
      <c r="K15" s="1678"/>
      <c r="L15" s="1678"/>
      <c r="M15" s="1678"/>
      <c r="N15" s="1678"/>
      <c r="O15" s="1678"/>
      <c r="P15" s="1678"/>
      <c r="Q15" s="1678"/>
      <c r="R15" s="1678"/>
      <c r="S15" s="1678"/>
      <c r="T15" s="1678"/>
      <c r="U15" s="1678"/>
      <c r="V15" s="1678"/>
      <c r="W15" s="1678"/>
      <c r="X15" s="1678"/>
      <c r="Y15" s="1048"/>
      <c r="Z15" s="1049"/>
      <c r="AA15" s="1050"/>
    </row>
    <row r="16" spans="1:27" ht="16.5" customHeight="1">
      <c r="A16" s="1046"/>
      <c r="B16" s="1676"/>
      <c r="C16" s="1677"/>
      <c r="D16" s="1063"/>
      <c r="E16" s="1064"/>
      <c r="F16" s="1064"/>
      <c r="G16" s="1064"/>
      <c r="H16" s="1064"/>
      <c r="I16" s="1064"/>
      <c r="J16" s="1064"/>
      <c r="K16" s="1064"/>
      <c r="L16" s="1064"/>
      <c r="M16" s="1064"/>
      <c r="N16" s="1064"/>
      <c r="O16" s="1064"/>
      <c r="P16" s="1064"/>
      <c r="Q16" s="1064"/>
      <c r="R16" s="1064"/>
      <c r="S16" s="1064"/>
      <c r="T16" s="1064"/>
      <c r="U16" s="1064"/>
      <c r="V16" s="1064"/>
      <c r="W16" s="1064"/>
      <c r="X16" s="1064"/>
      <c r="Y16" s="1065"/>
      <c r="Z16" s="1049"/>
      <c r="AA16" s="1066"/>
    </row>
    <row r="17" spans="1:27" ht="95.25" customHeight="1">
      <c r="A17" s="1036"/>
      <c r="B17" s="1678"/>
      <c r="C17" s="1679"/>
      <c r="D17" s="1679"/>
      <c r="E17" s="1679"/>
      <c r="F17" s="1679"/>
      <c r="G17" s="1679"/>
      <c r="H17" s="1679"/>
      <c r="I17" s="1679"/>
      <c r="J17" s="1679"/>
      <c r="K17" s="1679"/>
      <c r="L17" s="1679"/>
      <c r="M17" s="1679"/>
      <c r="N17" s="1679"/>
      <c r="O17" s="1679"/>
      <c r="P17" s="1679"/>
      <c r="Q17" s="1679"/>
      <c r="R17" s="1679"/>
      <c r="S17" s="1679"/>
      <c r="T17" s="1679"/>
      <c r="U17" s="1679"/>
      <c r="V17" s="1679"/>
      <c r="W17" s="1679"/>
      <c r="X17" s="1679"/>
      <c r="Y17" s="1679"/>
      <c r="Z17" s="1036"/>
      <c r="AA17" s="339"/>
    </row>
  </sheetData>
  <sheetProtection insertRows="0" deleteColumns="0" deleteRows="0" sort="0" autoFilter="0"/>
  <mergeCells count="15">
    <mergeCell ref="B12:C13"/>
    <mergeCell ref="E13:X13"/>
    <mergeCell ref="B14:C16"/>
    <mergeCell ref="E15:X15"/>
    <mergeCell ref="B17:Y17"/>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N7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4" width="3.5703125" style="1207" hidden="1" customWidth="1"/>
    <col min="5" max="5" width="3.5703125" style="1208" hidden="1" customWidth="1"/>
    <col min="6" max="7" width="3.5703125" style="1207" hidden="1" customWidth="1"/>
    <col min="8" max="8" width="2.28515625" style="1207" hidden="1" customWidth="1"/>
    <col min="9" max="10" width="3.5703125" style="1207" hidden="1" customWidth="1"/>
    <col min="11" max="11" width="6.140625" style="1207" hidden="1" customWidth="1"/>
    <col min="12" max="12" width="8.5703125" style="1207" hidden="1" customWidth="1"/>
    <col min="13" max="17" width="3.5703125" style="1207" hidden="1" customWidth="1"/>
    <col min="18" max="18" width="3.5703125" style="1225" hidden="1" customWidth="1"/>
    <col min="19" max="19" width="3.5703125" style="1207" hidden="1" customWidth="1"/>
    <col min="20" max="20" width="9.57031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1" style="1207" customWidth="1"/>
    <col min="29" max="29" width="55" style="1207" customWidth="1"/>
    <col min="30" max="30" width="12" style="1207" customWidth="1"/>
    <col min="31" max="36" width="13" style="1207" customWidth="1"/>
    <col min="37" max="37" width="20" style="1207" customWidth="1"/>
    <col min="38" max="38" width="3" style="1207" customWidth="1"/>
    <col min="39" max="39" width="9.140625" style="1207" hidden="1"/>
    <col min="40" max="40" width="9.140625" style="1209" hidden="1"/>
  </cols>
  <sheetData>
    <row r="1" spans="1:40" ht="11.25" hidden="1" customHeight="1">
      <c r="E1" s="17"/>
      <c r="F1" s="17" t="s">
        <v>311</v>
      </c>
      <c r="H1" s="17" t="s">
        <v>322</v>
      </c>
      <c r="T1" s="381" t="s">
        <v>92</v>
      </c>
      <c r="U1" s="381" t="s">
        <v>97</v>
      </c>
      <c r="V1" s="381" t="s">
        <v>93</v>
      </c>
      <c r="W1" s="381" t="s">
        <v>94</v>
      </c>
      <c r="X1" s="381" t="s">
        <v>95</v>
      </c>
      <c r="Y1" s="383" t="s">
        <v>313</v>
      </c>
      <c r="Z1" s="381" t="s">
        <v>99</v>
      </c>
      <c r="AA1" s="382" t="s">
        <v>96</v>
      </c>
      <c r="AB1" s="4"/>
      <c r="AC1" s="382" t="s">
        <v>98</v>
      </c>
      <c r="AN1" s="917" t="s">
        <v>314</v>
      </c>
    </row>
    <row r="2" spans="1:40" s="1076" customFormat="1" ht="11.25" hidden="1" customHeight="1">
      <c r="B2" s="362" t="s">
        <v>18</v>
      </c>
      <c r="AI2" s="363" t="b">
        <f>AI6&lt;=last_year_vis</f>
        <v>1</v>
      </c>
      <c r="AJ2" s="363" t="b">
        <f>AJ6&lt;=last_year_vis</f>
        <v>1</v>
      </c>
      <c r="AN2" s="918"/>
    </row>
    <row r="3" spans="1:40" ht="11.25" hidden="1" customHeight="1">
      <c r="E3" s="17"/>
    </row>
    <row r="4" spans="1:40" ht="11.25" hidden="1" customHeight="1">
      <c r="E4" s="17"/>
    </row>
    <row r="5" spans="1:40" s="1208" customFormat="1" ht="11.25" hidden="1" customHeight="1">
      <c r="A5" s="17"/>
      <c r="B5" s="344"/>
      <c r="C5" s="17"/>
      <c r="D5" s="17"/>
      <c r="E5" s="549" t="s">
        <v>19</v>
      </c>
      <c r="R5" s="534"/>
      <c r="AA5" s="549">
        <v>3</v>
      </c>
      <c r="AB5" s="549">
        <v>11</v>
      </c>
      <c r="AC5" s="549">
        <v>55</v>
      </c>
      <c r="AD5" s="549">
        <v>12</v>
      </c>
      <c r="AE5" s="549">
        <v>13</v>
      </c>
      <c r="AF5" s="549">
        <v>13</v>
      </c>
      <c r="AG5" s="549">
        <v>13</v>
      </c>
      <c r="AH5" s="549">
        <v>13</v>
      </c>
      <c r="AI5" s="549">
        <v>13</v>
      </c>
      <c r="AJ5" s="549">
        <v>13</v>
      </c>
      <c r="AK5" s="549">
        <v>20</v>
      </c>
      <c r="AL5" s="549">
        <v>3</v>
      </c>
      <c r="AN5" s="917"/>
    </row>
    <row r="6" spans="1:40" ht="11.25" hidden="1" customHeight="1">
      <c r="A6" s="17" t="s">
        <v>350</v>
      </c>
      <c r="AE6" s="17">
        <f>god-2</f>
        <v>2024</v>
      </c>
      <c r="AF6" s="17">
        <f>god-2</f>
        <v>2024</v>
      </c>
      <c r="AG6" s="17">
        <f>god-2</f>
        <v>2024</v>
      </c>
      <c r="AH6" s="17">
        <f>god-1</f>
        <v>2025</v>
      </c>
      <c r="AI6" s="17" cm="1">
        <f t="array" ref="AI6">god</f>
        <v>2026</v>
      </c>
      <c r="AJ6" s="17" cm="1">
        <f t="array" ref="AJ6">god</f>
        <v>2026</v>
      </c>
    </row>
    <row r="7" spans="1:40" ht="11.25" hidden="1" customHeight="1">
      <c r="A7" s="17" t="s">
        <v>351</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row r="9" spans="1:40" s="1209" customFormat="1" ht="11.25" hidden="1" customHeight="1">
      <c r="A9" s="917" t="s">
        <v>355</v>
      </c>
      <c r="B9" s="918"/>
      <c r="R9" s="919"/>
      <c r="AE9" s="917" cm="1">
        <f t="array" ref="AE9">AE6</f>
        <v>2024</v>
      </c>
      <c r="AF9" s="917" cm="1">
        <f t="array" ref="AF9">AF6</f>
        <v>2024</v>
      </c>
      <c r="AG9" s="917" cm="1">
        <f t="array" ref="AG9">AG6</f>
        <v>2024</v>
      </c>
      <c r="AH9" s="917" cm="1">
        <f t="array" ref="AH9">AH6</f>
        <v>2025</v>
      </c>
      <c r="AI9" s="917" cm="1">
        <f t="array" ref="AI9">AI6</f>
        <v>2026</v>
      </c>
      <c r="AJ9" s="917" cm="1">
        <f t="array" ref="AJ9">AJ6</f>
        <v>2026</v>
      </c>
    </row>
    <row r="10" spans="1:40" s="1209" customFormat="1" ht="11.25" hidden="1" customHeight="1">
      <c r="A10" s="917" t="s">
        <v>356</v>
      </c>
      <c r="B10" s="918"/>
      <c r="R10" s="919"/>
      <c r="AE10" s="917" t="str" cm="1">
        <f t="array" ref="AE10">AE25</f>
        <v>Принято органом регулирования</v>
      </c>
      <c r="AF10" s="917" t="str" cm="1">
        <f t="array" ref="AF10">AF25</f>
        <v>Факт по данным организации</v>
      </c>
      <c r="AG10" s="917" t="str" cm="1">
        <f t="array" ref="AG10">AG25</f>
        <v>Факт, принятый органом регулирования</v>
      </c>
      <c r="AH10" s="917" t="str" cm="1">
        <f t="array" ref="AH10">AH25</f>
        <v>Принято органом регулирования</v>
      </c>
      <c r="AI10" s="917" t="str" cm="1">
        <f t="array" ref="AI10">AI25</f>
        <v>Предложение организации</v>
      </c>
      <c r="AJ10" s="917" t="str" cm="1">
        <f t="array" ref="AJ10">AJ25</f>
        <v>Принято органом регулирования</v>
      </c>
    </row>
    <row r="11" spans="1:40" s="1209" customFormat="1" ht="11.25" hidden="1" customHeight="1">
      <c r="A11" s="917" t="s">
        <v>357</v>
      </c>
      <c r="B11" s="918"/>
      <c r="R11" s="919"/>
      <c r="AK11" s="943" t="str" cm="1">
        <f t="array" ref="AK11">AK24</f>
        <v>Ссылка на правовую норму (основание для принятия показателя в расчет тарифа)</v>
      </c>
    </row>
    <row r="12" spans="1:40" ht="11.25" hidden="1" customHeight="1"/>
    <row r="13" spans="1:40" ht="11.25" hidden="1" customHeight="1"/>
    <row r="14" spans="1:40" ht="11.25" hidden="1" customHeight="1"/>
    <row r="15" spans="1:40" ht="11.25" hidden="1" customHeight="1"/>
    <row r="16" spans="1:40" ht="11.25" hidden="1" customHeight="1"/>
    <row r="17" spans="2:40" ht="11.25" hidden="1" customHeight="1">
      <c r="AK17" s="71"/>
    </row>
    <row r="18" spans="2:40" ht="11.25" hidden="1" customHeight="1"/>
    <row r="19" spans="2:40" ht="11.25" hidden="1" customHeight="1"/>
    <row r="20" spans="2:40" ht="11.25" hidden="1" customHeight="1"/>
    <row r="21" spans="2:40" ht="14.65" customHeight="1">
      <c r="E21" s="549">
        <v>15</v>
      </c>
      <c r="AA21" s="342"/>
      <c r="AC21" s="3" t="str" cm="1">
        <f t="array" ref="AC21">tpl_title</f>
        <v>Кемеровская область / 2026 / ОАО «СКЭК» (ИНН:4205153492, КПП:420501001) / ДПР: 2026-2026</v>
      </c>
    </row>
    <row r="22" spans="2:40" s="1242" customFormat="1" ht="19.7" customHeight="1">
      <c r="B22" s="344"/>
      <c r="E22" s="550">
        <v>20.25</v>
      </c>
      <c r="R22" s="3"/>
      <c r="AB22" s="232" t="s">
        <v>63</v>
      </c>
      <c r="AC22" s="262"/>
      <c r="AD22" s="262"/>
      <c r="AE22" s="262"/>
      <c r="AF22" s="262"/>
      <c r="AG22" s="262"/>
      <c r="AH22" s="262"/>
      <c r="AI22" s="262"/>
      <c r="AJ22" s="262"/>
      <c r="AK22" s="262"/>
      <c r="AN22" s="920"/>
    </row>
    <row r="23" spans="2:40" s="1242" customFormat="1" ht="10.9" customHeight="1">
      <c r="B23" s="344"/>
      <c r="E23" s="550">
        <v>11.25</v>
      </c>
      <c r="R23" s="3"/>
      <c r="AB23" s="263"/>
      <c r="AC23" s="120"/>
      <c r="AD23" s="120"/>
      <c r="AE23" s="120"/>
      <c r="AF23" s="120"/>
      <c r="AG23" s="120"/>
      <c r="AH23" s="120"/>
      <c r="AI23" s="120"/>
      <c r="AJ23" s="120"/>
      <c r="AK23" s="120"/>
      <c r="AN23" s="920"/>
    </row>
    <row r="24" spans="2:40" s="1079" customFormat="1" ht="14.65" customHeight="1">
      <c r="B24" s="346"/>
      <c r="E24" s="547">
        <v>15</v>
      </c>
      <c r="R24" s="261"/>
      <c r="AB24" s="1758" t="s">
        <v>748</v>
      </c>
      <c r="AC24" s="1804" t="s">
        <v>194</v>
      </c>
      <c r="AD24" s="1758" t="s">
        <v>360</v>
      </c>
      <c r="AE24" s="10" t="str">
        <f>god-2&amp;" год"</f>
        <v>2024 год</v>
      </c>
      <c r="AF24" s="1021" t="str">
        <f>god-2&amp;" год"</f>
        <v>2024 год</v>
      </c>
      <c r="AG24" s="10" t="str">
        <f>god-2&amp;" год"</f>
        <v>2024 год</v>
      </c>
      <c r="AH24" s="10" t="str">
        <f>god-1&amp;" год"</f>
        <v>2025 год</v>
      </c>
      <c r="AI24" s="1019" t="str">
        <f>god&amp;" год"</f>
        <v>2026 год</v>
      </c>
      <c r="AJ24" s="11" t="str">
        <f>god&amp;" год"</f>
        <v>2026 год</v>
      </c>
      <c r="AK24" s="1781" t="s">
        <v>494</v>
      </c>
      <c r="AN24" s="915"/>
    </row>
    <row r="25" spans="2:40" s="1079" customFormat="1" ht="44.1" customHeight="1">
      <c r="B25" s="346"/>
      <c r="E25" s="547">
        <v>45.25</v>
      </c>
      <c r="R25" s="261"/>
      <c r="AB25" s="1814"/>
      <c r="AC25" s="1814"/>
      <c r="AD25" s="1814"/>
      <c r="AE25" s="10" t="s">
        <v>352</v>
      </c>
      <c r="AF25" s="1021" t="s">
        <v>417</v>
      </c>
      <c r="AG25" s="10" t="s">
        <v>418</v>
      </c>
      <c r="AH25" s="10" t="s">
        <v>352</v>
      </c>
      <c r="AI25" s="1023" t="s">
        <v>353</v>
      </c>
      <c r="AJ25" s="272" t="s">
        <v>352</v>
      </c>
      <c r="AK25" s="1814"/>
      <c r="AN25" s="915"/>
    </row>
    <row r="26" spans="2:40" ht="15" hidden="1" customHeight="1">
      <c r="C26"/>
      <c r="D26"/>
      <c r="E26" s="183">
        <v>0</v>
      </c>
      <c r="F26" s="4"/>
      <c r="G26"/>
      <c r="H26"/>
      <c r="I26"/>
      <c r="J26"/>
      <c r="K26"/>
      <c r="L26"/>
      <c r="M26"/>
      <c r="N26"/>
      <c r="O26"/>
      <c r="P26"/>
      <c r="Q26"/>
      <c r="R26"/>
      <c r="S26"/>
      <c r="T26"/>
      <c r="U26"/>
      <c r="V26"/>
      <c r="W26"/>
      <c r="X26"/>
      <c r="Y26"/>
      <c r="Z26"/>
      <c r="AA26"/>
      <c r="AB26"/>
      <c r="AC26" s="19"/>
      <c r="AD26" s="19"/>
      <c r="AE26" s="19"/>
      <c r="AF26" s="19"/>
      <c r="AG26"/>
      <c r="AH26"/>
      <c r="AI26"/>
      <c r="AJ26"/>
      <c r="AK26"/>
      <c r="AL26"/>
    </row>
    <row r="27" spans="2:40" ht="10.9" hidden="1" customHeight="1">
      <c r="C27" s="65"/>
      <c r="D27" s="65"/>
      <c r="E27" s="183">
        <v>11.25</v>
      </c>
      <c r="F27" s="17" cm="1">
        <f t="array" ref="F27">X27</f>
        <v>0</v>
      </c>
      <c r="G27" s="65"/>
      <c r="H27" s="65"/>
      <c r="I27" s="65"/>
      <c r="J27" s="65"/>
      <c r="K27" s="65"/>
      <c r="L27" s="65"/>
      <c r="M27" s="65"/>
      <c r="N27" s="65"/>
      <c r="O27" s="65"/>
      <c r="P27" s="65"/>
      <c r="Q27" s="65"/>
      <c r="R27" s="65"/>
      <c r="S27" s="65"/>
      <c r="T27" s="381" t="b">
        <f>X27&gt;0</f>
        <v>0</v>
      </c>
      <c r="U27" s="65"/>
      <c r="V27" s="65" t="s">
        <v>270</v>
      </c>
      <c r="W27" s="65"/>
      <c r="X27" s="1732">
        <v>0</v>
      </c>
      <c r="Y27" s="65"/>
      <c r="Z27" s="1757"/>
      <c r="AA27" s="65"/>
      <c r="AB27" s="160" t="str" cm="1">
        <f t="array" ref="AB27">INDEX('Общие сведения'!$AG$179:$AG$208,MATCH($X27,'Общие сведения'!$Z$179:$Z$208,0))</f>
        <v xml:space="preserve">Тариф 0 () - </v>
      </c>
      <c r="AC27" s="99"/>
      <c r="AD27" s="99"/>
      <c r="AE27" s="220">
        <f t="shared" ref="AE27:AJ27" ca="1" si="0">AE28+AE29+AE30+AE38+AE39+AE40+AE41+AE42</f>
        <v>0</v>
      </c>
      <c r="AF27" s="220">
        <f t="shared" ca="1" si="0"/>
        <v>0</v>
      </c>
      <c r="AG27" s="220">
        <f t="shared" ca="1" si="0"/>
        <v>0</v>
      </c>
      <c r="AH27" s="220">
        <f t="shared" ca="1" si="0"/>
        <v>0</v>
      </c>
      <c r="AI27" s="220">
        <f t="shared" ca="1" si="0"/>
        <v>0</v>
      </c>
      <c r="AJ27" s="220">
        <f t="shared" ca="1" si="0"/>
        <v>0</v>
      </c>
      <c r="AK27" s="93"/>
      <c r="AL27" s="65"/>
    </row>
    <row r="28" spans="2:40" ht="21.95" hidden="1" customHeight="1">
      <c r="C28" s="65"/>
      <c r="D28" s="65"/>
      <c r="E28" s="183">
        <v>22.5</v>
      </c>
      <c r="F28" s="3" cm="1">
        <f t="array" aca="1" ref="F28" ca="1">OFFSET(E28,-1,1)</f>
        <v>0</v>
      </c>
      <c r="G28" s="65"/>
      <c r="H28" s="45" t="s">
        <v>323</v>
      </c>
      <c r="I28" s="65"/>
      <c r="J28" s="65"/>
      <c r="K28" s="65"/>
      <c r="L28" s="65"/>
      <c r="M28" s="65"/>
      <c r="N28" s="65"/>
      <c r="O28" s="65"/>
      <c r="P28" s="65"/>
      <c r="Q28" s="65"/>
      <c r="R28" s="65"/>
      <c r="S28" s="65"/>
      <c r="T28" s="381" t="b" cm="1">
        <f t="array" ref="T28">T27</f>
        <v>0</v>
      </c>
      <c r="U28" s="65"/>
      <c r="V28" s="65"/>
      <c r="W28" s="65"/>
      <c r="X28" s="1732"/>
      <c r="Y28" s="65"/>
      <c r="Z28" s="1757"/>
      <c r="AA28" s="65"/>
      <c r="AB28" s="264">
        <v>1</v>
      </c>
      <c r="AC28" s="253" t="s">
        <v>1035</v>
      </c>
      <c r="AD28" s="9" t="s">
        <v>766</v>
      </c>
      <c r="AE28" s="801">
        <f ca="1">SUMIFS(ФОТ!AE$25:AE$77,ФОТ!$F$25:$F$77,$F28,ФОТ!$AC$25:$AC$77,$AC28)</f>
        <v>0</v>
      </c>
      <c r="AF28" s="801">
        <f ca="1">SUMIFS(ФОТ!AF$25:AF$77,ФОТ!$F$25:$F$77,$F28,ФОТ!$AC$25:$AC$77,$AC28)</f>
        <v>0</v>
      </c>
      <c r="AG28" s="801">
        <f ca="1">SUMIFS(ФОТ!AG$25:AG$77,ФОТ!$F$25:$F$77,$F28,ФОТ!$AC$25:$AC$77,$AC28)</f>
        <v>0</v>
      </c>
      <c r="AH28" s="801">
        <f ca="1">SUMIFS(ФОТ!AH$25:AH$77,ФОТ!$F$25:$F$77,$F28,ФОТ!$AC$25:$AC$77,$AC28)</f>
        <v>0</v>
      </c>
      <c r="AI28" s="801">
        <f ca="1">SUMIFS(ФОТ!AI$25:AI$77,ФОТ!$F$25:$F$77,$F28,ФОТ!$AC$25:$AC$77,$AC28)</f>
        <v>0</v>
      </c>
      <c r="AJ28" s="801">
        <f ca="1">SUMIFS(ФОТ!AJ$25:AJ$77,ФОТ!$F$25:$F$77,$F28,ФОТ!$AC$25:$AC$77,$AC28)</f>
        <v>0</v>
      </c>
      <c r="AK28" s="1366"/>
      <c r="AL28" s="65"/>
      <c r="AN28" s="917" t="s">
        <v>1051</v>
      </c>
    </row>
    <row r="29" spans="2:40" ht="21.95" hidden="1" customHeight="1">
      <c r="C29" s="65"/>
      <c r="D29" s="65"/>
      <c r="E29" s="183">
        <v>22.5</v>
      </c>
      <c r="F29" s="3" cm="1">
        <f t="array" aca="1" ref="F29" ca="1">OFFSET(E29,-1,1)</f>
        <v>0</v>
      </c>
      <c r="G29" s="65"/>
      <c r="H29" s="45" t="s">
        <v>324</v>
      </c>
      <c r="I29" s="65"/>
      <c r="J29" s="399"/>
      <c r="K29" s="399"/>
      <c r="L29" s="399"/>
      <c r="M29" s="65"/>
      <c r="N29" s="65"/>
      <c r="O29" s="65"/>
      <c r="P29" s="65"/>
      <c r="Q29" s="65"/>
      <c r="R29" s="65"/>
      <c r="S29" s="65"/>
      <c r="T29" s="381" t="b" cm="1">
        <f t="array" ref="T29">T28</f>
        <v>0</v>
      </c>
      <c r="U29" s="65"/>
      <c r="V29" s="65"/>
      <c r="W29" s="65"/>
      <c r="X29" s="1732"/>
      <c r="Y29" s="65"/>
      <c r="Z29" s="1757"/>
      <c r="AA29" s="65"/>
      <c r="AB29" s="264" t="s">
        <v>224</v>
      </c>
      <c r="AC29" s="253" t="s">
        <v>1040</v>
      </c>
      <c r="AD29" s="9" t="s">
        <v>766</v>
      </c>
      <c r="AE29" s="801">
        <f ca="1">SUMIFS(ФОТ!AE$25:AE$77,ФОТ!$F$25:$F$77,$F29,ФОТ!$AC$25:$AC$77,$AC29)</f>
        <v>0</v>
      </c>
      <c r="AF29" s="801">
        <f ca="1">SUMIFS(ФОТ!AF$25:AF$77,ФОТ!$F$25:$F$77,$F29,ФОТ!$AC$25:$AC$77,$AC29)</f>
        <v>0</v>
      </c>
      <c r="AG29" s="801">
        <f ca="1">SUMIFS(ФОТ!AG$25:AG$77,ФОТ!$F$25:$F$77,$F29,ФОТ!$AC$25:$AC$77,$AC29)</f>
        <v>0</v>
      </c>
      <c r="AH29" s="801">
        <f ca="1">SUMIFS(ФОТ!AH$25:AH$77,ФОТ!$F$25:$F$77,$F29,ФОТ!$AC$25:$AC$77,$AC29)</f>
        <v>0</v>
      </c>
      <c r="AI29" s="801">
        <f ca="1">SUMIFS(ФОТ!AI$25:AI$77,ФОТ!$F$25:$F$77,$F29,ФОТ!$AC$25:$AC$77,$AC29)</f>
        <v>0</v>
      </c>
      <c r="AJ29" s="801">
        <f ca="1">SUMIFS(ФОТ!AJ$25:AJ$77,ФОТ!$F$25:$F$77,$F29,ФОТ!$AC$25:$AC$77,$AC29)</f>
        <v>0</v>
      </c>
      <c r="AK29" s="1366"/>
      <c r="AL29" s="65"/>
      <c r="AN29" s="917" t="s">
        <v>1041</v>
      </c>
    </row>
    <row r="30" spans="2:40" ht="32.85" hidden="1" customHeight="1">
      <c r="C30" s="65"/>
      <c r="D30" s="65"/>
      <c r="E30" s="183">
        <v>33.75</v>
      </c>
      <c r="F30" s="3" cm="1">
        <f t="array" aca="1" ref="F30" ca="1">OFFSET(E30,-1,1)</f>
        <v>0</v>
      </c>
      <c r="G30" s="261" t="s">
        <v>1052</v>
      </c>
      <c r="H30" s="45" t="s">
        <v>325</v>
      </c>
      <c r="I30" s="65"/>
      <c r="J30" s="399"/>
      <c r="K30" s="399" t="str">
        <f ca="1">F30&amp;"17komm"</f>
        <v>017komm</v>
      </c>
      <c r="L30" s="823" cm="1">
        <f t="array" ref="L30">AK30</f>
        <v>0</v>
      </c>
      <c r="M30" s="65"/>
      <c r="N30" s="65"/>
      <c r="O30" s="65"/>
      <c r="P30" s="65"/>
      <c r="Q30" s="65"/>
      <c r="R30" s="65"/>
      <c r="S30" s="65"/>
      <c r="T30" s="381" t="b" cm="1">
        <f t="array" ref="T30">T29</f>
        <v>0</v>
      </c>
      <c r="U30" s="65"/>
      <c r="V30" s="65"/>
      <c r="W30" s="65"/>
      <c r="X30" s="1732"/>
      <c r="Y30" s="65"/>
      <c r="Z30" s="1757"/>
      <c r="AA30" s="65"/>
      <c r="AB30" s="264" t="s">
        <v>321</v>
      </c>
      <c r="AC30" s="253" t="s">
        <v>1053</v>
      </c>
      <c r="AD30" s="9" t="s">
        <v>766</v>
      </c>
      <c r="AE30" s="156">
        <f t="shared" ref="AE30:AJ30" si="1">SUM(AE31:AE37)</f>
        <v>0</v>
      </c>
      <c r="AF30" s="156">
        <f t="shared" si="1"/>
        <v>0</v>
      </c>
      <c r="AG30" s="156">
        <f t="shared" si="1"/>
        <v>0</v>
      </c>
      <c r="AH30" s="156">
        <f t="shared" si="1"/>
        <v>0</v>
      </c>
      <c r="AI30" s="156">
        <f t="shared" si="1"/>
        <v>0</v>
      </c>
      <c r="AJ30" s="156">
        <f t="shared" si="1"/>
        <v>0</v>
      </c>
      <c r="AK30" s="1366"/>
      <c r="AL30" s="65"/>
      <c r="AN30" s="917" t="s">
        <v>1054</v>
      </c>
    </row>
    <row r="31" spans="2:40" s="1327" customFormat="1" ht="14.65" hidden="1" customHeight="1">
      <c r="B31" s="347"/>
      <c r="C31" s="65"/>
      <c r="D31" s="65"/>
      <c r="E31" s="183">
        <v>15</v>
      </c>
      <c r="F31" s="1083" cm="1">
        <f t="array" aca="1" ref="F31" ca="1">OFFSET(E31,-1,1)</f>
        <v>0</v>
      </c>
      <c r="G31" s="77" t="s">
        <v>1055</v>
      </c>
      <c r="H31" s="45" t="s">
        <v>851</v>
      </c>
      <c r="I31" s="65"/>
      <c r="J31" s="399"/>
      <c r="K31" s="399" t="str">
        <f ca="1">F31&amp;"18komm"</f>
        <v>018komm</v>
      </c>
      <c r="L31" s="823" cm="1">
        <f t="array" ref="L31">AK31</f>
        <v>0</v>
      </c>
      <c r="M31" s="65"/>
      <c r="N31" s="65"/>
      <c r="O31" s="65"/>
      <c r="P31" s="65"/>
      <c r="Q31" s="65"/>
      <c r="R31" s="65"/>
      <c r="S31" s="65"/>
      <c r="T31" s="381" t="b" cm="1">
        <f t="array" ref="T31">T30</f>
        <v>0</v>
      </c>
      <c r="U31" s="65"/>
      <c r="V31" s="65"/>
      <c r="W31" s="65"/>
      <c r="X31" s="1732"/>
      <c r="Y31" s="65"/>
      <c r="Z31" s="1757"/>
      <c r="AA31" s="65"/>
      <c r="AB31" s="264" t="s">
        <v>516</v>
      </c>
      <c r="AC31" s="132" t="s">
        <v>1056</v>
      </c>
      <c r="AD31" s="9" t="s">
        <v>766</v>
      </c>
      <c r="AE31" s="1406"/>
      <c r="AF31" s="1406"/>
      <c r="AG31" s="1406"/>
      <c r="AH31" s="1406"/>
      <c r="AI31" s="147"/>
      <c r="AJ31" s="147"/>
      <c r="AK31" s="1366"/>
      <c r="AL31" s="65"/>
      <c r="AN31" s="921" t="s">
        <v>1057</v>
      </c>
    </row>
    <row r="32" spans="2:40" s="1325" customFormat="1" ht="14.65" hidden="1" customHeight="1">
      <c r="B32" s="346"/>
      <c r="E32" s="183">
        <v>15</v>
      </c>
      <c r="F32" s="3" cm="1">
        <f t="array" aca="1" ref="F32" ca="1">OFFSET(E32,-1,1)</f>
        <v>0</v>
      </c>
      <c r="G32" s="77" t="s">
        <v>1058</v>
      </c>
      <c r="H32" s="45" t="s">
        <v>853</v>
      </c>
      <c r="J32" s="399"/>
      <c r="K32" s="399" t="str">
        <f ca="1">F32&amp;"11komm"</f>
        <v>011komm</v>
      </c>
      <c r="L32" s="823" cm="1">
        <f t="array" ref="L32">AK32</f>
        <v>0</v>
      </c>
      <c r="T32" s="381" t="b" cm="1">
        <f t="array" ref="T32">T31</f>
        <v>0</v>
      </c>
      <c r="X32" s="1732"/>
      <c r="Z32" s="1757"/>
      <c r="AB32" s="264" t="s">
        <v>520</v>
      </c>
      <c r="AC32" s="132" t="s">
        <v>1059</v>
      </c>
      <c r="AD32" s="9" t="s">
        <v>766</v>
      </c>
      <c r="AE32" s="1406"/>
      <c r="AF32" s="1406"/>
      <c r="AG32" s="1406"/>
      <c r="AH32" s="1406"/>
      <c r="AI32" s="147"/>
      <c r="AJ32" s="147"/>
      <c r="AK32" s="1366"/>
      <c r="AN32" s="932" t="s">
        <v>1060</v>
      </c>
    </row>
    <row r="33" spans="1:40" s="1325" customFormat="1" ht="14.65" hidden="1" customHeight="1">
      <c r="B33" s="346"/>
      <c r="E33" s="183">
        <v>15</v>
      </c>
      <c r="F33" s="3" cm="1">
        <f t="array" aca="1" ref="F33" ca="1">OFFSET(E33,-1,1)</f>
        <v>0</v>
      </c>
      <c r="G33" s="77" t="s">
        <v>1061</v>
      </c>
      <c r="H33" s="45" t="s">
        <v>855</v>
      </c>
      <c r="J33" s="399"/>
      <c r="K33" s="399" t="str">
        <f ca="1">F33&amp;"12komm"</f>
        <v>012komm</v>
      </c>
      <c r="L33" s="823" cm="1">
        <f t="array" ref="L33">AK33</f>
        <v>0</v>
      </c>
      <c r="T33" s="381" t="b" cm="1">
        <f t="array" ref="T33">T32</f>
        <v>0</v>
      </c>
      <c r="X33" s="1732"/>
      <c r="Z33" s="1757"/>
      <c r="AB33" s="264" t="s">
        <v>737</v>
      </c>
      <c r="AC33" s="132" t="s">
        <v>1062</v>
      </c>
      <c r="AD33" s="9" t="s">
        <v>766</v>
      </c>
      <c r="AE33" s="1406"/>
      <c r="AF33" s="1406"/>
      <c r="AG33" s="1406"/>
      <c r="AH33" s="1406"/>
      <c r="AI33" s="147"/>
      <c r="AJ33" s="147"/>
      <c r="AK33" s="1366"/>
      <c r="AN33" s="932" t="s">
        <v>1063</v>
      </c>
    </row>
    <row r="34" spans="1:40" s="1325" customFormat="1" ht="14.65" hidden="1" customHeight="1">
      <c r="B34" s="346"/>
      <c r="E34" s="183">
        <v>15</v>
      </c>
      <c r="F34" s="3" cm="1">
        <f t="array" aca="1" ref="F34" ca="1">OFFSET(E34,-1,1)</f>
        <v>0</v>
      </c>
      <c r="G34" s="77" t="s">
        <v>1064</v>
      </c>
      <c r="H34" s="45" t="s">
        <v>857</v>
      </c>
      <c r="J34" s="399"/>
      <c r="K34" s="399" t="str">
        <f ca="1">F34&amp;"13komm"</f>
        <v>013komm</v>
      </c>
      <c r="L34" s="823" cm="1">
        <f t="array" ref="L34">AK34</f>
        <v>0</v>
      </c>
      <c r="T34" s="381" t="b" cm="1">
        <f t="array" ref="T34">T33</f>
        <v>0</v>
      </c>
      <c r="X34" s="1732"/>
      <c r="Z34" s="1757"/>
      <c r="AB34" s="264" t="s">
        <v>858</v>
      </c>
      <c r="AC34" s="132" t="s">
        <v>1065</v>
      </c>
      <c r="AD34" s="9" t="s">
        <v>766</v>
      </c>
      <c r="AE34" s="1406"/>
      <c r="AF34" s="1406"/>
      <c r="AG34" s="1406"/>
      <c r="AH34" s="1406"/>
      <c r="AI34" s="147"/>
      <c r="AJ34" s="147"/>
      <c r="AK34" s="1366"/>
      <c r="AN34" s="932" t="s">
        <v>1066</v>
      </c>
    </row>
    <row r="35" spans="1:40" s="1325" customFormat="1" ht="14.65" hidden="1" customHeight="1">
      <c r="B35" s="346"/>
      <c r="E35" s="183">
        <v>15</v>
      </c>
      <c r="F35" s="3" cm="1">
        <f t="array" aca="1" ref="F35" ca="1">OFFSET(E35,-1,1)</f>
        <v>0</v>
      </c>
      <c r="G35" s="77" t="s">
        <v>1067</v>
      </c>
      <c r="H35" s="45" t="s">
        <v>860</v>
      </c>
      <c r="J35" s="399"/>
      <c r="K35" s="399" t="str">
        <f ca="1">F35&amp;"14komm"</f>
        <v>014komm</v>
      </c>
      <c r="L35" s="823" cm="1">
        <f t="array" ref="L35">AK35</f>
        <v>0</v>
      </c>
      <c r="T35" s="381" t="b" cm="1">
        <f t="array" ref="T35">T34</f>
        <v>0</v>
      </c>
      <c r="X35" s="1732"/>
      <c r="Z35" s="1757"/>
      <c r="AB35" s="264" t="s">
        <v>861</v>
      </c>
      <c r="AC35" s="132" t="s">
        <v>1068</v>
      </c>
      <c r="AD35" s="9" t="s">
        <v>766</v>
      </c>
      <c r="AE35" s="1406"/>
      <c r="AF35" s="1406"/>
      <c r="AG35" s="1406"/>
      <c r="AH35" s="1406"/>
      <c r="AI35" s="147"/>
      <c r="AJ35" s="147"/>
      <c r="AK35" s="1366"/>
      <c r="AN35" s="932" t="s">
        <v>1069</v>
      </c>
    </row>
    <row r="36" spans="1:40" s="1325" customFormat="1" ht="14.65" hidden="1" customHeight="1">
      <c r="B36" s="346"/>
      <c r="E36" s="183">
        <v>15</v>
      </c>
      <c r="F36" s="3" cm="1">
        <f t="array" aca="1" ref="F36" ca="1">OFFSET(E36,-1,1)</f>
        <v>0</v>
      </c>
      <c r="G36" s="77" t="s">
        <v>1070</v>
      </c>
      <c r="H36" s="45" t="s">
        <v>1071</v>
      </c>
      <c r="J36" s="399"/>
      <c r="K36" s="399" t="str">
        <f ca="1">F36&amp;"15komm"</f>
        <v>015komm</v>
      </c>
      <c r="L36" s="823" cm="1">
        <f t="array" ref="L36">AK36</f>
        <v>0</v>
      </c>
      <c r="T36" s="381" t="b" cm="1">
        <f t="array" ref="T36">T35</f>
        <v>0</v>
      </c>
      <c r="X36" s="1732"/>
      <c r="Z36" s="1757"/>
      <c r="AB36" s="264" t="s">
        <v>1072</v>
      </c>
      <c r="AC36" s="132" t="s">
        <v>1073</v>
      </c>
      <c r="AD36" s="9" t="s">
        <v>766</v>
      </c>
      <c r="AE36" s="1406"/>
      <c r="AF36" s="1406"/>
      <c r="AG36" s="1406"/>
      <c r="AH36" s="1406"/>
      <c r="AI36" s="147"/>
      <c r="AJ36" s="147"/>
      <c r="AK36" s="1366"/>
      <c r="AN36" s="932" t="s">
        <v>1074</v>
      </c>
    </row>
    <row r="37" spans="1:40" s="1325" customFormat="1" ht="14.65" hidden="1" customHeight="1">
      <c r="B37" s="346"/>
      <c r="E37" s="183">
        <v>15</v>
      </c>
      <c r="F37" s="3" cm="1">
        <f t="array" aca="1" ref="F37" ca="1">OFFSET(E37,-1,1)</f>
        <v>0</v>
      </c>
      <c r="G37" s="77" t="s">
        <v>1075</v>
      </c>
      <c r="H37" s="45" t="s">
        <v>1076</v>
      </c>
      <c r="J37" s="399"/>
      <c r="K37" s="399" t="str">
        <f ca="1">F37&amp;"16komm"</f>
        <v>016komm</v>
      </c>
      <c r="L37" s="823" cm="1">
        <f t="array" ref="L37">AK37</f>
        <v>0</v>
      </c>
      <c r="T37" s="381" t="b" cm="1">
        <f t="array" ref="T37">T36</f>
        <v>0</v>
      </c>
      <c r="X37" s="1732"/>
      <c r="Z37" s="1757"/>
      <c r="AB37" s="264" t="s">
        <v>1077</v>
      </c>
      <c r="AC37" s="132" t="s">
        <v>1078</v>
      </c>
      <c r="AD37" s="9" t="s">
        <v>766</v>
      </c>
      <c r="AE37" s="1406"/>
      <c r="AF37" s="1406"/>
      <c r="AG37" s="1406"/>
      <c r="AH37" s="1406"/>
      <c r="AI37" s="147"/>
      <c r="AJ37" s="147"/>
      <c r="AK37" s="1366"/>
      <c r="AN37" s="932" t="s">
        <v>1079</v>
      </c>
    </row>
    <row r="38" spans="1:40" s="1325" customFormat="1" ht="32.85" hidden="1" customHeight="1">
      <c r="B38" s="346"/>
      <c r="E38" s="183">
        <v>33.75</v>
      </c>
      <c r="F38" s="3" cm="1">
        <f t="array" aca="1" ref="F38" ca="1">OFFSET(E38,-1,1)</f>
        <v>0</v>
      </c>
      <c r="G38" s="261" t="s">
        <v>1080</v>
      </c>
      <c r="H38" s="45" t="s">
        <v>327</v>
      </c>
      <c r="J38" s="399"/>
      <c r="K38" s="399" t="str">
        <f ca="1">F38&amp;"2komm"</f>
        <v>02komm</v>
      </c>
      <c r="L38" s="823" cm="1">
        <f t="array" ref="L38">AK38</f>
        <v>0</v>
      </c>
      <c r="T38" s="381" t="b" cm="1">
        <f t="array" ref="T38">T37</f>
        <v>0</v>
      </c>
      <c r="X38" s="1732"/>
      <c r="Z38" s="1757"/>
      <c r="AB38" s="264" t="s">
        <v>523</v>
      </c>
      <c r="AC38" s="253" t="s">
        <v>1081</v>
      </c>
      <c r="AD38" s="9" t="s">
        <v>766</v>
      </c>
      <c r="AE38" s="1406"/>
      <c r="AF38" s="1406"/>
      <c r="AG38" s="1406"/>
      <c r="AH38" s="1406"/>
      <c r="AI38" s="147"/>
      <c r="AJ38" s="147"/>
      <c r="AK38" s="1366"/>
      <c r="AN38" s="932" t="s">
        <v>1082</v>
      </c>
    </row>
    <row r="39" spans="1:40" s="1325" customFormat="1" ht="14.65" hidden="1" customHeight="1">
      <c r="B39" s="346"/>
      <c r="E39" s="183">
        <v>15</v>
      </c>
      <c r="F39" s="3" cm="1">
        <f t="array" aca="1" ref="F39" ca="1">OFFSET(E39,-1,1)</f>
        <v>0</v>
      </c>
      <c r="G39" s="261" t="s">
        <v>1083</v>
      </c>
      <c r="H39" s="45" t="s">
        <v>326</v>
      </c>
      <c r="J39" s="399"/>
      <c r="K39" s="399" t="str">
        <f ca="1">F39&amp;"3komm"</f>
        <v>03komm</v>
      </c>
      <c r="L39" s="823" cm="1">
        <f t="array" ref="L39">AK39</f>
        <v>0</v>
      </c>
      <c r="T39" s="381" t="b" cm="1">
        <f t="array" ref="T39">T38</f>
        <v>0</v>
      </c>
      <c r="X39" s="1732"/>
      <c r="Z39" s="1757"/>
      <c r="AB39" s="264" t="s">
        <v>478</v>
      </c>
      <c r="AC39" s="253" t="s">
        <v>1084</v>
      </c>
      <c r="AD39" s="9" t="s">
        <v>766</v>
      </c>
      <c r="AE39" s="1406"/>
      <c r="AF39" s="1406"/>
      <c r="AG39" s="1406"/>
      <c r="AH39" s="1406"/>
      <c r="AI39" s="147"/>
      <c r="AJ39" s="147"/>
      <c r="AK39" s="1366"/>
      <c r="AN39" s="932" t="s">
        <v>1085</v>
      </c>
    </row>
    <row r="40" spans="1:40" s="1325" customFormat="1" ht="14.65" hidden="1" customHeight="1">
      <c r="B40" s="346"/>
      <c r="E40" s="183">
        <v>15</v>
      </c>
      <c r="F40" s="3" cm="1">
        <f t="array" aca="1" ref="F40" ca="1">OFFSET(E40,-1,1)</f>
        <v>0</v>
      </c>
      <c r="G40" s="261" t="s">
        <v>1086</v>
      </c>
      <c r="H40" s="45" t="s">
        <v>477</v>
      </c>
      <c r="K40" s="399" t="str">
        <f ca="1">F40&amp;"4komm"</f>
        <v>04komm</v>
      </c>
      <c r="L40" s="823" cm="1">
        <f t="array" ref="L40">AK40</f>
        <v>0</v>
      </c>
      <c r="T40" s="381" t="b" cm="1">
        <f t="array" ref="T40">T39</f>
        <v>0</v>
      </c>
      <c r="X40" s="1732"/>
      <c r="Z40" s="1757"/>
      <c r="AB40" s="264" t="s">
        <v>482</v>
      </c>
      <c r="AC40" s="253" t="s">
        <v>1087</v>
      </c>
      <c r="AD40" s="9" t="s">
        <v>766</v>
      </c>
      <c r="AE40" s="1406"/>
      <c r="AF40" s="1406"/>
      <c r="AG40" s="1406"/>
      <c r="AH40" s="1406"/>
      <c r="AI40" s="147"/>
      <c r="AJ40" s="147"/>
      <c r="AK40" s="1366"/>
      <c r="AN40" s="932" t="s">
        <v>1088</v>
      </c>
    </row>
    <row r="41" spans="1:40" s="1325" customFormat="1" ht="14.65" hidden="1" customHeight="1">
      <c r="B41" s="346"/>
      <c r="E41" s="183">
        <v>15</v>
      </c>
      <c r="F41" s="3" cm="1">
        <f t="array" aca="1" ref="F41" ca="1">OFFSET(E41,-1,1)</f>
        <v>0</v>
      </c>
      <c r="G41" s="261" t="s">
        <v>1089</v>
      </c>
      <c r="H41" s="45" t="s">
        <v>481</v>
      </c>
      <c r="K41" s="399" t="str">
        <f ca="1">F41&amp;"5komm"</f>
        <v>05komm</v>
      </c>
      <c r="L41" s="823" cm="1">
        <f t="array" ref="L41">AK41</f>
        <v>0</v>
      </c>
      <c r="T41" s="381" t="b" cm="1">
        <f t="array" ref="T41">T40</f>
        <v>0</v>
      </c>
      <c r="X41" s="1732"/>
      <c r="Z41" s="1757"/>
      <c r="AB41" s="264" t="s">
        <v>544</v>
      </c>
      <c r="AC41" s="253" t="s">
        <v>1090</v>
      </c>
      <c r="AD41" s="9" t="s">
        <v>766</v>
      </c>
      <c r="AE41" s="1406"/>
      <c r="AF41" s="1406"/>
      <c r="AG41" s="1406"/>
      <c r="AH41" s="1406"/>
      <c r="AI41" s="147"/>
      <c r="AJ41" s="147"/>
      <c r="AK41" s="1366"/>
      <c r="AN41" s="932" t="s">
        <v>1091</v>
      </c>
    </row>
    <row r="42" spans="1:40" s="1325" customFormat="1" ht="14.65" hidden="1" customHeight="1">
      <c r="B42" s="346"/>
      <c r="E42" s="183">
        <v>15</v>
      </c>
      <c r="F42" s="3" cm="1">
        <f t="array" aca="1" ref="F42" ca="1">OFFSET(E42,-1,1)</f>
        <v>0</v>
      </c>
      <c r="G42" s="261" t="s">
        <v>1092</v>
      </c>
      <c r="H42" s="45" t="s">
        <v>528</v>
      </c>
      <c r="K42" s="399" t="str">
        <f ca="1">F42&amp;"6komm"</f>
        <v>06komm</v>
      </c>
      <c r="L42" s="823" cm="1">
        <f t="array" ref="L42">AK42</f>
        <v>0</v>
      </c>
      <c r="T42" s="381" t="b" cm="1">
        <f t="array" ref="T42">T41</f>
        <v>0</v>
      </c>
      <c r="X42" s="1732"/>
      <c r="Z42" s="1757"/>
      <c r="AB42" s="264" t="s">
        <v>552</v>
      </c>
      <c r="AC42" s="253" t="s">
        <v>1093</v>
      </c>
      <c r="AD42" s="9" t="s">
        <v>766</v>
      </c>
      <c r="AE42" s="265">
        <f t="shared" ref="AE42:AJ42" si="2">SUM(AE43:AE45)</f>
        <v>0</v>
      </c>
      <c r="AF42" s="265">
        <f t="shared" si="2"/>
        <v>0</v>
      </c>
      <c r="AG42" s="265">
        <f t="shared" si="2"/>
        <v>0</v>
      </c>
      <c r="AH42" s="265">
        <f t="shared" si="2"/>
        <v>0</v>
      </c>
      <c r="AI42" s="265">
        <f t="shared" si="2"/>
        <v>0</v>
      </c>
      <c r="AJ42" s="265">
        <f t="shared" si="2"/>
        <v>0</v>
      </c>
      <c r="AK42" s="1366"/>
      <c r="AN42" s="932" t="s">
        <v>386</v>
      </c>
    </row>
    <row r="43" spans="1:40" s="1325" customFormat="1" ht="14.65" hidden="1" customHeight="1">
      <c r="B43" s="346"/>
      <c r="E43" s="183">
        <v>15</v>
      </c>
      <c r="F43" s="3" cm="1">
        <f t="array" aca="1" ref="F43" ca="1">OFFSET(E43,-1,1)</f>
        <v>0</v>
      </c>
      <c r="G43" s="261" t="s">
        <v>1094</v>
      </c>
      <c r="H43" s="45" t="s">
        <v>531</v>
      </c>
      <c r="K43" s="399" t="str">
        <f ca="1">F43&amp;"7komm"</f>
        <v>07komm</v>
      </c>
      <c r="L43" s="823" cm="1">
        <f t="array" ref="L43">AK43</f>
        <v>0</v>
      </c>
      <c r="T43" s="381" t="b" cm="1">
        <f t="array" ref="T43">T42</f>
        <v>0</v>
      </c>
      <c r="X43" s="1732"/>
      <c r="Z43" s="1757"/>
      <c r="AB43" s="264" t="s">
        <v>556</v>
      </c>
      <c r="AC43" s="132" t="s">
        <v>1095</v>
      </c>
      <c r="AD43" s="9" t="s">
        <v>766</v>
      </c>
      <c r="AE43" s="1406"/>
      <c r="AF43" s="1406"/>
      <c r="AG43" s="1406"/>
      <c r="AH43" s="1406"/>
      <c r="AI43" s="147"/>
      <c r="AJ43" s="147"/>
      <c r="AK43" s="1366"/>
      <c r="AN43" s="932" t="s">
        <v>1096</v>
      </c>
    </row>
    <row r="44" spans="1:40" s="1325" customFormat="1" ht="43.9" hidden="1" customHeight="1">
      <c r="B44" s="346"/>
      <c r="E44" s="183">
        <v>45</v>
      </c>
      <c r="F44" s="3" cm="1">
        <f t="array" aca="1" ref="F44" ca="1">OFFSET(E44,-1,1)</f>
        <v>0</v>
      </c>
      <c r="G44" s="261" t="s">
        <v>1097</v>
      </c>
      <c r="H44" s="45" t="s">
        <v>535</v>
      </c>
      <c r="K44" s="399" t="str">
        <f ca="1">F44&amp;"8komm"</f>
        <v>08komm</v>
      </c>
      <c r="L44" s="823" cm="1">
        <f t="array" ref="L44">AK44</f>
        <v>0</v>
      </c>
      <c r="T44" s="381" t="b" cm="1">
        <f t="array" ref="T44">T43</f>
        <v>0</v>
      </c>
      <c r="X44" s="1732"/>
      <c r="Z44" s="1757"/>
      <c r="AB44" s="264" t="s">
        <v>573</v>
      </c>
      <c r="AC44" s="676" t="s">
        <v>1098</v>
      </c>
      <c r="AD44" s="9" t="s">
        <v>766</v>
      </c>
      <c r="AE44" s="1406"/>
      <c r="AF44" s="1406"/>
      <c r="AG44" s="1406"/>
      <c r="AH44" s="1406"/>
      <c r="AI44" s="147"/>
      <c r="AJ44" s="147"/>
      <c r="AK44" s="1366"/>
      <c r="AN44" s="932" t="s">
        <v>1099</v>
      </c>
    </row>
    <row r="45" spans="1:40" s="1325" customFormat="1" ht="14.65" hidden="1" customHeight="1">
      <c r="B45" s="346"/>
      <c r="E45" s="183">
        <v>15</v>
      </c>
      <c r="F45" s="3" cm="1">
        <f t="array" aca="1" ref="F45" ca="1">OFFSET(E45,-1,1)</f>
        <v>0</v>
      </c>
      <c r="G45" s="77" t="s">
        <v>1100</v>
      </c>
      <c r="H45" s="45" t="s">
        <v>539</v>
      </c>
      <c r="K45" s="399" t="str">
        <f ca="1">F45&amp;"9komm"</f>
        <v>09komm</v>
      </c>
      <c r="L45" s="823" cm="1">
        <f t="array" ref="L45">AK45</f>
        <v>0</v>
      </c>
      <c r="T45" s="381" t="b" cm="1">
        <f t="array" ref="T45">T44</f>
        <v>0</v>
      </c>
      <c r="X45" s="1732"/>
      <c r="Z45" s="1757"/>
      <c r="AB45" s="264" t="s">
        <v>585</v>
      </c>
      <c r="AC45" s="132" t="s">
        <v>1101</v>
      </c>
      <c r="AD45" s="9" t="s">
        <v>766</v>
      </c>
      <c r="AE45" s="1406"/>
      <c r="AF45" s="1406"/>
      <c r="AG45" s="1406"/>
      <c r="AH45" s="1406"/>
      <c r="AI45" s="1255"/>
      <c r="AJ45" s="1255"/>
      <c r="AK45" s="1366"/>
      <c r="AN45" s="932" t="s">
        <v>1102</v>
      </c>
    </row>
    <row r="46" spans="1:40" s="1327" customFormat="1" ht="10.5" customHeight="1">
      <c r="A46" s="1207"/>
      <c r="B46" s="1076"/>
      <c r="C46" s="65"/>
      <c r="D46" s="65"/>
      <c r="E46" s="183">
        <v>11.25</v>
      </c>
      <c r="F46" s="17" t="str" cm="1">
        <f t="array" ref="F46">X46</f>
        <v>1</v>
      </c>
      <c r="G46" s="65"/>
      <c r="H46" s="65"/>
      <c r="I46" s="65"/>
      <c r="J46" s="65"/>
      <c r="K46" s="65"/>
      <c r="L46" s="65"/>
      <c r="M46" s="65"/>
      <c r="N46" s="65"/>
      <c r="O46" s="65"/>
      <c r="P46" s="65"/>
      <c r="Q46" s="65"/>
      <c r="R46" s="65"/>
      <c r="S46" s="65"/>
      <c r="T46" s="381" t="b">
        <f>X46&gt;0</f>
        <v>1</v>
      </c>
      <c r="U46" s="65"/>
      <c r="V46" s="65" t="str" cm="1">
        <f t="array" ref="V46">ФОТ!$AB$52</f>
        <v>Тариф 1 (Водоснабжение) - тариф на питьевую воду</v>
      </c>
      <c r="W46" s="65"/>
      <c r="X46" s="1732" t="s">
        <v>281</v>
      </c>
      <c r="Y46" s="65"/>
      <c r="Z46" s="1757"/>
      <c r="AA46" s="65"/>
      <c r="AB46" s="160" t="str" cm="1">
        <f t="array" ref="AB46">ФОТ!$AB$52</f>
        <v>Тариф 1 (Водоснабжение) - тариф на питьевую воду</v>
      </c>
      <c r="AC46" s="99"/>
      <c r="AD46" s="99"/>
      <c r="AE46" s="220">
        <f t="shared" ref="AE46:AJ46" ca="1" si="3">AE47+AE48+AE49+AE57+AE58+AE59+AE60+AE61</f>
        <v>0</v>
      </c>
      <c r="AF46" s="220">
        <f t="shared" ca="1" si="3"/>
        <v>0</v>
      </c>
      <c r="AG46" s="220">
        <f t="shared" ca="1" si="3"/>
        <v>0</v>
      </c>
      <c r="AH46" s="220">
        <f t="shared" ca="1" si="3"/>
        <v>0</v>
      </c>
      <c r="AI46" s="220">
        <f t="shared" ca="1" si="3"/>
        <v>0</v>
      </c>
      <c r="AJ46" s="220">
        <f t="shared" ca="1" si="3"/>
        <v>0</v>
      </c>
      <c r="AK46" s="93"/>
      <c r="AL46" s="65"/>
      <c r="AM46" s="1207"/>
      <c r="AN46" s="1209"/>
    </row>
    <row r="47" spans="1:40" s="1327" customFormat="1" ht="21.75" customHeight="1">
      <c r="A47" s="1207"/>
      <c r="B47" s="1076"/>
      <c r="C47" s="65"/>
      <c r="D47" s="65"/>
      <c r="E47" s="183">
        <v>22.5</v>
      </c>
      <c r="F47" s="3" t="str" cm="1">
        <f t="array" aca="1" ref="F47" ca="1">OFFSET(E47,-1,1)</f>
        <v>1</v>
      </c>
      <c r="G47" s="65"/>
      <c r="H47" s="45" t="s">
        <v>323</v>
      </c>
      <c r="I47" s="65"/>
      <c r="J47" s="65"/>
      <c r="K47" s="65"/>
      <c r="L47" s="65"/>
      <c r="M47" s="65"/>
      <c r="N47" s="65"/>
      <c r="O47" s="65"/>
      <c r="P47" s="65"/>
      <c r="Q47" s="65"/>
      <c r="R47" s="65"/>
      <c r="S47" s="65"/>
      <c r="T47" s="381" t="b" cm="1">
        <f t="array" ref="T47">T46</f>
        <v>1</v>
      </c>
      <c r="U47" s="65"/>
      <c r="V47" s="65"/>
      <c r="W47" s="65"/>
      <c r="X47" s="1732"/>
      <c r="Y47" s="65"/>
      <c r="Z47" s="1757"/>
      <c r="AA47" s="65"/>
      <c r="AB47" s="264">
        <v>1</v>
      </c>
      <c r="AC47" s="253" t="s">
        <v>1035</v>
      </c>
      <c r="AD47" s="9" t="s">
        <v>766</v>
      </c>
      <c r="AE47" s="801">
        <f ca="1">SUMIFS(ФОТ!AE$25:AE$77,ФОТ!$F$25:$F$77,$F47,ФОТ!$AC$25:$AC$77,$AC47)</f>
        <v>0</v>
      </c>
      <c r="AF47" s="801">
        <f ca="1">SUMIFS(ФОТ!AF$25:AF$77,ФОТ!$F$25:$F$77,$F47,ФОТ!$AC$25:$AC$77,$AC47)</f>
        <v>0</v>
      </c>
      <c r="AG47" s="801">
        <f ca="1">SUMIFS(ФОТ!AG$25:AG$77,ФОТ!$F$25:$F$77,$F47,ФОТ!$AC$25:$AC$77,$AC47)</f>
        <v>0</v>
      </c>
      <c r="AH47" s="801">
        <f ca="1">SUMIFS(ФОТ!AH$25:AH$77,ФОТ!$F$25:$F$77,$F47,ФОТ!$AC$25:$AC$77,$AC47)</f>
        <v>0</v>
      </c>
      <c r="AI47" s="801">
        <f ca="1">SUMIFS(ФОТ!AI$25:AI$77,ФОТ!$F$25:$F$77,$F47,ФОТ!$AC$25:$AC$77,$AC47)</f>
        <v>0</v>
      </c>
      <c r="AJ47" s="801">
        <f ca="1">SUMIFS(ФОТ!AJ$25:AJ$77,ФОТ!$F$25:$F$77,$F47,ФОТ!$AC$25:$AC$77,$AC47)</f>
        <v>0</v>
      </c>
      <c r="AK47" s="223"/>
      <c r="AL47" s="65"/>
      <c r="AM47" s="1207"/>
      <c r="AN47" s="917" t="s">
        <v>1051</v>
      </c>
    </row>
    <row r="48" spans="1:40" s="1327" customFormat="1" ht="21.75" customHeight="1">
      <c r="A48" s="1207"/>
      <c r="B48" s="1076"/>
      <c r="C48" s="65"/>
      <c r="D48" s="65"/>
      <c r="E48" s="183">
        <v>22.5</v>
      </c>
      <c r="F48" s="3" t="str" cm="1">
        <f t="array" aca="1" ref="F48" ca="1">OFFSET(E48,-1,1)</f>
        <v>1</v>
      </c>
      <c r="G48" s="65"/>
      <c r="H48" s="45" t="s">
        <v>324</v>
      </c>
      <c r="I48" s="65"/>
      <c r="J48" s="399"/>
      <c r="K48" s="399"/>
      <c r="L48" s="399"/>
      <c r="M48" s="65"/>
      <c r="N48" s="65"/>
      <c r="O48" s="65"/>
      <c r="P48" s="65"/>
      <c r="Q48" s="65"/>
      <c r="R48" s="65"/>
      <c r="S48" s="65"/>
      <c r="T48" s="381" t="b" cm="1">
        <f t="array" ref="T48">T47</f>
        <v>1</v>
      </c>
      <c r="U48" s="65"/>
      <c r="V48" s="65"/>
      <c r="W48" s="65"/>
      <c r="X48" s="1732"/>
      <c r="Y48" s="65"/>
      <c r="Z48" s="1757"/>
      <c r="AA48" s="65"/>
      <c r="AB48" s="264" t="s">
        <v>224</v>
      </c>
      <c r="AC48" s="253" t="s">
        <v>1040</v>
      </c>
      <c r="AD48" s="9" t="s">
        <v>766</v>
      </c>
      <c r="AE48" s="801">
        <f ca="1">SUMIFS(ФОТ!AE$25:AE$77,ФОТ!$F$25:$F$77,$F48,ФОТ!$AC$25:$AC$77,$AC48)</f>
        <v>0</v>
      </c>
      <c r="AF48" s="801">
        <f ca="1">SUMIFS(ФОТ!AF$25:AF$77,ФОТ!$F$25:$F$77,$F48,ФОТ!$AC$25:$AC$77,$AC48)</f>
        <v>0</v>
      </c>
      <c r="AG48" s="801">
        <f ca="1">SUMIFS(ФОТ!AG$25:AG$77,ФОТ!$F$25:$F$77,$F48,ФОТ!$AC$25:$AC$77,$AC48)</f>
        <v>0</v>
      </c>
      <c r="AH48" s="801">
        <f ca="1">SUMIFS(ФОТ!AH$25:AH$77,ФОТ!$F$25:$F$77,$F48,ФОТ!$AC$25:$AC$77,$AC48)</f>
        <v>0</v>
      </c>
      <c r="AI48" s="801">
        <f ca="1">SUMIFS(ФОТ!AI$25:AI$77,ФОТ!$F$25:$F$77,$F48,ФОТ!$AC$25:$AC$77,$AC48)</f>
        <v>0</v>
      </c>
      <c r="AJ48" s="801">
        <f ca="1">SUMIFS(ФОТ!AJ$25:AJ$77,ФОТ!$F$25:$F$77,$F48,ФОТ!$AC$25:$AC$77,$AC48)</f>
        <v>0</v>
      </c>
      <c r="AK48" s="223"/>
      <c r="AL48" s="65"/>
      <c r="AM48" s="1207"/>
      <c r="AN48" s="917" t="s">
        <v>1041</v>
      </c>
    </row>
    <row r="49" spans="1:40" s="1327" customFormat="1" ht="32.25" customHeight="1">
      <c r="A49" s="1207"/>
      <c r="B49" s="1076"/>
      <c r="C49" s="65"/>
      <c r="D49" s="65"/>
      <c r="E49" s="183">
        <v>33.75</v>
      </c>
      <c r="F49" s="3" t="str" cm="1">
        <f t="array" aca="1" ref="F49" ca="1">OFFSET(E49,-1,1)</f>
        <v>1</v>
      </c>
      <c r="G49" s="261" t="s">
        <v>1052</v>
      </c>
      <c r="H49" s="45" t="s">
        <v>325</v>
      </c>
      <c r="I49" s="65"/>
      <c r="J49" s="399"/>
      <c r="K49" s="399" t="str">
        <f ca="1">F49&amp;"17komm"</f>
        <v>117komm</v>
      </c>
      <c r="L49" s="823" cm="1">
        <f t="array" ref="L49">AK49</f>
        <v>0</v>
      </c>
      <c r="M49" s="65"/>
      <c r="N49" s="65"/>
      <c r="O49" s="65"/>
      <c r="P49" s="65"/>
      <c r="Q49" s="65"/>
      <c r="R49" s="65"/>
      <c r="S49" s="65"/>
      <c r="T49" s="381" t="b" cm="1">
        <f t="array" ref="T49">T48</f>
        <v>1</v>
      </c>
      <c r="U49" s="65"/>
      <c r="V49" s="65"/>
      <c r="W49" s="65"/>
      <c r="X49" s="1732"/>
      <c r="Y49" s="65"/>
      <c r="Z49" s="1757"/>
      <c r="AA49" s="65"/>
      <c r="AB49" s="264" t="s">
        <v>321</v>
      </c>
      <c r="AC49" s="253" t="s">
        <v>1053</v>
      </c>
      <c r="AD49" s="9" t="s">
        <v>766</v>
      </c>
      <c r="AE49" s="156">
        <f t="shared" ref="AE49:AJ49" si="4">SUM(AE50:AE56)</f>
        <v>0</v>
      </c>
      <c r="AF49" s="156">
        <f t="shared" si="4"/>
        <v>0</v>
      </c>
      <c r="AG49" s="156">
        <f t="shared" si="4"/>
        <v>0</v>
      </c>
      <c r="AH49" s="156">
        <f t="shared" si="4"/>
        <v>0</v>
      </c>
      <c r="AI49" s="156">
        <f t="shared" si="4"/>
        <v>0</v>
      </c>
      <c r="AJ49" s="156">
        <f t="shared" si="4"/>
        <v>0</v>
      </c>
      <c r="AK49" s="223"/>
      <c r="AL49" s="65"/>
      <c r="AM49" s="1207"/>
      <c r="AN49" s="917" t="s">
        <v>1054</v>
      </c>
    </row>
    <row r="50" spans="1:40" s="1327" customFormat="1" ht="14.25" customHeight="1">
      <c r="B50" s="347"/>
      <c r="C50" s="65"/>
      <c r="D50" s="65"/>
      <c r="E50" s="183">
        <v>15</v>
      </c>
      <c r="F50" s="1083" t="str" cm="1">
        <f t="array" aca="1" ref="F50" ca="1">OFFSET(E50,-1,1)</f>
        <v>1</v>
      </c>
      <c r="G50" s="77" t="s">
        <v>1055</v>
      </c>
      <c r="H50" s="45" t="s">
        <v>851</v>
      </c>
      <c r="I50" s="65"/>
      <c r="J50" s="399"/>
      <c r="K50" s="399" t="str">
        <f ca="1">F50&amp;"18komm"</f>
        <v>118komm</v>
      </c>
      <c r="L50" s="823" cm="1">
        <f t="array" ref="L50">AK50</f>
        <v>0</v>
      </c>
      <c r="M50" s="65"/>
      <c r="N50" s="65"/>
      <c r="O50" s="65"/>
      <c r="P50" s="65"/>
      <c r="Q50" s="65"/>
      <c r="R50" s="65"/>
      <c r="S50" s="65"/>
      <c r="T50" s="381" t="b" cm="1">
        <f t="array" ref="T50">T49</f>
        <v>1</v>
      </c>
      <c r="U50" s="65"/>
      <c r="V50" s="65"/>
      <c r="W50" s="65"/>
      <c r="X50" s="1732"/>
      <c r="Y50" s="65"/>
      <c r="Z50" s="1757"/>
      <c r="AA50" s="65"/>
      <c r="AB50" s="264" t="s">
        <v>516</v>
      </c>
      <c r="AC50" s="132" t="s">
        <v>1056</v>
      </c>
      <c r="AD50" s="9" t="s">
        <v>766</v>
      </c>
      <c r="AE50" s="147"/>
      <c r="AF50" s="147"/>
      <c r="AG50" s="147"/>
      <c r="AH50" s="147"/>
      <c r="AI50" s="147"/>
      <c r="AJ50" s="147"/>
      <c r="AK50" s="223"/>
      <c r="AL50" s="65"/>
      <c r="AN50" s="921" t="s">
        <v>1057</v>
      </c>
    </row>
    <row r="51" spans="1:40" s="1081" customFormat="1" ht="14.25" customHeight="1">
      <c r="A51" s="1325"/>
      <c r="B51" s="346"/>
      <c r="C51" s="1325"/>
      <c r="D51" s="1325"/>
      <c r="E51" s="183">
        <v>15</v>
      </c>
      <c r="F51" s="3" t="str" cm="1">
        <f t="array" aca="1" ref="F51" ca="1">OFFSET(E51,-1,1)</f>
        <v>1</v>
      </c>
      <c r="G51" s="77" t="s">
        <v>1058</v>
      </c>
      <c r="H51" s="45" t="s">
        <v>853</v>
      </c>
      <c r="I51" s="1325"/>
      <c r="J51" s="399"/>
      <c r="K51" s="399" t="str">
        <f ca="1">F51&amp;"11komm"</f>
        <v>111komm</v>
      </c>
      <c r="L51" s="823" cm="1">
        <f t="array" ref="L51">AK51</f>
        <v>0</v>
      </c>
      <c r="M51" s="1325"/>
      <c r="N51" s="1325"/>
      <c r="O51" s="1325"/>
      <c r="P51" s="1325"/>
      <c r="Q51" s="1325"/>
      <c r="R51" s="1325"/>
      <c r="S51" s="1325"/>
      <c r="T51" s="381" t="b" cm="1">
        <f t="array" ref="T51">T50</f>
        <v>1</v>
      </c>
      <c r="U51" s="1325"/>
      <c r="V51" s="1325"/>
      <c r="W51" s="1325"/>
      <c r="X51" s="1732"/>
      <c r="Y51" s="1325"/>
      <c r="Z51" s="1757"/>
      <c r="AA51" s="1325"/>
      <c r="AB51" s="264" t="s">
        <v>520</v>
      </c>
      <c r="AC51" s="132" t="s">
        <v>1059</v>
      </c>
      <c r="AD51" s="9" t="s">
        <v>766</v>
      </c>
      <c r="AE51" s="147"/>
      <c r="AF51" s="147"/>
      <c r="AG51" s="147"/>
      <c r="AH51" s="147"/>
      <c r="AI51" s="147"/>
      <c r="AJ51" s="147"/>
      <c r="AK51" s="223"/>
      <c r="AL51" s="1325"/>
      <c r="AM51" s="1325"/>
      <c r="AN51" s="932" t="s">
        <v>1060</v>
      </c>
    </row>
    <row r="52" spans="1:40" s="1081" customFormat="1" ht="14.25" customHeight="1">
      <c r="A52" s="1325"/>
      <c r="B52" s="346"/>
      <c r="C52" s="1325"/>
      <c r="D52" s="1325"/>
      <c r="E52" s="183">
        <v>15</v>
      </c>
      <c r="F52" s="3" t="str" cm="1">
        <f t="array" aca="1" ref="F52" ca="1">OFFSET(E52,-1,1)</f>
        <v>1</v>
      </c>
      <c r="G52" s="77" t="s">
        <v>1061</v>
      </c>
      <c r="H52" s="45" t="s">
        <v>855</v>
      </c>
      <c r="I52" s="1325"/>
      <c r="J52" s="399"/>
      <c r="K52" s="399" t="str">
        <f ca="1">F52&amp;"12komm"</f>
        <v>112komm</v>
      </c>
      <c r="L52" s="823" cm="1">
        <f t="array" ref="L52">AK52</f>
        <v>0</v>
      </c>
      <c r="M52" s="1325"/>
      <c r="N52" s="1325"/>
      <c r="O52" s="1325"/>
      <c r="P52" s="1325"/>
      <c r="Q52" s="1325"/>
      <c r="R52" s="1325"/>
      <c r="S52" s="1325"/>
      <c r="T52" s="381" t="b" cm="1">
        <f t="array" ref="T52">T51</f>
        <v>1</v>
      </c>
      <c r="U52" s="1325"/>
      <c r="V52" s="1325"/>
      <c r="W52" s="1325"/>
      <c r="X52" s="1732"/>
      <c r="Y52" s="1325"/>
      <c r="Z52" s="1757"/>
      <c r="AA52" s="1325"/>
      <c r="AB52" s="264" t="s">
        <v>737</v>
      </c>
      <c r="AC52" s="132" t="s">
        <v>1062</v>
      </c>
      <c r="AD52" s="9" t="s">
        <v>766</v>
      </c>
      <c r="AE52" s="147"/>
      <c r="AF52" s="147"/>
      <c r="AG52" s="147"/>
      <c r="AH52" s="147"/>
      <c r="AI52" s="147"/>
      <c r="AJ52" s="147"/>
      <c r="AK52" s="223"/>
      <c r="AL52" s="1325"/>
      <c r="AM52" s="1325"/>
      <c r="AN52" s="932" t="s">
        <v>1063</v>
      </c>
    </row>
    <row r="53" spans="1:40" s="1081" customFormat="1" ht="14.25" customHeight="1">
      <c r="A53" s="1325"/>
      <c r="B53" s="346"/>
      <c r="C53" s="1325"/>
      <c r="D53" s="1325"/>
      <c r="E53" s="183">
        <v>15</v>
      </c>
      <c r="F53" s="3" t="str" cm="1">
        <f t="array" aca="1" ref="F53" ca="1">OFFSET(E53,-1,1)</f>
        <v>1</v>
      </c>
      <c r="G53" s="77" t="s">
        <v>1064</v>
      </c>
      <c r="H53" s="45" t="s">
        <v>857</v>
      </c>
      <c r="I53" s="1325"/>
      <c r="J53" s="399"/>
      <c r="K53" s="399" t="str">
        <f ca="1">F53&amp;"13komm"</f>
        <v>113komm</v>
      </c>
      <c r="L53" s="823" cm="1">
        <f t="array" ref="L53">AK53</f>
        <v>0</v>
      </c>
      <c r="M53" s="1325"/>
      <c r="N53" s="1325"/>
      <c r="O53" s="1325"/>
      <c r="P53" s="1325"/>
      <c r="Q53" s="1325"/>
      <c r="R53" s="1325"/>
      <c r="S53" s="1325"/>
      <c r="T53" s="381" t="b" cm="1">
        <f t="array" ref="T53">T52</f>
        <v>1</v>
      </c>
      <c r="U53" s="1325"/>
      <c r="V53" s="1325"/>
      <c r="W53" s="1325"/>
      <c r="X53" s="1732"/>
      <c r="Y53" s="1325"/>
      <c r="Z53" s="1757"/>
      <c r="AA53" s="1325"/>
      <c r="AB53" s="264" t="s">
        <v>858</v>
      </c>
      <c r="AC53" s="132" t="s">
        <v>1065</v>
      </c>
      <c r="AD53" s="9" t="s">
        <v>766</v>
      </c>
      <c r="AE53" s="147"/>
      <c r="AF53" s="147"/>
      <c r="AG53" s="147"/>
      <c r="AH53" s="147"/>
      <c r="AI53" s="147"/>
      <c r="AJ53" s="147"/>
      <c r="AK53" s="223"/>
      <c r="AL53" s="1325"/>
      <c r="AM53" s="1325"/>
      <c r="AN53" s="932" t="s">
        <v>1066</v>
      </c>
    </row>
    <row r="54" spans="1:40" s="1081" customFormat="1" ht="14.25" customHeight="1">
      <c r="A54" s="1325"/>
      <c r="B54" s="346"/>
      <c r="C54" s="1325"/>
      <c r="D54" s="1325"/>
      <c r="E54" s="183">
        <v>15</v>
      </c>
      <c r="F54" s="3" t="str" cm="1">
        <f t="array" aca="1" ref="F54" ca="1">OFFSET(E54,-1,1)</f>
        <v>1</v>
      </c>
      <c r="G54" s="77" t="s">
        <v>1067</v>
      </c>
      <c r="H54" s="45" t="s">
        <v>860</v>
      </c>
      <c r="I54" s="1325"/>
      <c r="J54" s="399"/>
      <c r="K54" s="399" t="str">
        <f ca="1">F54&amp;"14komm"</f>
        <v>114komm</v>
      </c>
      <c r="L54" s="823" cm="1">
        <f t="array" ref="L54">AK54</f>
        <v>0</v>
      </c>
      <c r="M54" s="1325"/>
      <c r="N54" s="1325"/>
      <c r="O54" s="1325"/>
      <c r="P54" s="1325"/>
      <c r="Q54" s="1325"/>
      <c r="R54" s="1325"/>
      <c r="S54" s="1325"/>
      <c r="T54" s="381" t="b" cm="1">
        <f t="array" ref="T54">T53</f>
        <v>1</v>
      </c>
      <c r="U54" s="1325"/>
      <c r="V54" s="1325"/>
      <c r="W54" s="1325"/>
      <c r="X54" s="1732"/>
      <c r="Y54" s="1325"/>
      <c r="Z54" s="1757"/>
      <c r="AA54" s="1325"/>
      <c r="AB54" s="264" t="s">
        <v>861</v>
      </c>
      <c r="AC54" s="132" t="s">
        <v>1068</v>
      </c>
      <c r="AD54" s="9" t="s">
        <v>766</v>
      </c>
      <c r="AE54" s="147"/>
      <c r="AF54" s="147"/>
      <c r="AG54" s="147"/>
      <c r="AH54" s="147"/>
      <c r="AI54" s="147"/>
      <c r="AJ54" s="147"/>
      <c r="AK54" s="223"/>
      <c r="AL54" s="1325"/>
      <c r="AM54" s="1325"/>
      <c r="AN54" s="932" t="s">
        <v>1069</v>
      </c>
    </row>
    <row r="55" spans="1:40" s="1081" customFormat="1" ht="14.25" customHeight="1">
      <c r="A55" s="1325"/>
      <c r="B55" s="346"/>
      <c r="C55" s="1325"/>
      <c r="D55" s="1325"/>
      <c r="E55" s="183">
        <v>15</v>
      </c>
      <c r="F55" s="3" t="str" cm="1">
        <f t="array" aca="1" ref="F55" ca="1">OFFSET(E55,-1,1)</f>
        <v>1</v>
      </c>
      <c r="G55" s="77" t="s">
        <v>1070</v>
      </c>
      <c r="H55" s="45" t="s">
        <v>1071</v>
      </c>
      <c r="I55" s="1325"/>
      <c r="J55" s="399"/>
      <c r="K55" s="399" t="str">
        <f ca="1">F55&amp;"15komm"</f>
        <v>115komm</v>
      </c>
      <c r="L55" s="823" cm="1">
        <f t="array" ref="L55">AK55</f>
        <v>0</v>
      </c>
      <c r="M55" s="1325"/>
      <c r="N55" s="1325"/>
      <c r="O55" s="1325"/>
      <c r="P55" s="1325"/>
      <c r="Q55" s="1325"/>
      <c r="R55" s="1325"/>
      <c r="S55" s="1325"/>
      <c r="T55" s="381" t="b" cm="1">
        <f t="array" ref="T55">T54</f>
        <v>1</v>
      </c>
      <c r="U55" s="1325"/>
      <c r="V55" s="1325"/>
      <c r="W55" s="1325"/>
      <c r="X55" s="1732"/>
      <c r="Y55" s="1325"/>
      <c r="Z55" s="1757"/>
      <c r="AA55" s="1325"/>
      <c r="AB55" s="264" t="s">
        <v>1072</v>
      </c>
      <c r="AC55" s="132" t="s">
        <v>1073</v>
      </c>
      <c r="AD55" s="9" t="s">
        <v>766</v>
      </c>
      <c r="AE55" s="147"/>
      <c r="AF55" s="147"/>
      <c r="AG55" s="147"/>
      <c r="AH55" s="147"/>
      <c r="AI55" s="147"/>
      <c r="AJ55" s="147"/>
      <c r="AK55" s="223"/>
      <c r="AL55" s="1325"/>
      <c r="AM55" s="1325"/>
      <c r="AN55" s="932" t="s">
        <v>1074</v>
      </c>
    </row>
    <row r="56" spans="1:40" s="1081" customFormat="1" ht="14.25" customHeight="1">
      <c r="A56" s="1325"/>
      <c r="B56" s="346"/>
      <c r="C56" s="1325"/>
      <c r="D56" s="1325"/>
      <c r="E56" s="183">
        <v>15</v>
      </c>
      <c r="F56" s="3" t="str" cm="1">
        <f t="array" aca="1" ref="F56" ca="1">OFFSET(E56,-1,1)</f>
        <v>1</v>
      </c>
      <c r="G56" s="77" t="s">
        <v>1075</v>
      </c>
      <c r="H56" s="45" t="s">
        <v>1076</v>
      </c>
      <c r="I56" s="1325"/>
      <c r="J56" s="399"/>
      <c r="K56" s="399" t="str">
        <f ca="1">F56&amp;"16komm"</f>
        <v>116komm</v>
      </c>
      <c r="L56" s="823" cm="1">
        <f t="array" ref="L56">AK56</f>
        <v>0</v>
      </c>
      <c r="M56" s="1325"/>
      <c r="N56" s="1325"/>
      <c r="O56" s="1325"/>
      <c r="P56" s="1325"/>
      <c r="Q56" s="1325"/>
      <c r="R56" s="1325"/>
      <c r="S56" s="1325"/>
      <c r="T56" s="381" t="b" cm="1">
        <f t="array" ref="T56">T55</f>
        <v>1</v>
      </c>
      <c r="U56" s="1325"/>
      <c r="V56" s="1325"/>
      <c r="W56" s="1325"/>
      <c r="X56" s="1732"/>
      <c r="Y56" s="1325"/>
      <c r="Z56" s="1757"/>
      <c r="AA56" s="1325"/>
      <c r="AB56" s="264" t="s">
        <v>1077</v>
      </c>
      <c r="AC56" s="132" t="s">
        <v>1078</v>
      </c>
      <c r="AD56" s="9" t="s">
        <v>766</v>
      </c>
      <c r="AE56" s="147"/>
      <c r="AF56" s="147"/>
      <c r="AG56" s="147"/>
      <c r="AH56" s="147"/>
      <c r="AI56" s="147"/>
      <c r="AJ56" s="147"/>
      <c r="AK56" s="223"/>
      <c r="AL56" s="1325"/>
      <c r="AM56" s="1325"/>
      <c r="AN56" s="932" t="s">
        <v>1079</v>
      </c>
    </row>
    <row r="57" spans="1:40" s="1081" customFormat="1" ht="32.25" customHeight="1">
      <c r="A57" s="1325"/>
      <c r="B57" s="346"/>
      <c r="C57" s="1325"/>
      <c r="D57" s="1325"/>
      <c r="E57" s="183">
        <v>33.75</v>
      </c>
      <c r="F57" s="3" t="str" cm="1">
        <f t="array" aca="1" ref="F57" ca="1">OFFSET(E57,-1,1)</f>
        <v>1</v>
      </c>
      <c r="G57" s="261" t="s">
        <v>1080</v>
      </c>
      <c r="H57" s="45" t="s">
        <v>327</v>
      </c>
      <c r="I57" s="1325"/>
      <c r="J57" s="399"/>
      <c r="K57" s="399" t="str">
        <f ca="1">F57&amp;"2komm"</f>
        <v>12komm</v>
      </c>
      <c r="L57" s="823" cm="1">
        <f t="array" ref="L57">AK57</f>
        <v>0</v>
      </c>
      <c r="M57" s="1325"/>
      <c r="N57" s="1325"/>
      <c r="O57" s="1325"/>
      <c r="P57" s="1325"/>
      <c r="Q57" s="1325"/>
      <c r="R57" s="1325"/>
      <c r="S57" s="1325"/>
      <c r="T57" s="381" t="b" cm="1">
        <f t="array" ref="T57">T56</f>
        <v>1</v>
      </c>
      <c r="U57" s="1325"/>
      <c r="V57" s="1325"/>
      <c r="W57" s="1325"/>
      <c r="X57" s="1732"/>
      <c r="Y57" s="1325"/>
      <c r="Z57" s="1757"/>
      <c r="AA57" s="1325"/>
      <c r="AB57" s="264" t="s">
        <v>523</v>
      </c>
      <c r="AC57" s="253" t="s">
        <v>1081</v>
      </c>
      <c r="AD57" s="9" t="s">
        <v>766</v>
      </c>
      <c r="AE57" s="147"/>
      <c r="AF57" s="147"/>
      <c r="AG57" s="147"/>
      <c r="AH57" s="147"/>
      <c r="AI57" s="147"/>
      <c r="AJ57" s="147"/>
      <c r="AK57" s="223"/>
      <c r="AL57" s="1325"/>
      <c r="AM57" s="1325"/>
      <c r="AN57" s="932" t="s">
        <v>1082</v>
      </c>
    </row>
    <row r="58" spans="1:40" s="1081" customFormat="1" ht="14.25" customHeight="1">
      <c r="A58" s="1325"/>
      <c r="B58" s="346"/>
      <c r="C58" s="1325"/>
      <c r="D58" s="1325"/>
      <c r="E58" s="183">
        <v>15</v>
      </c>
      <c r="F58" s="3" t="str" cm="1">
        <f t="array" aca="1" ref="F58" ca="1">OFFSET(E58,-1,1)</f>
        <v>1</v>
      </c>
      <c r="G58" s="261" t="s">
        <v>1083</v>
      </c>
      <c r="H58" s="45" t="s">
        <v>326</v>
      </c>
      <c r="I58" s="1325"/>
      <c r="J58" s="399"/>
      <c r="K58" s="399" t="str">
        <f ca="1">F58&amp;"3komm"</f>
        <v>13komm</v>
      </c>
      <c r="L58" s="823" cm="1">
        <f t="array" ref="L58">AK58</f>
        <v>0</v>
      </c>
      <c r="M58" s="1325"/>
      <c r="N58" s="1325"/>
      <c r="O58" s="1325"/>
      <c r="P58" s="1325"/>
      <c r="Q58" s="1325"/>
      <c r="R58" s="1325"/>
      <c r="S58" s="1325"/>
      <c r="T58" s="381" t="b" cm="1">
        <f t="array" ref="T58">T57</f>
        <v>1</v>
      </c>
      <c r="U58" s="1325"/>
      <c r="V58" s="1325"/>
      <c r="W58" s="1325"/>
      <c r="X58" s="1732"/>
      <c r="Y58" s="1325"/>
      <c r="Z58" s="1757"/>
      <c r="AA58" s="1325"/>
      <c r="AB58" s="264" t="s">
        <v>478</v>
      </c>
      <c r="AC58" s="253" t="s">
        <v>1084</v>
      </c>
      <c r="AD58" s="9" t="s">
        <v>766</v>
      </c>
      <c r="AE58" s="147"/>
      <c r="AF58" s="147"/>
      <c r="AG58" s="147"/>
      <c r="AH58" s="147"/>
      <c r="AI58" s="147"/>
      <c r="AJ58" s="147"/>
      <c r="AK58" s="223"/>
      <c r="AL58" s="1325"/>
      <c r="AM58" s="1325"/>
      <c r="AN58" s="932" t="s">
        <v>1085</v>
      </c>
    </row>
    <row r="59" spans="1:40" s="1081" customFormat="1" ht="14.25" customHeight="1">
      <c r="A59" s="1325"/>
      <c r="B59" s="346"/>
      <c r="C59" s="1325"/>
      <c r="D59" s="1325"/>
      <c r="E59" s="183">
        <v>15</v>
      </c>
      <c r="F59" s="3" t="str" cm="1">
        <f t="array" aca="1" ref="F59" ca="1">OFFSET(E59,-1,1)</f>
        <v>1</v>
      </c>
      <c r="G59" s="261" t="s">
        <v>1086</v>
      </c>
      <c r="H59" s="45" t="s">
        <v>477</v>
      </c>
      <c r="I59" s="1325"/>
      <c r="J59" s="1325"/>
      <c r="K59" s="399" t="str">
        <f ca="1">F59&amp;"4komm"</f>
        <v>14komm</v>
      </c>
      <c r="L59" s="823" cm="1">
        <f t="array" ref="L59">AK59</f>
        <v>0</v>
      </c>
      <c r="M59" s="1325"/>
      <c r="N59" s="1325"/>
      <c r="O59" s="1325"/>
      <c r="P59" s="1325"/>
      <c r="Q59" s="1325"/>
      <c r="R59" s="1325"/>
      <c r="S59" s="1325"/>
      <c r="T59" s="381" t="b" cm="1">
        <f t="array" ref="T59">T58</f>
        <v>1</v>
      </c>
      <c r="U59" s="1325"/>
      <c r="V59" s="1325"/>
      <c r="W59" s="1325"/>
      <c r="X59" s="1732"/>
      <c r="Y59" s="1325"/>
      <c r="Z59" s="1757"/>
      <c r="AA59" s="1325"/>
      <c r="AB59" s="264" t="s">
        <v>482</v>
      </c>
      <c r="AC59" s="253" t="s">
        <v>1087</v>
      </c>
      <c r="AD59" s="9" t="s">
        <v>766</v>
      </c>
      <c r="AE59" s="147"/>
      <c r="AF59" s="147"/>
      <c r="AG59" s="147"/>
      <c r="AH59" s="147"/>
      <c r="AI59" s="147"/>
      <c r="AJ59" s="147"/>
      <c r="AK59" s="223"/>
      <c r="AL59" s="1325"/>
      <c r="AM59" s="1325"/>
      <c r="AN59" s="932" t="s">
        <v>1088</v>
      </c>
    </row>
    <row r="60" spans="1:40" s="1081" customFormat="1" ht="14.25" customHeight="1">
      <c r="A60" s="1325"/>
      <c r="B60" s="346"/>
      <c r="C60" s="1325"/>
      <c r="D60" s="1325"/>
      <c r="E60" s="183">
        <v>15</v>
      </c>
      <c r="F60" s="3" t="str" cm="1">
        <f t="array" aca="1" ref="F60" ca="1">OFFSET(E60,-1,1)</f>
        <v>1</v>
      </c>
      <c r="G60" s="261" t="s">
        <v>1089</v>
      </c>
      <c r="H60" s="45" t="s">
        <v>481</v>
      </c>
      <c r="I60" s="1325"/>
      <c r="J60" s="1325"/>
      <c r="K60" s="399" t="str">
        <f ca="1">F60&amp;"5komm"</f>
        <v>15komm</v>
      </c>
      <c r="L60" s="823" cm="1">
        <f t="array" ref="L60">AK60</f>
        <v>0</v>
      </c>
      <c r="M60" s="1325"/>
      <c r="N60" s="1325"/>
      <c r="O60" s="1325"/>
      <c r="P60" s="1325"/>
      <c r="Q60" s="1325"/>
      <c r="R60" s="1325"/>
      <c r="S60" s="1325"/>
      <c r="T60" s="381" t="b" cm="1">
        <f t="array" ref="T60">T59</f>
        <v>1</v>
      </c>
      <c r="U60" s="1325"/>
      <c r="V60" s="1325"/>
      <c r="W60" s="1325"/>
      <c r="X60" s="1732"/>
      <c r="Y60" s="1325"/>
      <c r="Z60" s="1757"/>
      <c r="AA60" s="1325"/>
      <c r="AB60" s="264" t="s">
        <v>544</v>
      </c>
      <c r="AC60" s="253" t="s">
        <v>1090</v>
      </c>
      <c r="AD60" s="9" t="s">
        <v>766</v>
      </c>
      <c r="AE60" s="147"/>
      <c r="AF60" s="147"/>
      <c r="AG60" s="147"/>
      <c r="AH60" s="147"/>
      <c r="AI60" s="147"/>
      <c r="AJ60" s="147"/>
      <c r="AK60" s="223"/>
      <c r="AL60" s="1325"/>
      <c r="AM60" s="1325"/>
      <c r="AN60" s="932" t="s">
        <v>1091</v>
      </c>
    </row>
    <row r="61" spans="1:40" s="1081" customFormat="1" ht="14.25" customHeight="1">
      <c r="A61" s="1325"/>
      <c r="B61" s="346"/>
      <c r="C61" s="1325"/>
      <c r="D61" s="1325"/>
      <c r="E61" s="183">
        <v>15</v>
      </c>
      <c r="F61" s="3" t="str" cm="1">
        <f t="array" aca="1" ref="F61" ca="1">OFFSET(E61,-1,1)</f>
        <v>1</v>
      </c>
      <c r="G61" s="261" t="s">
        <v>1092</v>
      </c>
      <c r="H61" s="45" t="s">
        <v>528</v>
      </c>
      <c r="I61" s="1325"/>
      <c r="J61" s="1325"/>
      <c r="K61" s="399" t="str">
        <f ca="1">F61&amp;"6komm"</f>
        <v>16komm</v>
      </c>
      <c r="L61" s="823" cm="1">
        <f t="array" ref="L61">AK61</f>
        <v>0</v>
      </c>
      <c r="M61" s="1325"/>
      <c r="N61" s="1325"/>
      <c r="O61" s="1325"/>
      <c r="P61" s="1325"/>
      <c r="Q61" s="1325"/>
      <c r="R61" s="1325"/>
      <c r="S61" s="1325"/>
      <c r="T61" s="381" t="b" cm="1">
        <f t="array" ref="T61">T60</f>
        <v>1</v>
      </c>
      <c r="U61" s="1325"/>
      <c r="V61" s="1325"/>
      <c r="W61" s="1325"/>
      <c r="X61" s="1732"/>
      <c r="Y61" s="1325"/>
      <c r="Z61" s="1757"/>
      <c r="AA61" s="1325"/>
      <c r="AB61" s="264" t="s">
        <v>552</v>
      </c>
      <c r="AC61" s="253" t="s">
        <v>1093</v>
      </c>
      <c r="AD61" s="9" t="s">
        <v>766</v>
      </c>
      <c r="AE61" s="265">
        <f t="shared" ref="AE61:AJ61" si="5">SUM(AE62:AE64)</f>
        <v>0</v>
      </c>
      <c r="AF61" s="265">
        <f t="shared" si="5"/>
        <v>0</v>
      </c>
      <c r="AG61" s="265">
        <f t="shared" si="5"/>
        <v>0</v>
      </c>
      <c r="AH61" s="265">
        <f t="shared" si="5"/>
        <v>0</v>
      </c>
      <c r="AI61" s="265">
        <f t="shared" si="5"/>
        <v>0</v>
      </c>
      <c r="AJ61" s="265">
        <f t="shared" si="5"/>
        <v>0</v>
      </c>
      <c r="AK61" s="223"/>
      <c r="AL61" s="1325"/>
      <c r="AM61" s="1325"/>
      <c r="AN61" s="932" t="s">
        <v>386</v>
      </c>
    </row>
    <row r="62" spans="1:40" s="1081" customFormat="1" ht="14.25" customHeight="1">
      <c r="A62" s="1325"/>
      <c r="B62" s="346"/>
      <c r="C62" s="1325"/>
      <c r="D62" s="1325"/>
      <c r="E62" s="183">
        <v>15</v>
      </c>
      <c r="F62" s="3" t="str" cm="1">
        <f t="array" aca="1" ref="F62" ca="1">OFFSET(E62,-1,1)</f>
        <v>1</v>
      </c>
      <c r="G62" s="261" t="s">
        <v>1094</v>
      </c>
      <c r="H62" s="45" t="s">
        <v>531</v>
      </c>
      <c r="I62" s="1325"/>
      <c r="J62" s="1325"/>
      <c r="K62" s="399" t="str">
        <f ca="1">F62&amp;"7komm"</f>
        <v>17komm</v>
      </c>
      <c r="L62" s="823" cm="1">
        <f t="array" ref="L62">AK62</f>
        <v>0</v>
      </c>
      <c r="M62" s="1325"/>
      <c r="N62" s="1325"/>
      <c r="O62" s="1325"/>
      <c r="P62" s="1325"/>
      <c r="Q62" s="1325"/>
      <c r="R62" s="1325"/>
      <c r="S62" s="1325"/>
      <c r="T62" s="381" t="b" cm="1">
        <f t="array" ref="T62">T61</f>
        <v>1</v>
      </c>
      <c r="U62" s="1325"/>
      <c r="V62" s="1325"/>
      <c r="W62" s="1325"/>
      <c r="X62" s="1732"/>
      <c r="Y62" s="1325"/>
      <c r="Z62" s="1757"/>
      <c r="AA62" s="1325"/>
      <c r="AB62" s="264" t="s">
        <v>556</v>
      </c>
      <c r="AC62" s="132" t="s">
        <v>1095</v>
      </c>
      <c r="AD62" s="9" t="s">
        <v>766</v>
      </c>
      <c r="AE62" s="147"/>
      <c r="AF62" s="147"/>
      <c r="AG62" s="147"/>
      <c r="AH62" s="147"/>
      <c r="AI62" s="147"/>
      <c r="AJ62" s="147"/>
      <c r="AK62" s="223"/>
      <c r="AL62" s="1325"/>
      <c r="AM62" s="1325"/>
      <c r="AN62" s="932" t="s">
        <v>1096</v>
      </c>
    </row>
    <row r="63" spans="1:40" s="1081" customFormat="1" ht="43.5" customHeight="1">
      <c r="A63" s="1325"/>
      <c r="B63" s="346"/>
      <c r="C63" s="1325"/>
      <c r="D63" s="1325"/>
      <c r="E63" s="183">
        <v>45</v>
      </c>
      <c r="F63" s="3" t="str" cm="1">
        <f t="array" aca="1" ref="F63" ca="1">OFFSET(E63,-1,1)</f>
        <v>1</v>
      </c>
      <c r="G63" s="261" t="s">
        <v>1097</v>
      </c>
      <c r="H63" s="45" t="s">
        <v>535</v>
      </c>
      <c r="I63" s="1325"/>
      <c r="J63" s="1325"/>
      <c r="K63" s="399" t="str">
        <f ca="1">F63&amp;"8komm"</f>
        <v>18komm</v>
      </c>
      <c r="L63" s="823" cm="1">
        <f t="array" ref="L63">AK63</f>
        <v>0</v>
      </c>
      <c r="M63" s="1325"/>
      <c r="N63" s="1325"/>
      <c r="O63" s="1325"/>
      <c r="P63" s="1325"/>
      <c r="Q63" s="1325"/>
      <c r="R63" s="1325"/>
      <c r="S63" s="1325"/>
      <c r="T63" s="381" t="b" cm="1">
        <f t="array" ref="T63">T62</f>
        <v>1</v>
      </c>
      <c r="U63" s="1325"/>
      <c r="V63" s="1325"/>
      <c r="W63" s="1325"/>
      <c r="X63" s="1732"/>
      <c r="Y63" s="1325"/>
      <c r="Z63" s="1757"/>
      <c r="AA63" s="1325"/>
      <c r="AB63" s="264" t="s">
        <v>573</v>
      </c>
      <c r="AC63" s="676" t="s">
        <v>1098</v>
      </c>
      <c r="AD63" s="9" t="s">
        <v>766</v>
      </c>
      <c r="AE63" s="147"/>
      <c r="AF63" s="147"/>
      <c r="AG63" s="147"/>
      <c r="AH63" s="147"/>
      <c r="AI63" s="147"/>
      <c r="AJ63" s="147"/>
      <c r="AK63" s="223"/>
      <c r="AL63" s="1325"/>
      <c r="AM63" s="1325"/>
      <c r="AN63" s="932" t="s">
        <v>1099</v>
      </c>
    </row>
    <row r="64" spans="1:40" s="1081" customFormat="1" ht="14.65" customHeight="1">
      <c r="A64" s="1325"/>
      <c r="B64" s="346"/>
      <c r="C64" s="1325"/>
      <c r="D64" s="1325"/>
      <c r="E64" s="183">
        <v>15</v>
      </c>
      <c r="F64" s="3" t="str" cm="1">
        <f t="array" aca="1" ref="F64" ca="1">OFFSET(E64,-1,1)</f>
        <v>1</v>
      </c>
      <c r="G64" s="77" t="s">
        <v>1100</v>
      </c>
      <c r="H64" s="45" t="s">
        <v>539</v>
      </c>
      <c r="I64" s="1325"/>
      <c r="J64" s="1325"/>
      <c r="K64" s="399" t="str">
        <f ca="1">F64&amp;"9komm"</f>
        <v>19komm</v>
      </c>
      <c r="L64" s="823" cm="1">
        <f t="array" ref="L64">AK64</f>
        <v>0</v>
      </c>
      <c r="M64" s="1325"/>
      <c r="N64" s="1325"/>
      <c r="O64" s="1325"/>
      <c r="P64" s="1325"/>
      <c r="Q64" s="1325"/>
      <c r="R64" s="1325"/>
      <c r="S64" s="1325"/>
      <c r="T64" s="381" t="b" cm="1">
        <f t="array" ref="T64">T63</f>
        <v>1</v>
      </c>
      <c r="U64" s="1325"/>
      <c r="V64" s="1325"/>
      <c r="W64" s="1325"/>
      <c r="X64" s="1732"/>
      <c r="Y64" s="1325"/>
      <c r="Z64" s="1757"/>
      <c r="AA64" s="1325"/>
      <c r="AB64" s="264" t="s">
        <v>585</v>
      </c>
      <c r="AC64" s="132" t="s">
        <v>1101</v>
      </c>
      <c r="AD64" s="9" t="s">
        <v>766</v>
      </c>
      <c r="AE64" s="147">
        <v>0</v>
      </c>
      <c r="AF64" s="147"/>
      <c r="AG64" s="147"/>
      <c r="AH64" s="147"/>
      <c r="AI64" s="1255"/>
      <c r="AJ64" s="1255"/>
      <c r="AK64" s="223"/>
      <c r="AL64" s="1325"/>
      <c r="AM64" s="1325"/>
      <c r="AN64" s="932" t="s">
        <v>1102</v>
      </c>
    </row>
    <row r="65" spans="2:40" s="1325" customFormat="1" ht="10.9" customHeight="1">
      <c r="B65" s="346"/>
      <c r="C65"/>
      <c r="D65"/>
      <c r="E65" s="183">
        <v>11.25</v>
      </c>
      <c r="F65" s="4"/>
      <c r="G65"/>
      <c r="H65"/>
      <c r="I65"/>
      <c r="J65"/>
      <c r="K65"/>
      <c r="L65"/>
      <c r="M65"/>
      <c r="N65"/>
      <c r="O65"/>
      <c r="P65"/>
      <c r="Q65"/>
      <c r="R65"/>
      <c r="S65"/>
      <c r="T65"/>
      <c r="U65" t="s">
        <v>177</v>
      </c>
      <c r="V65" s="59" t="s">
        <v>1103</v>
      </c>
      <c r="W65"/>
      <c r="X65"/>
      <c r="Y65"/>
      <c r="Z65"/>
      <c r="AA65"/>
      <c r="AB65"/>
      <c r="AC65" s="19"/>
      <c r="AD65" s="19"/>
      <c r="AE65" s="266"/>
      <c r="AF65" s="266"/>
      <c r="AG65" s="267"/>
      <c r="AH65" s="267"/>
      <c r="AI65" s="267"/>
      <c r="AJ65"/>
      <c r="AK65"/>
      <c r="AL65"/>
      <c r="AN65" s="932"/>
    </row>
    <row r="66" spans="2:40" s="1325" customFormat="1" ht="14.65" customHeight="1">
      <c r="B66" s="346"/>
      <c r="C66" s="17"/>
      <c r="D66" s="17"/>
      <c r="E66" s="549">
        <v>15</v>
      </c>
      <c r="F66" s="17"/>
      <c r="G66" s="17"/>
      <c r="H66" s="17"/>
      <c r="I66" s="17"/>
      <c r="J66" s="17"/>
      <c r="K66" s="17"/>
      <c r="L66" s="17"/>
      <c r="M66" s="17"/>
      <c r="N66" s="17"/>
      <c r="O66" s="17"/>
      <c r="P66" s="17"/>
      <c r="Q66" s="17"/>
      <c r="R66" s="261"/>
      <c r="S66" s="17"/>
      <c r="T66" s="17"/>
      <c r="U66" s="17"/>
      <c r="V66" s="17"/>
      <c r="W66" s="17"/>
      <c r="X66" s="17"/>
      <c r="Y66" s="17"/>
      <c r="Z66" s="17"/>
      <c r="AA66" s="17"/>
      <c r="AB66" s="1758" t="s">
        <v>394</v>
      </c>
      <c r="AC66" s="1758"/>
      <c r="AD66" s="1758"/>
      <c r="AE66" s="1758"/>
      <c r="AF66" s="1758"/>
      <c r="AG66" s="1758"/>
      <c r="AH66" s="1758"/>
      <c r="AI66" s="1789"/>
      <c r="AJ66" s="1789"/>
      <c r="AK66" s="1789"/>
      <c r="AL66" s="17"/>
      <c r="AN66" s="932"/>
    </row>
    <row r="67" spans="2:40" s="1325" customFormat="1" ht="14.65" customHeight="1">
      <c r="B67" s="346"/>
      <c r="C67" s="17"/>
      <c r="D67" s="17"/>
      <c r="E67" s="549">
        <v>15</v>
      </c>
      <c r="F67" s="17"/>
      <c r="G67" s="17"/>
      <c r="H67" s="17"/>
      <c r="I67" s="17"/>
      <c r="J67" s="17"/>
      <c r="K67" s="17"/>
      <c r="L67" s="17"/>
      <c r="M67" s="17"/>
      <c r="N67" s="17"/>
      <c r="O67" s="17"/>
      <c r="P67" s="17"/>
      <c r="Q67" s="17"/>
      <c r="R67" s="261"/>
      <c r="S67" s="17"/>
      <c r="U67" s="17"/>
      <c r="V67" s="17"/>
      <c r="W67" s="17"/>
      <c r="X67" s="17"/>
      <c r="Y67" s="17"/>
      <c r="Z67" s="17"/>
      <c r="AA67" s="92"/>
      <c r="AB67" s="1790"/>
      <c r="AC67" s="1790"/>
      <c r="AD67" s="1790"/>
      <c r="AE67" s="1790"/>
      <c r="AF67" s="1790"/>
      <c r="AG67" s="1790"/>
      <c r="AH67" s="1790"/>
      <c r="AI67" s="1791"/>
      <c r="AJ67" s="1791"/>
      <c r="AK67" s="1791"/>
      <c r="AL67" s="17"/>
      <c r="AN67" s="932"/>
    </row>
    <row r="68" spans="2:40" s="1325" customFormat="1" ht="14.65" hidden="1" customHeight="1">
      <c r="B68" s="346"/>
      <c r="C68" s="17"/>
      <c r="D68" s="17"/>
      <c r="E68" s="549">
        <v>15</v>
      </c>
      <c r="F68" s="17"/>
      <c r="G68" s="17"/>
      <c r="H68" s="17"/>
      <c r="I68" s="17"/>
      <c r="J68" s="17"/>
      <c r="K68" s="17"/>
      <c r="L68" s="17"/>
      <c r="M68" s="17"/>
      <c r="N68" s="17"/>
      <c r="O68" s="17"/>
      <c r="P68" s="17"/>
      <c r="Q68" s="17"/>
      <c r="R68" s="261"/>
      <c r="S68" s="17"/>
      <c r="T68" s="381" t="b">
        <f>ROW(W68)&gt;ROW(W$68)</f>
        <v>0</v>
      </c>
      <c r="U68" s="17"/>
      <c r="V68" s="17"/>
      <c r="W68" s="671" t="s">
        <v>173</v>
      </c>
      <c r="X68" s="17"/>
      <c r="Y68" s="17"/>
      <c r="Z68" s="17"/>
      <c r="AA68" s="337" t="s">
        <v>174</v>
      </c>
      <c r="AB68" s="1802" t="s">
        <v>231</v>
      </c>
      <c r="AC68" s="1802"/>
      <c r="AD68" s="1802"/>
      <c r="AE68" s="1802"/>
      <c r="AF68" s="1802"/>
      <c r="AG68" s="1802"/>
      <c r="AH68" s="1802"/>
      <c r="AI68" s="1791"/>
      <c r="AJ68" s="1791"/>
      <c r="AK68" s="1803"/>
      <c r="AL68" s="17"/>
      <c r="AN68" s="932"/>
    </row>
    <row r="69" spans="2:40" s="1325" customFormat="1" ht="14.65" customHeight="1">
      <c r="B69" s="346"/>
      <c r="C69" s="17"/>
      <c r="D69" s="17"/>
      <c r="E69" s="549">
        <v>15</v>
      </c>
      <c r="F69" s="17"/>
      <c r="G69" s="17"/>
      <c r="H69" s="17"/>
      <c r="I69" s="17"/>
      <c r="J69" s="17"/>
      <c r="K69" s="17"/>
      <c r="L69" s="17"/>
      <c r="M69" s="17"/>
      <c r="N69" s="17"/>
      <c r="O69" s="17"/>
      <c r="P69" s="17"/>
      <c r="Q69" s="17"/>
      <c r="R69" s="261"/>
      <c r="S69" s="17"/>
      <c r="T69" s="17"/>
      <c r="U69" s="17"/>
      <c r="V69" s="17"/>
      <c r="W69" s="671" t="s">
        <v>395</v>
      </c>
      <c r="X69" s="17"/>
      <c r="Y69" s="17"/>
      <c r="Z69" s="17"/>
      <c r="AA69" s="17"/>
      <c r="AB69" s="564"/>
      <c r="AC69" s="430" t="s">
        <v>1104</v>
      </c>
      <c r="AD69" s="224"/>
      <c r="AE69" s="224"/>
      <c r="AF69" s="225"/>
      <c r="AG69" s="225"/>
      <c r="AH69" s="225"/>
      <c r="AI69" s="225"/>
      <c r="AJ69" s="225"/>
      <c r="AK69" s="226"/>
      <c r="AL69" s="17"/>
      <c r="AN69" s="932"/>
    </row>
    <row r="70" spans="2:40" s="1327" customFormat="1" ht="11.25" customHeight="1">
      <c r="B70" s="347"/>
      <c r="E70" s="603" t="s">
        <v>948</v>
      </c>
      <c r="F70" s="4"/>
      <c r="AC70" s="19"/>
      <c r="AD70" s="19"/>
      <c r="AE70" s="266"/>
      <c r="AF70" s="266"/>
      <c r="AG70" s="267"/>
      <c r="AH70" s="267"/>
      <c r="AI70" s="267"/>
      <c r="AL70"/>
      <c r="AN70" s="921"/>
    </row>
  </sheetData>
  <sheetProtection formatColumns="0" formatRows="0" insertRows="0" deleteColumns="0" deleteRows="0" sort="0" autoFilter="0"/>
  <mergeCells count="11">
    <mergeCell ref="X27:X45"/>
    <mergeCell ref="Z27:Z45"/>
    <mergeCell ref="AB66:AK66"/>
    <mergeCell ref="AB67:AK67"/>
    <mergeCell ref="X46:X64"/>
    <mergeCell ref="Z46:Z64"/>
    <mergeCell ref="AB24:AB25"/>
    <mergeCell ref="AC24:AC25"/>
    <mergeCell ref="AD24:AD25"/>
    <mergeCell ref="AK24:AK25"/>
    <mergeCell ref="AB68:AK68"/>
  </mergeCells>
  <dataValidations count="1">
    <dataValidation type="decimal" allowBlank="1" showErrorMessage="1" errorTitle="Ошибка" error="Допускается ввод только неотрицательных чисел!" sqref="AH45 AH50:AH60 AH62:AH64 AG45 AG50:AG60 AG62:AG64 AF45 AF50:AF60 AF62:AF64 AE45 AE50:AE60 AE62:AE64 AE43:AJ44 AE31:AJ41 AI50 AJ50 AI51 AJ51 AI52 AJ52 AI53 AJ53 AI54 AJ54 AI55 AJ55 AI56 AJ56 AI57 AJ57 AI58 AJ58 AI59 AJ59 AI60 AJ60 AI62 AJ62 AI63 AJ63">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R5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cols>
    <col min="1" max="1" width="3.5703125" style="1210" hidden="1" customWidth="1"/>
    <col min="2" max="2" width="8.5703125" style="1104" hidden="1" customWidth="1"/>
    <col min="3" max="4" width="3.5703125" style="1210" hidden="1" customWidth="1"/>
    <col min="5" max="5" width="3.5703125" style="1073" hidden="1" customWidth="1"/>
    <col min="6" max="6" width="3.5703125" style="1210" hidden="1" customWidth="1"/>
    <col min="7" max="7" width="9.28515625" style="1210" hidden="1" customWidth="1"/>
    <col min="8" max="19" width="3.5703125" style="1210" hidden="1" customWidth="1"/>
    <col min="20" max="20" width="10.425781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365" customWidth="1"/>
    <col min="28" max="28" width="11" style="365" customWidth="1"/>
    <col min="29" max="29" width="50.140625" style="365" customWidth="1"/>
    <col min="30" max="30" width="10.28515625" style="365" customWidth="1"/>
    <col min="31" max="36" width="13" style="365" customWidth="1"/>
    <col min="37" max="37" width="20" style="365" customWidth="1"/>
    <col min="38" max="38" width="3" style="365" customWidth="1"/>
    <col min="39" max="39" width="9.140625" style="365" hidden="1"/>
    <col min="40" max="42" width="9.140625" style="1126" hidden="1"/>
    <col min="43" max="44" width="9.140625" style="1073" hidden="1"/>
  </cols>
  <sheetData>
    <row r="1" spans="1:44" s="1210" customFormat="1" ht="11.25" hidden="1" customHeight="1">
      <c r="B1" s="345"/>
      <c r="F1" s="41" t="s">
        <v>311</v>
      </c>
      <c r="G1" s="41" t="s">
        <v>322</v>
      </c>
      <c r="H1" s="41" t="s">
        <v>347</v>
      </c>
      <c r="T1" s="381" t="s">
        <v>92</v>
      </c>
      <c r="U1" s="381" t="s">
        <v>97</v>
      </c>
      <c r="V1" s="381" t="s">
        <v>93</v>
      </c>
      <c r="W1" s="381" t="s">
        <v>94</v>
      </c>
      <c r="X1" s="381" t="s">
        <v>95</v>
      </c>
      <c r="Y1" s="383" t="s">
        <v>313</v>
      </c>
      <c r="Z1" s="381" t="s">
        <v>99</v>
      </c>
      <c r="AA1" s="382" t="s">
        <v>96</v>
      </c>
      <c r="AB1" s="4"/>
      <c r="AC1" s="382" t="s">
        <v>98</v>
      </c>
      <c r="AN1" s="899" t="s">
        <v>314</v>
      </c>
      <c r="AO1" s="899" t="s">
        <v>315</v>
      </c>
      <c r="AP1" s="899" t="s">
        <v>316</v>
      </c>
      <c r="AQ1" s="535" t="s">
        <v>319</v>
      </c>
      <c r="AR1" s="535" t="s">
        <v>320</v>
      </c>
    </row>
    <row r="2" spans="1:44" s="1104" customFormat="1" ht="11.25" hidden="1" customHeight="1">
      <c r="B2" s="363" t="s">
        <v>18</v>
      </c>
      <c r="AI2" s="363" t="b">
        <f>AI6&lt;=last_year_vis</f>
        <v>1</v>
      </c>
      <c r="AJ2" s="363" t="b">
        <f>AJ6&lt;=last_year_vis</f>
        <v>1</v>
      </c>
      <c r="AN2" s="911"/>
      <c r="AO2" s="911"/>
      <c r="AP2" s="911"/>
      <c r="AQ2" s="916"/>
      <c r="AR2" s="916"/>
    </row>
    <row r="3" spans="1:44" s="1210" customFormat="1" ht="11.25" hidden="1" customHeight="1">
      <c r="B3" s="345"/>
      <c r="AN3" s="899"/>
      <c r="AO3" s="899"/>
      <c r="AP3" s="899"/>
      <c r="AQ3" s="535"/>
      <c r="AR3" s="535"/>
    </row>
    <row r="4" spans="1:44" s="1210" customFormat="1" ht="11.25" hidden="1" customHeight="1">
      <c r="B4" s="345"/>
      <c r="AN4" s="899"/>
      <c r="AO4" s="899"/>
      <c r="AP4" s="899"/>
      <c r="AQ4" s="535"/>
      <c r="AR4" s="535"/>
    </row>
    <row r="5" spans="1:44" s="1073" customFormat="1" ht="11.25" hidden="1" customHeight="1">
      <c r="A5" s="41"/>
      <c r="B5" s="345"/>
      <c r="C5" s="41"/>
      <c r="D5" s="41"/>
      <c r="E5" s="535" t="s">
        <v>19</v>
      </c>
      <c r="AA5" s="535">
        <v>3</v>
      </c>
      <c r="AB5" s="535">
        <v>11</v>
      </c>
      <c r="AC5" s="535">
        <v>50.14</v>
      </c>
      <c r="AD5" s="535">
        <v>10.29</v>
      </c>
      <c r="AE5" s="535">
        <v>13</v>
      </c>
      <c r="AF5" s="535">
        <v>13</v>
      </c>
      <c r="AG5" s="535">
        <v>13</v>
      </c>
      <c r="AH5" s="535">
        <v>13</v>
      </c>
      <c r="AI5" s="535">
        <v>13</v>
      </c>
      <c r="AJ5" s="535">
        <v>13</v>
      </c>
      <c r="AK5" s="535">
        <v>20</v>
      </c>
      <c r="AL5" s="535">
        <v>3</v>
      </c>
      <c r="AN5" s="899"/>
      <c r="AO5" s="899"/>
      <c r="AP5" s="899"/>
    </row>
    <row r="6" spans="1:44" s="1210" customFormat="1" ht="11.25" hidden="1" customHeight="1">
      <c r="A6" s="41" t="s">
        <v>350</v>
      </c>
      <c r="B6" s="345"/>
      <c r="E6" s="535"/>
      <c r="AE6" s="41">
        <f>god-2</f>
        <v>2024</v>
      </c>
      <c r="AF6" s="41">
        <f>god-2</f>
        <v>2024</v>
      </c>
      <c r="AG6" s="41">
        <f>god-2</f>
        <v>2024</v>
      </c>
      <c r="AH6" s="41">
        <f>god-1</f>
        <v>2025</v>
      </c>
      <c r="AI6" s="17" cm="1">
        <f t="array" ref="AI6">god</f>
        <v>2026</v>
      </c>
      <c r="AJ6" s="17" cm="1">
        <f t="array" ref="AJ6">god</f>
        <v>2026</v>
      </c>
      <c r="AN6" s="899"/>
      <c r="AO6" s="899"/>
      <c r="AP6" s="899"/>
      <c r="AQ6" s="535"/>
      <c r="AR6" s="535"/>
    </row>
    <row r="7" spans="1:44" s="1210" customFormat="1" ht="11.25" hidden="1" customHeight="1">
      <c r="A7" s="41" t="s">
        <v>351</v>
      </c>
      <c r="B7" s="345"/>
      <c r="E7" s="535"/>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tr" cm="1">
        <f t="array" ref="AH7">AH25</f>
        <v>Принято органом регулирования</v>
      </c>
      <c r="AI7" s="41" t="str" cm="1">
        <f t="array" ref="AI7">AI25</f>
        <v>Предложение организации</v>
      </c>
      <c r="AJ7" s="41" t="str" cm="1">
        <f t="array" ref="AJ7">AJ25</f>
        <v>Принято органом регулирования</v>
      </c>
      <c r="AN7" s="899"/>
      <c r="AO7" s="899"/>
      <c r="AP7" s="899"/>
      <c r="AQ7" s="535"/>
      <c r="AR7" s="535"/>
    </row>
    <row r="8" spans="1:44" s="1210" customFormat="1" ht="11.25" hidden="1" customHeight="1">
      <c r="B8" s="345"/>
      <c r="E8" s="535"/>
      <c r="AN8" s="899"/>
      <c r="AO8" s="899"/>
      <c r="AP8" s="899"/>
      <c r="AQ8" s="535"/>
      <c r="AR8" s="535"/>
    </row>
    <row r="9" spans="1:44" s="1126" customFormat="1" ht="11.25" hidden="1" customHeight="1">
      <c r="A9" s="899" t="s">
        <v>355</v>
      </c>
      <c r="B9" s="911"/>
      <c r="AE9" s="899" cm="1">
        <f t="array" ref="AE9">AE6</f>
        <v>2024</v>
      </c>
      <c r="AF9" s="899" cm="1">
        <f t="array" ref="AF9">AF6</f>
        <v>2024</v>
      </c>
      <c r="AG9" s="899" cm="1">
        <f t="array" ref="AG9">AG6</f>
        <v>2024</v>
      </c>
      <c r="AH9" s="899" cm="1">
        <f t="array" ref="AH9">AH6</f>
        <v>2025</v>
      </c>
      <c r="AI9" s="899" cm="1">
        <f t="array" ref="AI9">AI6</f>
        <v>2026</v>
      </c>
      <c r="AJ9" s="899" cm="1">
        <f t="array" ref="AJ9">AJ6</f>
        <v>2026</v>
      </c>
      <c r="AQ9" s="535"/>
      <c r="AR9" s="535"/>
    </row>
    <row r="10" spans="1:44" s="1126" customFormat="1" ht="11.25" hidden="1" customHeight="1">
      <c r="A10" s="899" t="s">
        <v>356</v>
      </c>
      <c r="B10" s="911"/>
      <c r="AE10" s="899" t="str" cm="1">
        <f t="array" ref="AE10">AE25</f>
        <v>Принято органом регулирования</v>
      </c>
      <c r="AF10" s="899" t="str" cm="1">
        <f t="array" ref="AF10">AF25</f>
        <v>Факт по данным организации</v>
      </c>
      <c r="AG10" s="899" t="str" cm="1">
        <f t="array" ref="AG10">AG25</f>
        <v>Факт, принятый органом регулирования</v>
      </c>
      <c r="AH10" s="899" t="str" cm="1">
        <f t="array" ref="AH10">AH25</f>
        <v>Принято органом регулирования</v>
      </c>
      <c r="AI10" s="899" t="str" cm="1">
        <f t="array" ref="AI10">AI25</f>
        <v>Предложение организации</v>
      </c>
      <c r="AJ10" s="899" t="str" cm="1">
        <f t="array" ref="AJ10">AJ25</f>
        <v>Принято органом регулирования</v>
      </c>
      <c r="AQ10" s="535"/>
      <c r="AR10" s="535"/>
    </row>
    <row r="11" spans="1:44" s="1126" customFormat="1" ht="11.25" hidden="1" customHeight="1">
      <c r="A11" s="899" t="s">
        <v>357</v>
      </c>
      <c r="B11" s="911"/>
      <c r="AK11" s="934" t="str" cm="1">
        <f t="array" ref="AK11">AK24</f>
        <v>Ссылка на правовую норму (основание для принятия показателя в расчет тарифа)</v>
      </c>
      <c r="AQ11" s="535"/>
      <c r="AR11" s="535"/>
    </row>
    <row r="12" spans="1:44" s="1126" customFormat="1" ht="11.25" hidden="1" customHeight="1">
      <c r="A12" s="899" t="s">
        <v>329</v>
      </c>
      <c r="B12" s="911"/>
      <c r="AC12" s="899" t="s">
        <v>316</v>
      </c>
      <c r="AQ12" s="535"/>
      <c r="AR12" s="535"/>
    </row>
    <row r="13" spans="1:44" s="1210" customFormat="1" ht="11.25" hidden="1" customHeight="1">
      <c r="B13" s="345"/>
      <c r="E13" s="535"/>
      <c r="AN13" s="899"/>
      <c r="AO13" s="899"/>
      <c r="AP13" s="899"/>
      <c r="AQ13" s="535"/>
      <c r="AR13" s="535"/>
    </row>
    <row r="14" spans="1:44" s="1210" customFormat="1" ht="11.25" hidden="1" customHeight="1">
      <c r="B14" s="345"/>
      <c r="E14" s="535"/>
      <c r="AN14" s="899"/>
      <c r="AO14" s="899"/>
      <c r="AP14" s="899"/>
      <c r="AQ14" s="535"/>
      <c r="AR14" s="535"/>
    </row>
    <row r="15" spans="1:44" s="1210" customFormat="1" ht="11.25" hidden="1" customHeight="1">
      <c r="B15" s="345"/>
      <c r="E15" s="535"/>
      <c r="AN15" s="899"/>
      <c r="AO15" s="899"/>
      <c r="AP15" s="899"/>
      <c r="AQ15" s="535"/>
      <c r="AR15" s="535"/>
    </row>
    <row r="16" spans="1:44" s="1210" customFormat="1" ht="11.25" hidden="1" customHeight="1">
      <c r="B16" s="345"/>
      <c r="E16" s="535"/>
      <c r="AN16" s="899"/>
      <c r="AO16" s="899"/>
      <c r="AP16" s="899"/>
      <c r="AQ16" s="535"/>
      <c r="AR16" s="535"/>
    </row>
    <row r="17" spans="1:44" s="1210" customFormat="1" ht="11.25" hidden="1" customHeight="1">
      <c r="B17" s="345"/>
      <c r="E17" s="535"/>
      <c r="AE17" s="17"/>
      <c r="AF17" s="17"/>
      <c r="AG17" s="17"/>
      <c r="AH17" s="17"/>
      <c r="AK17" s="343"/>
      <c r="AN17" s="899"/>
      <c r="AO17" s="899"/>
      <c r="AP17" s="899"/>
      <c r="AQ17" s="535"/>
      <c r="AR17" s="535"/>
    </row>
    <row r="18" spans="1:44" s="1210" customFormat="1" ht="11.25" hidden="1" customHeight="1">
      <c r="A18" s="41" t="s">
        <v>358</v>
      </c>
      <c r="B18" s="345"/>
      <c r="E18" s="535"/>
      <c r="AC18" s="41" t="s">
        <v>359</v>
      </c>
      <c r="AN18" s="899"/>
      <c r="AO18" s="899"/>
      <c r="AP18" s="899"/>
      <c r="AQ18" s="535"/>
      <c r="AR18" s="535"/>
    </row>
    <row r="19" spans="1:44" s="1210" customFormat="1" ht="11.25" hidden="1" customHeight="1">
      <c r="B19" s="345"/>
      <c r="E19" s="535"/>
      <c r="AN19" s="899"/>
      <c r="AO19" s="899"/>
      <c r="AP19" s="899"/>
      <c r="AQ19" s="535"/>
      <c r="AR19" s="535"/>
    </row>
    <row r="20" spans="1:44" s="1210" customFormat="1" ht="11.25" hidden="1" customHeight="1">
      <c r="B20" s="345"/>
      <c r="E20" s="535"/>
      <c r="AN20" s="899"/>
      <c r="AO20" s="899"/>
      <c r="AP20" s="899"/>
      <c r="AQ20" s="535"/>
      <c r="AR20" s="535"/>
    </row>
    <row r="21" spans="1:44" ht="14.65" customHeight="1">
      <c r="E21" s="535">
        <v>15</v>
      </c>
      <c r="AA21" s="366"/>
      <c r="AC21" s="286" t="str" cm="1">
        <f t="array" ref="AC21">tpl_title</f>
        <v>Кемеровская область / 2026 / ОАО «СКЭК» (ИНН:4205153492, КПП:420501001) / ДПР: 2026-2026</v>
      </c>
    </row>
    <row r="22" spans="1:44" ht="19.5" customHeight="1">
      <c r="E22" s="535">
        <v>20</v>
      </c>
      <c r="AB22" s="232" t="s">
        <v>65</v>
      </c>
      <c r="AC22" s="144"/>
      <c r="AD22" s="144"/>
      <c r="AE22" s="144"/>
      <c r="AF22" s="144"/>
      <c r="AG22" s="144"/>
      <c r="AH22" s="144"/>
      <c r="AI22" s="144"/>
      <c r="AJ22" s="144"/>
      <c r="AK22" s="367"/>
    </row>
    <row r="23" spans="1:44" ht="13.9" customHeight="1">
      <c r="E23" s="535">
        <v>14.25</v>
      </c>
      <c r="AB23" s="68"/>
      <c r="AC23" s="68"/>
      <c r="AD23" s="68"/>
      <c r="AE23" s="68"/>
      <c r="AF23" s="68"/>
      <c r="AG23" s="68"/>
      <c r="AH23" s="68"/>
      <c r="AI23" s="68"/>
      <c r="AJ23" s="68"/>
      <c r="AK23" s="68"/>
    </row>
    <row r="24" spans="1:44" ht="14.65" customHeight="1">
      <c r="E24" s="535">
        <v>15</v>
      </c>
      <c r="AB24" s="1758" t="s">
        <v>21</v>
      </c>
      <c r="AC24" s="1758" t="s">
        <v>359</v>
      </c>
      <c r="AD24" s="1758" t="s">
        <v>917</v>
      </c>
      <c r="AE24" s="10" t="str">
        <f>god-2&amp;" год"</f>
        <v>2024 год</v>
      </c>
      <c r="AF24" s="1021" t="str">
        <f>god-2&amp;" год"</f>
        <v>2024 год</v>
      </c>
      <c r="AG24" s="10" t="str">
        <f>god-2&amp;" год"</f>
        <v>2024 год</v>
      </c>
      <c r="AH24" s="10" t="str">
        <f>god-1&amp;" год"</f>
        <v>2025 год</v>
      </c>
      <c r="AI24" s="1019" t="str">
        <f>god&amp;" год"</f>
        <v>2026 год</v>
      </c>
      <c r="AJ24" s="11" t="str">
        <f>god&amp;" год"</f>
        <v>2026 год</v>
      </c>
      <c r="AK24" s="1819" t="s">
        <v>494</v>
      </c>
    </row>
    <row r="25" spans="1:44" ht="44.1" customHeight="1">
      <c r="E25" s="535">
        <v>45.25</v>
      </c>
      <c r="AB25" s="1758"/>
      <c r="AC25" s="1758"/>
      <c r="AD25" s="1758"/>
      <c r="AE25" s="10" t="s">
        <v>352</v>
      </c>
      <c r="AF25" s="1021" t="s">
        <v>417</v>
      </c>
      <c r="AG25" s="10" t="s">
        <v>418</v>
      </c>
      <c r="AH25" s="10" t="s">
        <v>352</v>
      </c>
      <c r="AI25" s="1023" t="s">
        <v>353</v>
      </c>
      <c r="AJ25" s="272" t="s">
        <v>352</v>
      </c>
      <c r="AK25" s="1819"/>
    </row>
    <row r="26" spans="1:44" ht="12" hidden="1" customHeight="1">
      <c r="E26" s="535">
        <v>0</v>
      </c>
      <c r="AB26" s="649"/>
      <c r="AC26" s="649"/>
      <c r="AD26" s="649"/>
      <c r="AE26" s="650"/>
      <c r="AF26" s="650"/>
      <c r="AG26" s="650"/>
      <c r="AH26" s="650"/>
      <c r="AI26" s="636"/>
      <c r="AJ26" s="636"/>
      <c r="AK26" s="651"/>
    </row>
    <row r="27" spans="1:44" ht="14.65" hidden="1" customHeight="1">
      <c r="E27" s="535">
        <v>15</v>
      </c>
      <c r="F27" s="17" cm="1">
        <f t="array" ref="F27">X27</f>
        <v>0</v>
      </c>
      <c r="G27" s="41" t="s">
        <v>1105</v>
      </c>
      <c r="T27" s="381" t="b">
        <f>X27&gt;0</f>
        <v>0</v>
      </c>
      <c r="V27" s="41" t="s">
        <v>270</v>
      </c>
      <c r="X27" s="1755">
        <v>0</v>
      </c>
      <c r="Z27" s="1735"/>
      <c r="AB27" s="140" t="str" cm="1">
        <f t="array" ref="AB27">INDEX('Общие сведения'!$AG$179:$AG$208,MATCH($X27,'Общие сведения'!$Z$179:$Z$208,0))</f>
        <v xml:space="preserve">Тариф 0 () - </v>
      </c>
      <c r="AC27" s="99"/>
      <c r="AD27" s="99"/>
      <c r="AE27" s="220">
        <f t="shared" ref="AE27:AJ27" ca="1" si="0">SUM(AE28:AE36)</f>
        <v>0</v>
      </c>
      <c r="AF27" s="220">
        <f t="shared" ca="1" si="0"/>
        <v>0</v>
      </c>
      <c r="AG27" s="220">
        <f t="shared" ca="1" si="0"/>
        <v>0</v>
      </c>
      <c r="AH27" s="220">
        <f t="shared" ca="1" si="0"/>
        <v>0</v>
      </c>
      <c r="AI27" s="220">
        <f t="shared" ca="1" si="0"/>
        <v>0</v>
      </c>
      <c r="AJ27" s="220">
        <f t="shared" ca="1" si="0"/>
        <v>0</v>
      </c>
      <c r="AK27" s="142"/>
    </row>
    <row r="28" spans="1:44" ht="21.95" hidden="1" customHeight="1">
      <c r="E28" s="535">
        <v>22.5</v>
      </c>
      <c r="F28" s="3" cm="1">
        <f t="array" aca="1" ref="F28" ca="1">OFFSET(E28,-1,1)</f>
        <v>0</v>
      </c>
      <c r="G28" s="41" t="s">
        <v>323</v>
      </c>
      <c r="K28" s="43" t="str">
        <f ca="1">F28&amp;"komm"</f>
        <v>0komm</v>
      </c>
      <c r="L28" s="825" cm="1">
        <f t="array" ref="L28">AK28</f>
        <v>0</v>
      </c>
      <c r="T28" s="381" t="b" cm="1">
        <f t="array" ref="T28">T27</f>
        <v>0</v>
      </c>
      <c r="X28" s="1755"/>
      <c r="Z28" s="1735"/>
      <c r="AB28" s="215" t="s">
        <v>281</v>
      </c>
      <c r="AC28" s="369" t="s">
        <v>1106</v>
      </c>
      <c r="AD28" s="216" t="s">
        <v>766</v>
      </c>
      <c r="AE28" s="1399"/>
      <c r="AF28" s="1406"/>
      <c r="AG28" s="1406"/>
      <c r="AH28" s="1406"/>
      <c r="AI28" s="147"/>
      <c r="AJ28" s="147"/>
      <c r="AK28" s="1361"/>
      <c r="AN28" s="899" t="s">
        <v>1107</v>
      </c>
    </row>
    <row r="29" spans="1:44" ht="21.95" hidden="1" customHeight="1">
      <c r="E29" s="535">
        <v>22.5</v>
      </c>
      <c r="F29" s="3" cm="1">
        <f t="array" aca="1" ref="F29" ca="1">OFFSET(E29,-1,1)</f>
        <v>0</v>
      </c>
      <c r="G29" s="41" t="s">
        <v>324</v>
      </c>
      <c r="T29" s="381" t="b" cm="1">
        <f t="array" ref="T29">T28</f>
        <v>0</v>
      </c>
      <c r="X29" s="1755"/>
      <c r="Z29" s="1735"/>
      <c r="AB29" s="215" t="s">
        <v>224</v>
      </c>
      <c r="AC29" s="369" t="s">
        <v>1108</v>
      </c>
      <c r="AD29" s="216" t="s">
        <v>766</v>
      </c>
      <c r="AE29" s="1399"/>
      <c r="AF29" s="1406"/>
      <c r="AG29" s="1406"/>
      <c r="AH29" s="1406"/>
      <c r="AI29" s="147"/>
      <c r="AJ29" s="147"/>
      <c r="AK29" s="1361"/>
      <c r="AN29" s="899" t="s">
        <v>1109</v>
      </c>
    </row>
    <row r="30" spans="1:44" ht="21.95" hidden="1" customHeight="1">
      <c r="E30" s="535">
        <v>22.5</v>
      </c>
      <c r="F30" s="3" cm="1">
        <f t="array" aca="1" ref="F30" ca="1">OFFSET(E30,-1,1)</f>
        <v>0</v>
      </c>
      <c r="G30" s="41" t="s">
        <v>325</v>
      </c>
      <c r="T30" s="381" t="b" cm="1">
        <f t="array" ref="T30">T29</f>
        <v>0</v>
      </c>
      <c r="X30" s="1755"/>
      <c r="Z30" s="1735"/>
      <c r="AB30" s="215" t="s">
        <v>321</v>
      </c>
      <c r="AC30" s="369" t="s">
        <v>1110</v>
      </c>
      <c r="AD30" s="216" t="s">
        <v>766</v>
      </c>
      <c r="AE30" s="1399"/>
      <c r="AF30" s="1406"/>
      <c r="AG30" s="1406"/>
      <c r="AH30" s="1406"/>
      <c r="AI30" s="147"/>
      <c r="AJ30" s="147"/>
      <c r="AK30" s="1361"/>
      <c r="AN30" s="899" t="s">
        <v>1111</v>
      </c>
    </row>
    <row r="31" spans="1:44" s="1327" customFormat="1" ht="32.85" hidden="1" customHeight="1">
      <c r="A31" s="41"/>
      <c r="B31" s="345"/>
      <c r="C31" s="41"/>
      <c r="D31" s="41"/>
      <c r="E31" s="535">
        <v>33.75</v>
      </c>
      <c r="F31" s="1083" cm="1">
        <f t="array" aca="1" ref="F31" ca="1">OFFSET(E31,-1,1)</f>
        <v>0</v>
      </c>
      <c r="G31" s="41" t="s">
        <v>327</v>
      </c>
      <c r="H31" s="41"/>
      <c r="I31" s="41"/>
      <c r="J31" s="41"/>
      <c r="K31" s="41"/>
      <c r="L31" s="41"/>
      <c r="M31" s="41"/>
      <c r="N31" s="41"/>
      <c r="O31" s="41"/>
      <c r="P31" s="41"/>
      <c r="Q31" s="41"/>
      <c r="R31" s="41"/>
      <c r="S31" s="41"/>
      <c r="T31" s="381" t="b" cm="1">
        <f t="array" ref="T31">T30</f>
        <v>0</v>
      </c>
      <c r="U31" s="41"/>
      <c r="V31" s="41"/>
      <c r="W31" s="41"/>
      <c r="X31" s="1755"/>
      <c r="Y31" s="41"/>
      <c r="Z31" s="1735"/>
      <c r="AA31" s="365"/>
      <c r="AB31" s="796">
        <v>4</v>
      </c>
      <c r="AC31" s="369" t="s">
        <v>1112</v>
      </c>
      <c r="AD31" s="216" t="s">
        <v>766</v>
      </c>
      <c r="AE31" s="687">
        <f ca="1">SUMIFS(ФОТ!AE$25:AE$77,ФОТ!$F$25:$F$77,$F31,ФОТ!$G$25:$G$77,"СП")+SUMIFS(ФОТ!AE$25:AE$77,ФОТ!$F$25:$F$77,$F31,ФОТ!$G$25:$G$77,"СОЦ_СП")</f>
        <v>0</v>
      </c>
      <c r="AF31" s="687">
        <f ca="1">SUMIFS(ФОТ!AF$25:AF$77,ФОТ!$F$25:$F$77,$F31,ФОТ!$G$25:$G$77,"СП")+SUMIFS(ФОТ!AF$25:AF$77,ФОТ!$F$25:$F$77,$F31,ФОТ!$G$25:$G$77,"СОЦ_СП")</f>
        <v>0</v>
      </c>
      <c r="AG31" s="687">
        <f ca="1">SUMIFS(ФОТ!AG$25:AG$77,ФОТ!$F$25:$F$77,$F31,ФОТ!$G$25:$G$77,"СП")+SUMIFS(ФОТ!AG$25:AG$77,ФОТ!$F$25:$F$77,$F31,ФОТ!$G$25:$G$77,"СОЦ_СП")</f>
        <v>0</v>
      </c>
      <c r="AH31" s="687">
        <f ca="1">SUMIFS(ФОТ!AH$25:AH$77,ФОТ!$F$25:$F$77,$F31,ФОТ!$G$25:$G$77,"СП")+SUMIFS(ФОТ!AH$25:AH$77,ФОТ!$F$25:$F$77,$F31,ФОТ!$G$25:$G$77,"СОЦ_СП")</f>
        <v>0</v>
      </c>
      <c r="AI31" s="687">
        <f ca="1">SUMIFS(ФОТ!AI$25:AI$77,ФОТ!$F$25:$F$77,$F31,ФОТ!$G$25:$G$77,"СП")+SUMIFS(ФОТ!AI$25:AI$77,ФОТ!$F$25:$F$77,$F31,ФОТ!$G$25:$G$77,"СОЦ_СП")</f>
        <v>0</v>
      </c>
      <c r="AJ31" s="687">
        <f ca="1">SUMIFS(ФОТ!AJ$25:AJ$77,ФОТ!$F$25:$F$77,$F31,ФОТ!$G$25:$G$77,"СП")+SUMIFS(ФОТ!AJ$25:AJ$77,ФОТ!$F$25:$F$77,$F31,ФОТ!$G$25:$G$77,"СОЦ_СП")</f>
        <v>0</v>
      </c>
      <c r="AK31" s="1361"/>
      <c r="AL31" s="365"/>
      <c r="AN31" s="950" t="s">
        <v>1113</v>
      </c>
      <c r="AO31" s="950"/>
      <c r="AP31" s="950"/>
      <c r="AQ31" s="588"/>
      <c r="AR31" s="588"/>
    </row>
    <row r="32" spans="1:44" ht="32.85" hidden="1" customHeight="1">
      <c r="E32" s="535">
        <v>33.75</v>
      </c>
      <c r="F32" s="3" cm="1">
        <f t="array" aca="1" ref="F32" ca="1">OFFSET(E32,-1,1)</f>
        <v>0</v>
      </c>
      <c r="G32" s="41" t="s">
        <v>326</v>
      </c>
      <c r="T32" s="381" t="b" cm="1">
        <f t="array" ref="T32">T31</f>
        <v>0</v>
      </c>
      <c r="X32" s="1755"/>
      <c r="Z32" s="1735"/>
      <c r="AB32" s="215" t="s">
        <v>478</v>
      </c>
      <c r="AC32" s="369" t="s">
        <v>1114</v>
      </c>
      <c r="AD32" s="216" t="s">
        <v>766</v>
      </c>
      <c r="AE32" s="1399"/>
      <c r="AF32" s="1399"/>
      <c r="AG32" s="1399"/>
      <c r="AH32" s="1399"/>
      <c r="AI32" s="214"/>
      <c r="AJ32" s="214"/>
      <c r="AK32" s="1361"/>
      <c r="AN32" s="899" t="s">
        <v>1096</v>
      </c>
    </row>
    <row r="33" spans="1:44" ht="21.95" hidden="1" customHeight="1">
      <c r="E33" s="535">
        <v>22.5</v>
      </c>
      <c r="F33" s="3" cm="1">
        <f t="array" aca="1" ref="F33" ca="1">OFFSET(E33,-1,1)</f>
        <v>0</v>
      </c>
      <c r="G33" s="41" t="s">
        <v>477</v>
      </c>
      <c r="T33" s="381" t="b" cm="1">
        <f t="array" ref="T33">T32</f>
        <v>0</v>
      </c>
      <c r="X33" s="1755"/>
      <c r="Z33" s="1735"/>
      <c r="AB33" s="215" t="s">
        <v>482</v>
      </c>
      <c r="AC33" s="369" t="s">
        <v>1115</v>
      </c>
      <c r="AD33" s="216" t="s">
        <v>766</v>
      </c>
      <c r="AE33" s="1399"/>
      <c r="AF33" s="1399"/>
      <c r="AG33" s="1399"/>
      <c r="AH33" s="1399"/>
      <c r="AI33" s="214"/>
      <c r="AJ33" s="214"/>
      <c r="AK33" s="1361"/>
      <c r="AN33" s="899" t="s">
        <v>1082</v>
      </c>
    </row>
    <row r="34" spans="1:44" ht="43.9" hidden="1" customHeight="1">
      <c r="E34" s="535">
        <v>45</v>
      </c>
      <c r="F34" s="3" cm="1">
        <f t="array" aca="1" ref="F34" ca="1">OFFSET(E34,-1,1)</f>
        <v>0</v>
      </c>
      <c r="G34" s="41" t="s">
        <v>481</v>
      </c>
      <c r="T34" s="381" t="b" cm="1">
        <f t="array" ref="T34">T33</f>
        <v>0</v>
      </c>
      <c r="X34" s="1755"/>
      <c r="Z34" s="1735"/>
      <c r="AB34" s="215" t="s">
        <v>544</v>
      </c>
      <c r="AC34" s="369" t="s">
        <v>1116</v>
      </c>
      <c r="AD34" s="216" t="s">
        <v>766</v>
      </c>
      <c r="AE34" s="1399"/>
      <c r="AF34" s="1399"/>
      <c r="AG34" s="1399"/>
      <c r="AH34" s="1399"/>
      <c r="AI34" s="214"/>
      <c r="AJ34" s="214"/>
      <c r="AK34" s="1361"/>
      <c r="AN34" s="899" t="s">
        <v>1117</v>
      </c>
    </row>
    <row r="35" spans="1:44" ht="43.9" hidden="1" customHeight="1">
      <c r="E35" s="535">
        <v>45</v>
      </c>
      <c r="F35" s="3" cm="1">
        <f t="array" aca="1" ref="F35" ca="1">OFFSET(E35,-1,1)</f>
        <v>0</v>
      </c>
      <c r="G35" s="41" t="s">
        <v>528</v>
      </c>
      <c r="T35" s="381" t="b" cm="1">
        <f t="array" ref="T35">T34</f>
        <v>0</v>
      </c>
      <c r="X35" s="1755"/>
      <c r="Z35" s="1735"/>
      <c r="AB35" s="215" t="s">
        <v>552</v>
      </c>
      <c r="AC35" s="369" t="s">
        <v>1118</v>
      </c>
      <c r="AD35" s="216" t="s">
        <v>766</v>
      </c>
      <c r="AE35" s="1399"/>
      <c r="AF35" s="1399"/>
      <c r="AG35" s="1399"/>
      <c r="AH35" s="1399"/>
      <c r="AI35" s="214"/>
      <c r="AJ35" s="214"/>
      <c r="AK35" s="1361"/>
      <c r="AN35" s="899" t="s">
        <v>1119</v>
      </c>
    </row>
    <row r="36" spans="1:44" ht="14.65" hidden="1" customHeight="1">
      <c r="E36" s="535">
        <v>15</v>
      </c>
      <c r="F36" s="3" cm="1">
        <f t="array" aca="1" ref="F36" ca="1">OFFSET(E36,-1,1)</f>
        <v>0</v>
      </c>
      <c r="G36" s="41" t="s">
        <v>543</v>
      </c>
      <c r="T36" s="381" t="b" cm="1">
        <f t="array" ref="T36">T35</f>
        <v>0</v>
      </c>
      <c r="X36" s="1755"/>
      <c r="Z36" s="1735"/>
      <c r="AB36" s="268">
        <v>9</v>
      </c>
      <c r="AC36" s="369" t="s">
        <v>1120</v>
      </c>
      <c r="AD36" s="216" t="s">
        <v>766</v>
      </c>
      <c r="AE36" s="153">
        <f t="shared" ref="AE36:AJ36" si="1">SUM(AE37:AE38)</f>
        <v>0</v>
      </c>
      <c r="AF36" s="153">
        <f t="shared" si="1"/>
        <v>0</v>
      </c>
      <c r="AG36" s="153">
        <f t="shared" si="1"/>
        <v>0</v>
      </c>
      <c r="AH36" s="153">
        <f t="shared" si="1"/>
        <v>0</v>
      </c>
      <c r="AI36" s="153">
        <f t="shared" si="1"/>
        <v>0</v>
      </c>
      <c r="AJ36" s="153">
        <f t="shared" si="1"/>
        <v>0</v>
      </c>
      <c r="AK36" s="1361"/>
      <c r="AN36" s="899" t="s">
        <v>386</v>
      </c>
    </row>
    <row r="37" spans="1:44" ht="14.65" hidden="1" customHeight="1">
      <c r="E37" s="535">
        <v>15</v>
      </c>
      <c r="F37" s="3" cm="1">
        <f t="array" aca="1" ref="F37" ca="1">OFFSET(E37,-1,1)</f>
        <v>0</v>
      </c>
      <c r="G37" s="41" t="s">
        <v>543</v>
      </c>
      <c r="H37" s="41" cm="1">
        <f t="array" ref="H37">AC37</f>
        <v>0</v>
      </c>
      <c r="T37" s="381" t="b">
        <f ca="1">AND(F37&gt;0,Y37&gt;0)</f>
        <v>0</v>
      </c>
      <c r="W37" s="671" t="s">
        <v>173</v>
      </c>
      <c r="X37" s="1755"/>
      <c r="Y37" s="41">
        <v>0</v>
      </c>
      <c r="Z37" s="1735"/>
      <c r="AA37" s="337" t="s">
        <v>174</v>
      </c>
      <c r="AB37" s="607" t="str">
        <f>"9."&amp;Y37</f>
        <v>9.0</v>
      </c>
      <c r="AC37" s="1400"/>
      <c r="AD37" s="216" t="s">
        <v>766</v>
      </c>
      <c r="AE37" s="1399"/>
      <c r="AF37" s="1399"/>
      <c r="AG37" s="1399"/>
      <c r="AH37" s="1399"/>
      <c r="AI37" s="214"/>
      <c r="AJ37" s="214"/>
      <c r="AK37" s="1361"/>
      <c r="AN37" s="899" t="s">
        <v>386</v>
      </c>
      <c r="AO37" s="899" t="s">
        <v>1121</v>
      </c>
      <c r="AP37" s="899" cm="1">
        <f t="array" ref="AP37">AC37</f>
        <v>0</v>
      </c>
      <c r="AR37" s="535" t="b">
        <v>1</v>
      </c>
    </row>
    <row r="38" spans="1:44" ht="14.65" hidden="1" customHeight="1">
      <c r="A38" s="65"/>
      <c r="B38" s="346"/>
      <c r="C38" s="65"/>
      <c r="D38" s="65"/>
      <c r="E38" s="183">
        <v>15</v>
      </c>
      <c r="F38" s="3" cm="1">
        <f t="array" aca="1" ref="F38" ca="1">OFFSET(E38,-1,1)</f>
        <v>0</v>
      </c>
      <c r="G38" s="65"/>
      <c r="H38" s="71" t="str">
        <f>"!=='не определено'"</f>
        <v>!=='не определено'</v>
      </c>
      <c r="I38" s="65"/>
      <c r="J38" s="65"/>
      <c r="K38" s="65"/>
      <c r="L38" s="65"/>
      <c r="M38" s="65"/>
      <c r="N38" s="65"/>
      <c r="O38" s="65"/>
      <c r="P38" s="65"/>
      <c r="Q38" s="65"/>
      <c r="R38" s="65"/>
      <c r="S38" s="65"/>
      <c r="T38" s="381" t="b">
        <f ca="1">F38&gt;0</f>
        <v>0</v>
      </c>
      <c r="U38" s="65"/>
      <c r="V38" s="65"/>
      <c r="W38" s="671" t="s">
        <v>762</v>
      </c>
      <c r="X38" s="1755"/>
      <c r="Y38" s="65"/>
      <c r="Z38" s="1735"/>
      <c r="AA38" s="65"/>
      <c r="AB38" s="149"/>
      <c r="AC38" s="150" t="s">
        <v>177</v>
      </c>
      <c r="AD38" s="150"/>
      <c r="AE38" s="150"/>
      <c r="AF38" s="150"/>
      <c r="AG38" s="150"/>
      <c r="AH38" s="150"/>
      <c r="AI38" s="150"/>
      <c r="AJ38" s="150"/>
      <c r="AK38" s="151"/>
      <c r="AL38" s="65"/>
      <c r="AQ38" s="535" t="s">
        <v>1121</v>
      </c>
    </row>
    <row r="39" spans="1:44" s="1327" customFormat="1" ht="14.25" customHeight="1">
      <c r="A39" s="1210"/>
      <c r="B39" s="1104"/>
      <c r="C39" s="1210"/>
      <c r="D39" s="1210"/>
      <c r="E39" s="535">
        <v>15</v>
      </c>
      <c r="F39" s="17" t="str" cm="1">
        <f t="array" ref="F39">X39</f>
        <v>1</v>
      </c>
      <c r="G39" s="41" t="s">
        <v>1105</v>
      </c>
      <c r="H39" s="1210"/>
      <c r="I39" s="1210"/>
      <c r="J39" s="1210"/>
      <c r="K39" s="1210"/>
      <c r="L39" s="1210"/>
      <c r="M39" s="1210"/>
      <c r="N39" s="1210"/>
      <c r="O39" s="1210"/>
      <c r="P39" s="1210"/>
      <c r="Q39" s="1210"/>
      <c r="R39" s="1210"/>
      <c r="S39" s="1210"/>
      <c r="T39" s="381" t="b">
        <f>X39&gt;0</f>
        <v>1</v>
      </c>
      <c r="U39" s="1210"/>
      <c r="V39" s="41" t="str" cm="1">
        <f t="array" ref="V39">Административные!$AB$46</f>
        <v>Тариф 1 (Водоснабжение) - тариф на питьевую воду</v>
      </c>
      <c r="W39" s="1210"/>
      <c r="X39" s="1755" t="s">
        <v>281</v>
      </c>
      <c r="Y39" s="1210"/>
      <c r="Z39" s="1735"/>
      <c r="AA39" s="365"/>
      <c r="AB39" s="140" t="str" cm="1">
        <f t="array" ref="AB39">Административные!$AB$46</f>
        <v>Тариф 1 (Водоснабжение) - тариф на питьевую воду</v>
      </c>
      <c r="AC39" s="99"/>
      <c r="AD39" s="99"/>
      <c r="AE39" s="220">
        <f t="shared" ref="AE39:AJ39" ca="1" si="2">SUM(AE40:AE48)</f>
        <v>0</v>
      </c>
      <c r="AF39" s="220">
        <f t="shared" ca="1" si="2"/>
        <v>0</v>
      </c>
      <c r="AG39" s="220">
        <f t="shared" ca="1" si="2"/>
        <v>0</v>
      </c>
      <c r="AH39" s="220">
        <f t="shared" ca="1" si="2"/>
        <v>0</v>
      </c>
      <c r="AI39" s="220">
        <f t="shared" ca="1" si="2"/>
        <v>0</v>
      </c>
      <c r="AJ39" s="220">
        <f t="shared" ca="1" si="2"/>
        <v>0</v>
      </c>
      <c r="AK39" s="142"/>
      <c r="AL39" s="365"/>
      <c r="AM39" s="365"/>
      <c r="AN39" s="1126"/>
      <c r="AO39" s="1126"/>
      <c r="AP39" s="1126"/>
      <c r="AQ39" s="1073"/>
      <c r="AR39" s="1073"/>
    </row>
    <row r="40" spans="1:44" s="1327" customFormat="1" ht="21.75" customHeight="1">
      <c r="A40" s="1210"/>
      <c r="B40" s="1104"/>
      <c r="C40" s="1210"/>
      <c r="D40" s="1210"/>
      <c r="E40" s="535">
        <v>22.5</v>
      </c>
      <c r="F40" s="3" t="str" cm="1">
        <f t="array" aca="1" ref="F40" ca="1">OFFSET(E40,-1,1)</f>
        <v>1</v>
      </c>
      <c r="G40" s="41" t="s">
        <v>323</v>
      </c>
      <c r="H40" s="1210"/>
      <c r="I40" s="1210"/>
      <c r="J40" s="1210"/>
      <c r="K40" s="43" t="str">
        <f ca="1">F40&amp;"komm"</f>
        <v>1komm</v>
      </c>
      <c r="L40" s="825" cm="1">
        <f t="array" ref="L40">AK40</f>
        <v>0</v>
      </c>
      <c r="M40" s="1210"/>
      <c r="N40" s="1210"/>
      <c r="O40" s="1210"/>
      <c r="P40" s="1210"/>
      <c r="Q40" s="1210"/>
      <c r="R40" s="1210"/>
      <c r="S40" s="1210"/>
      <c r="T40" s="381" t="b" cm="1">
        <f t="array" ref="T40">T39</f>
        <v>1</v>
      </c>
      <c r="U40" s="1210"/>
      <c r="V40" s="1210"/>
      <c r="W40" s="1210"/>
      <c r="X40" s="1755"/>
      <c r="Y40" s="1210"/>
      <c r="Z40" s="1735"/>
      <c r="AA40" s="365"/>
      <c r="AB40" s="215" t="s">
        <v>281</v>
      </c>
      <c r="AC40" s="369" t="s">
        <v>1106</v>
      </c>
      <c r="AD40" s="216" t="s">
        <v>766</v>
      </c>
      <c r="AE40" s="214"/>
      <c r="AF40" s="147"/>
      <c r="AG40" s="147"/>
      <c r="AH40" s="147"/>
      <c r="AI40" s="147"/>
      <c r="AJ40" s="147"/>
      <c r="AK40" s="118"/>
      <c r="AL40" s="365"/>
      <c r="AM40" s="365"/>
      <c r="AN40" s="899" t="s">
        <v>1107</v>
      </c>
      <c r="AO40" s="1126"/>
      <c r="AP40" s="1126"/>
      <c r="AQ40" s="1073"/>
      <c r="AR40" s="1073"/>
    </row>
    <row r="41" spans="1:44" s="1327" customFormat="1" ht="21.75" customHeight="1">
      <c r="A41" s="1210"/>
      <c r="B41" s="1104"/>
      <c r="C41" s="1210"/>
      <c r="D41" s="1210"/>
      <c r="E41" s="535">
        <v>22.5</v>
      </c>
      <c r="F41" s="3" t="str" cm="1">
        <f t="array" aca="1" ref="F41" ca="1">OFFSET(E41,-1,1)</f>
        <v>1</v>
      </c>
      <c r="G41" s="41" t="s">
        <v>324</v>
      </c>
      <c r="H41" s="1210"/>
      <c r="I41" s="1210"/>
      <c r="J41" s="1210"/>
      <c r="K41" s="1210"/>
      <c r="L41" s="1210"/>
      <c r="M41" s="1210"/>
      <c r="N41" s="1210"/>
      <c r="O41" s="1210"/>
      <c r="P41" s="1210"/>
      <c r="Q41" s="1210"/>
      <c r="R41" s="1210"/>
      <c r="S41" s="1210"/>
      <c r="T41" s="381" t="b" cm="1">
        <f t="array" ref="T41">T40</f>
        <v>1</v>
      </c>
      <c r="U41" s="1210"/>
      <c r="V41" s="1210"/>
      <c r="W41" s="1210"/>
      <c r="X41" s="1755"/>
      <c r="Y41" s="1210"/>
      <c r="Z41" s="1735"/>
      <c r="AA41" s="365"/>
      <c r="AB41" s="215" t="s">
        <v>224</v>
      </c>
      <c r="AC41" s="369" t="s">
        <v>1108</v>
      </c>
      <c r="AD41" s="216" t="s">
        <v>766</v>
      </c>
      <c r="AE41" s="214"/>
      <c r="AF41" s="147"/>
      <c r="AG41" s="147"/>
      <c r="AH41" s="147"/>
      <c r="AI41" s="147"/>
      <c r="AJ41" s="147"/>
      <c r="AK41" s="118"/>
      <c r="AL41" s="365"/>
      <c r="AM41" s="365"/>
      <c r="AN41" s="899" t="s">
        <v>1109</v>
      </c>
      <c r="AO41" s="1126"/>
      <c r="AP41" s="1126"/>
      <c r="AQ41" s="1073"/>
      <c r="AR41" s="1073"/>
    </row>
    <row r="42" spans="1:44" s="1327" customFormat="1" ht="21.75" customHeight="1">
      <c r="A42" s="1210"/>
      <c r="B42" s="1104"/>
      <c r="C42" s="1210"/>
      <c r="D42" s="1210"/>
      <c r="E42" s="535">
        <v>22.5</v>
      </c>
      <c r="F42" s="3" t="str" cm="1">
        <f t="array" aca="1" ref="F42" ca="1">OFFSET(E42,-1,1)</f>
        <v>1</v>
      </c>
      <c r="G42" s="41" t="s">
        <v>325</v>
      </c>
      <c r="H42" s="1210"/>
      <c r="I42" s="1210"/>
      <c r="J42" s="1210"/>
      <c r="K42" s="1210"/>
      <c r="L42" s="1210"/>
      <c r="M42" s="1210"/>
      <c r="N42" s="1210"/>
      <c r="O42" s="1210"/>
      <c r="P42" s="1210"/>
      <c r="Q42" s="1210"/>
      <c r="R42" s="1210"/>
      <c r="S42" s="1210"/>
      <c r="T42" s="381" t="b" cm="1">
        <f t="array" ref="T42">T41</f>
        <v>1</v>
      </c>
      <c r="U42" s="1210"/>
      <c r="V42" s="1210"/>
      <c r="W42" s="1210"/>
      <c r="X42" s="1755"/>
      <c r="Y42" s="1210"/>
      <c r="Z42" s="1735"/>
      <c r="AA42" s="365"/>
      <c r="AB42" s="215" t="s">
        <v>321</v>
      </c>
      <c r="AC42" s="369" t="s">
        <v>1110</v>
      </c>
      <c r="AD42" s="216" t="s">
        <v>766</v>
      </c>
      <c r="AE42" s="214"/>
      <c r="AF42" s="147"/>
      <c r="AG42" s="147"/>
      <c r="AH42" s="147"/>
      <c r="AI42" s="147"/>
      <c r="AJ42" s="147"/>
      <c r="AK42" s="118"/>
      <c r="AL42" s="365"/>
      <c r="AM42" s="365"/>
      <c r="AN42" s="899" t="s">
        <v>1111</v>
      </c>
      <c r="AO42" s="1126"/>
      <c r="AP42" s="1126"/>
      <c r="AQ42" s="1073"/>
      <c r="AR42" s="1073"/>
    </row>
    <row r="43" spans="1:44" s="1327" customFormat="1" ht="32.25" customHeight="1">
      <c r="A43" s="41"/>
      <c r="B43" s="345"/>
      <c r="C43" s="41"/>
      <c r="D43" s="41"/>
      <c r="E43" s="535">
        <v>33.75</v>
      </c>
      <c r="F43" s="1083" t="str" cm="1">
        <f t="array" aca="1" ref="F43" ca="1">OFFSET(E43,-1,1)</f>
        <v>1</v>
      </c>
      <c r="G43" s="41" t="s">
        <v>327</v>
      </c>
      <c r="H43" s="41"/>
      <c r="I43" s="41"/>
      <c r="J43" s="41"/>
      <c r="K43" s="41"/>
      <c r="L43" s="41"/>
      <c r="M43" s="41"/>
      <c r="N43" s="41"/>
      <c r="O43" s="41"/>
      <c r="P43" s="41"/>
      <c r="Q43" s="41"/>
      <c r="R43" s="41"/>
      <c r="S43" s="41"/>
      <c r="T43" s="381" t="b" cm="1">
        <f t="array" ref="T43">T42</f>
        <v>1</v>
      </c>
      <c r="U43" s="41"/>
      <c r="V43" s="41"/>
      <c r="W43" s="41"/>
      <c r="X43" s="1755"/>
      <c r="Y43" s="41"/>
      <c r="Z43" s="1735"/>
      <c r="AA43" s="365"/>
      <c r="AB43" s="796">
        <v>4</v>
      </c>
      <c r="AC43" s="369" t="s">
        <v>1112</v>
      </c>
      <c r="AD43" s="216" t="s">
        <v>766</v>
      </c>
      <c r="AE43" s="687">
        <f ca="1">SUMIFS(ФОТ!AE$25:AE$77,ФОТ!$F$25:$F$77,$F43,ФОТ!$G$25:$G$77,"СП")+SUMIFS(ФОТ!AE$25:AE$77,ФОТ!$F$25:$F$77,$F43,ФОТ!$G$25:$G$77,"СОЦ_СП")</f>
        <v>0</v>
      </c>
      <c r="AF43" s="687">
        <f ca="1">SUMIFS(ФОТ!AF$25:AF$77,ФОТ!$F$25:$F$77,$F43,ФОТ!$G$25:$G$77,"СП")+SUMIFS(ФОТ!AF$25:AF$77,ФОТ!$F$25:$F$77,$F43,ФОТ!$G$25:$G$77,"СОЦ_СП")</f>
        <v>0</v>
      </c>
      <c r="AG43" s="687">
        <f ca="1">SUMIFS(ФОТ!AG$25:AG$77,ФОТ!$F$25:$F$77,$F43,ФОТ!$G$25:$G$77,"СП")+SUMIFS(ФОТ!AG$25:AG$77,ФОТ!$F$25:$F$77,$F43,ФОТ!$G$25:$G$77,"СОЦ_СП")</f>
        <v>0</v>
      </c>
      <c r="AH43" s="687">
        <f ca="1">SUMIFS(ФОТ!AH$25:AH$77,ФОТ!$F$25:$F$77,$F43,ФОТ!$G$25:$G$77,"СП")+SUMIFS(ФОТ!AH$25:AH$77,ФОТ!$F$25:$F$77,$F43,ФОТ!$G$25:$G$77,"СОЦ_СП")</f>
        <v>0</v>
      </c>
      <c r="AI43" s="687">
        <f ca="1">SUMIFS(ФОТ!AI$25:AI$77,ФОТ!$F$25:$F$77,$F43,ФОТ!$G$25:$G$77,"СП")+SUMIFS(ФОТ!AI$25:AI$77,ФОТ!$F$25:$F$77,$F43,ФОТ!$G$25:$G$77,"СОЦ_СП")</f>
        <v>0</v>
      </c>
      <c r="AJ43" s="687">
        <f ca="1">SUMIFS(ФОТ!AJ$25:AJ$77,ФОТ!$F$25:$F$77,$F43,ФОТ!$G$25:$G$77,"СП")+SUMIFS(ФОТ!AJ$25:AJ$77,ФОТ!$F$25:$F$77,$F43,ФОТ!$G$25:$G$77,"СОЦ_СП")</f>
        <v>0</v>
      </c>
      <c r="AK43" s="118"/>
      <c r="AL43" s="365"/>
      <c r="AN43" s="950" t="s">
        <v>1113</v>
      </c>
      <c r="AO43" s="950"/>
      <c r="AP43" s="950"/>
      <c r="AQ43" s="588"/>
      <c r="AR43" s="588"/>
    </row>
    <row r="44" spans="1:44" s="1327" customFormat="1" ht="32.25" customHeight="1">
      <c r="A44" s="1210"/>
      <c r="B44" s="1104"/>
      <c r="C44" s="1210"/>
      <c r="D44" s="1210"/>
      <c r="E44" s="535">
        <v>33.75</v>
      </c>
      <c r="F44" s="3" t="str" cm="1">
        <f t="array" aca="1" ref="F44" ca="1">OFFSET(E44,-1,1)</f>
        <v>1</v>
      </c>
      <c r="G44" s="41" t="s">
        <v>326</v>
      </c>
      <c r="H44" s="1210"/>
      <c r="I44" s="1210"/>
      <c r="J44" s="1210"/>
      <c r="K44" s="1210"/>
      <c r="L44" s="1210"/>
      <c r="M44" s="1210"/>
      <c r="N44" s="1210"/>
      <c r="O44" s="1210"/>
      <c r="P44" s="1210"/>
      <c r="Q44" s="1210"/>
      <c r="R44" s="1210"/>
      <c r="S44" s="1210"/>
      <c r="T44" s="381" t="b" cm="1">
        <f t="array" ref="T44">T43</f>
        <v>1</v>
      </c>
      <c r="U44" s="1210"/>
      <c r="V44" s="1210"/>
      <c r="W44" s="1210"/>
      <c r="X44" s="1755"/>
      <c r="Y44" s="1210"/>
      <c r="Z44" s="1735"/>
      <c r="AA44" s="365"/>
      <c r="AB44" s="215" t="s">
        <v>478</v>
      </c>
      <c r="AC44" s="369" t="s">
        <v>1114</v>
      </c>
      <c r="AD44" s="216" t="s">
        <v>766</v>
      </c>
      <c r="AE44" s="214"/>
      <c r="AF44" s="214"/>
      <c r="AG44" s="214"/>
      <c r="AH44" s="214"/>
      <c r="AI44" s="214"/>
      <c r="AJ44" s="214"/>
      <c r="AK44" s="118"/>
      <c r="AL44" s="365"/>
      <c r="AM44" s="365"/>
      <c r="AN44" s="899" t="s">
        <v>1096</v>
      </c>
      <c r="AO44" s="1126"/>
      <c r="AP44" s="1126"/>
      <c r="AQ44" s="1073"/>
      <c r="AR44" s="1073"/>
    </row>
    <row r="45" spans="1:44" s="1327" customFormat="1" ht="21.75" customHeight="1">
      <c r="A45" s="1210"/>
      <c r="B45" s="1104"/>
      <c r="C45" s="1210"/>
      <c r="D45" s="1210"/>
      <c r="E45" s="535">
        <v>22.5</v>
      </c>
      <c r="F45" s="3" t="str" cm="1">
        <f t="array" aca="1" ref="F45" ca="1">OFFSET(E45,-1,1)</f>
        <v>1</v>
      </c>
      <c r="G45" s="41" t="s">
        <v>477</v>
      </c>
      <c r="H45" s="1210"/>
      <c r="I45" s="1210"/>
      <c r="J45" s="1210"/>
      <c r="K45" s="1210"/>
      <c r="L45" s="1210"/>
      <c r="M45" s="1210"/>
      <c r="N45" s="1210"/>
      <c r="O45" s="1210"/>
      <c r="P45" s="1210"/>
      <c r="Q45" s="1210"/>
      <c r="R45" s="1210"/>
      <c r="S45" s="1210"/>
      <c r="T45" s="381" t="b" cm="1">
        <f t="array" ref="T45">T44</f>
        <v>1</v>
      </c>
      <c r="U45" s="1210"/>
      <c r="V45" s="1210"/>
      <c r="W45" s="1210"/>
      <c r="X45" s="1755"/>
      <c r="Y45" s="1210"/>
      <c r="Z45" s="1735"/>
      <c r="AA45" s="365"/>
      <c r="AB45" s="215" t="s">
        <v>482</v>
      </c>
      <c r="AC45" s="369" t="s">
        <v>1115</v>
      </c>
      <c r="AD45" s="216" t="s">
        <v>766</v>
      </c>
      <c r="AE45" s="214"/>
      <c r="AF45" s="214"/>
      <c r="AG45" s="214"/>
      <c r="AH45" s="214"/>
      <c r="AI45" s="214"/>
      <c r="AJ45" s="214"/>
      <c r="AK45" s="118"/>
      <c r="AL45" s="365"/>
      <c r="AM45" s="365"/>
      <c r="AN45" s="899" t="s">
        <v>1082</v>
      </c>
      <c r="AO45" s="1126"/>
      <c r="AP45" s="1126"/>
      <c r="AQ45" s="1073"/>
      <c r="AR45" s="1073"/>
    </row>
    <row r="46" spans="1:44" s="1327" customFormat="1" ht="43.5" customHeight="1">
      <c r="A46" s="1210"/>
      <c r="B46" s="1104"/>
      <c r="C46" s="1210"/>
      <c r="D46" s="1210"/>
      <c r="E46" s="535">
        <v>45</v>
      </c>
      <c r="F46" s="3" t="str" cm="1">
        <f t="array" aca="1" ref="F46" ca="1">OFFSET(E46,-1,1)</f>
        <v>1</v>
      </c>
      <c r="G46" s="41" t="s">
        <v>481</v>
      </c>
      <c r="H46" s="1210"/>
      <c r="I46" s="1210"/>
      <c r="J46" s="1210"/>
      <c r="K46" s="1210"/>
      <c r="L46" s="1210"/>
      <c r="M46" s="1210"/>
      <c r="N46" s="1210"/>
      <c r="O46" s="1210"/>
      <c r="P46" s="1210"/>
      <c r="Q46" s="1210"/>
      <c r="R46" s="1210"/>
      <c r="S46" s="1210"/>
      <c r="T46" s="381" t="b" cm="1">
        <f t="array" ref="T46">T45</f>
        <v>1</v>
      </c>
      <c r="U46" s="1210"/>
      <c r="V46" s="1210"/>
      <c r="W46" s="1210"/>
      <c r="X46" s="1755"/>
      <c r="Y46" s="1210"/>
      <c r="Z46" s="1735"/>
      <c r="AA46" s="365"/>
      <c r="AB46" s="215" t="s">
        <v>544</v>
      </c>
      <c r="AC46" s="369" t="s">
        <v>1116</v>
      </c>
      <c r="AD46" s="216" t="s">
        <v>766</v>
      </c>
      <c r="AE46" s="214"/>
      <c r="AF46" s="214"/>
      <c r="AG46" s="214"/>
      <c r="AH46" s="214"/>
      <c r="AI46" s="214"/>
      <c r="AJ46" s="214"/>
      <c r="AK46" s="118"/>
      <c r="AL46" s="365"/>
      <c r="AM46" s="365"/>
      <c r="AN46" s="899" t="s">
        <v>1117</v>
      </c>
      <c r="AO46" s="1126"/>
      <c r="AP46" s="1126"/>
      <c r="AQ46" s="1073"/>
      <c r="AR46" s="1073"/>
    </row>
    <row r="47" spans="1:44" s="1327" customFormat="1" ht="43.5" customHeight="1">
      <c r="A47" s="1210"/>
      <c r="B47" s="1104"/>
      <c r="C47" s="1210"/>
      <c r="D47" s="1210"/>
      <c r="E47" s="535">
        <v>45</v>
      </c>
      <c r="F47" s="3" t="str" cm="1">
        <f t="array" aca="1" ref="F47" ca="1">OFFSET(E47,-1,1)</f>
        <v>1</v>
      </c>
      <c r="G47" s="41" t="s">
        <v>528</v>
      </c>
      <c r="H47" s="1210"/>
      <c r="I47" s="1210"/>
      <c r="J47" s="1210"/>
      <c r="K47" s="1210"/>
      <c r="L47" s="1210"/>
      <c r="M47" s="1210"/>
      <c r="N47" s="1210"/>
      <c r="O47" s="1210"/>
      <c r="P47" s="1210"/>
      <c r="Q47" s="1210"/>
      <c r="R47" s="1210"/>
      <c r="S47" s="1210"/>
      <c r="T47" s="381" t="b" cm="1">
        <f t="array" ref="T47">T46</f>
        <v>1</v>
      </c>
      <c r="U47" s="1210"/>
      <c r="V47" s="1210"/>
      <c r="W47" s="1210"/>
      <c r="X47" s="1755"/>
      <c r="Y47" s="1210"/>
      <c r="Z47" s="1735"/>
      <c r="AA47" s="365"/>
      <c r="AB47" s="215" t="s">
        <v>552</v>
      </c>
      <c r="AC47" s="369" t="s">
        <v>1118</v>
      </c>
      <c r="AD47" s="216" t="s">
        <v>766</v>
      </c>
      <c r="AE47" s="214"/>
      <c r="AF47" s="214"/>
      <c r="AG47" s="214"/>
      <c r="AH47" s="214"/>
      <c r="AI47" s="214"/>
      <c r="AJ47" s="214"/>
      <c r="AK47" s="118"/>
      <c r="AL47" s="365"/>
      <c r="AM47" s="365"/>
      <c r="AN47" s="899" t="s">
        <v>1119</v>
      </c>
      <c r="AO47" s="1126"/>
      <c r="AP47" s="1126"/>
      <c r="AQ47" s="1073"/>
      <c r="AR47" s="1073"/>
    </row>
    <row r="48" spans="1:44" s="1327" customFormat="1" ht="14.25" customHeight="1">
      <c r="A48" s="1210"/>
      <c r="B48" s="1104"/>
      <c r="C48" s="1210"/>
      <c r="D48" s="1210"/>
      <c r="E48" s="535">
        <v>15</v>
      </c>
      <c r="F48" s="3" t="str" cm="1">
        <f t="array" aca="1" ref="F48" ca="1">OFFSET(E48,-1,1)</f>
        <v>1</v>
      </c>
      <c r="G48" s="41" t="s">
        <v>543</v>
      </c>
      <c r="H48" s="1210"/>
      <c r="I48" s="1210"/>
      <c r="J48" s="1210"/>
      <c r="K48" s="1210"/>
      <c r="L48" s="1210"/>
      <c r="M48" s="1210"/>
      <c r="N48" s="1210"/>
      <c r="O48" s="1210"/>
      <c r="P48" s="1210"/>
      <c r="Q48" s="1210"/>
      <c r="R48" s="1210"/>
      <c r="S48" s="1210"/>
      <c r="T48" s="381" t="b" cm="1">
        <f t="array" ref="T48">T47</f>
        <v>1</v>
      </c>
      <c r="U48" s="1210"/>
      <c r="V48" s="1210"/>
      <c r="W48" s="1210"/>
      <c r="X48" s="1755"/>
      <c r="Y48" s="1210"/>
      <c r="Z48" s="1735"/>
      <c r="AA48" s="365"/>
      <c r="AB48" s="268">
        <v>9</v>
      </c>
      <c r="AC48" s="369" t="s">
        <v>1120</v>
      </c>
      <c r="AD48" s="216" t="s">
        <v>766</v>
      </c>
      <c r="AE48" s="153">
        <f t="shared" ref="AE48:AJ48" si="3">SUM(AE49:AE50)</f>
        <v>0</v>
      </c>
      <c r="AF48" s="153">
        <f t="shared" si="3"/>
        <v>0</v>
      </c>
      <c r="AG48" s="153">
        <f t="shared" si="3"/>
        <v>0</v>
      </c>
      <c r="AH48" s="153">
        <f t="shared" si="3"/>
        <v>0</v>
      </c>
      <c r="AI48" s="153">
        <f t="shared" si="3"/>
        <v>0</v>
      </c>
      <c r="AJ48" s="153">
        <f t="shared" si="3"/>
        <v>0</v>
      </c>
      <c r="AK48" s="118"/>
      <c r="AL48" s="365"/>
      <c r="AM48" s="365"/>
      <c r="AN48" s="899" t="s">
        <v>386</v>
      </c>
      <c r="AO48" s="1126"/>
      <c r="AP48" s="1126"/>
      <c r="AQ48" s="1073"/>
      <c r="AR48" s="1073"/>
    </row>
    <row r="49" spans="1:44" s="1327" customFormat="1" ht="14.25" hidden="1" customHeight="1">
      <c r="A49" s="1210"/>
      <c r="B49" s="1104"/>
      <c r="C49" s="1210"/>
      <c r="D49" s="1210"/>
      <c r="E49" s="535">
        <v>15</v>
      </c>
      <c r="F49" s="3" t="str" cm="1">
        <f t="array" aca="1" ref="F49" ca="1">OFFSET(E49,-1,1)</f>
        <v>1</v>
      </c>
      <c r="G49" s="41" t="s">
        <v>543</v>
      </c>
      <c r="H49" s="41" cm="1">
        <f t="array" ref="H49">AC49</f>
        <v>0</v>
      </c>
      <c r="I49" s="1210"/>
      <c r="J49" s="1210"/>
      <c r="K49" s="1210"/>
      <c r="L49" s="1210"/>
      <c r="M49" s="1210"/>
      <c r="N49" s="1210"/>
      <c r="O49" s="1210"/>
      <c r="P49" s="1210"/>
      <c r="Q49" s="1210"/>
      <c r="R49" s="1210"/>
      <c r="S49" s="1210"/>
      <c r="T49" s="381" t="b">
        <f ca="1">AND(F49&gt;0,Y49&gt;0)</f>
        <v>0</v>
      </c>
      <c r="U49" s="1210"/>
      <c r="V49" s="1210"/>
      <c r="W49" s="671" t="s">
        <v>173</v>
      </c>
      <c r="X49" s="1755"/>
      <c r="Y49" s="41">
        <v>0</v>
      </c>
      <c r="Z49" s="1735"/>
      <c r="AA49" s="337" t="s">
        <v>174</v>
      </c>
      <c r="AB49" s="607" t="str">
        <f>"9."&amp;Y49</f>
        <v>9.0</v>
      </c>
      <c r="AC49" s="1400"/>
      <c r="AD49" s="216" t="s">
        <v>766</v>
      </c>
      <c r="AE49" s="1399"/>
      <c r="AF49" s="1399"/>
      <c r="AG49" s="1399"/>
      <c r="AH49" s="1399"/>
      <c r="AI49" s="214"/>
      <c r="AJ49" s="214"/>
      <c r="AK49" s="1361"/>
      <c r="AL49" s="365"/>
      <c r="AM49" s="365"/>
      <c r="AN49" s="899" t="s">
        <v>386</v>
      </c>
      <c r="AO49" s="899" t="s">
        <v>1121</v>
      </c>
      <c r="AP49" s="899" cm="1">
        <f t="array" ref="AP49">AC49</f>
        <v>0</v>
      </c>
      <c r="AQ49" s="1073"/>
      <c r="AR49" s="535" t="b">
        <v>1</v>
      </c>
    </row>
    <row r="50" spans="1:44" s="1327" customFormat="1" ht="14.25" customHeight="1">
      <c r="A50" s="65"/>
      <c r="B50" s="346"/>
      <c r="C50" s="65"/>
      <c r="D50" s="65"/>
      <c r="E50" s="183">
        <v>15</v>
      </c>
      <c r="F50" s="3" t="str" cm="1">
        <f t="array" aca="1" ref="F50" ca="1">OFFSET(E50,-1,1)</f>
        <v>1</v>
      </c>
      <c r="G50" s="65"/>
      <c r="H50" s="71" t="str">
        <f>"!=='не определено'"</f>
        <v>!=='не определено'</v>
      </c>
      <c r="I50" s="65"/>
      <c r="J50" s="65"/>
      <c r="K50" s="65"/>
      <c r="L50" s="65"/>
      <c r="M50" s="65"/>
      <c r="N50" s="65"/>
      <c r="O50" s="65"/>
      <c r="P50" s="65"/>
      <c r="Q50" s="65"/>
      <c r="R50" s="65"/>
      <c r="S50" s="65"/>
      <c r="T50" s="381" t="b">
        <f ca="1">F50&gt;0</f>
        <v>1</v>
      </c>
      <c r="U50" s="65"/>
      <c r="V50" s="65"/>
      <c r="W50" s="671" t="s">
        <v>762</v>
      </c>
      <c r="X50" s="1755"/>
      <c r="Y50" s="65"/>
      <c r="Z50" s="1735"/>
      <c r="AA50" s="65"/>
      <c r="AB50" s="149"/>
      <c r="AC50" s="150" t="s">
        <v>177</v>
      </c>
      <c r="AD50" s="150"/>
      <c r="AE50" s="150"/>
      <c r="AF50" s="150"/>
      <c r="AG50" s="150"/>
      <c r="AH50" s="150"/>
      <c r="AI50" s="150"/>
      <c r="AJ50" s="150"/>
      <c r="AK50" s="151"/>
      <c r="AL50" s="65"/>
      <c r="AM50" s="365"/>
      <c r="AN50" s="1126"/>
      <c r="AO50" s="1126"/>
      <c r="AP50" s="1126"/>
      <c r="AQ50" s="535" t="s">
        <v>1121</v>
      </c>
      <c r="AR50" s="1073"/>
    </row>
    <row r="51" spans="1:44" ht="10.7" customHeight="1">
      <c r="A51"/>
      <c r="B51" s="347"/>
      <c r="C51"/>
      <c r="D51"/>
      <c r="E51" s="535">
        <v>11</v>
      </c>
      <c r="F51" s="4"/>
      <c r="G51"/>
      <c r="H51"/>
      <c r="I51"/>
      <c r="J51"/>
      <c r="K51"/>
      <c r="L51"/>
      <c r="M51"/>
      <c r="N51"/>
      <c r="O51"/>
      <c r="P51"/>
      <c r="Q51"/>
      <c r="R51"/>
      <c r="S51"/>
      <c r="T51"/>
      <c r="U51" t="s">
        <v>177</v>
      </c>
      <c r="V51" s="59" t="s">
        <v>1122</v>
      </c>
      <c r="W51"/>
      <c r="X51"/>
      <c r="Y51"/>
      <c r="Z51"/>
      <c r="AA51"/>
      <c r="AB51"/>
      <c r="AC51" s="19"/>
      <c r="AD51" s="19"/>
      <c r="AE51" s="19"/>
      <c r="AF51" s="19"/>
      <c r="AG51"/>
      <c r="AH51"/>
      <c r="AI51"/>
      <c r="AJ51"/>
      <c r="AK51"/>
      <c r="AL51"/>
    </row>
    <row r="52" spans="1:44" ht="14.65" customHeight="1">
      <c r="A52" s="17"/>
      <c r="B52" s="344"/>
      <c r="C52" s="17"/>
      <c r="D52" s="17"/>
      <c r="E52" s="549">
        <v>15</v>
      </c>
      <c r="F52" s="17"/>
      <c r="G52" s="17"/>
      <c r="H52" s="17"/>
      <c r="I52" s="17"/>
      <c r="J52" s="17"/>
      <c r="K52" s="17"/>
      <c r="L52" s="17"/>
      <c r="M52" s="17"/>
      <c r="N52" s="17"/>
      <c r="O52" s="17"/>
      <c r="P52" s="17"/>
      <c r="Q52" s="17"/>
      <c r="R52" s="17"/>
      <c r="S52" s="17"/>
      <c r="T52" s="17"/>
      <c r="U52" s="17"/>
      <c r="V52" s="17"/>
      <c r="W52" s="17"/>
      <c r="X52" s="17"/>
      <c r="Y52" s="17"/>
      <c r="Z52" s="17"/>
      <c r="AA52" s="17"/>
      <c r="AB52" s="1758" t="s">
        <v>394</v>
      </c>
      <c r="AC52" s="1758"/>
      <c r="AD52" s="1758"/>
      <c r="AE52" s="1758"/>
      <c r="AF52" s="1758"/>
      <c r="AG52" s="1758"/>
      <c r="AH52" s="1758"/>
      <c r="AI52" s="1822"/>
      <c r="AJ52" s="1822"/>
      <c r="AK52" s="1822"/>
      <c r="AL52" s="17"/>
    </row>
    <row r="53" spans="1:44" ht="14.65" customHeight="1">
      <c r="A53" s="17"/>
      <c r="B53" s="344"/>
      <c r="C53" s="17"/>
      <c r="D53" s="17"/>
      <c r="E53" s="549">
        <v>15</v>
      </c>
      <c r="F53" s="17"/>
      <c r="G53" s="17"/>
      <c r="H53" s="17"/>
      <c r="I53" s="17"/>
      <c r="J53" s="17"/>
      <c r="K53" s="17"/>
      <c r="L53" s="17"/>
      <c r="M53" s="17"/>
      <c r="N53" s="17"/>
      <c r="O53" s="17"/>
      <c r="P53" s="17"/>
      <c r="Q53" s="17"/>
      <c r="R53" s="17"/>
      <c r="S53" s="17"/>
      <c r="U53" s="17"/>
      <c r="V53" s="17"/>
      <c r="W53" s="17"/>
      <c r="X53" s="17"/>
      <c r="Y53" s="17"/>
      <c r="Z53" s="17"/>
      <c r="AA53" s="368"/>
      <c r="AB53" s="1790"/>
      <c r="AC53" s="1790"/>
      <c r="AD53" s="1790"/>
      <c r="AE53" s="1790"/>
      <c r="AF53" s="1790"/>
      <c r="AG53" s="1790"/>
      <c r="AH53" s="1790"/>
      <c r="AI53" s="1820"/>
      <c r="AJ53" s="1820"/>
      <c r="AK53" s="1820"/>
      <c r="AL53" s="17"/>
    </row>
    <row r="54" spans="1:44" ht="14.65" hidden="1" customHeight="1">
      <c r="A54" s="17"/>
      <c r="B54" s="344"/>
      <c r="C54" s="17"/>
      <c r="D54" s="17"/>
      <c r="E54" s="549">
        <v>15</v>
      </c>
      <c r="F54" s="17"/>
      <c r="G54" s="17"/>
      <c r="H54" s="17"/>
      <c r="I54" s="17"/>
      <c r="J54" s="17"/>
      <c r="K54" s="17"/>
      <c r="L54" s="17"/>
      <c r="M54" s="17"/>
      <c r="N54" s="17"/>
      <c r="O54" s="17"/>
      <c r="P54" s="17"/>
      <c r="Q54" s="17"/>
      <c r="R54" s="17"/>
      <c r="S54" s="17"/>
      <c r="T54" s="381" t="b">
        <f>ROW(W54)&gt;ROW(W$54)</f>
        <v>0</v>
      </c>
      <c r="U54" s="17"/>
      <c r="V54" s="17"/>
      <c r="W54" s="671" t="s">
        <v>173</v>
      </c>
      <c r="X54" s="17"/>
      <c r="Y54" s="17"/>
      <c r="Z54" s="17"/>
      <c r="AA54" s="337" t="s">
        <v>174</v>
      </c>
      <c r="AB54" s="1802" t="s">
        <v>231</v>
      </c>
      <c r="AC54" s="1802"/>
      <c r="AD54" s="1802"/>
      <c r="AE54" s="1802"/>
      <c r="AF54" s="1802"/>
      <c r="AG54" s="1802"/>
      <c r="AH54" s="1802"/>
      <c r="AI54" s="1820"/>
      <c r="AJ54" s="1820"/>
      <c r="AK54" s="1821"/>
      <c r="AL54" s="17"/>
    </row>
    <row r="55" spans="1:44" s="1325" customFormat="1" ht="14.65" customHeight="1">
      <c r="A55" s="17"/>
      <c r="B55" s="344"/>
      <c r="C55" s="17"/>
      <c r="D55" s="17"/>
      <c r="E55" s="549">
        <v>15</v>
      </c>
      <c r="F55" s="17"/>
      <c r="G55" s="17"/>
      <c r="H55" s="17"/>
      <c r="I55" s="17"/>
      <c r="J55" s="17"/>
      <c r="K55" s="17"/>
      <c r="L55" s="17"/>
      <c r="M55" s="17"/>
      <c r="N55" s="17"/>
      <c r="O55" s="17"/>
      <c r="P55" s="17"/>
      <c r="Q55" s="17"/>
      <c r="R55" s="17"/>
      <c r="S55" s="17"/>
      <c r="T55" s="17"/>
      <c r="U55" s="17"/>
      <c r="V55" s="17"/>
      <c r="W55" s="671" t="s">
        <v>395</v>
      </c>
      <c r="X55" s="17"/>
      <c r="Y55" s="17"/>
      <c r="Z55" s="17"/>
      <c r="AA55" s="17"/>
      <c r="AB55" s="564"/>
      <c r="AC55" s="430" t="s">
        <v>396</v>
      </c>
      <c r="AD55" s="224"/>
      <c r="AE55" s="224"/>
      <c r="AF55" s="225"/>
      <c r="AG55" s="225"/>
      <c r="AH55" s="225"/>
      <c r="AI55" s="225"/>
      <c r="AJ55" s="225"/>
      <c r="AK55" s="226"/>
      <c r="AL55" s="17"/>
      <c r="AN55" s="932"/>
      <c r="AO55" s="932"/>
      <c r="AP55" s="932"/>
      <c r="AQ55" s="183"/>
      <c r="AR55" s="183"/>
    </row>
    <row r="56" spans="1:44" s="1327" customFormat="1" ht="10.7" customHeight="1">
      <c r="A56" s="41"/>
      <c r="B56" s="345"/>
      <c r="C56" s="41"/>
      <c r="D56" s="41"/>
      <c r="E56" s="535">
        <v>11</v>
      </c>
      <c r="F56" s="41"/>
      <c r="G56" s="41"/>
      <c r="H56" s="41"/>
      <c r="I56" s="41"/>
      <c r="J56" s="41"/>
      <c r="K56" s="41"/>
      <c r="L56" s="41"/>
      <c r="M56" s="41"/>
      <c r="N56" s="41"/>
      <c r="O56" s="41"/>
      <c r="P56" s="41"/>
      <c r="Q56" s="41"/>
      <c r="R56" s="41"/>
      <c r="S56" s="41"/>
      <c r="T56" s="41"/>
      <c r="U56" s="41"/>
      <c r="V56" s="41"/>
      <c r="W56" s="41"/>
      <c r="X56" s="41"/>
      <c r="Y56" s="41"/>
      <c r="Z56" s="41"/>
      <c r="AA56" s="365"/>
      <c r="AB56" s="365"/>
      <c r="AC56" s="365"/>
      <c r="AD56" s="365"/>
      <c r="AE56" s="365"/>
      <c r="AF56" s="365"/>
      <c r="AG56" s="365"/>
      <c r="AH56" s="365"/>
      <c r="AI56" s="365"/>
      <c r="AJ56" s="365"/>
      <c r="AK56" s="365"/>
      <c r="AL56" s="343"/>
      <c r="AN56" s="950"/>
      <c r="AO56" s="950"/>
      <c r="AP56" s="950"/>
      <c r="AQ56" s="588"/>
      <c r="AR56" s="588"/>
    </row>
    <row r="57" spans="1:44" ht="14.25" hidden="1" customHeight="1">
      <c r="A57" s="365"/>
      <c r="B57" s="365"/>
      <c r="C57" s="365"/>
      <c r="D57" s="365"/>
      <c r="E57" s="606"/>
      <c r="F57" s="365"/>
      <c r="G57" s="365"/>
      <c r="H57" s="365"/>
      <c r="I57" s="365"/>
      <c r="J57" s="365"/>
      <c r="K57" s="365"/>
      <c r="L57" s="365"/>
      <c r="M57" s="365"/>
      <c r="N57" s="365"/>
      <c r="O57" s="365"/>
      <c r="P57" s="365"/>
      <c r="Q57" s="365"/>
      <c r="R57" s="365"/>
      <c r="S57" s="365"/>
      <c r="T57" s="365"/>
      <c r="U57" s="365"/>
      <c r="V57" s="365"/>
      <c r="W57" s="365"/>
      <c r="X57" s="365"/>
      <c r="Y57" s="365"/>
      <c r="Z57" s="365"/>
    </row>
  </sheetData>
  <sheetProtection formatColumns="0" formatRows="0" insertRows="0" deleteColumns="0" deleteRows="0" sort="0" autoFilter="0"/>
  <mergeCells count="11">
    <mergeCell ref="X27:X38"/>
    <mergeCell ref="Z27:Z38"/>
    <mergeCell ref="AB52:AK52"/>
    <mergeCell ref="AB53:AK53"/>
    <mergeCell ref="X39:X50"/>
    <mergeCell ref="Z39:Z50"/>
    <mergeCell ref="AB24:AB25"/>
    <mergeCell ref="AC24:AC25"/>
    <mergeCell ref="AD24:AD25"/>
    <mergeCell ref="AK24:AK25"/>
    <mergeCell ref="AB54:AK54"/>
  </mergeCells>
  <dataValidations count="2">
    <dataValidation allowBlank="1" showInputMessage="1" showErrorMessage="1" sqref="AI52:AK55 AI37:AJ37 AI49 AJ49"/>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formula1>0</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7" width="3.5703125" style="1210" hidden="1" customWidth="1"/>
    <col min="8" max="8" width="6" style="1210" hidden="1" customWidth="1"/>
    <col min="9" max="19" width="3.5703125" style="1210" hidden="1" customWidth="1"/>
    <col min="20" max="20" width="10"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6" style="1210" customWidth="1"/>
    <col min="29" max="29" width="35" style="1210" customWidth="1"/>
    <col min="30" max="30" width="12" style="1210" customWidth="1"/>
    <col min="31" max="35" width="12.5703125" style="1210" customWidth="1"/>
    <col min="36" max="44" width="12.5703125" style="1210" hidden="1" customWidth="1"/>
    <col min="45" max="45" width="12.5703125" style="1210" customWidth="1"/>
    <col min="46" max="54" width="12.5703125" style="1210" hidden="1" customWidth="1"/>
    <col min="55" max="55" width="20" style="1210" customWidth="1"/>
    <col min="56" max="56" width="3" style="1210" customWidth="1"/>
    <col min="57" max="57" width="9.140625" style="1210" hidden="1"/>
    <col min="58" max="60" width="9.140625" style="1126" hidden="1"/>
    <col min="61" max="62" width="9.140625" style="1073" hidden="1"/>
  </cols>
  <sheetData>
    <row r="1" spans="1:62" ht="11.25" hidden="1" customHeight="1">
      <c r="E1" s="68"/>
      <c r="F1" s="68" t="s">
        <v>311</v>
      </c>
      <c r="G1" s="68" t="s">
        <v>322</v>
      </c>
      <c r="I1" s="68" t="s">
        <v>347</v>
      </c>
      <c r="T1" s="381" t="s">
        <v>92</v>
      </c>
      <c r="U1" s="381" t="s">
        <v>97</v>
      </c>
      <c r="V1" s="381" t="s">
        <v>93</v>
      </c>
      <c r="W1" s="381" t="s">
        <v>94</v>
      </c>
      <c r="X1" s="381" t="s">
        <v>95</v>
      </c>
      <c r="Y1" s="383" t="s">
        <v>313</v>
      </c>
      <c r="Z1" s="381" t="s">
        <v>99</v>
      </c>
      <c r="AA1" s="382" t="s">
        <v>96</v>
      </c>
      <c r="AB1" s="4"/>
      <c r="AC1" s="382" t="s">
        <v>98</v>
      </c>
      <c r="BF1" s="940" t="s">
        <v>314</v>
      </c>
      <c r="BG1" s="940" t="s">
        <v>315</v>
      </c>
      <c r="BH1" s="940" t="s">
        <v>316</v>
      </c>
      <c r="BI1" s="593" t="s">
        <v>319</v>
      </c>
      <c r="BJ1" s="593" t="s">
        <v>320</v>
      </c>
    </row>
    <row r="2" spans="1:62" s="1104" customFormat="1" ht="11.25" hidden="1" customHeight="1">
      <c r="B2" s="364" t="s">
        <v>18</v>
      </c>
      <c r="AI2" s="363" t="b">
        <f t="shared" ref="AI2:BB2" si="0">AI6&lt;=last_year_vis</f>
        <v>1</v>
      </c>
      <c r="AJ2" s="363" t="b">
        <f t="shared" si="0"/>
        <v>0</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1</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F2" s="939"/>
      <c r="BG2" s="939"/>
      <c r="BH2" s="939"/>
      <c r="BI2" s="951"/>
      <c r="BJ2" s="951"/>
    </row>
    <row r="3" spans="1:62" ht="11.25" hidden="1" customHeight="1">
      <c r="E3" s="68"/>
    </row>
    <row r="4" spans="1:62" ht="11.25" hidden="1" customHeight="1">
      <c r="E4" s="68"/>
    </row>
    <row r="5" spans="1:62" s="1073" customFormat="1" ht="11.25" hidden="1" customHeight="1">
      <c r="A5" s="68"/>
      <c r="B5" s="359"/>
      <c r="C5" s="68"/>
      <c r="D5" s="68"/>
      <c r="E5" s="593" t="s">
        <v>19</v>
      </c>
      <c r="AA5" s="593">
        <v>3</v>
      </c>
      <c r="AB5" s="593">
        <v>6</v>
      </c>
      <c r="AC5" s="593">
        <v>35</v>
      </c>
      <c r="AD5" s="593">
        <v>12</v>
      </c>
      <c r="AE5" s="593">
        <v>12.57</v>
      </c>
      <c r="AF5" s="593">
        <v>12.57</v>
      </c>
      <c r="AG5" s="593">
        <v>12.57</v>
      </c>
      <c r="AH5" s="593">
        <v>12.57</v>
      </c>
      <c r="AI5" s="593">
        <v>12.57</v>
      </c>
      <c r="AJ5" s="593">
        <v>12.57</v>
      </c>
      <c r="AK5" s="593">
        <v>12.57</v>
      </c>
      <c r="AL5" s="593">
        <v>12.57</v>
      </c>
      <c r="AM5" s="593">
        <v>12.57</v>
      </c>
      <c r="AN5" s="593">
        <v>12.57</v>
      </c>
      <c r="AO5" s="593">
        <v>12.57</v>
      </c>
      <c r="AP5" s="593">
        <v>12.57</v>
      </c>
      <c r="AQ5" s="593">
        <v>12.57</v>
      </c>
      <c r="AR5" s="593">
        <v>12.57</v>
      </c>
      <c r="AS5" s="593">
        <v>12.57</v>
      </c>
      <c r="AT5" s="593">
        <v>12.57</v>
      </c>
      <c r="AU5" s="593">
        <v>12.57</v>
      </c>
      <c r="AV5" s="593">
        <v>12.57</v>
      </c>
      <c r="AW5" s="593">
        <v>12.57</v>
      </c>
      <c r="AX5" s="593">
        <v>12.57</v>
      </c>
      <c r="AY5" s="593">
        <v>12.57</v>
      </c>
      <c r="AZ5" s="593">
        <v>12.57</v>
      </c>
      <c r="BA5" s="593">
        <v>12.57</v>
      </c>
      <c r="BB5" s="593">
        <v>12.57</v>
      </c>
      <c r="BC5" s="593">
        <v>20</v>
      </c>
      <c r="BD5" s="593">
        <v>3</v>
      </c>
      <c r="BF5" s="940"/>
      <c r="BG5" s="940"/>
      <c r="BH5" s="940"/>
    </row>
    <row r="6" spans="1:62" ht="11.25" hidden="1" customHeight="1">
      <c r="A6" s="68" t="s">
        <v>350</v>
      </c>
      <c r="AE6" s="68">
        <f>god-2</f>
        <v>2024</v>
      </c>
      <c r="AF6" s="68">
        <f>god-2</f>
        <v>2024</v>
      </c>
      <c r="AG6" s="68">
        <f>god-2</f>
        <v>2024</v>
      </c>
      <c r="AH6" s="6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68" t="s">
        <v>351</v>
      </c>
      <c r="AE7" s="68" t="str" cm="1">
        <f t="array" ref="AE7">AE25</f>
        <v>Принято органом регулирования</v>
      </c>
      <c r="AF7" s="68" t="str" cm="1">
        <f t="array" ref="AF7">AF25</f>
        <v>Факт по данным организации</v>
      </c>
      <c r="AG7" s="68" t="str" cm="1">
        <f t="array" ref="AG7">AG25</f>
        <v>Факт, принятый органом регулирования</v>
      </c>
      <c r="AH7" s="68" t="str" cm="1">
        <f t="array" ref="AH7">AH25</f>
        <v>Принято органом регулирования</v>
      </c>
      <c r="AI7" s="68" t="str" cm="1">
        <f t="array" ref="AI7">AI25</f>
        <v>Предложение организации</v>
      </c>
      <c r="AJ7" s="68" t="str" cm="1">
        <f t="array" ref="AJ7">AJ25</f>
        <v>Предложение организации</v>
      </c>
      <c r="AK7" s="68" t="str" cm="1">
        <f t="array" ref="AK7">AK25</f>
        <v>Предложение организации</v>
      </c>
      <c r="AL7" s="68" t="str" cm="1">
        <f t="array" ref="AL7">AL25</f>
        <v>Предложение организации</v>
      </c>
      <c r="AM7" s="68" t="str" cm="1">
        <f t="array" ref="AM7">AM25</f>
        <v>Предложение организации</v>
      </c>
      <c r="AN7" s="68" t="str" cm="1">
        <f t="array" ref="AN7">AN25</f>
        <v>Предложение организации</v>
      </c>
      <c r="AO7" s="68" t="str" cm="1">
        <f t="array" ref="AO7">AO25</f>
        <v>Предложение организации</v>
      </c>
      <c r="AP7" s="68" t="str" cm="1">
        <f t="array" ref="AP7">AP25</f>
        <v>Предложение организации</v>
      </c>
      <c r="AQ7" s="68" t="str" cm="1">
        <f t="array" ref="AQ7">AQ25</f>
        <v>Предложение организации</v>
      </c>
      <c r="AR7" s="68" t="str" cm="1">
        <f t="array" ref="AR7">AR25</f>
        <v>Предложение организации</v>
      </c>
      <c r="AS7" s="68" t="str" cm="1">
        <f t="array" ref="AS7">AS25</f>
        <v>Принято органом регулирования</v>
      </c>
      <c r="AT7" s="68" t="str" cm="1">
        <f t="array" ref="AT7">AT25</f>
        <v>Принято органом регулирования</v>
      </c>
      <c r="AU7" s="68" t="str" cm="1">
        <f t="array" ref="AU7">AU25</f>
        <v>Принято органом регулирования</v>
      </c>
      <c r="AV7" s="68" t="str" cm="1">
        <f t="array" ref="AV7">AV25</f>
        <v>Принято органом регулирования</v>
      </c>
      <c r="AW7" s="68" t="str" cm="1">
        <f t="array" ref="AW7">AW25</f>
        <v>Принято органом регулирования</v>
      </c>
      <c r="AX7" s="68" t="str" cm="1">
        <f t="array" ref="AX7">AX25</f>
        <v>Принято органом регулирования</v>
      </c>
      <c r="AY7" s="68" t="str" cm="1">
        <f t="array" ref="AY7">AY25</f>
        <v>Принято органом регулирования</v>
      </c>
      <c r="AZ7" s="68" t="str" cm="1">
        <f t="array" ref="AZ7">AZ25</f>
        <v>Принято органом регулирования</v>
      </c>
      <c r="BA7" s="68" t="str" cm="1">
        <f t="array" ref="BA7">BA25</f>
        <v>Принято органом регулирования</v>
      </c>
      <c r="BB7" s="68" t="str" cm="1">
        <f t="array" ref="BB7">BB25</f>
        <v>Принято органом регулирования</v>
      </c>
    </row>
    <row r="8" spans="1:62" ht="11.25" hidden="1" customHeight="1"/>
    <row r="9" spans="1:62" s="1126" customFormat="1" ht="11.25" hidden="1" customHeight="1">
      <c r="A9" s="940" t="s">
        <v>355</v>
      </c>
      <c r="B9" s="939"/>
      <c r="AE9" s="940" cm="1">
        <f t="array" ref="AE9">AE6</f>
        <v>2024</v>
      </c>
      <c r="AF9" s="940" cm="1">
        <f t="array" ref="AF9">AF6</f>
        <v>2024</v>
      </c>
      <c r="AG9" s="940" cm="1">
        <f t="array" ref="AG9">AG6</f>
        <v>2024</v>
      </c>
      <c r="AH9" s="940" cm="1">
        <f t="array" ref="AH9">AH6</f>
        <v>2025</v>
      </c>
      <c r="AI9" s="940" cm="1">
        <f t="array" ref="AI9">AI6</f>
        <v>2026</v>
      </c>
      <c r="AJ9" s="940" cm="1">
        <f t="array" ref="AJ9">AJ6</f>
        <v>2027</v>
      </c>
      <c r="AK9" s="940" cm="1">
        <f t="array" ref="AK9">AK6</f>
        <v>2028</v>
      </c>
      <c r="AL9" s="940" cm="1">
        <f t="array" ref="AL9">AL6</f>
        <v>2029</v>
      </c>
      <c r="AM9" s="940" cm="1">
        <f t="array" ref="AM9">AM6</f>
        <v>2030</v>
      </c>
      <c r="AN9" s="940" cm="1">
        <f t="array" ref="AN9">AN6</f>
        <v>2031</v>
      </c>
      <c r="AO9" s="940" cm="1">
        <f t="array" ref="AO9">AO6</f>
        <v>2032</v>
      </c>
      <c r="AP9" s="940" cm="1">
        <f t="array" ref="AP9">AP6</f>
        <v>2033</v>
      </c>
      <c r="AQ9" s="940" cm="1">
        <f t="array" ref="AQ9">AQ6</f>
        <v>2034</v>
      </c>
      <c r="AR9" s="940" cm="1">
        <f t="array" ref="AR9">AR6</f>
        <v>2035</v>
      </c>
      <c r="AS9" s="940" cm="1">
        <f t="array" ref="AS9">AS6</f>
        <v>2026</v>
      </c>
      <c r="AT9" s="940" cm="1">
        <f t="array" ref="AT9">AT6</f>
        <v>2027</v>
      </c>
      <c r="AU9" s="940" cm="1">
        <f t="array" ref="AU9">AU6</f>
        <v>2028</v>
      </c>
      <c r="AV9" s="940" cm="1">
        <f t="array" ref="AV9">AV6</f>
        <v>2029</v>
      </c>
      <c r="AW9" s="940" cm="1">
        <f t="array" ref="AW9">AW6</f>
        <v>2030</v>
      </c>
      <c r="AX9" s="940" cm="1">
        <f t="array" ref="AX9">AX6</f>
        <v>2031</v>
      </c>
      <c r="AY9" s="940" cm="1">
        <f t="array" ref="AY9">AY6</f>
        <v>2032</v>
      </c>
      <c r="AZ9" s="940" cm="1">
        <f t="array" ref="AZ9">AZ6</f>
        <v>2033</v>
      </c>
      <c r="BA9" s="940" cm="1">
        <f t="array" ref="BA9">BA6</f>
        <v>2034</v>
      </c>
      <c r="BB9" s="940" cm="1">
        <f t="array" ref="BB9">BB6</f>
        <v>2035</v>
      </c>
      <c r="BI9" s="593"/>
      <c r="BJ9" s="593"/>
    </row>
    <row r="10" spans="1:62" s="1126" customFormat="1" ht="11.25" hidden="1" customHeight="1">
      <c r="A10" s="940" t="s">
        <v>356</v>
      </c>
      <c r="B10" s="939"/>
      <c r="AE10" s="940" t="str" cm="1">
        <f t="array" ref="AE10">AE25</f>
        <v>Принято органом регулирования</v>
      </c>
      <c r="AF10" s="940" t="str" cm="1">
        <f t="array" ref="AF10">AF25</f>
        <v>Факт по данным организации</v>
      </c>
      <c r="AG10" s="940" t="str" cm="1">
        <f t="array" ref="AG10">AG25</f>
        <v>Факт, принятый органом регулирования</v>
      </c>
      <c r="AH10" s="940" t="str" cm="1">
        <f t="array" ref="AH10">AH25</f>
        <v>Принято органом регулирования</v>
      </c>
      <c r="AI10" s="940" t="str" cm="1">
        <f t="array" ref="AI10">AI25</f>
        <v>Предложение организации</v>
      </c>
      <c r="AJ10" s="940" t="str" cm="1">
        <f t="array" ref="AJ10">AJ25</f>
        <v>Предложение организации</v>
      </c>
      <c r="AK10" s="940" t="str" cm="1">
        <f t="array" ref="AK10">AK25</f>
        <v>Предложение организации</v>
      </c>
      <c r="AL10" s="940" t="str" cm="1">
        <f t="array" ref="AL10">AL25</f>
        <v>Предложение организации</v>
      </c>
      <c r="AM10" s="940" t="str" cm="1">
        <f t="array" ref="AM10">AM25</f>
        <v>Предложение организации</v>
      </c>
      <c r="AN10" s="940" t="str" cm="1">
        <f t="array" ref="AN10">AN25</f>
        <v>Предложение организации</v>
      </c>
      <c r="AO10" s="940" t="str" cm="1">
        <f t="array" ref="AO10">AO25</f>
        <v>Предложение организации</v>
      </c>
      <c r="AP10" s="940" t="str" cm="1">
        <f t="array" ref="AP10">AP25</f>
        <v>Предложение организации</v>
      </c>
      <c r="AQ10" s="940" t="str" cm="1">
        <f t="array" ref="AQ10">AQ25</f>
        <v>Предложение организации</v>
      </c>
      <c r="AR10" s="940" t="str" cm="1">
        <f t="array" ref="AR10">AR25</f>
        <v>Предложение организации</v>
      </c>
      <c r="AS10" s="940" t="str" cm="1">
        <f t="array" ref="AS10">AS25</f>
        <v>Принято органом регулирования</v>
      </c>
      <c r="AT10" s="940" t="str" cm="1">
        <f t="array" ref="AT10">AT25</f>
        <v>Принято органом регулирования</v>
      </c>
      <c r="AU10" s="940" t="str" cm="1">
        <f t="array" ref="AU10">AU25</f>
        <v>Принято органом регулирования</v>
      </c>
      <c r="AV10" s="940" t="str" cm="1">
        <f t="array" ref="AV10">AV25</f>
        <v>Принято органом регулирования</v>
      </c>
      <c r="AW10" s="940" t="str" cm="1">
        <f t="array" ref="AW10">AW25</f>
        <v>Принято органом регулирования</v>
      </c>
      <c r="AX10" s="940" t="str" cm="1">
        <f t="array" ref="AX10">AX25</f>
        <v>Принято органом регулирования</v>
      </c>
      <c r="AY10" s="940" t="str" cm="1">
        <f t="array" ref="AY10">AY25</f>
        <v>Принято органом регулирования</v>
      </c>
      <c r="AZ10" s="940" t="str" cm="1">
        <f t="array" ref="AZ10">AZ25</f>
        <v>Принято органом регулирования</v>
      </c>
      <c r="BA10" s="940" t="str" cm="1">
        <f t="array" ref="BA10">BA25</f>
        <v>Принято органом регулирования</v>
      </c>
      <c r="BB10" s="940" t="str" cm="1">
        <f t="array" ref="BB10">BB25</f>
        <v>Принято органом регулирования</v>
      </c>
      <c r="BI10" s="593"/>
      <c r="BJ10" s="593"/>
    </row>
    <row r="11" spans="1:62" s="1126" customFormat="1" ht="11.25" hidden="1" customHeight="1">
      <c r="A11" s="940" t="s">
        <v>357</v>
      </c>
      <c r="B11" s="939"/>
      <c r="BC11" s="940" t="str" cm="1">
        <f t="array" ref="BC11">BC24</f>
        <v>Ссылка на правовую норму (основание для принятия показателя в расчет тарифа)</v>
      </c>
      <c r="BI11" s="593"/>
      <c r="BJ11" s="593"/>
    </row>
    <row r="12" spans="1:62" s="1126" customFormat="1" ht="11.25" hidden="1" customHeight="1">
      <c r="A12" s="940" t="s">
        <v>329</v>
      </c>
      <c r="B12" s="939"/>
      <c r="AC12" s="940" t="s">
        <v>316</v>
      </c>
      <c r="BI12" s="593"/>
      <c r="BJ12" s="593"/>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68" t="s">
        <v>358</v>
      </c>
      <c r="AC18" s="68" t="s">
        <v>359</v>
      </c>
    </row>
    <row r="19" spans="1:62" ht="11.25" hidden="1" customHeight="1"/>
    <row r="20" spans="1:62" ht="11.25" hidden="1" customHeight="1"/>
    <row r="21" spans="1:62" ht="14.65" customHeight="1">
      <c r="E21" s="593">
        <v>15</v>
      </c>
      <c r="AA21" s="342"/>
      <c r="AC21" s="278" t="str" cm="1">
        <f t="array" ref="AC21">tpl_title</f>
        <v>Кемеровская область / 2026 / ОАО «СКЭК» (ИНН:4205153492, КПП:420501001) / ДПР: 2026-2026</v>
      </c>
    </row>
    <row r="22" spans="1:62" ht="19.5" customHeight="1">
      <c r="E22" s="593">
        <v>20</v>
      </c>
      <c r="AB22" s="232" t="s">
        <v>67</v>
      </c>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1"/>
    </row>
    <row r="23" spans="1:62" ht="10.9" customHeight="1">
      <c r="E23" s="593">
        <v>11.25</v>
      </c>
    </row>
    <row r="24" spans="1:62" s="1210" customFormat="1" ht="14.65" customHeight="1">
      <c r="B24" s="345"/>
      <c r="E24" s="535">
        <v>15</v>
      </c>
      <c r="AB24" s="1758" t="s">
        <v>21</v>
      </c>
      <c r="AC24" s="1758" t="s">
        <v>359</v>
      </c>
      <c r="AD24" s="1758" t="s">
        <v>917</v>
      </c>
      <c r="AE24" s="271" t="str">
        <f>god-2&amp;" год"</f>
        <v>2024 год</v>
      </c>
      <c r="AF24" s="1022" t="str">
        <f>god-2&amp;" год"</f>
        <v>2024 год</v>
      </c>
      <c r="AG24" s="271" t="str">
        <f>god-2&amp;" год"</f>
        <v>2024 год</v>
      </c>
      <c r="AH24" s="13" t="str">
        <f>god-1&amp;" год"</f>
        <v>2025 год</v>
      </c>
      <c r="AI24" s="1019" t="str">
        <f>god&amp;" год"</f>
        <v>2026 год</v>
      </c>
      <c r="AJ24" s="1019" t="str">
        <f>god+1&amp;" год"</f>
        <v>2027 год</v>
      </c>
      <c r="AK24" s="1019" t="str">
        <f>god+2&amp;" год"</f>
        <v>2028 год</v>
      </c>
      <c r="AL24" s="1019" t="str">
        <f>god+3&amp;" год"</f>
        <v>2029 год</v>
      </c>
      <c r="AM24" s="1019" t="str">
        <f>god+4&amp;" год"</f>
        <v>2030 год</v>
      </c>
      <c r="AN24" s="1019" t="str">
        <f>god+5&amp;" год"</f>
        <v>2031 год</v>
      </c>
      <c r="AO24" s="1019" t="str">
        <f>god+6&amp;" год"</f>
        <v>2032 год</v>
      </c>
      <c r="AP24" s="1019" t="str">
        <f>god+7&amp;" год"</f>
        <v>2033 год</v>
      </c>
      <c r="AQ24" s="1019" t="str">
        <f>god+8&amp;" год"</f>
        <v>2034 год</v>
      </c>
      <c r="AR24" s="1019"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819" t="s">
        <v>494</v>
      </c>
      <c r="BF24" s="899"/>
      <c r="BG24" s="899"/>
      <c r="BH24" s="899"/>
      <c r="BI24" s="535"/>
      <c r="BJ24" s="535"/>
    </row>
    <row r="25" spans="1:62" s="1210" customFormat="1" ht="48.75" customHeight="1">
      <c r="B25" s="345"/>
      <c r="E25" s="535">
        <v>50</v>
      </c>
      <c r="AB25" s="1758"/>
      <c r="AC25" s="1758"/>
      <c r="AD25" s="1758"/>
      <c r="AE25" s="11" t="s">
        <v>352</v>
      </c>
      <c r="AF25" s="1019" t="s">
        <v>417</v>
      </c>
      <c r="AG25" s="11" t="s">
        <v>418</v>
      </c>
      <c r="AH25" s="11" t="s">
        <v>352</v>
      </c>
      <c r="AI25" s="1023" t="s">
        <v>353</v>
      </c>
      <c r="AJ25" s="1023" t="s">
        <v>353</v>
      </c>
      <c r="AK25" s="1023" t="s">
        <v>353</v>
      </c>
      <c r="AL25" s="1023" t="s">
        <v>353</v>
      </c>
      <c r="AM25" s="1023" t="s">
        <v>353</v>
      </c>
      <c r="AN25" s="1023" t="s">
        <v>353</v>
      </c>
      <c r="AO25" s="1023" t="s">
        <v>353</v>
      </c>
      <c r="AP25" s="1023" t="s">
        <v>353</v>
      </c>
      <c r="AQ25" s="1023" t="s">
        <v>353</v>
      </c>
      <c r="AR25" s="1023" t="s">
        <v>353</v>
      </c>
      <c r="AS25" s="272" t="s">
        <v>352</v>
      </c>
      <c r="AT25" s="272" t="s">
        <v>352</v>
      </c>
      <c r="AU25" s="272" t="s">
        <v>352</v>
      </c>
      <c r="AV25" s="272" t="s">
        <v>352</v>
      </c>
      <c r="AW25" s="272" t="s">
        <v>352</v>
      </c>
      <c r="AX25" s="272" t="s">
        <v>352</v>
      </c>
      <c r="AY25" s="272" t="s">
        <v>352</v>
      </c>
      <c r="AZ25" s="272" t="s">
        <v>352</v>
      </c>
      <c r="BA25" s="272" t="s">
        <v>352</v>
      </c>
      <c r="BB25" s="272" t="s">
        <v>352</v>
      </c>
      <c r="BC25" s="1819"/>
      <c r="BF25" s="899"/>
      <c r="BG25" s="899"/>
      <c r="BH25" s="899"/>
      <c r="BI25" s="535"/>
      <c r="BJ25" s="535"/>
    </row>
    <row r="26" spans="1:62" s="1327" customFormat="1" ht="11.25" customHeight="1">
      <c r="B26" s="347"/>
      <c r="E26" s="588" t="s">
        <v>363</v>
      </c>
      <c r="F26" s="4"/>
      <c r="AC26" s="19"/>
      <c r="AD26" s="19"/>
      <c r="AE26" s="19"/>
      <c r="AF26" s="19"/>
      <c r="AQ26" s="20"/>
      <c r="BF26" s="906"/>
      <c r="BG26" s="906"/>
      <c r="BH26" s="906"/>
      <c r="BI26" s="541"/>
      <c r="BJ26" s="541"/>
    </row>
    <row r="27" spans="1:62" s="1210" customFormat="1" ht="14.65" hidden="1" customHeight="1">
      <c r="B27" s="345"/>
      <c r="E27" s="535">
        <v>15</v>
      </c>
      <c r="F27" s="17" cm="1">
        <f t="array" ref="F27">X27</f>
        <v>0</v>
      </c>
      <c r="T27" s="381" t="b">
        <f>X27&gt;0</f>
        <v>0</v>
      </c>
      <c r="V27" s="41" t="s">
        <v>270</v>
      </c>
      <c r="X27" s="1755">
        <v>0</v>
      </c>
      <c r="Z27" s="1735"/>
      <c r="AB27" s="140" t="str" cm="1">
        <f t="array" ref="AB27">INDEX('Общие сведения'!$AG$179:$AG$208,MATCH($X27,'Общие сведения'!$Z$179:$Z$208,0))</f>
        <v xml:space="preserve">Тариф 0 () - </v>
      </c>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F27" s="899"/>
      <c r="BG27" s="899"/>
      <c r="BH27" s="899"/>
      <c r="BI27" s="535"/>
      <c r="BJ27" s="535"/>
    </row>
    <row r="28" spans="1:62" s="1210" customFormat="1" ht="21.95" hidden="1" customHeight="1">
      <c r="B28" s="345"/>
      <c r="E28" s="535">
        <v>22.5</v>
      </c>
      <c r="F28" s="3" cm="1">
        <f t="array" aca="1" ref="F28" ca="1">OFFSET(E28,-1,1)</f>
        <v>0</v>
      </c>
      <c r="G28" s="41" t="s">
        <v>1105</v>
      </c>
      <c r="K28" s="43" t="str">
        <f ca="1">F28&amp;"komm"</f>
        <v>0komm</v>
      </c>
      <c r="L28" s="825" cm="1">
        <f t="array" ref="L28">BC28</f>
        <v>0</v>
      </c>
      <c r="T28" s="381" t="b" cm="1">
        <f t="array" ref="T28">T27</f>
        <v>0</v>
      </c>
      <c r="X28" s="1755"/>
      <c r="Z28" s="1735"/>
      <c r="AB28" s="152">
        <v>0</v>
      </c>
      <c r="AC28" s="137" t="s">
        <v>1123</v>
      </c>
      <c r="AD28" s="129" t="s">
        <v>766</v>
      </c>
      <c r="AE28" s="145">
        <f t="shared" ref="AE28:BB28" si="1">SUM(AE29:AE38)</f>
        <v>0</v>
      </c>
      <c r="AF28" s="145">
        <f t="shared" si="1"/>
        <v>0</v>
      </c>
      <c r="AG28" s="145">
        <f t="shared" si="1"/>
        <v>0</v>
      </c>
      <c r="AH28" s="145">
        <f t="shared" si="1"/>
        <v>0</v>
      </c>
      <c r="AI28" s="145">
        <f t="shared" si="1"/>
        <v>0</v>
      </c>
      <c r="AJ28" s="145">
        <f t="shared" si="1"/>
        <v>0</v>
      </c>
      <c r="AK28" s="145">
        <f t="shared" si="1"/>
        <v>0</v>
      </c>
      <c r="AL28" s="145">
        <f t="shared" si="1"/>
        <v>0</v>
      </c>
      <c r="AM28" s="145">
        <f t="shared" si="1"/>
        <v>0</v>
      </c>
      <c r="AN28" s="145">
        <f t="shared" si="1"/>
        <v>0</v>
      </c>
      <c r="AO28" s="145">
        <f t="shared" si="1"/>
        <v>0</v>
      </c>
      <c r="AP28" s="145">
        <f t="shared" si="1"/>
        <v>0</v>
      </c>
      <c r="AQ28" s="145">
        <f t="shared" si="1"/>
        <v>0</v>
      </c>
      <c r="AR28" s="145">
        <f t="shared" si="1"/>
        <v>0</v>
      </c>
      <c r="AS28" s="145">
        <f t="shared" si="1"/>
        <v>0</v>
      </c>
      <c r="AT28" s="145">
        <f t="shared" si="1"/>
        <v>0</v>
      </c>
      <c r="AU28" s="145">
        <f t="shared" si="1"/>
        <v>0</v>
      </c>
      <c r="AV28" s="145">
        <f t="shared" si="1"/>
        <v>0</v>
      </c>
      <c r="AW28" s="145">
        <f t="shared" si="1"/>
        <v>0</v>
      </c>
      <c r="AX28" s="145">
        <f t="shared" si="1"/>
        <v>0</v>
      </c>
      <c r="AY28" s="145">
        <f t="shared" si="1"/>
        <v>0</v>
      </c>
      <c r="AZ28" s="145">
        <f t="shared" si="1"/>
        <v>0</v>
      </c>
      <c r="BA28" s="145">
        <f t="shared" si="1"/>
        <v>0</v>
      </c>
      <c r="BB28" s="145">
        <f t="shared" si="1"/>
        <v>0</v>
      </c>
      <c r="BC28" s="1361"/>
      <c r="BF28" s="899" t="s">
        <v>1124</v>
      </c>
      <c r="BG28" s="899"/>
      <c r="BH28" s="899"/>
      <c r="BI28" s="535"/>
      <c r="BJ28" s="535"/>
    </row>
    <row r="29" spans="1:62" s="1210" customFormat="1" ht="14.65" hidden="1" customHeight="1">
      <c r="B29" s="345"/>
      <c r="E29" s="535">
        <v>15</v>
      </c>
      <c r="F29" s="3" cm="1">
        <f t="array" aca="1" ref="F29" ca="1">OFFSET(E29,-1,1)</f>
        <v>0</v>
      </c>
      <c r="G29" s="41" t="s">
        <v>323</v>
      </c>
      <c r="K29" s="43" t="str">
        <f ca="1">F29&amp;"1komm"</f>
        <v>01komm</v>
      </c>
      <c r="L29" s="825" cm="1">
        <f t="array" ref="L29">BC29</f>
        <v>0</v>
      </c>
      <c r="T29" s="381" t="b" cm="1">
        <f t="array" ref="T29">T28</f>
        <v>0</v>
      </c>
      <c r="X29" s="1755"/>
      <c r="Z29" s="1735"/>
      <c r="AB29" s="215" t="s">
        <v>281</v>
      </c>
      <c r="AC29" s="369" t="s">
        <v>1125</v>
      </c>
      <c r="AD29" s="216" t="s">
        <v>766</v>
      </c>
      <c r="AE29" s="1407"/>
      <c r="AF29" s="1406"/>
      <c r="AG29" s="1406"/>
      <c r="AH29" s="1406"/>
      <c r="AI29" s="147"/>
      <c r="AJ29" s="1406"/>
      <c r="AK29" s="1406"/>
      <c r="AL29" s="1406"/>
      <c r="AM29" s="1406"/>
      <c r="AN29" s="1406"/>
      <c r="AO29" s="1406"/>
      <c r="AP29" s="1406"/>
      <c r="AQ29" s="1406"/>
      <c r="AR29" s="1406"/>
      <c r="AS29" s="147"/>
      <c r="AT29" s="1406"/>
      <c r="AU29" s="1406"/>
      <c r="AV29" s="1406"/>
      <c r="AW29" s="1406"/>
      <c r="AX29" s="1406"/>
      <c r="AY29" s="1406"/>
      <c r="AZ29" s="1406"/>
      <c r="BA29" s="1406"/>
      <c r="BB29" s="1406"/>
      <c r="BC29" s="1361"/>
      <c r="BF29" s="899" t="s">
        <v>1126</v>
      </c>
      <c r="BG29" s="899"/>
      <c r="BH29" s="899"/>
      <c r="BI29" s="535"/>
      <c r="BJ29" s="535"/>
    </row>
    <row r="30" spans="1:62" s="1210" customFormat="1" ht="21.95" hidden="1" customHeight="1">
      <c r="B30" s="752"/>
      <c r="C30" s="343"/>
      <c r="D30" s="343"/>
      <c r="E30" s="536">
        <v>22.5</v>
      </c>
      <c r="F30" s="3" cm="1">
        <f t="array" aca="1" ref="F30" ca="1">OFFSET(E30,-1,1)</f>
        <v>0</v>
      </c>
      <c r="G30" s="343" t="s">
        <v>324</v>
      </c>
      <c r="H30" s="343"/>
      <c r="I30" s="343"/>
      <c r="J30" s="343"/>
      <c r="K30" s="43" t="str">
        <f ca="1">F30&amp;"2komm"</f>
        <v>02komm</v>
      </c>
      <c r="L30" s="825" cm="1">
        <f t="array" ref="L30">BC30</f>
        <v>0</v>
      </c>
      <c r="M30" s="343"/>
      <c r="N30" s="343"/>
      <c r="O30" s="343"/>
      <c r="P30" s="343"/>
      <c r="Q30" s="343"/>
      <c r="R30" s="343"/>
      <c r="S30" s="343"/>
      <c r="T30" s="381" t="b" cm="1">
        <f t="array" ref="T30">T29</f>
        <v>0</v>
      </c>
      <c r="U30" s="343"/>
      <c r="V30" s="343"/>
      <c r="X30" s="1755"/>
      <c r="Z30" s="1735"/>
      <c r="AB30" s="215" t="s">
        <v>224</v>
      </c>
      <c r="AC30" s="369" t="s">
        <v>1127</v>
      </c>
      <c r="AD30" s="216" t="s">
        <v>766</v>
      </c>
      <c r="AE30" s="1407"/>
      <c r="AF30" s="1406"/>
      <c r="AG30" s="1406"/>
      <c r="AH30" s="1406"/>
      <c r="AI30" s="147"/>
      <c r="AJ30" s="1406"/>
      <c r="AK30" s="1406"/>
      <c r="AL30" s="1406"/>
      <c r="AM30" s="1406"/>
      <c r="AN30" s="1406"/>
      <c r="AO30" s="1406"/>
      <c r="AP30" s="1406"/>
      <c r="AQ30" s="1406"/>
      <c r="AR30" s="1406"/>
      <c r="AS30" s="147"/>
      <c r="AT30" s="1406"/>
      <c r="AU30" s="1406"/>
      <c r="AV30" s="1406"/>
      <c r="AW30" s="1406"/>
      <c r="AX30" s="1406"/>
      <c r="AY30" s="1406"/>
      <c r="AZ30" s="1406"/>
      <c r="BA30" s="1406"/>
      <c r="BB30" s="1406"/>
      <c r="BC30" s="1361"/>
      <c r="BF30" s="899" t="s">
        <v>1128</v>
      </c>
      <c r="BG30" s="899"/>
      <c r="BH30" s="899"/>
      <c r="BI30" s="535"/>
      <c r="BJ30" s="535"/>
    </row>
    <row r="31" spans="1:62" s="1210" customFormat="1" ht="21.95" hidden="1" customHeight="1">
      <c r="B31" s="752"/>
      <c r="C31" s="343"/>
      <c r="D31" s="343"/>
      <c r="E31" s="536">
        <v>22.5</v>
      </c>
      <c r="F31" s="3" cm="1">
        <f t="array" aca="1" ref="F31" ca="1">OFFSET(E31,-1,1)</f>
        <v>0</v>
      </c>
      <c r="G31" s="343" t="s">
        <v>325</v>
      </c>
      <c r="H31" s="343" t="s">
        <v>1129</v>
      </c>
      <c r="I31" s="343"/>
      <c r="J31" s="343"/>
      <c r="K31" s="43" t="str">
        <f ca="1">F31&amp;"3komm"</f>
        <v>03komm</v>
      </c>
      <c r="L31" s="825" cm="1">
        <f t="array" ref="L31">BC31</f>
        <v>0</v>
      </c>
      <c r="M31" s="343"/>
      <c r="N31" s="343"/>
      <c r="O31" s="343"/>
      <c r="P31" s="343"/>
      <c r="Q31" s="343"/>
      <c r="R31" s="343"/>
      <c r="S31" s="343"/>
      <c r="T31" s="381" t="b" cm="1">
        <f t="array" ref="T31">T30</f>
        <v>0</v>
      </c>
      <c r="U31" s="343"/>
      <c r="V31" s="343"/>
      <c r="X31" s="1755"/>
      <c r="Z31" s="1735"/>
      <c r="AB31" s="215" t="s">
        <v>321</v>
      </c>
      <c r="AC31" s="369" t="s">
        <v>1130</v>
      </c>
      <c r="AD31" s="216" t="s">
        <v>766</v>
      </c>
      <c r="AE31" s="1407"/>
      <c r="AF31" s="1406"/>
      <c r="AG31" s="1406"/>
      <c r="AH31" s="1406"/>
      <c r="AI31" s="147"/>
      <c r="AJ31" s="1406"/>
      <c r="AK31" s="1406"/>
      <c r="AL31" s="1406"/>
      <c r="AM31" s="1406"/>
      <c r="AN31" s="1406"/>
      <c r="AO31" s="1406"/>
      <c r="AP31" s="1406"/>
      <c r="AQ31" s="1406"/>
      <c r="AR31" s="1406"/>
      <c r="AS31" s="147"/>
      <c r="AT31" s="1406"/>
      <c r="AU31" s="1406"/>
      <c r="AV31" s="1406"/>
      <c r="AW31" s="1406"/>
      <c r="AX31" s="1406"/>
      <c r="AY31" s="1406"/>
      <c r="AZ31" s="1406"/>
      <c r="BA31" s="1406"/>
      <c r="BB31" s="1406"/>
      <c r="BC31" s="1361"/>
      <c r="BF31" s="899" t="s">
        <v>1131</v>
      </c>
      <c r="BG31" s="899"/>
      <c r="BH31" s="899"/>
      <c r="BI31" s="535"/>
      <c r="BJ31" s="535"/>
    </row>
    <row r="32" spans="1:62" ht="14.65" hidden="1" customHeight="1">
      <c r="B32" s="800"/>
      <c r="C32" s="797"/>
      <c r="D32" s="797"/>
      <c r="E32" s="798">
        <v>15</v>
      </c>
      <c r="F32" s="3" cm="1">
        <f t="array" aca="1" ref="F32" ca="1">OFFSET(E32,-1,1)</f>
        <v>0</v>
      </c>
      <c r="G32" s="797" t="s">
        <v>327</v>
      </c>
      <c r="H32" s="797"/>
      <c r="I32" s="797"/>
      <c r="J32" s="797"/>
      <c r="K32" s="43" t="str">
        <f ca="1">F32&amp;"4komm"</f>
        <v>04komm</v>
      </c>
      <c r="L32" s="825" cm="1">
        <f t="array" ref="L32">BC32</f>
        <v>0</v>
      </c>
      <c r="M32" s="797"/>
      <c r="N32" s="797"/>
      <c r="O32" s="797"/>
      <c r="P32" s="797"/>
      <c r="Q32" s="797"/>
      <c r="R32" s="797"/>
      <c r="S32" s="797"/>
      <c r="T32" s="381" t="b" cm="1">
        <f t="array" ref="T32">T31</f>
        <v>0</v>
      </c>
      <c r="U32" s="797"/>
      <c r="V32" s="797"/>
      <c r="X32" s="1755"/>
      <c r="Z32" s="1735"/>
      <c r="AB32" s="799">
        <v>4</v>
      </c>
      <c r="AC32" s="369" t="s">
        <v>1132</v>
      </c>
      <c r="AD32" s="216" t="s">
        <v>766</v>
      </c>
      <c r="AE32" s="1408"/>
      <c r="AF32" s="1408"/>
      <c r="AG32" s="1408"/>
      <c r="AH32" s="1408"/>
      <c r="AI32" s="148"/>
      <c r="AJ32" s="1408"/>
      <c r="AK32" s="1408"/>
      <c r="AL32" s="1408"/>
      <c r="AM32" s="1408"/>
      <c r="AN32" s="1408"/>
      <c r="AO32" s="1408"/>
      <c r="AP32" s="1408"/>
      <c r="AQ32" s="1408"/>
      <c r="AR32" s="1408"/>
      <c r="AS32" s="148"/>
      <c r="AT32" s="1408"/>
      <c r="AU32" s="1408"/>
      <c r="AV32" s="1408"/>
      <c r="AW32" s="1408"/>
      <c r="AX32" s="1408"/>
      <c r="AY32" s="1408"/>
      <c r="AZ32" s="1408"/>
      <c r="BA32" s="1408"/>
      <c r="BB32" s="1408"/>
      <c r="BC32" s="1361"/>
      <c r="BF32" s="940" t="s">
        <v>1133</v>
      </c>
    </row>
    <row r="33" spans="1:62" s="1210" customFormat="1" ht="14.65" hidden="1" customHeight="1">
      <c r="B33" s="752"/>
      <c r="C33" s="343"/>
      <c r="D33" s="343"/>
      <c r="E33" s="536">
        <v>15</v>
      </c>
      <c r="F33" s="3" cm="1">
        <f t="array" aca="1" ref="F33" ca="1">OFFSET(E33,-1,1)</f>
        <v>0</v>
      </c>
      <c r="G33" s="343" t="s">
        <v>326</v>
      </c>
      <c r="H33" s="343"/>
      <c r="I33" s="343"/>
      <c r="J33" s="343"/>
      <c r="K33" s="43" t="str">
        <f ca="1">F33&amp;"5komm"</f>
        <v>05komm</v>
      </c>
      <c r="L33" s="825" cm="1">
        <f t="array" ref="L33">BC33</f>
        <v>0</v>
      </c>
      <c r="M33" s="343"/>
      <c r="N33" s="343"/>
      <c r="O33" s="343"/>
      <c r="P33" s="343"/>
      <c r="Q33" s="343"/>
      <c r="R33" s="343"/>
      <c r="S33" s="343"/>
      <c r="T33" s="381" t="b" cm="1">
        <f t="array" ref="T33">T32</f>
        <v>0</v>
      </c>
      <c r="U33" s="343"/>
      <c r="V33" s="343"/>
      <c r="X33" s="1755"/>
      <c r="Z33" s="1735"/>
      <c r="AB33" s="215" t="s">
        <v>478</v>
      </c>
      <c r="AC33" s="369" t="s">
        <v>1134</v>
      </c>
      <c r="AD33" s="216" t="s">
        <v>766</v>
      </c>
      <c r="AE33" s="1407"/>
      <c r="AF33" s="1407"/>
      <c r="AG33" s="1407"/>
      <c r="AH33" s="1407"/>
      <c r="AI33" s="146"/>
      <c r="AJ33" s="1407"/>
      <c r="AK33" s="1407"/>
      <c r="AL33" s="1407"/>
      <c r="AM33" s="1407"/>
      <c r="AN33" s="1407"/>
      <c r="AO33" s="1407"/>
      <c r="AP33" s="1407"/>
      <c r="AQ33" s="1407"/>
      <c r="AR33" s="1407"/>
      <c r="AS33" s="146"/>
      <c r="AT33" s="1407"/>
      <c r="AU33" s="1407"/>
      <c r="AV33" s="1407"/>
      <c r="AW33" s="1407"/>
      <c r="AX33" s="1407"/>
      <c r="AY33" s="1407"/>
      <c r="AZ33" s="1407"/>
      <c r="BA33" s="1407"/>
      <c r="BB33" s="1407"/>
      <c r="BC33" s="1361"/>
      <c r="BF33" s="899" t="s">
        <v>1135</v>
      </c>
      <c r="BG33" s="899"/>
      <c r="BH33" s="899"/>
      <c r="BI33" s="535"/>
      <c r="BJ33" s="535"/>
    </row>
    <row r="34" spans="1:62" s="1210" customFormat="1" ht="14.65" hidden="1" customHeight="1">
      <c r="B34" s="752"/>
      <c r="C34" s="343"/>
      <c r="D34" s="343"/>
      <c r="E34" s="536">
        <v>15</v>
      </c>
      <c r="F34" s="3" cm="1">
        <f t="array" aca="1" ref="F34" ca="1">OFFSET(E34,-1,1)</f>
        <v>0</v>
      </c>
      <c r="G34" s="343" t="s">
        <v>477</v>
      </c>
      <c r="H34" s="343"/>
      <c r="I34" s="343"/>
      <c r="J34" s="343"/>
      <c r="K34" s="43" t="str">
        <f ca="1">F34&amp;"6komm"</f>
        <v>06komm</v>
      </c>
      <c r="L34" s="825" cm="1">
        <f t="array" ref="L34">BC34</f>
        <v>0</v>
      </c>
      <c r="M34" s="343"/>
      <c r="N34" s="343"/>
      <c r="O34" s="343"/>
      <c r="P34" s="343"/>
      <c r="Q34" s="343"/>
      <c r="R34" s="343"/>
      <c r="S34" s="343"/>
      <c r="T34" s="381" t="b" cm="1">
        <f t="array" ref="T34">T33</f>
        <v>0</v>
      </c>
      <c r="U34" s="343"/>
      <c r="V34" s="343"/>
      <c r="X34" s="1755"/>
      <c r="Z34" s="1735"/>
      <c r="AB34" s="215" t="s">
        <v>482</v>
      </c>
      <c r="AC34" s="369" t="s">
        <v>1136</v>
      </c>
      <c r="AD34" s="216" t="s">
        <v>766</v>
      </c>
      <c r="AE34" s="1407"/>
      <c r="AF34" s="1407"/>
      <c r="AG34" s="1407"/>
      <c r="AH34" s="1407"/>
      <c r="AI34" s="146"/>
      <c r="AJ34" s="1407"/>
      <c r="AK34" s="1407"/>
      <c r="AL34" s="1407"/>
      <c r="AM34" s="1407"/>
      <c r="AN34" s="1407"/>
      <c r="AO34" s="1407"/>
      <c r="AP34" s="1407"/>
      <c r="AQ34" s="1407"/>
      <c r="AR34" s="1407"/>
      <c r="AS34" s="146"/>
      <c r="AT34" s="1407"/>
      <c r="AU34" s="1407"/>
      <c r="AV34" s="1407"/>
      <c r="AW34" s="1407"/>
      <c r="AX34" s="1407"/>
      <c r="AY34" s="1407"/>
      <c r="AZ34" s="1407"/>
      <c r="BA34" s="1407"/>
      <c r="BB34" s="1407"/>
      <c r="BC34" s="1361"/>
      <c r="BF34" s="899" t="s">
        <v>1137</v>
      </c>
      <c r="BG34" s="899"/>
      <c r="BH34" s="899"/>
      <c r="BI34" s="535"/>
      <c r="BJ34" s="535"/>
    </row>
    <row r="35" spans="1:62" s="1210" customFormat="1" ht="14.65" hidden="1" customHeight="1">
      <c r="B35" s="752"/>
      <c r="C35" s="343"/>
      <c r="D35" s="343"/>
      <c r="E35" s="536">
        <v>15</v>
      </c>
      <c r="F35" s="3" cm="1">
        <f t="array" aca="1" ref="F35" ca="1">OFFSET(E35,-1,1)</f>
        <v>0</v>
      </c>
      <c r="G35" s="343" t="s">
        <v>481</v>
      </c>
      <c r="H35" s="343" t="s">
        <v>1138</v>
      </c>
      <c r="I35" s="343"/>
      <c r="J35" s="343"/>
      <c r="K35" s="43" t="str">
        <f ca="1">F35&amp;"7komm"</f>
        <v>07komm</v>
      </c>
      <c r="L35" s="825" cm="1">
        <f t="array" ref="L35">BC35</f>
        <v>0</v>
      </c>
      <c r="M35" s="343"/>
      <c r="N35" s="343"/>
      <c r="O35" s="343"/>
      <c r="P35" s="343"/>
      <c r="Q35" s="343"/>
      <c r="R35" s="343"/>
      <c r="S35" s="343"/>
      <c r="T35" s="381" t="b" cm="1">
        <f t="array" ref="T35">T34</f>
        <v>0</v>
      </c>
      <c r="U35" s="343"/>
      <c r="V35" s="343"/>
      <c r="X35" s="1755"/>
      <c r="Z35" s="1735"/>
      <c r="AB35" s="215" t="s">
        <v>544</v>
      </c>
      <c r="AC35" s="369" t="s">
        <v>1139</v>
      </c>
      <c r="AD35" s="216" t="s">
        <v>766</v>
      </c>
      <c r="AE35" s="1407"/>
      <c r="AF35" s="1407"/>
      <c r="AG35" s="1407"/>
      <c r="AH35" s="1407"/>
      <c r="AI35" s="146"/>
      <c r="AJ35" s="1407"/>
      <c r="AK35" s="1407"/>
      <c r="AL35" s="1407"/>
      <c r="AM35" s="1407"/>
      <c r="AN35" s="1407"/>
      <c r="AO35" s="1407"/>
      <c r="AP35" s="1407"/>
      <c r="AQ35" s="1407"/>
      <c r="AR35" s="1407"/>
      <c r="AS35" s="146"/>
      <c r="AT35" s="1407"/>
      <c r="AU35" s="1407"/>
      <c r="AV35" s="1407"/>
      <c r="AW35" s="1407"/>
      <c r="AX35" s="1407"/>
      <c r="AY35" s="1407"/>
      <c r="AZ35" s="1407"/>
      <c r="BA35" s="1407"/>
      <c r="BB35" s="1407"/>
      <c r="BC35" s="1361"/>
      <c r="BF35" s="899" t="s">
        <v>1140</v>
      </c>
      <c r="BG35" s="899"/>
      <c r="BH35" s="899"/>
      <c r="BI35" s="535"/>
      <c r="BJ35" s="535"/>
    </row>
    <row r="36" spans="1:62" s="1210" customFormat="1" ht="21.95" hidden="1" customHeight="1">
      <c r="B36" s="752"/>
      <c r="C36" s="343"/>
      <c r="D36" s="343"/>
      <c r="E36" s="536">
        <v>22.5</v>
      </c>
      <c r="F36" s="3" cm="1">
        <f t="array" aca="1" ref="F36" ca="1">OFFSET(E36,-1,1)</f>
        <v>0</v>
      </c>
      <c r="G36" s="343" t="s">
        <v>528</v>
      </c>
      <c r="H36" s="343"/>
      <c r="I36" s="343"/>
      <c r="J36" s="343"/>
      <c r="K36" s="43" t="str">
        <f ca="1">F36&amp;"8komm"</f>
        <v>08komm</v>
      </c>
      <c r="L36" s="825" cm="1">
        <f t="array" ref="L36">BC36</f>
        <v>0</v>
      </c>
      <c r="M36" s="343"/>
      <c r="N36" s="343"/>
      <c r="O36" s="343"/>
      <c r="P36" s="343"/>
      <c r="Q36" s="343"/>
      <c r="R36" s="343"/>
      <c r="S36" s="343"/>
      <c r="T36" s="381" t="b" cm="1">
        <f t="array" ref="T36">T35</f>
        <v>0</v>
      </c>
      <c r="U36" s="343"/>
      <c r="V36" s="343"/>
      <c r="X36" s="1755"/>
      <c r="Z36" s="1735"/>
      <c r="AB36" s="215" t="s">
        <v>552</v>
      </c>
      <c r="AC36" s="369" t="s">
        <v>1141</v>
      </c>
      <c r="AD36" s="216" t="s">
        <v>766</v>
      </c>
      <c r="AE36" s="1407"/>
      <c r="AF36" s="1407"/>
      <c r="AG36" s="1407"/>
      <c r="AH36" s="1407"/>
      <c r="AI36" s="146"/>
      <c r="AJ36" s="1407"/>
      <c r="AK36" s="1407"/>
      <c r="AL36" s="1407"/>
      <c r="AM36" s="1407"/>
      <c r="AN36" s="1407"/>
      <c r="AO36" s="1407"/>
      <c r="AP36" s="1407"/>
      <c r="AQ36" s="1407"/>
      <c r="AR36" s="1407"/>
      <c r="AS36" s="146"/>
      <c r="AT36" s="1407"/>
      <c r="AU36" s="1407"/>
      <c r="AV36" s="1407"/>
      <c r="AW36" s="1407"/>
      <c r="AX36" s="1407"/>
      <c r="AY36" s="1407"/>
      <c r="AZ36" s="1407"/>
      <c r="BA36" s="1407"/>
      <c r="BB36" s="1407"/>
      <c r="BC36" s="1361"/>
      <c r="BF36" s="899" t="s">
        <v>1142</v>
      </c>
      <c r="BG36" s="899"/>
      <c r="BH36" s="899"/>
      <c r="BI36" s="535"/>
      <c r="BJ36" s="535"/>
    </row>
    <row r="37" spans="1:62" s="923" customFormat="1" ht="21.95" hidden="1" customHeight="1">
      <c r="B37" s="752"/>
      <c r="C37" s="343"/>
      <c r="D37" s="343"/>
      <c r="E37" s="536">
        <v>22.5</v>
      </c>
      <c r="F37" s="3" cm="1">
        <f t="array" aca="1" ref="F37" ca="1">OFFSET(E37,-1,1)</f>
        <v>0</v>
      </c>
      <c r="G37" s="343"/>
      <c r="H37" s="343"/>
      <c r="I37" s="343"/>
      <c r="J37" s="343"/>
      <c r="K37" s="43" t="str">
        <f ca="1">F37&amp;"9komm"</f>
        <v>09komm</v>
      </c>
      <c r="L37" s="825" cm="1">
        <f t="array" ref="L37">BC37</f>
        <v>0</v>
      </c>
      <c r="M37" s="343"/>
      <c r="N37" s="343"/>
      <c r="O37" s="343"/>
      <c r="P37" s="343"/>
      <c r="Q37" s="343"/>
      <c r="R37" s="343"/>
      <c r="S37" s="343"/>
      <c r="T37" s="381" t="b" cm="1">
        <f t="array" ref="T37">T36</f>
        <v>0</v>
      </c>
      <c r="U37" s="343"/>
      <c r="V37" s="343"/>
      <c r="X37" s="1755"/>
      <c r="Z37" s="1735"/>
      <c r="AB37" s="215" t="s">
        <v>710</v>
      </c>
      <c r="AC37" s="369" t="s">
        <v>1143</v>
      </c>
      <c r="AD37" s="216" t="s">
        <v>766</v>
      </c>
      <c r="AE37" s="1399"/>
      <c r="AF37" s="1399"/>
      <c r="AG37" s="1399"/>
      <c r="AH37" s="1399"/>
      <c r="AI37" s="214"/>
      <c r="AJ37" s="1399"/>
      <c r="AK37" s="1399"/>
      <c r="AL37" s="1399"/>
      <c r="AM37" s="1399"/>
      <c r="AN37" s="1399"/>
      <c r="AO37" s="1399"/>
      <c r="AP37" s="1399"/>
      <c r="AQ37" s="1399"/>
      <c r="AR37" s="1399"/>
      <c r="AS37" s="214"/>
      <c r="AT37" s="1399"/>
      <c r="AU37" s="1399"/>
      <c r="AV37" s="1399"/>
      <c r="AW37" s="1399"/>
      <c r="AX37" s="1399"/>
      <c r="AY37" s="1399"/>
      <c r="AZ37" s="1399"/>
      <c r="BA37" s="1399"/>
      <c r="BB37" s="1399"/>
      <c r="BC37" s="1409"/>
      <c r="BF37" s="907" t="s">
        <v>1144</v>
      </c>
      <c r="BG37" s="907"/>
      <c r="BH37" s="907"/>
      <c r="BI37" s="609"/>
      <c r="BJ37" s="609"/>
    </row>
    <row r="38" spans="1:62" ht="14.65" hidden="1" customHeight="1">
      <c r="B38" s="800"/>
      <c r="C38" s="797"/>
      <c r="D38" s="797"/>
      <c r="E38" s="798">
        <v>15</v>
      </c>
      <c r="F38" s="3" cm="1">
        <f t="array" aca="1" ref="F38" ca="1">OFFSET(E38,-1,1)</f>
        <v>0</v>
      </c>
      <c r="G38" s="797" t="s">
        <v>543</v>
      </c>
      <c r="H38" s="828"/>
      <c r="I38" s="797"/>
      <c r="J38" s="797"/>
      <c r="K38" s="43" t="str">
        <f ca="1">F38&amp;"10komm"</f>
        <v>010komm</v>
      </c>
      <c r="L38" s="825" cm="1">
        <f t="array" ref="L38">BC38</f>
        <v>0</v>
      </c>
      <c r="M38" s="797"/>
      <c r="N38" s="797"/>
      <c r="O38" s="797"/>
      <c r="P38" s="797"/>
      <c r="Q38" s="797"/>
      <c r="R38" s="797"/>
      <c r="S38" s="797"/>
      <c r="T38" s="381" t="b" cm="1">
        <f t="array" ref="T38">T37</f>
        <v>0</v>
      </c>
      <c r="U38" s="797"/>
      <c r="V38" s="797"/>
      <c r="X38" s="1755"/>
      <c r="Z38" s="1735"/>
      <c r="AB38" s="799">
        <v>10</v>
      </c>
      <c r="AC38" s="369" t="s">
        <v>1145</v>
      </c>
      <c r="AD38" s="216" t="s">
        <v>766</v>
      </c>
      <c r="AE38" s="153">
        <f t="shared" ref="AE38:BB38" si="2">SUM(AE39:AE40)</f>
        <v>0</v>
      </c>
      <c r="AF38" s="153">
        <f t="shared" si="2"/>
        <v>0</v>
      </c>
      <c r="AG38" s="153">
        <f t="shared" si="2"/>
        <v>0</v>
      </c>
      <c r="AH38" s="153">
        <f t="shared" si="2"/>
        <v>0</v>
      </c>
      <c r="AI38" s="153">
        <f t="shared" si="2"/>
        <v>0</v>
      </c>
      <c r="AJ38" s="153">
        <f t="shared" si="2"/>
        <v>0</v>
      </c>
      <c r="AK38" s="153">
        <f t="shared" si="2"/>
        <v>0</v>
      </c>
      <c r="AL38" s="153">
        <f t="shared" si="2"/>
        <v>0</v>
      </c>
      <c r="AM38" s="153">
        <f t="shared" si="2"/>
        <v>0</v>
      </c>
      <c r="AN38" s="153">
        <f t="shared" si="2"/>
        <v>0</v>
      </c>
      <c r="AO38" s="153">
        <f t="shared" si="2"/>
        <v>0</v>
      </c>
      <c r="AP38" s="153">
        <f t="shared" si="2"/>
        <v>0</v>
      </c>
      <c r="AQ38" s="153">
        <f t="shared" si="2"/>
        <v>0</v>
      </c>
      <c r="AR38" s="153">
        <f t="shared" si="2"/>
        <v>0</v>
      </c>
      <c r="AS38" s="153">
        <f t="shared" si="2"/>
        <v>0</v>
      </c>
      <c r="AT38" s="153">
        <f t="shared" si="2"/>
        <v>0</v>
      </c>
      <c r="AU38" s="153">
        <f t="shared" si="2"/>
        <v>0</v>
      </c>
      <c r="AV38" s="153">
        <f t="shared" si="2"/>
        <v>0</v>
      </c>
      <c r="AW38" s="153">
        <f t="shared" si="2"/>
        <v>0</v>
      </c>
      <c r="AX38" s="153">
        <f t="shared" si="2"/>
        <v>0</v>
      </c>
      <c r="AY38" s="153">
        <f t="shared" si="2"/>
        <v>0</v>
      </c>
      <c r="AZ38" s="153">
        <f t="shared" si="2"/>
        <v>0</v>
      </c>
      <c r="BA38" s="153">
        <f t="shared" si="2"/>
        <v>0</v>
      </c>
      <c r="BB38" s="153">
        <f t="shared" si="2"/>
        <v>0</v>
      </c>
      <c r="BC38" s="1361"/>
      <c r="BF38" s="940" t="s">
        <v>1146</v>
      </c>
    </row>
    <row r="39" spans="1:62" ht="14.65" hidden="1" customHeight="1">
      <c r="A39" s="41"/>
      <c r="B39" s="752"/>
      <c r="C39" s="343"/>
      <c r="D39" s="343"/>
      <c r="E39" s="536">
        <v>15</v>
      </c>
      <c r="F39" s="3" cm="1">
        <f t="array" aca="1" ref="F39" ca="1">OFFSET(E39,-1,1)</f>
        <v>0</v>
      </c>
      <c r="G39" s="343" t="s">
        <v>543</v>
      </c>
      <c r="H39" s="828"/>
      <c r="I39" s="982" cm="1">
        <f t="array" ref="I39">AC39</f>
        <v>0</v>
      </c>
      <c r="J39" s="343"/>
      <c r="K39" s="343"/>
      <c r="L39" s="343"/>
      <c r="M39" s="343"/>
      <c r="N39" s="343"/>
      <c r="O39" s="343"/>
      <c r="P39" s="343"/>
      <c r="Q39" s="343"/>
      <c r="R39" s="343"/>
      <c r="S39" s="343"/>
      <c r="T39" s="381" t="b">
        <f ca="1">AND(F39&gt;0,Y39&gt;0)</f>
        <v>0</v>
      </c>
      <c r="U39" s="343"/>
      <c r="V39" s="343"/>
      <c r="W39" s="671" t="s">
        <v>173</v>
      </c>
      <c r="X39" s="1755"/>
      <c r="Y39" s="41">
        <v>0</v>
      </c>
      <c r="Z39" s="1735"/>
      <c r="AA39" s="337" t="s">
        <v>174</v>
      </c>
      <c r="AB39" s="607" t="str">
        <f>"10."&amp;Y39</f>
        <v>10.0</v>
      </c>
      <c r="AC39" s="1410"/>
      <c r="AD39" s="216" t="s">
        <v>766</v>
      </c>
      <c r="AE39" s="1407"/>
      <c r="AF39" s="1407"/>
      <c r="AG39" s="1407"/>
      <c r="AH39" s="1407"/>
      <c r="AI39" s="146"/>
      <c r="AJ39" s="1407"/>
      <c r="AK39" s="1407"/>
      <c r="AL39" s="1407"/>
      <c r="AM39" s="1407"/>
      <c r="AN39" s="1407"/>
      <c r="AO39" s="1407"/>
      <c r="AP39" s="1407"/>
      <c r="AQ39" s="1407"/>
      <c r="AR39" s="1407"/>
      <c r="AS39" s="146"/>
      <c r="AT39" s="1407"/>
      <c r="AU39" s="1407"/>
      <c r="AV39" s="1407"/>
      <c r="AW39" s="1407"/>
      <c r="AX39" s="1407"/>
      <c r="AY39" s="1407"/>
      <c r="AZ39" s="1407"/>
      <c r="BA39" s="1407"/>
      <c r="BB39" s="1407"/>
      <c r="BC39" s="1361"/>
      <c r="BD39" s="41"/>
      <c r="BF39" s="940" t="s">
        <v>1146</v>
      </c>
      <c r="BG39" s="940" t="s">
        <v>1147</v>
      </c>
      <c r="BH39" s="952" cm="1">
        <f t="array" ref="BH39">AC39</f>
        <v>0</v>
      </c>
      <c r="BJ39" s="593" t="b">
        <v>1</v>
      </c>
    </row>
    <row r="40" spans="1:62" s="1210" customFormat="1" ht="14.65" hidden="1" customHeight="1">
      <c r="B40" s="752"/>
      <c r="C40" s="343"/>
      <c r="D40" s="343"/>
      <c r="E40" s="536">
        <v>15</v>
      </c>
      <c r="F40" s="3" cm="1">
        <f t="array" aca="1" ref="F40" ca="1">OFFSET(E40,-1,1)</f>
        <v>0</v>
      </c>
      <c r="G40" s="343"/>
      <c r="I40" s="343" t="str">
        <f>"!=='не определено'"</f>
        <v>!=='не определено'</v>
      </c>
      <c r="J40" s="343"/>
      <c r="K40" s="343"/>
      <c r="L40" s="343"/>
      <c r="M40" s="343"/>
      <c r="N40" s="343"/>
      <c r="O40" s="343"/>
      <c r="P40" s="343"/>
      <c r="Q40" s="343"/>
      <c r="R40" s="343"/>
      <c r="S40" s="343"/>
      <c r="T40" s="381" t="b">
        <f ca="1">F40&gt;0</f>
        <v>0</v>
      </c>
      <c r="U40" s="343"/>
      <c r="V40" s="343"/>
      <c r="W40" s="671" t="s">
        <v>389</v>
      </c>
      <c r="X40" s="1755"/>
      <c r="Z40" s="1735"/>
      <c r="AB40" s="689"/>
      <c r="AC40" s="176" t="s">
        <v>177</v>
      </c>
      <c r="AD40" s="69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1"/>
      <c r="BF40" s="899"/>
      <c r="BG40" s="899"/>
      <c r="BH40" s="899"/>
      <c r="BI40" s="535" t="s">
        <v>1147</v>
      </c>
      <c r="BJ40" s="535"/>
    </row>
    <row r="41" spans="1:62" s="454" customFormat="1" ht="14.25" customHeight="1">
      <c r="A41" s="1210"/>
      <c r="B41" s="345"/>
      <c r="C41" s="1210"/>
      <c r="D41" s="1210"/>
      <c r="E41" s="535">
        <v>15</v>
      </c>
      <c r="F41" s="17" t="str" cm="1">
        <f t="array" ref="F41">X41</f>
        <v>1</v>
      </c>
      <c r="G41" s="1210"/>
      <c r="H41" s="1210"/>
      <c r="I41" s="1210"/>
      <c r="J41" s="1210"/>
      <c r="K41" s="1210"/>
      <c r="L41" s="1210"/>
      <c r="M41" s="1210"/>
      <c r="N41" s="1210"/>
      <c r="O41" s="1210"/>
      <c r="P41" s="1210"/>
      <c r="Q41" s="1210"/>
      <c r="R41" s="1210"/>
      <c r="S41" s="1210"/>
      <c r="T41" s="381" t="b">
        <f>X41&gt;0</f>
        <v>1</v>
      </c>
      <c r="U41" s="1210"/>
      <c r="V41" s="41" t="str" cm="1">
        <f t="array" ref="V41">'Сбытовые расходы ГО'!$AB$39</f>
        <v>Тариф 1 (Водоснабжение) - тариф на питьевую воду</v>
      </c>
      <c r="W41" s="1210"/>
      <c r="X41" s="1755" t="s">
        <v>281</v>
      </c>
      <c r="Y41" s="1210"/>
      <c r="Z41" s="1735"/>
      <c r="AA41" s="1210"/>
      <c r="AB41" s="140" t="str" cm="1">
        <f t="array" ref="AB41">'Сбытовые расходы ГО'!$AB$39</f>
        <v>Тариф 1 (Водоснабжение) - тариф на питьевую воду</v>
      </c>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1210"/>
      <c r="BE41" s="1210"/>
      <c r="BF41" s="899"/>
      <c r="BG41" s="899"/>
      <c r="BH41" s="899"/>
      <c r="BI41" s="535"/>
      <c r="BJ41" s="535"/>
    </row>
    <row r="42" spans="1:62" s="454" customFormat="1" ht="21.75" customHeight="1">
      <c r="A42" s="1210"/>
      <c r="B42" s="345"/>
      <c r="C42" s="1210"/>
      <c r="D42" s="1210"/>
      <c r="E42" s="535">
        <v>22.5</v>
      </c>
      <c r="F42" s="3" t="str" cm="1">
        <f t="array" aca="1" ref="F42" ca="1">OFFSET(E42,-1,1)</f>
        <v>1</v>
      </c>
      <c r="G42" s="41" t="s">
        <v>1105</v>
      </c>
      <c r="H42" s="1210"/>
      <c r="I42" s="1210"/>
      <c r="J42" s="1210"/>
      <c r="K42" s="43" t="str">
        <f ca="1">F42&amp;"komm"</f>
        <v>1komm</v>
      </c>
      <c r="L42" s="825" cm="1">
        <f t="array" ref="L42">BC42</f>
        <v>0</v>
      </c>
      <c r="M42" s="1210"/>
      <c r="N42" s="1210"/>
      <c r="O42" s="1210"/>
      <c r="P42" s="1210"/>
      <c r="Q42" s="1210"/>
      <c r="R42" s="1210"/>
      <c r="S42" s="1210"/>
      <c r="T42" s="381" t="b" cm="1">
        <f t="array" ref="T42">T41</f>
        <v>1</v>
      </c>
      <c r="U42" s="1210"/>
      <c r="V42" s="1210"/>
      <c r="W42" s="1210"/>
      <c r="X42" s="1755"/>
      <c r="Y42" s="1210"/>
      <c r="Z42" s="1735"/>
      <c r="AA42" s="1210"/>
      <c r="AB42" s="152">
        <v>0</v>
      </c>
      <c r="AC42" s="137" t="s">
        <v>1123</v>
      </c>
      <c r="AD42" s="129" t="s">
        <v>766</v>
      </c>
      <c r="AE42" s="145">
        <f t="shared" ref="AE42:BB42" si="3">SUM(AE43:AE52)</f>
        <v>0</v>
      </c>
      <c r="AF42" s="145">
        <f t="shared" si="3"/>
        <v>0</v>
      </c>
      <c r="AG42" s="145">
        <f t="shared" si="3"/>
        <v>0</v>
      </c>
      <c r="AH42" s="145">
        <f t="shared" si="3"/>
        <v>0</v>
      </c>
      <c r="AI42" s="145">
        <f t="shared" si="3"/>
        <v>0</v>
      </c>
      <c r="AJ42" s="145">
        <f t="shared" si="3"/>
        <v>0</v>
      </c>
      <c r="AK42" s="145">
        <f t="shared" si="3"/>
        <v>0</v>
      </c>
      <c r="AL42" s="145">
        <f t="shared" si="3"/>
        <v>0</v>
      </c>
      <c r="AM42" s="145">
        <f t="shared" si="3"/>
        <v>0</v>
      </c>
      <c r="AN42" s="145">
        <f t="shared" si="3"/>
        <v>0</v>
      </c>
      <c r="AO42" s="145">
        <f t="shared" si="3"/>
        <v>0</v>
      </c>
      <c r="AP42" s="145">
        <f t="shared" si="3"/>
        <v>0</v>
      </c>
      <c r="AQ42" s="145">
        <f t="shared" si="3"/>
        <v>0</v>
      </c>
      <c r="AR42" s="145">
        <f t="shared" si="3"/>
        <v>0</v>
      </c>
      <c r="AS42" s="145">
        <f t="shared" si="3"/>
        <v>0</v>
      </c>
      <c r="AT42" s="145">
        <f t="shared" si="3"/>
        <v>0</v>
      </c>
      <c r="AU42" s="145">
        <f t="shared" si="3"/>
        <v>0</v>
      </c>
      <c r="AV42" s="145">
        <f t="shared" si="3"/>
        <v>0</v>
      </c>
      <c r="AW42" s="145">
        <f t="shared" si="3"/>
        <v>0</v>
      </c>
      <c r="AX42" s="145">
        <f t="shared" si="3"/>
        <v>0</v>
      </c>
      <c r="AY42" s="145">
        <f t="shared" si="3"/>
        <v>0</v>
      </c>
      <c r="AZ42" s="145">
        <f t="shared" si="3"/>
        <v>0</v>
      </c>
      <c r="BA42" s="145">
        <f t="shared" si="3"/>
        <v>0</v>
      </c>
      <c r="BB42" s="145">
        <f t="shared" si="3"/>
        <v>0</v>
      </c>
      <c r="BC42" s="118"/>
      <c r="BD42" s="1210"/>
      <c r="BE42" s="1210"/>
      <c r="BF42" s="899" t="s">
        <v>1124</v>
      </c>
      <c r="BG42" s="899"/>
      <c r="BH42" s="899"/>
      <c r="BI42" s="535"/>
      <c r="BJ42" s="535"/>
    </row>
    <row r="43" spans="1:62" s="454" customFormat="1" ht="14.25" customHeight="1">
      <c r="A43" s="1210"/>
      <c r="B43" s="345"/>
      <c r="C43" s="1210"/>
      <c r="D43" s="1210"/>
      <c r="E43" s="535">
        <v>15</v>
      </c>
      <c r="F43" s="3" t="str" cm="1">
        <f t="array" aca="1" ref="F43" ca="1">OFFSET(E43,-1,1)</f>
        <v>1</v>
      </c>
      <c r="G43" s="41" t="s">
        <v>323</v>
      </c>
      <c r="H43" s="1210"/>
      <c r="I43" s="1210"/>
      <c r="J43" s="1210"/>
      <c r="K43" s="43" t="str">
        <f ca="1">F43&amp;"1komm"</f>
        <v>11komm</v>
      </c>
      <c r="L43" s="825" cm="1">
        <f t="array" ref="L43">BC43</f>
        <v>0</v>
      </c>
      <c r="M43" s="1210"/>
      <c r="N43" s="1210"/>
      <c r="O43" s="1210"/>
      <c r="P43" s="1210"/>
      <c r="Q43" s="1210"/>
      <c r="R43" s="1210"/>
      <c r="S43" s="1210"/>
      <c r="T43" s="381" t="b" cm="1">
        <f t="array" ref="T43">T42</f>
        <v>1</v>
      </c>
      <c r="U43" s="1210"/>
      <c r="V43" s="1210"/>
      <c r="W43" s="1210"/>
      <c r="X43" s="1755"/>
      <c r="Y43" s="1210"/>
      <c r="Z43" s="1735"/>
      <c r="AA43" s="1210"/>
      <c r="AB43" s="215" t="s">
        <v>281</v>
      </c>
      <c r="AC43" s="369" t="s">
        <v>1125</v>
      </c>
      <c r="AD43" s="216" t="s">
        <v>766</v>
      </c>
      <c r="AE43" s="146"/>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18"/>
      <c r="BD43" s="1210"/>
      <c r="BE43" s="1210"/>
      <c r="BF43" s="899" t="s">
        <v>1126</v>
      </c>
      <c r="BG43" s="899"/>
      <c r="BH43" s="899"/>
      <c r="BI43" s="535"/>
      <c r="BJ43" s="535"/>
    </row>
    <row r="44" spans="1:62" s="454" customFormat="1" ht="21.75" customHeight="1">
      <c r="A44" s="1210"/>
      <c r="B44" s="752"/>
      <c r="C44" s="343"/>
      <c r="D44" s="343"/>
      <c r="E44" s="536">
        <v>22.5</v>
      </c>
      <c r="F44" s="3" t="str" cm="1">
        <f t="array" aca="1" ref="F44" ca="1">OFFSET(E44,-1,1)</f>
        <v>1</v>
      </c>
      <c r="G44" s="343" t="s">
        <v>324</v>
      </c>
      <c r="H44" s="343"/>
      <c r="I44" s="343"/>
      <c r="J44" s="343"/>
      <c r="K44" s="43" t="str">
        <f ca="1">F44&amp;"2komm"</f>
        <v>12komm</v>
      </c>
      <c r="L44" s="825" cm="1">
        <f t="array" ref="L44">BC44</f>
        <v>0</v>
      </c>
      <c r="M44" s="343"/>
      <c r="N44" s="343"/>
      <c r="O44" s="343"/>
      <c r="P44" s="343"/>
      <c r="Q44" s="343"/>
      <c r="R44" s="343"/>
      <c r="S44" s="343"/>
      <c r="T44" s="381" t="b" cm="1">
        <f t="array" ref="T44">T43</f>
        <v>1</v>
      </c>
      <c r="U44" s="343"/>
      <c r="V44" s="343"/>
      <c r="W44" s="1210"/>
      <c r="X44" s="1755"/>
      <c r="Y44" s="1210"/>
      <c r="Z44" s="1735"/>
      <c r="AA44" s="1210"/>
      <c r="AB44" s="215" t="s">
        <v>224</v>
      </c>
      <c r="AC44" s="369" t="s">
        <v>1127</v>
      </c>
      <c r="AD44" s="216" t="s">
        <v>766</v>
      </c>
      <c r="AE44" s="146"/>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18"/>
      <c r="BD44" s="1210"/>
      <c r="BE44" s="1210"/>
      <c r="BF44" s="899" t="s">
        <v>1128</v>
      </c>
      <c r="BG44" s="899"/>
      <c r="BH44" s="899"/>
      <c r="BI44" s="535"/>
      <c r="BJ44" s="535"/>
    </row>
    <row r="45" spans="1:62" s="454" customFormat="1" ht="21.75" customHeight="1">
      <c r="A45" s="1210"/>
      <c r="B45" s="752"/>
      <c r="C45" s="343"/>
      <c r="D45" s="343"/>
      <c r="E45" s="536">
        <v>22.5</v>
      </c>
      <c r="F45" s="3" t="str" cm="1">
        <f t="array" aca="1" ref="F45" ca="1">OFFSET(E45,-1,1)</f>
        <v>1</v>
      </c>
      <c r="G45" s="343" t="s">
        <v>325</v>
      </c>
      <c r="H45" s="343" t="s">
        <v>1129</v>
      </c>
      <c r="I45" s="343"/>
      <c r="J45" s="343"/>
      <c r="K45" s="43" t="str">
        <f ca="1">F45&amp;"3komm"</f>
        <v>13komm</v>
      </c>
      <c r="L45" s="825" cm="1">
        <f t="array" ref="L45">BC45</f>
        <v>0</v>
      </c>
      <c r="M45" s="343"/>
      <c r="N45" s="343"/>
      <c r="O45" s="343"/>
      <c r="P45" s="343"/>
      <c r="Q45" s="343"/>
      <c r="R45" s="343"/>
      <c r="S45" s="343"/>
      <c r="T45" s="381" t="b" cm="1">
        <f t="array" ref="T45">T44</f>
        <v>1</v>
      </c>
      <c r="U45" s="343"/>
      <c r="V45" s="343"/>
      <c r="W45" s="1210"/>
      <c r="X45" s="1755"/>
      <c r="Y45" s="1210"/>
      <c r="Z45" s="1735"/>
      <c r="AA45" s="1210"/>
      <c r="AB45" s="215" t="s">
        <v>321</v>
      </c>
      <c r="AC45" s="369" t="s">
        <v>1130</v>
      </c>
      <c r="AD45" s="216" t="s">
        <v>766</v>
      </c>
      <c r="AE45" s="146"/>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18"/>
      <c r="BD45" s="1210"/>
      <c r="BE45" s="1210"/>
      <c r="BF45" s="899" t="s">
        <v>1131</v>
      </c>
      <c r="BG45" s="899"/>
      <c r="BH45" s="899"/>
      <c r="BI45" s="535"/>
      <c r="BJ45" s="535"/>
    </row>
    <row r="46" spans="1:62" s="1327" customFormat="1" ht="14.25" customHeight="1">
      <c r="A46" s="1210"/>
      <c r="B46" s="800"/>
      <c r="C46" s="797"/>
      <c r="D46" s="797"/>
      <c r="E46" s="798">
        <v>15</v>
      </c>
      <c r="F46" s="3" t="str" cm="1">
        <f t="array" aca="1" ref="F46" ca="1">OFFSET(E46,-1,1)</f>
        <v>1</v>
      </c>
      <c r="G46" s="797" t="s">
        <v>327</v>
      </c>
      <c r="H46" s="797"/>
      <c r="I46" s="797"/>
      <c r="J46" s="797"/>
      <c r="K46" s="43" t="str">
        <f ca="1">F46&amp;"4komm"</f>
        <v>14komm</v>
      </c>
      <c r="L46" s="825" cm="1">
        <f t="array" ref="L46">BC46</f>
        <v>0</v>
      </c>
      <c r="M46" s="797"/>
      <c r="N46" s="797"/>
      <c r="O46" s="797"/>
      <c r="P46" s="797"/>
      <c r="Q46" s="797"/>
      <c r="R46" s="797"/>
      <c r="S46" s="797"/>
      <c r="T46" s="381" t="b" cm="1">
        <f t="array" ref="T46">T45</f>
        <v>1</v>
      </c>
      <c r="U46" s="797"/>
      <c r="V46" s="797"/>
      <c r="W46" s="1210"/>
      <c r="X46" s="1755"/>
      <c r="Y46" s="1210"/>
      <c r="Z46" s="1735"/>
      <c r="AA46" s="1210"/>
      <c r="AB46" s="799">
        <v>4</v>
      </c>
      <c r="AC46" s="369" t="s">
        <v>1132</v>
      </c>
      <c r="AD46" s="216" t="s">
        <v>766</v>
      </c>
      <c r="AE46" s="148"/>
      <c r="AF46" s="148"/>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18"/>
      <c r="BD46" s="1210"/>
      <c r="BE46" s="1210"/>
      <c r="BF46" s="940" t="s">
        <v>1133</v>
      </c>
      <c r="BG46" s="1126"/>
      <c r="BH46" s="1126"/>
      <c r="BI46" s="1073"/>
      <c r="BJ46" s="1073"/>
    </row>
    <row r="47" spans="1:62" s="454" customFormat="1" ht="14.25" customHeight="1">
      <c r="A47" s="1210"/>
      <c r="B47" s="752"/>
      <c r="C47" s="343"/>
      <c r="D47" s="343"/>
      <c r="E47" s="536">
        <v>15</v>
      </c>
      <c r="F47" s="3" t="str" cm="1">
        <f t="array" aca="1" ref="F47" ca="1">OFFSET(E47,-1,1)</f>
        <v>1</v>
      </c>
      <c r="G47" s="343" t="s">
        <v>326</v>
      </c>
      <c r="H47" s="343"/>
      <c r="I47" s="343"/>
      <c r="J47" s="343"/>
      <c r="K47" s="43" t="str">
        <f ca="1">F47&amp;"5komm"</f>
        <v>15komm</v>
      </c>
      <c r="L47" s="825" cm="1">
        <f t="array" ref="L47">BC47</f>
        <v>0</v>
      </c>
      <c r="M47" s="343"/>
      <c r="N47" s="343"/>
      <c r="O47" s="343"/>
      <c r="P47" s="343"/>
      <c r="Q47" s="343"/>
      <c r="R47" s="343"/>
      <c r="S47" s="343"/>
      <c r="T47" s="381" t="b" cm="1">
        <f t="array" ref="T47">T46</f>
        <v>1</v>
      </c>
      <c r="U47" s="343"/>
      <c r="V47" s="343"/>
      <c r="W47" s="1210"/>
      <c r="X47" s="1755"/>
      <c r="Y47" s="1210"/>
      <c r="Z47" s="1735"/>
      <c r="AA47" s="1210"/>
      <c r="AB47" s="215" t="s">
        <v>478</v>
      </c>
      <c r="AC47" s="369" t="s">
        <v>1134</v>
      </c>
      <c r="AD47" s="216" t="s">
        <v>766</v>
      </c>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18"/>
      <c r="BD47" s="1210"/>
      <c r="BE47" s="1210"/>
      <c r="BF47" s="899" t="s">
        <v>1135</v>
      </c>
      <c r="BG47" s="899"/>
      <c r="BH47" s="899"/>
      <c r="BI47" s="535"/>
      <c r="BJ47" s="535"/>
    </row>
    <row r="48" spans="1:62" s="454" customFormat="1" ht="14.25" customHeight="1">
      <c r="A48" s="1210"/>
      <c r="B48" s="752"/>
      <c r="C48" s="343"/>
      <c r="D48" s="343"/>
      <c r="E48" s="536">
        <v>15</v>
      </c>
      <c r="F48" s="3" t="str" cm="1">
        <f t="array" aca="1" ref="F48" ca="1">OFFSET(E48,-1,1)</f>
        <v>1</v>
      </c>
      <c r="G48" s="343" t="s">
        <v>477</v>
      </c>
      <c r="H48" s="343"/>
      <c r="I48" s="343"/>
      <c r="J48" s="343"/>
      <c r="K48" s="43" t="str">
        <f ca="1">F48&amp;"6komm"</f>
        <v>16komm</v>
      </c>
      <c r="L48" s="825" cm="1">
        <f t="array" ref="L48">BC48</f>
        <v>0</v>
      </c>
      <c r="M48" s="343"/>
      <c r="N48" s="343"/>
      <c r="O48" s="343"/>
      <c r="P48" s="343"/>
      <c r="Q48" s="343"/>
      <c r="R48" s="343"/>
      <c r="S48" s="343"/>
      <c r="T48" s="381" t="b" cm="1">
        <f t="array" ref="T48">T47</f>
        <v>1</v>
      </c>
      <c r="U48" s="343"/>
      <c r="V48" s="343"/>
      <c r="W48" s="1210"/>
      <c r="X48" s="1755"/>
      <c r="Y48" s="1210"/>
      <c r="Z48" s="1735"/>
      <c r="AA48" s="1210"/>
      <c r="AB48" s="215" t="s">
        <v>482</v>
      </c>
      <c r="AC48" s="369" t="s">
        <v>1136</v>
      </c>
      <c r="AD48" s="216" t="s">
        <v>766</v>
      </c>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18"/>
      <c r="BD48" s="1210"/>
      <c r="BE48" s="1210"/>
      <c r="BF48" s="899" t="s">
        <v>1137</v>
      </c>
      <c r="BG48" s="899"/>
      <c r="BH48" s="899"/>
      <c r="BI48" s="535"/>
      <c r="BJ48" s="535"/>
    </row>
    <row r="49" spans="1:62" s="454" customFormat="1" ht="14.25" customHeight="1">
      <c r="A49" s="1210"/>
      <c r="B49" s="752"/>
      <c r="C49" s="343"/>
      <c r="D49" s="343"/>
      <c r="E49" s="536">
        <v>15</v>
      </c>
      <c r="F49" s="3" t="str" cm="1">
        <f t="array" aca="1" ref="F49" ca="1">OFFSET(E49,-1,1)</f>
        <v>1</v>
      </c>
      <c r="G49" s="343" t="s">
        <v>481</v>
      </c>
      <c r="H49" s="343" t="s">
        <v>1138</v>
      </c>
      <c r="I49" s="343"/>
      <c r="J49" s="343"/>
      <c r="K49" s="43" t="str">
        <f ca="1">F49&amp;"7komm"</f>
        <v>17komm</v>
      </c>
      <c r="L49" s="825" cm="1">
        <f t="array" ref="L49">BC49</f>
        <v>0</v>
      </c>
      <c r="M49" s="343"/>
      <c r="N49" s="343"/>
      <c r="O49" s="343"/>
      <c r="P49" s="343"/>
      <c r="Q49" s="343"/>
      <c r="R49" s="343"/>
      <c r="S49" s="343"/>
      <c r="T49" s="381" t="b" cm="1">
        <f t="array" ref="T49">T48</f>
        <v>1</v>
      </c>
      <c r="U49" s="343"/>
      <c r="V49" s="343"/>
      <c r="W49" s="1210"/>
      <c r="X49" s="1755"/>
      <c r="Y49" s="1210"/>
      <c r="Z49" s="1735"/>
      <c r="AA49" s="1210"/>
      <c r="AB49" s="215" t="s">
        <v>544</v>
      </c>
      <c r="AC49" s="369" t="s">
        <v>1139</v>
      </c>
      <c r="AD49" s="216" t="s">
        <v>766</v>
      </c>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18"/>
      <c r="BD49" s="1210"/>
      <c r="BE49" s="1210"/>
      <c r="BF49" s="899" t="s">
        <v>1140</v>
      </c>
      <c r="BG49" s="899"/>
      <c r="BH49" s="899"/>
      <c r="BI49" s="535"/>
      <c r="BJ49" s="535"/>
    </row>
    <row r="50" spans="1:62" s="454" customFormat="1" ht="21.75" customHeight="1">
      <c r="A50" s="1210"/>
      <c r="B50" s="752"/>
      <c r="C50" s="343"/>
      <c r="D50" s="343"/>
      <c r="E50" s="536">
        <v>22.5</v>
      </c>
      <c r="F50" s="3" t="str" cm="1">
        <f t="array" aca="1" ref="F50" ca="1">OFFSET(E50,-1,1)</f>
        <v>1</v>
      </c>
      <c r="G50" s="343" t="s">
        <v>528</v>
      </c>
      <c r="H50" s="343"/>
      <c r="I50" s="343"/>
      <c r="J50" s="343"/>
      <c r="K50" s="43" t="str">
        <f ca="1">F50&amp;"8komm"</f>
        <v>18komm</v>
      </c>
      <c r="L50" s="825" cm="1">
        <f t="array" ref="L50">BC50</f>
        <v>0</v>
      </c>
      <c r="M50" s="343"/>
      <c r="N50" s="343"/>
      <c r="O50" s="343"/>
      <c r="P50" s="343"/>
      <c r="Q50" s="343"/>
      <c r="R50" s="343"/>
      <c r="S50" s="343"/>
      <c r="T50" s="381" t="b" cm="1">
        <f t="array" ref="T50">T49</f>
        <v>1</v>
      </c>
      <c r="U50" s="343"/>
      <c r="V50" s="343"/>
      <c r="W50" s="1210"/>
      <c r="X50" s="1755"/>
      <c r="Y50" s="1210"/>
      <c r="Z50" s="1735"/>
      <c r="AA50" s="1210"/>
      <c r="AB50" s="215" t="s">
        <v>552</v>
      </c>
      <c r="AC50" s="369" t="s">
        <v>1141</v>
      </c>
      <c r="AD50" s="216" t="s">
        <v>766</v>
      </c>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18"/>
      <c r="BD50" s="1210"/>
      <c r="BE50" s="1210"/>
      <c r="BF50" s="899" t="s">
        <v>1142</v>
      </c>
      <c r="BG50" s="899"/>
      <c r="BH50" s="899"/>
      <c r="BI50" s="535"/>
      <c r="BJ50" s="535"/>
    </row>
    <row r="51" spans="1:62" s="923" customFormat="1" ht="21.75" customHeight="1">
      <c r="B51" s="752"/>
      <c r="C51" s="343"/>
      <c r="D51" s="343"/>
      <c r="E51" s="536">
        <v>22.5</v>
      </c>
      <c r="F51" s="3" t="str" cm="1">
        <f t="array" aca="1" ref="F51" ca="1">OFFSET(E51,-1,1)</f>
        <v>1</v>
      </c>
      <c r="G51" s="343"/>
      <c r="H51" s="343"/>
      <c r="I51" s="343"/>
      <c r="J51" s="343"/>
      <c r="K51" s="43" t="str">
        <f ca="1">F51&amp;"9komm"</f>
        <v>19komm</v>
      </c>
      <c r="L51" s="825" cm="1">
        <f t="array" ref="L51">BC51</f>
        <v>0</v>
      </c>
      <c r="M51" s="343"/>
      <c r="N51" s="343"/>
      <c r="O51" s="343"/>
      <c r="P51" s="343"/>
      <c r="Q51" s="343"/>
      <c r="R51" s="343"/>
      <c r="S51" s="343"/>
      <c r="T51" s="381" t="b" cm="1">
        <f t="array" ref="T51">T50</f>
        <v>1</v>
      </c>
      <c r="U51" s="343"/>
      <c r="V51" s="343"/>
      <c r="X51" s="1755"/>
      <c r="Z51" s="1735"/>
      <c r="AB51" s="215" t="s">
        <v>710</v>
      </c>
      <c r="AC51" s="369" t="s">
        <v>1143</v>
      </c>
      <c r="AD51" s="216" t="s">
        <v>766</v>
      </c>
      <c r="AE51" s="214"/>
      <c r="AF51" s="214"/>
      <c r="AG51" s="214"/>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688"/>
      <c r="BF51" s="907" t="s">
        <v>1144</v>
      </c>
      <c r="BG51" s="907"/>
      <c r="BH51" s="907"/>
      <c r="BI51" s="609"/>
      <c r="BJ51" s="609"/>
    </row>
    <row r="52" spans="1:62" s="1327" customFormat="1" ht="14.25" customHeight="1">
      <c r="A52" s="1210"/>
      <c r="B52" s="800"/>
      <c r="C52" s="797"/>
      <c r="D52" s="797"/>
      <c r="E52" s="798">
        <v>15</v>
      </c>
      <c r="F52" s="3" t="str" cm="1">
        <f t="array" aca="1" ref="F52" ca="1">OFFSET(E52,-1,1)</f>
        <v>1</v>
      </c>
      <c r="G52" s="797" t="s">
        <v>543</v>
      </c>
      <c r="H52" s="828"/>
      <c r="I52" s="797"/>
      <c r="J52" s="797"/>
      <c r="K52" s="43" t="str">
        <f ca="1">F52&amp;"10komm"</f>
        <v>110komm</v>
      </c>
      <c r="L52" s="825" cm="1">
        <f t="array" ref="L52">BC52</f>
        <v>0</v>
      </c>
      <c r="M52" s="797"/>
      <c r="N52" s="797"/>
      <c r="O52" s="797"/>
      <c r="P52" s="797"/>
      <c r="Q52" s="797"/>
      <c r="R52" s="797"/>
      <c r="S52" s="797"/>
      <c r="T52" s="381" t="b" cm="1">
        <f t="array" ref="T52">T51</f>
        <v>1</v>
      </c>
      <c r="U52" s="797"/>
      <c r="V52" s="797"/>
      <c r="W52" s="1210"/>
      <c r="X52" s="1755"/>
      <c r="Y52" s="1210"/>
      <c r="Z52" s="1735"/>
      <c r="AA52" s="1210"/>
      <c r="AB52" s="799">
        <v>10</v>
      </c>
      <c r="AC52" s="369" t="s">
        <v>1145</v>
      </c>
      <c r="AD52" s="216" t="s">
        <v>766</v>
      </c>
      <c r="AE52" s="153">
        <f t="shared" ref="AE52:BB52" si="4">SUM(AE53:AE54)</f>
        <v>0</v>
      </c>
      <c r="AF52" s="153">
        <f t="shared" si="4"/>
        <v>0</v>
      </c>
      <c r="AG52" s="153">
        <f t="shared" si="4"/>
        <v>0</v>
      </c>
      <c r="AH52" s="153">
        <f t="shared" si="4"/>
        <v>0</v>
      </c>
      <c r="AI52" s="153">
        <f t="shared" si="4"/>
        <v>0</v>
      </c>
      <c r="AJ52" s="153">
        <f t="shared" si="4"/>
        <v>0</v>
      </c>
      <c r="AK52" s="153">
        <f t="shared" si="4"/>
        <v>0</v>
      </c>
      <c r="AL52" s="153">
        <f t="shared" si="4"/>
        <v>0</v>
      </c>
      <c r="AM52" s="153">
        <f t="shared" si="4"/>
        <v>0</v>
      </c>
      <c r="AN52" s="153">
        <f t="shared" si="4"/>
        <v>0</v>
      </c>
      <c r="AO52" s="153">
        <f t="shared" si="4"/>
        <v>0</v>
      </c>
      <c r="AP52" s="153">
        <f t="shared" si="4"/>
        <v>0</v>
      </c>
      <c r="AQ52" s="153">
        <f t="shared" si="4"/>
        <v>0</v>
      </c>
      <c r="AR52" s="153">
        <f t="shared" si="4"/>
        <v>0</v>
      </c>
      <c r="AS52" s="153">
        <f t="shared" si="4"/>
        <v>0</v>
      </c>
      <c r="AT52" s="153">
        <f t="shared" si="4"/>
        <v>0</v>
      </c>
      <c r="AU52" s="153">
        <f t="shared" si="4"/>
        <v>0</v>
      </c>
      <c r="AV52" s="153">
        <f t="shared" si="4"/>
        <v>0</v>
      </c>
      <c r="AW52" s="153">
        <f t="shared" si="4"/>
        <v>0</v>
      </c>
      <c r="AX52" s="153">
        <f t="shared" si="4"/>
        <v>0</v>
      </c>
      <c r="AY52" s="153">
        <f t="shared" si="4"/>
        <v>0</v>
      </c>
      <c r="AZ52" s="153">
        <f t="shared" si="4"/>
        <v>0</v>
      </c>
      <c r="BA52" s="153">
        <f t="shared" si="4"/>
        <v>0</v>
      </c>
      <c r="BB52" s="153">
        <f t="shared" si="4"/>
        <v>0</v>
      </c>
      <c r="BC52" s="118"/>
      <c r="BD52" s="1210"/>
      <c r="BE52" s="1210"/>
      <c r="BF52" s="940" t="s">
        <v>1146</v>
      </c>
      <c r="BG52" s="1126"/>
      <c r="BH52" s="1126"/>
      <c r="BI52" s="1073"/>
      <c r="BJ52" s="1073"/>
    </row>
    <row r="53" spans="1:62" s="1327" customFormat="1" ht="14.25" hidden="1" customHeight="1">
      <c r="A53" s="41"/>
      <c r="B53" s="752"/>
      <c r="C53" s="343"/>
      <c r="D53" s="343"/>
      <c r="E53" s="536">
        <v>15</v>
      </c>
      <c r="F53" s="3" t="str" cm="1">
        <f t="array" aca="1" ref="F53" ca="1">OFFSET(E53,-1,1)</f>
        <v>1</v>
      </c>
      <c r="G53" s="343" t="s">
        <v>543</v>
      </c>
      <c r="H53" s="828"/>
      <c r="I53" s="982" cm="1">
        <f t="array" ref="I53">AC53</f>
        <v>0</v>
      </c>
      <c r="J53" s="343"/>
      <c r="K53" s="343"/>
      <c r="L53" s="343"/>
      <c r="M53" s="343"/>
      <c r="N53" s="343"/>
      <c r="O53" s="343"/>
      <c r="P53" s="343"/>
      <c r="Q53" s="343"/>
      <c r="R53" s="343"/>
      <c r="S53" s="343"/>
      <c r="T53" s="381" t="b">
        <f ca="1">AND(F53&gt;0,Y53&gt;0)</f>
        <v>0</v>
      </c>
      <c r="U53" s="343"/>
      <c r="V53" s="343"/>
      <c r="W53" s="671" t="s">
        <v>173</v>
      </c>
      <c r="X53" s="1755"/>
      <c r="Y53" s="41">
        <v>0</v>
      </c>
      <c r="Z53" s="1735"/>
      <c r="AA53" s="337" t="s">
        <v>174</v>
      </c>
      <c r="AB53" s="607" t="str">
        <f>"10."&amp;Y53</f>
        <v>10.0</v>
      </c>
      <c r="AC53" s="1410"/>
      <c r="AD53" s="216" t="s">
        <v>766</v>
      </c>
      <c r="AE53" s="1407"/>
      <c r="AF53" s="1407"/>
      <c r="AG53" s="1407"/>
      <c r="AH53" s="1407"/>
      <c r="AI53" s="146"/>
      <c r="AJ53" s="1407"/>
      <c r="AK53" s="1407"/>
      <c r="AL53" s="1407"/>
      <c r="AM53" s="1407"/>
      <c r="AN53" s="1407"/>
      <c r="AO53" s="1407"/>
      <c r="AP53" s="1407"/>
      <c r="AQ53" s="1407"/>
      <c r="AR53" s="1407"/>
      <c r="AS53" s="146"/>
      <c r="AT53" s="1407"/>
      <c r="AU53" s="1407"/>
      <c r="AV53" s="1407"/>
      <c r="AW53" s="1407"/>
      <c r="AX53" s="1407"/>
      <c r="AY53" s="1407"/>
      <c r="AZ53" s="1407"/>
      <c r="BA53" s="1407"/>
      <c r="BB53" s="1407"/>
      <c r="BC53" s="1361"/>
      <c r="BD53" s="41"/>
      <c r="BE53" s="1210"/>
      <c r="BF53" s="940" t="s">
        <v>1146</v>
      </c>
      <c r="BG53" s="940" t="s">
        <v>1147</v>
      </c>
      <c r="BH53" s="952" cm="1">
        <f t="array" ref="BH53">AC53</f>
        <v>0</v>
      </c>
      <c r="BI53" s="1073"/>
      <c r="BJ53" s="593" t="b">
        <v>1</v>
      </c>
    </row>
    <row r="54" spans="1:62" s="454" customFormat="1" ht="14.25" customHeight="1">
      <c r="A54" s="1210"/>
      <c r="B54" s="752"/>
      <c r="C54" s="343"/>
      <c r="D54" s="343"/>
      <c r="E54" s="536">
        <v>15</v>
      </c>
      <c r="F54" s="3" t="str" cm="1">
        <f t="array" aca="1" ref="F54" ca="1">OFFSET(E54,-1,1)</f>
        <v>1</v>
      </c>
      <c r="G54" s="343"/>
      <c r="H54" s="1210"/>
      <c r="I54" s="343" t="str">
        <f>"!=='не определено'"</f>
        <v>!=='не определено'</v>
      </c>
      <c r="J54" s="343"/>
      <c r="K54" s="343"/>
      <c r="L54" s="343"/>
      <c r="M54" s="343"/>
      <c r="N54" s="343"/>
      <c r="O54" s="343"/>
      <c r="P54" s="343"/>
      <c r="Q54" s="343"/>
      <c r="R54" s="343"/>
      <c r="S54" s="343"/>
      <c r="T54" s="381" t="b">
        <f ca="1">F54&gt;0</f>
        <v>1</v>
      </c>
      <c r="U54" s="343"/>
      <c r="V54" s="343"/>
      <c r="W54" s="671" t="s">
        <v>389</v>
      </c>
      <c r="X54" s="1755"/>
      <c r="Y54" s="1210"/>
      <c r="Z54" s="1735"/>
      <c r="AA54" s="1210"/>
      <c r="AB54" s="689"/>
      <c r="AC54" s="176" t="s">
        <v>177</v>
      </c>
      <c r="AD54" s="69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1"/>
      <c r="BD54" s="1210"/>
      <c r="BE54" s="1210"/>
      <c r="BF54" s="899"/>
      <c r="BG54" s="899"/>
      <c r="BH54" s="899"/>
      <c r="BI54" s="535" t="s">
        <v>1147</v>
      </c>
      <c r="BJ54" s="535"/>
    </row>
    <row r="55" spans="1:62" s="1327" customFormat="1" ht="10.9" customHeight="1">
      <c r="B55" s="741"/>
      <c r="C55"/>
      <c r="D55"/>
      <c r="E55" s="588">
        <v>11.25</v>
      </c>
      <c r="F55" s="4"/>
      <c r="G55"/>
      <c r="H55"/>
      <c r="I55"/>
      <c r="J55"/>
      <c r="K55"/>
      <c r="L55"/>
      <c r="M55"/>
      <c r="N55"/>
      <c r="O55"/>
      <c r="P55"/>
      <c r="Q55"/>
      <c r="R55"/>
      <c r="S55"/>
      <c r="T55"/>
      <c r="U55" t="s">
        <v>177</v>
      </c>
      <c r="V55" s="763" t="s">
        <v>1148</v>
      </c>
      <c r="AC55" s="19"/>
      <c r="AD55" s="19"/>
      <c r="AE55" s="19"/>
      <c r="AF55" s="19"/>
      <c r="AQ55" s="20"/>
      <c r="BF55" s="906"/>
      <c r="BG55" s="906"/>
      <c r="BH55" s="906"/>
      <c r="BI55" s="541"/>
      <c r="BJ55" s="541"/>
    </row>
    <row r="56" spans="1:62" s="1327" customFormat="1" ht="14.65" customHeight="1">
      <c r="A56" s="17"/>
      <c r="B56" s="753"/>
      <c r="C56" s="409"/>
      <c r="D56" s="409"/>
      <c r="E56" s="754">
        <v>15</v>
      </c>
      <c r="F56" s="409"/>
      <c r="G56" s="409"/>
      <c r="H56" s="409"/>
      <c r="I56" s="409"/>
      <c r="J56" s="409"/>
      <c r="K56" s="409"/>
      <c r="L56" s="409"/>
      <c r="M56" s="409"/>
      <c r="N56" s="409"/>
      <c r="O56" s="409"/>
      <c r="P56" s="409"/>
      <c r="Q56" s="409"/>
      <c r="R56" s="409"/>
      <c r="S56" s="409"/>
      <c r="T56" s="409"/>
      <c r="U56" s="409"/>
      <c r="V56" s="409"/>
      <c r="W56" s="17"/>
      <c r="X56" s="17"/>
      <c r="Y56" s="17"/>
      <c r="Z56" s="17"/>
      <c r="AA56" s="17"/>
      <c r="AB56" s="1758" t="s">
        <v>394</v>
      </c>
      <c r="AC56" s="1758"/>
      <c r="AD56" s="1758"/>
      <c r="AE56" s="1758"/>
      <c r="AF56" s="1758"/>
      <c r="AG56" s="1758"/>
      <c r="AH56" s="1758"/>
      <c r="AI56" s="1789"/>
      <c r="AJ56" s="1789"/>
      <c r="AK56" s="1789"/>
      <c r="AL56" s="1789"/>
      <c r="AM56" s="1789"/>
      <c r="AN56" s="1789"/>
      <c r="AO56" s="1789"/>
      <c r="AP56" s="1789"/>
      <c r="AQ56" s="1789"/>
      <c r="AR56" s="1789"/>
      <c r="AS56" s="1789"/>
      <c r="AT56" s="1789"/>
      <c r="AU56" s="1789"/>
      <c r="AV56" s="1789"/>
      <c r="AW56" s="1789"/>
      <c r="AX56" s="1789"/>
      <c r="AY56" s="1789"/>
      <c r="AZ56" s="1789"/>
      <c r="BA56" s="1789"/>
      <c r="BB56" s="1789"/>
      <c r="BC56" s="1789"/>
      <c r="BD56" s="17"/>
      <c r="BF56" s="906"/>
      <c r="BG56" s="906"/>
      <c r="BH56" s="906"/>
      <c r="BI56" s="541"/>
      <c r="BJ56" s="541"/>
    </row>
    <row r="57" spans="1:62" s="1327" customFormat="1" ht="14.65" customHeight="1">
      <c r="A57" s="17"/>
      <c r="B57" s="753"/>
      <c r="C57" s="409"/>
      <c r="D57" s="409"/>
      <c r="E57" s="754">
        <v>15</v>
      </c>
      <c r="F57" s="409"/>
      <c r="G57" s="409"/>
      <c r="H57" s="409"/>
      <c r="I57" s="409"/>
      <c r="J57" s="409"/>
      <c r="K57" s="409"/>
      <c r="L57" s="409"/>
      <c r="M57" s="409"/>
      <c r="N57" s="409"/>
      <c r="O57" s="409"/>
      <c r="P57" s="409"/>
      <c r="Q57" s="409"/>
      <c r="R57" s="409"/>
      <c r="S57" s="409"/>
      <c r="T57" s="409"/>
      <c r="U57" s="409"/>
      <c r="V57" s="409"/>
      <c r="W57" s="17"/>
      <c r="X57" s="17"/>
      <c r="Y57" s="17"/>
      <c r="Z57" s="17"/>
      <c r="AA57" s="92"/>
      <c r="AB57" s="1790"/>
      <c r="AC57" s="1790"/>
      <c r="AD57" s="1790"/>
      <c r="AE57" s="1790"/>
      <c r="AF57" s="1790"/>
      <c r="AG57" s="1790"/>
      <c r="AH57" s="1790"/>
      <c r="AI57" s="1791"/>
      <c r="AJ57" s="1803"/>
      <c r="AK57" s="1803"/>
      <c r="AL57" s="1803"/>
      <c r="AM57" s="1803"/>
      <c r="AN57" s="1803"/>
      <c r="AO57" s="1803"/>
      <c r="AP57" s="1803"/>
      <c r="AQ57" s="1803"/>
      <c r="AR57" s="1803"/>
      <c r="AS57" s="1791"/>
      <c r="AT57" s="1803"/>
      <c r="AU57" s="1803"/>
      <c r="AV57" s="1803"/>
      <c r="AW57" s="1803"/>
      <c r="AX57" s="1803"/>
      <c r="AY57" s="1803"/>
      <c r="AZ57" s="1803"/>
      <c r="BA57" s="1803"/>
      <c r="BB57" s="1803"/>
      <c r="BC57" s="1791"/>
      <c r="BD57" s="17"/>
      <c r="BF57" s="906"/>
      <c r="BG57" s="906"/>
      <c r="BH57" s="906"/>
      <c r="BI57" s="541"/>
      <c r="BJ57" s="541"/>
    </row>
    <row r="58" spans="1:62" s="1327" customFormat="1" ht="14.65" hidden="1" customHeight="1">
      <c r="A58" s="17"/>
      <c r="B58" s="344"/>
      <c r="C58" s="17"/>
      <c r="D58" s="17"/>
      <c r="E58" s="549">
        <v>15</v>
      </c>
      <c r="F58" s="17"/>
      <c r="G58" s="17"/>
      <c r="H58" s="17"/>
      <c r="I58" s="17"/>
      <c r="J58" s="17"/>
      <c r="K58" s="17"/>
      <c r="L58" s="17"/>
      <c r="M58" s="17"/>
      <c r="N58" s="17"/>
      <c r="O58" s="17"/>
      <c r="P58" s="17"/>
      <c r="Q58" s="17"/>
      <c r="R58" s="17"/>
      <c r="S58" s="17"/>
      <c r="T58" s="381" t="b">
        <f>ROW(W58)&gt;ROW(W$58)</f>
        <v>0</v>
      </c>
      <c r="U58" s="17"/>
      <c r="V58" s="17"/>
      <c r="W58" s="671" t="s">
        <v>173</v>
      </c>
      <c r="X58" s="17"/>
      <c r="Y58" s="17"/>
      <c r="Z58" s="17"/>
      <c r="AA58" s="337" t="s">
        <v>174</v>
      </c>
      <c r="AB58" s="1802" t="s">
        <v>231</v>
      </c>
      <c r="AC58" s="1802"/>
      <c r="AD58" s="1802"/>
      <c r="AE58" s="1802"/>
      <c r="AF58" s="1802"/>
      <c r="AG58" s="1802"/>
      <c r="AH58" s="1802"/>
      <c r="AI58" s="1791"/>
      <c r="AJ58" s="1803"/>
      <c r="AK58" s="1803"/>
      <c r="AL58" s="1803"/>
      <c r="AM58" s="1803"/>
      <c r="AN58" s="1803"/>
      <c r="AO58" s="1803"/>
      <c r="AP58" s="1803"/>
      <c r="AQ58" s="1803"/>
      <c r="AR58" s="1803"/>
      <c r="AS58" s="1791"/>
      <c r="AT58" s="1803"/>
      <c r="AU58" s="1803"/>
      <c r="AV58" s="1803"/>
      <c r="AW58" s="1803"/>
      <c r="AX58" s="1803"/>
      <c r="AY58" s="1803"/>
      <c r="AZ58" s="1803"/>
      <c r="BA58" s="1803"/>
      <c r="BB58" s="1803"/>
      <c r="BC58" s="1803"/>
      <c r="BD58" s="17"/>
      <c r="BF58" s="906"/>
      <c r="BG58" s="906"/>
      <c r="BH58" s="906"/>
      <c r="BI58" s="541"/>
      <c r="BJ58" s="541"/>
    </row>
    <row r="59" spans="1:62" s="1327" customFormat="1" ht="14.65" customHeight="1">
      <c r="A59" s="17"/>
      <c r="B59" s="344"/>
      <c r="C59" s="17"/>
      <c r="D59" s="17"/>
      <c r="E59" s="549">
        <v>15</v>
      </c>
      <c r="F59" s="17"/>
      <c r="G59" s="17"/>
      <c r="H59" s="17"/>
      <c r="I59" s="17"/>
      <c r="J59" s="17"/>
      <c r="K59" s="17"/>
      <c r="L59" s="17"/>
      <c r="M59" s="17"/>
      <c r="N59" s="17"/>
      <c r="O59" s="17"/>
      <c r="P59" s="17"/>
      <c r="Q59" s="17"/>
      <c r="R59" s="17"/>
      <c r="S59" s="17"/>
      <c r="T59" s="17"/>
      <c r="U59" s="17"/>
      <c r="V59" s="17"/>
      <c r="W59" s="671" t="s">
        <v>395</v>
      </c>
      <c r="X59" s="17"/>
      <c r="Y59" s="17"/>
      <c r="Z59" s="17"/>
      <c r="AA59" s="17"/>
      <c r="AB59" s="564"/>
      <c r="AC59" s="430" t="s">
        <v>1104</v>
      </c>
      <c r="AD59" s="224"/>
      <c r="AE59" s="224"/>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6"/>
      <c r="BD59" s="17"/>
      <c r="BF59" s="906"/>
      <c r="BG59" s="906"/>
      <c r="BH59" s="906"/>
      <c r="BI59" s="541"/>
      <c r="BJ59" s="541"/>
    </row>
    <row r="60" spans="1:62" s="1327" customFormat="1" ht="10.9" customHeight="1">
      <c r="A60" s="68"/>
      <c r="B60" s="359"/>
      <c r="C60" s="68"/>
      <c r="D60" s="68"/>
      <c r="E60" s="593">
        <v>11.25</v>
      </c>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343"/>
      <c r="BF60" s="906"/>
      <c r="BG60" s="906"/>
      <c r="BH60" s="906"/>
      <c r="BI60" s="541"/>
      <c r="BJ60" s="541"/>
    </row>
  </sheetData>
  <sheetProtection formatColumns="0" formatRows="0" insertRows="0" deleteColumns="0" deleteRows="0" sort="0" autoFilter="0"/>
  <mergeCells count="11">
    <mergeCell ref="X27:X40"/>
    <mergeCell ref="Z27:Z40"/>
    <mergeCell ref="AB56:BC56"/>
    <mergeCell ref="AB57:BC57"/>
    <mergeCell ref="X41:X54"/>
    <mergeCell ref="Z41:Z54"/>
    <mergeCell ref="AB24:AB25"/>
    <mergeCell ref="AC24:AC25"/>
    <mergeCell ref="AD24:AD25"/>
    <mergeCell ref="BC24:BC25"/>
    <mergeCell ref="AB58:BC58"/>
  </mergeCells>
  <dataValidations count="2">
    <dataValidation allowBlank="1" showInputMessage="1" showErrorMessage="1" sqref="AI56:BC65511"/>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formula1>0</formula1>
      <formula2>9.99999999999999E+23</formula2>
    </dataValidation>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H92"/>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8.8554687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6" width="3.5703125" style="1210" hidden="1" customWidth="1"/>
    <col min="7" max="7" width="7.7109375" style="1210" hidden="1" customWidth="1"/>
    <col min="8" max="10" width="3.5703125" style="1210" hidden="1" customWidth="1"/>
    <col min="11" max="11" width="7.140625" style="1210" hidden="1" customWidth="1"/>
    <col min="12" max="18" width="3.5703125" style="1210" hidden="1" customWidth="1"/>
    <col min="19" max="19" width="9.28515625" style="1210" hidden="1" customWidth="1"/>
    <col min="20" max="20" width="12.1406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11" style="1210" customWidth="1"/>
    <col min="29" max="29" width="54" style="1210" customWidth="1"/>
    <col min="30" max="30" width="11.140625" style="1210" customWidth="1"/>
    <col min="31" max="31" width="14.140625" style="1210" customWidth="1"/>
    <col min="32" max="32" width="12.5703125" style="1210" customWidth="1"/>
    <col min="33" max="33" width="14.28515625" style="1210" customWidth="1"/>
    <col min="34" max="34" width="14.42578125" style="1210" customWidth="1"/>
    <col min="35" max="35" width="14.28515625" style="1210" customWidth="1"/>
    <col min="36" max="37" width="12.5703125" style="1210" customWidth="1"/>
    <col min="38" max="46" width="12.5703125" style="1210" hidden="1" customWidth="1"/>
    <col min="47" max="47" width="12.5703125" style="1210" customWidth="1"/>
    <col min="48" max="56" width="12.5703125" style="1210" hidden="1" customWidth="1"/>
    <col min="57" max="57" width="20" style="1210" customWidth="1"/>
    <col min="58" max="58" width="3" style="1210" customWidth="1"/>
    <col min="59" max="59" width="8.85546875" style="1210" hidden="1"/>
    <col min="60" max="60" width="8.85546875" style="1126" hidden="1"/>
  </cols>
  <sheetData>
    <row r="1" spans="1:60" ht="11.25" hidden="1" customHeight="1">
      <c r="E1" s="41"/>
      <c r="F1" s="41" t="s">
        <v>311</v>
      </c>
      <c r="H1" s="41" t="s">
        <v>322</v>
      </c>
      <c r="T1" s="381" t="s">
        <v>92</v>
      </c>
      <c r="U1" s="381" t="s">
        <v>97</v>
      </c>
      <c r="V1" s="381" t="s">
        <v>93</v>
      </c>
      <c r="W1" s="381" t="s">
        <v>94</v>
      </c>
      <c r="X1" s="381" t="s">
        <v>95</v>
      </c>
      <c r="Y1" s="383" t="s">
        <v>313</v>
      </c>
      <c r="Z1" s="381" t="s">
        <v>99</v>
      </c>
      <c r="AA1" s="382" t="s">
        <v>96</v>
      </c>
      <c r="AB1" s="382" t="s">
        <v>98</v>
      </c>
      <c r="AC1" s="382" t="s">
        <v>98</v>
      </c>
      <c r="BH1" s="899" t="s">
        <v>314</v>
      </c>
    </row>
    <row r="2" spans="1:60" s="1104" customFormat="1" ht="11.25" hidden="1" customHeight="1">
      <c r="B2" s="363" t="s">
        <v>18</v>
      </c>
      <c r="AK2" s="363" t="b">
        <f t="shared" ref="AK2:BD2" si="0">AK6&lt;=last_year_vis</f>
        <v>1</v>
      </c>
      <c r="AL2" s="363" t="b">
        <f t="shared" si="0"/>
        <v>0</v>
      </c>
      <c r="AM2" s="363" t="b">
        <f t="shared" si="0"/>
        <v>0</v>
      </c>
      <c r="AN2" s="363" t="b">
        <f t="shared" si="0"/>
        <v>0</v>
      </c>
      <c r="AO2" s="363" t="b">
        <f t="shared" si="0"/>
        <v>0</v>
      </c>
      <c r="AP2" s="363" t="b">
        <f t="shared" si="0"/>
        <v>0</v>
      </c>
      <c r="AQ2" s="363" t="b">
        <f t="shared" si="0"/>
        <v>0</v>
      </c>
      <c r="AR2" s="363" t="b">
        <f t="shared" si="0"/>
        <v>0</v>
      </c>
      <c r="AS2" s="363" t="b">
        <f t="shared" si="0"/>
        <v>0</v>
      </c>
      <c r="AT2" s="363" t="b">
        <f t="shared" si="0"/>
        <v>0</v>
      </c>
      <c r="AU2" s="363" t="b">
        <f t="shared" si="0"/>
        <v>1</v>
      </c>
      <c r="AV2" s="363" t="b">
        <f t="shared" si="0"/>
        <v>0</v>
      </c>
      <c r="AW2" s="363" t="b">
        <f t="shared" si="0"/>
        <v>0</v>
      </c>
      <c r="AX2" s="363" t="b">
        <f t="shared" si="0"/>
        <v>0</v>
      </c>
      <c r="AY2" s="363" t="b">
        <f t="shared" si="0"/>
        <v>0</v>
      </c>
      <c r="AZ2" s="363" t="b">
        <f t="shared" si="0"/>
        <v>0</v>
      </c>
      <c r="BA2" s="363" t="b">
        <f t="shared" si="0"/>
        <v>0</v>
      </c>
      <c r="BB2" s="363" t="b">
        <f t="shared" si="0"/>
        <v>0</v>
      </c>
      <c r="BC2" s="363" t="b">
        <f t="shared" si="0"/>
        <v>0</v>
      </c>
      <c r="BD2" s="363" t="b">
        <f t="shared" si="0"/>
        <v>0</v>
      </c>
      <c r="BH2" s="911"/>
    </row>
    <row r="3" spans="1:60" ht="11.25" hidden="1" customHeight="1">
      <c r="E3" s="41"/>
    </row>
    <row r="4" spans="1:60" ht="11.25" hidden="1" customHeight="1">
      <c r="E4" s="41"/>
    </row>
    <row r="5" spans="1:60" s="1073" customFormat="1" ht="11.25" hidden="1" customHeight="1">
      <c r="A5" s="41"/>
      <c r="B5" s="345"/>
      <c r="C5" s="41"/>
      <c r="D5" s="41"/>
      <c r="E5" s="535" t="s">
        <v>19</v>
      </c>
      <c r="AA5" s="535">
        <v>3</v>
      </c>
      <c r="AB5" s="535">
        <v>11</v>
      </c>
      <c r="AC5" s="535">
        <v>54</v>
      </c>
      <c r="AD5" s="535">
        <v>11.14</v>
      </c>
      <c r="AE5" s="535">
        <v>14.14</v>
      </c>
      <c r="AF5" s="535">
        <v>12.57</v>
      </c>
      <c r="AG5" s="535">
        <v>14.29</v>
      </c>
      <c r="AH5" s="535">
        <v>14.43</v>
      </c>
      <c r="AI5" s="535">
        <v>14.29</v>
      </c>
      <c r="AJ5" s="535">
        <v>12.57</v>
      </c>
      <c r="AK5" s="535">
        <v>12.57</v>
      </c>
      <c r="AL5" s="535">
        <v>12.57</v>
      </c>
      <c r="AM5" s="535">
        <v>12.57</v>
      </c>
      <c r="AN5" s="535">
        <v>12.57</v>
      </c>
      <c r="AO5" s="535">
        <v>12.57</v>
      </c>
      <c r="AP5" s="535">
        <v>12.57</v>
      </c>
      <c r="AQ5" s="535">
        <v>12.57</v>
      </c>
      <c r="AR5" s="535">
        <v>12.57</v>
      </c>
      <c r="AS5" s="535">
        <v>12.57</v>
      </c>
      <c r="AT5" s="535">
        <v>12.57</v>
      </c>
      <c r="AU5" s="535">
        <v>12.57</v>
      </c>
      <c r="AV5" s="535">
        <v>12.57</v>
      </c>
      <c r="AW5" s="535">
        <v>12.57</v>
      </c>
      <c r="AX5" s="535">
        <v>12.57</v>
      </c>
      <c r="AY5" s="535">
        <v>12.57</v>
      </c>
      <c r="AZ5" s="535">
        <v>12.57</v>
      </c>
      <c r="BA5" s="535">
        <v>12.57</v>
      </c>
      <c r="BB5" s="535">
        <v>12.57</v>
      </c>
      <c r="BC5" s="535">
        <v>12.57</v>
      </c>
      <c r="BD5" s="535">
        <v>12.57</v>
      </c>
      <c r="BE5" s="535">
        <v>20</v>
      </c>
      <c r="BF5" s="535">
        <v>3</v>
      </c>
      <c r="BH5" s="899"/>
    </row>
    <row r="6" spans="1:60" ht="11.25" hidden="1" customHeight="1">
      <c r="A6" s="41" t="s">
        <v>350</v>
      </c>
      <c r="AE6" s="41">
        <f>god-2</f>
        <v>2024</v>
      </c>
      <c r="AF6" s="41">
        <f>god-2</f>
        <v>2024</v>
      </c>
      <c r="AG6" s="41">
        <f>god-2</f>
        <v>2024</v>
      </c>
      <c r="AH6" s="41">
        <f>god-2</f>
        <v>2024</v>
      </c>
      <c r="AI6" s="41">
        <f>god-1</f>
        <v>2025</v>
      </c>
      <c r="AJ6" s="41">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c r="A7" s="41" t="s">
        <v>351</v>
      </c>
      <c r="AE7" s="41" t="str" cm="1">
        <f t="array" ref="AE7">AE27</f>
        <v>Плановый размер финансирования утвержденной инвестиционной программы</v>
      </c>
      <c r="AF7" s="41" t="str" cm="1">
        <f t="array" ref="AF7">AF27</f>
        <v>Принято органом регулирования</v>
      </c>
      <c r="AG7" s="41" t="str" cm="1">
        <f t="array" ref="AG7">AG27</f>
        <v>Объем фактического ввода объектов системы водоснабжения и водоотведения в эксплуатацию по данным организации</v>
      </c>
      <c r="AH7" s="41" t="str" cm="1">
        <f t="array" ref="AH7">AH27</f>
        <v>Объем фактического ввода объектов системы водоснабжения и водоотведения в эксплуатацию, принятый органом регулирования</v>
      </c>
      <c r="AI7" s="41" t="str" cm="1">
        <f t="array" ref="AI7">AI27</f>
        <v>Плановый размер финансирования утвержденной инвестиционной программы</v>
      </c>
      <c r="AJ7" s="41" t="str" cm="1">
        <f t="array" ref="AJ7">AJ27</f>
        <v>Принято органом регулирования</v>
      </c>
      <c r="AK7" s="41" t="str" cm="1">
        <f t="array" ref="AK7">AK27</f>
        <v>Предложение организации</v>
      </c>
      <c r="AL7" s="41" t="str" cm="1">
        <f t="array" ref="AL7">AL27</f>
        <v>Предложение организации</v>
      </c>
      <c r="AM7" s="41" t="str" cm="1">
        <f t="array" ref="AM7">AM27</f>
        <v>Предложение организации</v>
      </c>
      <c r="AN7" s="41" t="str" cm="1">
        <f t="array" ref="AN7">AN27</f>
        <v>Предложение организации</v>
      </c>
      <c r="AO7" s="41" t="str" cm="1">
        <f t="array" ref="AO7">AO27</f>
        <v>Предложение организации</v>
      </c>
      <c r="AP7" s="41" t="str" cm="1">
        <f t="array" ref="AP7">AP27</f>
        <v>Предложение организации</v>
      </c>
      <c r="AQ7" s="41" t="str" cm="1">
        <f t="array" ref="AQ7">AQ27</f>
        <v>Предложение организации</v>
      </c>
      <c r="AR7" s="41" t="str" cm="1">
        <f t="array" ref="AR7">AR27</f>
        <v>Предложение организации</v>
      </c>
      <c r="AS7" s="41" t="str" cm="1">
        <f t="array" ref="AS7">AS27</f>
        <v>Предложение организации</v>
      </c>
      <c r="AT7" s="41" t="str" cm="1">
        <f t="array" ref="AT7">AT27</f>
        <v>Предложение организации</v>
      </c>
      <c r="AU7" s="41" t="str" cm="1">
        <f t="array" ref="AU7">AU27</f>
        <v>Принято органом регулирования</v>
      </c>
      <c r="AV7" s="41" t="str" cm="1">
        <f t="array" ref="AV7">AV27</f>
        <v>Принято органом регулирования</v>
      </c>
      <c r="AW7" s="41" t="str" cm="1">
        <f t="array" ref="AW7">AW27</f>
        <v>Принято органом регулирования</v>
      </c>
      <c r="AX7" s="41" t="str" cm="1">
        <f t="array" ref="AX7">AX27</f>
        <v>Принято органом регулирования</v>
      </c>
      <c r="AY7" s="41" t="str" cm="1">
        <f t="array" ref="AY7">AY27</f>
        <v>Принято органом регулирования</v>
      </c>
      <c r="AZ7" s="41" t="str" cm="1">
        <f t="array" ref="AZ7">AZ27</f>
        <v>Принято органом регулирования</v>
      </c>
      <c r="BA7" s="41" t="str" cm="1">
        <f t="array" ref="BA7">BA27</f>
        <v>Принято органом регулирования</v>
      </c>
      <c r="BB7" s="41" t="str" cm="1">
        <f t="array" ref="BB7">BB27</f>
        <v>Принято органом регулирования</v>
      </c>
      <c r="BC7" s="41" t="str" cm="1">
        <f t="array" ref="BC7">BC27</f>
        <v>Принято органом регулирования</v>
      </c>
      <c r="BD7" s="41" t="str" cm="1">
        <f t="array" ref="BD7">BD27</f>
        <v>Принято органом регулирования</v>
      </c>
    </row>
    <row r="8" spans="1:60" ht="11.25" hidden="1" customHeight="1"/>
    <row r="9" spans="1:60" s="1126" customFormat="1" ht="11.25" hidden="1" customHeight="1">
      <c r="A9" s="940" t="s">
        <v>355</v>
      </c>
      <c r="B9" s="939"/>
      <c r="AE9" s="940" cm="1">
        <f t="array" ref="AE9">AE6</f>
        <v>2024</v>
      </c>
      <c r="AF9" s="940" cm="1">
        <f t="array" ref="AF9">AF6</f>
        <v>2024</v>
      </c>
      <c r="AG9" s="940" cm="1">
        <f t="array" ref="AG9">AG6</f>
        <v>2024</v>
      </c>
      <c r="AH9" s="940" cm="1">
        <f t="array" ref="AH9">AH6</f>
        <v>2024</v>
      </c>
      <c r="AI9" s="940" cm="1">
        <f t="array" ref="AI9">AI6</f>
        <v>2025</v>
      </c>
      <c r="AJ9" s="940" cm="1">
        <f t="array" ref="AJ9">AJ6</f>
        <v>2025</v>
      </c>
      <c r="AK9" s="940" cm="1">
        <f t="array" ref="AK9">AK6</f>
        <v>2026</v>
      </c>
      <c r="AL9" s="940" cm="1">
        <f t="array" ref="AL9">AL6</f>
        <v>2027</v>
      </c>
      <c r="AM9" s="940" cm="1">
        <f t="array" ref="AM9">AM6</f>
        <v>2028</v>
      </c>
      <c r="AN9" s="940" cm="1">
        <f t="array" ref="AN9">AN6</f>
        <v>2029</v>
      </c>
      <c r="AO9" s="940" cm="1">
        <f t="array" ref="AO9">AO6</f>
        <v>2030</v>
      </c>
      <c r="AP9" s="940" cm="1">
        <f t="array" ref="AP9">AP6</f>
        <v>2031</v>
      </c>
      <c r="AQ9" s="940" cm="1">
        <f t="array" ref="AQ9">AQ6</f>
        <v>2032</v>
      </c>
      <c r="AR9" s="940" cm="1">
        <f t="array" ref="AR9">AR6</f>
        <v>2033</v>
      </c>
      <c r="AS9" s="940" cm="1">
        <f t="array" ref="AS9">AS6</f>
        <v>2034</v>
      </c>
      <c r="AT9" s="940" cm="1">
        <f t="array" ref="AT9">AT6</f>
        <v>2035</v>
      </c>
      <c r="AU9" s="940" cm="1">
        <f t="array" ref="AU9">AU6</f>
        <v>2026</v>
      </c>
      <c r="AV9" s="940" cm="1">
        <f t="array" ref="AV9">AV6</f>
        <v>2027</v>
      </c>
      <c r="AW9" s="940" cm="1">
        <f t="array" ref="AW9">AW6</f>
        <v>2028</v>
      </c>
      <c r="AX9" s="940" cm="1">
        <f t="array" ref="AX9">AX6</f>
        <v>2029</v>
      </c>
      <c r="AY9" s="940" cm="1">
        <f t="array" ref="AY9">AY6</f>
        <v>2030</v>
      </c>
      <c r="AZ9" s="940" cm="1">
        <f t="array" ref="AZ9">AZ6</f>
        <v>2031</v>
      </c>
      <c r="BA9" s="940" cm="1">
        <f t="array" ref="BA9">BA6</f>
        <v>2032</v>
      </c>
      <c r="BB9" s="940" cm="1">
        <f t="array" ref="BB9">BB6</f>
        <v>2033</v>
      </c>
      <c r="BC9" s="940" cm="1">
        <f t="array" ref="BC9">BC6</f>
        <v>2034</v>
      </c>
      <c r="BD9" s="940" cm="1">
        <f t="array" ref="BD9">BD6</f>
        <v>2035</v>
      </c>
    </row>
    <row r="10" spans="1:60" s="1126" customFormat="1" ht="11.25" hidden="1" customHeight="1">
      <c r="A10" s="940" t="s">
        <v>356</v>
      </c>
      <c r="B10" s="939"/>
      <c r="AE10" s="940" t="str" cm="1">
        <f t="array" ref="AE10">AE27</f>
        <v>Плановый размер финансирования утвержденной инвестиционной программы</v>
      </c>
      <c r="AF10" s="940" t="str" cm="1">
        <f t="array" ref="AF10">AF27</f>
        <v>Принято органом регулирования</v>
      </c>
      <c r="AG10" s="940" t="str" cm="1">
        <f t="array" ref="AG10">AG27</f>
        <v>Объем фактического ввода объектов системы водоснабжения и водоотведения в эксплуатацию по данным организации</v>
      </c>
      <c r="AH10" s="940" t="str" cm="1">
        <f t="array" ref="AH10">AH27</f>
        <v>Объем фактического ввода объектов системы водоснабжения и водоотведения в эксплуатацию, принятый органом регулирования</v>
      </c>
      <c r="AI10" s="940" t="str" cm="1">
        <f t="array" ref="AI10">AI27</f>
        <v>Плановый размер финансирования утвержденной инвестиционной программы</v>
      </c>
      <c r="AJ10" s="940" t="str" cm="1">
        <f t="array" ref="AJ10">AJ27</f>
        <v>Принято органом регулирования</v>
      </c>
      <c r="AK10" s="940" t="str" cm="1">
        <f t="array" ref="AK10">AK27</f>
        <v>Предложение организации</v>
      </c>
      <c r="AL10" s="940" t="str" cm="1">
        <f t="array" ref="AL10">AL27</f>
        <v>Предложение организации</v>
      </c>
      <c r="AM10" s="940" t="str" cm="1">
        <f t="array" ref="AM10">AM27</f>
        <v>Предложение организации</v>
      </c>
      <c r="AN10" s="940" t="str" cm="1">
        <f t="array" ref="AN10">AN27</f>
        <v>Предложение организации</v>
      </c>
      <c r="AO10" s="940" t="str" cm="1">
        <f t="array" ref="AO10">AO27</f>
        <v>Предложение организации</v>
      </c>
      <c r="AP10" s="940" t="str" cm="1">
        <f t="array" ref="AP10">AP27</f>
        <v>Предложение организации</v>
      </c>
      <c r="AQ10" s="940" t="str" cm="1">
        <f t="array" ref="AQ10">AQ27</f>
        <v>Предложение организации</v>
      </c>
      <c r="AR10" s="940" t="str" cm="1">
        <f t="array" ref="AR10">AR27</f>
        <v>Предложение организации</v>
      </c>
      <c r="AS10" s="940" t="str" cm="1">
        <f t="array" ref="AS10">AS27</f>
        <v>Предложение организации</v>
      </c>
      <c r="AT10" s="940" t="str" cm="1">
        <f t="array" ref="AT10">AT27</f>
        <v>Предложение организации</v>
      </c>
      <c r="AU10" s="940" t="str" cm="1">
        <f t="array" ref="AU10">AU27</f>
        <v>Принято органом регулирования</v>
      </c>
      <c r="AV10" s="940" t="str" cm="1">
        <f t="array" ref="AV10">AV27</f>
        <v>Принято органом регулирования</v>
      </c>
      <c r="AW10" s="940" t="str" cm="1">
        <f t="array" ref="AW10">AW27</f>
        <v>Принято органом регулирования</v>
      </c>
      <c r="AX10" s="940" t="str" cm="1">
        <f t="array" ref="AX10">AX27</f>
        <v>Принято органом регулирования</v>
      </c>
      <c r="AY10" s="940" t="str" cm="1">
        <f t="array" ref="AY10">AY27</f>
        <v>Принято органом регулирования</v>
      </c>
      <c r="AZ10" s="940" t="str" cm="1">
        <f t="array" ref="AZ10">AZ27</f>
        <v>Принято органом регулирования</v>
      </c>
      <c r="BA10" s="940" t="str" cm="1">
        <f t="array" ref="BA10">BA27</f>
        <v>Принято органом регулирования</v>
      </c>
      <c r="BB10" s="940" t="str" cm="1">
        <f t="array" ref="BB10">BB27</f>
        <v>Принято органом регулирования</v>
      </c>
      <c r="BC10" s="940" t="str" cm="1">
        <f t="array" ref="BC10">BC27</f>
        <v>Принято органом регулирования</v>
      </c>
      <c r="BD10" s="940" t="str" cm="1">
        <f t="array" ref="BD10">BD27</f>
        <v>Принято органом регулирования</v>
      </c>
    </row>
    <row r="11" spans="1:60" s="1126" customFormat="1" ht="11.25" hidden="1" customHeight="1">
      <c r="A11" s="940" t="s">
        <v>357</v>
      </c>
      <c r="B11" s="939"/>
      <c r="BE11" s="899" t="str" cm="1">
        <f t="array" ref="BE11">BE26</f>
        <v>Ссылка на правовую норму (основание для принятия показателя в расчет тарифа)</v>
      </c>
    </row>
    <row r="12" spans="1:60" ht="11.25" hidden="1" customHeight="1"/>
    <row r="13" spans="1:60" ht="11.25" hidden="1" customHeight="1">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row r="18" spans="1:60" ht="11.25" hidden="1" customHeight="1"/>
    <row r="19" spans="1:60" ht="11.25" hidden="1" customHeight="1"/>
    <row r="20" spans="1:60" ht="11.25" hidden="1" customHeight="1"/>
    <row r="21" spans="1:60" ht="14.65" customHeight="1">
      <c r="E21" s="535">
        <v>15</v>
      </c>
      <c r="AA21" s="342"/>
      <c r="AC21" s="3" t="str" cm="1">
        <f t="array" ref="AC21">tpl_title</f>
        <v>Кемеровская область / 2026 / ОАО «СКЭК» (ИНН:4205153492, КПП:420501001) / ДПР: 2026-2026</v>
      </c>
    </row>
    <row r="22" spans="1:60" ht="19.5" customHeight="1">
      <c r="E22" s="535">
        <v>20</v>
      </c>
      <c r="AB22" s="232" t="s">
        <v>69</v>
      </c>
      <c r="AC22" s="154"/>
      <c r="AD22" s="154"/>
      <c r="AE22" s="154"/>
      <c r="AF22" s="154"/>
      <c r="AG22" s="154"/>
      <c r="AH22" s="154"/>
      <c r="AI22" s="154"/>
      <c r="AJ22" s="154"/>
      <c r="AK22" s="154"/>
      <c r="AL22" s="154"/>
      <c r="AM22" s="154"/>
      <c r="AN22" s="154"/>
      <c r="AO22" s="154"/>
      <c r="AP22" s="154"/>
      <c r="AQ22" s="154"/>
      <c r="AR22" s="154"/>
      <c r="AS22" s="154"/>
      <c r="AT22" s="154"/>
      <c r="AU22" s="154"/>
      <c r="AV22" s="155"/>
      <c r="AW22" s="155"/>
      <c r="AX22" s="155"/>
      <c r="AY22" s="155"/>
      <c r="AZ22" s="155"/>
      <c r="BA22" s="155"/>
      <c r="BB22" s="155"/>
      <c r="BC22" s="155"/>
      <c r="BD22" s="155"/>
      <c r="BE22" s="155"/>
    </row>
    <row r="23" spans="1:60" ht="10.9" customHeight="1">
      <c r="E23" s="535">
        <v>11.25</v>
      </c>
    </row>
    <row r="24" spans="1:60" ht="21.95" customHeight="1">
      <c r="E24" s="535">
        <v>22.5</v>
      </c>
      <c r="AB24" s="1823" t="s">
        <v>1149</v>
      </c>
      <c r="AC24" s="1823"/>
      <c r="AD24" s="260" t="str">
        <f>"нет"</f>
        <v>нет</v>
      </c>
    </row>
    <row r="25" spans="1:60" ht="10.9" customHeight="1">
      <c r="E25" s="535">
        <v>11.25</v>
      </c>
    </row>
    <row r="26" spans="1:60" ht="14.65" customHeight="1">
      <c r="E26" s="535">
        <v>15</v>
      </c>
      <c r="AB26" s="1756" t="s">
        <v>21</v>
      </c>
      <c r="AC26" s="1758" t="s">
        <v>1150</v>
      </c>
      <c r="AD26" s="1758" t="s">
        <v>360</v>
      </c>
      <c r="AE26" s="680" t="str">
        <f>god-2&amp;" год"</f>
        <v>2024 год</v>
      </c>
      <c r="AF26" s="680" t="str">
        <f>god-2&amp;" год"</f>
        <v>2024 год</v>
      </c>
      <c r="AG26" s="1024" t="str">
        <f>god-2&amp;" год"</f>
        <v>2024 год</v>
      </c>
      <c r="AH26" s="680" t="str">
        <f>god-2&amp;" год"</f>
        <v>2024 год</v>
      </c>
      <c r="AI26" s="837" t="str">
        <f>god-1&amp;" год"</f>
        <v>2025 год</v>
      </c>
      <c r="AJ26" s="837" t="str">
        <f>god-1&amp;" год"</f>
        <v>2025 год</v>
      </c>
      <c r="AK26" s="1025" t="str">
        <f>god&amp;" год"</f>
        <v>2026 год</v>
      </c>
      <c r="AL26" s="1025" t="str">
        <f>god+1&amp;" год"</f>
        <v>2027 год</v>
      </c>
      <c r="AM26" s="1025" t="str">
        <f>god+2&amp;" год"</f>
        <v>2028 год</v>
      </c>
      <c r="AN26" s="1025" t="str">
        <f>god+3&amp;" год"</f>
        <v>2029 год</v>
      </c>
      <c r="AO26" s="1025" t="str">
        <f>god+4&amp;" год"</f>
        <v>2030 год</v>
      </c>
      <c r="AP26" s="1025" t="str">
        <f>god+5&amp;" год"</f>
        <v>2031 год</v>
      </c>
      <c r="AQ26" s="1025" t="str">
        <f>god+6&amp;" год"</f>
        <v>2032 год</v>
      </c>
      <c r="AR26" s="1025" t="str">
        <f>god+7&amp;" год"</f>
        <v>2033 год</v>
      </c>
      <c r="AS26" s="1025" t="str">
        <f>god+8&amp;" год"</f>
        <v>2034 год</v>
      </c>
      <c r="AT26" s="1025" t="str">
        <f>god+9&amp;" год"</f>
        <v>2035 год</v>
      </c>
      <c r="AU26" s="778" t="str">
        <f>god&amp;" год"</f>
        <v>2026 год</v>
      </c>
      <c r="AV26" s="778" t="str">
        <f>god+1&amp;" год"</f>
        <v>2027 год</v>
      </c>
      <c r="AW26" s="778" t="str">
        <f>god+2&amp;" год"</f>
        <v>2028 год</v>
      </c>
      <c r="AX26" s="778" t="str">
        <f>god+3&amp;" год"</f>
        <v>2029 год</v>
      </c>
      <c r="AY26" s="778" t="str">
        <f>god+4&amp;" год"</f>
        <v>2030 год</v>
      </c>
      <c r="AZ26" s="778" t="str">
        <f>god+5&amp;" год"</f>
        <v>2031 год</v>
      </c>
      <c r="BA26" s="778" t="str">
        <f>god+6&amp;" год"</f>
        <v>2032 год</v>
      </c>
      <c r="BB26" s="778" t="str">
        <f>god+7&amp;" год"</f>
        <v>2033 год</v>
      </c>
      <c r="BC26" s="778" t="str">
        <f>god+8&amp;" год"</f>
        <v>2034 год</v>
      </c>
      <c r="BD26" s="778" t="str">
        <f>god+9&amp;" год"</f>
        <v>2035 год</v>
      </c>
      <c r="BE26" s="1758" t="s">
        <v>494</v>
      </c>
    </row>
    <row r="27" spans="1:60" s="1325" customFormat="1" ht="122.85" customHeight="1">
      <c r="B27" s="346"/>
      <c r="E27" s="183">
        <v>126</v>
      </c>
      <c r="AB27" s="1756"/>
      <c r="AC27" s="1758"/>
      <c r="AD27" s="1758"/>
      <c r="AE27" s="680" t="s">
        <v>1151</v>
      </c>
      <c r="AF27" s="680" t="s">
        <v>352</v>
      </c>
      <c r="AG27" s="1024" t="s">
        <v>1152</v>
      </c>
      <c r="AH27" s="680" t="s">
        <v>1153</v>
      </c>
      <c r="AI27" s="680" t="s">
        <v>1151</v>
      </c>
      <c r="AJ27" s="838" t="s">
        <v>352</v>
      </c>
      <c r="AK27" s="1026" t="s">
        <v>353</v>
      </c>
      <c r="AL27" s="1026" t="s">
        <v>353</v>
      </c>
      <c r="AM27" s="1026" t="s">
        <v>353</v>
      </c>
      <c r="AN27" s="1026" t="s">
        <v>353</v>
      </c>
      <c r="AO27" s="1026" t="s">
        <v>353</v>
      </c>
      <c r="AP27" s="1026" t="s">
        <v>353</v>
      </c>
      <c r="AQ27" s="1026" t="s">
        <v>353</v>
      </c>
      <c r="AR27" s="1026" t="s">
        <v>353</v>
      </c>
      <c r="AS27" s="1026" t="s">
        <v>353</v>
      </c>
      <c r="AT27" s="1026" t="s">
        <v>353</v>
      </c>
      <c r="AU27" s="779" t="s">
        <v>352</v>
      </c>
      <c r="AV27" s="779" t="s">
        <v>352</v>
      </c>
      <c r="AW27" s="779" t="s">
        <v>352</v>
      </c>
      <c r="AX27" s="779" t="s">
        <v>352</v>
      </c>
      <c r="AY27" s="779" t="s">
        <v>352</v>
      </c>
      <c r="AZ27" s="779" t="s">
        <v>352</v>
      </c>
      <c r="BA27" s="779" t="s">
        <v>352</v>
      </c>
      <c r="BB27" s="779" t="s">
        <v>352</v>
      </c>
      <c r="BC27" s="779" t="s">
        <v>352</v>
      </c>
      <c r="BD27" s="779" t="s">
        <v>352</v>
      </c>
      <c r="BE27" s="1758"/>
      <c r="BH27" s="932"/>
    </row>
    <row r="28" spans="1:60" s="1327" customFormat="1" ht="11.25" hidden="1" customHeight="1">
      <c r="A28" s="415"/>
      <c r="B28" s="575"/>
      <c r="C28" s="415"/>
      <c r="D28" s="415"/>
      <c r="E28" s="576">
        <v>0</v>
      </c>
      <c r="F28" s="332"/>
      <c r="G28" s="415"/>
      <c r="H28" s="415"/>
      <c r="I28" s="415"/>
      <c r="J28" s="415"/>
      <c r="K28" s="415"/>
      <c r="L28" s="415"/>
      <c r="M28" s="415"/>
      <c r="N28" s="415"/>
      <c r="O28" s="415"/>
      <c r="P28" s="415"/>
      <c r="Q28" s="415"/>
      <c r="R28" s="415"/>
      <c r="S28" s="415"/>
      <c r="T28" s="415"/>
      <c r="U28" s="415"/>
      <c r="V28" s="415"/>
      <c r="W28" s="415"/>
      <c r="X28" s="415"/>
      <c r="Y28" s="415"/>
      <c r="Z28" s="415"/>
      <c r="AB28"/>
      <c r="AC28" s="398"/>
      <c r="AD28" s="398"/>
      <c r="AE28" s="398"/>
      <c r="AF28" s="398"/>
      <c r="AG28"/>
      <c r="AH28"/>
      <c r="AI28"/>
      <c r="AJ28"/>
      <c r="AK28"/>
      <c r="AL28"/>
      <c r="AM28"/>
      <c r="AN28"/>
      <c r="AO28"/>
      <c r="AP28"/>
      <c r="AQ28"/>
      <c r="AR28"/>
      <c r="AS28"/>
      <c r="AT28"/>
      <c r="AU28"/>
      <c r="AV28"/>
      <c r="AW28"/>
      <c r="AX28"/>
      <c r="AY28"/>
      <c r="AZ28"/>
      <c r="BA28"/>
      <c r="BB28"/>
      <c r="BC28"/>
      <c r="BD28"/>
      <c r="BE28"/>
      <c r="BH28" s="906"/>
    </row>
    <row r="29" spans="1:60" ht="14.65" hidden="1" customHeight="1">
      <c r="B29" s="41"/>
      <c r="E29" s="535">
        <v>15</v>
      </c>
      <c r="F29" s="17" cm="1">
        <f t="array" ref="F29">X29</f>
        <v>0</v>
      </c>
      <c r="T29" s="381" t="b">
        <f>X29&gt;0</f>
        <v>0</v>
      </c>
      <c r="V29" s="41" t="s">
        <v>270</v>
      </c>
      <c r="X29" s="1755">
        <v>0</v>
      </c>
      <c r="Z29" s="1735"/>
      <c r="AB29" s="160" t="str" cm="1">
        <f t="array" ref="AB29">INDEX('Общие сведения'!$AG$179:$AG$208,MATCH($X29,'Общие сведения'!$Z$179:$Z$208,0))</f>
        <v xml:space="preserve">Тариф 0 () - </v>
      </c>
      <c r="AC29" s="746"/>
      <c r="AD29" s="746"/>
      <c r="AE29" s="746"/>
      <c r="AF29" s="746"/>
      <c r="AG29" s="746"/>
      <c r="AH29" s="746"/>
      <c r="AI29" s="746"/>
      <c r="AJ29" s="746"/>
      <c r="AK29" s="746"/>
      <c r="AL29" s="746"/>
      <c r="AM29" s="746"/>
      <c r="AN29" s="746"/>
      <c r="AO29" s="746"/>
      <c r="AP29" s="746"/>
      <c r="AQ29" s="746"/>
      <c r="AR29" s="746"/>
      <c r="AS29" s="746"/>
      <c r="AT29" s="746"/>
      <c r="AU29" s="746"/>
      <c r="AV29" s="746"/>
      <c r="AW29" s="746"/>
      <c r="AX29" s="746"/>
      <c r="AY29" s="746"/>
      <c r="AZ29" s="746"/>
      <c r="BA29" s="746"/>
      <c r="BB29" s="746"/>
      <c r="BC29" s="746"/>
      <c r="BD29" s="746"/>
      <c r="BE29" s="746"/>
    </row>
    <row r="30" spans="1:60" s="615" customFormat="1" ht="21.95" hidden="1" customHeight="1">
      <c r="B30" s="41"/>
      <c r="E30" s="608">
        <v>22.5</v>
      </c>
      <c r="F30" s="3" cm="1">
        <f t="array" aca="1" ref="F30" ca="1">OFFSET(E30,-1,1)</f>
        <v>0</v>
      </c>
      <c r="G30" s="41"/>
      <c r="H30" s="41" t="s">
        <v>323</v>
      </c>
      <c r="T30" s="381" t="b" cm="1">
        <f t="array" ref="T30">T29</f>
        <v>0</v>
      </c>
      <c r="X30" s="1755"/>
      <c r="Z30" s="1735"/>
      <c r="AB30" s="136">
        <v>1</v>
      </c>
      <c r="AC30" s="130" t="s">
        <v>1154</v>
      </c>
      <c r="AD30" s="129" t="s">
        <v>766</v>
      </c>
      <c r="AE30" s="131">
        <f t="shared" ref="AE30:BD30" si="1">AE31+AE41+AE45+AE49</f>
        <v>0</v>
      </c>
      <c r="AF30" s="131">
        <f t="shared" si="1"/>
        <v>0</v>
      </c>
      <c r="AG30" s="131">
        <f t="shared" si="1"/>
        <v>0</v>
      </c>
      <c r="AH30" s="131">
        <f t="shared" si="1"/>
        <v>0</v>
      </c>
      <c r="AI30" s="131">
        <f t="shared" si="1"/>
        <v>0</v>
      </c>
      <c r="AJ30" s="131">
        <f t="shared" si="1"/>
        <v>0</v>
      </c>
      <c r="AK30" s="131">
        <f t="shared" si="1"/>
        <v>0</v>
      </c>
      <c r="AL30" s="131">
        <f t="shared" si="1"/>
        <v>0</v>
      </c>
      <c r="AM30" s="131">
        <f t="shared" si="1"/>
        <v>0</v>
      </c>
      <c r="AN30" s="131">
        <f t="shared" si="1"/>
        <v>0</v>
      </c>
      <c r="AO30" s="131">
        <f t="shared" si="1"/>
        <v>0</v>
      </c>
      <c r="AP30" s="131">
        <f t="shared" si="1"/>
        <v>0</v>
      </c>
      <c r="AQ30" s="131">
        <f t="shared" si="1"/>
        <v>0</v>
      </c>
      <c r="AR30" s="131">
        <f t="shared" si="1"/>
        <v>0</v>
      </c>
      <c r="AS30" s="131">
        <f t="shared" si="1"/>
        <v>0</v>
      </c>
      <c r="AT30" s="131">
        <f t="shared" si="1"/>
        <v>0</v>
      </c>
      <c r="AU30" s="131">
        <f t="shared" si="1"/>
        <v>0</v>
      </c>
      <c r="AV30" s="131">
        <f t="shared" si="1"/>
        <v>0</v>
      </c>
      <c r="AW30" s="131">
        <f t="shared" si="1"/>
        <v>0</v>
      </c>
      <c r="AX30" s="131">
        <f t="shared" si="1"/>
        <v>0</v>
      </c>
      <c r="AY30" s="131">
        <f t="shared" si="1"/>
        <v>0</v>
      </c>
      <c r="AZ30" s="131">
        <f t="shared" si="1"/>
        <v>0</v>
      </c>
      <c r="BA30" s="131">
        <f t="shared" si="1"/>
        <v>0</v>
      </c>
      <c r="BB30" s="131">
        <f t="shared" si="1"/>
        <v>0</v>
      </c>
      <c r="BC30" s="131">
        <f t="shared" si="1"/>
        <v>0</v>
      </c>
      <c r="BD30" s="131">
        <f t="shared" si="1"/>
        <v>0</v>
      </c>
      <c r="BE30" s="1409"/>
      <c r="BH30" s="953" t="s">
        <v>1155</v>
      </c>
    </row>
    <row r="31" spans="1:60" ht="14.65" hidden="1" customHeight="1">
      <c r="B31" s="41"/>
      <c r="E31" s="535">
        <v>15</v>
      </c>
      <c r="F31" s="3" cm="1">
        <f t="array" aca="1" ref="F31" ca="1">OFFSET(E31,-1,1)</f>
        <v>0</v>
      </c>
      <c r="H31" s="41" t="s">
        <v>427</v>
      </c>
      <c r="T31" s="381" t="b" cm="1">
        <f t="array" ref="T31">T30</f>
        <v>0</v>
      </c>
      <c r="X31" s="1755"/>
      <c r="Z31" s="1735"/>
      <c r="AB31" s="215" t="s">
        <v>821</v>
      </c>
      <c r="AC31" s="676" t="s">
        <v>1156</v>
      </c>
      <c r="AD31" s="216" t="s">
        <v>766</v>
      </c>
      <c r="AE31" s="697">
        <f t="shared" ref="AE31:BD31" si="2">AE32+AE33+AE34+AE35+AE36</f>
        <v>0</v>
      </c>
      <c r="AF31" s="697">
        <f t="shared" si="2"/>
        <v>0</v>
      </c>
      <c r="AG31" s="697">
        <f t="shared" si="2"/>
        <v>0</v>
      </c>
      <c r="AH31" s="697">
        <f t="shared" si="2"/>
        <v>0</v>
      </c>
      <c r="AI31" s="697">
        <f t="shared" si="2"/>
        <v>0</v>
      </c>
      <c r="AJ31" s="697">
        <f t="shared" si="2"/>
        <v>0</v>
      </c>
      <c r="AK31" s="697">
        <f t="shared" si="2"/>
        <v>0</v>
      </c>
      <c r="AL31" s="697">
        <f t="shared" si="2"/>
        <v>0</v>
      </c>
      <c r="AM31" s="697">
        <f t="shared" si="2"/>
        <v>0</v>
      </c>
      <c r="AN31" s="697">
        <f t="shared" si="2"/>
        <v>0</v>
      </c>
      <c r="AO31" s="697">
        <f t="shared" si="2"/>
        <v>0</v>
      </c>
      <c r="AP31" s="697">
        <f t="shared" si="2"/>
        <v>0</v>
      </c>
      <c r="AQ31" s="697">
        <f t="shared" si="2"/>
        <v>0</v>
      </c>
      <c r="AR31" s="697">
        <f t="shared" si="2"/>
        <v>0</v>
      </c>
      <c r="AS31" s="697">
        <f t="shared" si="2"/>
        <v>0</v>
      </c>
      <c r="AT31" s="697">
        <f t="shared" si="2"/>
        <v>0</v>
      </c>
      <c r="AU31" s="697">
        <f t="shared" si="2"/>
        <v>0</v>
      </c>
      <c r="AV31" s="697">
        <f t="shared" si="2"/>
        <v>0</v>
      </c>
      <c r="AW31" s="697">
        <f t="shared" si="2"/>
        <v>0</v>
      </c>
      <c r="AX31" s="697">
        <f t="shared" si="2"/>
        <v>0</v>
      </c>
      <c r="AY31" s="697">
        <f t="shared" si="2"/>
        <v>0</v>
      </c>
      <c r="AZ31" s="697">
        <f t="shared" si="2"/>
        <v>0</v>
      </c>
      <c r="BA31" s="697">
        <f t="shared" si="2"/>
        <v>0</v>
      </c>
      <c r="BB31" s="697">
        <f t="shared" si="2"/>
        <v>0</v>
      </c>
      <c r="BC31" s="697">
        <f t="shared" si="2"/>
        <v>0</v>
      </c>
      <c r="BD31" s="697">
        <f t="shared" si="2"/>
        <v>0</v>
      </c>
      <c r="BE31" s="1409"/>
      <c r="BH31" s="899" t="s">
        <v>1157</v>
      </c>
    </row>
    <row r="32" spans="1:60" ht="14.65" hidden="1" customHeight="1">
      <c r="B32" s="41"/>
      <c r="E32" s="535">
        <v>15</v>
      </c>
      <c r="F32" s="3" cm="1">
        <f t="array" aca="1" ref="F32" ca="1">OFFSET(E32,-1,1)</f>
        <v>0</v>
      </c>
      <c r="H32" s="41" t="s">
        <v>924</v>
      </c>
      <c r="T32" s="381" t="b" cm="1">
        <f t="array" ref="T32">T31</f>
        <v>0</v>
      </c>
      <c r="X32" s="1755"/>
      <c r="Z32" s="1735"/>
      <c r="AB32" s="215" t="s">
        <v>925</v>
      </c>
      <c r="AC32" s="679" t="s">
        <v>1158</v>
      </c>
      <c r="AD32" s="216" t="s">
        <v>766</v>
      </c>
      <c r="AE32" s="1396"/>
      <c r="AF32" s="1396"/>
      <c r="AG32" s="1396"/>
      <c r="AH32" s="1396"/>
      <c r="AI32" s="1396"/>
      <c r="AJ32" s="1396"/>
      <c r="AK32" s="686"/>
      <c r="AL32" s="1396"/>
      <c r="AM32" s="1396"/>
      <c r="AN32" s="1396"/>
      <c r="AO32" s="1396"/>
      <c r="AP32" s="1396"/>
      <c r="AQ32" s="1396"/>
      <c r="AR32" s="1396"/>
      <c r="AS32" s="1396"/>
      <c r="AT32" s="1396"/>
      <c r="AU32" s="686"/>
      <c r="AV32" s="1396"/>
      <c r="AW32" s="1396"/>
      <c r="AX32" s="1396"/>
      <c r="AY32" s="1396"/>
      <c r="AZ32" s="1396"/>
      <c r="BA32" s="1396"/>
      <c r="BB32" s="1396"/>
      <c r="BC32" s="1396"/>
      <c r="BD32" s="1396"/>
      <c r="BE32" s="1409"/>
      <c r="BH32" s="899" t="s">
        <v>1096</v>
      </c>
    </row>
    <row r="33" spans="2:60" ht="14.65" hidden="1" customHeight="1">
      <c r="B33" s="41"/>
      <c r="E33" s="535">
        <v>15</v>
      </c>
      <c r="F33" s="3" cm="1">
        <f t="array" aca="1" ref="F33" ca="1">OFFSET(E33,-1,1)</f>
        <v>0</v>
      </c>
      <c r="H33" s="41" t="s">
        <v>928</v>
      </c>
      <c r="K33" s="43" t="str">
        <f ca="1">F33&amp;"1komm"</f>
        <v>01komm</v>
      </c>
      <c r="L33" s="825" cm="1">
        <f t="array" ref="L33">BE33</f>
        <v>0</v>
      </c>
      <c r="T33" s="381" t="b" cm="1">
        <f t="array" ref="T33">T32</f>
        <v>0</v>
      </c>
      <c r="X33" s="1755"/>
      <c r="Z33" s="1735"/>
      <c r="AB33" s="215" t="s">
        <v>929</v>
      </c>
      <c r="AC33" s="679" t="s">
        <v>1159</v>
      </c>
      <c r="AD33" s="216" t="s">
        <v>766</v>
      </c>
      <c r="AE33" s="1396"/>
      <c r="AF33" s="1396"/>
      <c r="AG33" s="1396"/>
      <c r="AH33" s="1396"/>
      <c r="AI33" s="1396"/>
      <c r="AJ33" s="1396"/>
      <c r="AK33" s="686"/>
      <c r="AL33" s="1396"/>
      <c r="AM33" s="1396"/>
      <c r="AN33" s="1396"/>
      <c r="AO33" s="1396"/>
      <c r="AP33" s="1396"/>
      <c r="AQ33" s="1396"/>
      <c r="AR33" s="1396"/>
      <c r="AS33" s="1396"/>
      <c r="AT33" s="1396"/>
      <c r="AU33" s="686"/>
      <c r="AV33" s="1396"/>
      <c r="AW33" s="1396"/>
      <c r="AX33" s="1396"/>
      <c r="AY33" s="1396"/>
      <c r="AZ33" s="1396"/>
      <c r="BA33" s="1396"/>
      <c r="BB33" s="1396"/>
      <c r="BC33" s="1396"/>
      <c r="BD33" s="1396"/>
      <c r="BE33" s="1409"/>
      <c r="BH33" s="899" t="s">
        <v>1160</v>
      </c>
    </row>
    <row r="34" spans="2:60" ht="14.65" hidden="1" customHeight="1">
      <c r="B34" s="41"/>
      <c r="E34" s="535">
        <v>15</v>
      </c>
      <c r="F34" s="3" cm="1">
        <f t="array" aca="1" ref="F34" ca="1">OFFSET(E34,-1,1)</f>
        <v>0</v>
      </c>
      <c r="H34" s="41" t="s">
        <v>1161</v>
      </c>
      <c r="T34" s="381" t="b" cm="1">
        <f t="array" ref="T34">T33</f>
        <v>0</v>
      </c>
      <c r="X34" s="1755"/>
      <c r="Z34" s="1735"/>
      <c r="AB34" s="215" t="s">
        <v>1162</v>
      </c>
      <c r="AC34" s="679" t="s">
        <v>1163</v>
      </c>
      <c r="AD34" s="216" t="s">
        <v>766</v>
      </c>
      <c r="AE34" s="1396"/>
      <c r="AF34" s="1396"/>
      <c r="AG34" s="1396"/>
      <c r="AH34" s="1396"/>
      <c r="AI34" s="1396"/>
      <c r="AJ34" s="1396"/>
      <c r="AK34" s="686"/>
      <c r="AL34" s="1396"/>
      <c r="AM34" s="1396"/>
      <c r="AN34" s="1396"/>
      <c r="AO34" s="1396"/>
      <c r="AP34" s="1396"/>
      <c r="AQ34" s="1396"/>
      <c r="AR34" s="1396"/>
      <c r="AS34" s="1396"/>
      <c r="AT34" s="1396"/>
      <c r="AU34" s="686"/>
      <c r="AV34" s="1396"/>
      <c r="AW34" s="1396"/>
      <c r="AX34" s="1396"/>
      <c r="AY34" s="1396"/>
      <c r="AZ34" s="1396"/>
      <c r="BA34" s="1396"/>
      <c r="BB34" s="1396"/>
      <c r="BC34" s="1396"/>
      <c r="BD34" s="1396"/>
      <c r="BE34" s="1409"/>
      <c r="BH34" s="899" t="s">
        <v>1164</v>
      </c>
    </row>
    <row r="35" spans="2:60" ht="14.65" hidden="1" customHeight="1">
      <c r="B35" s="41"/>
      <c r="E35" s="535">
        <v>15</v>
      </c>
      <c r="F35" s="3" cm="1">
        <f t="array" aca="1" ref="F35" ca="1">OFFSET(E35,-1,1)</f>
        <v>0</v>
      </c>
      <c r="H35" s="41" t="s">
        <v>1165</v>
      </c>
      <c r="T35" s="381" t="b" cm="1">
        <f t="array" ref="T35">T34</f>
        <v>0</v>
      </c>
      <c r="X35" s="1755"/>
      <c r="Z35" s="1735"/>
      <c r="AB35" s="215" t="s">
        <v>1166</v>
      </c>
      <c r="AC35" s="679" t="s">
        <v>1167</v>
      </c>
      <c r="AD35" s="216" t="s">
        <v>766</v>
      </c>
      <c r="AE35" s="1396"/>
      <c r="AF35" s="1396"/>
      <c r="AG35" s="1396"/>
      <c r="AH35" s="1396"/>
      <c r="AI35" s="1396"/>
      <c r="AJ35" s="1396"/>
      <c r="AK35" s="686"/>
      <c r="AL35" s="1396"/>
      <c r="AM35" s="1396"/>
      <c r="AN35" s="1396"/>
      <c r="AO35" s="1396"/>
      <c r="AP35" s="1396"/>
      <c r="AQ35" s="1396"/>
      <c r="AR35" s="1396"/>
      <c r="AS35" s="1396"/>
      <c r="AT35" s="1396"/>
      <c r="AU35" s="686"/>
      <c r="AV35" s="1396"/>
      <c r="AW35" s="1396"/>
      <c r="AX35" s="1396"/>
      <c r="AY35" s="1396"/>
      <c r="AZ35" s="1396"/>
      <c r="BA35" s="1396"/>
      <c r="BB35" s="1396"/>
      <c r="BC35" s="1396"/>
      <c r="BD35" s="1396"/>
      <c r="BE35" s="1409"/>
      <c r="BH35" s="899" t="s">
        <v>1168</v>
      </c>
    </row>
    <row r="36" spans="2:60" ht="21.95" hidden="1" customHeight="1">
      <c r="B36" s="41"/>
      <c r="E36" s="535">
        <v>22.5</v>
      </c>
      <c r="F36" s="3" cm="1">
        <f t="array" aca="1" ref="F36" ca="1">OFFSET(E36,-1,1)</f>
        <v>0</v>
      </c>
      <c r="T36" s="381" t="b" cm="1">
        <f t="array" ref="T36">T35</f>
        <v>0</v>
      </c>
      <c r="X36" s="1755"/>
      <c r="Z36" s="1735"/>
      <c r="AB36" s="215" t="s">
        <v>1169</v>
      </c>
      <c r="AC36" s="679" t="s">
        <v>1170</v>
      </c>
      <c r="AD36" s="216" t="s">
        <v>766</v>
      </c>
      <c r="AE36" s="1396">
        <f t="shared" ref="AE36:BD36" si="3">AE37+AE38+AE39+AE40</f>
        <v>0</v>
      </c>
      <c r="AF36" s="1396">
        <f t="shared" si="3"/>
        <v>0</v>
      </c>
      <c r="AG36" s="1396">
        <f t="shared" si="3"/>
        <v>0</v>
      </c>
      <c r="AH36" s="1396">
        <f t="shared" si="3"/>
        <v>0</v>
      </c>
      <c r="AI36" s="1396">
        <f t="shared" si="3"/>
        <v>0</v>
      </c>
      <c r="AJ36" s="1396">
        <f t="shared" si="3"/>
        <v>0</v>
      </c>
      <c r="AK36" s="686">
        <f t="shared" si="3"/>
        <v>0</v>
      </c>
      <c r="AL36" s="1396">
        <f t="shared" si="3"/>
        <v>0</v>
      </c>
      <c r="AM36" s="1396">
        <f t="shared" si="3"/>
        <v>0</v>
      </c>
      <c r="AN36" s="1396">
        <f t="shared" si="3"/>
        <v>0</v>
      </c>
      <c r="AO36" s="1396">
        <f t="shared" si="3"/>
        <v>0</v>
      </c>
      <c r="AP36" s="1396">
        <f t="shared" si="3"/>
        <v>0</v>
      </c>
      <c r="AQ36" s="1396">
        <f t="shared" si="3"/>
        <v>0</v>
      </c>
      <c r="AR36" s="1396">
        <f t="shared" si="3"/>
        <v>0</v>
      </c>
      <c r="AS36" s="1396">
        <f t="shared" si="3"/>
        <v>0</v>
      </c>
      <c r="AT36" s="1396">
        <f t="shared" si="3"/>
        <v>0</v>
      </c>
      <c r="AU36" s="686">
        <f t="shared" si="3"/>
        <v>0</v>
      </c>
      <c r="AV36" s="1396">
        <f t="shared" si="3"/>
        <v>0</v>
      </c>
      <c r="AW36" s="1396">
        <f t="shared" si="3"/>
        <v>0</v>
      </c>
      <c r="AX36" s="1396">
        <f t="shared" si="3"/>
        <v>0</v>
      </c>
      <c r="AY36" s="1396">
        <f t="shared" si="3"/>
        <v>0</v>
      </c>
      <c r="AZ36" s="1396">
        <f t="shared" si="3"/>
        <v>0</v>
      </c>
      <c r="BA36" s="1396">
        <f t="shared" si="3"/>
        <v>0</v>
      </c>
      <c r="BB36" s="1396">
        <f t="shared" si="3"/>
        <v>0</v>
      </c>
      <c r="BC36" s="1396">
        <f t="shared" si="3"/>
        <v>0</v>
      </c>
      <c r="BD36" s="1396">
        <f t="shared" si="3"/>
        <v>0</v>
      </c>
      <c r="BE36" s="1409"/>
      <c r="BH36" s="899" t="s">
        <v>1171</v>
      </c>
    </row>
    <row r="37" spans="2:60" ht="44.65" hidden="1" customHeight="1">
      <c r="B37" s="41"/>
      <c r="E37" s="535">
        <v>45.75</v>
      </c>
      <c r="F37" s="3" cm="1">
        <f t="array" aca="1" ref="F37" ca="1">OFFSET(E37,-1,1)</f>
        <v>0</v>
      </c>
      <c r="T37" s="381" t="b" cm="1">
        <f t="array" ref="T37">T36</f>
        <v>0</v>
      </c>
      <c r="X37" s="1755"/>
      <c r="Z37" s="1735"/>
      <c r="AB37" s="215" t="s">
        <v>1172</v>
      </c>
      <c r="AC37" s="682" t="s">
        <v>1173</v>
      </c>
      <c r="AD37" s="216" t="s">
        <v>766</v>
      </c>
      <c r="AE37" s="1396"/>
      <c r="AF37" s="1396"/>
      <c r="AG37" s="1396"/>
      <c r="AH37" s="1396"/>
      <c r="AI37" s="1396"/>
      <c r="AJ37" s="1396"/>
      <c r="AK37" s="686"/>
      <c r="AL37" s="1396"/>
      <c r="AM37" s="1396"/>
      <c r="AN37" s="1396"/>
      <c r="AO37" s="1396"/>
      <c r="AP37" s="1396"/>
      <c r="AQ37" s="1396"/>
      <c r="AR37" s="1396"/>
      <c r="AS37" s="1396"/>
      <c r="AT37" s="1396"/>
      <c r="AU37" s="686"/>
      <c r="AV37" s="1396"/>
      <c r="AW37" s="1396"/>
      <c r="AX37" s="1396"/>
      <c r="AY37" s="1396"/>
      <c r="AZ37" s="1396"/>
      <c r="BA37" s="1396"/>
      <c r="BB37" s="1396"/>
      <c r="BC37" s="1396"/>
      <c r="BD37" s="1396"/>
      <c r="BE37" s="1409"/>
      <c r="BH37" s="899" t="s">
        <v>1174</v>
      </c>
    </row>
    <row r="38" spans="2:60" ht="44.65" hidden="1" customHeight="1">
      <c r="B38" s="41"/>
      <c r="E38" s="535">
        <v>45.75</v>
      </c>
      <c r="F38" s="3" cm="1">
        <f t="array" aca="1" ref="F38" ca="1">OFFSET(E38,-1,1)</f>
        <v>0</v>
      </c>
      <c r="T38" s="381" t="b" cm="1">
        <f t="array" ref="T38">T37</f>
        <v>0</v>
      </c>
      <c r="X38" s="1755"/>
      <c r="Z38" s="1735"/>
      <c r="AB38" s="215" t="s">
        <v>1175</v>
      </c>
      <c r="AC38" s="682" t="s">
        <v>1176</v>
      </c>
      <c r="AD38" s="216" t="s">
        <v>766</v>
      </c>
      <c r="AE38" s="1396"/>
      <c r="AF38" s="1396"/>
      <c r="AG38" s="1396"/>
      <c r="AH38" s="1396"/>
      <c r="AI38" s="1396"/>
      <c r="AJ38" s="1396"/>
      <c r="AK38" s="686"/>
      <c r="AL38" s="1396"/>
      <c r="AM38" s="1396"/>
      <c r="AN38" s="1396"/>
      <c r="AO38" s="1396"/>
      <c r="AP38" s="1396"/>
      <c r="AQ38" s="1396"/>
      <c r="AR38" s="1396"/>
      <c r="AS38" s="1396"/>
      <c r="AT38" s="1396"/>
      <c r="AU38" s="686"/>
      <c r="AV38" s="1396"/>
      <c r="AW38" s="1396"/>
      <c r="AX38" s="1396"/>
      <c r="AY38" s="1396"/>
      <c r="AZ38" s="1396"/>
      <c r="BA38" s="1396"/>
      <c r="BB38" s="1396"/>
      <c r="BC38" s="1396"/>
      <c r="BD38" s="1396"/>
      <c r="BE38" s="1409"/>
      <c r="BH38" s="899" t="s">
        <v>1177</v>
      </c>
    </row>
    <row r="39" spans="2:60" ht="44.65" hidden="1" customHeight="1">
      <c r="B39" s="41"/>
      <c r="E39" s="535">
        <v>45.75</v>
      </c>
      <c r="F39" s="3" cm="1">
        <f t="array" aca="1" ref="F39" ca="1">OFFSET(E39,-1,1)</f>
        <v>0</v>
      </c>
      <c r="T39" s="381" t="b" cm="1">
        <f t="array" ref="T39">T38</f>
        <v>0</v>
      </c>
      <c r="X39" s="1755"/>
      <c r="Z39" s="1735"/>
      <c r="AB39" s="215" t="s">
        <v>1178</v>
      </c>
      <c r="AC39" s="682" t="s">
        <v>1179</v>
      </c>
      <c r="AD39" s="216" t="s">
        <v>766</v>
      </c>
      <c r="AE39" s="1396"/>
      <c r="AF39" s="1396"/>
      <c r="AG39" s="1396"/>
      <c r="AH39" s="1396"/>
      <c r="AI39" s="1396"/>
      <c r="AJ39" s="1396"/>
      <c r="AK39" s="686"/>
      <c r="AL39" s="1396"/>
      <c r="AM39" s="1396"/>
      <c r="AN39" s="1396"/>
      <c r="AO39" s="1396"/>
      <c r="AP39" s="1396"/>
      <c r="AQ39" s="1396"/>
      <c r="AR39" s="1396"/>
      <c r="AS39" s="1396"/>
      <c r="AT39" s="1396"/>
      <c r="AU39" s="686"/>
      <c r="AV39" s="1396"/>
      <c r="AW39" s="1396"/>
      <c r="AX39" s="1396"/>
      <c r="AY39" s="1396"/>
      <c r="AZ39" s="1396"/>
      <c r="BA39" s="1396"/>
      <c r="BB39" s="1396"/>
      <c r="BC39" s="1396"/>
      <c r="BD39" s="1396"/>
      <c r="BE39" s="1409"/>
      <c r="BH39" s="899" t="s">
        <v>1180</v>
      </c>
    </row>
    <row r="40" spans="2:60" ht="21.95" hidden="1" customHeight="1">
      <c r="B40" s="41"/>
      <c r="E40" s="535">
        <v>22.5</v>
      </c>
      <c r="F40" s="3" cm="1">
        <f t="array" aca="1" ref="F40" ca="1">OFFSET(E40,-1,1)</f>
        <v>0</v>
      </c>
      <c r="T40" s="381" t="b" cm="1">
        <f t="array" ref="T40">T39</f>
        <v>0</v>
      </c>
      <c r="X40" s="1755"/>
      <c r="Z40" s="1735"/>
      <c r="AB40" s="215" t="s">
        <v>1181</v>
      </c>
      <c r="AC40" s="682" t="s">
        <v>1182</v>
      </c>
      <c r="AD40" s="216" t="s">
        <v>766</v>
      </c>
      <c r="AE40" s="1396"/>
      <c r="AF40" s="1396"/>
      <c r="AG40" s="1396"/>
      <c r="AH40" s="1396"/>
      <c r="AI40" s="1396"/>
      <c r="AJ40" s="1396"/>
      <c r="AK40" s="686"/>
      <c r="AL40" s="1396"/>
      <c r="AM40" s="1396"/>
      <c r="AN40" s="1396"/>
      <c r="AO40" s="1396"/>
      <c r="AP40" s="1396"/>
      <c r="AQ40" s="1396"/>
      <c r="AR40" s="1396"/>
      <c r="AS40" s="1396"/>
      <c r="AT40" s="1396"/>
      <c r="AU40" s="686"/>
      <c r="AV40" s="1396"/>
      <c r="AW40" s="1396"/>
      <c r="AX40" s="1396"/>
      <c r="AY40" s="1396"/>
      <c r="AZ40" s="1396"/>
      <c r="BA40" s="1396"/>
      <c r="BB40" s="1396"/>
      <c r="BC40" s="1396"/>
      <c r="BD40" s="1396"/>
      <c r="BE40" s="1409"/>
      <c r="BH40" s="899" t="s">
        <v>1183</v>
      </c>
    </row>
    <row r="41" spans="2:60" ht="14.65" hidden="1" customHeight="1">
      <c r="B41" s="41"/>
      <c r="E41" s="535">
        <v>15</v>
      </c>
      <c r="F41" s="3" cm="1">
        <f t="array" aca="1" ref="F41" ca="1">OFFSET(E41,-1,1)</f>
        <v>0</v>
      </c>
      <c r="H41" s="41" t="s">
        <v>431</v>
      </c>
      <c r="T41" s="381" t="b" cm="1">
        <f t="array" ref="T41">T40</f>
        <v>0</v>
      </c>
      <c r="X41" s="1755"/>
      <c r="Z41" s="1735"/>
      <c r="AB41" s="215" t="s">
        <v>824</v>
      </c>
      <c r="AC41" s="676" t="s">
        <v>1184</v>
      </c>
      <c r="AD41" s="216" t="s">
        <v>766</v>
      </c>
      <c r="AE41" s="697">
        <f t="shared" ref="AE41:BD41" si="4">AE42+AE43+AE44</f>
        <v>0</v>
      </c>
      <c r="AF41" s="697">
        <f t="shared" si="4"/>
        <v>0</v>
      </c>
      <c r="AG41" s="697">
        <f t="shared" si="4"/>
        <v>0</v>
      </c>
      <c r="AH41" s="697">
        <f t="shared" si="4"/>
        <v>0</v>
      </c>
      <c r="AI41" s="697">
        <f t="shared" si="4"/>
        <v>0</v>
      </c>
      <c r="AJ41" s="697">
        <f t="shared" si="4"/>
        <v>0</v>
      </c>
      <c r="AK41" s="697">
        <f t="shared" si="4"/>
        <v>0</v>
      </c>
      <c r="AL41" s="697">
        <f t="shared" si="4"/>
        <v>0</v>
      </c>
      <c r="AM41" s="697">
        <f t="shared" si="4"/>
        <v>0</v>
      </c>
      <c r="AN41" s="697">
        <f t="shared" si="4"/>
        <v>0</v>
      </c>
      <c r="AO41" s="697">
        <f t="shared" si="4"/>
        <v>0</v>
      </c>
      <c r="AP41" s="697">
        <f t="shared" si="4"/>
        <v>0</v>
      </c>
      <c r="AQ41" s="697">
        <f t="shared" si="4"/>
        <v>0</v>
      </c>
      <c r="AR41" s="697">
        <f t="shared" si="4"/>
        <v>0</v>
      </c>
      <c r="AS41" s="697">
        <f t="shared" si="4"/>
        <v>0</v>
      </c>
      <c r="AT41" s="697">
        <f t="shared" si="4"/>
        <v>0</v>
      </c>
      <c r="AU41" s="697">
        <f t="shared" si="4"/>
        <v>0</v>
      </c>
      <c r="AV41" s="697">
        <f t="shared" si="4"/>
        <v>0</v>
      </c>
      <c r="AW41" s="697">
        <f t="shared" si="4"/>
        <v>0</v>
      </c>
      <c r="AX41" s="697">
        <f t="shared" si="4"/>
        <v>0</v>
      </c>
      <c r="AY41" s="697">
        <f t="shared" si="4"/>
        <v>0</v>
      </c>
      <c r="AZ41" s="697">
        <f t="shared" si="4"/>
        <v>0</v>
      </c>
      <c r="BA41" s="697">
        <f t="shared" si="4"/>
        <v>0</v>
      </c>
      <c r="BB41" s="697">
        <f t="shared" si="4"/>
        <v>0</v>
      </c>
      <c r="BC41" s="697">
        <f t="shared" si="4"/>
        <v>0</v>
      </c>
      <c r="BD41" s="697">
        <f t="shared" si="4"/>
        <v>0</v>
      </c>
      <c r="BE41" s="1409"/>
      <c r="BH41" s="899" t="s">
        <v>1185</v>
      </c>
    </row>
    <row r="42" spans="2:60" ht="14.65" hidden="1" customHeight="1">
      <c r="B42" s="41"/>
      <c r="E42" s="535">
        <v>15</v>
      </c>
      <c r="F42" s="3" cm="1">
        <f t="array" aca="1" ref="F42" ca="1">OFFSET(E42,-1,1)</f>
        <v>0</v>
      </c>
      <c r="H42" s="41" t="s">
        <v>1186</v>
      </c>
      <c r="T42" s="381" t="b" cm="1">
        <f t="array" ref="T42">T41</f>
        <v>0</v>
      </c>
      <c r="X42" s="1755"/>
      <c r="Z42" s="1735"/>
      <c r="AB42" s="215" t="s">
        <v>1187</v>
      </c>
      <c r="AC42" s="679" t="s">
        <v>1188</v>
      </c>
      <c r="AD42" s="216" t="s">
        <v>766</v>
      </c>
      <c r="AE42" s="1396"/>
      <c r="AF42" s="1396"/>
      <c r="AG42" s="1396"/>
      <c r="AH42" s="1396"/>
      <c r="AI42" s="1396"/>
      <c r="AJ42" s="1396"/>
      <c r="AK42" s="686"/>
      <c r="AL42" s="1396"/>
      <c r="AM42" s="1396"/>
      <c r="AN42" s="1396"/>
      <c r="AO42" s="1396"/>
      <c r="AP42" s="1396"/>
      <c r="AQ42" s="1396"/>
      <c r="AR42" s="1396"/>
      <c r="AS42" s="1396"/>
      <c r="AT42" s="1396"/>
      <c r="AU42" s="686"/>
      <c r="AV42" s="1396"/>
      <c r="AW42" s="1396"/>
      <c r="AX42" s="1396"/>
      <c r="AY42" s="1396"/>
      <c r="AZ42" s="1396"/>
      <c r="BA42" s="1396"/>
      <c r="BB42" s="1396"/>
      <c r="BC42" s="1396"/>
      <c r="BD42" s="1396"/>
      <c r="BE42" s="1409"/>
      <c r="BH42" s="899" t="s">
        <v>1117</v>
      </c>
    </row>
    <row r="43" spans="2:60" ht="14.65" hidden="1" customHeight="1">
      <c r="B43" s="41"/>
      <c r="E43" s="535">
        <v>15</v>
      </c>
      <c r="F43" s="3" cm="1">
        <f t="array" aca="1" ref="F43" ca="1">OFFSET(E43,-1,1)</f>
        <v>0</v>
      </c>
      <c r="H43" s="41" t="s">
        <v>1189</v>
      </c>
      <c r="T43" s="381" t="b" cm="1">
        <f t="array" ref="T43">T42</f>
        <v>0</v>
      </c>
      <c r="X43" s="1755"/>
      <c r="Z43" s="1735"/>
      <c r="AB43" s="215" t="s">
        <v>1190</v>
      </c>
      <c r="AC43" s="679" t="s">
        <v>1191</v>
      </c>
      <c r="AD43" s="216" t="s">
        <v>766</v>
      </c>
      <c r="AE43" s="1396"/>
      <c r="AF43" s="1396"/>
      <c r="AG43" s="1396"/>
      <c r="AH43" s="1396"/>
      <c r="AI43" s="1396"/>
      <c r="AJ43" s="1396"/>
      <c r="AK43" s="686"/>
      <c r="AL43" s="1396"/>
      <c r="AM43" s="1396"/>
      <c r="AN43" s="1396"/>
      <c r="AO43" s="1396"/>
      <c r="AP43" s="1396"/>
      <c r="AQ43" s="1396"/>
      <c r="AR43" s="1396"/>
      <c r="AS43" s="1396"/>
      <c r="AT43" s="1396"/>
      <c r="AU43" s="686"/>
      <c r="AV43" s="1396"/>
      <c r="AW43" s="1396"/>
      <c r="AX43" s="1396"/>
      <c r="AY43" s="1396"/>
      <c r="AZ43" s="1396"/>
      <c r="BA43" s="1396"/>
      <c r="BB43" s="1396"/>
      <c r="BC43" s="1396"/>
      <c r="BD43" s="1396"/>
      <c r="BE43" s="1409"/>
      <c r="BH43" s="899" t="s">
        <v>1192</v>
      </c>
    </row>
    <row r="44" spans="2:60" ht="14.65" hidden="1" customHeight="1">
      <c r="B44" s="41"/>
      <c r="E44" s="535">
        <v>15</v>
      </c>
      <c r="F44" s="3" cm="1">
        <f t="array" aca="1" ref="F44" ca="1">OFFSET(E44,-1,1)</f>
        <v>0</v>
      </c>
      <c r="H44" s="41" t="s">
        <v>1193</v>
      </c>
      <c r="T44" s="381" t="b" cm="1">
        <f t="array" ref="T44">T43</f>
        <v>0</v>
      </c>
      <c r="X44" s="1755"/>
      <c r="Z44" s="1735"/>
      <c r="AB44" s="215" t="s">
        <v>1194</v>
      </c>
      <c r="AC44" s="679" t="s">
        <v>1195</v>
      </c>
      <c r="AD44" s="216" t="s">
        <v>766</v>
      </c>
      <c r="AE44" s="1396"/>
      <c r="AF44" s="1396"/>
      <c r="AG44" s="1396"/>
      <c r="AH44" s="1396"/>
      <c r="AI44" s="1396"/>
      <c r="AJ44" s="1396"/>
      <c r="AK44" s="686"/>
      <c r="AL44" s="1396"/>
      <c r="AM44" s="1396"/>
      <c r="AN44" s="1396"/>
      <c r="AO44" s="1396"/>
      <c r="AP44" s="1396"/>
      <c r="AQ44" s="1396"/>
      <c r="AR44" s="1396"/>
      <c r="AS44" s="1396"/>
      <c r="AT44" s="1396"/>
      <c r="AU44" s="686"/>
      <c r="AV44" s="1396"/>
      <c r="AW44" s="1396"/>
      <c r="AX44" s="1396"/>
      <c r="AY44" s="1396"/>
      <c r="AZ44" s="1396"/>
      <c r="BA44" s="1396"/>
      <c r="BB44" s="1396"/>
      <c r="BC44" s="1396"/>
      <c r="BD44" s="1396"/>
      <c r="BE44" s="1409"/>
      <c r="BH44" s="899" t="s">
        <v>1196</v>
      </c>
    </row>
    <row r="45" spans="2:60" ht="14.65" hidden="1" customHeight="1">
      <c r="B45" s="41"/>
      <c r="E45" s="535">
        <v>15</v>
      </c>
      <c r="F45" s="3" cm="1">
        <f t="array" aca="1" ref="F45" ca="1">OFFSET(E45,-1,1)</f>
        <v>0</v>
      </c>
      <c r="H45" s="41" t="s">
        <v>434</v>
      </c>
      <c r="T45" s="381" t="b" cm="1">
        <f t="array" ref="T45">T44</f>
        <v>0</v>
      </c>
      <c r="X45" s="1755"/>
      <c r="Z45" s="1735"/>
      <c r="AB45" s="215" t="s">
        <v>827</v>
      </c>
      <c r="AC45" s="676" t="s">
        <v>1197</v>
      </c>
      <c r="AD45" s="216" t="s">
        <v>766</v>
      </c>
      <c r="AE45" s="697">
        <f t="shared" ref="AE45:BD45" si="5">AE46+AE47+AE48</f>
        <v>0</v>
      </c>
      <c r="AF45" s="697">
        <f t="shared" si="5"/>
        <v>0</v>
      </c>
      <c r="AG45" s="697">
        <f t="shared" si="5"/>
        <v>0</v>
      </c>
      <c r="AH45" s="697">
        <f t="shared" si="5"/>
        <v>0</v>
      </c>
      <c r="AI45" s="697">
        <f t="shared" si="5"/>
        <v>0</v>
      </c>
      <c r="AJ45" s="697">
        <f t="shared" si="5"/>
        <v>0</v>
      </c>
      <c r="AK45" s="697">
        <f t="shared" si="5"/>
        <v>0</v>
      </c>
      <c r="AL45" s="697">
        <f t="shared" si="5"/>
        <v>0</v>
      </c>
      <c r="AM45" s="697">
        <f t="shared" si="5"/>
        <v>0</v>
      </c>
      <c r="AN45" s="697">
        <f t="shared" si="5"/>
        <v>0</v>
      </c>
      <c r="AO45" s="697">
        <f t="shared" si="5"/>
        <v>0</v>
      </c>
      <c r="AP45" s="697">
        <f t="shared" si="5"/>
        <v>0</v>
      </c>
      <c r="AQ45" s="697">
        <f t="shared" si="5"/>
        <v>0</v>
      </c>
      <c r="AR45" s="697">
        <f t="shared" si="5"/>
        <v>0</v>
      </c>
      <c r="AS45" s="697">
        <f t="shared" si="5"/>
        <v>0</v>
      </c>
      <c r="AT45" s="697">
        <f t="shared" si="5"/>
        <v>0</v>
      </c>
      <c r="AU45" s="697">
        <f t="shared" si="5"/>
        <v>0</v>
      </c>
      <c r="AV45" s="697">
        <f t="shared" si="5"/>
        <v>0</v>
      </c>
      <c r="AW45" s="697">
        <f t="shared" si="5"/>
        <v>0</v>
      </c>
      <c r="AX45" s="697">
        <f t="shared" si="5"/>
        <v>0</v>
      </c>
      <c r="AY45" s="697">
        <f t="shared" si="5"/>
        <v>0</v>
      </c>
      <c r="AZ45" s="697">
        <f t="shared" si="5"/>
        <v>0</v>
      </c>
      <c r="BA45" s="697">
        <f t="shared" si="5"/>
        <v>0</v>
      </c>
      <c r="BB45" s="697">
        <f t="shared" si="5"/>
        <v>0</v>
      </c>
      <c r="BC45" s="697">
        <f t="shared" si="5"/>
        <v>0</v>
      </c>
      <c r="BD45" s="697">
        <f t="shared" si="5"/>
        <v>0</v>
      </c>
      <c r="BE45" s="1409"/>
      <c r="BH45" s="899" t="s">
        <v>1198</v>
      </c>
    </row>
    <row r="46" spans="2:60" ht="14.65" hidden="1" customHeight="1">
      <c r="B46" s="41"/>
      <c r="E46" s="535">
        <v>15</v>
      </c>
      <c r="F46" s="3" cm="1">
        <f t="array" aca="1" ref="F46" ca="1">OFFSET(E46,-1,1)</f>
        <v>0</v>
      </c>
      <c r="H46" s="41" t="s">
        <v>1199</v>
      </c>
      <c r="T46" s="381" t="b" cm="1">
        <f t="array" ref="T46">T45</f>
        <v>0</v>
      </c>
      <c r="X46" s="1755"/>
      <c r="Z46" s="1735"/>
      <c r="AB46" s="215" t="s">
        <v>1200</v>
      </c>
      <c r="AC46" s="679" t="s">
        <v>1201</v>
      </c>
      <c r="AD46" s="216" t="s">
        <v>766</v>
      </c>
      <c r="AE46" s="1396"/>
      <c r="AF46" s="1396"/>
      <c r="AG46" s="1396"/>
      <c r="AH46" s="1396"/>
      <c r="AI46" s="1396"/>
      <c r="AJ46" s="1396"/>
      <c r="AK46" s="686"/>
      <c r="AL46" s="1396"/>
      <c r="AM46" s="1396"/>
      <c r="AN46" s="1396"/>
      <c r="AO46" s="1396"/>
      <c r="AP46" s="1396"/>
      <c r="AQ46" s="1396"/>
      <c r="AR46" s="1396"/>
      <c r="AS46" s="1396"/>
      <c r="AT46" s="1396"/>
      <c r="AU46" s="686"/>
      <c r="AV46" s="1396"/>
      <c r="AW46" s="1396"/>
      <c r="AX46" s="1396"/>
      <c r="AY46" s="1396"/>
      <c r="AZ46" s="1396"/>
      <c r="BA46" s="1396"/>
      <c r="BB46" s="1396"/>
      <c r="BC46" s="1396"/>
      <c r="BD46" s="1396"/>
      <c r="BE46" s="1409"/>
      <c r="BH46" s="899" t="s">
        <v>1202</v>
      </c>
    </row>
    <row r="47" spans="2:60" ht="14.65" hidden="1" customHeight="1">
      <c r="B47" s="41"/>
      <c r="E47" s="535">
        <v>15</v>
      </c>
      <c r="F47" s="3" cm="1">
        <f t="array" aca="1" ref="F47" ca="1">OFFSET(E47,-1,1)</f>
        <v>0</v>
      </c>
      <c r="H47" s="41" t="s">
        <v>1203</v>
      </c>
      <c r="T47" s="381" t="b" cm="1">
        <f t="array" ref="T47">T46</f>
        <v>0</v>
      </c>
      <c r="X47" s="1755"/>
      <c r="Z47" s="1735"/>
      <c r="AB47" s="215" t="s">
        <v>1204</v>
      </c>
      <c r="AC47" s="679" t="s">
        <v>1205</v>
      </c>
      <c r="AD47" s="216" t="s">
        <v>766</v>
      </c>
      <c r="AE47" s="1396"/>
      <c r="AF47" s="1396"/>
      <c r="AG47" s="1396"/>
      <c r="AH47" s="1396"/>
      <c r="AI47" s="1396"/>
      <c r="AJ47" s="1396"/>
      <c r="AK47" s="686"/>
      <c r="AL47" s="1396"/>
      <c r="AM47" s="1396"/>
      <c r="AN47" s="1396"/>
      <c r="AO47" s="1396"/>
      <c r="AP47" s="1396"/>
      <c r="AQ47" s="1396"/>
      <c r="AR47" s="1396"/>
      <c r="AS47" s="1396"/>
      <c r="AT47" s="1396"/>
      <c r="AU47" s="686"/>
      <c r="AV47" s="1396"/>
      <c r="AW47" s="1396"/>
      <c r="AX47" s="1396"/>
      <c r="AY47" s="1396"/>
      <c r="AZ47" s="1396"/>
      <c r="BA47" s="1396"/>
      <c r="BB47" s="1396"/>
      <c r="BC47" s="1396"/>
      <c r="BD47" s="1396"/>
      <c r="BE47" s="1409"/>
      <c r="BH47" s="899" t="s">
        <v>1206</v>
      </c>
    </row>
    <row r="48" spans="2:60" ht="14.65" hidden="1" customHeight="1">
      <c r="B48" s="41"/>
      <c r="E48" s="535">
        <v>15</v>
      </c>
      <c r="F48" s="3" cm="1">
        <f t="array" aca="1" ref="F48" ca="1">OFFSET(E48,-1,1)</f>
        <v>0</v>
      </c>
      <c r="H48" s="41" t="s">
        <v>1207</v>
      </c>
      <c r="T48" s="381" t="b" cm="1">
        <f t="array" ref="T48">T47</f>
        <v>0</v>
      </c>
      <c r="X48" s="1755"/>
      <c r="Z48" s="1735"/>
      <c r="AB48" s="215" t="s">
        <v>1208</v>
      </c>
      <c r="AC48" s="679" t="s">
        <v>1209</v>
      </c>
      <c r="AD48" s="216" t="s">
        <v>766</v>
      </c>
      <c r="AE48" s="1396"/>
      <c r="AF48" s="1396"/>
      <c r="AG48" s="1396"/>
      <c r="AH48" s="1396"/>
      <c r="AI48" s="1396"/>
      <c r="AJ48" s="1396"/>
      <c r="AK48" s="686"/>
      <c r="AL48" s="1396"/>
      <c r="AM48" s="1396"/>
      <c r="AN48" s="1396"/>
      <c r="AO48" s="1396"/>
      <c r="AP48" s="1396"/>
      <c r="AQ48" s="1396"/>
      <c r="AR48" s="1396"/>
      <c r="AS48" s="1396"/>
      <c r="AT48" s="1396"/>
      <c r="AU48" s="686"/>
      <c r="AV48" s="1396"/>
      <c r="AW48" s="1396"/>
      <c r="AX48" s="1396"/>
      <c r="AY48" s="1396"/>
      <c r="AZ48" s="1396"/>
      <c r="BA48" s="1396"/>
      <c r="BB48" s="1396"/>
      <c r="BC48" s="1396"/>
      <c r="BD48" s="1396"/>
      <c r="BE48" s="1409"/>
      <c r="BH48" s="899" t="s">
        <v>1210</v>
      </c>
    </row>
    <row r="49" spans="1:60" ht="14.65" hidden="1" customHeight="1">
      <c r="B49" s="41"/>
      <c r="E49" s="535">
        <v>15</v>
      </c>
      <c r="F49" s="3" cm="1">
        <f t="array" aca="1" ref="F49" ca="1">OFFSET(E49,-1,1)</f>
        <v>0</v>
      </c>
      <c r="H49" s="41" t="s">
        <v>438</v>
      </c>
      <c r="T49" s="381" t="b" cm="1">
        <f t="array" ref="T49">T48</f>
        <v>0</v>
      </c>
      <c r="X49" s="1755"/>
      <c r="Z49" s="1735"/>
      <c r="AB49" s="215" t="s">
        <v>830</v>
      </c>
      <c r="AC49" s="676" t="s">
        <v>1211</v>
      </c>
      <c r="AD49" s="216" t="s">
        <v>766</v>
      </c>
      <c r="AE49" s="697">
        <f t="shared" ref="AE49:BD49" si="6">AE50+AE51+AE52+AE53</f>
        <v>0</v>
      </c>
      <c r="AF49" s="697">
        <f t="shared" si="6"/>
        <v>0</v>
      </c>
      <c r="AG49" s="697">
        <f t="shared" si="6"/>
        <v>0</v>
      </c>
      <c r="AH49" s="697">
        <f t="shared" si="6"/>
        <v>0</v>
      </c>
      <c r="AI49" s="697">
        <f t="shared" si="6"/>
        <v>0</v>
      </c>
      <c r="AJ49" s="697">
        <f t="shared" si="6"/>
        <v>0</v>
      </c>
      <c r="AK49" s="697">
        <f t="shared" si="6"/>
        <v>0</v>
      </c>
      <c r="AL49" s="697">
        <f t="shared" si="6"/>
        <v>0</v>
      </c>
      <c r="AM49" s="697">
        <f t="shared" si="6"/>
        <v>0</v>
      </c>
      <c r="AN49" s="697">
        <f t="shared" si="6"/>
        <v>0</v>
      </c>
      <c r="AO49" s="697">
        <f t="shared" si="6"/>
        <v>0</v>
      </c>
      <c r="AP49" s="697">
        <f t="shared" si="6"/>
        <v>0</v>
      </c>
      <c r="AQ49" s="697">
        <f t="shared" si="6"/>
        <v>0</v>
      </c>
      <c r="AR49" s="697">
        <f t="shared" si="6"/>
        <v>0</v>
      </c>
      <c r="AS49" s="697">
        <f t="shared" si="6"/>
        <v>0</v>
      </c>
      <c r="AT49" s="697">
        <f t="shared" si="6"/>
        <v>0</v>
      </c>
      <c r="AU49" s="697">
        <f t="shared" si="6"/>
        <v>0</v>
      </c>
      <c r="AV49" s="697">
        <f t="shared" si="6"/>
        <v>0</v>
      </c>
      <c r="AW49" s="697">
        <f t="shared" si="6"/>
        <v>0</v>
      </c>
      <c r="AX49" s="697">
        <f t="shared" si="6"/>
        <v>0</v>
      </c>
      <c r="AY49" s="697">
        <f t="shared" si="6"/>
        <v>0</v>
      </c>
      <c r="AZ49" s="697">
        <f t="shared" si="6"/>
        <v>0</v>
      </c>
      <c r="BA49" s="697">
        <f t="shared" si="6"/>
        <v>0</v>
      </c>
      <c r="BB49" s="697">
        <f t="shared" si="6"/>
        <v>0</v>
      </c>
      <c r="BC49" s="697">
        <f t="shared" si="6"/>
        <v>0</v>
      </c>
      <c r="BD49" s="697">
        <f t="shared" si="6"/>
        <v>0</v>
      </c>
      <c r="BE49" s="1409"/>
      <c r="BH49" s="899" t="s">
        <v>1212</v>
      </c>
    </row>
    <row r="50" spans="1:60" ht="14.65" hidden="1" customHeight="1">
      <c r="B50" s="41"/>
      <c r="E50" s="535">
        <v>15</v>
      </c>
      <c r="F50" s="3" cm="1">
        <f t="array" aca="1" ref="F50" ca="1">OFFSET(E50,-1,1)</f>
        <v>0</v>
      </c>
      <c r="H50" s="41" t="s">
        <v>1213</v>
      </c>
      <c r="T50" s="381" t="b" cm="1">
        <f t="array" ref="T50">T49</f>
        <v>0</v>
      </c>
      <c r="X50" s="1755"/>
      <c r="Z50" s="1735"/>
      <c r="AB50" s="215" t="s">
        <v>941</v>
      </c>
      <c r="AC50" s="679" t="s">
        <v>935</v>
      </c>
      <c r="AD50" s="216" t="s">
        <v>766</v>
      </c>
      <c r="AE50" s="1396"/>
      <c r="AF50" s="1396"/>
      <c r="AG50" s="1396"/>
      <c r="AH50" s="1396"/>
      <c r="AI50" s="1396"/>
      <c r="AJ50" s="1396"/>
      <c r="AK50" s="686"/>
      <c r="AL50" s="1396"/>
      <c r="AM50" s="1396"/>
      <c r="AN50" s="1396"/>
      <c r="AO50" s="1396"/>
      <c r="AP50" s="1396"/>
      <c r="AQ50" s="1396"/>
      <c r="AR50" s="1396"/>
      <c r="AS50" s="1396"/>
      <c r="AT50" s="1396"/>
      <c r="AU50" s="686"/>
      <c r="AV50" s="1396"/>
      <c r="AW50" s="1396"/>
      <c r="AX50" s="1396"/>
      <c r="AY50" s="1396"/>
      <c r="AZ50" s="1396"/>
      <c r="BA50" s="1396"/>
      <c r="BB50" s="1396"/>
      <c r="BC50" s="1396"/>
      <c r="BD50" s="1396"/>
      <c r="BE50" s="1409"/>
      <c r="BH50" s="899" t="s">
        <v>937</v>
      </c>
    </row>
    <row r="51" spans="1:60" ht="21.95" hidden="1" customHeight="1">
      <c r="B51" s="41"/>
      <c r="E51" s="535">
        <v>22.5</v>
      </c>
      <c r="F51" s="3" cm="1">
        <f t="array" aca="1" ref="F51" ca="1">OFFSET(E51,-1,1)</f>
        <v>0</v>
      </c>
      <c r="H51" s="41" t="s">
        <v>1214</v>
      </c>
      <c r="T51" s="381" t="b" cm="1">
        <f t="array" ref="T51">T50</f>
        <v>0</v>
      </c>
      <c r="X51" s="1755"/>
      <c r="Z51" s="1735"/>
      <c r="AB51" s="215" t="s">
        <v>944</v>
      </c>
      <c r="AC51" s="679" t="s">
        <v>1215</v>
      </c>
      <c r="AD51" s="216" t="s">
        <v>766</v>
      </c>
      <c r="AE51" s="1396"/>
      <c r="AF51" s="1396"/>
      <c r="AG51" s="1396"/>
      <c r="AH51" s="1396"/>
      <c r="AI51" s="1396"/>
      <c r="AJ51" s="1396"/>
      <c r="AK51" s="686"/>
      <c r="AL51" s="1396"/>
      <c r="AM51" s="1396"/>
      <c r="AN51" s="1396"/>
      <c r="AO51" s="1396"/>
      <c r="AP51" s="1396"/>
      <c r="AQ51" s="1396"/>
      <c r="AR51" s="1396"/>
      <c r="AS51" s="1396"/>
      <c r="AT51" s="1396"/>
      <c r="AU51" s="686"/>
      <c r="AV51" s="1396"/>
      <c r="AW51" s="1396"/>
      <c r="AX51" s="1396"/>
      <c r="AY51" s="1396"/>
      <c r="AZ51" s="1396"/>
      <c r="BA51" s="1396"/>
      <c r="BB51" s="1396"/>
      <c r="BC51" s="1396"/>
      <c r="BD51" s="1396"/>
      <c r="BE51" s="1409"/>
      <c r="BH51" s="899" t="s">
        <v>1216</v>
      </c>
    </row>
    <row r="52" spans="1:60" ht="21.95" hidden="1" customHeight="1">
      <c r="B52" s="41"/>
      <c r="E52" s="535">
        <v>22.5</v>
      </c>
      <c r="F52" s="3" cm="1">
        <f t="array" aca="1" ref="F52" ca="1">OFFSET(E52,-1,1)</f>
        <v>0</v>
      </c>
      <c r="H52" s="41" t="s">
        <v>1217</v>
      </c>
      <c r="T52" s="381" t="b" cm="1">
        <f t="array" ref="T52">T51</f>
        <v>0</v>
      </c>
      <c r="X52" s="1755"/>
      <c r="Z52" s="1735"/>
      <c r="AB52" s="215" t="s">
        <v>1218</v>
      </c>
      <c r="AC52" s="679" t="s">
        <v>1219</v>
      </c>
      <c r="AD52" s="216" t="s">
        <v>766</v>
      </c>
      <c r="AE52" s="1396"/>
      <c r="AF52" s="1396"/>
      <c r="AG52" s="1396"/>
      <c r="AH52" s="1396"/>
      <c r="AI52" s="1396"/>
      <c r="AJ52" s="1396"/>
      <c r="AK52" s="686"/>
      <c r="AL52" s="1396"/>
      <c r="AM52" s="1396"/>
      <c r="AN52" s="1396"/>
      <c r="AO52" s="1396"/>
      <c r="AP52" s="1396"/>
      <c r="AQ52" s="1396"/>
      <c r="AR52" s="1396"/>
      <c r="AS52" s="1396"/>
      <c r="AT52" s="1396"/>
      <c r="AU52" s="686"/>
      <c r="AV52" s="1396"/>
      <c r="AW52" s="1396"/>
      <c r="AX52" s="1396"/>
      <c r="AY52" s="1396"/>
      <c r="AZ52" s="1396"/>
      <c r="BA52" s="1396"/>
      <c r="BB52" s="1396"/>
      <c r="BC52" s="1396"/>
      <c r="BD52" s="1396"/>
      <c r="BE52" s="1409"/>
      <c r="BH52" s="899" t="s">
        <v>1220</v>
      </c>
    </row>
    <row r="53" spans="1:60" ht="14.65" hidden="1" customHeight="1">
      <c r="B53" s="41"/>
      <c r="E53" s="535">
        <v>15</v>
      </c>
      <c r="F53" s="3" cm="1">
        <f t="array" aca="1" ref="F53" ca="1">OFFSET(E53,-1,1)</f>
        <v>0</v>
      </c>
      <c r="H53" s="41" t="s">
        <v>1221</v>
      </c>
      <c r="T53" s="381" t="b" cm="1">
        <f t="array" ref="T53">T52</f>
        <v>0</v>
      </c>
      <c r="X53" s="1755"/>
      <c r="Z53" s="1735"/>
      <c r="AB53" s="215" t="s">
        <v>1222</v>
      </c>
      <c r="AC53" s="679" t="s">
        <v>1223</v>
      </c>
      <c r="AD53" s="216" t="s">
        <v>766</v>
      </c>
      <c r="AE53" s="1396"/>
      <c r="AF53" s="1396"/>
      <c r="AG53" s="1396"/>
      <c r="AH53" s="1396"/>
      <c r="AI53" s="1396"/>
      <c r="AJ53" s="1396"/>
      <c r="AK53" s="686"/>
      <c r="AL53" s="1396"/>
      <c r="AM53" s="1396"/>
      <c r="AN53" s="1396"/>
      <c r="AO53" s="1396"/>
      <c r="AP53" s="1396"/>
      <c r="AQ53" s="1396"/>
      <c r="AR53" s="1396"/>
      <c r="AS53" s="1396"/>
      <c r="AT53" s="1396"/>
      <c r="AU53" s="686"/>
      <c r="AV53" s="1396"/>
      <c r="AW53" s="1396"/>
      <c r="AX53" s="1396"/>
      <c r="AY53" s="1396"/>
      <c r="AZ53" s="1396"/>
      <c r="BA53" s="1396"/>
      <c r="BB53" s="1396"/>
      <c r="BC53" s="1396"/>
      <c r="BD53" s="1396"/>
      <c r="BE53" s="1409"/>
      <c r="BH53" s="899" t="s">
        <v>1224</v>
      </c>
    </row>
    <row r="54" spans="1:60" s="615" customFormat="1" ht="21.95" hidden="1" customHeight="1">
      <c r="B54" s="41"/>
      <c r="E54" s="608">
        <v>22.5</v>
      </c>
      <c r="F54" s="3" cm="1">
        <f t="array" aca="1" ref="F54" ca="1">OFFSET(E54,-1,1)</f>
        <v>0</v>
      </c>
      <c r="G54" s="41"/>
      <c r="H54" s="41" t="s">
        <v>324</v>
      </c>
      <c r="T54" s="381" t="b" cm="1">
        <f t="array" ref="T54">T53</f>
        <v>0</v>
      </c>
      <c r="X54" s="1755"/>
      <c r="Z54" s="1735"/>
      <c r="AB54" s="136" t="s">
        <v>224</v>
      </c>
      <c r="AC54" s="137" t="s">
        <v>1225</v>
      </c>
      <c r="AD54" s="129" t="s">
        <v>766</v>
      </c>
      <c r="AE54" s="131">
        <f t="shared" ref="AE54:BD54" si="7">AE55+AE56+AE57</f>
        <v>0</v>
      </c>
      <c r="AF54" s="131">
        <f t="shared" si="7"/>
        <v>0</v>
      </c>
      <c r="AG54" s="131">
        <f t="shared" si="7"/>
        <v>0</v>
      </c>
      <c r="AH54" s="131">
        <f t="shared" si="7"/>
        <v>0</v>
      </c>
      <c r="AI54" s="131">
        <f t="shared" si="7"/>
        <v>0</v>
      </c>
      <c r="AJ54" s="131">
        <f t="shared" si="7"/>
        <v>0</v>
      </c>
      <c r="AK54" s="131">
        <f t="shared" si="7"/>
        <v>0</v>
      </c>
      <c r="AL54" s="131">
        <f t="shared" si="7"/>
        <v>0</v>
      </c>
      <c r="AM54" s="131">
        <f t="shared" si="7"/>
        <v>0</v>
      </c>
      <c r="AN54" s="131">
        <f t="shared" si="7"/>
        <v>0</v>
      </c>
      <c r="AO54" s="131">
        <f t="shared" si="7"/>
        <v>0</v>
      </c>
      <c r="AP54" s="131">
        <f t="shared" si="7"/>
        <v>0</v>
      </c>
      <c r="AQ54" s="131">
        <f t="shared" si="7"/>
        <v>0</v>
      </c>
      <c r="AR54" s="131">
        <f t="shared" si="7"/>
        <v>0</v>
      </c>
      <c r="AS54" s="131">
        <f t="shared" si="7"/>
        <v>0</v>
      </c>
      <c r="AT54" s="131">
        <f t="shared" si="7"/>
        <v>0</v>
      </c>
      <c r="AU54" s="131">
        <f t="shared" si="7"/>
        <v>0</v>
      </c>
      <c r="AV54" s="131">
        <f t="shared" si="7"/>
        <v>0</v>
      </c>
      <c r="AW54" s="131">
        <f t="shared" si="7"/>
        <v>0</v>
      </c>
      <c r="AX54" s="131">
        <f t="shared" si="7"/>
        <v>0</v>
      </c>
      <c r="AY54" s="131">
        <f t="shared" si="7"/>
        <v>0</v>
      </c>
      <c r="AZ54" s="131">
        <f t="shared" si="7"/>
        <v>0</v>
      </c>
      <c r="BA54" s="131">
        <f t="shared" si="7"/>
        <v>0</v>
      </c>
      <c r="BB54" s="131">
        <f t="shared" si="7"/>
        <v>0</v>
      </c>
      <c r="BC54" s="131">
        <f t="shared" si="7"/>
        <v>0</v>
      </c>
      <c r="BD54" s="131">
        <f t="shared" si="7"/>
        <v>0</v>
      </c>
      <c r="BE54" s="1409"/>
      <c r="BH54" s="953" t="s">
        <v>1226</v>
      </c>
    </row>
    <row r="55" spans="1:60" ht="14.65" hidden="1" customHeight="1">
      <c r="B55" s="41"/>
      <c r="E55" s="535">
        <v>15</v>
      </c>
      <c r="F55" s="3" cm="1">
        <f t="array" aca="1" ref="F55" ca="1">OFFSET(E55,-1,1)</f>
        <v>0</v>
      </c>
      <c r="H55" s="41" t="s">
        <v>445</v>
      </c>
      <c r="K55" s="43" t="str">
        <f ca="1">F55&amp;"2komm"</f>
        <v>02komm</v>
      </c>
      <c r="L55" s="43" cm="1">
        <f t="array" ref="L55">BE55</f>
        <v>0</v>
      </c>
      <c r="T55" s="381" t="b" cm="1">
        <f t="array" ref="T55">T54</f>
        <v>0</v>
      </c>
      <c r="X55" s="1755"/>
      <c r="Z55" s="1735"/>
      <c r="AB55" s="215" t="s">
        <v>502</v>
      </c>
      <c r="AC55" s="676" t="s">
        <v>1227</v>
      </c>
      <c r="AD55" s="216" t="s">
        <v>766</v>
      </c>
      <c r="AE55" s="1396"/>
      <c r="AF55" s="1396"/>
      <c r="AG55" s="1396"/>
      <c r="AH55" s="1396"/>
      <c r="AI55" s="1396"/>
      <c r="AJ55" s="1396"/>
      <c r="AK55" s="686"/>
      <c r="AL55" s="1396"/>
      <c r="AM55" s="1396"/>
      <c r="AN55" s="1396"/>
      <c r="AO55" s="1396"/>
      <c r="AP55" s="1396"/>
      <c r="AQ55" s="1396"/>
      <c r="AR55" s="1396"/>
      <c r="AS55" s="1396"/>
      <c r="AT55" s="1396"/>
      <c r="AU55" s="686"/>
      <c r="AV55" s="1396"/>
      <c r="AW55" s="1396"/>
      <c r="AX55" s="1396"/>
      <c r="AY55" s="1396"/>
      <c r="AZ55" s="1396"/>
      <c r="BA55" s="1396"/>
      <c r="BB55" s="1396"/>
      <c r="BC55" s="1396"/>
      <c r="BD55" s="1396"/>
      <c r="BE55" s="1409"/>
      <c r="BH55" s="899" t="s">
        <v>1228</v>
      </c>
    </row>
    <row r="56" spans="1:60" ht="14.65" hidden="1" customHeight="1">
      <c r="B56" s="41"/>
      <c r="E56" s="535">
        <v>15</v>
      </c>
      <c r="F56" s="3" cm="1">
        <f t="array" aca="1" ref="F56" ca="1">OFFSET(E56,-1,1)</f>
        <v>0</v>
      </c>
      <c r="H56" s="41" t="s">
        <v>448</v>
      </c>
      <c r="K56" s="43" t="str">
        <f ca="1">F56&amp;"3komm"</f>
        <v>03komm</v>
      </c>
      <c r="L56" s="43" cm="1">
        <f t="array" ref="L56">BE56</f>
        <v>0</v>
      </c>
      <c r="T56" s="381" t="b" cm="1">
        <f t="array" ref="T56">T55</f>
        <v>0</v>
      </c>
      <c r="X56" s="1755"/>
      <c r="Z56" s="1735"/>
      <c r="AB56" s="215" t="s">
        <v>506</v>
      </c>
      <c r="AC56" s="676" t="s">
        <v>1229</v>
      </c>
      <c r="AD56" s="216" t="s">
        <v>766</v>
      </c>
      <c r="AE56" s="1396"/>
      <c r="AF56" s="1396"/>
      <c r="AG56" s="1396"/>
      <c r="AH56" s="1396"/>
      <c r="AI56" s="1396"/>
      <c r="AJ56" s="1396"/>
      <c r="AK56" s="686"/>
      <c r="AL56" s="1396"/>
      <c r="AM56" s="1396"/>
      <c r="AN56" s="1396"/>
      <c r="AO56" s="1396"/>
      <c r="AP56" s="1396"/>
      <c r="AQ56" s="1396"/>
      <c r="AR56" s="1396"/>
      <c r="AS56" s="1396"/>
      <c r="AT56" s="1396"/>
      <c r="AU56" s="686"/>
      <c r="AV56" s="1396"/>
      <c r="AW56" s="1396"/>
      <c r="AX56" s="1396"/>
      <c r="AY56" s="1396"/>
      <c r="AZ56" s="1396"/>
      <c r="BA56" s="1396"/>
      <c r="BB56" s="1396"/>
      <c r="BC56" s="1396"/>
      <c r="BD56" s="1396"/>
      <c r="BE56" s="1409"/>
      <c r="BH56" s="899" t="s">
        <v>1230</v>
      </c>
    </row>
    <row r="57" spans="1:60" ht="14.65" hidden="1" customHeight="1">
      <c r="B57" s="41"/>
      <c r="E57" s="535">
        <v>15</v>
      </c>
      <c r="F57" s="3" cm="1">
        <f t="array" aca="1" ref="F57" ca="1">OFFSET(E57,-1,1)</f>
        <v>0</v>
      </c>
      <c r="H57" s="41" t="s">
        <v>841</v>
      </c>
      <c r="T57" s="381" t="b" cm="1">
        <f t="array" ref="T57">T56</f>
        <v>0</v>
      </c>
      <c r="X57" s="1755"/>
      <c r="Z57" s="1735"/>
      <c r="AB57" s="215" t="s">
        <v>510</v>
      </c>
      <c r="AC57" s="676" t="s">
        <v>1231</v>
      </c>
      <c r="AD57" s="216" t="s">
        <v>766</v>
      </c>
      <c r="AE57" s="1396"/>
      <c r="AF57" s="1396"/>
      <c r="AG57" s="1396"/>
      <c r="AH57" s="1396"/>
      <c r="AI57" s="1396"/>
      <c r="AJ57" s="1396"/>
      <c r="AK57" s="686"/>
      <c r="AL57" s="1396"/>
      <c r="AM57" s="1396"/>
      <c r="AN57" s="1396"/>
      <c r="AO57" s="1396"/>
      <c r="AP57" s="1396"/>
      <c r="AQ57" s="1396"/>
      <c r="AR57" s="1396"/>
      <c r="AS57" s="1396"/>
      <c r="AT57" s="1396"/>
      <c r="AU57" s="686"/>
      <c r="AV57" s="1396"/>
      <c r="AW57" s="1396"/>
      <c r="AX57" s="1396"/>
      <c r="AY57" s="1396"/>
      <c r="AZ57" s="1396"/>
      <c r="BA57" s="1396"/>
      <c r="BB57" s="1396"/>
      <c r="BC57" s="1396"/>
      <c r="BD57" s="1396"/>
      <c r="BE57" s="1409"/>
      <c r="BH57" s="899" t="s">
        <v>1232</v>
      </c>
    </row>
    <row r="58" spans="1:60" s="1327" customFormat="1" ht="14.25" customHeight="1">
      <c r="A58" s="1210"/>
      <c r="B58" s="41"/>
      <c r="C58" s="1210"/>
      <c r="D58" s="1210"/>
      <c r="E58" s="535">
        <v>15</v>
      </c>
      <c r="F58" s="17" t="str" cm="1">
        <f t="array" ref="F58">X58</f>
        <v>1</v>
      </c>
      <c r="G58" s="1210"/>
      <c r="H58" s="1210"/>
      <c r="I58" s="1210"/>
      <c r="J58" s="1210"/>
      <c r="K58" s="1210"/>
      <c r="L58" s="1210"/>
      <c r="M58" s="1210"/>
      <c r="N58" s="1210"/>
      <c r="O58" s="1210"/>
      <c r="P58" s="1210"/>
      <c r="Q58" s="1210"/>
      <c r="R58" s="1210"/>
      <c r="S58" s="1210"/>
      <c r="T58" s="381" t="b">
        <f>X58&gt;0</f>
        <v>1</v>
      </c>
      <c r="U58" s="1210"/>
      <c r="V58" s="41" t="str" cm="1">
        <f t="array" ref="V58">Налоги!$AB$41</f>
        <v>Тариф 1 (Водоснабжение) - тариф на питьевую воду</v>
      </c>
      <c r="W58" s="1210"/>
      <c r="X58" s="1755" t="s">
        <v>281</v>
      </c>
      <c r="Y58" s="1210"/>
      <c r="Z58" s="1735"/>
      <c r="AA58" s="1210"/>
      <c r="AB58" s="160" t="str" cm="1">
        <f t="array" ref="AB58">Налоги!$AB$41</f>
        <v>Тариф 1 (Водоснабжение) - тариф на питьевую воду</v>
      </c>
      <c r="AC58" s="746"/>
      <c r="AD58" s="746"/>
      <c r="AE58" s="746"/>
      <c r="AF58" s="746"/>
      <c r="AG58" s="746"/>
      <c r="AH58" s="746"/>
      <c r="AI58" s="746"/>
      <c r="AJ58" s="746"/>
      <c r="AK58" s="746"/>
      <c r="AL58" s="746"/>
      <c r="AM58" s="746"/>
      <c r="AN58" s="746"/>
      <c r="AO58" s="746"/>
      <c r="AP58" s="746"/>
      <c r="AQ58" s="746"/>
      <c r="AR58" s="746"/>
      <c r="AS58" s="746"/>
      <c r="AT58" s="746"/>
      <c r="AU58" s="746"/>
      <c r="AV58" s="746"/>
      <c r="AW58" s="746"/>
      <c r="AX58" s="746"/>
      <c r="AY58" s="746"/>
      <c r="AZ58" s="746"/>
      <c r="BA58" s="746"/>
      <c r="BB58" s="746"/>
      <c r="BC58" s="746"/>
      <c r="BD58" s="746"/>
      <c r="BE58" s="746"/>
      <c r="BF58" s="1210"/>
      <c r="BG58" s="1210"/>
      <c r="BH58" s="1126"/>
    </row>
    <row r="59" spans="1:60" s="1411" customFormat="1" ht="21.75" customHeight="1">
      <c r="A59" s="615"/>
      <c r="B59" s="41"/>
      <c r="C59" s="615"/>
      <c r="D59" s="615"/>
      <c r="E59" s="608">
        <v>22.5</v>
      </c>
      <c r="F59" s="3" t="str" cm="1">
        <f t="array" aca="1" ref="F59" ca="1">OFFSET(E59,-1,1)</f>
        <v>1</v>
      </c>
      <c r="G59" s="41"/>
      <c r="H59" s="41" t="s">
        <v>323</v>
      </c>
      <c r="I59" s="615"/>
      <c r="J59" s="615"/>
      <c r="K59" s="615"/>
      <c r="L59" s="615"/>
      <c r="M59" s="615"/>
      <c r="N59" s="615"/>
      <c r="O59" s="615"/>
      <c r="P59" s="615"/>
      <c r="Q59" s="615"/>
      <c r="R59" s="615"/>
      <c r="S59" s="615"/>
      <c r="T59" s="381" t="b" cm="1">
        <f t="array" ref="T59">T58</f>
        <v>1</v>
      </c>
      <c r="U59" s="615"/>
      <c r="V59" s="615"/>
      <c r="W59" s="615"/>
      <c r="X59" s="1755"/>
      <c r="Y59" s="615"/>
      <c r="Z59" s="1735"/>
      <c r="AA59" s="615"/>
      <c r="AB59" s="136">
        <v>1</v>
      </c>
      <c r="AC59" s="130" t="s">
        <v>1154</v>
      </c>
      <c r="AD59" s="129" t="s">
        <v>766</v>
      </c>
      <c r="AE59" s="131">
        <f t="shared" ref="AE59:BD59" si="8">AE60+AE70+AE74+AE78</f>
        <v>0</v>
      </c>
      <c r="AF59" s="131">
        <f t="shared" si="8"/>
        <v>0</v>
      </c>
      <c r="AG59" s="131">
        <f t="shared" si="8"/>
        <v>0</v>
      </c>
      <c r="AH59" s="131">
        <f t="shared" si="8"/>
        <v>0</v>
      </c>
      <c r="AI59" s="131">
        <f t="shared" si="8"/>
        <v>0</v>
      </c>
      <c r="AJ59" s="131">
        <f t="shared" si="8"/>
        <v>0</v>
      </c>
      <c r="AK59" s="131">
        <f t="shared" si="8"/>
        <v>0</v>
      </c>
      <c r="AL59" s="131">
        <f t="shared" si="8"/>
        <v>0</v>
      </c>
      <c r="AM59" s="131">
        <f t="shared" si="8"/>
        <v>0</v>
      </c>
      <c r="AN59" s="131">
        <f t="shared" si="8"/>
        <v>0</v>
      </c>
      <c r="AO59" s="131">
        <f t="shared" si="8"/>
        <v>0</v>
      </c>
      <c r="AP59" s="131">
        <f t="shared" si="8"/>
        <v>0</v>
      </c>
      <c r="AQ59" s="131">
        <f t="shared" si="8"/>
        <v>0</v>
      </c>
      <c r="AR59" s="131">
        <f t="shared" si="8"/>
        <v>0</v>
      </c>
      <c r="AS59" s="131">
        <f t="shared" si="8"/>
        <v>0</v>
      </c>
      <c r="AT59" s="131">
        <f t="shared" si="8"/>
        <v>0</v>
      </c>
      <c r="AU59" s="131">
        <f t="shared" si="8"/>
        <v>0</v>
      </c>
      <c r="AV59" s="131">
        <f t="shared" si="8"/>
        <v>0</v>
      </c>
      <c r="AW59" s="131">
        <f t="shared" si="8"/>
        <v>0</v>
      </c>
      <c r="AX59" s="131">
        <f t="shared" si="8"/>
        <v>0</v>
      </c>
      <c r="AY59" s="131">
        <f t="shared" si="8"/>
        <v>0</v>
      </c>
      <c r="AZ59" s="131">
        <f t="shared" si="8"/>
        <v>0</v>
      </c>
      <c r="BA59" s="131">
        <f t="shared" si="8"/>
        <v>0</v>
      </c>
      <c r="BB59" s="131">
        <f t="shared" si="8"/>
        <v>0</v>
      </c>
      <c r="BC59" s="131">
        <f t="shared" si="8"/>
        <v>0</v>
      </c>
      <c r="BD59" s="131">
        <f t="shared" si="8"/>
        <v>0</v>
      </c>
      <c r="BE59" s="688"/>
      <c r="BF59" s="615"/>
      <c r="BG59" s="615"/>
      <c r="BH59" s="953" t="s">
        <v>1155</v>
      </c>
    </row>
    <row r="60" spans="1:60" s="1327" customFormat="1" ht="14.25" customHeight="1">
      <c r="A60" s="1210"/>
      <c r="B60" s="41"/>
      <c r="C60" s="1210"/>
      <c r="D60" s="1210"/>
      <c r="E60" s="535">
        <v>15</v>
      </c>
      <c r="F60" s="3" t="str" cm="1">
        <f t="array" aca="1" ref="F60" ca="1">OFFSET(E60,-1,1)</f>
        <v>1</v>
      </c>
      <c r="G60" s="1210"/>
      <c r="H60" s="41" t="s">
        <v>427</v>
      </c>
      <c r="I60" s="1210"/>
      <c r="J60" s="1210"/>
      <c r="K60" s="1210"/>
      <c r="L60" s="1210"/>
      <c r="M60" s="1210"/>
      <c r="N60" s="1210"/>
      <c r="O60" s="1210"/>
      <c r="P60" s="1210"/>
      <c r="Q60" s="1210"/>
      <c r="R60" s="1210"/>
      <c r="S60" s="1210"/>
      <c r="T60" s="381" t="b" cm="1">
        <f t="array" ref="T60">T59</f>
        <v>1</v>
      </c>
      <c r="U60" s="1210"/>
      <c r="V60" s="1210"/>
      <c r="W60" s="1210"/>
      <c r="X60" s="1755"/>
      <c r="Y60" s="1210"/>
      <c r="Z60" s="1735"/>
      <c r="AA60" s="1210"/>
      <c r="AB60" s="215" t="s">
        <v>821</v>
      </c>
      <c r="AC60" s="676" t="s">
        <v>1156</v>
      </c>
      <c r="AD60" s="216" t="s">
        <v>766</v>
      </c>
      <c r="AE60" s="697">
        <f t="shared" ref="AE60:BD60" si="9">AE61+AE62+AE63+AE64+AE65</f>
        <v>0</v>
      </c>
      <c r="AF60" s="697">
        <f t="shared" si="9"/>
        <v>0</v>
      </c>
      <c r="AG60" s="697">
        <f t="shared" si="9"/>
        <v>0</v>
      </c>
      <c r="AH60" s="697">
        <f t="shared" si="9"/>
        <v>0</v>
      </c>
      <c r="AI60" s="697">
        <f t="shared" si="9"/>
        <v>0</v>
      </c>
      <c r="AJ60" s="697">
        <f t="shared" si="9"/>
        <v>0</v>
      </c>
      <c r="AK60" s="697">
        <f t="shared" si="9"/>
        <v>0</v>
      </c>
      <c r="AL60" s="697">
        <f t="shared" si="9"/>
        <v>0</v>
      </c>
      <c r="AM60" s="697">
        <f t="shared" si="9"/>
        <v>0</v>
      </c>
      <c r="AN60" s="697">
        <f t="shared" si="9"/>
        <v>0</v>
      </c>
      <c r="AO60" s="697">
        <f t="shared" si="9"/>
        <v>0</v>
      </c>
      <c r="AP60" s="697">
        <f t="shared" si="9"/>
        <v>0</v>
      </c>
      <c r="AQ60" s="697">
        <f t="shared" si="9"/>
        <v>0</v>
      </c>
      <c r="AR60" s="697">
        <f t="shared" si="9"/>
        <v>0</v>
      </c>
      <c r="AS60" s="697">
        <f t="shared" si="9"/>
        <v>0</v>
      </c>
      <c r="AT60" s="697">
        <f t="shared" si="9"/>
        <v>0</v>
      </c>
      <c r="AU60" s="697">
        <f t="shared" si="9"/>
        <v>0</v>
      </c>
      <c r="AV60" s="697">
        <f t="shared" si="9"/>
        <v>0</v>
      </c>
      <c r="AW60" s="697">
        <f t="shared" si="9"/>
        <v>0</v>
      </c>
      <c r="AX60" s="697">
        <f t="shared" si="9"/>
        <v>0</v>
      </c>
      <c r="AY60" s="697">
        <f t="shared" si="9"/>
        <v>0</v>
      </c>
      <c r="AZ60" s="697">
        <f t="shared" si="9"/>
        <v>0</v>
      </c>
      <c r="BA60" s="697">
        <f t="shared" si="9"/>
        <v>0</v>
      </c>
      <c r="BB60" s="697">
        <f t="shared" si="9"/>
        <v>0</v>
      </c>
      <c r="BC60" s="697">
        <f t="shared" si="9"/>
        <v>0</v>
      </c>
      <c r="BD60" s="697">
        <f t="shared" si="9"/>
        <v>0</v>
      </c>
      <c r="BE60" s="688"/>
      <c r="BF60" s="1210"/>
      <c r="BG60" s="1210"/>
      <c r="BH60" s="899" t="s">
        <v>1157</v>
      </c>
    </row>
    <row r="61" spans="1:60" s="1327" customFormat="1" ht="14.25" customHeight="1">
      <c r="A61" s="1210"/>
      <c r="B61" s="41"/>
      <c r="C61" s="1210"/>
      <c r="D61" s="1210"/>
      <c r="E61" s="535">
        <v>15</v>
      </c>
      <c r="F61" s="3" t="str" cm="1">
        <f t="array" aca="1" ref="F61" ca="1">OFFSET(E61,-1,1)</f>
        <v>1</v>
      </c>
      <c r="G61" s="1210"/>
      <c r="H61" s="41" t="s">
        <v>924</v>
      </c>
      <c r="I61" s="1210"/>
      <c r="J61" s="1210"/>
      <c r="K61" s="1210"/>
      <c r="L61" s="1210"/>
      <c r="M61" s="1210"/>
      <c r="N61" s="1210"/>
      <c r="O61" s="1210"/>
      <c r="P61" s="1210"/>
      <c r="Q61" s="1210"/>
      <c r="R61" s="1210"/>
      <c r="S61" s="1210"/>
      <c r="T61" s="381" t="b" cm="1">
        <f t="array" ref="T61">T60</f>
        <v>1</v>
      </c>
      <c r="U61" s="1210"/>
      <c r="V61" s="1210"/>
      <c r="W61" s="1210"/>
      <c r="X61" s="1755"/>
      <c r="Y61" s="1210"/>
      <c r="Z61" s="1735"/>
      <c r="AA61" s="1210"/>
      <c r="AB61" s="215" t="s">
        <v>925</v>
      </c>
      <c r="AC61" s="679" t="s">
        <v>1158</v>
      </c>
      <c r="AD61" s="216" t="s">
        <v>766</v>
      </c>
      <c r="AE61" s="686"/>
      <c r="AF61" s="686"/>
      <c r="AG61" s="686"/>
      <c r="AH61" s="686"/>
      <c r="AI61" s="686"/>
      <c r="AJ61" s="686"/>
      <c r="AK61" s="686"/>
      <c r="AL61" s="686"/>
      <c r="AM61" s="686"/>
      <c r="AN61" s="686"/>
      <c r="AO61" s="686"/>
      <c r="AP61" s="686"/>
      <c r="AQ61" s="686"/>
      <c r="AR61" s="686"/>
      <c r="AS61" s="686"/>
      <c r="AT61" s="686"/>
      <c r="AU61" s="686"/>
      <c r="AV61" s="686"/>
      <c r="AW61" s="686"/>
      <c r="AX61" s="686"/>
      <c r="AY61" s="686"/>
      <c r="AZ61" s="686"/>
      <c r="BA61" s="686"/>
      <c r="BB61" s="686"/>
      <c r="BC61" s="686"/>
      <c r="BD61" s="686"/>
      <c r="BE61" s="688"/>
      <c r="BF61" s="1210"/>
      <c r="BG61" s="1210"/>
      <c r="BH61" s="899" t="s">
        <v>1096</v>
      </c>
    </row>
    <row r="62" spans="1:60" s="1327" customFormat="1" ht="14.25" customHeight="1">
      <c r="A62" s="1210"/>
      <c r="B62" s="41"/>
      <c r="C62" s="1210"/>
      <c r="D62" s="1210"/>
      <c r="E62" s="535">
        <v>15</v>
      </c>
      <c r="F62" s="3" t="str" cm="1">
        <f t="array" aca="1" ref="F62" ca="1">OFFSET(E62,-1,1)</f>
        <v>1</v>
      </c>
      <c r="G62" s="1210"/>
      <c r="H62" s="41" t="s">
        <v>928</v>
      </c>
      <c r="I62" s="1210"/>
      <c r="J62" s="1210"/>
      <c r="K62" s="43" t="str">
        <f ca="1">F62&amp;"1komm"</f>
        <v>11komm</v>
      </c>
      <c r="L62" s="825" cm="1">
        <f t="array" ref="L62">BE62</f>
        <v>0</v>
      </c>
      <c r="M62" s="1210"/>
      <c r="N62" s="1210"/>
      <c r="O62" s="1210"/>
      <c r="P62" s="1210"/>
      <c r="Q62" s="1210"/>
      <c r="R62" s="1210"/>
      <c r="S62" s="1210"/>
      <c r="T62" s="381" t="b" cm="1">
        <f t="array" ref="T62">T61</f>
        <v>1</v>
      </c>
      <c r="U62" s="1210"/>
      <c r="V62" s="1210"/>
      <c r="W62" s="1210"/>
      <c r="X62" s="1755"/>
      <c r="Y62" s="1210"/>
      <c r="Z62" s="1735"/>
      <c r="AA62" s="1210"/>
      <c r="AB62" s="215" t="s">
        <v>929</v>
      </c>
      <c r="AC62" s="679" t="s">
        <v>1159</v>
      </c>
      <c r="AD62" s="216" t="s">
        <v>766</v>
      </c>
      <c r="AE62" s="686"/>
      <c r="AF62" s="686"/>
      <c r="AG62" s="686"/>
      <c r="AH62" s="686"/>
      <c r="AI62" s="686"/>
      <c r="AJ62" s="686"/>
      <c r="AK62" s="686"/>
      <c r="AL62" s="686"/>
      <c r="AM62" s="686"/>
      <c r="AN62" s="686"/>
      <c r="AO62" s="686"/>
      <c r="AP62" s="686"/>
      <c r="AQ62" s="686"/>
      <c r="AR62" s="686"/>
      <c r="AS62" s="686"/>
      <c r="AT62" s="686"/>
      <c r="AU62" s="686"/>
      <c r="AV62" s="686"/>
      <c r="AW62" s="686"/>
      <c r="AX62" s="686"/>
      <c r="AY62" s="686"/>
      <c r="AZ62" s="686"/>
      <c r="BA62" s="686"/>
      <c r="BB62" s="686"/>
      <c r="BC62" s="686"/>
      <c r="BD62" s="686"/>
      <c r="BE62" s="688"/>
      <c r="BF62" s="1210"/>
      <c r="BG62" s="1210"/>
      <c r="BH62" s="899" t="s">
        <v>1160</v>
      </c>
    </row>
    <row r="63" spans="1:60" s="1327" customFormat="1" ht="14.25" customHeight="1">
      <c r="A63" s="1210"/>
      <c r="B63" s="41"/>
      <c r="C63" s="1210"/>
      <c r="D63" s="1210"/>
      <c r="E63" s="535">
        <v>15</v>
      </c>
      <c r="F63" s="3" t="str" cm="1">
        <f t="array" aca="1" ref="F63" ca="1">OFFSET(E63,-1,1)</f>
        <v>1</v>
      </c>
      <c r="G63" s="1210"/>
      <c r="H63" s="41" t="s">
        <v>1161</v>
      </c>
      <c r="I63" s="1210"/>
      <c r="J63" s="1210"/>
      <c r="K63" s="1210"/>
      <c r="L63" s="1210"/>
      <c r="M63" s="1210"/>
      <c r="N63" s="1210"/>
      <c r="O63" s="1210"/>
      <c r="P63" s="1210"/>
      <c r="Q63" s="1210"/>
      <c r="R63" s="1210"/>
      <c r="S63" s="1210"/>
      <c r="T63" s="381" t="b" cm="1">
        <f t="array" ref="T63">T62</f>
        <v>1</v>
      </c>
      <c r="U63" s="1210"/>
      <c r="V63" s="1210"/>
      <c r="W63" s="1210"/>
      <c r="X63" s="1755"/>
      <c r="Y63" s="1210"/>
      <c r="Z63" s="1735"/>
      <c r="AA63" s="1210"/>
      <c r="AB63" s="215" t="s">
        <v>1162</v>
      </c>
      <c r="AC63" s="679" t="s">
        <v>1163</v>
      </c>
      <c r="AD63" s="216" t="s">
        <v>766</v>
      </c>
      <c r="AE63" s="686"/>
      <c r="AF63" s="686"/>
      <c r="AG63" s="686"/>
      <c r="AH63" s="686"/>
      <c r="AI63" s="686"/>
      <c r="AJ63" s="686"/>
      <c r="AK63" s="686"/>
      <c r="AL63" s="686"/>
      <c r="AM63" s="686"/>
      <c r="AN63" s="686"/>
      <c r="AO63" s="686"/>
      <c r="AP63" s="686"/>
      <c r="AQ63" s="686"/>
      <c r="AR63" s="686"/>
      <c r="AS63" s="686"/>
      <c r="AT63" s="686"/>
      <c r="AU63" s="686"/>
      <c r="AV63" s="686"/>
      <c r="AW63" s="686"/>
      <c r="AX63" s="686"/>
      <c r="AY63" s="686"/>
      <c r="AZ63" s="686"/>
      <c r="BA63" s="686"/>
      <c r="BB63" s="686"/>
      <c r="BC63" s="686"/>
      <c r="BD63" s="686"/>
      <c r="BE63" s="688"/>
      <c r="BF63" s="1210"/>
      <c r="BG63" s="1210"/>
      <c r="BH63" s="899" t="s">
        <v>1164</v>
      </c>
    </row>
    <row r="64" spans="1:60" s="1327" customFormat="1" ht="14.25" customHeight="1">
      <c r="A64" s="1210"/>
      <c r="B64" s="41"/>
      <c r="C64" s="1210"/>
      <c r="D64" s="1210"/>
      <c r="E64" s="535">
        <v>15</v>
      </c>
      <c r="F64" s="3" t="str" cm="1">
        <f t="array" aca="1" ref="F64" ca="1">OFFSET(E64,-1,1)</f>
        <v>1</v>
      </c>
      <c r="G64" s="1210"/>
      <c r="H64" s="41" t="s">
        <v>1165</v>
      </c>
      <c r="I64" s="1210"/>
      <c r="J64" s="1210"/>
      <c r="K64" s="1210"/>
      <c r="L64" s="1210"/>
      <c r="M64" s="1210"/>
      <c r="N64" s="1210"/>
      <c r="O64" s="1210"/>
      <c r="P64" s="1210"/>
      <c r="Q64" s="1210"/>
      <c r="R64" s="1210"/>
      <c r="S64" s="1210"/>
      <c r="T64" s="381" t="b" cm="1">
        <f t="array" ref="T64">T63</f>
        <v>1</v>
      </c>
      <c r="U64" s="1210"/>
      <c r="V64" s="1210"/>
      <c r="W64" s="1210"/>
      <c r="X64" s="1755"/>
      <c r="Y64" s="1210"/>
      <c r="Z64" s="1735"/>
      <c r="AA64" s="1210"/>
      <c r="AB64" s="215" t="s">
        <v>1166</v>
      </c>
      <c r="AC64" s="679" t="s">
        <v>1167</v>
      </c>
      <c r="AD64" s="216" t="s">
        <v>766</v>
      </c>
      <c r="AE64" s="686"/>
      <c r="AF64" s="686"/>
      <c r="AG64" s="686"/>
      <c r="AH64" s="686"/>
      <c r="AI64" s="686"/>
      <c r="AJ64" s="686"/>
      <c r="AK64" s="686"/>
      <c r="AL64" s="686"/>
      <c r="AM64" s="686"/>
      <c r="AN64" s="686"/>
      <c r="AO64" s="686"/>
      <c r="AP64" s="686"/>
      <c r="AQ64" s="686"/>
      <c r="AR64" s="686"/>
      <c r="AS64" s="686"/>
      <c r="AT64" s="686"/>
      <c r="AU64" s="686"/>
      <c r="AV64" s="686"/>
      <c r="AW64" s="686"/>
      <c r="AX64" s="686"/>
      <c r="AY64" s="686"/>
      <c r="AZ64" s="686"/>
      <c r="BA64" s="686"/>
      <c r="BB64" s="686"/>
      <c r="BC64" s="686"/>
      <c r="BD64" s="686"/>
      <c r="BE64" s="688"/>
      <c r="BF64" s="1210"/>
      <c r="BG64" s="1210"/>
      <c r="BH64" s="899" t="s">
        <v>1168</v>
      </c>
    </row>
    <row r="65" spans="1:60" s="1327" customFormat="1" ht="21.75" customHeight="1">
      <c r="A65" s="1210"/>
      <c r="B65" s="41"/>
      <c r="C65" s="1210"/>
      <c r="D65" s="1210"/>
      <c r="E65" s="535">
        <v>22.5</v>
      </c>
      <c r="F65" s="3" t="str" cm="1">
        <f t="array" aca="1" ref="F65" ca="1">OFFSET(E65,-1,1)</f>
        <v>1</v>
      </c>
      <c r="G65" s="1210"/>
      <c r="H65" s="1210"/>
      <c r="I65" s="1210"/>
      <c r="J65" s="1210"/>
      <c r="K65" s="1210"/>
      <c r="L65" s="1210"/>
      <c r="M65" s="1210"/>
      <c r="N65" s="1210"/>
      <c r="O65" s="1210"/>
      <c r="P65" s="1210"/>
      <c r="Q65" s="1210"/>
      <c r="R65" s="1210"/>
      <c r="S65" s="1210"/>
      <c r="T65" s="381" t="b" cm="1">
        <f t="array" ref="T65">T64</f>
        <v>1</v>
      </c>
      <c r="U65" s="1210"/>
      <c r="V65" s="1210"/>
      <c r="W65" s="1210"/>
      <c r="X65" s="1755"/>
      <c r="Y65" s="1210"/>
      <c r="Z65" s="1735"/>
      <c r="AA65" s="1210"/>
      <c r="AB65" s="215" t="s">
        <v>1169</v>
      </c>
      <c r="AC65" s="679" t="s">
        <v>1170</v>
      </c>
      <c r="AD65" s="216" t="s">
        <v>766</v>
      </c>
      <c r="AE65" s="686">
        <f t="shared" ref="AE65:BD65" si="10">AE66+AE67+AE68+AE69</f>
        <v>0</v>
      </c>
      <c r="AF65" s="686">
        <f t="shared" si="10"/>
        <v>0</v>
      </c>
      <c r="AG65" s="686">
        <f t="shared" si="10"/>
        <v>0</v>
      </c>
      <c r="AH65" s="686">
        <f t="shared" si="10"/>
        <v>0</v>
      </c>
      <c r="AI65" s="686">
        <f t="shared" si="10"/>
        <v>0</v>
      </c>
      <c r="AJ65" s="686">
        <f t="shared" si="10"/>
        <v>0</v>
      </c>
      <c r="AK65" s="686">
        <f t="shared" si="10"/>
        <v>0</v>
      </c>
      <c r="AL65" s="686">
        <f t="shared" si="10"/>
        <v>0</v>
      </c>
      <c r="AM65" s="686">
        <f t="shared" si="10"/>
        <v>0</v>
      </c>
      <c r="AN65" s="686">
        <f t="shared" si="10"/>
        <v>0</v>
      </c>
      <c r="AO65" s="686">
        <f t="shared" si="10"/>
        <v>0</v>
      </c>
      <c r="AP65" s="686">
        <f t="shared" si="10"/>
        <v>0</v>
      </c>
      <c r="AQ65" s="686">
        <f t="shared" si="10"/>
        <v>0</v>
      </c>
      <c r="AR65" s="686">
        <f t="shared" si="10"/>
        <v>0</v>
      </c>
      <c r="AS65" s="686">
        <f t="shared" si="10"/>
        <v>0</v>
      </c>
      <c r="AT65" s="686">
        <f t="shared" si="10"/>
        <v>0</v>
      </c>
      <c r="AU65" s="686">
        <f t="shared" si="10"/>
        <v>0</v>
      </c>
      <c r="AV65" s="686">
        <f t="shared" si="10"/>
        <v>0</v>
      </c>
      <c r="AW65" s="686">
        <f t="shared" si="10"/>
        <v>0</v>
      </c>
      <c r="AX65" s="686">
        <f t="shared" si="10"/>
        <v>0</v>
      </c>
      <c r="AY65" s="686">
        <f t="shared" si="10"/>
        <v>0</v>
      </c>
      <c r="AZ65" s="686">
        <f t="shared" si="10"/>
        <v>0</v>
      </c>
      <c r="BA65" s="686">
        <f t="shared" si="10"/>
        <v>0</v>
      </c>
      <c r="BB65" s="686">
        <f t="shared" si="10"/>
        <v>0</v>
      </c>
      <c r="BC65" s="686">
        <f t="shared" si="10"/>
        <v>0</v>
      </c>
      <c r="BD65" s="686">
        <f t="shared" si="10"/>
        <v>0</v>
      </c>
      <c r="BE65" s="688"/>
      <c r="BF65" s="1210"/>
      <c r="BG65" s="1210"/>
      <c r="BH65" s="899" t="s">
        <v>1171</v>
      </c>
    </row>
    <row r="66" spans="1:60" s="1327" customFormat="1" ht="44.25" customHeight="1">
      <c r="A66" s="1210"/>
      <c r="B66" s="41"/>
      <c r="C66" s="1210"/>
      <c r="D66" s="1210"/>
      <c r="E66" s="535">
        <v>45.75</v>
      </c>
      <c r="F66" s="3" t="str" cm="1">
        <f t="array" aca="1" ref="F66" ca="1">OFFSET(E66,-1,1)</f>
        <v>1</v>
      </c>
      <c r="G66" s="1210"/>
      <c r="H66" s="1210"/>
      <c r="I66" s="1210"/>
      <c r="J66" s="1210"/>
      <c r="K66" s="1210"/>
      <c r="L66" s="1210"/>
      <c r="M66" s="1210"/>
      <c r="N66" s="1210"/>
      <c r="O66" s="1210"/>
      <c r="P66" s="1210"/>
      <c r="Q66" s="1210"/>
      <c r="R66" s="1210"/>
      <c r="S66" s="1210"/>
      <c r="T66" s="381" t="b" cm="1">
        <f t="array" ref="T66">T65</f>
        <v>1</v>
      </c>
      <c r="U66" s="1210"/>
      <c r="V66" s="1210"/>
      <c r="W66" s="1210"/>
      <c r="X66" s="1755"/>
      <c r="Y66" s="1210"/>
      <c r="Z66" s="1735"/>
      <c r="AA66" s="1210"/>
      <c r="AB66" s="215" t="s">
        <v>1172</v>
      </c>
      <c r="AC66" s="682" t="s">
        <v>1173</v>
      </c>
      <c r="AD66" s="216" t="s">
        <v>766</v>
      </c>
      <c r="AE66" s="686"/>
      <c r="AF66" s="686"/>
      <c r="AG66" s="686"/>
      <c r="AH66" s="686"/>
      <c r="AI66" s="686"/>
      <c r="AJ66" s="686"/>
      <c r="AK66" s="686"/>
      <c r="AL66" s="686"/>
      <c r="AM66" s="686"/>
      <c r="AN66" s="686"/>
      <c r="AO66" s="686"/>
      <c r="AP66" s="686"/>
      <c r="AQ66" s="686"/>
      <c r="AR66" s="686"/>
      <c r="AS66" s="686"/>
      <c r="AT66" s="686"/>
      <c r="AU66" s="686"/>
      <c r="AV66" s="686"/>
      <c r="AW66" s="686"/>
      <c r="AX66" s="686"/>
      <c r="AY66" s="686"/>
      <c r="AZ66" s="686"/>
      <c r="BA66" s="686"/>
      <c r="BB66" s="686"/>
      <c r="BC66" s="686"/>
      <c r="BD66" s="686"/>
      <c r="BE66" s="688"/>
      <c r="BF66" s="1210"/>
      <c r="BG66" s="1210"/>
      <c r="BH66" s="899" t="s">
        <v>1174</v>
      </c>
    </row>
    <row r="67" spans="1:60" s="1327" customFormat="1" ht="44.25" customHeight="1">
      <c r="A67" s="1210"/>
      <c r="B67" s="41"/>
      <c r="C67" s="1210"/>
      <c r="D67" s="1210"/>
      <c r="E67" s="535">
        <v>45.75</v>
      </c>
      <c r="F67" s="3" t="str" cm="1">
        <f t="array" aca="1" ref="F67" ca="1">OFFSET(E67,-1,1)</f>
        <v>1</v>
      </c>
      <c r="G67" s="1210"/>
      <c r="H67" s="1210"/>
      <c r="I67" s="1210"/>
      <c r="J67" s="1210"/>
      <c r="K67" s="1210"/>
      <c r="L67" s="1210"/>
      <c r="M67" s="1210"/>
      <c r="N67" s="1210"/>
      <c r="O67" s="1210"/>
      <c r="P67" s="1210"/>
      <c r="Q67" s="1210"/>
      <c r="R67" s="1210"/>
      <c r="S67" s="1210"/>
      <c r="T67" s="381" t="b" cm="1">
        <f t="array" ref="T67">T66</f>
        <v>1</v>
      </c>
      <c r="U67" s="1210"/>
      <c r="V67" s="1210"/>
      <c r="W67" s="1210"/>
      <c r="X67" s="1755"/>
      <c r="Y67" s="1210"/>
      <c r="Z67" s="1735"/>
      <c r="AA67" s="1210"/>
      <c r="AB67" s="215" t="s">
        <v>1175</v>
      </c>
      <c r="AC67" s="682" t="s">
        <v>1176</v>
      </c>
      <c r="AD67" s="216" t="s">
        <v>766</v>
      </c>
      <c r="AE67" s="686"/>
      <c r="AF67" s="686"/>
      <c r="AG67" s="686"/>
      <c r="AH67" s="686"/>
      <c r="AI67" s="686"/>
      <c r="AJ67" s="686"/>
      <c r="AK67" s="686"/>
      <c r="AL67" s="686"/>
      <c r="AM67" s="686"/>
      <c r="AN67" s="686"/>
      <c r="AO67" s="686"/>
      <c r="AP67" s="686"/>
      <c r="AQ67" s="686"/>
      <c r="AR67" s="686"/>
      <c r="AS67" s="686"/>
      <c r="AT67" s="686"/>
      <c r="AU67" s="686"/>
      <c r="AV67" s="686"/>
      <c r="AW67" s="686"/>
      <c r="AX67" s="686"/>
      <c r="AY67" s="686"/>
      <c r="AZ67" s="686"/>
      <c r="BA67" s="686"/>
      <c r="BB67" s="686"/>
      <c r="BC67" s="686"/>
      <c r="BD67" s="686"/>
      <c r="BE67" s="688"/>
      <c r="BF67" s="1210"/>
      <c r="BG67" s="1210"/>
      <c r="BH67" s="899" t="s">
        <v>1177</v>
      </c>
    </row>
    <row r="68" spans="1:60" s="1327" customFormat="1" ht="44.25" customHeight="1">
      <c r="A68" s="1210"/>
      <c r="B68" s="41"/>
      <c r="C68" s="1210"/>
      <c r="D68" s="1210"/>
      <c r="E68" s="535">
        <v>45.75</v>
      </c>
      <c r="F68" s="3" t="str" cm="1">
        <f t="array" aca="1" ref="F68" ca="1">OFFSET(E68,-1,1)</f>
        <v>1</v>
      </c>
      <c r="G68" s="1210"/>
      <c r="H68" s="1210"/>
      <c r="I68" s="1210"/>
      <c r="J68" s="1210"/>
      <c r="K68" s="1210"/>
      <c r="L68" s="1210"/>
      <c r="M68" s="1210"/>
      <c r="N68" s="1210"/>
      <c r="O68" s="1210"/>
      <c r="P68" s="1210"/>
      <c r="Q68" s="1210"/>
      <c r="R68" s="1210"/>
      <c r="S68" s="1210"/>
      <c r="T68" s="381" t="b" cm="1">
        <f t="array" ref="T68">T67</f>
        <v>1</v>
      </c>
      <c r="U68" s="1210"/>
      <c r="V68" s="1210"/>
      <c r="W68" s="1210"/>
      <c r="X68" s="1755"/>
      <c r="Y68" s="1210"/>
      <c r="Z68" s="1735"/>
      <c r="AA68" s="1210"/>
      <c r="AB68" s="215" t="s">
        <v>1178</v>
      </c>
      <c r="AC68" s="682" t="s">
        <v>1179</v>
      </c>
      <c r="AD68" s="216" t="s">
        <v>766</v>
      </c>
      <c r="AE68" s="686"/>
      <c r="AF68" s="686"/>
      <c r="AG68" s="686"/>
      <c r="AH68" s="686"/>
      <c r="AI68" s="686"/>
      <c r="AJ68" s="686"/>
      <c r="AK68" s="686"/>
      <c r="AL68" s="686"/>
      <c r="AM68" s="686"/>
      <c r="AN68" s="686"/>
      <c r="AO68" s="686"/>
      <c r="AP68" s="686"/>
      <c r="AQ68" s="686"/>
      <c r="AR68" s="686"/>
      <c r="AS68" s="686"/>
      <c r="AT68" s="686"/>
      <c r="AU68" s="686"/>
      <c r="AV68" s="686"/>
      <c r="AW68" s="686"/>
      <c r="AX68" s="686"/>
      <c r="AY68" s="686"/>
      <c r="AZ68" s="686"/>
      <c r="BA68" s="686"/>
      <c r="BB68" s="686"/>
      <c r="BC68" s="686"/>
      <c r="BD68" s="686"/>
      <c r="BE68" s="688"/>
      <c r="BF68" s="1210"/>
      <c r="BG68" s="1210"/>
      <c r="BH68" s="899" t="s">
        <v>1180</v>
      </c>
    </row>
    <row r="69" spans="1:60" s="1327" customFormat="1" ht="21.75" customHeight="1">
      <c r="A69" s="1210"/>
      <c r="B69" s="41"/>
      <c r="C69" s="1210"/>
      <c r="D69" s="1210"/>
      <c r="E69" s="535">
        <v>22.5</v>
      </c>
      <c r="F69" s="3" t="str" cm="1">
        <f t="array" aca="1" ref="F69" ca="1">OFFSET(E69,-1,1)</f>
        <v>1</v>
      </c>
      <c r="G69" s="1210"/>
      <c r="H69" s="1210"/>
      <c r="I69" s="1210"/>
      <c r="J69" s="1210"/>
      <c r="K69" s="1210"/>
      <c r="L69" s="1210"/>
      <c r="M69" s="1210"/>
      <c r="N69" s="1210"/>
      <c r="O69" s="1210"/>
      <c r="P69" s="1210"/>
      <c r="Q69" s="1210"/>
      <c r="R69" s="1210"/>
      <c r="S69" s="1210"/>
      <c r="T69" s="381" t="b" cm="1">
        <f t="array" ref="T69">T68</f>
        <v>1</v>
      </c>
      <c r="U69" s="1210"/>
      <c r="V69" s="1210"/>
      <c r="W69" s="1210"/>
      <c r="X69" s="1755"/>
      <c r="Y69" s="1210"/>
      <c r="Z69" s="1735"/>
      <c r="AA69" s="1210"/>
      <c r="AB69" s="215" t="s">
        <v>1181</v>
      </c>
      <c r="AC69" s="682" t="s">
        <v>1182</v>
      </c>
      <c r="AD69" s="216" t="s">
        <v>766</v>
      </c>
      <c r="AE69" s="686"/>
      <c r="AF69" s="686"/>
      <c r="AG69" s="686"/>
      <c r="AH69" s="686"/>
      <c r="AI69" s="686"/>
      <c r="AJ69" s="686"/>
      <c r="AK69" s="686"/>
      <c r="AL69" s="686"/>
      <c r="AM69" s="686"/>
      <c r="AN69" s="686"/>
      <c r="AO69" s="686"/>
      <c r="AP69" s="686"/>
      <c r="AQ69" s="686"/>
      <c r="AR69" s="686"/>
      <c r="AS69" s="686"/>
      <c r="AT69" s="686"/>
      <c r="AU69" s="686"/>
      <c r="AV69" s="686"/>
      <c r="AW69" s="686"/>
      <c r="AX69" s="686"/>
      <c r="AY69" s="686"/>
      <c r="AZ69" s="686"/>
      <c r="BA69" s="686"/>
      <c r="BB69" s="686"/>
      <c r="BC69" s="686"/>
      <c r="BD69" s="686"/>
      <c r="BE69" s="688"/>
      <c r="BF69" s="1210"/>
      <c r="BG69" s="1210"/>
      <c r="BH69" s="899" t="s">
        <v>1183</v>
      </c>
    </row>
    <row r="70" spans="1:60" s="1327" customFormat="1" ht="14.25" customHeight="1">
      <c r="A70" s="1210"/>
      <c r="B70" s="41"/>
      <c r="C70" s="1210"/>
      <c r="D70" s="1210"/>
      <c r="E70" s="535">
        <v>15</v>
      </c>
      <c r="F70" s="3" t="str" cm="1">
        <f t="array" aca="1" ref="F70" ca="1">OFFSET(E70,-1,1)</f>
        <v>1</v>
      </c>
      <c r="G70" s="1210"/>
      <c r="H70" s="41" t="s">
        <v>431</v>
      </c>
      <c r="I70" s="1210"/>
      <c r="J70" s="1210"/>
      <c r="K70" s="1210"/>
      <c r="L70" s="1210"/>
      <c r="M70" s="1210"/>
      <c r="N70" s="1210"/>
      <c r="O70" s="1210"/>
      <c r="P70" s="1210"/>
      <c r="Q70" s="1210"/>
      <c r="R70" s="1210"/>
      <c r="S70" s="1210"/>
      <c r="T70" s="381" t="b" cm="1">
        <f t="array" ref="T70">T69</f>
        <v>1</v>
      </c>
      <c r="U70" s="1210"/>
      <c r="V70" s="1210"/>
      <c r="W70" s="1210"/>
      <c r="X70" s="1755"/>
      <c r="Y70" s="1210"/>
      <c r="Z70" s="1735"/>
      <c r="AA70" s="1210"/>
      <c r="AB70" s="215" t="s">
        <v>824</v>
      </c>
      <c r="AC70" s="676" t="s">
        <v>1184</v>
      </c>
      <c r="AD70" s="216" t="s">
        <v>766</v>
      </c>
      <c r="AE70" s="697">
        <f t="shared" ref="AE70:BD70" si="11">AE71+AE72+AE73</f>
        <v>0</v>
      </c>
      <c r="AF70" s="697">
        <f t="shared" si="11"/>
        <v>0</v>
      </c>
      <c r="AG70" s="697">
        <f t="shared" si="11"/>
        <v>0</v>
      </c>
      <c r="AH70" s="697">
        <f t="shared" si="11"/>
        <v>0</v>
      </c>
      <c r="AI70" s="697">
        <f t="shared" si="11"/>
        <v>0</v>
      </c>
      <c r="AJ70" s="697">
        <f t="shared" si="11"/>
        <v>0</v>
      </c>
      <c r="AK70" s="697">
        <f t="shared" si="11"/>
        <v>0</v>
      </c>
      <c r="AL70" s="697">
        <f t="shared" si="11"/>
        <v>0</v>
      </c>
      <c r="AM70" s="697">
        <f t="shared" si="11"/>
        <v>0</v>
      </c>
      <c r="AN70" s="697">
        <f t="shared" si="11"/>
        <v>0</v>
      </c>
      <c r="AO70" s="697">
        <f t="shared" si="11"/>
        <v>0</v>
      </c>
      <c r="AP70" s="697">
        <f t="shared" si="11"/>
        <v>0</v>
      </c>
      <c r="AQ70" s="697">
        <f t="shared" si="11"/>
        <v>0</v>
      </c>
      <c r="AR70" s="697">
        <f t="shared" si="11"/>
        <v>0</v>
      </c>
      <c r="AS70" s="697">
        <f t="shared" si="11"/>
        <v>0</v>
      </c>
      <c r="AT70" s="697">
        <f t="shared" si="11"/>
        <v>0</v>
      </c>
      <c r="AU70" s="697">
        <f t="shared" si="11"/>
        <v>0</v>
      </c>
      <c r="AV70" s="697">
        <f t="shared" si="11"/>
        <v>0</v>
      </c>
      <c r="AW70" s="697">
        <f t="shared" si="11"/>
        <v>0</v>
      </c>
      <c r="AX70" s="697">
        <f t="shared" si="11"/>
        <v>0</v>
      </c>
      <c r="AY70" s="697">
        <f t="shared" si="11"/>
        <v>0</v>
      </c>
      <c r="AZ70" s="697">
        <f t="shared" si="11"/>
        <v>0</v>
      </c>
      <c r="BA70" s="697">
        <f t="shared" si="11"/>
        <v>0</v>
      </c>
      <c r="BB70" s="697">
        <f t="shared" si="11"/>
        <v>0</v>
      </c>
      <c r="BC70" s="697">
        <f t="shared" si="11"/>
        <v>0</v>
      </c>
      <c r="BD70" s="697">
        <f t="shared" si="11"/>
        <v>0</v>
      </c>
      <c r="BE70" s="688"/>
      <c r="BF70" s="1210"/>
      <c r="BG70" s="1210"/>
      <c r="BH70" s="899" t="s">
        <v>1185</v>
      </c>
    </row>
    <row r="71" spans="1:60" s="1327" customFormat="1" ht="14.25" customHeight="1">
      <c r="A71" s="1210"/>
      <c r="B71" s="41"/>
      <c r="C71" s="1210"/>
      <c r="D71" s="1210"/>
      <c r="E71" s="535">
        <v>15</v>
      </c>
      <c r="F71" s="3" t="str" cm="1">
        <f t="array" aca="1" ref="F71" ca="1">OFFSET(E71,-1,1)</f>
        <v>1</v>
      </c>
      <c r="G71" s="1210"/>
      <c r="H71" s="41" t="s">
        <v>1186</v>
      </c>
      <c r="I71" s="1210"/>
      <c r="J71" s="1210"/>
      <c r="K71" s="1210"/>
      <c r="L71" s="1210"/>
      <c r="M71" s="1210"/>
      <c r="N71" s="1210"/>
      <c r="O71" s="1210"/>
      <c r="P71" s="1210"/>
      <c r="Q71" s="1210"/>
      <c r="R71" s="1210"/>
      <c r="S71" s="1210"/>
      <c r="T71" s="381" t="b" cm="1">
        <f t="array" ref="T71">T70</f>
        <v>1</v>
      </c>
      <c r="U71" s="1210"/>
      <c r="V71" s="1210"/>
      <c r="W71" s="1210"/>
      <c r="X71" s="1755"/>
      <c r="Y71" s="1210"/>
      <c r="Z71" s="1735"/>
      <c r="AA71" s="1210"/>
      <c r="AB71" s="215" t="s">
        <v>1187</v>
      </c>
      <c r="AC71" s="679" t="s">
        <v>1188</v>
      </c>
      <c r="AD71" s="216" t="s">
        <v>766</v>
      </c>
      <c r="AE71" s="686"/>
      <c r="AF71" s="686"/>
      <c r="AG71" s="686"/>
      <c r="AH71" s="686"/>
      <c r="AI71" s="686"/>
      <c r="AJ71" s="686"/>
      <c r="AK71" s="686"/>
      <c r="AL71" s="686"/>
      <c r="AM71" s="686"/>
      <c r="AN71" s="686"/>
      <c r="AO71" s="686"/>
      <c r="AP71" s="686"/>
      <c r="AQ71" s="686"/>
      <c r="AR71" s="686"/>
      <c r="AS71" s="686"/>
      <c r="AT71" s="686"/>
      <c r="AU71" s="686"/>
      <c r="AV71" s="686"/>
      <c r="AW71" s="686"/>
      <c r="AX71" s="686"/>
      <c r="AY71" s="686"/>
      <c r="AZ71" s="686"/>
      <c r="BA71" s="686"/>
      <c r="BB71" s="686"/>
      <c r="BC71" s="686"/>
      <c r="BD71" s="686"/>
      <c r="BE71" s="688"/>
      <c r="BF71" s="1210"/>
      <c r="BG71" s="1210"/>
      <c r="BH71" s="899" t="s">
        <v>1117</v>
      </c>
    </row>
    <row r="72" spans="1:60" s="1327" customFormat="1" ht="14.25" customHeight="1">
      <c r="A72" s="1210"/>
      <c r="B72" s="41"/>
      <c r="C72" s="1210"/>
      <c r="D72" s="1210"/>
      <c r="E72" s="535">
        <v>15</v>
      </c>
      <c r="F72" s="3" t="str" cm="1">
        <f t="array" aca="1" ref="F72" ca="1">OFFSET(E72,-1,1)</f>
        <v>1</v>
      </c>
      <c r="G72" s="1210"/>
      <c r="H72" s="41" t="s">
        <v>1189</v>
      </c>
      <c r="I72" s="1210"/>
      <c r="J72" s="1210"/>
      <c r="K72" s="1210"/>
      <c r="L72" s="1210"/>
      <c r="M72" s="1210"/>
      <c r="N72" s="1210"/>
      <c r="O72" s="1210"/>
      <c r="P72" s="1210"/>
      <c r="Q72" s="1210"/>
      <c r="R72" s="1210"/>
      <c r="S72" s="1210"/>
      <c r="T72" s="381" t="b" cm="1">
        <f t="array" ref="T72">T71</f>
        <v>1</v>
      </c>
      <c r="U72" s="1210"/>
      <c r="V72" s="1210"/>
      <c r="W72" s="1210"/>
      <c r="X72" s="1755"/>
      <c r="Y72" s="1210"/>
      <c r="Z72" s="1735"/>
      <c r="AA72" s="1210"/>
      <c r="AB72" s="215" t="s">
        <v>1190</v>
      </c>
      <c r="AC72" s="679" t="s">
        <v>1191</v>
      </c>
      <c r="AD72" s="216" t="s">
        <v>766</v>
      </c>
      <c r="AE72" s="686"/>
      <c r="AF72" s="686"/>
      <c r="AG72" s="686"/>
      <c r="AH72" s="686"/>
      <c r="AI72" s="686"/>
      <c r="AJ72" s="686"/>
      <c r="AK72" s="686"/>
      <c r="AL72" s="686"/>
      <c r="AM72" s="686"/>
      <c r="AN72" s="686"/>
      <c r="AO72" s="686"/>
      <c r="AP72" s="686"/>
      <c r="AQ72" s="686"/>
      <c r="AR72" s="686"/>
      <c r="AS72" s="686"/>
      <c r="AT72" s="686"/>
      <c r="AU72" s="686"/>
      <c r="AV72" s="686"/>
      <c r="AW72" s="686"/>
      <c r="AX72" s="686"/>
      <c r="AY72" s="686"/>
      <c r="AZ72" s="686"/>
      <c r="BA72" s="686"/>
      <c r="BB72" s="686"/>
      <c r="BC72" s="686"/>
      <c r="BD72" s="686"/>
      <c r="BE72" s="688"/>
      <c r="BF72" s="1210"/>
      <c r="BG72" s="1210"/>
      <c r="BH72" s="899" t="s">
        <v>1192</v>
      </c>
    </row>
    <row r="73" spans="1:60" s="1327" customFormat="1" ht="14.25" customHeight="1">
      <c r="A73" s="1210"/>
      <c r="B73" s="41"/>
      <c r="C73" s="1210"/>
      <c r="D73" s="1210"/>
      <c r="E73" s="535">
        <v>15</v>
      </c>
      <c r="F73" s="3" t="str" cm="1">
        <f t="array" aca="1" ref="F73" ca="1">OFFSET(E73,-1,1)</f>
        <v>1</v>
      </c>
      <c r="G73" s="1210"/>
      <c r="H73" s="41" t="s">
        <v>1193</v>
      </c>
      <c r="I73" s="1210"/>
      <c r="J73" s="1210"/>
      <c r="K73" s="1210"/>
      <c r="L73" s="1210"/>
      <c r="M73" s="1210"/>
      <c r="N73" s="1210"/>
      <c r="O73" s="1210"/>
      <c r="P73" s="1210"/>
      <c r="Q73" s="1210"/>
      <c r="R73" s="1210"/>
      <c r="S73" s="1210"/>
      <c r="T73" s="381" t="b" cm="1">
        <f t="array" ref="T73">T72</f>
        <v>1</v>
      </c>
      <c r="U73" s="1210"/>
      <c r="V73" s="1210"/>
      <c r="W73" s="1210"/>
      <c r="X73" s="1755"/>
      <c r="Y73" s="1210"/>
      <c r="Z73" s="1735"/>
      <c r="AA73" s="1210"/>
      <c r="AB73" s="215" t="s">
        <v>1194</v>
      </c>
      <c r="AC73" s="679" t="s">
        <v>1195</v>
      </c>
      <c r="AD73" s="216" t="s">
        <v>766</v>
      </c>
      <c r="AE73" s="686"/>
      <c r="AF73" s="686"/>
      <c r="AG73" s="686"/>
      <c r="AH73" s="686"/>
      <c r="AI73" s="686"/>
      <c r="AJ73" s="686"/>
      <c r="AK73" s="686"/>
      <c r="AL73" s="686"/>
      <c r="AM73" s="686"/>
      <c r="AN73" s="686"/>
      <c r="AO73" s="686"/>
      <c r="AP73" s="686"/>
      <c r="AQ73" s="686"/>
      <c r="AR73" s="686"/>
      <c r="AS73" s="686"/>
      <c r="AT73" s="686"/>
      <c r="AU73" s="686"/>
      <c r="AV73" s="686"/>
      <c r="AW73" s="686"/>
      <c r="AX73" s="686"/>
      <c r="AY73" s="686"/>
      <c r="AZ73" s="686"/>
      <c r="BA73" s="686"/>
      <c r="BB73" s="686"/>
      <c r="BC73" s="686"/>
      <c r="BD73" s="686"/>
      <c r="BE73" s="688"/>
      <c r="BF73" s="1210"/>
      <c r="BG73" s="1210"/>
      <c r="BH73" s="899" t="s">
        <v>1196</v>
      </c>
    </row>
    <row r="74" spans="1:60" s="1327" customFormat="1" ht="14.25" customHeight="1">
      <c r="A74" s="1210"/>
      <c r="B74" s="41"/>
      <c r="C74" s="1210"/>
      <c r="D74" s="1210"/>
      <c r="E74" s="535">
        <v>15</v>
      </c>
      <c r="F74" s="3" t="str" cm="1">
        <f t="array" aca="1" ref="F74" ca="1">OFFSET(E74,-1,1)</f>
        <v>1</v>
      </c>
      <c r="G74" s="1210"/>
      <c r="H74" s="41" t="s">
        <v>434</v>
      </c>
      <c r="I74" s="1210"/>
      <c r="J74" s="1210"/>
      <c r="K74" s="1210"/>
      <c r="L74" s="1210"/>
      <c r="M74" s="1210"/>
      <c r="N74" s="1210"/>
      <c r="O74" s="1210"/>
      <c r="P74" s="1210"/>
      <c r="Q74" s="1210"/>
      <c r="R74" s="1210"/>
      <c r="S74" s="1210"/>
      <c r="T74" s="381" t="b" cm="1">
        <f t="array" ref="T74">T73</f>
        <v>1</v>
      </c>
      <c r="U74" s="1210"/>
      <c r="V74" s="1210"/>
      <c r="W74" s="1210"/>
      <c r="X74" s="1755"/>
      <c r="Y74" s="1210"/>
      <c r="Z74" s="1735"/>
      <c r="AA74" s="1210"/>
      <c r="AB74" s="215" t="s">
        <v>827</v>
      </c>
      <c r="AC74" s="676" t="s">
        <v>1197</v>
      </c>
      <c r="AD74" s="216" t="s">
        <v>766</v>
      </c>
      <c r="AE74" s="697">
        <f t="shared" ref="AE74:BD74" si="12">AE75+AE76+AE77</f>
        <v>0</v>
      </c>
      <c r="AF74" s="697">
        <f t="shared" si="12"/>
        <v>0</v>
      </c>
      <c r="AG74" s="697">
        <f t="shared" si="12"/>
        <v>0</v>
      </c>
      <c r="AH74" s="697">
        <f t="shared" si="12"/>
        <v>0</v>
      </c>
      <c r="AI74" s="697">
        <f t="shared" si="12"/>
        <v>0</v>
      </c>
      <c r="AJ74" s="697">
        <f t="shared" si="12"/>
        <v>0</v>
      </c>
      <c r="AK74" s="697">
        <f t="shared" si="12"/>
        <v>0</v>
      </c>
      <c r="AL74" s="697">
        <f t="shared" si="12"/>
        <v>0</v>
      </c>
      <c r="AM74" s="697">
        <f t="shared" si="12"/>
        <v>0</v>
      </c>
      <c r="AN74" s="697">
        <f t="shared" si="12"/>
        <v>0</v>
      </c>
      <c r="AO74" s="697">
        <f t="shared" si="12"/>
        <v>0</v>
      </c>
      <c r="AP74" s="697">
        <f t="shared" si="12"/>
        <v>0</v>
      </c>
      <c r="AQ74" s="697">
        <f t="shared" si="12"/>
        <v>0</v>
      </c>
      <c r="AR74" s="697">
        <f t="shared" si="12"/>
        <v>0</v>
      </c>
      <c r="AS74" s="697">
        <f t="shared" si="12"/>
        <v>0</v>
      </c>
      <c r="AT74" s="697">
        <f t="shared" si="12"/>
        <v>0</v>
      </c>
      <c r="AU74" s="697">
        <f t="shared" si="12"/>
        <v>0</v>
      </c>
      <c r="AV74" s="697">
        <f t="shared" si="12"/>
        <v>0</v>
      </c>
      <c r="AW74" s="697">
        <f t="shared" si="12"/>
        <v>0</v>
      </c>
      <c r="AX74" s="697">
        <f t="shared" si="12"/>
        <v>0</v>
      </c>
      <c r="AY74" s="697">
        <f t="shared" si="12"/>
        <v>0</v>
      </c>
      <c r="AZ74" s="697">
        <f t="shared" si="12"/>
        <v>0</v>
      </c>
      <c r="BA74" s="697">
        <f t="shared" si="12"/>
        <v>0</v>
      </c>
      <c r="BB74" s="697">
        <f t="shared" si="12"/>
        <v>0</v>
      </c>
      <c r="BC74" s="697">
        <f t="shared" si="12"/>
        <v>0</v>
      </c>
      <c r="BD74" s="697">
        <f t="shared" si="12"/>
        <v>0</v>
      </c>
      <c r="BE74" s="688"/>
      <c r="BF74" s="1210"/>
      <c r="BG74" s="1210"/>
      <c r="BH74" s="899" t="s">
        <v>1198</v>
      </c>
    </row>
    <row r="75" spans="1:60" s="1327" customFormat="1" ht="14.25" customHeight="1">
      <c r="A75" s="1210"/>
      <c r="B75" s="41"/>
      <c r="C75" s="1210"/>
      <c r="D75" s="1210"/>
      <c r="E75" s="535">
        <v>15</v>
      </c>
      <c r="F75" s="3" t="str" cm="1">
        <f t="array" aca="1" ref="F75" ca="1">OFFSET(E75,-1,1)</f>
        <v>1</v>
      </c>
      <c r="G75" s="1210"/>
      <c r="H75" s="41" t="s">
        <v>1199</v>
      </c>
      <c r="I75" s="1210"/>
      <c r="J75" s="1210"/>
      <c r="K75" s="1210"/>
      <c r="L75" s="1210"/>
      <c r="M75" s="1210"/>
      <c r="N75" s="1210"/>
      <c r="O75" s="1210"/>
      <c r="P75" s="1210"/>
      <c r="Q75" s="1210"/>
      <c r="R75" s="1210"/>
      <c r="S75" s="1210"/>
      <c r="T75" s="381" t="b" cm="1">
        <f t="array" ref="T75">T74</f>
        <v>1</v>
      </c>
      <c r="U75" s="1210"/>
      <c r="V75" s="1210"/>
      <c r="W75" s="1210"/>
      <c r="X75" s="1755"/>
      <c r="Y75" s="1210"/>
      <c r="Z75" s="1735"/>
      <c r="AA75" s="1210"/>
      <c r="AB75" s="215" t="s">
        <v>1200</v>
      </c>
      <c r="AC75" s="679" t="s">
        <v>1201</v>
      </c>
      <c r="AD75" s="216" t="s">
        <v>766</v>
      </c>
      <c r="AE75" s="686"/>
      <c r="AF75" s="686"/>
      <c r="AG75" s="686"/>
      <c r="AH75" s="686"/>
      <c r="AI75" s="686"/>
      <c r="AJ75" s="686"/>
      <c r="AK75" s="686"/>
      <c r="AL75" s="686"/>
      <c r="AM75" s="686"/>
      <c r="AN75" s="686"/>
      <c r="AO75" s="686"/>
      <c r="AP75" s="686"/>
      <c r="AQ75" s="686"/>
      <c r="AR75" s="686"/>
      <c r="AS75" s="686"/>
      <c r="AT75" s="686"/>
      <c r="AU75" s="686"/>
      <c r="AV75" s="686"/>
      <c r="AW75" s="686"/>
      <c r="AX75" s="686"/>
      <c r="AY75" s="686"/>
      <c r="AZ75" s="686"/>
      <c r="BA75" s="686"/>
      <c r="BB75" s="686"/>
      <c r="BC75" s="686"/>
      <c r="BD75" s="686"/>
      <c r="BE75" s="688"/>
      <c r="BF75" s="1210"/>
      <c r="BG75" s="1210"/>
      <c r="BH75" s="899" t="s">
        <v>1202</v>
      </c>
    </row>
    <row r="76" spans="1:60" s="1327" customFormat="1" ht="14.25" customHeight="1">
      <c r="A76" s="1210"/>
      <c r="B76" s="41"/>
      <c r="C76" s="1210"/>
      <c r="D76" s="1210"/>
      <c r="E76" s="535">
        <v>15</v>
      </c>
      <c r="F76" s="3" t="str" cm="1">
        <f t="array" aca="1" ref="F76" ca="1">OFFSET(E76,-1,1)</f>
        <v>1</v>
      </c>
      <c r="G76" s="1210"/>
      <c r="H76" s="41" t="s">
        <v>1203</v>
      </c>
      <c r="I76" s="1210"/>
      <c r="J76" s="1210"/>
      <c r="K76" s="1210"/>
      <c r="L76" s="1210"/>
      <c r="M76" s="1210"/>
      <c r="N76" s="1210"/>
      <c r="O76" s="1210"/>
      <c r="P76" s="1210"/>
      <c r="Q76" s="1210"/>
      <c r="R76" s="1210"/>
      <c r="S76" s="1210"/>
      <c r="T76" s="381" t="b" cm="1">
        <f t="array" ref="T76">T75</f>
        <v>1</v>
      </c>
      <c r="U76" s="1210"/>
      <c r="V76" s="1210"/>
      <c r="W76" s="1210"/>
      <c r="X76" s="1755"/>
      <c r="Y76" s="1210"/>
      <c r="Z76" s="1735"/>
      <c r="AA76" s="1210"/>
      <c r="AB76" s="215" t="s">
        <v>1204</v>
      </c>
      <c r="AC76" s="679" t="s">
        <v>1205</v>
      </c>
      <c r="AD76" s="216" t="s">
        <v>766</v>
      </c>
      <c r="AE76" s="686"/>
      <c r="AF76" s="686"/>
      <c r="AG76" s="686"/>
      <c r="AH76" s="686"/>
      <c r="AI76" s="686"/>
      <c r="AJ76" s="686"/>
      <c r="AK76" s="686"/>
      <c r="AL76" s="686"/>
      <c r="AM76" s="686"/>
      <c r="AN76" s="686"/>
      <c r="AO76" s="686"/>
      <c r="AP76" s="686"/>
      <c r="AQ76" s="686"/>
      <c r="AR76" s="686"/>
      <c r="AS76" s="686"/>
      <c r="AT76" s="686"/>
      <c r="AU76" s="686"/>
      <c r="AV76" s="686"/>
      <c r="AW76" s="686"/>
      <c r="AX76" s="686"/>
      <c r="AY76" s="686"/>
      <c r="AZ76" s="686"/>
      <c r="BA76" s="686"/>
      <c r="BB76" s="686"/>
      <c r="BC76" s="686"/>
      <c r="BD76" s="686"/>
      <c r="BE76" s="688"/>
      <c r="BF76" s="1210"/>
      <c r="BG76" s="1210"/>
      <c r="BH76" s="899" t="s">
        <v>1206</v>
      </c>
    </row>
    <row r="77" spans="1:60" s="1327" customFormat="1" ht="14.25" customHeight="1">
      <c r="A77" s="1210"/>
      <c r="B77" s="41"/>
      <c r="C77" s="1210"/>
      <c r="D77" s="1210"/>
      <c r="E77" s="535">
        <v>15</v>
      </c>
      <c r="F77" s="3" t="str" cm="1">
        <f t="array" aca="1" ref="F77" ca="1">OFFSET(E77,-1,1)</f>
        <v>1</v>
      </c>
      <c r="G77" s="1210"/>
      <c r="H77" s="41" t="s">
        <v>1207</v>
      </c>
      <c r="I77" s="1210"/>
      <c r="J77" s="1210"/>
      <c r="K77" s="1210"/>
      <c r="L77" s="1210"/>
      <c r="M77" s="1210"/>
      <c r="N77" s="1210"/>
      <c r="O77" s="1210"/>
      <c r="P77" s="1210"/>
      <c r="Q77" s="1210"/>
      <c r="R77" s="1210"/>
      <c r="S77" s="1210"/>
      <c r="T77" s="381" t="b" cm="1">
        <f t="array" ref="T77">T76</f>
        <v>1</v>
      </c>
      <c r="U77" s="1210"/>
      <c r="V77" s="1210"/>
      <c r="W77" s="1210"/>
      <c r="X77" s="1755"/>
      <c r="Y77" s="1210"/>
      <c r="Z77" s="1735"/>
      <c r="AA77" s="1210"/>
      <c r="AB77" s="215" t="s">
        <v>1208</v>
      </c>
      <c r="AC77" s="679" t="s">
        <v>1209</v>
      </c>
      <c r="AD77" s="216" t="s">
        <v>766</v>
      </c>
      <c r="AE77" s="686"/>
      <c r="AF77" s="686"/>
      <c r="AG77" s="686"/>
      <c r="AH77" s="686"/>
      <c r="AI77" s="686"/>
      <c r="AJ77" s="686"/>
      <c r="AK77" s="686"/>
      <c r="AL77" s="686"/>
      <c r="AM77" s="686"/>
      <c r="AN77" s="686"/>
      <c r="AO77" s="686"/>
      <c r="AP77" s="686"/>
      <c r="AQ77" s="686"/>
      <c r="AR77" s="686"/>
      <c r="AS77" s="686"/>
      <c r="AT77" s="686"/>
      <c r="AU77" s="686"/>
      <c r="AV77" s="686"/>
      <c r="AW77" s="686"/>
      <c r="AX77" s="686"/>
      <c r="AY77" s="686"/>
      <c r="AZ77" s="686"/>
      <c r="BA77" s="686"/>
      <c r="BB77" s="686"/>
      <c r="BC77" s="686"/>
      <c r="BD77" s="686"/>
      <c r="BE77" s="688"/>
      <c r="BF77" s="1210"/>
      <c r="BG77" s="1210"/>
      <c r="BH77" s="899" t="s">
        <v>1210</v>
      </c>
    </row>
    <row r="78" spans="1:60" s="1327" customFormat="1" ht="14.25" customHeight="1">
      <c r="A78" s="1210"/>
      <c r="B78" s="41"/>
      <c r="C78" s="1210"/>
      <c r="D78" s="1210"/>
      <c r="E78" s="535">
        <v>15</v>
      </c>
      <c r="F78" s="3" t="str" cm="1">
        <f t="array" aca="1" ref="F78" ca="1">OFFSET(E78,-1,1)</f>
        <v>1</v>
      </c>
      <c r="G78" s="1210"/>
      <c r="H78" s="41" t="s">
        <v>438</v>
      </c>
      <c r="I78" s="1210"/>
      <c r="J78" s="1210"/>
      <c r="K78" s="1210"/>
      <c r="L78" s="1210"/>
      <c r="M78" s="1210"/>
      <c r="N78" s="1210"/>
      <c r="O78" s="1210"/>
      <c r="P78" s="1210"/>
      <c r="Q78" s="1210"/>
      <c r="R78" s="1210"/>
      <c r="S78" s="1210"/>
      <c r="T78" s="381" t="b" cm="1">
        <f t="array" ref="T78">T77</f>
        <v>1</v>
      </c>
      <c r="U78" s="1210"/>
      <c r="V78" s="1210"/>
      <c r="W78" s="1210"/>
      <c r="X78" s="1755"/>
      <c r="Y78" s="1210"/>
      <c r="Z78" s="1735"/>
      <c r="AA78" s="1210"/>
      <c r="AB78" s="215" t="s">
        <v>830</v>
      </c>
      <c r="AC78" s="676" t="s">
        <v>1211</v>
      </c>
      <c r="AD78" s="216" t="s">
        <v>766</v>
      </c>
      <c r="AE78" s="697">
        <f t="shared" ref="AE78:BD78" si="13">AE79+AE80+AE81+AE82</f>
        <v>0</v>
      </c>
      <c r="AF78" s="697">
        <f t="shared" si="13"/>
        <v>0</v>
      </c>
      <c r="AG78" s="697">
        <f t="shared" si="13"/>
        <v>0</v>
      </c>
      <c r="AH78" s="697">
        <f t="shared" si="13"/>
        <v>0</v>
      </c>
      <c r="AI78" s="697">
        <f t="shared" si="13"/>
        <v>0</v>
      </c>
      <c r="AJ78" s="697">
        <f t="shared" si="13"/>
        <v>0</v>
      </c>
      <c r="AK78" s="697">
        <f t="shared" si="13"/>
        <v>0</v>
      </c>
      <c r="AL78" s="697">
        <f t="shared" si="13"/>
        <v>0</v>
      </c>
      <c r="AM78" s="697">
        <f t="shared" si="13"/>
        <v>0</v>
      </c>
      <c r="AN78" s="697">
        <f t="shared" si="13"/>
        <v>0</v>
      </c>
      <c r="AO78" s="697">
        <f t="shared" si="13"/>
        <v>0</v>
      </c>
      <c r="AP78" s="697">
        <f t="shared" si="13"/>
        <v>0</v>
      </c>
      <c r="AQ78" s="697">
        <f t="shared" si="13"/>
        <v>0</v>
      </c>
      <c r="AR78" s="697">
        <f t="shared" si="13"/>
        <v>0</v>
      </c>
      <c r="AS78" s="697">
        <f t="shared" si="13"/>
        <v>0</v>
      </c>
      <c r="AT78" s="697">
        <f t="shared" si="13"/>
        <v>0</v>
      </c>
      <c r="AU78" s="697">
        <f t="shared" si="13"/>
        <v>0</v>
      </c>
      <c r="AV78" s="697">
        <f t="shared" si="13"/>
        <v>0</v>
      </c>
      <c r="AW78" s="697">
        <f t="shared" si="13"/>
        <v>0</v>
      </c>
      <c r="AX78" s="697">
        <f t="shared" si="13"/>
        <v>0</v>
      </c>
      <c r="AY78" s="697">
        <f t="shared" si="13"/>
        <v>0</v>
      </c>
      <c r="AZ78" s="697">
        <f t="shared" si="13"/>
        <v>0</v>
      </c>
      <c r="BA78" s="697">
        <f t="shared" si="13"/>
        <v>0</v>
      </c>
      <c r="BB78" s="697">
        <f t="shared" si="13"/>
        <v>0</v>
      </c>
      <c r="BC78" s="697">
        <f t="shared" si="13"/>
        <v>0</v>
      </c>
      <c r="BD78" s="697">
        <f t="shared" si="13"/>
        <v>0</v>
      </c>
      <c r="BE78" s="688"/>
      <c r="BF78" s="1210"/>
      <c r="BG78" s="1210"/>
      <c r="BH78" s="899" t="s">
        <v>1212</v>
      </c>
    </row>
    <row r="79" spans="1:60" s="1327" customFormat="1" ht="14.25" customHeight="1">
      <c r="A79" s="1210"/>
      <c r="B79" s="41"/>
      <c r="C79" s="1210"/>
      <c r="D79" s="1210"/>
      <c r="E79" s="535">
        <v>15</v>
      </c>
      <c r="F79" s="3" t="str" cm="1">
        <f t="array" aca="1" ref="F79" ca="1">OFFSET(E79,-1,1)</f>
        <v>1</v>
      </c>
      <c r="G79" s="1210"/>
      <c r="H79" s="41" t="s">
        <v>1213</v>
      </c>
      <c r="I79" s="1210"/>
      <c r="J79" s="1210"/>
      <c r="K79" s="1210"/>
      <c r="L79" s="1210"/>
      <c r="M79" s="1210"/>
      <c r="N79" s="1210"/>
      <c r="O79" s="1210"/>
      <c r="P79" s="1210"/>
      <c r="Q79" s="1210"/>
      <c r="R79" s="1210"/>
      <c r="S79" s="1210"/>
      <c r="T79" s="381" t="b" cm="1">
        <f t="array" ref="T79">T78</f>
        <v>1</v>
      </c>
      <c r="U79" s="1210"/>
      <c r="V79" s="1210"/>
      <c r="W79" s="1210"/>
      <c r="X79" s="1755"/>
      <c r="Y79" s="1210"/>
      <c r="Z79" s="1735"/>
      <c r="AA79" s="1210"/>
      <c r="AB79" s="215" t="s">
        <v>941</v>
      </c>
      <c r="AC79" s="679" t="s">
        <v>935</v>
      </c>
      <c r="AD79" s="216" t="s">
        <v>766</v>
      </c>
      <c r="AE79" s="686"/>
      <c r="AF79" s="686"/>
      <c r="AG79" s="686"/>
      <c r="AH79" s="686"/>
      <c r="AI79" s="686"/>
      <c r="AJ79" s="686"/>
      <c r="AK79" s="686"/>
      <c r="AL79" s="686"/>
      <c r="AM79" s="686"/>
      <c r="AN79" s="686"/>
      <c r="AO79" s="686"/>
      <c r="AP79" s="686"/>
      <c r="AQ79" s="686"/>
      <c r="AR79" s="686"/>
      <c r="AS79" s="686"/>
      <c r="AT79" s="686"/>
      <c r="AU79" s="686"/>
      <c r="AV79" s="686"/>
      <c r="AW79" s="686"/>
      <c r="AX79" s="686"/>
      <c r="AY79" s="686"/>
      <c r="AZ79" s="686"/>
      <c r="BA79" s="686"/>
      <c r="BB79" s="686"/>
      <c r="BC79" s="686"/>
      <c r="BD79" s="686"/>
      <c r="BE79" s="688"/>
      <c r="BF79" s="1210"/>
      <c r="BG79" s="1210"/>
      <c r="BH79" s="899" t="s">
        <v>937</v>
      </c>
    </row>
    <row r="80" spans="1:60" s="1327" customFormat="1" ht="21.75" customHeight="1">
      <c r="A80" s="1210"/>
      <c r="B80" s="41"/>
      <c r="C80" s="1210"/>
      <c r="D80" s="1210"/>
      <c r="E80" s="535">
        <v>22.5</v>
      </c>
      <c r="F80" s="3" t="str" cm="1">
        <f t="array" aca="1" ref="F80" ca="1">OFFSET(E80,-1,1)</f>
        <v>1</v>
      </c>
      <c r="G80" s="1210"/>
      <c r="H80" s="41" t="s">
        <v>1214</v>
      </c>
      <c r="I80" s="1210"/>
      <c r="J80" s="1210"/>
      <c r="K80" s="1210"/>
      <c r="L80" s="1210"/>
      <c r="M80" s="1210"/>
      <c r="N80" s="1210"/>
      <c r="O80" s="1210"/>
      <c r="P80" s="1210"/>
      <c r="Q80" s="1210"/>
      <c r="R80" s="1210"/>
      <c r="S80" s="1210"/>
      <c r="T80" s="381" t="b" cm="1">
        <f t="array" ref="T80">T79</f>
        <v>1</v>
      </c>
      <c r="U80" s="1210"/>
      <c r="V80" s="1210"/>
      <c r="W80" s="1210"/>
      <c r="X80" s="1755"/>
      <c r="Y80" s="1210"/>
      <c r="Z80" s="1735"/>
      <c r="AA80" s="1210"/>
      <c r="AB80" s="215" t="s">
        <v>944</v>
      </c>
      <c r="AC80" s="679" t="s">
        <v>1215</v>
      </c>
      <c r="AD80" s="216" t="s">
        <v>766</v>
      </c>
      <c r="AE80" s="686"/>
      <c r="AF80" s="686"/>
      <c r="AG80" s="686"/>
      <c r="AH80" s="686"/>
      <c r="AI80" s="686"/>
      <c r="AJ80" s="686"/>
      <c r="AK80" s="686"/>
      <c r="AL80" s="686"/>
      <c r="AM80" s="686"/>
      <c r="AN80" s="686"/>
      <c r="AO80" s="686"/>
      <c r="AP80" s="686"/>
      <c r="AQ80" s="686"/>
      <c r="AR80" s="686"/>
      <c r="AS80" s="686"/>
      <c r="AT80" s="686"/>
      <c r="AU80" s="686"/>
      <c r="AV80" s="686"/>
      <c r="AW80" s="686"/>
      <c r="AX80" s="686"/>
      <c r="AY80" s="686"/>
      <c r="AZ80" s="686"/>
      <c r="BA80" s="686"/>
      <c r="BB80" s="686"/>
      <c r="BC80" s="686"/>
      <c r="BD80" s="686"/>
      <c r="BE80" s="688"/>
      <c r="BF80" s="1210"/>
      <c r="BG80" s="1210"/>
      <c r="BH80" s="899" t="s">
        <v>1216</v>
      </c>
    </row>
    <row r="81" spans="1:60" s="1327" customFormat="1" ht="21.75" customHeight="1">
      <c r="A81" s="1210"/>
      <c r="B81" s="41"/>
      <c r="C81" s="1210"/>
      <c r="D81" s="1210"/>
      <c r="E81" s="535">
        <v>22.5</v>
      </c>
      <c r="F81" s="3" t="str" cm="1">
        <f t="array" aca="1" ref="F81" ca="1">OFFSET(E81,-1,1)</f>
        <v>1</v>
      </c>
      <c r="G81" s="1210"/>
      <c r="H81" s="41" t="s">
        <v>1217</v>
      </c>
      <c r="I81" s="1210"/>
      <c r="J81" s="1210"/>
      <c r="K81" s="1210"/>
      <c r="L81" s="1210"/>
      <c r="M81" s="1210"/>
      <c r="N81" s="1210"/>
      <c r="O81" s="1210"/>
      <c r="P81" s="1210"/>
      <c r="Q81" s="1210"/>
      <c r="R81" s="1210"/>
      <c r="S81" s="1210"/>
      <c r="T81" s="381" t="b" cm="1">
        <f t="array" ref="T81">T80</f>
        <v>1</v>
      </c>
      <c r="U81" s="1210"/>
      <c r="V81" s="1210"/>
      <c r="W81" s="1210"/>
      <c r="X81" s="1755"/>
      <c r="Y81" s="1210"/>
      <c r="Z81" s="1735"/>
      <c r="AA81" s="1210"/>
      <c r="AB81" s="215" t="s">
        <v>1218</v>
      </c>
      <c r="AC81" s="679" t="s">
        <v>1219</v>
      </c>
      <c r="AD81" s="216" t="s">
        <v>766</v>
      </c>
      <c r="AE81" s="686"/>
      <c r="AF81" s="686"/>
      <c r="AG81" s="686"/>
      <c r="AH81" s="686"/>
      <c r="AI81" s="686"/>
      <c r="AJ81" s="686"/>
      <c r="AK81" s="686"/>
      <c r="AL81" s="686"/>
      <c r="AM81" s="686"/>
      <c r="AN81" s="686"/>
      <c r="AO81" s="686"/>
      <c r="AP81" s="686"/>
      <c r="AQ81" s="686"/>
      <c r="AR81" s="686"/>
      <c r="AS81" s="686"/>
      <c r="AT81" s="686"/>
      <c r="AU81" s="686"/>
      <c r="AV81" s="686"/>
      <c r="AW81" s="686"/>
      <c r="AX81" s="686"/>
      <c r="AY81" s="686"/>
      <c r="AZ81" s="686"/>
      <c r="BA81" s="686"/>
      <c r="BB81" s="686"/>
      <c r="BC81" s="686"/>
      <c r="BD81" s="686"/>
      <c r="BE81" s="688"/>
      <c r="BF81" s="1210"/>
      <c r="BG81" s="1210"/>
      <c r="BH81" s="899" t="s">
        <v>1220</v>
      </c>
    </row>
    <row r="82" spans="1:60" s="1327" customFormat="1" ht="14.25" customHeight="1">
      <c r="A82" s="1210"/>
      <c r="B82" s="41"/>
      <c r="C82" s="1210"/>
      <c r="D82" s="1210"/>
      <c r="E82" s="535">
        <v>15</v>
      </c>
      <c r="F82" s="3" t="str" cm="1">
        <f t="array" aca="1" ref="F82" ca="1">OFFSET(E82,-1,1)</f>
        <v>1</v>
      </c>
      <c r="G82" s="1210"/>
      <c r="H82" s="41" t="s">
        <v>1221</v>
      </c>
      <c r="I82" s="1210"/>
      <c r="J82" s="1210"/>
      <c r="K82" s="1210"/>
      <c r="L82" s="1210"/>
      <c r="M82" s="1210"/>
      <c r="N82" s="1210"/>
      <c r="O82" s="1210"/>
      <c r="P82" s="1210"/>
      <c r="Q82" s="1210"/>
      <c r="R82" s="1210"/>
      <c r="S82" s="1210"/>
      <c r="T82" s="381" t="b" cm="1">
        <f t="array" ref="T82">T81</f>
        <v>1</v>
      </c>
      <c r="U82" s="1210"/>
      <c r="V82" s="1210"/>
      <c r="W82" s="1210"/>
      <c r="X82" s="1755"/>
      <c r="Y82" s="1210"/>
      <c r="Z82" s="1735"/>
      <c r="AA82" s="1210"/>
      <c r="AB82" s="215" t="s">
        <v>1222</v>
      </c>
      <c r="AC82" s="679" t="s">
        <v>1223</v>
      </c>
      <c r="AD82" s="216" t="s">
        <v>766</v>
      </c>
      <c r="AE82" s="686"/>
      <c r="AF82" s="686"/>
      <c r="AG82" s="686"/>
      <c r="AH82" s="686"/>
      <c r="AI82" s="686"/>
      <c r="AJ82" s="686"/>
      <c r="AK82" s="686"/>
      <c r="AL82" s="686"/>
      <c r="AM82" s="686"/>
      <c r="AN82" s="686"/>
      <c r="AO82" s="686"/>
      <c r="AP82" s="686"/>
      <c r="AQ82" s="686"/>
      <c r="AR82" s="686"/>
      <c r="AS82" s="686"/>
      <c r="AT82" s="686"/>
      <c r="AU82" s="686"/>
      <c r="AV82" s="686"/>
      <c r="AW82" s="686"/>
      <c r="AX82" s="686"/>
      <c r="AY82" s="686"/>
      <c r="AZ82" s="686"/>
      <c r="BA82" s="686"/>
      <c r="BB82" s="686"/>
      <c r="BC82" s="686"/>
      <c r="BD82" s="686"/>
      <c r="BE82" s="688"/>
      <c r="BF82" s="1210"/>
      <c r="BG82" s="1210"/>
      <c r="BH82" s="899" t="s">
        <v>1224</v>
      </c>
    </row>
    <row r="83" spans="1:60" s="1412" customFormat="1" ht="21.75" customHeight="1">
      <c r="A83" s="615"/>
      <c r="B83" s="41"/>
      <c r="C83" s="615"/>
      <c r="D83" s="615"/>
      <c r="E83" s="608">
        <v>22.5</v>
      </c>
      <c r="F83" s="3" t="str" cm="1">
        <f t="array" aca="1" ref="F83" ca="1">OFFSET(E83,-1,1)</f>
        <v>1</v>
      </c>
      <c r="G83" s="41"/>
      <c r="H83" s="41" t="s">
        <v>324</v>
      </c>
      <c r="I83" s="615"/>
      <c r="J83" s="615"/>
      <c r="K83" s="615"/>
      <c r="L83" s="615"/>
      <c r="M83" s="615"/>
      <c r="N83" s="615"/>
      <c r="O83" s="615"/>
      <c r="P83" s="615"/>
      <c r="Q83" s="615"/>
      <c r="R83" s="615"/>
      <c r="S83" s="615"/>
      <c r="T83" s="381" t="b" cm="1">
        <f t="array" ref="T83">T82</f>
        <v>1</v>
      </c>
      <c r="U83" s="615"/>
      <c r="V83" s="615"/>
      <c r="W83" s="615"/>
      <c r="X83" s="1755"/>
      <c r="Y83" s="615"/>
      <c r="Z83" s="1735"/>
      <c r="AA83" s="615"/>
      <c r="AB83" s="136" t="s">
        <v>224</v>
      </c>
      <c r="AC83" s="137" t="s">
        <v>1225</v>
      </c>
      <c r="AD83" s="129" t="s">
        <v>766</v>
      </c>
      <c r="AE83" s="131">
        <f t="shared" ref="AE83:BD83" si="14">AE84+AE85+AE86</f>
        <v>0</v>
      </c>
      <c r="AF83" s="131">
        <f t="shared" si="14"/>
        <v>0</v>
      </c>
      <c r="AG83" s="131">
        <f t="shared" si="14"/>
        <v>0</v>
      </c>
      <c r="AH83" s="131">
        <f t="shared" si="14"/>
        <v>0</v>
      </c>
      <c r="AI83" s="131">
        <f t="shared" si="14"/>
        <v>0</v>
      </c>
      <c r="AJ83" s="131">
        <f t="shared" si="14"/>
        <v>0</v>
      </c>
      <c r="AK83" s="131">
        <f t="shared" si="14"/>
        <v>0</v>
      </c>
      <c r="AL83" s="131">
        <f t="shared" si="14"/>
        <v>0</v>
      </c>
      <c r="AM83" s="131">
        <f t="shared" si="14"/>
        <v>0</v>
      </c>
      <c r="AN83" s="131">
        <f t="shared" si="14"/>
        <v>0</v>
      </c>
      <c r="AO83" s="131">
        <f t="shared" si="14"/>
        <v>0</v>
      </c>
      <c r="AP83" s="131">
        <f t="shared" si="14"/>
        <v>0</v>
      </c>
      <c r="AQ83" s="131">
        <f t="shared" si="14"/>
        <v>0</v>
      </c>
      <c r="AR83" s="131">
        <f t="shared" si="14"/>
        <v>0</v>
      </c>
      <c r="AS83" s="131">
        <f t="shared" si="14"/>
        <v>0</v>
      </c>
      <c r="AT83" s="131">
        <f t="shared" si="14"/>
        <v>0</v>
      </c>
      <c r="AU83" s="131">
        <f t="shared" si="14"/>
        <v>0</v>
      </c>
      <c r="AV83" s="131">
        <f t="shared" si="14"/>
        <v>0</v>
      </c>
      <c r="AW83" s="131">
        <f t="shared" si="14"/>
        <v>0</v>
      </c>
      <c r="AX83" s="131">
        <f t="shared" si="14"/>
        <v>0</v>
      </c>
      <c r="AY83" s="131">
        <f t="shared" si="14"/>
        <v>0</v>
      </c>
      <c r="AZ83" s="131">
        <f t="shared" si="14"/>
        <v>0</v>
      </c>
      <c r="BA83" s="131">
        <f t="shared" si="14"/>
        <v>0</v>
      </c>
      <c r="BB83" s="131">
        <f t="shared" si="14"/>
        <v>0</v>
      </c>
      <c r="BC83" s="131">
        <f t="shared" si="14"/>
        <v>0</v>
      </c>
      <c r="BD83" s="131">
        <f t="shared" si="14"/>
        <v>0</v>
      </c>
      <c r="BE83" s="688"/>
      <c r="BF83" s="615"/>
      <c r="BG83" s="615"/>
      <c r="BH83" s="953" t="s">
        <v>1226</v>
      </c>
    </row>
    <row r="84" spans="1:60" s="1327" customFormat="1" ht="14.25" customHeight="1">
      <c r="A84" s="1210"/>
      <c r="B84" s="41"/>
      <c r="C84" s="1210"/>
      <c r="D84" s="1210"/>
      <c r="E84" s="535">
        <v>15</v>
      </c>
      <c r="F84" s="3" t="str" cm="1">
        <f t="array" aca="1" ref="F84" ca="1">OFFSET(E84,-1,1)</f>
        <v>1</v>
      </c>
      <c r="G84" s="1210"/>
      <c r="H84" s="41" t="s">
        <v>445</v>
      </c>
      <c r="I84" s="1210"/>
      <c r="J84" s="1210"/>
      <c r="K84" s="43" t="str">
        <f ca="1">F84&amp;"2komm"</f>
        <v>12komm</v>
      </c>
      <c r="L84" s="43" cm="1">
        <f t="array" ref="L84">BE84</f>
        <v>0</v>
      </c>
      <c r="M84" s="1210"/>
      <c r="N84" s="1210"/>
      <c r="O84" s="1210"/>
      <c r="P84" s="1210"/>
      <c r="Q84" s="1210"/>
      <c r="R84" s="1210"/>
      <c r="S84" s="1210"/>
      <c r="T84" s="381" t="b" cm="1">
        <f t="array" ref="T84">T83</f>
        <v>1</v>
      </c>
      <c r="U84" s="1210"/>
      <c r="V84" s="1210"/>
      <c r="W84" s="1210"/>
      <c r="X84" s="1755"/>
      <c r="Y84" s="1210"/>
      <c r="Z84" s="1735"/>
      <c r="AA84" s="1210"/>
      <c r="AB84" s="215" t="s">
        <v>502</v>
      </c>
      <c r="AC84" s="676" t="s">
        <v>1227</v>
      </c>
      <c r="AD84" s="216" t="s">
        <v>766</v>
      </c>
      <c r="AE84" s="686"/>
      <c r="AF84" s="686"/>
      <c r="AG84" s="686"/>
      <c r="AH84" s="686"/>
      <c r="AI84" s="686"/>
      <c r="AJ84" s="686"/>
      <c r="AK84" s="686"/>
      <c r="AL84" s="686"/>
      <c r="AM84" s="686"/>
      <c r="AN84" s="686"/>
      <c r="AO84" s="686"/>
      <c r="AP84" s="686"/>
      <c r="AQ84" s="686"/>
      <c r="AR84" s="686"/>
      <c r="AS84" s="686"/>
      <c r="AT84" s="686"/>
      <c r="AU84" s="686"/>
      <c r="AV84" s="686"/>
      <c r="AW84" s="686"/>
      <c r="AX84" s="686"/>
      <c r="AY84" s="686"/>
      <c r="AZ84" s="686"/>
      <c r="BA84" s="686"/>
      <c r="BB84" s="686"/>
      <c r="BC84" s="686"/>
      <c r="BD84" s="686"/>
      <c r="BE84" s="688"/>
      <c r="BF84" s="1210"/>
      <c r="BG84" s="1210"/>
      <c r="BH84" s="899" t="s">
        <v>1228</v>
      </c>
    </row>
    <row r="85" spans="1:60" s="1327" customFormat="1" ht="14.25" customHeight="1">
      <c r="A85" s="1210"/>
      <c r="B85" s="41"/>
      <c r="C85" s="1210"/>
      <c r="D85" s="1210"/>
      <c r="E85" s="535">
        <v>15</v>
      </c>
      <c r="F85" s="3" t="str" cm="1">
        <f t="array" aca="1" ref="F85" ca="1">OFFSET(E85,-1,1)</f>
        <v>1</v>
      </c>
      <c r="G85" s="1210"/>
      <c r="H85" s="41" t="s">
        <v>448</v>
      </c>
      <c r="I85" s="1210"/>
      <c r="J85" s="1210"/>
      <c r="K85" s="43" t="str">
        <f ca="1">F85&amp;"3komm"</f>
        <v>13komm</v>
      </c>
      <c r="L85" s="43" cm="1">
        <f t="array" ref="L85">BE85</f>
        <v>0</v>
      </c>
      <c r="M85" s="1210"/>
      <c r="N85" s="1210"/>
      <c r="O85" s="1210"/>
      <c r="P85" s="1210"/>
      <c r="Q85" s="1210"/>
      <c r="R85" s="1210"/>
      <c r="S85" s="1210"/>
      <c r="T85" s="381" t="b" cm="1">
        <f t="array" ref="T85">T84</f>
        <v>1</v>
      </c>
      <c r="U85" s="1210"/>
      <c r="V85" s="1210"/>
      <c r="W85" s="1210"/>
      <c r="X85" s="1755"/>
      <c r="Y85" s="1210"/>
      <c r="Z85" s="1735"/>
      <c r="AA85" s="1210"/>
      <c r="AB85" s="215" t="s">
        <v>506</v>
      </c>
      <c r="AC85" s="676" t="s">
        <v>1229</v>
      </c>
      <c r="AD85" s="216" t="s">
        <v>766</v>
      </c>
      <c r="AE85" s="686"/>
      <c r="AF85" s="686"/>
      <c r="AG85" s="686"/>
      <c r="AH85" s="686"/>
      <c r="AI85" s="686"/>
      <c r="AJ85" s="686"/>
      <c r="AK85" s="686"/>
      <c r="AL85" s="686"/>
      <c r="AM85" s="686"/>
      <c r="AN85" s="686"/>
      <c r="AO85" s="686"/>
      <c r="AP85" s="686"/>
      <c r="AQ85" s="686"/>
      <c r="AR85" s="686"/>
      <c r="AS85" s="686"/>
      <c r="AT85" s="686"/>
      <c r="AU85" s="686"/>
      <c r="AV85" s="686"/>
      <c r="AW85" s="686"/>
      <c r="AX85" s="686"/>
      <c r="AY85" s="686"/>
      <c r="AZ85" s="686"/>
      <c r="BA85" s="686"/>
      <c r="BB85" s="686"/>
      <c r="BC85" s="686"/>
      <c r="BD85" s="686"/>
      <c r="BE85" s="688"/>
      <c r="BF85" s="1210"/>
      <c r="BG85" s="1210"/>
      <c r="BH85" s="899" t="s">
        <v>1230</v>
      </c>
    </row>
    <row r="86" spans="1:60" s="1327" customFormat="1" ht="14.25" customHeight="1">
      <c r="A86" s="1210"/>
      <c r="B86" s="41"/>
      <c r="C86" s="1210"/>
      <c r="D86" s="1210"/>
      <c r="E86" s="535">
        <v>15</v>
      </c>
      <c r="F86" s="3" t="str" cm="1">
        <f t="array" aca="1" ref="F86" ca="1">OFFSET(E86,-1,1)</f>
        <v>1</v>
      </c>
      <c r="G86" s="1210"/>
      <c r="H86" s="41" t="s">
        <v>841</v>
      </c>
      <c r="I86" s="1210"/>
      <c r="J86" s="1210"/>
      <c r="K86" s="1210"/>
      <c r="L86" s="1210"/>
      <c r="M86" s="1210"/>
      <c r="N86" s="1210"/>
      <c r="O86" s="1210"/>
      <c r="P86" s="1210"/>
      <c r="Q86" s="1210"/>
      <c r="R86" s="1210"/>
      <c r="S86" s="1210"/>
      <c r="T86" s="381" t="b" cm="1">
        <f t="array" ref="T86">T85</f>
        <v>1</v>
      </c>
      <c r="U86" s="1210"/>
      <c r="V86" s="1210"/>
      <c r="W86" s="1210"/>
      <c r="X86" s="1755"/>
      <c r="Y86" s="1210"/>
      <c r="Z86" s="1735"/>
      <c r="AA86" s="1210"/>
      <c r="AB86" s="215" t="s">
        <v>510</v>
      </c>
      <c r="AC86" s="676" t="s">
        <v>1231</v>
      </c>
      <c r="AD86" s="216" t="s">
        <v>766</v>
      </c>
      <c r="AE86" s="686"/>
      <c r="AF86" s="686"/>
      <c r="AG86" s="686"/>
      <c r="AH86" s="686"/>
      <c r="AI86" s="686"/>
      <c r="AJ86" s="686"/>
      <c r="AK86" s="686"/>
      <c r="AL86" s="686"/>
      <c r="AM86" s="686"/>
      <c r="AN86" s="686"/>
      <c r="AO86" s="686"/>
      <c r="AP86" s="686"/>
      <c r="AQ86" s="686"/>
      <c r="AR86" s="686"/>
      <c r="AS86" s="686"/>
      <c r="AT86" s="686"/>
      <c r="AU86" s="686"/>
      <c r="AV86" s="686"/>
      <c r="AW86" s="686"/>
      <c r="AX86" s="686"/>
      <c r="AY86" s="686"/>
      <c r="AZ86" s="686"/>
      <c r="BA86" s="686"/>
      <c r="BB86" s="686"/>
      <c r="BC86" s="686"/>
      <c r="BD86" s="686"/>
      <c r="BE86" s="688"/>
      <c r="BF86" s="1210"/>
      <c r="BG86" s="1210"/>
      <c r="BH86" s="899" t="s">
        <v>1232</v>
      </c>
    </row>
    <row r="87" spans="1:60" s="1327" customFormat="1" ht="25.35" customHeight="1">
      <c r="A87" s="415"/>
      <c r="B87" s="575"/>
      <c r="C87" s="415"/>
      <c r="D87" s="415"/>
      <c r="E87" s="576">
        <v>26</v>
      </c>
      <c r="F87" s="415"/>
      <c r="G87" s="415"/>
      <c r="H87" s="415"/>
      <c r="I87" s="415"/>
      <c r="J87" s="415"/>
      <c r="K87" s="415"/>
      <c r="L87" s="415"/>
      <c r="M87" s="415"/>
      <c r="N87" s="415"/>
      <c r="O87" s="415"/>
      <c r="P87" s="415"/>
      <c r="Q87" s="261"/>
      <c r="R87" s="415"/>
      <c r="S87" s="415"/>
      <c r="T87" s="415"/>
      <c r="U87" s="398" t="s">
        <v>177</v>
      </c>
      <c r="V87" s="59" t="s">
        <v>1233</v>
      </c>
      <c r="W87" s="415"/>
      <c r="X87" s="415"/>
      <c r="Y87" s="415"/>
      <c r="Z87" s="415"/>
      <c r="AA87" s="41"/>
      <c r="AB87" s="41"/>
      <c r="AC87" s="17" t="s">
        <v>1234</v>
      </c>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H87" s="906"/>
    </row>
    <row r="88" spans="1:60" ht="14.65" customHeight="1">
      <c r="E88" s="535">
        <v>15</v>
      </c>
      <c r="AB88" s="1758" t="s">
        <v>394</v>
      </c>
      <c r="AC88" s="1824"/>
      <c r="AD88" s="1824"/>
      <c r="AE88" s="1824"/>
      <c r="AF88" s="1824"/>
      <c r="AG88" s="1824"/>
      <c r="AH88" s="1824"/>
      <c r="AI88" s="1824"/>
      <c r="AJ88" s="1824"/>
      <c r="AK88" s="1824"/>
      <c r="AL88" s="1824"/>
      <c r="AM88" s="1824"/>
      <c r="AN88" s="1824"/>
      <c r="AO88" s="1824"/>
      <c r="AP88" s="1824"/>
      <c r="AQ88" s="1824"/>
      <c r="AR88" s="1824"/>
      <c r="AS88" s="1824"/>
      <c r="AT88" s="1824"/>
      <c r="AU88" s="1824"/>
      <c r="AV88" s="1824"/>
      <c r="AW88" s="1824"/>
      <c r="AX88" s="1824"/>
      <c r="AY88" s="1824"/>
      <c r="AZ88" s="1824"/>
      <c r="BA88" s="1824"/>
      <c r="BB88" s="1824"/>
      <c r="BC88" s="1824"/>
      <c r="BD88" s="1824"/>
      <c r="BE88" s="1824"/>
    </row>
    <row r="89" spans="1:60" ht="14.65" customHeight="1">
      <c r="E89" s="535">
        <v>15</v>
      </c>
      <c r="AA89" s="92"/>
      <c r="AB89" s="1825"/>
      <c r="AC89" s="1825"/>
      <c r="AD89" s="1825"/>
      <c r="AE89" s="1825"/>
      <c r="AF89" s="1825"/>
      <c r="AG89" s="1825"/>
      <c r="AH89" s="1825"/>
      <c r="AI89" s="1825"/>
      <c r="AJ89" s="1825"/>
      <c r="AK89" s="1825"/>
      <c r="AL89" s="1826"/>
      <c r="AM89" s="1826"/>
      <c r="AN89" s="1826"/>
      <c r="AO89" s="1826"/>
      <c r="AP89" s="1826"/>
      <c r="AQ89" s="1826"/>
      <c r="AR89" s="1826"/>
      <c r="AS89" s="1826"/>
      <c r="AT89" s="1826"/>
      <c r="AU89" s="1825"/>
      <c r="AV89" s="1826"/>
      <c r="AW89" s="1826"/>
      <c r="AX89" s="1826"/>
      <c r="AY89" s="1826"/>
      <c r="AZ89" s="1826"/>
      <c r="BA89" s="1826"/>
      <c r="BB89" s="1826"/>
      <c r="BC89" s="1826"/>
      <c r="BD89" s="1826"/>
      <c r="BE89" s="1825"/>
    </row>
    <row r="90" spans="1:60" ht="14.65" hidden="1" customHeight="1">
      <c r="E90" s="535">
        <v>15</v>
      </c>
      <c r="T90" s="381" t="b">
        <f>ROW(W90)&gt;ROW(W$90)</f>
        <v>0</v>
      </c>
      <c r="W90" s="671" t="s">
        <v>173</v>
      </c>
      <c r="AA90" s="337" t="s">
        <v>174</v>
      </c>
      <c r="AB90" s="1826" t="s">
        <v>231</v>
      </c>
      <c r="AC90" s="1826"/>
      <c r="AD90" s="1826"/>
      <c r="AE90" s="1826"/>
      <c r="AF90" s="1826"/>
      <c r="AG90" s="1826"/>
      <c r="AH90" s="1826"/>
      <c r="AI90" s="1826"/>
      <c r="AJ90" s="1826"/>
      <c r="AK90" s="1825"/>
      <c r="AL90" s="1826"/>
      <c r="AM90" s="1826"/>
      <c r="AN90" s="1826"/>
      <c r="AO90" s="1826"/>
      <c r="AP90" s="1826"/>
      <c r="AQ90" s="1826"/>
      <c r="AR90" s="1826"/>
      <c r="AS90" s="1826"/>
      <c r="AT90" s="1826"/>
      <c r="AU90" s="1825"/>
      <c r="AV90" s="1826"/>
      <c r="AW90" s="1826"/>
      <c r="AX90" s="1826"/>
      <c r="AY90" s="1826"/>
      <c r="AZ90" s="1826"/>
      <c r="BA90" s="1826"/>
      <c r="BB90" s="1826"/>
      <c r="BC90" s="1826"/>
      <c r="BD90" s="1826"/>
      <c r="BE90" s="1826"/>
    </row>
    <row r="91" spans="1:60" ht="14.65" customHeight="1">
      <c r="E91" s="535">
        <v>15</v>
      </c>
      <c r="W91" s="671" t="s">
        <v>395</v>
      </c>
      <c r="AB91" s="564"/>
      <c r="AC91" s="430" t="s">
        <v>396</v>
      </c>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224"/>
      <c r="BB91" s="224"/>
      <c r="BC91" s="224"/>
      <c r="BD91" s="224"/>
      <c r="BE91" s="191"/>
    </row>
    <row r="92" spans="1:60" ht="10.7" customHeight="1">
      <c r="E92" s="535">
        <v>11</v>
      </c>
      <c r="BF92" s="343"/>
    </row>
  </sheetData>
  <sheetProtection formatColumns="0" formatRows="0" insertRows="0" deleteColumns="0" deleteRows="0" sort="0" autoFilter="0"/>
  <mergeCells count="12">
    <mergeCell ref="AB89:BE89"/>
    <mergeCell ref="AB26:AB27"/>
    <mergeCell ref="AC26:AC27"/>
    <mergeCell ref="AD26:AD27"/>
    <mergeCell ref="AB90:BE90"/>
    <mergeCell ref="X29:X57"/>
    <mergeCell ref="Z29:Z57"/>
    <mergeCell ref="AB24:AC24"/>
    <mergeCell ref="BE26:BE27"/>
    <mergeCell ref="AB88:BE88"/>
    <mergeCell ref="X58:X86"/>
    <mergeCell ref="Z58:Z86"/>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BB4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19" width="3.5703125" style="1210" hidden="1" customWidth="1"/>
    <col min="20" max="20" width="8.425781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11" style="1210" customWidth="1"/>
    <col min="29" max="29" width="50" style="1210" customWidth="1"/>
    <col min="30" max="30" width="10" style="1210" customWidth="1"/>
    <col min="31" max="31" width="12.5703125" style="1210" customWidth="1"/>
    <col min="32" max="40" width="12.5703125" style="1210" hidden="1" customWidth="1"/>
    <col min="41" max="41" width="12.5703125" style="1210" customWidth="1"/>
    <col min="42" max="50" width="12.5703125" style="1210" hidden="1" customWidth="1"/>
    <col min="51" max="51" width="20" style="1210" customWidth="1"/>
    <col min="52" max="52" width="3" style="1210" customWidth="1"/>
    <col min="53" max="53" width="9.140625" style="1210" hidden="1"/>
    <col min="54" max="54" width="9.140625" style="1126" hidden="1"/>
  </cols>
  <sheetData>
    <row r="1" spans="1:54" ht="11.25" hidden="1" customHeight="1">
      <c r="E1" s="41"/>
      <c r="F1" s="41" t="s">
        <v>311</v>
      </c>
      <c r="G1" s="41" t="s">
        <v>322</v>
      </c>
      <c r="T1" s="381" t="s">
        <v>92</v>
      </c>
      <c r="U1" s="381" t="s">
        <v>97</v>
      </c>
      <c r="V1" s="381" t="s">
        <v>93</v>
      </c>
      <c r="W1" s="381" t="s">
        <v>94</v>
      </c>
      <c r="X1" s="381" t="s">
        <v>95</v>
      </c>
      <c r="Y1" s="383" t="s">
        <v>313</v>
      </c>
      <c r="Z1" s="381" t="s">
        <v>99</v>
      </c>
      <c r="AA1" s="382" t="s">
        <v>96</v>
      </c>
      <c r="AB1" s="4"/>
      <c r="AC1" s="382" t="s">
        <v>98</v>
      </c>
      <c r="BB1" s="899" t="s">
        <v>314</v>
      </c>
    </row>
    <row r="2" spans="1:54" s="1104" customFormat="1" ht="11.25" hidden="1" customHeight="1">
      <c r="B2" s="363" t="s">
        <v>18</v>
      </c>
      <c r="AE2" s="363" t="b">
        <f t="shared" ref="AE2:AX2" si="0">AE6&lt;=last_year_vis</f>
        <v>1</v>
      </c>
      <c r="AF2" s="363" t="b">
        <f t="shared" si="0"/>
        <v>0</v>
      </c>
      <c r="AG2" s="363" t="b">
        <f t="shared" si="0"/>
        <v>0</v>
      </c>
      <c r="AH2" s="363" t="b">
        <f t="shared" si="0"/>
        <v>0</v>
      </c>
      <c r="AI2" s="363" t="b">
        <f t="shared" si="0"/>
        <v>0</v>
      </c>
      <c r="AJ2" s="363" t="b">
        <f t="shared" si="0"/>
        <v>0</v>
      </c>
      <c r="AK2" s="363" t="b">
        <f t="shared" si="0"/>
        <v>0</v>
      </c>
      <c r="AL2" s="363" t="b">
        <f t="shared" si="0"/>
        <v>0</v>
      </c>
      <c r="AM2" s="363" t="b">
        <f t="shared" si="0"/>
        <v>0</v>
      </c>
      <c r="AN2" s="363" t="b">
        <f t="shared" si="0"/>
        <v>0</v>
      </c>
      <c r="AO2" s="363" t="b">
        <f t="shared" si="0"/>
        <v>1</v>
      </c>
      <c r="AP2" s="363" t="b">
        <f t="shared" si="0"/>
        <v>0</v>
      </c>
      <c r="AQ2" s="363" t="b">
        <f t="shared" si="0"/>
        <v>0</v>
      </c>
      <c r="AR2" s="363" t="b">
        <f t="shared" si="0"/>
        <v>0</v>
      </c>
      <c r="AS2" s="363" t="b">
        <f t="shared" si="0"/>
        <v>0</v>
      </c>
      <c r="AT2" s="363" t="b">
        <f t="shared" si="0"/>
        <v>0</v>
      </c>
      <c r="AU2" s="363" t="b">
        <f t="shared" si="0"/>
        <v>0</v>
      </c>
      <c r="AV2" s="363" t="b">
        <f t="shared" si="0"/>
        <v>0</v>
      </c>
      <c r="AW2" s="363" t="b">
        <f t="shared" si="0"/>
        <v>0</v>
      </c>
      <c r="AX2" s="363" t="b">
        <f t="shared" si="0"/>
        <v>0</v>
      </c>
      <c r="BB2" s="911"/>
    </row>
    <row r="3" spans="1:54" ht="11.25" hidden="1" customHeight="1">
      <c r="E3" s="41"/>
    </row>
    <row r="4" spans="1:54" ht="11.25" hidden="1" customHeight="1">
      <c r="E4" s="41"/>
    </row>
    <row r="5" spans="1:54" s="1073" customFormat="1" ht="11.25" hidden="1" customHeight="1">
      <c r="A5" s="41"/>
      <c r="B5" s="345"/>
      <c r="C5" s="41"/>
      <c r="D5" s="41"/>
      <c r="E5" s="535" t="s">
        <v>19</v>
      </c>
      <c r="AA5" s="535">
        <v>3</v>
      </c>
      <c r="AB5" s="535">
        <v>11</v>
      </c>
      <c r="AC5" s="535">
        <v>50</v>
      </c>
      <c r="AD5" s="535">
        <v>10</v>
      </c>
      <c r="AE5" s="535">
        <v>12.57</v>
      </c>
      <c r="AF5" s="535">
        <v>12.57</v>
      </c>
      <c r="AG5" s="535">
        <v>12.57</v>
      </c>
      <c r="AH5" s="535">
        <v>12.57</v>
      </c>
      <c r="AI5" s="535">
        <v>12.57</v>
      </c>
      <c r="AJ5" s="535">
        <v>12.57</v>
      </c>
      <c r="AK5" s="535">
        <v>12.57</v>
      </c>
      <c r="AL5" s="535">
        <v>12.57</v>
      </c>
      <c r="AM5" s="535">
        <v>12.57</v>
      </c>
      <c r="AN5" s="535">
        <v>12.57</v>
      </c>
      <c r="AO5" s="535">
        <v>12.57</v>
      </c>
      <c r="AP5" s="535">
        <v>12.57</v>
      </c>
      <c r="AQ5" s="535">
        <v>12.57</v>
      </c>
      <c r="AR5" s="535">
        <v>12.57</v>
      </c>
      <c r="AS5" s="535">
        <v>12.57</v>
      </c>
      <c r="AT5" s="535">
        <v>12.57</v>
      </c>
      <c r="AU5" s="535">
        <v>12.57</v>
      </c>
      <c r="AV5" s="535">
        <v>12.57</v>
      </c>
      <c r="AW5" s="535">
        <v>12.57</v>
      </c>
      <c r="AX5" s="535">
        <v>12.57</v>
      </c>
      <c r="AY5" s="535">
        <v>20</v>
      </c>
      <c r="AZ5" s="535">
        <v>3</v>
      </c>
      <c r="BB5" s="899"/>
    </row>
    <row r="6" spans="1:54" ht="11.25" hidden="1" customHeight="1">
      <c r="A6" s="41" t="s">
        <v>350</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c r="A7" s="41" t="s">
        <v>351</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row r="9" spans="1:54" s="1126" customFormat="1" ht="11.25" hidden="1" customHeight="1">
      <c r="A9" s="899" t="s">
        <v>355</v>
      </c>
      <c r="B9" s="911"/>
      <c r="AE9" s="899" cm="1">
        <f t="array" ref="AE9">AE6</f>
        <v>2026</v>
      </c>
      <c r="AF9" s="899" cm="1">
        <f t="array" ref="AF9">AF6</f>
        <v>2027</v>
      </c>
      <c r="AG9" s="899" cm="1">
        <f t="array" ref="AG9">AG6</f>
        <v>2028</v>
      </c>
      <c r="AH9" s="899" cm="1">
        <f t="array" ref="AH9">AH6</f>
        <v>2029</v>
      </c>
      <c r="AI9" s="899" cm="1">
        <f t="array" ref="AI9">AI6</f>
        <v>2030</v>
      </c>
      <c r="AJ9" s="899" cm="1">
        <f t="array" ref="AJ9">AJ6</f>
        <v>2031</v>
      </c>
      <c r="AK9" s="899" cm="1">
        <f t="array" ref="AK9">AK6</f>
        <v>2032</v>
      </c>
      <c r="AL9" s="899" cm="1">
        <f t="array" ref="AL9">AL6</f>
        <v>2033</v>
      </c>
      <c r="AM9" s="899" cm="1">
        <f t="array" ref="AM9">AM6</f>
        <v>2034</v>
      </c>
      <c r="AN9" s="899" cm="1">
        <f t="array" ref="AN9">AN6</f>
        <v>2035</v>
      </c>
      <c r="AO9" s="899" cm="1">
        <f t="array" ref="AO9">AO6</f>
        <v>2026</v>
      </c>
      <c r="AP9" s="899" cm="1">
        <f t="array" ref="AP9">AP6</f>
        <v>2027</v>
      </c>
      <c r="AQ9" s="899" cm="1">
        <f t="array" ref="AQ9">AQ6</f>
        <v>2028</v>
      </c>
      <c r="AR9" s="899" cm="1">
        <f t="array" ref="AR9">AR6</f>
        <v>2029</v>
      </c>
      <c r="AS9" s="899" cm="1">
        <f t="array" ref="AS9">AS6</f>
        <v>2030</v>
      </c>
      <c r="AT9" s="899" cm="1">
        <f t="array" ref="AT9">AT6</f>
        <v>2031</v>
      </c>
      <c r="AU9" s="899" cm="1">
        <f t="array" ref="AU9">AU6</f>
        <v>2032</v>
      </c>
      <c r="AV9" s="899" cm="1">
        <f t="array" ref="AV9">AV6</f>
        <v>2033</v>
      </c>
      <c r="AW9" s="899" cm="1">
        <f t="array" ref="AW9">AW6</f>
        <v>2034</v>
      </c>
      <c r="AX9" s="899" cm="1">
        <f t="array" ref="AX9">AX6</f>
        <v>2035</v>
      </c>
    </row>
    <row r="10" spans="1:54" s="1126" customFormat="1" ht="11.25" hidden="1" customHeight="1">
      <c r="A10" s="899" t="s">
        <v>356</v>
      </c>
      <c r="B10" s="911"/>
      <c r="AE10" s="899" t="str" cm="1">
        <f t="array" ref="AE10">AE25</f>
        <v>Предложения организации</v>
      </c>
      <c r="AF10" s="899" t="str" cm="1">
        <f t="array" ref="AF10">AF25</f>
        <v>Предложения организации</v>
      </c>
      <c r="AG10" s="899" t="str" cm="1">
        <f t="array" ref="AG10">AG25</f>
        <v>Предложения организации</v>
      </c>
      <c r="AH10" s="899" t="str" cm="1">
        <f t="array" ref="AH10">AH25</f>
        <v>Предложения организации</v>
      </c>
      <c r="AI10" s="899" t="str" cm="1">
        <f t="array" ref="AI10">AI25</f>
        <v>Предложения организации</v>
      </c>
      <c r="AJ10" s="899" t="str" cm="1">
        <f t="array" ref="AJ10">AJ25</f>
        <v>Предложения организации</v>
      </c>
      <c r="AK10" s="899" t="str" cm="1">
        <f t="array" ref="AK10">AK25</f>
        <v>Предложения организации</v>
      </c>
      <c r="AL10" s="899" t="str" cm="1">
        <f t="array" ref="AL10">AL25</f>
        <v>Предложения организации</v>
      </c>
      <c r="AM10" s="899" t="str" cm="1">
        <f t="array" ref="AM10">AM25</f>
        <v>Предложения организации</v>
      </c>
      <c r="AN10" s="899" t="str" cm="1">
        <f t="array" ref="AN10">AN25</f>
        <v>Предложения организации</v>
      </c>
      <c r="AO10" s="899" t="str" cm="1">
        <f t="array" ref="AO10">AO25</f>
        <v>Принято органом регулирования</v>
      </c>
      <c r="AP10" s="899" t="str" cm="1">
        <f t="array" ref="AP10">AP25</f>
        <v>Принято органом регулирования</v>
      </c>
      <c r="AQ10" s="899" t="str" cm="1">
        <f t="array" ref="AQ10">AQ25</f>
        <v>Принято органом регулирования</v>
      </c>
      <c r="AR10" s="899" t="str" cm="1">
        <f t="array" ref="AR10">AR25</f>
        <v>Принято органом регулирования</v>
      </c>
      <c r="AS10" s="899" t="str" cm="1">
        <f t="array" ref="AS10">AS25</f>
        <v>Принято органом регулирования</v>
      </c>
      <c r="AT10" s="899" t="str" cm="1">
        <f t="array" ref="AT10">AT25</f>
        <v>Принято органом регулирования</v>
      </c>
      <c r="AU10" s="899" t="str" cm="1">
        <f t="array" ref="AU10">AU25</f>
        <v>Принято органом регулирования</v>
      </c>
      <c r="AV10" s="899" t="str" cm="1">
        <f t="array" ref="AV10">AV25</f>
        <v>Принято органом регулирования</v>
      </c>
      <c r="AW10" s="899" t="str" cm="1">
        <f t="array" ref="AW10">AW25</f>
        <v>Принято органом регулирования</v>
      </c>
      <c r="AX10" s="899" t="str" cm="1">
        <f t="array" ref="AX10">AX25</f>
        <v>Принято органом регулирования</v>
      </c>
    </row>
    <row r="11" spans="1:54" s="1126" customFormat="1" ht="11.25" hidden="1" customHeight="1">
      <c r="A11" s="899" t="s">
        <v>357</v>
      </c>
      <c r="B11" s="911"/>
      <c r="AY11" s="899" t="str" cm="1">
        <f t="array" ref="AY11">AY24</f>
        <v>Ссылка на правовую норму (основание для принятия показателя в расчет тарифа)</v>
      </c>
    </row>
    <row r="12" spans="1:54" ht="11.25" hidden="1" customHeight="1"/>
    <row r="13" spans="1:54" ht="11.25" hidden="1" customHeight="1">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row r="18" spans="1:54" ht="11.25" hidden="1" customHeight="1"/>
    <row r="19" spans="1:54" ht="11.25" hidden="1" customHeight="1"/>
    <row r="20" spans="1:54" ht="11.25" hidden="1" customHeight="1"/>
    <row r="21" spans="1:54" ht="14.65" customHeight="1">
      <c r="E21" s="535">
        <v>15</v>
      </c>
      <c r="AA21" s="342"/>
      <c r="AB21" s="75"/>
      <c r="AC21" s="3" t="str" cm="1">
        <f t="array" ref="AC21">tpl_title</f>
        <v>Кемеровская область / 2026 / ОАО «СКЭК» (ИНН:4205153492, КПП:420501001) / ДПР: 2026-2026</v>
      </c>
      <c r="AD21" s="75"/>
      <c r="AE21" s="75"/>
      <c r="AF21" s="75"/>
      <c r="AG21" s="75"/>
      <c r="AH21" s="75"/>
      <c r="AI21" s="75"/>
      <c r="AJ21" s="75"/>
      <c r="AK21" s="75"/>
      <c r="AL21" s="75"/>
      <c r="AM21" s="75"/>
      <c r="AN21" s="75"/>
      <c r="AO21" s="75"/>
      <c r="AP21" s="75"/>
      <c r="AQ21" s="75"/>
      <c r="AR21" s="75"/>
      <c r="AS21" s="75"/>
      <c r="AT21" s="75"/>
      <c r="AU21" s="75"/>
      <c r="AV21" s="75"/>
      <c r="AW21" s="75"/>
      <c r="AX21" s="75"/>
    </row>
    <row r="22" spans="1:54" ht="19.5" customHeight="1">
      <c r="E22" s="535">
        <v>20</v>
      </c>
      <c r="AB22" s="232" t="s">
        <v>71</v>
      </c>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row>
    <row r="23" spans="1:54" ht="10.9" customHeight="1">
      <c r="E23" s="535">
        <v>11.25</v>
      </c>
      <c r="AB23" s="75"/>
      <c r="AC23" s="75"/>
      <c r="AD23" s="75"/>
      <c r="AE23" s="75"/>
      <c r="AF23" s="75"/>
      <c r="AG23" s="75"/>
      <c r="AH23" s="75"/>
      <c r="AI23" s="75"/>
      <c r="AJ23" s="75"/>
      <c r="AK23" s="75"/>
      <c r="AL23" s="75"/>
      <c r="AM23" s="75"/>
      <c r="AN23" s="75"/>
      <c r="AO23" s="75"/>
      <c r="AP23" s="75"/>
      <c r="AQ23" s="75"/>
      <c r="AR23" s="75"/>
      <c r="AS23" s="75"/>
      <c r="AT23" s="75"/>
      <c r="AU23" s="75"/>
      <c r="AV23" s="75"/>
      <c r="AW23" s="75"/>
      <c r="AX23" s="75"/>
    </row>
    <row r="24" spans="1:54" ht="21" customHeight="1">
      <c r="E24" s="535">
        <v>21.5</v>
      </c>
      <c r="AB24" s="1756" t="s">
        <v>21</v>
      </c>
      <c r="AC24" s="1827" t="s">
        <v>1235</v>
      </c>
      <c r="AD24" s="1827" t="s">
        <v>360</v>
      </c>
      <c r="AE24" s="1019" t="str">
        <f>god&amp;" год"</f>
        <v>2026 год</v>
      </c>
      <c r="AF24" s="1019" t="str">
        <f>god+1&amp;" год"</f>
        <v>2027 год</v>
      </c>
      <c r="AG24" s="1019" t="str">
        <f>god+2&amp;" год"</f>
        <v>2028 год</v>
      </c>
      <c r="AH24" s="1019" t="str">
        <f>god+3&amp;" год"</f>
        <v>2029 год</v>
      </c>
      <c r="AI24" s="1019" t="str">
        <f>god+4&amp;" год"</f>
        <v>2030 год</v>
      </c>
      <c r="AJ24" s="1019" t="str">
        <f>god+5&amp;" год"</f>
        <v>2031 год</v>
      </c>
      <c r="AK24" s="1019" t="str">
        <f>god+6&amp;" год"</f>
        <v>2032 год</v>
      </c>
      <c r="AL24" s="1019" t="str">
        <f>god+7&amp;" год"</f>
        <v>2033 год</v>
      </c>
      <c r="AM24" s="1019" t="str">
        <f>god+8&amp;" год"</f>
        <v>2034 год</v>
      </c>
      <c r="AN24" s="1019"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819" t="s">
        <v>494</v>
      </c>
    </row>
    <row r="25" spans="1:54" ht="56.25" customHeight="1">
      <c r="E25" s="535">
        <v>57.75</v>
      </c>
      <c r="F25" s="343"/>
      <c r="G25" s="343"/>
      <c r="H25" s="343"/>
      <c r="I25" s="343"/>
      <c r="J25" s="343"/>
      <c r="AB25" s="1756"/>
      <c r="AC25" s="1827"/>
      <c r="AD25" s="1827"/>
      <c r="AE25" s="1021" t="s">
        <v>1236</v>
      </c>
      <c r="AF25" s="1021" t="s">
        <v>1236</v>
      </c>
      <c r="AG25" s="1021" t="s">
        <v>1236</v>
      </c>
      <c r="AH25" s="1021" t="s">
        <v>1236</v>
      </c>
      <c r="AI25" s="1021" t="s">
        <v>1236</v>
      </c>
      <c r="AJ25" s="1021" t="s">
        <v>1236</v>
      </c>
      <c r="AK25" s="1021" t="s">
        <v>1236</v>
      </c>
      <c r="AL25" s="1021" t="s">
        <v>1236</v>
      </c>
      <c r="AM25" s="1021" t="s">
        <v>1236</v>
      </c>
      <c r="AN25" s="1021" t="s">
        <v>1236</v>
      </c>
      <c r="AO25" s="10" t="s">
        <v>352</v>
      </c>
      <c r="AP25" s="10" t="s">
        <v>352</v>
      </c>
      <c r="AQ25" s="10" t="s">
        <v>352</v>
      </c>
      <c r="AR25" s="10" t="s">
        <v>352</v>
      </c>
      <c r="AS25" s="10" t="s">
        <v>352</v>
      </c>
      <c r="AT25" s="10" t="s">
        <v>352</v>
      </c>
      <c r="AU25" s="10" t="s">
        <v>352</v>
      </c>
      <c r="AV25" s="10" t="s">
        <v>352</v>
      </c>
      <c r="AW25" s="10" t="s">
        <v>352</v>
      </c>
      <c r="AX25" s="10" t="s">
        <v>352</v>
      </c>
      <c r="AY25" s="1819"/>
    </row>
    <row r="26" spans="1:54" ht="11.25" hidden="1" customHeight="1">
      <c r="A26"/>
      <c r="B26" s="347"/>
      <c r="C26"/>
      <c r="D26"/>
      <c r="E26" s="535">
        <v>0</v>
      </c>
      <c r="F26" s="4"/>
      <c r="G26"/>
      <c r="H26"/>
      <c r="I26"/>
      <c r="J26"/>
      <c r="K26"/>
      <c r="L26"/>
      <c r="M26"/>
      <c r="N26"/>
      <c r="O26"/>
      <c r="P26"/>
      <c r="Q26"/>
      <c r="R26"/>
      <c r="S26"/>
      <c r="T26"/>
      <c r="U26"/>
      <c r="V26"/>
      <c r="W26"/>
      <c r="X26"/>
      <c r="Y26"/>
      <c r="Z26"/>
      <c r="AA26"/>
      <c r="AB26"/>
      <c r="AC26" s="19"/>
      <c r="AD26" s="19"/>
      <c r="AE26" s="19"/>
      <c r="AF26" s="19"/>
      <c r="AG26"/>
      <c r="AH26"/>
      <c r="AI26"/>
      <c r="AJ26"/>
      <c r="AK26"/>
      <c r="AL26"/>
      <c r="AM26"/>
      <c r="AN26"/>
      <c r="AO26"/>
      <c r="AP26"/>
      <c r="AQ26" s="20"/>
      <c r="AR26"/>
      <c r="AS26"/>
      <c r="AT26"/>
      <c r="AU26"/>
      <c r="AV26"/>
      <c r="AW26"/>
      <c r="AX26"/>
      <c r="AY26"/>
      <c r="AZ26"/>
    </row>
    <row r="27" spans="1:54" ht="14.65" hidden="1" customHeight="1">
      <c r="E27" s="535">
        <v>15</v>
      </c>
      <c r="F27" s="409" cm="1">
        <f t="array" ref="F27">X27</f>
        <v>0</v>
      </c>
      <c r="G27" s="343"/>
      <c r="H27" s="343"/>
      <c r="I27" s="343"/>
      <c r="J27" s="343"/>
      <c r="T27" s="381" t="b">
        <f>X27&gt;0</f>
        <v>0</v>
      </c>
      <c r="V27" s="41" t="s">
        <v>270</v>
      </c>
      <c r="X27" s="1755">
        <v>0</v>
      </c>
      <c r="Y27" s="343"/>
      <c r="Z27" s="1788"/>
      <c r="AA27" s="343"/>
      <c r="AB27" s="160" t="str" cm="1">
        <f t="array" ref="AB27">INDEX('Общие сведения'!$AG$179:$AG$208,MATCH($X27,'Общие сведения'!$Z$179:$Z$208,0))</f>
        <v xml:space="preserve">Тариф 0 () - </v>
      </c>
      <c r="AC27" s="746"/>
      <c r="AD27" s="746"/>
      <c r="AE27" s="746"/>
      <c r="AF27" s="746"/>
      <c r="AG27" s="746"/>
      <c r="AH27" s="746"/>
      <c r="AI27" s="746"/>
      <c r="AJ27" s="746"/>
      <c r="AK27" s="746"/>
      <c r="AL27" s="746"/>
      <c r="AM27" s="746"/>
      <c r="AN27" s="746"/>
      <c r="AO27" s="746"/>
      <c r="AP27" s="746"/>
      <c r="AQ27" s="746"/>
      <c r="AR27" s="746"/>
      <c r="AS27" s="746"/>
      <c r="AT27" s="746"/>
      <c r="AU27" s="746"/>
      <c r="AV27" s="746"/>
      <c r="AW27" s="746"/>
      <c r="AX27" s="746"/>
      <c r="AY27" s="746"/>
      <c r="AZ27" s="343"/>
    </row>
    <row r="28" spans="1:54" ht="14.65" hidden="1" customHeight="1">
      <c r="A28" s="159"/>
      <c r="B28" s="348"/>
      <c r="C28" s="159"/>
      <c r="D28" s="159"/>
      <c r="E28" s="608">
        <v>15</v>
      </c>
      <c r="F28" s="3" cm="1">
        <f t="array" aca="1" ref="F28" ca="1">OFFSET(E28,-1,1)</f>
        <v>0</v>
      </c>
      <c r="G28" s="343" t="s">
        <v>323</v>
      </c>
      <c r="H28" s="66"/>
      <c r="I28" s="66"/>
      <c r="J28" s="66"/>
      <c r="K28" s="159"/>
      <c r="L28" s="159"/>
      <c r="M28" s="159"/>
      <c r="N28" s="159"/>
      <c r="O28" s="159"/>
      <c r="P28" s="159"/>
      <c r="Q28" s="159"/>
      <c r="R28" s="159"/>
      <c r="S28" s="159"/>
      <c r="T28" s="381" t="b" cm="1">
        <f t="array" ref="T28">T27</f>
        <v>0</v>
      </c>
      <c r="U28" s="159"/>
      <c r="V28" s="159"/>
      <c r="W28" s="159"/>
      <c r="X28" s="1755"/>
      <c r="Y28" s="66"/>
      <c r="Z28" s="1788"/>
      <c r="AA28" s="66"/>
      <c r="AB28" s="165" t="s">
        <v>281</v>
      </c>
      <c r="AC28" s="164" t="s">
        <v>1237</v>
      </c>
      <c r="AD28" s="165" t="s">
        <v>766</v>
      </c>
      <c r="AE28" s="758">
        <f t="shared" ref="AE28:AX28" si="1">AE29+AE30+AE31</f>
        <v>0</v>
      </c>
      <c r="AF28" s="758">
        <f t="shared" si="1"/>
        <v>0</v>
      </c>
      <c r="AG28" s="758">
        <f t="shared" si="1"/>
        <v>0</v>
      </c>
      <c r="AH28" s="758">
        <f t="shared" si="1"/>
        <v>0</v>
      </c>
      <c r="AI28" s="758">
        <f t="shared" si="1"/>
        <v>0</v>
      </c>
      <c r="AJ28" s="758">
        <f t="shared" si="1"/>
        <v>0</v>
      </c>
      <c r="AK28" s="758">
        <f t="shared" si="1"/>
        <v>0</v>
      </c>
      <c r="AL28" s="758">
        <f t="shared" si="1"/>
        <v>0</v>
      </c>
      <c r="AM28" s="758">
        <f t="shared" si="1"/>
        <v>0</v>
      </c>
      <c r="AN28" s="758">
        <f t="shared" si="1"/>
        <v>0</v>
      </c>
      <c r="AO28" s="758">
        <f t="shared" si="1"/>
        <v>0</v>
      </c>
      <c r="AP28" s="758">
        <f t="shared" si="1"/>
        <v>0</v>
      </c>
      <c r="AQ28" s="758">
        <f t="shared" si="1"/>
        <v>0</v>
      </c>
      <c r="AR28" s="758">
        <f t="shared" si="1"/>
        <v>0</v>
      </c>
      <c r="AS28" s="758">
        <f t="shared" si="1"/>
        <v>0</v>
      </c>
      <c r="AT28" s="758">
        <f t="shared" si="1"/>
        <v>0</v>
      </c>
      <c r="AU28" s="758">
        <f t="shared" si="1"/>
        <v>0</v>
      </c>
      <c r="AV28" s="758">
        <f t="shared" si="1"/>
        <v>0</v>
      </c>
      <c r="AW28" s="758">
        <f t="shared" si="1"/>
        <v>0</v>
      </c>
      <c r="AX28" s="758">
        <f t="shared" si="1"/>
        <v>0</v>
      </c>
      <c r="AY28" s="1409"/>
      <c r="AZ28" s="66"/>
      <c r="BB28" s="899" t="s">
        <v>1171</v>
      </c>
    </row>
    <row r="29" spans="1:54" ht="14.65" hidden="1" customHeight="1">
      <c r="E29" s="535">
        <v>15</v>
      </c>
      <c r="F29" s="3" cm="1">
        <f t="array" aca="1" ref="F29" ca="1">OFFSET(E29,-1,1)</f>
        <v>0</v>
      </c>
      <c r="G29" s="343" t="s">
        <v>427</v>
      </c>
      <c r="H29" s="343"/>
      <c r="I29" s="343"/>
      <c r="J29" s="343"/>
      <c r="T29" s="381" t="b" cm="1">
        <f t="array" ref="T29">T28</f>
        <v>0</v>
      </c>
      <c r="X29" s="1755"/>
      <c r="Y29" s="343"/>
      <c r="Z29" s="1788"/>
      <c r="AA29" s="343"/>
      <c r="AB29" s="764" t="s">
        <v>821</v>
      </c>
      <c r="AC29" s="765" t="s">
        <v>1238</v>
      </c>
      <c r="AD29" s="764" t="s">
        <v>766</v>
      </c>
      <c r="AE29" s="214"/>
      <c r="AF29" s="1399"/>
      <c r="AG29" s="1399"/>
      <c r="AH29" s="1399"/>
      <c r="AI29" s="1399"/>
      <c r="AJ29" s="1399"/>
      <c r="AK29" s="1399"/>
      <c r="AL29" s="1399"/>
      <c r="AM29" s="1399"/>
      <c r="AN29" s="1399"/>
      <c r="AO29" s="214"/>
      <c r="AP29" s="1399"/>
      <c r="AQ29" s="1399"/>
      <c r="AR29" s="1399"/>
      <c r="AS29" s="1399"/>
      <c r="AT29" s="1399"/>
      <c r="AU29" s="1399"/>
      <c r="AV29" s="1399"/>
      <c r="AW29" s="1399"/>
      <c r="AX29" s="1399"/>
      <c r="AY29" s="1409"/>
      <c r="AZ29" s="343"/>
      <c r="BB29" s="899" t="s">
        <v>1239</v>
      </c>
    </row>
    <row r="30" spans="1:54" ht="23.45" hidden="1" customHeight="1">
      <c r="E30" s="535">
        <v>24</v>
      </c>
      <c r="F30" s="3" cm="1">
        <f t="array" aca="1" ref="F30" ca="1">OFFSET(E30,-1,1)</f>
        <v>0</v>
      </c>
      <c r="G30" s="343" t="s">
        <v>431</v>
      </c>
      <c r="H30" s="343"/>
      <c r="I30" s="343"/>
      <c r="J30" s="343"/>
      <c r="T30" s="381" t="b" cm="1">
        <f t="array" ref="T30">T29</f>
        <v>0</v>
      </c>
      <c r="X30" s="1755"/>
      <c r="Y30" s="343"/>
      <c r="Z30" s="1788"/>
      <c r="AA30" s="343"/>
      <c r="AB30" s="764" t="s">
        <v>824</v>
      </c>
      <c r="AC30" s="765" t="s">
        <v>1240</v>
      </c>
      <c r="AD30" s="764" t="s">
        <v>766</v>
      </c>
      <c r="AE30" s="214"/>
      <c r="AF30" s="1399"/>
      <c r="AG30" s="1399"/>
      <c r="AH30" s="1399"/>
      <c r="AI30" s="1399"/>
      <c r="AJ30" s="1399"/>
      <c r="AK30" s="1399"/>
      <c r="AL30" s="1399"/>
      <c r="AM30" s="1399"/>
      <c r="AN30" s="1399"/>
      <c r="AO30" s="214"/>
      <c r="AP30" s="1399"/>
      <c r="AQ30" s="1399"/>
      <c r="AR30" s="1399"/>
      <c r="AS30" s="1399"/>
      <c r="AT30" s="1399"/>
      <c r="AU30" s="1399"/>
      <c r="AV30" s="1399"/>
      <c r="AW30" s="1399"/>
      <c r="AX30" s="1399"/>
      <c r="AY30" s="1409"/>
      <c r="AZ30" s="343"/>
      <c r="BB30" s="899" t="s">
        <v>1241</v>
      </c>
    </row>
    <row r="31" spans="1:54" s="1327" customFormat="1" ht="33.4" hidden="1" customHeight="1">
      <c r="A31" s="41"/>
      <c r="B31" s="345"/>
      <c r="C31" s="41"/>
      <c r="D31" s="41"/>
      <c r="E31" s="535">
        <v>34.200000000000003</v>
      </c>
      <c r="F31" s="1083" cm="1">
        <f t="array" aca="1" ref="F31" ca="1">OFFSET(E31,-1,1)</f>
        <v>0</v>
      </c>
      <c r="G31" s="343" t="s">
        <v>434</v>
      </c>
      <c r="H31" s="343"/>
      <c r="I31" s="343"/>
      <c r="J31" s="343"/>
      <c r="K31" s="41"/>
      <c r="L31" s="41"/>
      <c r="M31" s="41"/>
      <c r="N31" s="41"/>
      <c r="O31" s="41"/>
      <c r="P31" s="41"/>
      <c r="Q31" s="41"/>
      <c r="R31" s="41"/>
      <c r="S31" s="41"/>
      <c r="T31" s="381" t="b" cm="1">
        <f t="array" ref="T31">T30</f>
        <v>0</v>
      </c>
      <c r="U31" s="41"/>
      <c r="V31" s="41"/>
      <c r="W31" s="41"/>
      <c r="X31" s="1755"/>
      <c r="Y31" s="343"/>
      <c r="Z31" s="1788"/>
      <c r="AA31" s="343"/>
      <c r="AB31" s="764" t="s">
        <v>827</v>
      </c>
      <c r="AC31" s="765" t="s">
        <v>1242</v>
      </c>
      <c r="AD31" s="764" t="s">
        <v>766</v>
      </c>
      <c r="AE31" s="214"/>
      <c r="AF31" s="1399"/>
      <c r="AG31" s="1399"/>
      <c r="AH31" s="1399"/>
      <c r="AI31" s="1399"/>
      <c r="AJ31" s="1399"/>
      <c r="AK31" s="1399"/>
      <c r="AL31" s="1399"/>
      <c r="AM31" s="1399"/>
      <c r="AN31" s="1399"/>
      <c r="AO31" s="214"/>
      <c r="AP31" s="1399"/>
      <c r="AQ31" s="1399"/>
      <c r="AR31" s="1399"/>
      <c r="AS31" s="1399"/>
      <c r="AT31" s="1399"/>
      <c r="AU31" s="1399"/>
      <c r="AV31" s="1399"/>
      <c r="AW31" s="1399"/>
      <c r="AX31" s="1399"/>
      <c r="AY31" s="1409"/>
      <c r="AZ31" s="343"/>
      <c r="BB31" s="950" t="s">
        <v>1243</v>
      </c>
    </row>
    <row r="32" spans="1:54" ht="14.65" hidden="1" customHeight="1">
      <c r="E32" s="535">
        <v>15</v>
      </c>
      <c r="F32" s="3" cm="1">
        <f t="array" aca="1" ref="F32" ca="1">OFFSET(E32,-1,1)</f>
        <v>0</v>
      </c>
      <c r="G32" s="343" t="s">
        <v>324</v>
      </c>
      <c r="H32" s="343"/>
      <c r="I32" s="343"/>
      <c r="J32" s="343"/>
      <c r="T32" s="381" t="b" cm="1">
        <f t="array" ref="T32">T31</f>
        <v>0</v>
      </c>
      <c r="X32" s="1755"/>
      <c r="Y32" s="343"/>
      <c r="Z32" s="1788"/>
      <c r="AA32" s="343"/>
      <c r="AB32" s="764" t="s">
        <v>224</v>
      </c>
      <c r="AC32" s="766" t="s">
        <v>1244</v>
      </c>
      <c r="AD32" s="764" t="s">
        <v>423</v>
      </c>
      <c r="AE32" s="767">
        <f ca="1">SUMIFS(Сценарии!AJ$25:AJ$82,Сценарии!$F$25:$F$82,$F32,Сценарии!$AC$25:$AC$82,"Индекс потребительских цен")</f>
        <v>0</v>
      </c>
      <c r="AF32" s="767">
        <f ca="1">SUMIFS(Сценарии!AO$25:AO$82,Сценарии!$F$25:$F$82,$F32,Сценарии!$AC$25:$AC$82,"Индекс потребительских цен")</f>
        <v>0</v>
      </c>
      <c r="AG32" s="767">
        <f ca="1">SUMIFS(Сценарии!AP$25:AP$82,Сценарии!$F$25:$F$82,$F32,Сценарии!$AC$25:$AC$82,"Индекс потребительских цен")</f>
        <v>0</v>
      </c>
      <c r="AH32" s="767">
        <f ca="1">SUMIFS(Сценарии!AQ$25:AQ$82,Сценарии!$F$25:$F$82,$F32,Сценарии!$AC$25:$AC$82,"Индекс потребительских цен")</f>
        <v>0</v>
      </c>
      <c r="AI32" s="767">
        <f ca="1">SUMIFS(Сценарии!AR$25:AR$82,Сценарии!$F$25:$F$82,$F32,Сценарии!$AC$25:$AC$82,"Индекс потребительских цен")</f>
        <v>0</v>
      </c>
      <c r="AJ32" s="767">
        <f ca="1">SUMIFS(Сценарии!AS$25:AS$82,Сценарии!$F$25:$F$82,$F32,Сценарии!$AC$25:$AC$82,"Индекс потребительских цен")</f>
        <v>0</v>
      </c>
      <c r="AK32" s="767">
        <f ca="1">SUMIFS(Сценарии!AT$25:AT$82,Сценарии!$F$25:$F$82,$F32,Сценарии!$AC$25:$AC$82,"Индекс потребительских цен")</f>
        <v>0</v>
      </c>
      <c r="AL32" s="767">
        <f ca="1">SUMIFS(Сценарии!AU$25:AU$82,Сценарии!$F$25:$F$82,$F32,Сценарии!$AC$25:$AC$82,"Индекс потребительских цен")</f>
        <v>0</v>
      </c>
      <c r="AM32" s="767">
        <f ca="1">SUMIFS(Сценарии!AV$25:AV$82,Сценарии!$F$25:$F$82,$F32,Сценарии!$AC$25:$AC$82,"Индекс потребительских цен")</f>
        <v>0</v>
      </c>
      <c r="AN32" s="767">
        <f ca="1">SUMIFS(Сценарии!AW$25:AW$82,Сценарии!$F$25:$F$82,$F32,Сценарии!$AC$25:$AC$82,"Индекс потребительских цен")</f>
        <v>0</v>
      </c>
      <c r="AO32" s="767">
        <f ca="1">SUMIFS(Сценарии!AK$25:AK$82,Сценарии!$F$25:$F$82,$F32,Сценарии!$AC$25:$AC$82,"Индекс потребительских цен")</f>
        <v>0</v>
      </c>
      <c r="AP32" s="767">
        <f ca="1">SUMIFS(Сценарии!AX$25:AX$82,Сценарии!$F$25:$F$82,$F32,Сценарии!$AC$25:$AC$82,"Индекс потребительских цен")</f>
        <v>0</v>
      </c>
      <c r="AQ32" s="767">
        <f ca="1">SUMIFS(Сценарии!AY$25:AY$82,Сценарии!$F$25:$F$82,$F32,Сценарии!$AC$25:$AC$82,"Индекс потребительских цен")</f>
        <v>0</v>
      </c>
      <c r="AR32" s="767">
        <f ca="1">SUMIFS(Сценарии!AZ$25:AZ$82,Сценарии!$F$25:$F$82,$F32,Сценарии!$AC$25:$AC$82,"Индекс потребительских цен")</f>
        <v>0</v>
      </c>
      <c r="AS32" s="767">
        <f ca="1">SUMIFS(Сценарии!BA$25:BA$82,Сценарии!$F$25:$F$82,$F32,Сценарии!$AC$25:$AC$82,"Индекс потребительских цен")</f>
        <v>0</v>
      </c>
      <c r="AT32" s="767">
        <f ca="1">SUMIFS(Сценарии!BB$25:BB$82,Сценарии!$F$25:$F$82,$F32,Сценарии!$AC$25:$AC$82,"Индекс потребительских цен")</f>
        <v>0</v>
      </c>
      <c r="AU32" s="767">
        <f ca="1">SUMIFS(Сценарии!BC$25:BC$82,Сценарии!$F$25:$F$82,$F32,Сценарии!$AC$25:$AC$82,"Индекс потребительских цен")</f>
        <v>0</v>
      </c>
      <c r="AV32" s="767">
        <f ca="1">SUMIFS(Сценарии!BD$25:BD$82,Сценарии!$F$25:$F$82,$F32,Сценарии!$AC$25:$AC$82,"Индекс потребительских цен")</f>
        <v>0</v>
      </c>
      <c r="AW32" s="767">
        <f ca="1">SUMIFS(Сценарии!BE$25:BE$82,Сценарии!$F$25:$F$82,$F32,Сценарии!$AC$25:$AC$82,"Индекс потребительских цен")</f>
        <v>0</v>
      </c>
      <c r="AX32" s="767">
        <f ca="1">SUMIFS(Сценарии!BF$25:BF$82,Сценарии!$F$25:$F$82,$F32,Сценарии!$AC$25:$AC$82,"Индекс потребительских цен")</f>
        <v>0</v>
      </c>
      <c r="AY32" s="1409"/>
      <c r="AZ32" s="343"/>
      <c r="BB32" s="899" t="s">
        <v>1245</v>
      </c>
    </row>
    <row r="33" spans="1:54" s="615" customFormat="1" ht="14.65" hidden="1" customHeight="1">
      <c r="A33" s="41"/>
      <c r="B33" s="345"/>
      <c r="C33" s="41"/>
      <c r="D33" s="41"/>
      <c r="E33" s="535">
        <v>15</v>
      </c>
      <c r="F33" s="3" cm="1">
        <f t="array" aca="1" ref="F33" ca="1">OFFSET(E33,-1,1)</f>
        <v>0</v>
      </c>
      <c r="G33" s="343" t="s">
        <v>325</v>
      </c>
      <c r="H33" s="343"/>
      <c r="I33" s="343"/>
      <c r="J33" s="343"/>
      <c r="K33" s="41"/>
      <c r="L33" s="41"/>
      <c r="M33" s="41"/>
      <c r="N33" s="41"/>
      <c r="O33" s="41"/>
      <c r="P33" s="41"/>
      <c r="Q33" s="41"/>
      <c r="R33" s="41"/>
      <c r="S33" s="41"/>
      <c r="T33" s="381" t="b" cm="1">
        <f t="array" ref="T33">T32</f>
        <v>0</v>
      </c>
      <c r="U33" s="41"/>
      <c r="V33" s="41"/>
      <c r="W33" s="41"/>
      <c r="X33" s="1755"/>
      <c r="Y33" s="343"/>
      <c r="Z33" s="1788"/>
      <c r="AA33" s="343"/>
      <c r="AB33" s="680">
        <v>3</v>
      </c>
      <c r="AC33" s="766" t="s">
        <v>1246</v>
      </c>
      <c r="AD33" s="764" t="s">
        <v>423</v>
      </c>
      <c r="AE33" s="768" cm="1">
        <f t="array" aca="1" ref="AE33" ca="1">AE32</f>
        <v>0</v>
      </c>
      <c r="AF33" s="1413">
        <f t="shared" ref="AF33:AX33" ca="1" si="2">AE33*AF32/100</f>
        <v>0</v>
      </c>
      <c r="AG33" s="1413">
        <f t="shared" ca="1" si="2"/>
        <v>0</v>
      </c>
      <c r="AH33" s="1413">
        <f t="shared" ca="1" si="2"/>
        <v>0</v>
      </c>
      <c r="AI33" s="1413">
        <f t="shared" ca="1" si="2"/>
        <v>0</v>
      </c>
      <c r="AJ33" s="1413">
        <f t="shared" ca="1" si="2"/>
        <v>0</v>
      </c>
      <c r="AK33" s="1413">
        <f t="shared" ca="1" si="2"/>
        <v>0</v>
      </c>
      <c r="AL33" s="1413">
        <f t="shared" ca="1" si="2"/>
        <v>0</v>
      </c>
      <c r="AM33" s="1413">
        <f t="shared" ca="1" si="2"/>
        <v>0</v>
      </c>
      <c r="AN33" s="1413">
        <f t="shared" ca="1" si="2"/>
        <v>0</v>
      </c>
      <c r="AO33" s="768">
        <f t="shared" ca="1" si="2"/>
        <v>0</v>
      </c>
      <c r="AP33" s="1413">
        <f t="shared" ca="1" si="2"/>
        <v>0</v>
      </c>
      <c r="AQ33" s="1413">
        <f t="shared" ca="1" si="2"/>
        <v>0</v>
      </c>
      <c r="AR33" s="1413">
        <f t="shared" ca="1" si="2"/>
        <v>0</v>
      </c>
      <c r="AS33" s="1413">
        <f t="shared" ca="1" si="2"/>
        <v>0</v>
      </c>
      <c r="AT33" s="1413">
        <f t="shared" ca="1" si="2"/>
        <v>0</v>
      </c>
      <c r="AU33" s="1413">
        <f t="shared" ca="1" si="2"/>
        <v>0</v>
      </c>
      <c r="AV33" s="1413">
        <f t="shared" ca="1" si="2"/>
        <v>0</v>
      </c>
      <c r="AW33" s="1413">
        <f t="shared" ca="1" si="2"/>
        <v>0</v>
      </c>
      <c r="AX33" s="1413">
        <f t="shared" ca="1" si="2"/>
        <v>0</v>
      </c>
      <c r="AY33" s="1409"/>
      <c r="AZ33" s="343"/>
      <c r="BB33" s="953" t="s">
        <v>1247</v>
      </c>
    </row>
    <row r="34" spans="1:54" ht="14.65" hidden="1" customHeight="1">
      <c r="A34" s="159"/>
      <c r="B34" s="348"/>
      <c r="C34" s="159"/>
      <c r="D34" s="159"/>
      <c r="E34" s="608">
        <v>15</v>
      </c>
      <c r="F34" s="3" cm="1">
        <f t="array" aca="1" ref="F34" ca="1">OFFSET(E34,-1,1)</f>
        <v>0</v>
      </c>
      <c r="G34" s="343" t="s">
        <v>327</v>
      </c>
      <c r="H34" s="343" t="s">
        <v>1248</v>
      </c>
      <c r="I34" s="66"/>
      <c r="J34" s="66"/>
      <c r="K34" s="159"/>
      <c r="L34" s="159"/>
      <c r="M34" s="159"/>
      <c r="N34" s="159"/>
      <c r="O34" s="159"/>
      <c r="P34" s="159"/>
      <c r="Q34" s="159"/>
      <c r="R34" s="159"/>
      <c r="S34" s="159"/>
      <c r="T34" s="381" t="b" cm="1">
        <f t="array" ref="T34">T33</f>
        <v>0</v>
      </c>
      <c r="U34" s="159"/>
      <c r="V34" s="159"/>
      <c r="W34" s="159"/>
      <c r="X34" s="1755"/>
      <c r="Y34" s="66"/>
      <c r="Z34" s="1788"/>
      <c r="AA34" s="66"/>
      <c r="AB34" s="165" t="s">
        <v>523</v>
      </c>
      <c r="AC34" s="164" t="s">
        <v>1249</v>
      </c>
      <c r="AD34" s="165" t="s">
        <v>766</v>
      </c>
      <c r="AE34" s="758">
        <f t="shared" ref="AE34:AX34" ca="1" si="3">AE28*AE33/100</f>
        <v>0</v>
      </c>
      <c r="AF34" s="758">
        <f t="shared" ca="1" si="3"/>
        <v>0</v>
      </c>
      <c r="AG34" s="758">
        <f t="shared" ca="1" si="3"/>
        <v>0</v>
      </c>
      <c r="AH34" s="758">
        <f t="shared" ca="1" si="3"/>
        <v>0</v>
      </c>
      <c r="AI34" s="758">
        <f t="shared" ca="1" si="3"/>
        <v>0</v>
      </c>
      <c r="AJ34" s="758">
        <f t="shared" ca="1" si="3"/>
        <v>0</v>
      </c>
      <c r="AK34" s="758">
        <f t="shared" ca="1" si="3"/>
        <v>0</v>
      </c>
      <c r="AL34" s="758">
        <f t="shared" ca="1" si="3"/>
        <v>0</v>
      </c>
      <c r="AM34" s="758">
        <f t="shared" ca="1" si="3"/>
        <v>0</v>
      </c>
      <c r="AN34" s="758">
        <f t="shared" ca="1" si="3"/>
        <v>0</v>
      </c>
      <c r="AO34" s="758">
        <f t="shared" ca="1" si="3"/>
        <v>0</v>
      </c>
      <c r="AP34" s="758">
        <f t="shared" ca="1" si="3"/>
        <v>0</v>
      </c>
      <c r="AQ34" s="758">
        <f t="shared" ca="1" si="3"/>
        <v>0</v>
      </c>
      <c r="AR34" s="758">
        <f t="shared" ca="1" si="3"/>
        <v>0</v>
      </c>
      <c r="AS34" s="758">
        <f t="shared" ca="1" si="3"/>
        <v>0</v>
      </c>
      <c r="AT34" s="758">
        <f t="shared" ca="1" si="3"/>
        <v>0</v>
      </c>
      <c r="AU34" s="758">
        <f t="shared" ca="1" si="3"/>
        <v>0</v>
      </c>
      <c r="AV34" s="758">
        <f t="shared" ca="1" si="3"/>
        <v>0</v>
      </c>
      <c r="AW34" s="758">
        <f t="shared" ca="1" si="3"/>
        <v>0</v>
      </c>
      <c r="AX34" s="758">
        <f t="shared" ca="1" si="3"/>
        <v>0</v>
      </c>
      <c r="AY34" s="1409"/>
      <c r="AZ34" s="66"/>
      <c r="BB34" s="899" t="s">
        <v>1250</v>
      </c>
    </row>
    <row r="35" spans="1:54" s="1327" customFormat="1" ht="14.25" customHeight="1">
      <c r="A35" s="1210"/>
      <c r="B35" s="1104"/>
      <c r="C35" s="1210"/>
      <c r="D35" s="1210"/>
      <c r="E35" s="535">
        <v>15</v>
      </c>
      <c r="F35" s="409" t="str" cm="1">
        <f t="array" ref="F35">X35</f>
        <v>1</v>
      </c>
      <c r="G35" s="343"/>
      <c r="H35" s="343"/>
      <c r="I35" s="343"/>
      <c r="J35" s="343"/>
      <c r="K35" s="1210"/>
      <c r="L35" s="1210"/>
      <c r="M35" s="1210"/>
      <c r="N35" s="1210"/>
      <c r="O35" s="1210"/>
      <c r="P35" s="1210"/>
      <c r="Q35" s="1210"/>
      <c r="R35" s="1210"/>
      <c r="S35" s="1210"/>
      <c r="T35" s="381" t="b">
        <f>X35&gt;0</f>
        <v>1</v>
      </c>
      <c r="U35" s="1210"/>
      <c r="V35" s="41" t="str" cm="1">
        <f t="array" ref="V35">'ИП + источники'!$AB$58</f>
        <v>Тариф 1 (Водоснабжение) - тариф на питьевую воду</v>
      </c>
      <c r="W35" s="1210"/>
      <c r="X35" s="1755" t="s">
        <v>281</v>
      </c>
      <c r="Y35" s="343"/>
      <c r="Z35" s="1788"/>
      <c r="AA35" s="343"/>
      <c r="AB35" s="160" t="str" cm="1">
        <f t="array" ref="AB35">'ИП + источники'!$AB$58</f>
        <v>Тариф 1 (Водоснабжение) - тариф на питьевую воду</v>
      </c>
      <c r="AC35" s="746"/>
      <c r="AD35" s="746"/>
      <c r="AE35" s="746"/>
      <c r="AF35" s="746"/>
      <c r="AG35" s="746"/>
      <c r="AH35" s="746"/>
      <c r="AI35" s="746"/>
      <c r="AJ35" s="746"/>
      <c r="AK35" s="746"/>
      <c r="AL35" s="746"/>
      <c r="AM35" s="746"/>
      <c r="AN35" s="746"/>
      <c r="AO35" s="746"/>
      <c r="AP35" s="746"/>
      <c r="AQ35" s="746"/>
      <c r="AR35" s="746"/>
      <c r="AS35" s="746"/>
      <c r="AT35" s="746"/>
      <c r="AU35" s="746"/>
      <c r="AV35" s="746"/>
      <c r="AW35" s="746"/>
      <c r="AX35" s="746"/>
      <c r="AY35" s="746"/>
      <c r="AZ35" s="343"/>
      <c r="BA35" s="1210"/>
      <c r="BB35" s="1126"/>
    </row>
    <row r="36" spans="1:54" s="1327" customFormat="1" ht="14.25" customHeight="1">
      <c r="A36" s="159"/>
      <c r="B36" s="348"/>
      <c r="C36" s="159"/>
      <c r="D36" s="159"/>
      <c r="E36" s="608">
        <v>15</v>
      </c>
      <c r="F36" s="3" t="str" cm="1">
        <f t="array" aca="1" ref="F36" ca="1">OFFSET(E36,-1,1)</f>
        <v>1</v>
      </c>
      <c r="G36" s="343" t="s">
        <v>323</v>
      </c>
      <c r="H36" s="66"/>
      <c r="I36" s="66"/>
      <c r="J36" s="66"/>
      <c r="K36" s="159"/>
      <c r="L36" s="159"/>
      <c r="M36" s="159"/>
      <c r="N36" s="159"/>
      <c r="O36" s="159"/>
      <c r="P36" s="159"/>
      <c r="Q36" s="159"/>
      <c r="R36" s="159"/>
      <c r="S36" s="159"/>
      <c r="T36" s="381" t="b" cm="1">
        <f t="array" ref="T36">T35</f>
        <v>1</v>
      </c>
      <c r="U36" s="159"/>
      <c r="V36" s="159"/>
      <c r="W36" s="159"/>
      <c r="X36" s="1755"/>
      <c r="Y36" s="66"/>
      <c r="Z36" s="1788"/>
      <c r="AA36" s="66"/>
      <c r="AB36" s="165" t="s">
        <v>281</v>
      </c>
      <c r="AC36" s="164" t="s">
        <v>1237</v>
      </c>
      <c r="AD36" s="165" t="s">
        <v>766</v>
      </c>
      <c r="AE36" s="758">
        <f t="shared" ref="AE36:AX36" si="4">AE37+AE38+AE39</f>
        <v>0</v>
      </c>
      <c r="AF36" s="758">
        <f t="shared" si="4"/>
        <v>0</v>
      </c>
      <c r="AG36" s="758">
        <f t="shared" si="4"/>
        <v>0</v>
      </c>
      <c r="AH36" s="758">
        <f t="shared" si="4"/>
        <v>0</v>
      </c>
      <c r="AI36" s="758">
        <f t="shared" si="4"/>
        <v>0</v>
      </c>
      <c r="AJ36" s="758">
        <f t="shared" si="4"/>
        <v>0</v>
      </c>
      <c r="AK36" s="758">
        <f t="shared" si="4"/>
        <v>0</v>
      </c>
      <c r="AL36" s="758">
        <f t="shared" si="4"/>
        <v>0</v>
      </c>
      <c r="AM36" s="758">
        <f t="shared" si="4"/>
        <v>0</v>
      </c>
      <c r="AN36" s="758">
        <f t="shared" si="4"/>
        <v>0</v>
      </c>
      <c r="AO36" s="758">
        <f t="shared" si="4"/>
        <v>0</v>
      </c>
      <c r="AP36" s="758">
        <f t="shared" si="4"/>
        <v>0</v>
      </c>
      <c r="AQ36" s="758">
        <f t="shared" si="4"/>
        <v>0</v>
      </c>
      <c r="AR36" s="758">
        <f t="shared" si="4"/>
        <v>0</v>
      </c>
      <c r="AS36" s="758">
        <f t="shared" si="4"/>
        <v>0</v>
      </c>
      <c r="AT36" s="758">
        <f t="shared" si="4"/>
        <v>0</v>
      </c>
      <c r="AU36" s="758">
        <f t="shared" si="4"/>
        <v>0</v>
      </c>
      <c r="AV36" s="758">
        <f t="shared" si="4"/>
        <v>0</v>
      </c>
      <c r="AW36" s="758">
        <f t="shared" si="4"/>
        <v>0</v>
      </c>
      <c r="AX36" s="758">
        <f t="shared" si="4"/>
        <v>0</v>
      </c>
      <c r="AY36" s="688"/>
      <c r="AZ36" s="66"/>
      <c r="BA36" s="1210"/>
      <c r="BB36" s="899" t="s">
        <v>1171</v>
      </c>
    </row>
    <row r="37" spans="1:54" s="1327" customFormat="1" ht="14.25" customHeight="1">
      <c r="A37" s="1210"/>
      <c r="B37" s="1104"/>
      <c r="C37" s="1210"/>
      <c r="D37" s="1210"/>
      <c r="E37" s="535">
        <v>15</v>
      </c>
      <c r="F37" s="3" t="str" cm="1">
        <f t="array" aca="1" ref="F37" ca="1">OFFSET(E37,-1,1)</f>
        <v>1</v>
      </c>
      <c r="G37" s="343" t="s">
        <v>427</v>
      </c>
      <c r="H37" s="343"/>
      <c r="I37" s="343"/>
      <c r="J37" s="343"/>
      <c r="K37" s="1210"/>
      <c r="L37" s="1210"/>
      <c r="M37" s="1210"/>
      <c r="N37" s="1210"/>
      <c r="O37" s="1210"/>
      <c r="P37" s="1210"/>
      <c r="Q37" s="1210"/>
      <c r="R37" s="1210"/>
      <c r="S37" s="1210"/>
      <c r="T37" s="381" t="b" cm="1">
        <f t="array" ref="T37">T36</f>
        <v>1</v>
      </c>
      <c r="U37" s="1210"/>
      <c r="V37" s="1210"/>
      <c r="W37" s="1210"/>
      <c r="X37" s="1755"/>
      <c r="Y37" s="343"/>
      <c r="Z37" s="1788"/>
      <c r="AA37" s="343"/>
      <c r="AB37" s="764" t="s">
        <v>821</v>
      </c>
      <c r="AC37" s="765" t="s">
        <v>1238</v>
      </c>
      <c r="AD37" s="764" t="s">
        <v>766</v>
      </c>
      <c r="AE37" s="214"/>
      <c r="AF37" s="214"/>
      <c r="AG37" s="214"/>
      <c r="AH37" s="214"/>
      <c r="AI37" s="214"/>
      <c r="AJ37" s="214"/>
      <c r="AK37" s="214"/>
      <c r="AL37" s="214"/>
      <c r="AM37" s="214"/>
      <c r="AN37" s="214"/>
      <c r="AO37" s="214"/>
      <c r="AP37" s="214"/>
      <c r="AQ37" s="214"/>
      <c r="AR37" s="214"/>
      <c r="AS37" s="214"/>
      <c r="AT37" s="214"/>
      <c r="AU37" s="214"/>
      <c r="AV37" s="214"/>
      <c r="AW37" s="214"/>
      <c r="AX37" s="214"/>
      <c r="AY37" s="688"/>
      <c r="AZ37" s="343"/>
      <c r="BA37" s="1210"/>
      <c r="BB37" s="899" t="s">
        <v>1239</v>
      </c>
    </row>
    <row r="38" spans="1:54" s="1327" customFormat="1" ht="23.25" customHeight="1">
      <c r="A38" s="1210"/>
      <c r="B38" s="1104"/>
      <c r="C38" s="1210"/>
      <c r="D38" s="1210"/>
      <c r="E38" s="535">
        <v>24</v>
      </c>
      <c r="F38" s="3" t="str" cm="1">
        <f t="array" aca="1" ref="F38" ca="1">OFFSET(E38,-1,1)</f>
        <v>1</v>
      </c>
      <c r="G38" s="343" t="s">
        <v>431</v>
      </c>
      <c r="H38" s="343"/>
      <c r="I38" s="343"/>
      <c r="J38" s="343"/>
      <c r="K38" s="1210"/>
      <c r="L38" s="1210"/>
      <c r="M38" s="1210"/>
      <c r="N38" s="1210"/>
      <c r="O38" s="1210"/>
      <c r="P38" s="1210"/>
      <c r="Q38" s="1210"/>
      <c r="R38" s="1210"/>
      <c r="S38" s="1210"/>
      <c r="T38" s="381" t="b" cm="1">
        <f t="array" ref="T38">T37</f>
        <v>1</v>
      </c>
      <c r="U38" s="1210"/>
      <c r="V38" s="1210"/>
      <c r="W38" s="1210"/>
      <c r="X38" s="1755"/>
      <c r="Y38" s="343"/>
      <c r="Z38" s="1788"/>
      <c r="AA38" s="343"/>
      <c r="AB38" s="764" t="s">
        <v>824</v>
      </c>
      <c r="AC38" s="765" t="s">
        <v>1240</v>
      </c>
      <c r="AD38" s="764" t="s">
        <v>766</v>
      </c>
      <c r="AE38" s="214"/>
      <c r="AF38" s="214"/>
      <c r="AG38" s="214"/>
      <c r="AH38" s="214"/>
      <c r="AI38" s="214"/>
      <c r="AJ38" s="214"/>
      <c r="AK38" s="214"/>
      <c r="AL38" s="214"/>
      <c r="AM38" s="214"/>
      <c r="AN38" s="214"/>
      <c r="AO38" s="214"/>
      <c r="AP38" s="214"/>
      <c r="AQ38" s="214"/>
      <c r="AR38" s="214"/>
      <c r="AS38" s="214"/>
      <c r="AT38" s="214"/>
      <c r="AU38" s="214"/>
      <c r="AV38" s="214"/>
      <c r="AW38" s="214"/>
      <c r="AX38" s="214"/>
      <c r="AY38" s="688"/>
      <c r="AZ38" s="343"/>
      <c r="BA38" s="1210"/>
      <c r="BB38" s="899" t="s">
        <v>1241</v>
      </c>
    </row>
    <row r="39" spans="1:54" s="1327" customFormat="1" ht="33" customHeight="1">
      <c r="A39" s="41"/>
      <c r="B39" s="345"/>
      <c r="C39" s="41"/>
      <c r="D39" s="41"/>
      <c r="E39" s="535">
        <v>34.200000000000003</v>
      </c>
      <c r="F39" s="1083" t="str" cm="1">
        <f t="array" aca="1" ref="F39" ca="1">OFFSET(E39,-1,1)</f>
        <v>1</v>
      </c>
      <c r="G39" s="343" t="s">
        <v>434</v>
      </c>
      <c r="H39" s="343"/>
      <c r="I39" s="343"/>
      <c r="J39" s="343"/>
      <c r="K39" s="41"/>
      <c r="L39" s="41"/>
      <c r="M39" s="41"/>
      <c r="N39" s="41"/>
      <c r="O39" s="41"/>
      <c r="P39" s="41"/>
      <c r="Q39" s="41"/>
      <c r="R39" s="41"/>
      <c r="S39" s="41"/>
      <c r="T39" s="381" t="b" cm="1">
        <f t="array" ref="T39">T38</f>
        <v>1</v>
      </c>
      <c r="U39" s="41"/>
      <c r="V39" s="41"/>
      <c r="W39" s="41"/>
      <c r="X39" s="1755"/>
      <c r="Y39" s="343"/>
      <c r="Z39" s="1788"/>
      <c r="AA39" s="343"/>
      <c r="AB39" s="764" t="s">
        <v>827</v>
      </c>
      <c r="AC39" s="765" t="s">
        <v>1242</v>
      </c>
      <c r="AD39" s="764" t="s">
        <v>766</v>
      </c>
      <c r="AE39" s="214"/>
      <c r="AF39" s="214"/>
      <c r="AG39" s="214"/>
      <c r="AH39" s="214"/>
      <c r="AI39" s="214"/>
      <c r="AJ39" s="214"/>
      <c r="AK39" s="214"/>
      <c r="AL39" s="214"/>
      <c r="AM39" s="214"/>
      <c r="AN39" s="214"/>
      <c r="AO39" s="214"/>
      <c r="AP39" s="214"/>
      <c r="AQ39" s="214"/>
      <c r="AR39" s="214"/>
      <c r="AS39" s="214"/>
      <c r="AT39" s="214"/>
      <c r="AU39" s="214"/>
      <c r="AV39" s="214"/>
      <c r="AW39" s="214"/>
      <c r="AX39" s="214"/>
      <c r="AY39" s="688"/>
      <c r="AZ39" s="343"/>
      <c r="BB39" s="950" t="s">
        <v>1243</v>
      </c>
    </row>
    <row r="40" spans="1:54" s="1327" customFormat="1" ht="14.25" customHeight="1">
      <c r="A40" s="1210"/>
      <c r="B40" s="1104"/>
      <c r="C40" s="1210"/>
      <c r="D40" s="1210"/>
      <c r="E40" s="535">
        <v>15</v>
      </c>
      <c r="F40" s="3" t="str" cm="1">
        <f t="array" aca="1" ref="F40" ca="1">OFFSET(E40,-1,1)</f>
        <v>1</v>
      </c>
      <c r="G40" s="343" t="s">
        <v>324</v>
      </c>
      <c r="H40" s="343"/>
      <c r="I40" s="343"/>
      <c r="J40" s="343"/>
      <c r="K40" s="1210"/>
      <c r="L40" s="1210"/>
      <c r="M40" s="1210"/>
      <c r="N40" s="1210"/>
      <c r="O40" s="1210"/>
      <c r="P40" s="1210"/>
      <c r="Q40" s="1210"/>
      <c r="R40" s="1210"/>
      <c r="S40" s="1210"/>
      <c r="T40" s="381" t="b" cm="1">
        <f t="array" ref="T40">T39</f>
        <v>1</v>
      </c>
      <c r="U40" s="1210"/>
      <c r="V40" s="1210"/>
      <c r="W40" s="1210"/>
      <c r="X40" s="1755"/>
      <c r="Y40" s="343"/>
      <c r="Z40" s="1788"/>
      <c r="AA40" s="343"/>
      <c r="AB40" s="764" t="s">
        <v>224</v>
      </c>
      <c r="AC40" s="766" t="s">
        <v>1244</v>
      </c>
      <c r="AD40" s="764" t="s">
        <v>423</v>
      </c>
      <c r="AE40" s="767">
        <f ca="1">SUMIFS(Сценарии!AJ$25:AJ$82,Сценарии!$F$25:$F$82,$F40,Сценарии!$AC$25:$AC$82,"Индекс потребительских цен")</f>
        <v>0</v>
      </c>
      <c r="AF40" s="767">
        <f ca="1">SUMIFS(Сценарии!AO$25:AO$82,Сценарии!$F$25:$F$82,$F40,Сценарии!$AC$25:$AC$82,"Индекс потребительских цен")</f>
        <v>0</v>
      </c>
      <c r="AG40" s="767">
        <f ca="1">SUMIFS(Сценарии!AP$25:AP$82,Сценарии!$F$25:$F$82,$F40,Сценарии!$AC$25:$AC$82,"Индекс потребительских цен")</f>
        <v>0</v>
      </c>
      <c r="AH40" s="767">
        <f ca="1">SUMIFS(Сценарии!AQ$25:AQ$82,Сценарии!$F$25:$F$82,$F40,Сценарии!$AC$25:$AC$82,"Индекс потребительских цен")</f>
        <v>0</v>
      </c>
      <c r="AI40" s="767">
        <f ca="1">SUMIFS(Сценарии!AR$25:AR$82,Сценарии!$F$25:$F$82,$F40,Сценарии!$AC$25:$AC$82,"Индекс потребительских цен")</f>
        <v>0</v>
      </c>
      <c r="AJ40" s="767">
        <f ca="1">SUMIFS(Сценарии!AS$25:AS$82,Сценарии!$F$25:$F$82,$F40,Сценарии!$AC$25:$AC$82,"Индекс потребительских цен")</f>
        <v>0</v>
      </c>
      <c r="AK40" s="767">
        <f ca="1">SUMIFS(Сценарии!AT$25:AT$82,Сценарии!$F$25:$F$82,$F40,Сценарии!$AC$25:$AC$82,"Индекс потребительских цен")</f>
        <v>0</v>
      </c>
      <c r="AL40" s="767">
        <f ca="1">SUMIFS(Сценарии!AU$25:AU$82,Сценарии!$F$25:$F$82,$F40,Сценарии!$AC$25:$AC$82,"Индекс потребительских цен")</f>
        <v>0</v>
      </c>
      <c r="AM40" s="767">
        <f ca="1">SUMIFS(Сценарии!AV$25:AV$82,Сценарии!$F$25:$F$82,$F40,Сценарии!$AC$25:$AC$82,"Индекс потребительских цен")</f>
        <v>0</v>
      </c>
      <c r="AN40" s="767">
        <f ca="1">SUMIFS(Сценарии!AW$25:AW$82,Сценарии!$F$25:$F$82,$F40,Сценарии!$AC$25:$AC$82,"Индекс потребительских цен")</f>
        <v>0</v>
      </c>
      <c r="AO40" s="767">
        <f ca="1">SUMIFS(Сценарии!AK$25:AK$82,Сценарии!$F$25:$F$82,$F40,Сценарии!$AC$25:$AC$82,"Индекс потребительских цен")</f>
        <v>5.0999999999999996</v>
      </c>
      <c r="AP40" s="767">
        <f ca="1">SUMIFS(Сценарии!AX$25:AX$82,Сценарии!$F$25:$F$82,$F40,Сценарии!$AC$25:$AC$82,"Индекс потребительских цен")</f>
        <v>0</v>
      </c>
      <c r="AQ40" s="767">
        <f ca="1">SUMIFS(Сценарии!AY$25:AY$82,Сценарии!$F$25:$F$82,$F40,Сценарии!$AC$25:$AC$82,"Индекс потребительских цен")</f>
        <v>0</v>
      </c>
      <c r="AR40" s="767">
        <f ca="1">SUMIFS(Сценарии!AZ$25:AZ$82,Сценарии!$F$25:$F$82,$F40,Сценарии!$AC$25:$AC$82,"Индекс потребительских цен")</f>
        <v>0</v>
      </c>
      <c r="AS40" s="767">
        <f ca="1">SUMIFS(Сценарии!BA$25:BA$82,Сценарии!$F$25:$F$82,$F40,Сценарии!$AC$25:$AC$82,"Индекс потребительских цен")</f>
        <v>0</v>
      </c>
      <c r="AT40" s="767">
        <f ca="1">SUMIFS(Сценарии!BB$25:BB$82,Сценарии!$F$25:$F$82,$F40,Сценарии!$AC$25:$AC$82,"Индекс потребительских цен")</f>
        <v>0</v>
      </c>
      <c r="AU40" s="767">
        <f ca="1">SUMIFS(Сценарии!BC$25:BC$82,Сценарии!$F$25:$F$82,$F40,Сценарии!$AC$25:$AC$82,"Индекс потребительских цен")</f>
        <v>0</v>
      </c>
      <c r="AV40" s="767">
        <f ca="1">SUMIFS(Сценарии!BD$25:BD$82,Сценарии!$F$25:$F$82,$F40,Сценарии!$AC$25:$AC$82,"Индекс потребительских цен")</f>
        <v>0</v>
      </c>
      <c r="AW40" s="767">
        <f ca="1">SUMIFS(Сценарии!BE$25:BE$82,Сценарии!$F$25:$F$82,$F40,Сценарии!$AC$25:$AC$82,"Индекс потребительских цен")</f>
        <v>0</v>
      </c>
      <c r="AX40" s="767">
        <f ca="1">SUMIFS(Сценарии!BF$25:BF$82,Сценарии!$F$25:$F$82,$F40,Сценарии!$AC$25:$AC$82,"Индекс потребительских цен")</f>
        <v>0</v>
      </c>
      <c r="AY40" s="688"/>
      <c r="AZ40" s="343"/>
      <c r="BA40" s="1210"/>
      <c r="BB40" s="899" t="s">
        <v>1245</v>
      </c>
    </row>
    <row r="41" spans="1:54" s="1414" customFormat="1" ht="14.25" customHeight="1">
      <c r="A41" s="41"/>
      <c r="B41" s="345"/>
      <c r="C41" s="41"/>
      <c r="D41" s="41"/>
      <c r="E41" s="535">
        <v>15</v>
      </c>
      <c r="F41" s="3" t="str" cm="1">
        <f t="array" aca="1" ref="F41" ca="1">OFFSET(E41,-1,1)</f>
        <v>1</v>
      </c>
      <c r="G41" s="343" t="s">
        <v>325</v>
      </c>
      <c r="H41" s="343"/>
      <c r="I41" s="343"/>
      <c r="J41" s="343"/>
      <c r="K41" s="41"/>
      <c r="L41" s="41"/>
      <c r="M41" s="41"/>
      <c r="N41" s="41"/>
      <c r="O41" s="41"/>
      <c r="P41" s="41"/>
      <c r="Q41" s="41"/>
      <c r="R41" s="41"/>
      <c r="S41" s="41"/>
      <c r="T41" s="381" t="b" cm="1">
        <f t="array" ref="T41">T40</f>
        <v>1</v>
      </c>
      <c r="U41" s="41"/>
      <c r="V41" s="41"/>
      <c r="W41" s="41"/>
      <c r="X41" s="1755"/>
      <c r="Y41" s="343"/>
      <c r="Z41" s="1788"/>
      <c r="AA41" s="343"/>
      <c r="AB41" s="680">
        <v>3</v>
      </c>
      <c r="AC41" s="766" t="s">
        <v>1246</v>
      </c>
      <c r="AD41" s="764" t="s">
        <v>423</v>
      </c>
      <c r="AE41" s="768" cm="1">
        <f t="array" aca="1" ref="AE41" ca="1">AE40</f>
        <v>0</v>
      </c>
      <c r="AF41" s="768">
        <f t="shared" ref="AF41:AX41" ca="1" si="5">AE41*AF40/100</f>
        <v>0</v>
      </c>
      <c r="AG41" s="768">
        <f t="shared" ca="1" si="5"/>
        <v>0</v>
      </c>
      <c r="AH41" s="768">
        <f t="shared" ca="1" si="5"/>
        <v>0</v>
      </c>
      <c r="AI41" s="768">
        <f t="shared" ca="1" si="5"/>
        <v>0</v>
      </c>
      <c r="AJ41" s="768">
        <f t="shared" ca="1" si="5"/>
        <v>0</v>
      </c>
      <c r="AK41" s="768">
        <f t="shared" ca="1" si="5"/>
        <v>0</v>
      </c>
      <c r="AL41" s="768">
        <f t="shared" ca="1" si="5"/>
        <v>0</v>
      </c>
      <c r="AM41" s="768">
        <f t="shared" ca="1" si="5"/>
        <v>0</v>
      </c>
      <c r="AN41" s="768">
        <f t="shared" ca="1" si="5"/>
        <v>0</v>
      </c>
      <c r="AO41" s="768">
        <f t="shared" ca="1" si="5"/>
        <v>0</v>
      </c>
      <c r="AP41" s="768">
        <f t="shared" ca="1" si="5"/>
        <v>0</v>
      </c>
      <c r="AQ41" s="768">
        <f t="shared" ca="1" si="5"/>
        <v>0</v>
      </c>
      <c r="AR41" s="768">
        <f t="shared" ca="1" si="5"/>
        <v>0</v>
      </c>
      <c r="AS41" s="768">
        <f t="shared" ca="1" si="5"/>
        <v>0</v>
      </c>
      <c r="AT41" s="768">
        <f t="shared" ca="1" si="5"/>
        <v>0</v>
      </c>
      <c r="AU41" s="768">
        <f t="shared" ca="1" si="5"/>
        <v>0</v>
      </c>
      <c r="AV41" s="768">
        <f t="shared" ca="1" si="5"/>
        <v>0</v>
      </c>
      <c r="AW41" s="768">
        <f t="shared" ca="1" si="5"/>
        <v>0</v>
      </c>
      <c r="AX41" s="768">
        <f t="shared" ca="1" si="5"/>
        <v>0</v>
      </c>
      <c r="AY41" s="688"/>
      <c r="AZ41" s="343"/>
      <c r="BA41" s="615"/>
      <c r="BB41" s="953" t="s">
        <v>1247</v>
      </c>
    </row>
    <row r="42" spans="1:54" s="1327" customFormat="1" ht="14.25" customHeight="1">
      <c r="A42" s="159"/>
      <c r="B42" s="348"/>
      <c r="C42" s="159"/>
      <c r="D42" s="159"/>
      <c r="E42" s="608">
        <v>15</v>
      </c>
      <c r="F42" s="3" t="str" cm="1">
        <f t="array" aca="1" ref="F42" ca="1">OFFSET(E42,-1,1)</f>
        <v>1</v>
      </c>
      <c r="G42" s="343" t="s">
        <v>327</v>
      </c>
      <c r="H42" s="343" t="s">
        <v>1248</v>
      </c>
      <c r="I42" s="66"/>
      <c r="J42" s="66"/>
      <c r="K42" s="159"/>
      <c r="L42" s="159"/>
      <c r="M42" s="159"/>
      <c r="N42" s="159"/>
      <c r="O42" s="159"/>
      <c r="P42" s="159"/>
      <c r="Q42" s="159"/>
      <c r="R42" s="159"/>
      <c r="S42" s="159"/>
      <c r="T42" s="381" t="b" cm="1">
        <f t="array" ref="T42">T41</f>
        <v>1</v>
      </c>
      <c r="U42" s="159"/>
      <c r="V42" s="159"/>
      <c r="W42" s="159"/>
      <c r="X42" s="1755"/>
      <c r="Y42" s="66"/>
      <c r="Z42" s="1788"/>
      <c r="AA42" s="66"/>
      <c r="AB42" s="165" t="s">
        <v>523</v>
      </c>
      <c r="AC42" s="164" t="s">
        <v>1249</v>
      </c>
      <c r="AD42" s="165" t="s">
        <v>766</v>
      </c>
      <c r="AE42" s="758">
        <f t="shared" ref="AE42:AX42" ca="1" si="6">AE36*AE41/100</f>
        <v>0</v>
      </c>
      <c r="AF42" s="758">
        <f t="shared" ca="1" si="6"/>
        <v>0</v>
      </c>
      <c r="AG42" s="758">
        <f t="shared" ca="1" si="6"/>
        <v>0</v>
      </c>
      <c r="AH42" s="758">
        <f t="shared" ca="1" si="6"/>
        <v>0</v>
      </c>
      <c r="AI42" s="758">
        <f t="shared" ca="1" si="6"/>
        <v>0</v>
      </c>
      <c r="AJ42" s="758">
        <f t="shared" ca="1" si="6"/>
        <v>0</v>
      </c>
      <c r="AK42" s="758">
        <f t="shared" ca="1" si="6"/>
        <v>0</v>
      </c>
      <c r="AL42" s="758">
        <f t="shared" ca="1" si="6"/>
        <v>0</v>
      </c>
      <c r="AM42" s="758">
        <f t="shared" ca="1" si="6"/>
        <v>0</v>
      </c>
      <c r="AN42" s="758">
        <f t="shared" ca="1" si="6"/>
        <v>0</v>
      </c>
      <c r="AO42" s="758">
        <f t="shared" ca="1" si="6"/>
        <v>0</v>
      </c>
      <c r="AP42" s="758">
        <f t="shared" ca="1" si="6"/>
        <v>0</v>
      </c>
      <c r="AQ42" s="758">
        <f t="shared" ca="1" si="6"/>
        <v>0</v>
      </c>
      <c r="AR42" s="758">
        <f t="shared" ca="1" si="6"/>
        <v>0</v>
      </c>
      <c r="AS42" s="758">
        <f t="shared" ca="1" si="6"/>
        <v>0</v>
      </c>
      <c r="AT42" s="758">
        <f t="shared" ca="1" si="6"/>
        <v>0</v>
      </c>
      <c r="AU42" s="758">
        <f t="shared" ca="1" si="6"/>
        <v>0</v>
      </c>
      <c r="AV42" s="758">
        <f t="shared" ca="1" si="6"/>
        <v>0</v>
      </c>
      <c r="AW42" s="758">
        <f t="shared" ca="1" si="6"/>
        <v>0</v>
      </c>
      <c r="AX42" s="758">
        <f t="shared" ca="1" si="6"/>
        <v>0</v>
      </c>
      <c r="AY42" s="688"/>
      <c r="AZ42" s="66"/>
      <c r="BA42" s="1210"/>
      <c r="BB42" s="899" t="s">
        <v>1250</v>
      </c>
    </row>
    <row r="43" spans="1:54" ht="10.9" customHeight="1">
      <c r="A43"/>
      <c r="B43" s="347"/>
      <c r="C43"/>
      <c r="D43"/>
      <c r="E43" s="541">
        <v>11.25</v>
      </c>
      <c r="F43"/>
      <c r="G43"/>
      <c r="H43"/>
      <c r="I43"/>
      <c r="J43"/>
      <c r="K43"/>
      <c r="L43"/>
      <c r="M43"/>
      <c r="N43"/>
      <c r="O43"/>
      <c r="P43"/>
      <c r="Q43"/>
      <c r="R43"/>
      <c r="S43"/>
      <c r="T43"/>
      <c r="U43" s="398" t="s">
        <v>177</v>
      </c>
      <c r="V43" s="59" t="s">
        <v>1251</v>
      </c>
      <c r="W43"/>
      <c r="X43"/>
      <c r="Y43"/>
      <c r="Z43"/>
      <c r="AA43"/>
      <c r="AB43"/>
      <c r="AC43" s="19"/>
      <c r="AD43" s="19"/>
      <c r="AE43" s="19"/>
      <c r="AF43" s="19"/>
      <c r="AG43"/>
      <c r="AH43"/>
      <c r="AI43"/>
      <c r="AJ43"/>
      <c r="AK43"/>
      <c r="AL43"/>
      <c r="AM43"/>
      <c r="AN43"/>
      <c r="AO43"/>
      <c r="AP43"/>
      <c r="AQ43" s="20"/>
      <c r="AR43"/>
      <c r="AS43"/>
      <c r="AT43"/>
      <c r="AU43"/>
      <c r="AV43"/>
      <c r="AW43"/>
      <c r="AX43"/>
      <c r="AY43"/>
      <c r="AZ43"/>
    </row>
    <row r="44" spans="1:54" ht="14.65" customHeight="1">
      <c r="E44" s="535">
        <v>15</v>
      </c>
      <c r="F44" s="343"/>
      <c r="G44" s="343"/>
      <c r="H44" s="343"/>
      <c r="I44" s="343"/>
      <c r="J44" s="343"/>
      <c r="AB44" s="1758" t="s">
        <v>394</v>
      </c>
      <c r="AC44" s="1758"/>
      <c r="AD44" s="1758"/>
      <c r="AE44" s="1758"/>
      <c r="AF44" s="1758"/>
      <c r="AG44" s="1758"/>
      <c r="AH44" s="1758"/>
      <c r="AI44" s="1758"/>
      <c r="AJ44" s="1758"/>
      <c r="AK44" s="1758"/>
      <c r="AL44" s="1758"/>
      <c r="AM44" s="1758"/>
      <c r="AN44" s="1758"/>
      <c r="AO44" s="1758"/>
      <c r="AP44" s="1758"/>
      <c r="AQ44" s="1758"/>
      <c r="AR44" s="1758"/>
      <c r="AS44" s="1758"/>
      <c r="AT44" s="1758"/>
      <c r="AU44" s="1758"/>
      <c r="AV44" s="1758"/>
      <c r="AW44" s="1758"/>
      <c r="AX44" s="1789"/>
      <c r="AY44" s="1789"/>
    </row>
    <row r="45" spans="1:54" ht="14.65" customHeight="1">
      <c r="E45" s="535">
        <v>15</v>
      </c>
      <c r="F45" s="343"/>
      <c r="G45" s="343"/>
      <c r="H45" s="343"/>
      <c r="I45" s="343"/>
      <c r="J45" s="343"/>
      <c r="AA45" s="92"/>
      <c r="AB45" s="1825"/>
      <c r="AC45" s="1828"/>
      <c r="AD45" s="1828"/>
      <c r="AE45" s="1828"/>
      <c r="AF45" s="1828"/>
      <c r="AG45" s="1828"/>
      <c r="AH45" s="1828"/>
      <c r="AI45" s="1828"/>
      <c r="AJ45" s="1828"/>
      <c r="AK45" s="1828"/>
      <c r="AL45" s="1828"/>
      <c r="AM45" s="1828"/>
      <c r="AN45" s="1828"/>
      <c r="AO45" s="1828"/>
      <c r="AP45" s="1828"/>
      <c r="AQ45" s="1828"/>
      <c r="AR45" s="1828"/>
      <c r="AS45" s="1828"/>
      <c r="AT45" s="1828"/>
      <c r="AU45" s="1828"/>
      <c r="AV45" s="1828"/>
      <c r="AW45" s="1828"/>
      <c r="AX45" s="1829"/>
      <c r="AY45" s="1829"/>
    </row>
    <row r="46" spans="1:54" ht="14.65" hidden="1" customHeight="1">
      <c r="E46" s="535">
        <v>15</v>
      </c>
      <c r="T46" s="381" t="b">
        <f>ROW(W46)&gt;ROW(W$46)</f>
        <v>0</v>
      </c>
      <c r="W46" s="671" t="s">
        <v>173</v>
      </c>
      <c r="AA46" s="337" t="s">
        <v>174</v>
      </c>
      <c r="AB46" s="1826" t="s">
        <v>231</v>
      </c>
      <c r="AC46" s="1828"/>
      <c r="AD46" s="1828"/>
      <c r="AE46" s="1828"/>
      <c r="AF46" s="1828"/>
      <c r="AG46" s="1828"/>
      <c r="AH46" s="1828"/>
      <c r="AI46" s="1828"/>
      <c r="AJ46" s="1828"/>
      <c r="AK46" s="1828"/>
      <c r="AL46" s="1828"/>
      <c r="AM46" s="1828"/>
      <c r="AN46" s="1828"/>
      <c r="AO46" s="1828"/>
      <c r="AP46" s="1828"/>
      <c r="AQ46" s="1828"/>
      <c r="AR46" s="1828"/>
      <c r="AS46" s="1828"/>
      <c r="AT46" s="1828"/>
      <c r="AU46" s="1828"/>
      <c r="AV46" s="1828"/>
      <c r="AW46" s="1828"/>
      <c r="AX46" s="1829"/>
      <c r="AY46" s="1829"/>
    </row>
    <row r="47" spans="1:54" s="615" customFormat="1" ht="14.65" customHeight="1">
      <c r="A47" s="41"/>
      <c r="B47" s="345"/>
      <c r="C47" s="41"/>
      <c r="D47" s="41"/>
      <c r="E47" s="535">
        <v>15</v>
      </c>
      <c r="F47" s="41"/>
      <c r="G47" s="41"/>
      <c r="H47" s="41"/>
      <c r="I47" s="41"/>
      <c r="J47" s="41"/>
      <c r="K47" s="41"/>
      <c r="L47" s="41"/>
      <c r="M47" s="41"/>
      <c r="N47" s="41"/>
      <c r="O47" s="41"/>
      <c r="P47" s="41"/>
      <c r="Q47" s="41"/>
      <c r="R47" s="41"/>
      <c r="S47" s="41"/>
      <c r="T47" s="41"/>
      <c r="U47" s="41"/>
      <c r="V47" s="41"/>
      <c r="W47" s="671" t="s">
        <v>395</v>
      </c>
      <c r="X47" s="41"/>
      <c r="Y47" s="41"/>
      <c r="Z47" s="41"/>
      <c r="AA47" s="41"/>
      <c r="AB47" s="564"/>
      <c r="AC47" s="430" t="s">
        <v>396</v>
      </c>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191"/>
      <c r="AZ47" s="41"/>
      <c r="BB47" s="953"/>
    </row>
    <row r="48" spans="1:54" s="1327" customFormat="1" ht="10.7" customHeight="1">
      <c r="A48" s="41"/>
      <c r="B48" s="345"/>
      <c r="C48" s="41"/>
      <c r="D48" s="41"/>
      <c r="E48" s="535">
        <v>11</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343"/>
      <c r="BB48" s="906"/>
    </row>
  </sheetData>
  <sheetProtection formatColumns="0" formatRows="0" insertRows="0" deleteColumns="0" deleteRows="0" sort="0" autoFilter="0"/>
  <mergeCells count="11">
    <mergeCell ref="X27:X34"/>
    <mergeCell ref="Z27:Z34"/>
    <mergeCell ref="AB44:AY44"/>
    <mergeCell ref="AB45:AY45"/>
    <mergeCell ref="X35:X42"/>
    <mergeCell ref="Z35:Z42"/>
    <mergeCell ref="AB24:AB25"/>
    <mergeCell ref="AC24:AC25"/>
    <mergeCell ref="AD24:AD25"/>
    <mergeCell ref="AY24:AY25"/>
    <mergeCell ref="AB46:AY46"/>
  </mergeCells>
  <dataValidations count="1">
    <dataValidation allowBlank="1" showInputMessage="1" showErrorMessage="1" sqref="AY44:AY46"/>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Q37"/>
  <sheetViews>
    <sheetView showGridLines="0" workbookViewId="0">
      <pane xSplit="30" ySplit="24" topLeftCell="AE25" activePane="bottomRight" state="frozen"/>
      <selection pane="topRight" activeCell="AE1" sqref="AE1"/>
      <selection pane="bottomLeft" activeCell="A25" sqref="A25"/>
      <selection pane="bottomRight"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6" width="3.5703125" style="1070" hidden="1" customWidth="1"/>
    <col min="7" max="19" width="3.5703125" style="1210" hidden="1" customWidth="1"/>
    <col min="20" max="20" width="10.42578125" style="1210" hidden="1" customWidth="1"/>
    <col min="21" max="21" width="5.85546875" style="1210" hidden="1" customWidth="1"/>
    <col min="22" max="23" width="6.140625" style="1210" hidden="1" customWidth="1"/>
    <col min="24" max="25" width="5.5703125" style="1210" hidden="1" customWidth="1"/>
    <col min="26" max="26" width="5.28515625" style="1210" hidden="1" customWidth="1"/>
    <col min="27" max="27" width="3" style="1210" customWidth="1"/>
    <col min="28" max="28" width="11" style="1210" customWidth="1"/>
    <col min="29" max="29" width="50" style="1210" customWidth="1"/>
    <col min="30" max="30" width="10" style="1210" customWidth="1"/>
    <col min="31" max="31" width="15" style="1210" customWidth="1"/>
    <col min="32" max="32" width="16.5703125" style="1210" customWidth="1"/>
    <col min="33" max="33" width="18.7109375" style="1210" customWidth="1"/>
    <col min="34" max="34" width="25.85546875" style="1210" customWidth="1"/>
    <col min="35" max="35" width="18.42578125" style="1210" customWidth="1"/>
    <col min="36" max="36" width="29.140625" style="1210" customWidth="1"/>
    <col min="37" max="37" width="18.42578125" style="1210" customWidth="1"/>
    <col min="38" max="38" width="15" style="1210" customWidth="1"/>
    <col min="39" max="39" width="3" style="1210" customWidth="1"/>
    <col min="40" max="40" width="9.140625" style="1210" hidden="1"/>
    <col min="41" max="41" width="9.140625" style="1126" hidden="1"/>
    <col min="42" max="43" width="9.140625" style="1210" hidden="1"/>
  </cols>
  <sheetData>
    <row r="1" spans="1:41" ht="11.25" hidden="1" customHeight="1">
      <c r="E1" s="41"/>
      <c r="F1" s="663" t="s">
        <v>311</v>
      </c>
      <c r="G1" s="41" t="s">
        <v>322</v>
      </c>
      <c r="T1" s="381" t="s">
        <v>92</v>
      </c>
      <c r="U1" s="381" t="s">
        <v>97</v>
      </c>
      <c r="V1" s="381" t="s">
        <v>93</v>
      </c>
      <c r="W1" s="381" t="s">
        <v>94</v>
      </c>
      <c r="X1" s="381" t="s">
        <v>95</v>
      </c>
      <c r="Y1" s="383" t="s">
        <v>313</v>
      </c>
      <c r="Z1" s="381" t="s">
        <v>99</v>
      </c>
      <c r="AA1" s="382" t="s">
        <v>96</v>
      </c>
      <c r="AB1" s="4"/>
      <c r="AC1" s="382" t="s">
        <v>98</v>
      </c>
      <c r="AO1" s="899" t="s">
        <v>314</v>
      </c>
    </row>
    <row r="2" spans="1:41" s="1104" customFormat="1" ht="11.25" hidden="1" customHeight="1">
      <c r="B2" s="363" t="s">
        <v>18</v>
      </c>
      <c r="F2" s="664"/>
      <c r="AO2" s="911"/>
    </row>
    <row r="3" spans="1:41" ht="11.25" hidden="1" customHeight="1">
      <c r="E3" s="41"/>
    </row>
    <row r="4" spans="1:41" ht="11.25" hidden="1" customHeight="1">
      <c r="E4" s="41"/>
    </row>
    <row r="5" spans="1:41" s="1073" customFormat="1" ht="11.25" hidden="1" customHeight="1">
      <c r="A5" s="41"/>
      <c r="B5" s="345"/>
      <c r="C5" s="41"/>
      <c r="D5" s="41"/>
      <c r="E5" s="535" t="s">
        <v>19</v>
      </c>
      <c r="F5" s="665"/>
      <c r="AA5" s="535">
        <v>3</v>
      </c>
      <c r="AB5" s="535">
        <v>11</v>
      </c>
      <c r="AC5" s="535">
        <v>50</v>
      </c>
      <c r="AD5" s="535">
        <v>10</v>
      </c>
      <c r="AE5" s="535">
        <v>15</v>
      </c>
      <c r="AF5" s="535">
        <v>16.57</v>
      </c>
      <c r="AG5" s="535">
        <v>18.71</v>
      </c>
      <c r="AH5" s="535">
        <v>25.86</v>
      </c>
      <c r="AI5" s="535">
        <v>18.43</v>
      </c>
      <c r="AJ5" s="535">
        <v>29.14</v>
      </c>
      <c r="AK5" s="535">
        <v>18.43</v>
      </c>
      <c r="AL5" s="535">
        <v>15</v>
      </c>
      <c r="AM5" s="535">
        <v>3</v>
      </c>
      <c r="AO5" s="899"/>
    </row>
    <row r="6" spans="1:41" ht="11.25" hidden="1" customHeight="1">
      <c r="A6" s="41" t="s">
        <v>347</v>
      </c>
      <c r="AE6" s="41" t="str" cm="1">
        <f t="array" ref="AE6">AE24</f>
        <v>Начислено в соответствии с пунктом 26(1) Основ ценообразования в сфере водоснабжения и водоотведения</v>
      </c>
      <c r="AF6" s="41" t="str" cm="1">
        <f t="array" ref="AF6">AF24</f>
        <v>Направлено на внесение платы за негативное воздействие на окружающую среду</v>
      </c>
      <c r="AG6" s="41" t="str" cm="1">
        <f t="array" ref="AG6">AG24</f>
        <v>Направлено на компенсацию вреда, причиненного водному объекту</v>
      </c>
      <c r="AH6" s="41"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41" t="str" cm="1">
        <f t="array" ref="AI6">AI24</f>
        <v>Предусмотрено на финансирование мероприятий производственной программы регулируемой организации</v>
      </c>
      <c r="AJ6" s="41"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41" t="str" cm="1">
        <f t="array" ref="AK6">AK24</f>
        <v>Налог на прибыль</v>
      </c>
      <c r="AL6" s="41" t="str" cm="1">
        <f t="array" ref="AL6">AL24</f>
        <v>Подлежит к исключению</v>
      </c>
    </row>
    <row r="7" spans="1:41" ht="11.25" hidden="1" customHeight="1"/>
    <row r="8" spans="1:41" ht="11.25" hidden="1" customHeight="1"/>
    <row r="9" spans="1:41" s="1126" customFormat="1" ht="11.25" hidden="1" customHeight="1">
      <c r="A9" s="899" t="s">
        <v>357</v>
      </c>
      <c r="B9" s="911"/>
      <c r="F9" s="912"/>
      <c r="AE9" s="899" t="str" cm="1">
        <f t="array" ref="AE9">AE24</f>
        <v>Начислено в соответствии с пунктом 26(1) Основ ценообразования в сфере водоснабжения и водоотведения</v>
      </c>
      <c r="AF9" s="899" t="str" cm="1">
        <f t="array" ref="AF9">AF24</f>
        <v>Направлено на внесение платы за негативное воздействие на окружающую среду</v>
      </c>
      <c r="AG9" s="899" t="str" cm="1">
        <f t="array" ref="AG9">AG24</f>
        <v>Направлено на компенсацию вреда, причиненного водному объекту</v>
      </c>
      <c r="AH9" s="899"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899" t="str" cm="1">
        <f t="array" ref="AI9">AI24</f>
        <v>Предусмотрено на финансирование мероприятий производственной программы регулируемой организации</v>
      </c>
      <c r="AJ9" s="899"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899" t="str" cm="1">
        <f t="array" ref="AK9">AK24</f>
        <v>Налог на прибыль</v>
      </c>
      <c r="AL9" s="899" t="str" cm="1">
        <f t="array" ref="AL9">AL24</f>
        <v>Подлежит к исключению</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0.9" customHeight="1">
      <c r="E21" s="535">
        <v>11.25</v>
      </c>
      <c r="AA21" s="342"/>
      <c r="AB21" s="75"/>
      <c r="AC21" s="75"/>
      <c r="AD21" s="75"/>
      <c r="AE21" s="75"/>
      <c r="AF21" s="75"/>
      <c r="AG21" s="75"/>
      <c r="AH21" s="75"/>
      <c r="AI21" s="75"/>
      <c r="AJ21" s="75"/>
      <c r="AK21" s="75"/>
      <c r="AL21" s="75"/>
    </row>
    <row r="22" spans="1:43" ht="19.5" customHeight="1">
      <c r="E22" s="535">
        <v>20</v>
      </c>
      <c r="AB22" s="232" t="s">
        <v>1252</v>
      </c>
      <c r="AC22" s="154"/>
      <c r="AD22" s="154"/>
      <c r="AE22" s="154"/>
      <c r="AF22" s="154"/>
      <c r="AG22" s="166"/>
      <c r="AH22" s="166"/>
      <c r="AI22" s="166"/>
      <c r="AJ22" s="166"/>
      <c r="AK22" s="166"/>
      <c r="AL22" s="166"/>
    </row>
    <row r="23" spans="1:43" ht="10.9" customHeight="1">
      <c r="E23" s="535">
        <v>11.25</v>
      </c>
      <c r="AB23" s="75"/>
      <c r="AC23" s="75"/>
      <c r="AD23" s="75"/>
      <c r="AE23" s="75"/>
      <c r="AF23" s="75"/>
      <c r="AG23" s="75"/>
      <c r="AH23" s="75"/>
      <c r="AI23" s="75"/>
      <c r="AJ23" s="75"/>
      <c r="AK23" s="75"/>
      <c r="AL23" s="75"/>
    </row>
    <row r="24" spans="1:43" ht="108.95" customHeight="1">
      <c r="E24" s="535">
        <v>111.75</v>
      </c>
      <c r="AB24" s="163" t="s">
        <v>1253</v>
      </c>
      <c r="AC24" s="5" t="s">
        <v>1235</v>
      </c>
      <c r="AD24" s="5" t="s">
        <v>360</v>
      </c>
      <c r="AE24" s="10" t="s">
        <v>1254</v>
      </c>
      <c r="AF24" s="10" t="s">
        <v>1255</v>
      </c>
      <c r="AG24" s="10" t="s">
        <v>1256</v>
      </c>
      <c r="AH24" s="10" t="s">
        <v>1257</v>
      </c>
      <c r="AI24" s="10" t="s">
        <v>1258</v>
      </c>
      <c r="AJ24" s="10" t="s">
        <v>1259</v>
      </c>
      <c r="AK24" s="10" t="s">
        <v>1139</v>
      </c>
      <c r="AL24" s="10" t="s">
        <v>1260</v>
      </c>
    </row>
    <row r="25" spans="1:43" s="1327" customFormat="1" ht="11.25" customHeight="1">
      <c r="B25" s="347"/>
      <c r="E25" s="588" t="s">
        <v>363</v>
      </c>
      <c r="F25" s="985"/>
      <c r="AC25" s="19"/>
      <c r="AD25" s="19"/>
      <c r="AE25" s="19"/>
      <c r="AF25" s="19"/>
      <c r="AO25" s="906"/>
      <c r="AQ25" s="20"/>
    </row>
    <row r="26" spans="1:43" ht="14.65" hidden="1" customHeight="1">
      <c r="E26" s="535">
        <v>15</v>
      </c>
      <c r="F26" s="261" cm="1">
        <f t="array" ref="F26">X26</f>
        <v>0</v>
      </c>
      <c r="T26" s="381" t="b">
        <f>X26&gt;0</f>
        <v>0</v>
      </c>
      <c r="V26" s="41" t="s">
        <v>270</v>
      </c>
      <c r="X26" s="1755">
        <v>0</v>
      </c>
      <c r="Z26" s="1735"/>
      <c r="AB26" s="160" t="str" cm="1">
        <f t="array" ref="AB26">INDEX('Общие сведения'!$AG$179:$AG$208,MATCH($X26,'Общие сведения'!$Z$179:$Z$208,0))</f>
        <v xml:space="preserve">Тариф 0 () - </v>
      </c>
      <c r="AC26" s="161"/>
      <c r="AD26" s="161"/>
      <c r="AE26" s="189">
        <f t="shared" ref="AE26:AL26" si="0">AE27+AE28</f>
        <v>0</v>
      </c>
      <c r="AF26" s="189">
        <f t="shared" si="0"/>
        <v>0</v>
      </c>
      <c r="AG26" s="189">
        <f t="shared" si="0"/>
        <v>0</v>
      </c>
      <c r="AH26" s="189">
        <f t="shared" si="0"/>
        <v>0</v>
      </c>
      <c r="AI26" s="189">
        <f t="shared" si="0"/>
        <v>0</v>
      </c>
      <c r="AJ26" s="189">
        <f t="shared" si="0"/>
        <v>0</v>
      </c>
      <c r="AK26" s="189">
        <f t="shared" si="0"/>
        <v>0</v>
      </c>
      <c r="AL26" s="189">
        <f t="shared" si="0"/>
        <v>0</v>
      </c>
    </row>
    <row r="27" spans="1:43" ht="33.4" hidden="1" customHeight="1">
      <c r="B27" s="363" t="b">
        <f>IFERROR(IF(SEARCH("Водоотведение",AB26),TRUE,FALSE),FALSE)</f>
        <v>0</v>
      </c>
      <c r="E27" s="535">
        <v>34.25</v>
      </c>
      <c r="F27" s="3" cm="1">
        <f t="array" aca="1" ref="F27" ca="1">OFFSET(E27,-1,1)</f>
        <v>0</v>
      </c>
      <c r="G27" s="43">
        <v>1</v>
      </c>
      <c r="T27" s="381" t="b" cm="1">
        <f t="array" ref="T27">T26</f>
        <v>0</v>
      </c>
      <c r="X27" s="1755"/>
      <c r="Z27" s="1735"/>
      <c r="AB27" s="5" t="s">
        <v>281</v>
      </c>
      <c r="AC27" s="162" t="s">
        <v>1261</v>
      </c>
      <c r="AD27" s="5" t="s">
        <v>766</v>
      </c>
      <c r="AE27" s="1406"/>
      <c r="AF27" s="1415"/>
      <c r="AG27" s="1415"/>
      <c r="AH27" s="1415"/>
      <c r="AI27" s="1415"/>
      <c r="AJ27" s="1415"/>
      <c r="AK27" s="1415"/>
      <c r="AL27" s="1415">
        <f>IF(AE27-AF27-AG27-AH27-AI27-AJ27-AK27&lt;0,0,AE27-AF27-AG27-AH27-AI27-AJ27-AK27)</f>
        <v>0</v>
      </c>
      <c r="AO27" s="899" t="s">
        <v>1216</v>
      </c>
    </row>
    <row r="28" spans="1:43" ht="33.4" hidden="1" customHeight="1">
      <c r="B28" s="363" t="b" cm="1">
        <f t="array" ref="B28">B27</f>
        <v>0</v>
      </c>
      <c r="E28" s="535">
        <v>34.25</v>
      </c>
      <c r="F28" s="3" cm="1">
        <f t="array" aca="1" ref="F28" ca="1">OFFSET(E28,-1,1)</f>
        <v>0</v>
      </c>
      <c r="G28" s="43">
        <v>2</v>
      </c>
      <c r="T28" s="381" t="b" cm="1">
        <f t="array" ref="T28">T27</f>
        <v>0</v>
      </c>
      <c r="X28" s="1755"/>
      <c r="Z28" s="1735"/>
      <c r="AB28" s="5" t="s">
        <v>224</v>
      </c>
      <c r="AC28" s="162" t="s">
        <v>1262</v>
      </c>
      <c r="AD28" s="5" t="s">
        <v>766</v>
      </c>
      <c r="AE28" s="1406"/>
      <c r="AF28" s="1415"/>
      <c r="AG28" s="1415"/>
      <c r="AH28" s="1415"/>
      <c r="AI28" s="1415"/>
      <c r="AJ28" s="1415"/>
      <c r="AK28" s="1415"/>
      <c r="AL28" s="1415">
        <f>IF(AE28-AF28-AG28-AH28-AI28-AJ28-AK28&lt;0,0,AE28-AF28-AG28-AH28-AI28-AJ28-AK28)</f>
        <v>0</v>
      </c>
      <c r="AO28" s="899" t="s">
        <v>1220</v>
      </c>
    </row>
    <row r="29" spans="1:43" s="1327" customFormat="1" ht="14.25" customHeight="1">
      <c r="A29" s="1210"/>
      <c r="B29" s="1104"/>
      <c r="C29" s="1210"/>
      <c r="D29" s="1210"/>
      <c r="E29" s="535">
        <v>15</v>
      </c>
      <c r="F29" s="261" t="str" cm="1">
        <f t="array" ref="F29">X29</f>
        <v>1</v>
      </c>
      <c r="G29" s="1210"/>
      <c r="H29" s="1210"/>
      <c r="I29" s="1210"/>
      <c r="J29" s="1210"/>
      <c r="K29" s="1210"/>
      <c r="L29" s="1210"/>
      <c r="M29" s="1210"/>
      <c r="N29" s="1210"/>
      <c r="O29" s="1210"/>
      <c r="P29" s="1210"/>
      <c r="Q29" s="1210"/>
      <c r="R29" s="1210"/>
      <c r="S29" s="1210"/>
      <c r="T29" s="381" t="b">
        <f>X29&gt;0</f>
        <v>1</v>
      </c>
      <c r="U29" s="1210"/>
      <c r="V29" s="41" t="str" cm="1">
        <f t="array" ref="V29">Экономия_корр!$AB$35</f>
        <v>Тариф 1 (Водоснабжение) - тариф на питьевую воду</v>
      </c>
      <c r="W29" s="1210"/>
      <c r="X29" s="1755" t="s">
        <v>281</v>
      </c>
      <c r="Y29" s="1210"/>
      <c r="Z29" s="1735"/>
      <c r="AA29" s="1210"/>
      <c r="AB29" s="160" t="str" cm="1">
        <f t="array" ref="AB29">Экономия_корр!$AB$35</f>
        <v>Тариф 1 (Водоснабжение) - тариф на питьевую воду</v>
      </c>
      <c r="AC29" s="161"/>
      <c r="AD29" s="161"/>
      <c r="AE29" s="189">
        <f t="shared" ref="AE29:AL29" si="1">AE30+AE31</f>
        <v>0</v>
      </c>
      <c r="AF29" s="189">
        <f t="shared" si="1"/>
        <v>0</v>
      </c>
      <c r="AG29" s="189">
        <f t="shared" si="1"/>
        <v>0</v>
      </c>
      <c r="AH29" s="189">
        <f t="shared" si="1"/>
        <v>0</v>
      </c>
      <c r="AI29" s="189">
        <f t="shared" si="1"/>
        <v>0</v>
      </c>
      <c r="AJ29" s="189">
        <f t="shared" si="1"/>
        <v>0</v>
      </c>
      <c r="AK29" s="189">
        <f t="shared" si="1"/>
        <v>0</v>
      </c>
      <c r="AL29" s="189">
        <f t="shared" si="1"/>
        <v>0</v>
      </c>
      <c r="AM29" s="1210"/>
      <c r="AN29" s="1210"/>
      <c r="AO29" s="1126"/>
      <c r="AP29" s="1210"/>
      <c r="AQ29" s="1210"/>
    </row>
    <row r="30" spans="1:43" s="1327" customFormat="1" ht="33" hidden="1" customHeight="1">
      <c r="A30" s="1210"/>
      <c r="B30" s="363" t="b">
        <f>IFERROR(IF(SEARCH("Водоотведение",AB29),TRUE,FALSE),FALSE)</f>
        <v>0</v>
      </c>
      <c r="C30" s="1210"/>
      <c r="D30" s="1210"/>
      <c r="E30" s="535">
        <v>34.25</v>
      </c>
      <c r="F30" s="3" t="str" cm="1">
        <f t="array" aca="1" ref="F30" ca="1">OFFSET(E30,-1,1)</f>
        <v>1</v>
      </c>
      <c r="G30" s="43">
        <v>1</v>
      </c>
      <c r="H30" s="1210"/>
      <c r="I30" s="1210"/>
      <c r="J30" s="1210"/>
      <c r="K30" s="1210"/>
      <c r="L30" s="1210"/>
      <c r="M30" s="1210"/>
      <c r="N30" s="1210"/>
      <c r="O30" s="1210"/>
      <c r="P30" s="1210"/>
      <c r="Q30" s="1210"/>
      <c r="R30" s="1210"/>
      <c r="S30" s="1210"/>
      <c r="T30" s="381" t="b" cm="1">
        <f t="array" ref="T30">T29</f>
        <v>1</v>
      </c>
      <c r="U30" s="1210"/>
      <c r="V30" s="1210"/>
      <c r="W30" s="1210"/>
      <c r="X30" s="1755"/>
      <c r="Y30" s="1210"/>
      <c r="Z30" s="1735"/>
      <c r="AA30" s="1210"/>
      <c r="AB30" s="5" t="s">
        <v>281</v>
      </c>
      <c r="AC30" s="162" t="s">
        <v>1261</v>
      </c>
      <c r="AD30" s="5" t="s">
        <v>766</v>
      </c>
      <c r="AE30" s="1406"/>
      <c r="AF30" s="1415"/>
      <c r="AG30" s="1415"/>
      <c r="AH30" s="1415"/>
      <c r="AI30" s="1415"/>
      <c r="AJ30" s="1415"/>
      <c r="AK30" s="1415"/>
      <c r="AL30" s="1415">
        <f>IF(AE30-AF30-AG30-AH30-AI30-AJ30-AK30&lt;0,0,AE30-AF30-AG30-AH30-AI30-AJ30-AK30)</f>
        <v>0</v>
      </c>
      <c r="AM30" s="1210"/>
      <c r="AN30" s="1210"/>
      <c r="AO30" s="899" t="s">
        <v>1216</v>
      </c>
      <c r="AP30" s="1210"/>
      <c r="AQ30" s="1210"/>
    </row>
    <row r="31" spans="1:43" s="1327" customFormat="1" ht="33" hidden="1" customHeight="1">
      <c r="A31" s="1210"/>
      <c r="B31" s="363" t="b" cm="1">
        <f t="array" ref="B31">B30</f>
        <v>0</v>
      </c>
      <c r="C31" s="1210"/>
      <c r="D31" s="1210"/>
      <c r="E31" s="535">
        <v>34.25</v>
      </c>
      <c r="F31" s="3" t="str" cm="1">
        <f t="array" aca="1" ref="F31" ca="1">OFFSET(E31,-1,1)</f>
        <v>1</v>
      </c>
      <c r="G31" s="43">
        <v>2</v>
      </c>
      <c r="H31" s="1210"/>
      <c r="I31" s="1210"/>
      <c r="J31" s="1210"/>
      <c r="K31" s="1210"/>
      <c r="L31" s="1210"/>
      <c r="M31" s="1210"/>
      <c r="N31" s="1210"/>
      <c r="O31" s="1210"/>
      <c r="P31" s="1210"/>
      <c r="Q31" s="1210"/>
      <c r="R31" s="1210"/>
      <c r="S31" s="1210"/>
      <c r="T31" s="381" t="b" cm="1">
        <f t="array" ref="T31">T30</f>
        <v>1</v>
      </c>
      <c r="U31" s="1210"/>
      <c r="V31" s="1210"/>
      <c r="W31" s="1210"/>
      <c r="X31" s="1755"/>
      <c r="Y31" s="1210"/>
      <c r="Z31" s="1735"/>
      <c r="AA31" s="1210"/>
      <c r="AB31" s="5" t="s">
        <v>224</v>
      </c>
      <c r="AC31" s="162" t="s">
        <v>1262</v>
      </c>
      <c r="AD31" s="5" t="s">
        <v>766</v>
      </c>
      <c r="AE31" s="1406"/>
      <c r="AF31" s="1415"/>
      <c r="AG31" s="1415"/>
      <c r="AH31" s="1415"/>
      <c r="AI31" s="1415"/>
      <c r="AJ31" s="1415"/>
      <c r="AK31" s="1415"/>
      <c r="AL31" s="1415">
        <f>IF(AE31-AF31-AG31-AH31-AI31-AJ31-AK31&lt;0,0,AE31-AF31-AG31-AH31-AI31-AJ31-AK31)</f>
        <v>0</v>
      </c>
      <c r="AM31" s="1210"/>
      <c r="AN31" s="1210"/>
      <c r="AO31" s="899" t="s">
        <v>1220</v>
      </c>
      <c r="AP31" s="1210"/>
      <c r="AQ31" s="1210"/>
    </row>
    <row r="32" spans="1:43" s="1327" customFormat="1" ht="10.9" customHeight="1">
      <c r="B32" s="347"/>
      <c r="E32" s="541">
        <v>11.25</v>
      </c>
      <c r="F32" s="986"/>
      <c r="U32" s="398" t="s">
        <v>177</v>
      </c>
      <c r="V32" s="59" t="s">
        <v>1263</v>
      </c>
      <c r="AC32" s="19"/>
      <c r="AD32" s="19"/>
      <c r="AE32" s="19"/>
      <c r="AF32" s="19"/>
      <c r="AO32" s="906"/>
      <c r="AQ32" s="20"/>
    </row>
    <row r="33" spans="5:39" ht="14.65" customHeight="1">
      <c r="E33" s="535">
        <v>15</v>
      </c>
      <c r="AB33" s="1758" t="s">
        <v>394</v>
      </c>
      <c r="AC33" s="1758"/>
      <c r="AD33" s="1758"/>
      <c r="AE33" s="1758"/>
      <c r="AF33" s="1758"/>
      <c r="AG33" s="1758"/>
      <c r="AH33" s="1758"/>
      <c r="AI33" s="1758"/>
      <c r="AJ33" s="1758"/>
      <c r="AK33" s="1758"/>
      <c r="AL33" s="1789"/>
    </row>
    <row r="34" spans="5:39" ht="14.65" customHeight="1">
      <c r="E34" s="535">
        <v>15</v>
      </c>
      <c r="AA34" s="92"/>
      <c r="AB34" s="1825"/>
      <c r="AC34" s="1825"/>
      <c r="AD34" s="1825"/>
      <c r="AE34" s="1825"/>
      <c r="AF34" s="1825"/>
      <c r="AG34" s="1825"/>
      <c r="AH34" s="1825"/>
      <c r="AI34" s="1825"/>
      <c r="AJ34" s="1825"/>
      <c r="AK34" s="1825"/>
      <c r="AL34" s="1830"/>
    </row>
    <row r="35" spans="5:39" ht="14.65" hidden="1" customHeight="1">
      <c r="E35" s="535">
        <v>15</v>
      </c>
      <c r="T35" s="381" t="b">
        <f>ROW(W35)&gt;ROW(W$35)</f>
        <v>0</v>
      </c>
      <c r="W35" s="671" t="s">
        <v>173</v>
      </c>
      <c r="AA35" s="337" t="s">
        <v>174</v>
      </c>
      <c r="AB35" s="1826" t="s">
        <v>231</v>
      </c>
      <c r="AC35" s="1826"/>
      <c r="AD35" s="1826"/>
      <c r="AE35" s="1826"/>
      <c r="AF35" s="1826"/>
      <c r="AG35" s="1826"/>
      <c r="AH35" s="1826"/>
      <c r="AI35" s="1826"/>
      <c r="AJ35" s="1826"/>
      <c r="AK35" s="1826"/>
      <c r="AL35" s="1831"/>
    </row>
    <row r="36" spans="5:39" ht="14.65" customHeight="1">
      <c r="E36" s="535">
        <v>15</v>
      </c>
      <c r="W36" s="671" t="s">
        <v>395</v>
      </c>
      <c r="AB36" s="564"/>
      <c r="AC36" s="430" t="s">
        <v>396</v>
      </c>
      <c r="AD36" s="224"/>
      <c r="AE36" s="224"/>
      <c r="AF36" s="224"/>
      <c r="AG36" s="224"/>
      <c r="AH36" s="224"/>
      <c r="AI36" s="224"/>
      <c r="AJ36" s="224"/>
      <c r="AK36" s="224"/>
      <c r="AL36" s="191"/>
    </row>
    <row r="37" spans="5:39" ht="10.9" customHeight="1">
      <c r="E37" s="535">
        <v>11.25</v>
      </c>
      <c r="AM37" s="343"/>
    </row>
  </sheetData>
  <sheetProtection formatColumns="0" formatRows="0" insertRows="0" deleteColumns="0" deleteRows="0" sort="0" autoFilter="0"/>
  <mergeCells count="7">
    <mergeCell ref="AB33:AL33"/>
    <mergeCell ref="AB34:AL34"/>
    <mergeCell ref="AB35:AL35"/>
    <mergeCell ref="X26:X28"/>
    <mergeCell ref="Z26:Z28"/>
    <mergeCell ref="X29:X31"/>
    <mergeCell ref="Z29:Z31"/>
  </mergeCells>
  <dataValidations count="1">
    <dataValidation type="decimal" allowBlank="1" showErrorMessage="1" errorTitle="Ошибка" error="Допускается ввод только неотрицательных чисел!" sqref="AL28 AL30:AL31 AK28 AK31 AJ28 AJ31 AI28 AI31 AH28 AH30:AH31 AF27:AH27 AL27 AF30 AG3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Q135"/>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6" width="3.5703125" style="1210" hidden="1" customWidth="1"/>
    <col min="7" max="7" width="12.42578125" style="923" hidden="1" customWidth="1"/>
    <col min="8" max="8" width="15.140625" style="1210" hidden="1" customWidth="1"/>
    <col min="9" max="18" width="3.5703125" style="1210" hidden="1" customWidth="1"/>
    <col min="19" max="19" width="6.42578125" style="1314" hidden="1" customWidth="1"/>
    <col min="20" max="20" width="8.42578125" style="1210" hidden="1" customWidth="1"/>
    <col min="21" max="26" width="4.42578125" style="1210" hidden="1" customWidth="1"/>
    <col min="27" max="27" width="3" style="1210" customWidth="1"/>
    <col min="28" max="28" width="11" style="1207" customWidth="1"/>
    <col min="29" max="29" width="72.28515625" style="1210" customWidth="1"/>
    <col min="30" max="31" width="12" style="1210" customWidth="1"/>
    <col min="32" max="33" width="15" style="1210" customWidth="1"/>
    <col min="34" max="34" width="20" style="1210" customWidth="1"/>
    <col min="35" max="35" width="3" style="1210" customWidth="1"/>
    <col min="36" max="37" width="9.140625" style="1210" hidden="1"/>
    <col min="38" max="38" width="9.140625" style="1126" hidden="1"/>
    <col min="39" max="43" width="9.140625" style="1210" hidden="1"/>
  </cols>
  <sheetData>
    <row r="1" spans="1:38" ht="11.25" hidden="1" customHeight="1">
      <c r="E1" s="41"/>
      <c r="F1" s="41" t="s">
        <v>311</v>
      </c>
      <c r="I1" s="41" t="s">
        <v>322</v>
      </c>
      <c r="T1" s="381" t="s">
        <v>92</v>
      </c>
      <c r="U1" s="381" t="s">
        <v>97</v>
      </c>
      <c r="V1" s="381" t="s">
        <v>93</v>
      </c>
      <c r="W1" s="381" t="s">
        <v>94</v>
      </c>
      <c r="X1" s="381" t="s">
        <v>95</v>
      </c>
      <c r="Y1" s="383" t="s">
        <v>313</v>
      </c>
      <c r="Z1" s="381" t="s">
        <v>99</v>
      </c>
      <c r="AA1" s="382" t="s">
        <v>96</v>
      </c>
      <c r="AC1" s="382" t="s">
        <v>98</v>
      </c>
      <c r="AL1" s="899" t="s">
        <v>314</v>
      </c>
    </row>
    <row r="2" spans="1:38" s="1104" customFormat="1" ht="11.25" hidden="1" customHeight="1">
      <c r="B2" s="363" t="s">
        <v>18</v>
      </c>
      <c r="G2" s="412"/>
      <c r="S2" s="1123"/>
      <c r="AB2" s="344"/>
      <c r="AL2" s="911"/>
    </row>
    <row r="3" spans="1:38" ht="11.25" hidden="1" customHeight="1">
      <c r="E3" s="41"/>
    </row>
    <row r="4" spans="1:38" ht="11.25" hidden="1" customHeight="1">
      <c r="E4" s="41"/>
    </row>
    <row r="5" spans="1:38" s="1073" customFormat="1" ht="11.25" hidden="1" customHeight="1">
      <c r="A5" s="41"/>
      <c r="B5" s="345"/>
      <c r="C5" s="41"/>
      <c r="D5" s="41"/>
      <c r="E5" s="535" t="s">
        <v>19</v>
      </c>
      <c r="G5" s="609"/>
      <c r="S5" s="1124"/>
      <c r="AA5" s="535">
        <v>3</v>
      </c>
      <c r="AB5" s="549">
        <v>11</v>
      </c>
      <c r="AC5" s="535">
        <v>72.290000000000006</v>
      </c>
      <c r="AD5" s="535">
        <v>12</v>
      </c>
      <c r="AE5" s="535">
        <v>12</v>
      </c>
      <c r="AF5" s="535">
        <v>15</v>
      </c>
      <c r="AG5" s="535">
        <v>15</v>
      </c>
      <c r="AH5" s="535">
        <v>20</v>
      </c>
      <c r="AI5" s="535">
        <v>3</v>
      </c>
      <c r="AL5" s="899"/>
    </row>
    <row r="6" spans="1:38" ht="11.25" hidden="1" customHeight="1">
      <c r="AF6" s="41">
        <f>god-2</f>
        <v>2024</v>
      </c>
      <c r="AG6" s="41">
        <f>god-2</f>
        <v>2024</v>
      </c>
    </row>
    <row r="7" spans="1:38" ht="11.25" hidden="1" customHeight="1">
      <c r="A7" s="41" t="s">
        <v>351</v>
      </c>
      <c r="AF7" s="41" t="str" cm="1">
        <f t="array" ref="AF7">AF25</f>
        <v>Факт по данным организации</v>
      </c>
      <c r="AG7" s="41" t="str" cm="1">
        <f t="array" ref="AG7">AG25</f>
        <v>Принято органом регулирования</v>
      </c>
    </row>
    <row r="8" spans="1:38" ht="11.25" hidden="1" customHeight="1"/>
    <row r="9" spans="1:38" s="1126" customFormat="1" ht="11.25" hidden="1" customHeight="1">
      <c r="A9" s="899" t="s">
        <v>355</v>
      </c>
      <c r="B9" s="911"/>
      <c r="AF9" s="899" cm="1">
        <f t="array" ref="AF9">AF6</f>
        <v>2024</v>
      </c>
      <c r="AG9" s="899" cm="1">
        <f t="array" ref="AG9">AG6</f>
        <v>2024</v>
      </c>
    </row>
    <row r="10" spans="1:38" s="1126" customFormat="1" ht="11.25" hidden="1" customHeight="1">
      <c r="A10" s="899" t="s">
        <v>356</v>
      </c>
      <c r="B10" s="911"/>
      <c r="AF10" s="899" t="str" cm="1">
        <f t="array" ref="AF10">AF25</f>
        <v>Факт по данным организации</v>
      </c>
      <c r="AG10" s="899" t="str" cm="1">
        <f t="array" ref="AG10">AG25</f>
        <v>Принято органом регулирования</v>
      </c>
    </row>
    <row r="11" spans="1:38" s="1126" customFormat="1" ht="11.25" hidden="1" customHeight="1">
      <c r="A11" s="899" t="s">
        <v>357</v>
      </c>
      <c r="B11" s="911"/>
      <c r="AH11" s="899" t="str" cm="1">
        <f t="array" ref="AH11">AH24</f>
        <v>Комментарии</v>
      </c>
    </row>
    <row r="12" spans="1:38" ht="11.25" hidden="1" customHeight="1"/>
    <row r="13" spans="1:38" ht="11.25" hidden="1" customHeight="1"/>
    <row r="14" spans="1:38" ht="11.25" hidden="1" customHeight="1"/>
    <row r="15" spans="1:38" ht="11.25" hidden="1" customHeight="1"/>
    <row r="16" spans="1:38" ht="11.25" hidden="1" customHeight="1"/>
    <row r="17" spans="2:43" ht="11.25" hidden="1" customHeight="1"/>
    <row r="18" spans="2:43" ht="11.25" hidden="1" customHeight="1"/>
    <row r="19" spans="2:43" ht="11.25" hidden="1" customHeight="1"/>
    <row r="20" spans="2:43" ht="11.25" hidden="1" customHeight="1"/>
    <row r="21" spans="2:43" ht="14.65" customHeight="1">
      <c r="E21" s="535">
        <v>15</v>
      </c>
      <c r="AA21" s="342"/>
      <c r="AB21" s="167"/>
      <c r="AC21" s="3" t="str" cm="1">
        <f t="array" ref="AC21">tpl_title</f>
        <v>Кемеровская область / 2026 / ОАО «СКЭК» (ИНН:4205153492, КПП:420501001) / ДПР: 2026-2026</v>
      </c>
      <c r="AD21" s="75"/>
      <c r="AE21" s="75"/>
      <c r="AF21" s="75"/>
      <c r="AG21" s="75"/>
    </row>
    <row r="22" spans="2:43" ht="21.95" customHeight="1">
      <c r="E22" s="535">
        <v>22.5</v>
      </c>
      <c r="AB22" s="232" t="s">
        <v>75</v>
      </c>
      <c r="AC22" s="144"/>
      <c r="AD22" s="144"/>
      <c r="AE22" s="144"/>
      <c r="AF22" s="144"/>
      <c r="AG22" s="155"/>
      <c r="AH22" s="155"/>
    </row>
    <row r="23" spans="2:43" ht="10.9" customHeight="1">
      <c r="E23" s="535">
        <v>11.25</v>
      </c>
      <c r="AB23" s="167"/>
      <c r="AC23" s="75"/>
      <c r="AD23" s="75"/>
      <c r="AE23" s="75"/>
      <c r="AF23" s="75"/>
      <c r="AG23" s="75"/>
    </row>
    <row r="24" spans="2:43" ht="19.350000000000001" customHeight="1">
      <c r="E24" s="535">
        <v>19.75</v>
      </c>
      <c r="AB24" s="1758" t="s">
        <v>21</v>
      </c>
      <c r="AC24" s="1781" t="s">
        <v>359</v>
      </c>
      <c r="AD24" s="1758" t="s">
        <v>1264</v>
      </c>
      <c r="AE24" s="1781" t="s">
        <v>917</v>
      </c>
      <c r="AF24" s="1027" t="str">
        <f>god-2&amp;" год"</f>
        <v>2024 год</v>
      </c>
      <c r="AG24" s="9" t="str">
        <f>god-2&amp;" год"</f>
        <v>2024 год</v>
      </c>
      <c r="AH24" s="1781" t="s">
        <v>361</v>
      </c>
    </row>
    <row r="25" spans="2:43" ht="31.35" customHeight="1">
      <c r="E25" s="535">
        <v>32.25</v>
      </c>
      <c r="AB25" s="1758"/>
      <c r="AC25" s="1781"/>
      <c r="AD25" s="1758"/>
      <c r="AE25" s="1781"/>
      <c r="AF25" s="1027" t="s">
        <v>417</v>
      </c>
      <c r="AG25" s="9" t="s">
        <v>352</v>
      </c>
      <c r="AH25" s="1781"/>
      <c r="AK25" s="41" t="s">
        <v>1253</v>
      </c>
    </row>
    <row r="26" spans="2:43" s="1327" customFormat="1" ht="11.25" customHeight="1">
      <c r="B26" s="347"/>
      <c r="E26" s="588" t="s">
        <v>363</v>
      </c>
      <c r="F26" s="91" t="s">
        <v>1265</v>
      </c>
      <c r="G26" s="403"/>
      <c r="S26" t="s">
        <v>1266</v>
      </c>
      <c r="T26"/>
      <c r="AC26" s="19"/>
      <c r="AD26" s="19"/>
      <c r="AE26" s="19"/>
      <c r="AF26" s="19"/>
      <c r="AL26" s="906"/>
      <c r="AQ26" s="20"/>
    </row>
    <row r="27" spans="2:43" ht="14.65" hidden="1" customHeight="1">
      <c r="E27" s="535">
        <v>15</v>
      </c>
      <c r="F27" s="17" cm="1">
        <f t="array" ref="F27">X27</f>
        <v>0</v>
      </c>
      <c r="G27" s="409"/>
      <c r="H27" s="4"/>
      <c r="S27" s="1078" cm="1">
        <f t="array" ref="S27">INDEX('Общие сведения'!$AE$179:$AE$208,MATCH($X27,'Общие сведения'!$Z$179:$Z$208,0))</f>
        <v>0</v>
      </c>
      <c r="T27" s="381" t="b">
        <f>X27&gt;0</f>
        <v>0</v>
      </c>
      <c r="V27" s="41" t="s">
        <v>270</v>
      </c>
      <c r="X27" s="1755">
        <v>0</v>
      </c>
      <c r="Z27" s="1735"/>
      <c r="AB27" s="293" t="str" cm="1">
        <f t="array" ref="AB27">INDEX('Общие сведения'!$AG$179:$AG$208,MATCH($X27,'Общие сведения'!$Z$179:$Z$208,0))</f>
        <v xml:space="preserve">Тариф 0 () - </v>
      </c>
      <c r="AC27" s="293"/>
      <c r="AD27" s="293"/>
      <c r="AE27" s="293"/>
      <c r="AF27" s="293"/>
      <c r="AG27" s="293"/>
      <c r="AH27" s="293"/>
    </row>
    <row r="28" spans="2:43" s="615" customFormat="1" ht="43.9" hidden="1" customHeight="1">
      <c r="B28" s="348"/>
      <c r="E28" s="608">
        <v>45</v>
      </c>
      <c r="F28" s="3" cm="1">
        <f t="array" aca="1" ref="F28" ca="1">OFFSET(E28,-1,1)</f>
        <v>0</v>
      </c>
      <c r="G28" s="413"/>
      <c r="I28" s="41" t="s">
        <v>323</v>
      </c>
      <c r="K28" s="43"/>
      <c r="L28" s="829"/>
      <c r="M28" s="413"/>
      <c r="T28" s="381" t="b" cm="1">
        <f t="array" ref="T28">T27</f>
        <v>0</v>
      </c>
      <c r="X28" s="1755"/>
      <c r="Z28" s="1735"/>
      <c r="AB28" s="755" t="s">
        <v>1267</v>
      </c>
      <c r="AC28" s="756" t="s">
        <v>1268</v>
      </c>
      <c r="AD28" s="755" t="s">
        <v>1269</v>
      </c>
      <c r="AE28" s="757" t="s">
        <v>766</v>
      </c>
      <c r="AF28" s="758">
        <f ca="1">AF30-AF29</f>
        <v>0</v>
      </c>
      <c r="AG28" s="758">
        <f ca="1">AG30-AG29</f>
        <v>0</v>
      </c>
      <c r="AH28" s="1416"/>
      <c r="AL28" s="953" t="s">
        <v>1270</v>
      </c>
    </row>
    <row r="29" spans="2:43" s="615" customFormat="1" ht="14.65" hidden="1" customHeight="1">
      <c r="B29" s="348"/>
      <c r="E29" s="608">
        <v>15</v>
      </c>
      <c r="F29" s="3" cm="1">
        <f t="array" aca="1" ref="F29" ca="1">OFFSET(E29,-1,1)</f>
        <v>0</v>
      </c>
      <c r="G29" s="413"/>
      <c r="I29" s="41" t="s">
        <v>427</v>
      </c>
      <c r="K29" s="413"/>
      <c r="L29" s="413"/>
      <c r="M29" s="413"/>
      <c r="T29" s="381" t="b" cm="1">
        <f t="array" ref="T29">T28</f>
        <v>0</v>
      </c>
      <c r="X29" s="1755"/>
      <c r="Z29" s="1735"/>
      <c r="AB29" s="136" t="s">
        <v>281</v>
      </c>
      <c r="AC29" s="137" t="s">
        <v>1271</v>
      </c>
      <c r="AD29" s="129" t="s">
        <v>1272</v>
      </c>
      <c r="AE29" s="152" t="s">
        <v>766</v>
      </c>
      <c r="AF29" s="1417"/>
      <c r="AG29" s="1417"/>
      <c r="AH29" s="1416"/>
      <c r="AL29" s="953" t="s">
        <v>1273</v>
      </c>
    </row>
    <row r="30" spans="2:43" s="615" customFormat="1" ht="14.65" hidden="1" customHeight="1">
      <c r="B30" s="348"/>
      <c r="E30" s="608">
        <v>15</v>
      </c>
      <c r="F30" s="3" cm="1">
        <f t="array" aca="1" ref="F30" ca="1">OFFSET(E30,-1,1)</f>
        <v>0</v>
      </c>
      <c r="G30" s="66"/>
      <c r="H30" s="66"/>
      <c r="I30" s="343" t="s">
        <v>431</v>
      </c>
      <c r="K30" s="413"/>
      <c r="L30" s="413"/>
      <c r="M30" s="413"/>
      <c r="T30" s="381" t="b" cm="1">
        <f t="array" ref="T30">T29</f>
        <v>0</v>
      </c>
      <c r="X30" s="1755"/>
      <c r="Z30" s="1735"/>
      <c r="AB30" s="136" t="s">
        <v>224</v>
      </c>
      <c r="AC30" s="130" t="s">
        <v>1274</v>
      </c>
      <c r="AD30" s="129" t="s">
        <v>1275</v>
      </c>
      <c r="AE30" s="152" t="s">
        <v>766</v>
      </c>
      <c r="AF30" s="758">
        <f ca="1">AF31+AF32+AF44+AF48+AF49+AF50+AF51+AF55+AF56+AF57+AF58+AF61+AF62</f>
        <v>0</v>
      </c>
      <c r="AG30" s="758">
        <f ca="1">AG31+AG32+AG44+AG48+AG49+AG50+AG51+AG55+AG56+AG57+AG58+AG61+AG62</f>
        <v>0</v>
      </c>
      <c r="AH30" s="1416"/>
      <c r="AL30" s="953" t="s">
        <v>1276</v>
      </c>
    </row>
    <row r="31" spans="2:43" ht="21.95" hidden="1" customHeight="1">
      <c r="E31" s="535">
        <v>22.5</v>
      </c>
      <c r="F31" s="3" cm="1">
        <f t="array" aca="1" ref="F31" ca="1">OFFSET(E31,-1,1)</f>
        <v>0</v>
      </c>
      <c r="G31" s="343" t="s">
        <v>1277</v>
      </c>
      <c r="H31" s="4"/>
      <c r="I31" s="343" t="s">
        <v>1186</v>
      </c>
      <c r="K31" s="43"/>
      <c r="L31" s="43"/>
      <c r="M31" s="43"/>
      <c r="T31" s="381" t="b" cm="1">
        <f t="array" ref="T31">T30</f>
        <v>0</v>
      </c>
      <c r="X31" s="1755"/>
      <c r="Z31" s="1735"/>
      <c r="AB31" s="215" t="s">
        <v>502</v>
      </c>
      <c r="AC31" s="676" t="s">
        <v>1278</v>
      </c>
      <c r="AD31" s="216" t="s">
        <v>1279</v>
      </c>
      <c r="AE31" s="680" t="s">
        <v>766</v>
      </c>
      <c r="AF31" s="1399"/>
      <c r="AG31" s="1399"/>
      <c r="AH31" s="1358"/>
      <c r="AL31" s="899" t="s">
        <v>1280</v>
      </c>
    </row>
    <row r="32" spans="2:43" ht="21.95" hidden="1" customHeight="1">
      <c r="E32" s="535">
        <v>22.5</v>
      </c>
      <c r="F32" s="3" cm="1">
        <f t="array" aca="1" ref="F32" ca="1">OFFSET(E32,-1,1)</f>
        <v>0</v>
      </c>
      <c r="G32" s="343"/>
      <c r="H32" s="4"/>
      <c r="I32" s="343" t="s">
        <v>1189</v>
      </c>
      <c r="K32" s="43"/>
      <c r="L32" s="43"/>
      <c r="M32" s="43"/>
      <c r="T32" s="381" t="b" cm="1">
        <f t="array" ref="T32">T31</f>
        <v>0</v>
      </c>
      <c r="X32" s="1755"/>
      <c r="Z32" s="1735"/>
      <c r="AB32" s="215" t="s">
        <v>506</v>
      </c>
      <c r="AC32" s="676" t="s">
        <v>1281</v>
      </c>
      <c r="AD32" s="216" t="s">
        <v>1282</v>
      </c>
      <c r="AE32" s="680" t="s">
        <v>766</v>
      </c>
      <c r="AF32" s="839">
        <f ca="1">SUM(AF33:AF43)</f>
        <v>0</v>
      </c>
      <c r="AG32" s="839">
        <f ca="1">SUM(AG33:AG43)</f>
        <v>0</v>
      </c>
      <c r="AH32" s="1358"/>
      <c r="AL32" s="899" t="s">
        <v>1283</v>
      </c>
    </row>
    <row r="33" spans="5:38" ht="21.95" hidden="1" customHeight="1">
      <c r="E33" s="535">
        <v>22.5</v>
      </c>
      <c r="F33" s="3" cm="1">
        <f t="array" aca="1" ref="F33" ca="1">OFFSET(E33,-1,1)</f>
        <v>0</v>
      </c>
      <c r="G33" s="343"/>
      <c r="H33" s="4"/>
      <c r="I33" s="343" t="s">
        <v>1284</v>
      </c>
      <c r="K33" s="43"/>
      <c r="L33" s="43"/>
      <c r="M33" s="43"/>
      <c r="T33" s="381" t="b" cm="1">
        <f t="array" ref="T33">T32</f>
        <v>0</v>
      </c>
      <c r="X33" s="1755"/>
      <c r="Z33" s="1735"/>
      <c r="AB33" s="698" t="s">
        <v>459</v>
      </c>
      <c r="AC33" s="695" t="s">
        <v>1285</v>
      </c>
      <c r="AD33" s="680"/>
      <c r="AE33" s="680" t="s">
        <v>766</v>
      </c>
      <c r="AF33" s="1399">
        <f ca="1">SUMIFS(Покупка!$AF$25:$AF$90,Покупка!$F$25:$F$90,$F33,Покупка!$G$25:$G$90,"Итого")</f>
        <v>0</v>
      </c>
      <c r="AG33" s="1399">
        <f ca="1">SUMIFS(Покупка!$AG$25:$AG$90,Покупка!$F$25:$F$90,$F33,Покупка!$G$25:$G$90,"Итого")</f>
        <v>0</v>
      </c>
      <c r="AH33" s="1358"/>
      <c r="AL33" s="899" t="s">
        <v>1286</v>
      </c>
    </row>
    <row r="34" spans="5:38" ht="14.65" hidden="1" customHeight="1">
      <c r="E34" s="535">
        <v>15</v>
      </c>
      <c r="F34" s="3" cm="1">
        <f t="array" aca="1" ref="F34" ca="1">OFFSET(E34,-1,1)</f>
        <v>0</v>
      </c>
      <c r="G34" s="343"/>
      <c r="H34" s="4"/>
      <c r="I34" s="343" t="s">
        <v>1287</v>
      </c>
      <c r="K34" s="43"/>
      <c r="L34" s="43"/>
      <c r="M34" s="43"/>
      <c r="T34" s="381" t="b" cm="1">
        <f t="array" ref="T34">T33</f>
        <v>0</v>
      </c>
      <c r="X34" s="1755"/>
      <c r="Z34" s="1735"/>
      <c r="AB34" s="698" t="s">
        <v>1288</v>
      </c>
      <c r="AC34" s="695" t="s">
        <v>1289</v>
      </c>
      <c r="AD34" s="680"/>
      <c r="AE34" s="680" t="s">
        <v>766</v>
      </c>
      <c r="AF34" s="1399"/>
      <c r="AG34" s="1399">
        <f ca="1">SUMIFS('Сырье и материалы'!AG$25:AG$36,'Сырье и материалы'!$F$25:$F$36,$F34,'Сырье и материалы'!$AC$25:$AC$36,"Всего по тарифу")</f>
        <v>0</v>
      </c>
      <c r="AH34" s="1358"/>
      <c r="AL34" s="899" t="s">
        <v>1290</v>
      </c>
    </row>
    <row r="35" spans="5:38" ht="14.65" hidden="1" customHeight="1">
      <c r="E35" s="535">
        <v>15</v>
      </c>
      <c r="F35" s="3" cm="1">
        <f t="array" aca="1" ref="F35" ca="1">OFFSET(E35,-1,1)</f>
        <v>0</v>
      </c>
      <c r="G35" s="343"/>
      <c r="H35" s="4"/>
      <c r="I35" s="343" t="s">
        <v>1291</v>
      </c>
      <c r="K35" s="43"/>
      <c r="L35" s="43"/>
      <c r="M35" s="43"/>
      <c r="T35" s="381" t="b" cm="1">
        <f t="array" ref="T35">T34</f>
        <v>0</v>
      </c>
      <c r="X35" s="1755"/>
      <c r="Z35" s="1735"/>
      <c r="AB35" s="698" t="s">
        <v>1292</v>
      </c>
      <c r="AC35" s="695" t="s">
        <v>1293</v>
      </c>
      <c r="AD35" s="680"/>
      <c r="AE35" s="680" t="s">
        <v>766</v>
      </c>
      <c r="AF35" s="1399">
        <f ca="1">SUMIFS(Налоги!AF$25:AF$55,Налоги!$F$25:$F$55,$F35,Налоги!$AB$25:$AB$55,"0")</f>
        <v>0</v>
      </c>
      <c r="AG35" s="1399">
        <f ca="1">SUMIFS(Налоги!AG$25:AG$55,Налоги!$F$25:$F$55,$F35,Налоги!$AB$25:$AB$55,"0")</f>
        <v>0</v>
      </c>
      <c r="AH35" s="1358"/>
      <c r="AL35" s="899" t="s">
        <v>1294</v>
      </c>
    </row>
    <row r="36" spans="5:38" ht="65.849999999999994" hidden="1" customHeight="1">
      <c r="E36" s="535">
        <v>67.5</v>
      </c>
      <c r="F36" s="3" cm="1">
        <f t="array" aca="1" ref="F36" ca="1">OFFSET(E36,-1,1)</f>
        <v>0</v>
      </c>
      <c r="G36" s="26" t="s">
        <v>1295</v>
      </c>
      <c r="H36" s="4"/>
      <c r="I36" s="409" t="s">
        <v>1296</v>
      </c>
      <c r="K36" s="43"/>
      <c r="L36" s="43"/>
      <c r="M36" s="43"/>
      <c r="T36" s="381" t="b" cm="1">
        <f t="array" ref="T36">T35</f>
        <v>0</v>
      </c>
      <c r="X36" s="1755"/>
      <c r="Z36" s="1735"/>
      <c r="AB36" s="698" t="s">
        <v>1297</v>
      </c>
      <c r="AC36" s="695" t="s">
        <v>1298</v>
      </c>
      <c r="AD36" s="680"/>
      <c r="AE36" s="680" t="s">
        <v>766</v>
      </c>
      <c r="AF36" s="1399"/>
      <c r="AG36" s="1399">
        <f ca="1">IF(AND(method_reg="Метод индексации",first_year=god),SUMIFS('Калькуляция (МИ)'!$AG$25:$AG$315,'Калькуляция (МИ)'!$F$25:$F$315,$F36,'Калькуляция (МИ)'!$G$25:$G$315,$G36),SUMIFS('Калькуляция (МИ корр)'!$AG$25:$AG$315,'Калькуляция (МИ корр)'!$F$25:$F$315,$F36,'Калькуляция (МИ корр)'!$G$25:$G$315,$G36))</f>
        <v>0</v>
      </c>
      <c r="AH36" s="1358"/>
      <c r="AL36" s="899" t="s">
        <v>1299</v>
      </c>
    </row>
    <row r="37" spans="5:38" ht="14.65" hidden="1" customHeight="1">
      <c r="E37" s="535">
        <v>15</v>
      </c>
      <c r="F37" s="3" cm="1">
        <f t="array" aca="1" ref="F37" ca="1">OFFSET(E37,-1,1)</f>
        <v>0</v>
      </c>
      <c r="G37" s="26" t="s">
        <v>919</v>
      </c>
      <c r="H37" s="4"/>
      <c r="I37" s="409" t="s">
        <v>1300</v>
      </c>
      <c r="K37" s="43"/>
      <c r="L37" s="43"/>
      <c r="M37" s="43"/>
      <c r="T37" s="381" t="b" cm="1">
        <f t="array" ref="T37">T36</f>
        <v>0</v>
      </c>
      <c r="X37" s="1755"/>
      <c r="Z37" s="1735"/>
      <c r="AB37" s="698" t="s">
        <v>1301</v>
      </c>
      <c r="AC37" s="695" t="s">
        <v>1302</v>
      </c>
      <c r="AD37" s="680"/>
      <c r="AE37" s="680" t="s">
        <v>766</v>
      </c>
      <c r="AF37" s="1399"/>
      <c r="AG37" s="1399">
        <f ca="1">IF(AND(method_reg="Метод индексации",first_year=god),SUMIFS('Калькуляция (МИ)'!$AG$25:$AG$315,'Калькуляция (МИ)'!$F$25:$F$315,$F37,'Калькуляция (МИ)'!$G$25:$G$315,$G37),SUMIFS('Калькуляция (МИ корр)'!$AG$25:$AG$315,'Калькуляция (МИ корр)'!$F$25:$F$315,$F37,'Калькуляция (МИ корр)'!$G$25:$G$315,$G37))</f>
        <v>0</v>
      </c>
      <c r="AH37" s="1358"/>
      <c r="AL37" s="899" t="s">
        <v>1303</v>
      </c>
    </row>
    <row r="38" spans="5:38" ht="14.65" hidden="1" customHeight="1">
      <c r="E38" s="535">
        <v>15</v>
      </c>
      <c r="F38" s="3" cm="1">
        <f t="array" aca="1" ref="F38" ca="1">OFFSET(E38,-1,1)</f>
        <v>0</v>
      </c>
      <c r="G38" s="26" t="s">
        <v>1304</v>
      </c>
      <c r="H38" s="4"/>
      <c r="I38" s="409" t="s">
        <v>1305</v>
      </c>
      <c r="K38" s="43"/>
      <c r="L38" s="43"/>
      <c r="M38" s="43"/>
      <c r="T38" s="381" t="b" cm="1">
        <f t="array" ref="T38">T37</f>
        <v>0</v>
      </c>
      <c r="X38" s="1755"/>
      <c r="Z38" s="1735"/>
      <c r="AB38" s="698" t="s">
        <v>1306</v>
      </c>
      <c r="AC38" s="695" t="s">
        <v>1307</v>
      </c>
      <c r="AD38" s="680"/>
      <c r="AE38" s="680" t="s">
        <v>766</v>
      </c>
      <c r="AF38" s="1399"/>
      <c r="AG38" s="1399">
        <f ca="1">IF(AND(method_reg="Метод индексации",first_year=god),SUMIFS('Калькуляция (МИ)'!$AG$25:$AG$315,'Калькуляция (МИ)'!$F$25:$F$315,$F38,'Калькуляция (МИ)'!$G$25:$G$315,$G38),SUMIFS('Калькуляция (МИ корр)'!$AG$25:$AG$315,'Калькуляция (МИ корр)'!$F$25:$F$315,$F38,'Калькуляция (МИ корр)'!$G$25:$G$315,$G38))</f>
        <v>0</v>
      </c>
      <c r="AH38" s="1358"/>
      <c r="AL38" s="899" t="s">
        <v>1308</v>
      </c>
    </row>
    <row r="39" spans="5:38" ht="21.95" hidden="1" customHeight="1">
      <c r="E39" s="535">
        <v>22.5</v>
      </c>
      <c r="F39" s="3" cm="1">
        <f t="array" aca="1" ref="F39" ca="1">OFFSET(E39,-1,1)</f>
        <v>0</v>
      </c>
      <c r="G39" s="26" t="s">
        <v>1309</v>
      </c>
      <c r="H39" s="4"/>
      <c r="I39" s="409" t="s">
        <v>1310</v>
      </c>
      <c r="K39" s="43"/>
      <c r="L39" s="43"/>
      <c r="M39" s="43"/>
      <c r="T39" s="381" t="b" cm="1">
        <f t="array" ref="T39">T38</f>
        <v>0</v>
      </c>
      <c r="X39" s="1755"/>
      <c r="Z39" s="1735"/>
      <c r="AB39" s="698" t="s">
        <v>1311</v>
      </c>
      <c r="AC39" s="695" t="s">
        <v>1312</v>
      </c>
      <c r="AD39" s="680"/>
      <c r="AE39" s="680" t="s">
        <v>766</v>
      </c>
      <c r="AF39" s="1399"/>
      <c r="AG39" s="1399">
        <f ca="1">IF(AND(method_reg="Метод индексации",first_year=god),SUMIFS('Калькуляция (МИ)'!$AG$25:$AG$315,'Калькуляция (МИ)'!$F$25:$F$315,$F39,'Калькуляция (МИ)'!$G$25:$G$315,$G39),SUMIFS('Калькуляция (МИ корр)'!$AG$25:$AG$315,'Калькуляция (МИ корр)'!$F$25:$F$315,$F39,'Калькуляция (МИ корр)'!$G$25:$G$315,$G39))</f>
        <v>0</v>
      </c>
      <c r="AH39" s="1358"/>
      <c r="AL39" s="899" t="s">
        <v>1313</v>
      </c>
    </row>
    <row r="40" spans="5:38" ht="21.95" hidden="1" customHeight="1">
      <c r="E40" s="535">
        <v>22.5</v>
      </c>
      <c r="F40" s="3" cm="1">
        <f t="array" aca="1" ref="F40" ca="1">OFFSET(E40,-1,1)</f>
        <v>0</v>
      </c>
      <c r="G40" s="26" t="s">
        <v>1314</v>
      </c>
      <c r="H40" s="4"/>
      <c r="I40" s="409" t="s">
        <v>1315</v>
      </c>
      <c r="K40" s="43"/>
      <c r="L40" s="43"/>
      <c r="M40" s="43"/>
      <c r="T40" s="381" t="b" cm="1">
        <f t="array" ref="T40">T39</f>
        <v>0</v>
      </c>
      <c r="X40" s="1755"/>
      <c r="Z40" s="1735"/>
      <c r="AB40" s="698" t="s">
        <v>1316</v>
      </c>
      <c r="AC40" s="695" t="s">
        <v>1317</v>
      </c>
      <c r="AD40" s="840"/>
      <c r="AE40" s="680" t="s">
        <v>766</v>
      </c>
      <c r="AF40" s="1399"/>
      <c r="AG40" s="1399">
        <f ca="1">IF(AND(method_reg="Метод индексации",first_year=god),SUMIFS('Калькуляция (МИ)'!$AG$25:$AG$315,'Калькуляция (МИ)'!$F$25:$F$315,$F40,'Калькуляция (МИ)'!$G$25:$G$315,$G40),SUMIFS('Калькуляция (МИ корр)'!$AG$25:$AG$315,'Калькуляция (МИ корр)'!$F$25:$F$315,$F40,'Калькуляция (МИ корр)'!$G$25:$G$315,$G40))</f>
        <v>0</v>
      </c>
      <c r="AH40" s="1358"/>
      <c r="AL40" s="899" t="s">
        <v>1318</v>
      </c>
    </row>
    <row r="41" spans="5:38" ht="21.95" hidden="1" customHeight="1">
      <c r="E41" s="535">
        <v>22.5</v>
      </c>
      <c r="F41" s="3" cm="1">
        <f t="array" aca="1" ref="F41" ca="1">OFFSET(E41,-1,1)</f>
        <v>0</v>
      </c>
      <c r="G41" s="26" t="s">
        <v>1319</v>
      </c>
      <c r="H41" s="4"/>
      <c r="I41" s="409" t="s">
        <v>1320</v>
      </c>
      <c r="K41" s="43"/>
      <c r="L41" s="43"/>
      <c r="M41" s="43"/>
      <c r="T41" s="381" t="b" cm="1">
        <f t="array" ref="T41">T40</f>
        <v>0</v>
      </c>
      <c r="X41" s="1755"/>
      <c r="Z41" s="1735"/>
      <c r="AB41" s="698" t="s">
        <v>1321</v>
      </c>
      <c r="AC41" s="695" t="s">
        <v>1322</v>
      </c>
      <c r="AD41" s="840"/>
      <c r="AE41" s="680" t="s">
        <v>766</v>
      </c>
      <c r="AF41" s="1399"/>
      <c r="AG41" s="1399">
        <f ca="1">IF(AND(method_reg="Метод индексации",first_year=god),SUMIFS('Калькуляция (МИ)'!$AG$25:$AG$315,'Калькуляция (МИ)'!$F$25:$F$315,$F41,'Калькуляция (МИ)'!$G$25:$G$315,$G41),SUMIFS('Калькуляция (МИ корр)'!$AG$25:$AG$315,'Калькуляция (МИ корр)'!$F$25:$F$315,$F41,'Калькуляция (МИ корр)'!$G$25:$G$315,$G41))</f>
        <v>0</v>
      </c>
      <c r="AH41" s="1358"/>
      <c r="AL41" s="899" t="s">
        <v>1323</v>
      </c>
    </row>
    <row r="42" spans="5:38" ht="14.65" hidden="1" customHeight="1">
      <c r="E42" s="535">
        <v>15</v>
      </c>
      <c r="F42" s="3" cm="1">
        <f t="array" aca="1" ref="F42" ca="1">OFFSET(E42,-1,1)</f>
        <v>0</v>
      </c>
      <c r="G42" s="26" t="s">
        <v>1324</v>
      </c>
      <c r="H42" s="4"/>
      <c r="I42" s="409" t="s">
        <v>1325</v>
      </c>
      <c r="K42" s="43"/>
      <c r="L42" s="43"/>
      <c r="M42" s="43"/>
      <c r="T42" s="381" t="b" cm="1">
        <f t="array" ref="T42">T41</f>
        <v>0</v>
      </c>
      <c r="X42" s="1755"/>
      <c r="Z42" s="1735"/>
      <c r="AB42" s="698" t="s">
        <v>1326</v>
      </c>
      <c r="AC42" s="695" t="s">
        <v>1327</v>
      </c>
      <c r="AD42" s="840"/>
      <c r="AE42" s="680" t="s">
        <v>766</v>
      </c>
      <c r="AF42" s="1399"/>
      <c r="AG42" s="1399">
        <f ca="1">IF(AND(method_reg="Метод индексации",first_year=god),SUMIFS('Калькуляция (МИ)'!$AG$25:$AG$315,'Калькуляция (МИ)'!$F$25:$F$315,$F42,'Калькуляция (МИ)'!$G$25:$G$315,$G42),SUMIFS('Калькуляция (МИ корр)'!$AG$25:$AG$315,'Калькуляция (МИ корр)'!$F$25:$F$315,$F42,'Калькуляция (МИ корр)'!$G$25:$G$315,$G42))</f>
        <v>0</v>
      </c>
      <c r="AH42" s="1358"/>
      <c r="AL42" s="899" t="s">
        <v>1328</v>
      </c>
    </row>
    <row r="43" spans="5:38" ht="21.95" hidden="1" customHeight="1">
      <c r="E43" s="535">
        <v>22.5</v>
      </c>
      <c r="F43" s="3" cm="1">
        <f t="array" aca="1" ref="F43" ca="1">OFFSET(E43,-1,1)</f>
        <v>0</v>
      </c>
      <c r="G43" s="26" t="s">
        <v>1329</v>
      </c>
      <c r="H43" s="4"/>
      <c r="I43" s="409" t="s">
        <v>1330</v>
      </c>
      <c r="K43" s="43"/>
      <c r="L43" s="43"/>
      <c r="M43" s="43"/>
      <c r="T43" s="381" t="b" cm="1">
        <f t="array" ref="T43">T42</f>
        <v>0</v>
      </c>
      <c r="X43" s="1755"/>
      <c r="Z43" s="1735"/>
      <c r="AB43" s="698" t="s">
        <v>1331</v>
      </c>
      <c r="AC43" s="695" t="s">
        <v>1332</v>
      </c>
      <c r="AD43" s="840"/>
      <c r="AE43" s="680" t="s">
        <v>766</v>
      </c>
      <c r="AF43" s="1399"/>
      <c r="AG43" s="1399">
        <f ca="1">IF(AND(method_reg="Метод индексации",first_year=god),SUMIFS('Калькуляция (МИ)'!$AG$25:$AG$315,'Калькуляция (МИ)'!$F$25:$F$315,$F43,'Калькуляция (МИ)'!$G$25:$G$315,$G43),SUMIFS('Калькуляция (МИ корр)'!$AG$25:$AG$315,'Калькуляция (МИ корр)'!$F$25:$F$315,$F43,'Калькуляция (МИ корр)'!$G$25:$G$315,$G43))</f>
        <v>0</v>
      </c>
      <c r="AH43" s="1358"/>
      <c r="AL43" s="899" t="s">
        <v>1333</v>
      </c>
    </row>
    <row r="44" spans="5:38" ht="14.65" hidden="1" customHeight="1">
      <c r="E44" s="535">
        <v>15</v>
      </c>
      <c r="F44" s="3" cm="1">
        <f t="array" aca="1" ref="F44" ca="1">OFFSET(E44,-1,1)</f>
        <v>0</v>
      </c>
      <c r="G44" s="343"/>
      <c r="H44" s="4"/>
      <c r="I44" s="343" t="s">
        <v>1193</v>
      </c>
      <c r="K44" s="43"/>
      <c r="L44" s="43"/>
      <c r="M44" s="43"/>
      <c r="T44" s="381" t="b" cm="1">
        <f t="array" ref="T44">T43</f>
        <v>0</v>
      </c>
      <c r="X44" s="1755"/>
      <c r="Z44" s="1735"/>
      <c r="AB44" s="215" t="s">
        <v>510</v>
      </c>
      <c r="AC44" s="676" t="s">
        <v>1334</v>
      </c>
      <c r="AD44" s="216" t="s">
        <v>1335</v>
      </c>
      <c r="AE44" s="680" t="s">
        <v>766</v>
      </c>
      <c r="AF44" s="1399">
        <f>AF45*AF46*AF47</f>
        <v>0</v>
      </c>
      <c r="AG44" s="1399">
        <f ca="1">AG45*AG46*AG47</f>
        <v>0</v>
      </c>
      <c r="AH44" s="1358"/>
      <c r="AL44" s="899" t="s">
        <v>1336</v>
      </c>
    </row>
    <row r="45" spans="5:38" ht="21.95" hidden="1" customHeight="1">
      <c r="E45" s="535">
        <v>22.5</v>
      </c>
      <c r="F45" s="3" cm="1">
        <f t="array" aca="1" ref="F45" ca="1">OFFSET(E45,-1,1)</f>
        <v>0</v>
      </c>
      <c r="G45" s="343"/>
      <c r="H45" s="4"/>
      <c r="I45" s="343" t="s">
        <v>1337</v>
      </c>
      <c r="K45" s="43"/>
      <c r="L45" s="43"/>
      <c r="M45" s="43"/>
      <c r="T45" s="381" t="b" cm="1">
        <f t="array" ref="T45">T44</f>
        <v>0</v>
      </c>
      <c r="X45" s="1755"/>
      <c r="Z45" s="1735"/>
      <c r="AB45" s="215" t="s">
        <v>464</v>
      </c>
      <c r="AC45" s="679" t="s">
        <v>1338</v>
      </c>
      <c r="AD45" s="216" t="s">
        <v>1339</v>
      </c>
      <c r="AE45" s="680" t="s">
        <v>783</v>
      </c>
      <c r="AF45" s="1399"/>
      <c r="AG45" s="1399">
        <f ca="1">SUMIFS(ЭЭ!AG$25:AG$67,ЭЭ!$F$25:$F$67,$F45,ЭЭ!$AC$25:$AC$67,"Удельный расход электроэнергии")</f>
        <v>0</v>
      </c>
      <c r="AH45" s="1358"/>
      <c r="AL45" s="899" t="s">
        <v>1340</v>
      </c>
    </row>
    <row r="46" spans="5:38" ht="14.65" hidden="1" customHeight="1">
      <c r="E46" s="535">
        <v>15</v>
      </c>
      <c r="F46" s="3" cm="1">
        <f t="array" aca="1" ref="F46" ca="1">OFFSET(E46,-1,1)</f>
        <v>0</v>
      </c>
      <c r="G46" s="343"/>
      <c r="H46" s="4"/>
      <c r="I46" s="343" t="s">
        <v>1341</v>
      </c>
      <c r="K46" s="43"/>
      <c r="L46" s="43"/>
      <c r="M46" s="43"/>
      <c r="T46" s="381" t="b" cm="1">
        <f t="array" ref="T46">T45</f>
        <v>0</v>
      </c>
      <c r="X46" s="1755"/>
      <c r="Z46" s="1735"/>
      <c r="AB46" s="215" t="s">
        <v>1342</v>
      </c>
      <c r="AC46" s="679" t="s">
        <v>1343</v>
      </c>
      <c r="AD46" s="216" t="s">
        <v>1344</v>
      </c>
      <c r="AE46" s="680" t="s">
        <v>777</v>
      </c>
      <c r="AF46" s="1399"/>
      <c r="AG46" s="1399">
        <f ca="1">SUMIFS(ЭЭ!AG$25:AG$67,ЭЭ!$F$25:$F$67,$F45,ЭЭ!$AC$25:$AC$67,"Объём воды/сточных вод")</f>
        <v>0</v>
      </c>
      <c r="AH46" s="1358"/>
      <c r="AL46" s="899" t="s">
        <v>1345</v>
      </c>
    </row>
    <row r="47" spans="5:38" ht="21.95" hidden="1" customHeight="1">
      <c r="E47" s="535">
        <v>22.5</v>
      </c>
      <c r="F47" s="3" cm="1">
        <f t="array" aca="1" ref="F47" ca="1">OFFSET(E47,-1,1)</f>
        <v>0</v>
      </c>
      <c r="G47" s="343"/>
      <c r="H47" s="4"/>
      <c r="I47" s="343" t="s">
        <v>1346</v>
      </c>
      <c r="K47" s="43"/>
      <c r="L47" s="43"/>
      <c r="M47" s="43"/>
      <c r="T47" s="381" t="b" cm="1">
        <f t="array" ref="T47">T46</f>
        <v>0</v>
      </c>
      <c r="X47" s="1755"/>
      <c r="Z47" s="1735"/>
      <c r="AB47" s="215" t="s">
        <v>1347</v>
      </c>
      <c r="AC47" s="679" t="s">
        <v>1348</v>
      </c>
      <c r="AD47" s="216" t="s">
        <v>1349</v>
      </c>
      <c r="AE47" s="680" t="s">
        <v>780</v>
      </c>
      <c r="AF47" s="1399"/>
      <c r="AG47" s="1399">
        <f ca="1">SUMIFS(ЭЭ!AG$25:AG$67,ЭЭ!$F$25:$F$67,$F45,ЭЭ!$AC$25:$AC$67,"Средний (расчетный) тариф")</f>
        <v>0</v>
      </c>
      <c r="AH47" s="1358"/>
      <c r="AL47" s="899" t="s">
        <v>1350</v>
      </c>
    </row>
    <row r="48" spans="5:38" ht="21.95" hidden="1" customHeight="1">
      <c r="E48" s="535">
        <v>22.5</v>
      </c>
      <c r="F48" s="3" cm="1">
        <f t="array" aca="1" ref="F48" ca="1">OFFSET(E48,-1,1)</f>
        <v>0</v>
      </c>
      <c r="G48" s="343" t="s">
        <v>1351</v>
      </c>
      <c r="H48" s="4"/>
      <c r="I48" s="343" t="s">
        <v>1352</v>
      </c>
      <c r="K48" s="43"/>
      <c r="L48" s="43"/>
      <c r="M48" s="43"/>
      <c r="T48" s="381" t="b" cm="1">
        <f t="array" ref="T48">T47</f>
        <v>0</v>
      </c>
      <c r="X48" s="1755"/>
      <c r="Z48" s="1735"/>
      <c r="AB48" s="215" t="s">
        <v>844</v>
      </c>
      <c r="AC48" s="676" t="s">
        <v>1353</v>
      </c>
      <c r="AD48" s="216" t="s">
        <v>1354</v>
      </c>
      <c r="AE48" s="680" t="s">
        <v>766</v>
      </c>
      <c r="AF48" s="1399"/>
      <c r="AG48" s="1399">
        <f ca="1">IF(AND(method_reg="Метод индексации",first_year=god),SUMIFS('Калькуляция (МИ)'!$AG$25:$AG$315,'Калькуляция (МИ)'!$F$25:$F$315,$F48,'Калькуляция (МИ)'!$G$25:$G$315,$G48),SUMIFS('Калькуляция (МИ корр)'!$AG$25:$AG$315,'Калькуляция (МИ корр)'!$F$25:$F$315,$F48,'Калькуляция (МИ корр)'!$G$25:$G$315,$G48))</f>
        <v>0</v>
      </c>
      <c r="AH48" s="1358"/>
      <c r="AL48" s="899" t="s">
        <v>1096</v>
      </c>
    </row>
    <row r="49" spans="2:38" ht="14.65" hidden="1" customHeight="1">
      <c r="E49" s="535">
        <v>15</v>
      </c>
      <c r="F49" s="3" cm="1">
        <f t="array" aca="1" ref="F49" ca="1">OFFSET(E49,-1,1)</f>
        <v>0</v>
      </c>
      <c r="G49" s="343" t="s">
        <v>1355</v>
      </c>
      <c r="H49" s="4"/>
      <c r="I49" s="343" t="s">
        <v>1356</v>
      </c>
      <c r="K49" s="43"/>
      <c r="L49" s="43"/>
      <c r="M49" s="43"/>
      <c r="T49" s="381" t="b" cm="1">
        <f t="array" ref="T49">T48</f>
        <v>0</v>
      </c>
      <c r="X49" s="1755"/>
      <c r="Z49" s="1735"/>
      <c r="AB49" s="215" t="s">
        <v>847</v>
      </c>
      <c r="AC49" s="841" t="s">
        <v>1357</v>
      </c>
      <c r="AD49" s="216" t="s">
        <v>1358</v>
      </c>
      <c r="AE49" s="680" t="s">
        <v>766</v>
      </c>
      <c r="AF49" s="1399"/>
      <c r="AG49" s="1399">
        <f ca="1">IF(AND(method_reg="Метод индексации",first_year=god),SUMIFS('Калькуляция (МИ)'!$AE$25:$AE$315,'Калькуляция (МИ)'!$F$25:$F$315,$F49,'Калькуляция (МИ)'!$G$25:$G$315,"Нормативная прибыль")-SUMIFS('Калькуляция (МИ)'!$AE$25:$AE$315,'Калькуляция (МИ)'!$F$25:$F$315,$F49,'Калькуляция (МИ)'!$G$25:$G$315,"иные экономически обоснованные расходы на социальные нужды")+SUMIFS('Калькуляция (МИ)'!$AG$25:$AG$315,'Калькуляция (МИ)'!$F$25:$F$315,$F49,'Калькуляция (МИ)'!$G$25:$G$315,"иные экономически обоснованные расходы на социальные нужды"),SUMIFS('Калькуляция (МИ корр)'!$AE$25:$AE$315,'Калькуляция (МИ корр)'!$F$25:$F$315,$F49,'Калькуляция (МИ корр)'!$G$25:$G$315,"Нормативная прибыль")-SUMIFS('Калькуляция (МИ корр)'!$AE$25:$AE$315,'Калькуляция (МИ корр)'!$F$25:$F$315,$F49,'Калькуляция (МИ корр)'!$G$25:$G$315,"иные экономически обоснованные расходы на социальные нужды")+SUMIFS('Калькуляция (МИ корр)'!$AG$25:$AG$315,'Калькуляция (МИ корр)'!$F$25:$F$315,$F49,'Калькуляция (МИ корр)'!$G$25:$G$315,"иные экономически обоснованные расходы на социальные нужды"))</f>
        <v>0</v>
      </c>
      <c r="AH49" s="1358"/>
      <c r="AL49" s="899" t="s">
        <v>1359</v>
      </c>
    </row>
    <row r="50" spans="2:38" ht="14.65" hidden="1" customHeight="1">
      <c r="E50" s="535">
        <v>15</v>
      </c>
      <c r="F50" s="3" cm="1">
        <f t="array" aca="1" ref="F50" ca="1">OFFSET(E50,-1,1)</f>
        <v>0</v>
      </c>
      <c r="G50" s="26" t="s">
        <v>1360</v>
      </c>
      <c r="H50" s="4"/>
      <c r="I50" s="409" t="s">
        <v>1361</v>
      </c>
      <c r="K50" s="43"/>
      <c r="L50" s="43"/>
      <c r="M50" s="43"/>
      <c r="T50" s="381" t="b" cm="1">
        <f t="array" ref="T50">T49</f>
        <v>0</v>
      </c>
      <c r="X50" s="1755"/>
      <c r="Z50" s="1735"/>
      <c r="AB50" s="215" t="s">
        <v>1362</v>
      </c>
      <c r="AC50" s="676" t="s">
        <v>1363</v>
      </c>
      <c r="AD50" s="216" t="s">
        <v>1364</v>
      </c>
      <c r="AE50" s="680" t="s">
        <v>766</v>
      </c>
      <c r="AF50" s="1399"/>
      <c r="AG50" s="1399">
        <f ca="1">IF(AND(method_reg="Метод индексации",first_year=god),SUMIFS('Калькуляция (МИ)'!$AG$25:$AG$315,'Калькуляция (МИ)'!$F$25:$F$315,$F50,'Калькуляция (МИ)'!$G$25:$G$315,$G50),SUMIFS('Калькуляция (МИ корр)'!$AG$25:$AG$315,'Калькуляция (МИ корр)'!$F$25:$F$315,$F50,'Калькуляция (МИ корр)'!$G$25:$G$315,$G50))</f>
        <v>0</v>
      </c>
      <c r="AH50" s="1358"/>
      <c r="AL50" s="899" t="s">
        <v>1365</v>
      </c>
    </row>
    <row r="51" spans="2:38" ht="21.95" hidden="1" customHeight="1">
      <c r="E51" s="535">
        <v>22.5</v>
      </c>
      <c r="F51" s="3" cm="1">
        <f t="array" aca="1" ref="F51" ca="1">OFFSET(E51,-1,1)</f>
        <v>0</v>
      </c>
      <c r="G51" s="26"/>
      <c r="H51" s="4"/>
      <c r="I51" s="343" t="s">
        <v>1366</v>
      </c>
      <c r="K51" s="43"/>
      <c r="L51" s="43"/>
      <c r="M51" s="43"/>
      <c r="T51" s="381" t="b" cm="1">
        <f t="array" ref="T51">T50</f>
        <v>0</v>
      </c>
      <c r="X51" s="1755"/>
      <c r="Z51" s="1735"/>
      <c r="AB51" s="215" t="s">
        <v>1367</v>
      </c>
      <c r="AC51" s="676" t="s">
        <v>1368</v>
      </c>
      <c r="AD51" s="216"/>
      <c r="AE51" s="680" t="s">
        <v>766</v>
      </c>
      <c r="AF51" s="1399">
        <f>AF52+AF53+AF54</f>
        <v>0</v>
      </c>
      <c r="AG51" s="1399">
        <f>AG52+AG53+AG54</f>
        <v>0</v>
      </c>
      <c r="AH51" s="1358"/>
      <c r="AL51" s="899" t="s">
        <v>1369</v>
      </c>
    </row>
    <row r="52" spans="2:38" ht="21.95" hidden="1" customHeight="1">
      <c r="E52" s="535">
        <v>22.5</v>
      </c>
      <c r="F52" s="3" cm="1">
        <f t="array" aca="1" ref="F52" ca="1">OFFSET(E52,-1,1)</f>
        <v>0</v>
      </c>
      <c r="G52" s="343"/>
      <c r="H52" s="4"/>
      <c r="I52" s="343" t="s">
        <v>1370</v>
      </c>
      <c r="K52" s="43"/>
      <c r="L52" s="43"/>
      <c r="M52" s="43"/>
      <c r="T52" s="381" t="b" cm="1">
        <f t="array" ref="T52">T51</f>
        <v>0</v>
      </c>
      <c r="X52" s="1755"/>
      <c r="Z52" s="1735"/>
      <c r="AB52" s="215" t="s">
        <v>1371</v>
      </c>
      <c r="AC52" s="679" t="s">
        <v>1372</v>
      </c>
      <c r="AD52" s="216" t="s">
        <v>1373</v>
      </c>
      <c r="AE52" s="680" t="s">
        <v>766</v>
      </c>
      <c r="AF52" s="1399"/>
      <c r="AG52" s="1399"/>
      <c r="AH52" s="1358"/>
      <c r="AL52" s="899" t="s">
        <v>1374</v>
      </c>
    </row>
    <row r="53" spans="2:38" ht="14.65" hidden="1" customHeight="1">
      <c r="E53" s="535">
        <v>15</v>
      </c>
      <c r="F53" s="3" cm="1">
        <f t="array" aca="1" ref="F53" ca="1">OFFSET(E53,-1,1)</f>
        <v>0</v>
      </c>
      <c r="G53" s="343"/>
      <c r="H53" s="4"/>
      <c r="I53" s="343" t="s">
        <v>1375</v>
      </c>
      <c r="K53" s="43"/>
      <c r="L53" s="43"/>
      <c r="M53" s="43"/>
      <c r="T53" s="381" t="b" cm="1">
        <f t="array" ref="T53">T52</f>
        <v>0</v>
      </c>
      <c r="X53" s="1755"/>
      <c r="Z53" s="1735"/>
      <c r="AB53" s="215" t="s">
        <v>1376</v>
      </c>
      <c r="AC53" s="679" t="s">
        <v>1377</v>
      </c>
      <c r="AD53" s="216" t="s">
        <v>1378</v>
      </c>
      <c r="AE53" s="680" t="s">
        <v>766</v>
      </c>
      <c r="AF53" s="1399"/>
      <c r="AG53" s="1399"/>
      <c r="AH53" s="1358"/>
      <c r="AL53" s="899" t="s">
        <v>1379</v>
      </c>
    </row>
    <row r="54" spans="2:38" ht="43.9" hidden="1" customHeight="1">
      <c r="E54" s="535">
        <v>45</v>
      </c>
      <c r="F54" s="3" cm="1">
        <f t="array" aca="1" ref="F54" ca="1">OFFSET(E54,-1,1)</f>
        <v>0</v>
      </c>
      <c r="G54" s="343"/>
      <c r="H54" s="4"/>
      <c r="I54" s="343" t="s">
        <v>1380</v>
      </c>
      <c r="K54" s="43"/>
      <c r="L54" s="43"/>
      <c r="M54" s="43"/>
      <c r="T54" s="381" t="b" cm="1">
        <f t="array" ref="T54">T53</f>
        <v>0</v>
      </c>
      <c r="X54" s="1755"/>
      <c r="Z54" s="1735"/>
      <c r="AB54" s="215" t="s">
        <v>1381</v>
      </c>
      <c r="AC54" s="679" t="s">
        <v>1382</v>
      </c>
      <c r="AD54" s="680" t="s">
        <v>1383</v>
      </c>
      <c r="AE54" s="680" t="s">
        <v>766</v>
      </c>
      <c r="AF54" s="1399"/>
      <c r="AG54" s="1399"/>
      <c r="AH54" s="1358"/>
      <c r="AL54" s="899" t="s">
        <v>1384</v>
      </c>
    </row>
    <row r="55" spans="2:38" ht="21.95" hidden="1" customHeight="1">
      <c r="E55" s="535">
        <v>22.5</v>
      </c>
      <c r="F55" s="3" cm="1">
        <f t="array" aca="1" ref="F55" ca="1">OFFSET(E55,-1,1)</f>
        <v>0</v>
      </c>
      <c r="G55" s="343"/>
      <c r="H55" s="4"/>
      <c r="I55" s="343" t="s">
        <v>1385</v>
      </c>
      <c r="K55" s="43"/>
      <c r="L55" s="43"/>
      <c r="M55" s="43"/>
      <c r="T55" s="381" t="b" cm="1">
        <f t="array" ref="T55">T54</f>
        <v>0</v>
      </c>
      <c r="X55" s="1755"/>
      <c r="Z55" s="1735"/>
      <c r="AB55" s="215" t="s">
        <v>1386</v>
      </c>
      <c r="AC55" s="676" t="s">
        <v>1387</v>
      </c>
      <c r="AD55" s="680" t="s">
        <v>1388</v>
      </c>
      <c r="AE55" s="680" t="s">
        <v>766</v>
      </c>
      <c r="AF55" s="1399"/>
      <c r="AG55" s="1399"/>
      <c r="AH55" s="1358"/>
      <c r="AL55" s="899" t="s">
        <v>1389</v>
      </c>
    </row>
    <row r="56" spans="2:38" ht="76.7" hidden="1" customHeight="1">
      <c r="B56" s="345" t="b">
        <f>S27="Водоотведение"</f>
        <v>0</v>
      </c>
      <c r="E56" s="535">
        <v>78.75</v>
      </c>
      <c r="F56" s="3" cm="1">
        <f t="array" aca="1" ref="F56" ca="1">OFFSET(E56,-1,1)</f>
        <v>0</v>
      </c>
      <c r="G56" s="343"/>
      <c r="H56" s="4"/>
      <c r="I56" s="343"/>
      <c r="K56" s="43"/>
      <c r="L56" s="43"/>
      <c r="M56" s="43"/>
      <c r="T56" s="381" t="b" cm="1">
        <f t="array" ref="T56">T55</f>
        <v>0</v>
      </c>
      <c r="X56" s="1755"/>
      <c r="Z56" s="1735"/>
      <c r="AB56" s="215" t="s">
        <v>1390</v>
      </c>
      <c r="AC56" s="676" t="s">
        <v>1391</v>
      </c>
      <c r="AD56" s="680"/>
      <c r="AE56" s="680" t="s">
        <v>766</v>
      </c>
      <c r="AF56" s="1399"/>
      <c r="AG56" s="1399"/>
      <c r="AH56" s="1358"/>
      <c r="AL56" s="899" t="s">
        <v>1392</v>
      </c>
    </row>
    <row r="57" spans="2:38" ht="54.75" hidden="1" customHeight="1">
      <c r="B57" s="345" t="b" cm="1">
        <f t="array" ref="B57">B56</f>
        <v>0</v>
      </c>
      <c r="E57" s="535">
        <v>56.25</v>
      </c>
      <c r="F57" s="3" cm="1">
        <f t="array" aca="1" ref="F57" ca="1">OFFSET(E57,-1,1)</f>
        <v>0</v>
      </c>
      <c r="G57" s="343"/>
      <c r="H57" s="4"/>
      <c r="I57" s="343"/>
      <c r="K57" s="43"/>
      <c r="L57" s="43"/>
      <c r="M57" s="43"/>
      <c r="T57" s="381" t="b" cm="1">
        <f t="array" ref="T57">T56</f>
        <v>0</v>
      </c>
      <c r="X57" s="1755"/>
      <c r="Z57" s="1735"/>
      <c r="AB57" s="215" t="s">
        <v>1393</v>
      </c>
      <c r="AC57" s="676" t="s">
        <v>1394</v>
      </c>
      <c r="AD57" s="680"/>
      <c r="AE57" s="680" t="s">
        <v>766</v>
      </c>
      <c r="AF57" s="1399"/>
      <c r="AG57" s="1399"/>
      <c r="AH57" s="1358"/>
      <c r="AL57" s="899" t="s">
        <v>1220</v>
      </c>
    </row>
    <row r="58" spans="2:38" ht="14.65" hidden="1" customHeight="1">
      <c r="E58" s="535">
        <v>15</v>
      </c>
      <c r="F58" s="3" cm="1">
        <f t="array" aca="1" ref="F58" ca="1">OFFSET(E58,-1,1)</f>
        <v>0</v>
      </c>
      <c r="G58" s="343"/>
      <c r="H58" s="4"/>
      <c r="I58" s="343"/>
      <c r="K58" s="43"/>
      <c r="L58" s="43"/>
      <c r="M58" s="43"/>
      <c r="T58" s="381" t="b" cm="1">
        <f t="array" ref="T58">T57</f>
        <v>0</v>
      </c>
      <c r="X58" s="1755"/>
      <c r="Z58" s="1735"/>
      <c r="AB58" s="216" t="str">
        <f>IF(B57,"2.12","2.10")</f>
        <v>2.10</v>
      </c>
      <c r="AC58" s="676" t="s">
        <v>1395</v>
      </c>
      <c r="AD58" s="680" t="s">
        <v>1396</v>
      </c>
      <c r="AE58" s="680" t="s">
        <v>766</v>
      </c>
      <c r="AF58" s="1399">
        <f>AF59+AF60</f>
        <v>0</v>
      </c>
      <c r="AG58" s="1399">
        <f>AG59+AG60</f>
        <v>0</v>
      </c>
      <c r="AH58" s="1358"/>
      <c r="AL58" s="899" t="s">
        <v>1397</v>
      </c>
    </row>
    <row r="59" spans="2:38" ht="21.95" hidden="1" customHeight="1">
      <c r="E59" s="535">
        <v>22.5</v>
      </c>
      <c r="F59" s="3" cm="1">
        <f t="array" aca="1" ref="F59" ca="1">OFFSET(E59,-1,1)</f>
        <v>0</v>
      </c>
      <c r="G59" s="343"/>
      <c r="H59" s="4"/>
      <c r="I59" s="343"/>
      <c r="K59" s="43"/>
      <c r="L59" s="43"/>
      <c r="M59" s="43"/>
      <c r="T59" s="381" t="b" cm="1">
        <f t="array" ref="T59">T58</f>
        <v>0</v>
      </c>
      <c r="X59" s="1755"/>
      <c r="Z59" s="1735"/>
      <c r="AB59" s="216" t="str">
        <f>AB58&amp;".1"</f>
        <v>2.10.1</v>
      </c>
      <c r="AC59" s="676" t="s">
        <v>1398</v>
      </c>
      <c r="AD59" s="680" t="s">
        <v>1396</v>
      </c>
      <c r="AE59" s="680" t="s">
        <v>766</v>
      </c>
      <c r="AF59" s="1399"/>
      <c r="AG59" s="1399"/>
      <c r="AH59" s="1358"/>
      <c r="AL59" s="899" t="s">
        <v>1399</v>
      </c>
    </row>
    <row r="60" spans="2:38" ht="21.95" hidden="1" customHeight="1">
      <c r="E60" s="535">
        <v>22.5</v>
      </c>
      <c r="F60" s="3" cm="1">
        <f t="array" aca="1" ref="F60" ca="1">OFFSET(E60,-1,1)</f>
        <v>0</v>
      </c>
      <c r="G60" s="343"/>
      <c r="H60" s="4"/>
      <c r="I60" s="343"/>
      <c r="K60" s="43"/>
      <c r="L60" s="43"/>
      <c r="M60" s="43"/>
      <c r="T60" s="381" t="b" cm="1">
        <f t="array" ref="T60">T59</f>
        <v>0</v>
      </c>
      <c r="X60" s="1755"/>
      <c r="Z60" s="1735"/>
      <c r="AB60" s="216" t="str">
        <f>AB58&amp;".2"</f>
        <v>2.10.2</v>
      </c>
      <c r="AC60" s="676" t="s">
        <v>1400</v>
      </c>
      <c r="AD60" s="680" t="s">
        <v>1396</v>
      </c>
      <c r="AE60" s="680" t="s">
        <v>766</v>
      </c>
      <c r="AF60" s="1399"/>
      <c r="AG60" s="1399"/>
      <c r="AH60" s="1358"/>
      <c r="AL60" s="899" t="s">
        <v>1401</v>
      </c>
    </row>
    <row r="61" spans="2:38" ht="14.65" hidden="1" customHeight="1">
      <c r="E61" s="535">
        <v>15</v>
      </c>
      <c r="F61" s="3" cm="1">
        <f t="array" aca="1" ref="F61" ca="1">OFFSET(E61,-1,1)</f>
        <v>0</v>
      </c>
      <c r="G61" s="343"/>
      <c r="H61" s="4"/>
      <c r="I61" s="343"/>
      <c r="K61" s="43"/>
      <c r="L61" s="43"/>
      <c r="M61" s="43"/>
      <c r="T61" s="381" t="b" cm="1">
        <f t="array" ref="T61">T60</f>
        <v>0</v>
      </c>
      <c r="X61" s="1755"/>
      <c r="Z61" s="1735"/>
      <c r="AB61" s="216" t="str">
        <f>IF(B57,"2.13","2.11")</f>
        <v>2.11</v>
      </c>
      <c r="AC61" s="676" t="s">
        <v>1402</v>
      </c>
      <c r="AD61" s="680" t="s">
        <v>1396</v>
      </c>
      <c r="AE61" s="680" t="s">
        <v>766</v>
      </c>
      <c r="AF61" s="1399"/>
      <c r="AG61" s="1399"/>
      <c r="AH61" s="1358"/>
      <c r="AL61" s="899" t="s">
        <v>1403</v>
      </c>
    </row>
    <row r="62" spans="2:38" ht="14.65" hidden="1" customHeight="1">
      <c r="E62" s="535">
        <v>15</v>
      </c>
      <c r="F62" s="3" cm="1">
        <f t="array" aca="1" ref="F62" ca="1">OFFSET(E62,-1,1)</f>
        <v>0</v>
      </c>
      <c r="G62" s="343"/>
      <c r="H62" s="4"/>
      <c r="I62" s="343"/>
      <c r="K62" s="43"/>
      <c r="L62" s="43"/>
      <c r="M62" s="43"/>
      <c r="T62" s="381" t="b" cm="1">
        <f t="array" ref="T62">T61</f>
        <v>0</v>
      </c>
      <c r="X62" s="1755"/>
      <c r="Z62" s="1735"/>
      <c r="AB62" s="216" t="str">
        <f>IF(B57,"2.14","2.12")</f>
        <v>2.12</v>
      </c>
      <c r="AC62" s="676" t="s">
        <v>1404</v>
      </c>
      <c r="AD62" s="680" t="s">
        <v>1396</v>
      </c>
      <c r="AE62" s="680" t="s">
        <v>766</v>
      </c>
      <c r="AF62" s="1399"/>
      <c r="AG62" s="1399"/>
      <c r="AH62" s="1358"/>
      <c r="AL62" s="899" t="s">
        <v>1405</v>
      </c>
    </row>
    <row r="63" spans="2:38" s="615" customFormat="1" ht="21.95" hidden="1" customHeight="1">
      <c r="B63" s="348"/>
      <c r="E63" s="608">
        <v>22.5</v>
      </c>
      <c r="F63" s="3" cm="1">
        <f t="array" aca="1" ref="F63" ca="1">OFFSET(E63,-1,1)</f>
        <v>0</v>
      </c>
      <c r="G63" s="66"/>
      <c r="H63" s="66"/>
      <c r="I63" s="343" t="s">
        <v>324</v>
      </c>
      <c r="K63" s="413"/>
      <c r="L63" s="413"/>
      <c r="M63" s="413"/>
      <c r="T63" s="381" t="b" cm="1">
        <f t="array" ref="T63">T62</f>
        <v>0</v>
      </c>
      <c r="X63" s="1755"/>
      <c r="Z63" s="1735"/>
      <c r="AB63" s="129" t="s">
        <v>1406</v>
      </c>
      <c r="AC63" s="130" t="s">
        <v>1407</v>
      </c>
      <c r="AD63" s="129" t="s">
        <v>1269</v>
      </c>
      <c r="AE63" s="152" t="s">
        <v>766</v>
      </c>
      <c r="AF63" s="758" cm="1">
        <f t="array" ref="AF63">AF64</f>
        <v>0</v>
      </c>
      <c r="AG63" s="758" cm="1">
        <f t="array" ref="AG63">AG64</f>
        <v>0</v>
      </c>
      <c r="AH63" s="1416"/>
      <c r="AL63" s="953" t="s">
        <v>1408</v>
      </c>
    </row>
    <row r="64" spans="2:38" ht="32.85" hidden="1" customHeight="1">
      <c r="E64" s="535">
        <v>33.75</v>
      </c>
      <c r="F64" s="3" cm="1">
        <f t="array" aca="1" ref="F64" ca="1">OFFSET(E64,-1,1)</f>
        <v>0</v>
      </c>
      <c r="G64" s="343"/>
      <c r="H64" s="4"/>
      <c r="I64" s="343" t="s">
        <v>445</v>
      </c>
      <c r="K64" s="43"/>
      <c r="L64" s="43"/>
      <c r="M64" s="43"/>
      <c r="T64" s="381" t="b" cm="1">
        <f t="array" ref="T64">T63</f>
        <v>0</v>
      </c>
      <c r="X64" s="1755"/>
      <c r="Z64" s="1735"/>
      <c r="AB64" s="215" t="s">
        <v>281</v>
      </c>
      <c r="AC64" s="369" t="s">
        <v>1409</v>
      </c>
      <c r="AD64" s="216" t="s">
        <v>1410</v>
      </c>
      <c r="AE64" s="680" t="s">
        <v>766</v>
      </c>
      <c r="AF64" s="839">
        <f>AF65+AF66</f>
        <v>0</v>
      </c>
      <c r="AG64" s="839">
        <f>AG65+AG66</f>
        <v>0</v>
      </c>
      <c r="AH64" s="1358"/>
      <c r="AL64" s="899" t="s">
        <v>1411</v>
      </c>
    </row>
    <row r="65" spans="1:43" ht="43.9" hidden="1" customHeight="1">
      <c r="E65" s="535">
        <v>45</v>
      </c>
      <c r="F65" s="3" cm="1">
        <f t="array" aca="1" ref="F65" ca="1">OFFSET(E65,-1,1)</f>
        <v>0</v>
      </c>
      <c r="G65" s="343"/>
      <c r="H65" s="4"/>
      <c r="I65" s="343" t="s">
        <v>1412</v>
      </c>
      <c r="K65" s="43"/>
      <c r="L65" s="43"/>
      <c r="M65" s="43"/>
      <c r="T65" s="381" t="b" cm="1">
        <f t="array" ref="T65">T64</f>
        <v>0</v>
      </c>
      <c r="X65" s="1755"/>
      <c r="Z65" s="1735"/>
      <c r="AB65" s="215" t="s">
        <v>821</v>
      </c>
      <c r="AC65" s="676" t="s">
        <v>1413</v>
      </c>
      <c r="AD65" s="216" t="s">
        <v>1414</v>
      </c>
      <c r="AE65" s="680" t="s">
        <v>766</v>
      </c>
      <c r="AF65" s="1399"/>
      <c r="AG65" s="1399"/>
      <c r="AH65" s="1358"/>
      <c r="AL65" s="899" t="s">
        <v>1415</v>
      </c>
    </row>
    <row r="66" spans="1:43" ht="32.85" hidden="1" customHeight="1">
      <c r="E66" s="535">
        <v>33.75</v>
      </c>
      <c r="F66" s="3" cm="1">
        <f t="array" aca="1" ref="F66" ca="1">OFFSET(E66,-1,1)</f>
        <v>0</v>
      </c>
      <c r="G66" s="343"/>
      <c r="H66" s="4"/>
      <c r="I66" s="343" t="s">
        <v>1416</v>
      </c>
      <c r="K66" s="43"/>
      <c r="L66" s="43"/>
      <c r="M66" s="43"/>
      <c r="T66" s="381" t="b" cm="1">
        <f t="array" ref="T66">T65</f>
        <v>0</v>
      </c>
      <c r="X66" s="1755"/>
      <c r="Z66" s="1735"/>
      <c r="AB66" s="215" t="s">
        <v>824</v>
      </c>
      <c r="AC66" s="676" t="s">
        <v>1417</v>
      </c>
      <c r="AD66" s="216" t="s">
        <v>1418</v>
      </c>
      <c r="AE66" s="680" t="s">
        <v>766</v>
      </c>
      <c r="AF66" s="1399"/>
      <c r="AG66" s="1399"/>
      <c r="AH66" s="1358"/>
      <c r="AL66" s="899" t="s">
        <v>1419</v>
      </c>
    </row>
    <row r="67" spans="1:43" ht="34.15" hidden="1" customHeight="1">
      <c r="E67" s="535">
        <v>35</v>
      </c>
      <c r="F67" s="3" cm="1">
        <f t="array" aca="1" ref="F67" ca="1">OFFSET(E67,-1,1)</f>
        <v>0</v>
      </c>
      <c r="G67" s="343"/>
      <c r="H67" s="4"/>
      <c r="I67" s="343" t="s">
        <v>325</v>
      </c>
      <c r="K67" s="43" t="str">
        <f ca="1">F67&amp;"1komm"</f>
        <v>01komm</v>
      </c>
      <c r="L67" s="825" cm="1">
        <f t="array" ref="L67">AH67</f>
        <v>0</v>
      </c>
      <c r="M67" s="43"/>
      <c r="T67" s="381" t="b" cm="1">
        <f t="array" ref="T67">T66</f>
        <v>0</v>
      </c>
      <c r="X67" s="1755"/>
      <c r="Z67" s="1735"/>
      <c r="AB67" s="152" t="s">
        <v>1420</v>
      </c>
      <c r="AC67" s="130" t="s">
        <v>1421</v>
      </c>
      <c r="AD67" s="129" t="s">
        <v>1422</v>
      </c>
      <c r="AE67" s="152" t="s">
        <v>766</v>
      </c>
      <c r="AF67" s="1417"/>
      <c r="AG67" s="1417"/>
      <c r="AH67" s="1358"/>
      <c r="AL67" s="899" t="s">
        <v>1423</v>
      </c>
    </row>
    <row r="68" spans="1:43" ht="107.25" hidden="1" customHeight="1">
      <c r="E68" s="535">
        <v>110</v>
      </c>
      <c r="F68" s="3" cm="1">
        <f t="array" aca="1" ref="F68" ca="1">OFFSET(E68,-1,1)</f>
        <v>0</v>
      </c>
      <c r="G68" s="343"/>
      <c r="H68" s="4"/>
      <c r="I68" s="343" t="s">
        <v>327</v>
      </c>
      <c r="K68" s="43" t="str">
        <f ca="1">F68&amp;"2komm"</f>
        <v>02komm</v>
      </c>
      <c r="L68" s="825" cm="1">
        <f t="array" ref="L68">AH68</f>
        <v>0</v>
      </c>
      <c r="M68" s="43"/>
      <c r="T68" s="381" t="b" cm="1">
        <f t="array" ref="T68">T67</f>
        <v>0</v>
      </c>
      <c r="X68" s="1755"/>
      <c r="Z68" s="1735"/>
      <c r="AB68" s="152" t="s">
        <v>1424</v>
      </c>
      <c r="AC68" s="130" t="s">
        <v>1425</v>
      </c>
      <c r="AD68" s="129" t="s">
        <v>1426</v>
      </c>
      <c r="AE68" s="152" t="s">
        <v>766</v>
      </c>
      <c r="AF68" s="1417"/>
      <c r="AG68" s="1417"/>
      <c r="AH68" s="1358"/>
      <c r="AL68" s="899" t="s">
        <v>934</v>
      </c>
    </row>
    <row r="69" spans="1:43" ht="76.7" hidden="1" customHeight="1">
      <c r="B69" s="345" t="b">
        <f>S27="Водоотведение"</f>
        <v>0</v>
      </c>
      <c r="E69" s="535">
        <v>78.75</v>
      </c>
      <c r="F69" s="3" cm="1">
        <f t="array" aca="1" ref="F69" ca="1">OFFSET(E69,-1,1)</f>
        <v>0</v>
      </c>
      <c r="H69" s="2"/>
      <c r="I69" s="41" t="s">
        <v>326</v>
      </c>
      <c r="K69" s="43" t="str">
        <f ca="1">F69&amp;"3komm"</f>
        <v>03komm</v>
      </c>
      <c r="L69" s="825" cm="1">
        <f t="array" ref="L69">AH69</f>
        <v>0</v>
      </c>
      <c r="M69" s="43"/>
      <c r="T69" s="381" t="b" cm="1">
        <f t="array" ref="T69">T68</f>
        <v>0</v>
      </c>
      <c r="X69" s="1755"/>
      <c r="Z69" s="1735"/>
      <c r="AB69" s="152" t="s">
        <v>1427</v>
      </c>
      <c r="AC69" s="130" t="s">
        <v>1428</v>
      </c>
      <c r="AD69" s="129"/>
      <c r="AE69" s="152" t="s">
        <v>766</v>
      </c>
      <c r="AF69" s="1417"/>
      <c r="AG69" s="1398">
        <f ca="1">IFERROR(SUMIFS('Плата за негативное возд'!$AL$24:$AL$32,'Плата за негативное возд'!$F$24:$F$32,F69,'Плата за негативное возд'!$AB$24:$AB$32,"1"),0)</f>
        <v>0</v>
      </c>
      <c r="AH69" s="1358"/>
      <c r="AL69" s="899" t="s">
        <v>1429</v>
      </c>
    </row>
    <row r="70" spans="1:43" ht="54.75" hidden="1" customHeight="1">
      <c r="B70" s="345" t="b" cm="1">
        <f t="array" ref="B70">B69</f>
        <v>0</v>
      </c>
      <c r="E70" s="535">
        <v>56.25</v>
      </c>
      <c r="F70" s="3" cm="1">
        <f t="array" aca="1" ref="F70" ca="1">OFFSET(E70,-1,1)</f>
        <v>0</v>
      </c>
      <c r="H70" s="2"/>
      <c r="I70" s="41" t="s">
        <v>477</v>
      </c>
      <c r="K70" s="43" t="str">
        <f ca="1">F70&amp;"4komm"</f>
        <v>04komm</v>
      </c>
      <c r="L70" s="825" cm="1">
        <f t="array" ref="L70">AH70</f>
        <v>0</v>
      </c>
      <c r="M70" s="43"/>
      <c r="T70" s="381" t="b" cm="1">
        <f t="array" ref="T70">T69</f>
        <v>0</v>
      </c>
      <c r="X70" s="1755"/>
      <c r="Z70" s="1735"/>
      <c r="AB70" s="152" t="s">
        <v>1430</v>
      </c>
      <c r="AC70" s="130" t="s">
        <v>1431</v>
      </c>
      <c r="AD70" s="129"/>
      <c r="AE70" s="152" t="s">
        <v>766</v>
      </c>
      <c r="AF70" s="1417"/>
      <c r="AG70" s="1398">
        <f ca="1">IFERROR(SUMIFS('Плата за негативное возд'!$AL$24:$AL$32,'Плата за негативное возд'!$F$24:$F$32,F70,'Плата за негативное возд'!$AB$24:$AB$32,"2"),0)</f>
        <v>0</v>
      </c>
      <c r="AH70" s="1358"/>
      <c r="AL70" s="899" t="s">
        <v>1432</v>
      </c>
    </row>
    <row r="71" spans="1:43" ht="14.65" hidden="1" customHeight="1">
      <c r="E71" s="535">
        <v>15</v>
      </c>
      <c r="F71" s="3" cm="1">
        <f t="array" aca="1" ref="F71" ca="1">OFFSET(E71,-1,1)</f>
        <v>0</v>
      </c>
      <c r="H71" s="4"/>
      <c r="I71" s="41" t="s">
        <v>481</v>
      </c>
      <c r="K71" s="43" t="str">
        <f ca="1">F71&amp;"5komm"</f>
        <v>05komm</v>
      </c>
      <c r="L71" s="825" cm="1">
        <f t="array" ref="L71">AH71</f>
        <v>0</v>
      </c>
      <c r="M71" s="43"/>
      <c r="T71" s="381" t="b" cm="1">
        <f t="array" ref="T71">T70</f>
        <v>0</v>
      </c>
      <c r="X71" s="1755"/>
      <c r="Z71" s="1735"/>
      <c r="AB71" s="152" t="str">
        <f>IF(B70,"VII","V")</f>
        <v>V</v>
      </c>
      <c r="AC71" s="130" t="s">
        <v>1433</v>
      </c>
      <c r="AD71" s="129"/>
      <c r="AE71" s="152" t="s">
        <v>766</v>
      </c>
      <c r="AF71" s="1417"/>
      <c r="AG71" s="1417"/>
      <c r="AH71" s="1358"/>
      <c r="AL71" s="899" t="s">
        <v>1434</v>
      </c>
    </row>
    <row r="72" spans="1:43" s="615" customFormat="1" ht="14.65" hidden="1" customHeight="1">
      <c r="B72" s="348"/>
      <c r="E72" s="608">
        <v>15</v>
      </c>
      <c r="F72" s="3" cm="1">
        <f t="array" aca="1" ref="F72" ca="1">OFFSET(E72,-1,1)</f>
        <v>0</v>
      </c>
      <c r="G72" s="413"/>
      <c r="I72" s="159" t="s">
        <v>528</v>
      </c>
      <c r="K72" s="43" t="str">
        <f ca="1">F72&amp;"6komm"</f>
        <v>06komm</v>
      </c>
      <c r="L72" s="825" cm="1">
        <f t="array" ref="L72">AH72</f>
        <v>0</v>
      </c>
      <c r="M72" s="413"/>
      <c r="T72" s="381" t="b" cm="1">
        <f t="array" ref="T72">T71</f>
        <v>0</v>
      </c>
      <c r="X72" s="1755"/>
      <c r="Z72" s="1735"/>
      <c r="AB72" s="152" t="str">
        <f>IF(B70,"VIII","VI")</f>
        <v>VI</v>
      </c>
      <c r="AC72" s="130" t="s">
        <v>1395</v>
      </c>
      <c r="AD72" s="129"/>
      <c r="AE72" s="152" t="s">
        <v>766</v>
      </c>
      <c r="AF72" s="1417">
        <f>AF73+AF74</f>
        <v>0</v>
      </c>
      <c r="AG72" s="1417">
        <f>AG73+AG74</f>
        <v>0</v>
      </c>
      <c r="AH72" s="1358"/>
      <c r="AL72" s="953" t="s">
        <v>1435</v>
      </c>
    </row>
    <row r="73" spans="1:43" ht="21.95" hidden="1" customHeight="1">
      <c r="E73" s="535">
        <v>22.5</v>
      </c>
      <c r="F73" s="3" cm="1">
        <f t="array" aca="1" ref="F73" ca="1">OFFSET(E73,-1,1)</f>
        <v>0</v>
      </c>
      <c r="H73" s="4"/>
      <c r="I73" s="41" t="s">
        <v>531</v>
      </c>
      <c r="K73" s="43" t="str">
        <f ca="1">F73&amp;"7komm"</f>
        <v>07komm</v>
      </c>
      <c r="L73" s="825" cm="1">
        <f t="array" ref="L73">AH73</f>
        <v>0</v>
      </c>
      <c r="M73" s="43"/>
      <c r="T73" s="381" t="b" cm="1">
        <f t="array" ref="T73">T72</f>
        <v>0</v>
      </c>
      <c r="X73" s="1755"/>
      <c r="Z73" s="1735"/>
      <c r="AB73" s="680">
        <v>1</v>
      </c>
      <c r="AC73" s="676" t="s">
        <v>1398</v>
      </c>
      <c r="AD73" s="216"/>
      <c r="AE73" s="680" t="s">
        <v>766</v>
      </c>
      <c r="AF73" s="1399"/>
      <c r="AG73" s="1399"/>
      <c r="AH73" s="1358"/>
      <c r="AL73" s="899" t="s">
        <v>1436</v>
      </c>
    </row>
    <row r="74" spans="1:43" ht="21.95" hidden="1" customHeight="1">
      <c r="E74" s="535">
        <v>22.5</v>
      </c>
      <c r="F74" s="3" cm="1">
        <f t="array" aca="1" ref="F74" ca="1">OFFSET(E74,-1,1)</f>
        <v>0</v>
      </c>
      <c r="H74" s="4"/>
      <c r="I74" s="41" t="s">
        <v>535</v>
      </c>
      <c r="K74" s="43" t="str">
        <f ca="1">F74&amp;"8komm"</f>
        <v>08komm</v>
      </c>
      <c r="L74" s="825" cm="1">
        <f t="array" ref="L74">AH74</f>
        <v>0</v>
      </c>
      <c r="M74" s="43"/>
      <c r="T74" s="381" t="b" cm="1">
        <f t="array" ref="T74">T73</f>
        <v>0</v>
      </c>
      <c r="X74" s="1755"/>
      <c r="Z74" s="1735"/>
      <c r="AB74" s="680">
        <v>2</v>
      </c>
      <c r="AC74" s="676" t="s">
        <v>1400</v>
      </c>
      <c r="AD74" s="216"/>
      <c r="AE74" s="680" t="s">
        <v>766</v>
      </c>
      <c r="AF74" s="1399"/>
      <c r="AG74" s="1399"/>
      <c r="AH74" s="1358"/>
      <c r="AL74" s="899" t="s">
        <v>1437</v>
      </c>
    </row>
    <row r="75" spans="1:43" ht="14.65" hidden="1" customHeight="1">
      <c r="E75" s="535">
        <v>15</v>
      </c>
      <c r="F75" s="3" cm="1">
        <f t="array" aca="1" ref="F75" ca="1">OFFSET(E75,-1,1)</f>
        <v>0</v>
      </c>
      <c r="H75" s="4"/>
      <c r="I75" s="41" t="s">
        <v>543</v>
      </c>
      <c r="K75" s="43" t="str">
        <f ca="1">F75&amp;"9komm"</f>
        <v>09komm</v>
      </c>
      <c r="L75" s="825" cm="1">
        <f t="array" ref="L75">AH75</f>
        <v>0</v>
      </c>
      <c r="M75" s="43"/>
      <c r="T75" s="381" t="b" cm="1">
        <f t="array" ref="T75">T74</f>
        <v>0</v>
      </c>
      <c r="X75" s="1755"/>
      <c r="Z75" s="1735"/>
      <c r="AB75" s="152" t="str">
        <f>IF(B70,"IX","VIII")</f>
        <v>VIII</v>
      </c>
      <c r="AC75" s="130" t="s">
        <v>1402</v>
      </c>
      <c r="AD75" s="129"/>
      <c r="AE75" s="152" t="s">
        <v>766</v>
      </c>
      <c r="AF75" s="1417"/>
      <c r="AG75" s="1417"/>
      <c r="AH75" s="1358"/>
      <c r="AL75" s="899" t="s">
        <v>1438</v>
      </c>
    </row>
    <row r="76" spans="1:43" ht="14.65" hidden="1" customHeight="1">
      <c r="E76" s="535">
        <v>15</v>
      </c>
      <c r="F76" s="3" cm="1">
        <f t="array" aca="1" ref="F76" ca="1">OFFSET(E76,-1,1)</f>
        <v>0</v>
      </c>
      <c r="H76" s="4"/>
      <c r="I76" s="41" t="s">
        <v>551</v>
      </c>
      <c r="K76" s="43" t="str">
        <f ca="1">F76&amp;"10komm"</f>
        <v>010komm</v>
      </c>
      <c r="L76" s="825" cm="1">
        <f t="array" ref="L76">AH76</f>
        <v>0</v>
      </c>
      <c r="M76" s="43"/>
      <c r="T76" s="381" t="b" cm="1">
        <f t="array" ref="T76">T75</f>
        <v>0</v>
      </c>
      <c r="X76" s="1755"/>
      <c r="Z76" s="1735"/>
      <c r="AB76" s="152" t="str">
        <f>IF(B70,"X","IX")</f>
        <v>IX</v>
      </c>
      <c r="AC76" s="130" t="s">
        <v>1404</v>
      </c>
      <c r="AD76" s="129"/>
      <c r="AE76" s="152" t="s">
        <v>766</v>
      </c>
      <c r="AF76" s="1417"/>
      <c r="AG76" s="1417"/>
      <c r="AH76" s="1358"/>
      <c r="AL76" s="899" t="s">
        <v>1439</v>
      </c>
    </row>
    <row r="77" spans="1:43" s="615" customFormat="1" ht="14.65" hidden="1" customHeight="1">
      <c r="B77" s="348"/>
      <c r="E77" s="608">
        <v>15</v>
      </c>
      <c r="F77" s="3" cm="1">
        <f t="array" aca="1" ref="F77" ca="1">OFFSET(E77,-1,1)</f>
        <v>0</v>
      </c>
      <c r="G77" s="413"/>
      <c r="I77" s="159" t="s">
        <v>709</v>
      </c>
      <c r="K77" s="43" t="str">
        <f ca="1">F77&amp;"11komm"</f>
        <v>011komm</v>
      </c>
      <c r="L77" s="825" cm="1">
        <f t="array" ref="L77">AH77</f>
        <v>0</v>
      </c>
      <c r="M77" s="413"/>
      <c r="T77" s="381" t="b" cm="1">
        <f t="array" ref="T77">T76</f>
        <v>0</v>
      </c>
      <c r="X77" s="1755"/>
      <c r="Z77" s="1735"/>
      <c r="AB77" s="152" t="str">
        <f>IF(B70,"XI","X")</f>
        <v>X</v>
      </c>
      <c r="AC77" s="137" t="s">
        <v>1440</v>
      </c>
      <c r="AD77" s="129"/>
      <c r="AE77" s="152" t="s">
        <v>766</v>
      </c>
      <c r="AF77" s="842">
        <f ca="1">AF28+AF63+AF67+AF68+AF69+AF70+AF71+AF72+AF75+AF76</f>
        <v>0</v>
      </c>
      <c r="AG77" s="842">
        <f ca="1">AG28+AG63+AG67+AG68+AG69+AG70+AG71+AG72+AG75+AG76</f>
        <v>0</v>
      </c>
      <c r="AH77" s="1358"/>
      <c r="AL77" s="953" t="s">
        <v>1441</v>
      </c>
    </row>
    <row r="78" spans="1:43" s="1327" customFormat="1" ht="14.25" customHeight="1">
      <c r="A78" s="1210"/>
      <c r="B78" s="1104"/>
      <c r="C78" s="1210"/>
      <c r="D78" s="1210"/>
      <c r="E78" s="535">
        <v>15</v>
      </c>
      <c r="F78" s="17" t="str" cm="1">
        <f t="array" ref="F78">X78</f>
        <v>1</v>
      </c>
      <c r="G78" s="409"/>
      <c r="H78" s="4"/>
      <c r="I78" s="1210"/>
      <c r="J78" s="1210"/>
      <c r="K78" s="1210"/>
      <c r="L78" s="1210"/>
      <c r="M78" s="1210"/>
      <c r="N78" s="1210"/>
      <c r="O78" s="1210"/>
      <c r="P78" s="1210"/>
      <c r="Q78" s="1210"/>
      <c r="R78" s="1210"/>
      <c r="S78" s="1078" t="str" cm="1">
        <f t="array" ref="S78">INDEX('Общие сведения'!$AE$179:$AE$208,MATCH($X78,'Общие сведения'!$Z$179:$Z$208,0))</f>
        <v>Водоснабжение</v>
      </c>
      <c r="T78" s="381" t="b">
        <f>X78&gt;0</f>
        <v>1</v>
      </c>
      <c r="U78" s="1210"/>
      <c r="V78" s="41" t="str" cm="1">
        <f t="array" ref="V78">'Плата за негативное возд'!$AB$29</f>
        <v>Тариф 1 (Водоснабжение) - тариф на питьевую воду</v>
      </c>
      <c r="W78" s="1210"/>
      <c r="X78" s="1755" t="s">
        <v>281</v>
      </c>
      <c r="Y78" s="1210"/>
      <c r="Z78" s="1735"/>
      <c r="AA78" s="1210"/>
      <c r="AB78" s="293" t="str" cm="1">
        <f t="array" ref="AB78">'Плата за негативное возд'!$AB$29</f>
        <v>Тариф 1 (Водоснабжение) - тариф на питьевую воду</v>
      </c>
      <c r="AC78" s="293"/>
      <c r="AD78" s="293"/>
      <c r="AE78" s="293"/>
      <c r="AF78" s="293"/>
      <c r="AG78" s="293"/>
      <c r="AH78" s="293"/>
      <c r="AI78" s="1210"/>
      <c r="AJ78" s="1210"/>
      <c r="AK78" s="1210"/>
      <c r="AL78" s="1126"/>
      <c r="AM78" s="1210"/>
      <c r="AN78" s="1210"/>
      <c r="AO78" s="1210"/>
      <c r="AP78" s="1210"/>
      <c r="AQ78" s="1210"/>
    </row>
    <row r="79" spans="1:43" s="1418" customFormat="1" ht="43.5" customHeight="1">
      <c r="A79" s="615"/>
      <c r="B79" s="348"/>
      <c r="C79" s="615"/>
      <c r="D79" s="615"/>
      <c r="E79" s="608">
        <v>45</v>
      </c>
      <c r="F79" s="3" t="str" cm="1">
        <f t="array" aca="1" ref="F79" ca="1">OFFSET(E79,-1,1)</f>
        <v>1</v>
      </c>
      <c r="G79" s="413"/>
      <c r="H79" s="615"/>
      <c r="I79" s="41" t="s">
        <v>323</v>
      </c>
      <c r="J79" s="615"/>
      <c r="K79" s="43"/>
      <c r="L79" s="829"/>
      <c r="M79" s="413"/>
      <c r="N79" s="615"/>
      <c r="O79" s="615"/>
      <c r="P79" s="615"/>
      <c r="Q79" s="615"/>
      <c r="R79" s="615"/>
      <c r="S79" s="615"/>
      <c r="T79" s="381" t="b" cm="1">
        <f t="array" ref="T79">T78</f>
        <v>1</v>
      </c>
      <c r="U79" s="615"/>
      <c r="V79" s="615"/>
      <c r="W79" s="615"/>
      <c r="X79" s="1755"/>
      <c r="Y79" s="615"/>
      <c r="Z79" s="1735"/>
      <c r="AA79" s="615"/>
      <c r="AB79" s="755" t="s">
        <v>1267</v>
      </c>
      <c r="AC79" s="756" t="s">
        <v>1268</v>
      </c>
      <c r="AD79" s="755" t="s">
        <v>1269</v>
      </c>
      <c r="AE79" s="757" t="s">
        <v>766</v>
      </c>
      <c r="AF79" s="758">
        <f ca="1">AF81-AF80</f>
        <v>0</v>
      </c>
      <c r="AG79" s="758">
        <f ca="1">AG81-AG80</f>
        <v>0</v>
      </c>
      <c r="AH79" s="759"/>
      <c r="AI79" s="615"/>
      <c r="AJ79" s="615"/>
      <c r="AK79" s="615"/>
      <c r="AL79" s="953" t="s">
        <v>1270</v>
      </c>
      <c r="AM79" s="615"/>
      <c r="AN79" s="615"/>
      <c r="AO79" s="615"/>
      <c r="AP79" s="615"/>
      <c r="AQ79" s="615"/>
    </row>
    <row r="80" spans="1:43" s="1419" customFormat="1" ht="14.25" customHeight="1">
      <c r="A80" s="615"/>
      <c r="B80" s="348"/>
      <c r="C80" s="615"/>
      <c r="D80" s="615"/>
      <c r="E80" s="608">
        <v>15</v>
      </c>
      <c r="F80" s="3" t="str" cm="1">
        <f t="array" aca="1" ref="F80" ca="1">OFFSET(E80,-1,1)</f>
        <v>1</v>
      </c>
      <c r="G80" s="413"/>
      <c r="H80" s="615"/>
      <c r="I80" s="41" t="s">
        <v>427</v>
      </c>
      <c r="J80" s="615"/>
      <c r="K80" s="413"/>
      <c r="L80" s="413"/>
      <c r="M80" s="413"/>
      <c r="N80" s="615"/>
      <c r="O80" s="615"/>
      <c r="P80" s="615"/>
      <c r="Q80" s="615"/>
      <c r="R80" s="615"/>
      <c r="S80" s="615"/>
      <c r="T80" s="381" t="b" cm="1">
        <f t="array" ref="T80">T79</f>
        <v>1</v>
      </c>
      <c r="U80" s="615"/>
      <c r="V80" s="615"/>
      <c r="W80" s="615"/>
      <c r="X80" s="1755"/>
      <c r="Y80" s="615"/>
      <c r="Z80" s="1735"/>
      <c r="AA80" s="615"/>
      <c r="AB80" s="136" t="s">
        <v>281</v>
      </c>
      <c r="AC80" s="137" t="s">
        <v>1271</v>
      </c>
      <c r="AD80" s="129" t="s">
        <v>1272</v>
      </c>
      <c r="AE80" s="152" t="s">
        <v>766</v>
      </c>
      <c r="AF80" s="294"/>
      <c r="AG80" s="294"/>
      <c r="AH80" s="759"/>
      <c r="AI80" s="615"/>
      <c r="AJ80" s="615"/>
      <c r="AK80" s="615"/>
      <c r="AL80" s="953" t="s">
        <v>1273</v>
      </c>
      <c r="AM80" s="615"/>
      <c r="AN80" s="615"/>
      <c r="AO80" s="615"/>
      <c r="AP80" s="615"/>
      <c r="AQ80" s="615"/>
    </row>
    <row r="81" spans="1:43" s="1420" customFormat="1" ht="14.25" customHeight="1">
      <c r="A81" s="615"/>
      <c r="B81" s="348"/>
      <c r="C81" s="615"/>
      <c r="D81" s="615"/>
      <c r="E81" s="608">
        <v>15</v>
      </c>
      <c r="F81" s="3" t="str" cm="1">
        <f t="array" aca="1" ref="F81" ca="1">OFFSET(E81,-1,1)</f>
        <v>1</v>
      </c>
      <c r="G81" s="66"/>
      <c r="H81" s="66"/>
      <c r="I81" s="343" t="s">
        <v>431</v>
      </c>
      <c r="J81" s="615"/>
      <c r="K81" s="413"/>
      <c r="L81" s="413"/>
      <c r="M81" s="413"/>
      <c r="N81" s="615"/>
      <c r="O81" s="615"/>
      <c r="P81" s="615"/>
      <c r="Q81" s="615"/>
      <c r="R81" s="615"/>
      <c r="S81" s="615"/>
      <c r="T81" s="381" t="b" cm="1">
        <f t="array" ref="T81">T80</f>
        <v>1</v>
      </c>
      <c r="U81" s="615"/>
      <c r="V81" s="615"/>
      <c r="W81" s="615"/>
      <c r="X81" s="1755"/>
      <c r="Y81" s="615"/>
      <c r="Z81" s="1735"/>
      <c r="AA81" s="615"/>
      <c r="AB81" s="136" t="s">
        <v>224</v>
      </c>
      <c r="AC81" s="130" t="s">
        <v>1274</v>
      </c>
      <c r="AD81" s="129" t="s">
        <v>1275</v>
      </c>
      <c r="AE81" s="152" t="s">
        <v>766</v>
      </c>
      <c r="AF81" s="758">
        <f ca="1">AF82+AF83+AF95+AF99+AF100+AF101+AF102+AF106+AF107+AF108+AF109+AF112+AF113</f>
        <v>0</v>
      </c>
      <c r="AG81" s="758">
        <f ca="1">AG82+AG83+AG95+AG99+AG100+AG101+AG102+AG106+AG107+AG108+AG109+AG112+AG113</f>
        <v>0</v>
      </c>
      <c r="AH81" s="759"/>
      <c r="AI81" s="615"/>
      <c r="AJ81" s="615"/>
      <c r="AK81" s="615"/>
      <c r="AL81" s="953" t="s">
        <v>1276</v>
      </c>
      <c r="AM81" s="615"/>
      <c r="AN81" s="615"/>
      <c r="AO81" s="615"/>
      <c r="AP81" s="615"/>
      <c r="AQ81" s="615"/>
    </row>
    <row r="82" spans="1:43" s="1327" customFormat="1" ht="21.75" customHeight="1">
      <c r="A82" s="1210"/>
      <c r="B82" s="1104"/>
      <c r="C82" s="1210"/>
      <c r="D82" s="1210"/>
      <c r="E82" s="535">
        <v>22.5</v>
      </c>
      <c r="F82" s="3" t="str" cm="1">
        <f t="array" aca="1" ref="F82" ca="1">OFFSET(E82,-1,1)</f>
        <v>1</v>
      </c>
      <c r="G82" s="343" t="s">
        <v>1277</v>
      </c>
      <c r="H82" s="4"/>
      <c r="I82" s="343" t="s">
        <v>1186</v>
      </c>
      <c r="J82" s="1210"/>
      <c r="K82" s="43"/>
      <c r="L82" s="43"/>
      <c r="M82" s="43"/>
      <c r="N82" s="1210"/>
      <c r="O82" s="1210"/>
      <c r="P82" s="1210"/>
      <c r="Q82" s="1210"/>
      <c r="R82" s="1210"/>
      <c r="S82" s="1314"/>
      <c r="T82" s="381" t="b" cm="1">
        <f t="array" ref="T82">T81</f>
        <v>1</v>
      </c>
      <c r="U82" s="1210"/>
      <c r="V82" s="1210"/>
      <c r="W82" s="1210"/>
      <c r="X82" s="1755"/>
      <c r="Y82" s="1210"/>
      <c r="Z82" s="1735"/>
      <c r="AA82" s="1210"/>
      <c r="AB82" s="215" t="s">
        <v>502</v>
      </c>
      <c r="AC82" s="676" t="s">
        <v>1278</v>
      </c>
      <c r="AD82" s="216" t="s">
        <v>1279</v>
      </c>
      <c r="AE82" s="680" t="s">
        <v>766</v>
      </c>
      <c r="AF82" s="214"/>
      <c r="AG82" s="214"/>
      <c r="AH82" s="760"/>
      <c r="AI82" s="1210"/>
      <c r="AJ82" s="1210"/>
      <c r="AK82" s="1210"/>
      <c r="AL82" s="899" t="s">
        <v>1280</v>
      </c>
      <c r="AM82" s="1210"/>
      <c r="AN82" s="1210"/>
      <c r="AO82" s="1210"/>
      <c r="AP82" s="1210"/>
      <c r="AQ82" s="1210"/>
    </row>
    <row r="83" spans="1:43" s="1327" customFormat="1" ht="21.75" customHeight="1">
      <c r="A83" s="1210"/>
      <c r="B83" s="1104"/>
      <c r="C83" s="1210"/>
      <c r="D83" s="1210"/>
      <c r="E83" s="535">
        <v>22.5</v>
      </c>
      <c r="F83" s="3" t="str" cm="1">
        <f t="array" aca="1" ref="F83" ca="1">OFFSET(E83,-1,1)</f>
        <v>1</v>
      </c>
      <c r="G83" s="343"/>
      <c r="H83" s="4"/>
      <c r="I83" s="343" t="s">
        <v>1189</v>
      </c>
      <c r="J83" s="1210"/>
      <c r="K83" s="43"/>
      <c r="L83" s="43"/>
      <c r="M83" s="43"/>
      <c r="N83" s="1210"/>
      <c r="O83" s="1210"/>
      <c r="P83" s="1210"/>
      <c r="Q83" s="1210"/>
      <c r="R83" s="1210"/>
      <c r="S83" s="1314"/>
      <c r="T83" s="381" t="b" cm="1">
        <f t="array" ref="T83">T82</f>
        <v>1</v>
      </c>
      <c r="U83" s="1210"/>
      <c r="V83" s="1210"/>
      <c r="W83" s="1210"/>
      <c r="X83" s="1755"/>
      <c r="Y83" s="1210"/>
      <c r="Z83" s="1735"/>
      <c r="AA83" s="1210"/>
      <c r="AB83" s="215" t="s">
        <v>506</v>
      </c>
      <c r="AC83" s="676" t="s">
        <v>1281</v>
      </c>
      <c r="AD83" s="216" t="s">
        <v>1282</v>
      </c>
      <c r="AE83" s="680" t="s">
        <v>766</v>
      </c>
      <c r="AF83" s="839">
        <f ca="1">SUM(AF84:AF94)</f>
        <v>0</v>
      </c>
      <c r="AG83" s="839">
        <f ca="1">SUM(AG84:AG94)</f>
        <v>0</v>
      </c>
      <c r="AH83" s="760"/>
      <c r="AI83" s="1210"/>
      <c r="AJ83" s="1210"/>
      <c r="AK83" s="1210"/>
      <c r="AL83" s="899" t="s">
        <v>1283</v>
      </c>
      <c r="AM83" s="1210"/>
      <c r="AN83" s="1210"/>
      <c r="AO83" s="1210"/>
      <c r="AP83" s="1210"/>
      <c r="AQ83" s="1210"/>
    </row>
    <row r="84" spans="1:43" s="1327" customFormat="1" ht="21.75" customHeight="1">
      <c r="A84" s="1210"/>
      <c r="B84" s="1104"/>
      <c r="C84" s="1210"/>
      <c r="D84" s="1210"/>
      <c r="E84" s="535">
        <v>22.5</v>
      </c>
      <c r="F84" s="3" t="str" cm="1">
        <f t="array" aca="1" ref="F84" ca="1">OFFSET(E84,-1,1)</f>
        <v>1</v>
      </c>
      <c r="G84" s="343"/>
      <c r="H84" s="4"/>
      <c r="I84" s="343" t="s">
        <v>1284</v>
      </c>
      <c r="J84" s="1210"/>
      <c r="K84" s="43"/>
      <c r="L84" s="43"/>
      <c r="M84" s="43"/>
      <c r="N84" s="1210"/>
      <c r="O84" s="1210"/>
      <c r="P84" s="1210"/>
      <c r="Q84" s="1210"/>
      <c r="R84" s="1210"/>
      <c r="S84" s="1314"/>
      <c r="T84" s="381" t="b" cm="1">
        <f t="array" ref="T84">T83</f>
        <v>1</v>
      </c>
      <c r="U84" s="1210"/>
      <c r="V84" s="1210"/>
      <c r="W84" s="1210"/>
      <c r="X84" s="1755"/>
      <c r="Y84" s="1210"/>
      <c r="Z84" s="1735"/>
      <c r="AA84" s="1210"/>
      <c r="AB84" s="698" t="s">
        <v>459</v>
      </c>
      <c r="AC84" s="695" t="s">
        <v>1285</v>
      </c>
      <c r="AD84" s="680"/>
      <c r="AE84" s="680" t="s">
        <v>766</v>
      </c>
      <c r="AF84" s="214">
        <f ca="1">SUMIFS(Покупка!$AF$25:$AF$90,Покупка!$F$25:$F$90,$F84,Покупка!$G$25:$G$90,"Итого")</f>
        <v>0</v>
      </c>
      <c r="AG84" s="214">
        <f ca="1">SUMIFS(Покупка!$AG$25:$AG$90,Покупка!$F$25:$F$90,$F84,Покупка!$G$25:$G$90,"Итого")</f>
        <v>0</v>
      </c>
      <c r="AH84" s="760"/>
      <c r="AI84" s="1210"/>
      <c r="AJ84" s="1210"/>
      <c r="AK84" s="1210"/>
      <c r="AL84" s="899" t="s">
        <v>1286</v>
      </c>
      <c r="AM84" s="1210"/>
      <c r="AN84" s="1210"/>
      <c r="AO84" s="1210"/>
      <c r="AP84" s="1210"/>
      <c r="AQ84" s="1210"/>
    </row>
    <row r="85" spans="1:43" s="1327" customFormat="1" ht="14.25" customHeight="1">
      <c r="A85" s="1210"/>
      <c r="B85" s="1104"/>
      <c r="C85" s="1210"/>
      <c r="D85" s="1210"/>
      <c r="E85" s="535">
        <v>15</v>
      </c>
      <c r="F85" s="3" t="str" cm="1">
        <f t="array" aca="1" ref="F85" ca="1">OFFSET(E85,-1,1)</f>
        <v>1</v>
      </c>
      <c r="G85" s="343"/>
      <c r="H85" s="4"/>
      <c r="I85" s="343" t="s">
        <v>1287</v>
      </c>
      <c r="J85" s="1210"/>
      <c r="K85" s="43"/>
      <c r="L85" s="43"/>
      <c r="M85" s="43"/>
      <c r="N85" s="1210"/>
      <c r="O85" s="1210"/>
      <c r="P85" s="1210"/>
      <c r="Q85" s="1210"/>
      <c r="R85" s="1210"/>
      <c r="S85" s="1314"/>
      <c r="T85" s="381" t="b" cm="1">
        <f t="array" ref="T85">T84</f>
        <v>1</v>
      </c>
      <c r="U85" s="1210"/>
      <c r="V85" s="1210"/>
      <c r="W85" s="1210"/>
      <c r="X85" s="1755"/>
      <c r="Y85" s="1210"/>
      <c r="Z85" s="1735"/>
      <c r="AA85" s="1210"/>
      <c r="AB85" s="698" t="s">
        <v>1288</v>
      </c>
      <c r="AC85" s="695" t="s">
        <v>1289</v>
      </c>
      <c r="AD85" s="680"/>
      <c r="AE85" s="680" t="s">
        <v>766</v>
      </c>
      <c r="AF85" s="214"/>
      <c r="AG85" s="214">
        <f ca="1">SUMIFS('Сырье и материалы'!AG$25:AG$36,'Сырье и материалы'!$F$25:$F$36,$F85,'Сырье и материалы'!$AC$25:$AC$36,"Всего по тарифу")</f>
        <v>0</v>
      </c>
      <c r="AH85" s="760"/>
      <c r="AI85" s="1210"/>
      <c r="AJ85" s="1210"/>
      <c r="AK85" s="1210"/>
      <c r="AL85" s="899" t="s">
        <v>1290</v>
      </c>
      <c r="AM85" s="1210"/>
      <c r="AN85" s="1210"/>
      <c r="AO85" s="1210"/>
      <c r="AP85" s="1210"/>
      <c r="AQ85" s="1210"/>
    </row>
    <row r="86" spans="1:43" s="1327" customFormat="1" ht="14.25" customHeight="1">
      <c r="A86" s="1210"/>
      <c r="B86" s="1104"/>
      <c r="C86" s="1210"/>
      <c r="D86" s="1210"/>
      <c r="E86" s="535">
        <v>15</v>
      </c>
      <c r="F86" s="3" t="str" cm="1">
        <f t="array" aca="1" ref="F86" ca="1">OFFSET(E86,-1,1)</f>
        <v>1</v>
      </c>
      <c r="G86" s="343"/>
      <c r="H86" s="4"/>
      <c r="I86" s="343" t="s">
        <v>1291</v>
      </c>
      <c r="J86" s="1210"/>
      <c r="K86" s="43"/>
      <c r="L86" s="43"/>
      <c r="M86" s="43"/>
      <c r="N86" s="1210"/>
      <c r="O86" s="1210"/>
      <c r="P86" s="1210"/>
      <c r="Q86" s="1210"/>
      <c r="R86" s="1210"/>
      <c r="S86" s="1314"/>
      <c r="T86" s="381" t="b" cm="1">
        <f t="array" ref="T86">T85</f>
        <v>1</v>
      </c>
      <c r="U86" s="1210"/>
      <c r="V86" s="1210"/>
      <c r="W86" s="1210"/>
      <c r="X86" s="1755"/>
      <c r="Y86" s="1210"/>
      <c r="Z86" s="1735"/>
      <c r="AA86" s="1210"/>
      <c r="AB86" s="698" t="s">
        <v>1292</v>
      </c>
      <c r="AC86" s="695" t="s">
        <v>1293</v>
      </c>
      <c r="AD86" s="680"/>
      <c r="AE86" s="680" t="s">
        <v>766</v>
      </c>
      <c r="AF86" s="214">
        <f ca="1">SUMIFS(Налоги!AF$25:AF$55,Налоги!$F$25:$F$55,$F86,Налоги!$AB$25:$AB$55,"0")</f>
        <v>0</v>
      </c>
      <c r="AG86" s="214">
        <f ca="1">SUMIFS(Налоги!AG$25:AG$55,Налоги!$F$25:$F$55,$F86,Налоги!$AB$25:$AB$55,"0")</f>
        <v>0</v>
      </c>
      <c r="AH86" s="760"/>
      <c r="AI86" s="1210"/>
      <c r="AJ86" s="1210"/>
      <c r="AK86" s="1210"/>
      <c r="AL86" s="899" t="s">
        <v>1294</v>
      </c>
      <c r="AM86" s="1210"/>
      <c r="AN86" s="1210"/>
      <c r="AO86" s="1210"/>
      <c r="AP86" s="1210"/>
      <c r="AQ86" s="1210"/>
    </row>
    <row r="87" spans="1:43" s="1327" customFormat="1" ht="65.25" customHeight="1">
      <c r="A87" s="1210"/>
      <c r="B87" s="1104"/>
      <c r="C87" s="1210"/>
      <c r="D87" s="1210"/>
      <c r="E87" s="535">
        <v>67.5</v>
      </c>
      <c r="F87" s="3" t="str" cm="1">
        <f t="array" aca="1" ref="F87" ca="1">OFFSET(E87,-1,1)</f>
        <v>1</v>
      </c>
      <c r="G87" s="26" t="s">
        <v>1295</v>
      </c>
      <c r="H87" s="4"/>
      <c r="I87" s="409" t="s">
        <v>1296</v>
      </c>
      <c r="J87" s="1210"/>
      <c r="K87" s="43"/>
      <c r="L87" s="43"/>
      <c r="M87" s="43"/>
      <c r="N87" s="1210"/>
      <c r="O87" s="1210"/>
      <c r="P87" s="1210"/>
      <c r="Q87" s="1210"/>
      <c r="R87" s="1210"/>
      <c r="S87" s="1314"/>
      <c r="T87" s="381" t="b" cm="1">
        <f t="array" ref="T87">T86</f>
        <v>1</v>
      </c>
      <c r="U87" s="1210"/>
      <c r="V87" s="1210"/>
      <c r="W87" s="1210"/>
      <c r="X87" s="1755"/>
      <c r="Y87" s="1210"/>
      <c r="Z87" s="1735"/>
      <c r="AA87" s="1210"/>
      <c r="AB87" s="698" t="s">
        <v>1297</v>
      </c>
      <c r="AC87" s="695" t="s">
        <v>1298</v>
      </c>
      <c r="AD87" s="680"/>
      <c r="AE87" s="680" t="s">
        <v>766</v>
      </c>
      <c r="AF87" s="214"/>
      <c r="AG87" s="214">
        <f ca="1">IF(AND(method_reg="Метод индексации",first_year=god),SUMIFS('Калькуляция (МИ)'!$AG$25:$AG$315,'Калькуляция (МИ)'!$F$25:$F$315,$F87,'Калькуляция (МИ)'!$G$25:$G$315,$G87),SUMIFS('Калькуляция (МИ корр)'!$AG$25:$AG$315,'Калькуляция (МИ корр)'!$F$25:$F$315,$F87,'Калькуляция (МИ корр)'!$G$25:$G$315,$G87))</f>
        <v>0</v>
      </c>
      <c r="AH87" s="760"/>
      <c r="AI87" s="1210"/>
      <c r="AJ87" s="1210"/>
      <c r="AK87" s="1210"/>
      <c r="AL87" s="899" t="s">
        <v>1299</v>
      </c>
      <c r="AM87" s="1210"/>
      <c r="AN87" s="1210"/>
      <c r="AO87" s="1210"/>
      <c r="AP87" s="1210"/>
      <c r="AQ87" s="1210"/>
    </row>
    <row r="88" spans="1:43" s="1327" customFormat="1" ht="14.25" customHeight="1">
      <c r="A88" s="1210"/>
      <c r="B88" s="1104"/>
      <c r="C88" s="1210"/>
      <c r="D88" s="1210"/>
      <c r="E88" s="535">
        <v>15</v>
      </c>
      <c r="F88" s="3" t="str" cm="1">
        <f t="array" aca="1" ref="F88" ca="1">OFFSET(E88,-1,1)</f>
        <v>1</v>
      </c>
      <c r="G88" s="26" t="s">
        <v>919</v>
      </c>
      <c r="H88" s="4"/>
      <c r="I88" s="409" t="s">
        <v>1300</v>
      </c>
      <c r="J88" s="1210"/>
      <c r="K88" s="43"/>
      <c r="L88" s="43"/>
      <c r="M88" s="43"/>
      <c r="N88" s="1210"/>
      <c r="O88" s="1210"/>
      <c r="P88" s="1210"/>
      <c r="Q88" s="1210"/>
      <c r="R88" s="1210"/>
      <c r="S88" s="1314"/>
      <c r="T88" s="381" t="b" cm="1">
        <f t="array" ref="T88">T87</f>
        <v>1</v>
      </c>
      <c r="U88" s="1210"/>
      <c r="V88" s="1210"/>
      <c r="W88" s="1210"/>
      <c r="X88" s="1755"/>
      <c r="Y88" s="1210"/>
      <c r="Z88" s="1735"/>
      <c r="AA88" s="1210"/>
      <c r="AB88" s="698" t="s">
        <v>1301</v>
      </c>
      <c r="AC88" s="695" t="s">
        <v>1302</v>
      </c>
      <c r="AD88" s="680"/>
      <c r="AE88" s="680" t="s">
        <v>766</v>
      </c>
      <c r="AF88" s="214"/>
      <c r="AG88" s="214">
        <f ca="1">IF(AND(method_reg="Метод индексации",first_year=god),SUMIFS('Калькуляция (МИ)'!$AG$25:$AG$315,'Калькуляция (МИ)'!$F$25:$F$315,$F88,'Калькуляция (МИ)'!$G$25:$G$315,$G88),SUMIFS('Калькуляция (МИ корр)'!$AG$25:$AG$315,'Калькуляция (МИ корр)'!$F$25:$F$315,$F88,'Калькуляция (МИ корр)'!$G$25:$G$315,$G88))</f>
        <v>0</v>
      </c>
      <c r="AH88" s="760"/>
      <c r="AI88" s="1210"/>
      <c r="AJ88" s="1210"/>
      <c r="AK88" s="1210"/>
      <c r="AL88" s="899" t="s">
        <v>1303</v>
      </c>
      <c r="AM88" s="1210"/>
      <c r="AN88" s="1210"/>
      <c r="AO88" s="1210"/>
      <c r="AP88" s="1210"/>
      <c r="AQ88" s="1210"/>
    </row>
    <row r="89" spans="1:43" s="1327" customFormat="1" ht="14.25" customHeight="1">
      <c r="A89" s="1210"/>
      <c r="B89" s="1104"/>
      <c r="C89" s="1210"/>
      <c r="D89" s="1210"/>
      <c r="E89" s="535">
        <v>15</v>
      </c>
      <c r="F89" s="3" t="str" cm="1">
        <f t="array" aca="1" ref="F89" ca="1">OFFSET(E89,-1,1)</f>
        <v>1</v>
      </c>
      <c r="G89" s="26" t="s">
        <v>1304</v>
      </c>
      <c r="H89" s="4"/>
      <c r="I89" s="409" t="s">
        <v>1305</v>
      </c>
      <c r="J89" s="1210"/>
      <c r="K89" s="43"/>
      <c r="L89" s="43"/>
      <c r="M89" s="43"/>
      <c r="N89" s="1210"/>
      <c r="O89" s="1210"/>
      <c r="P89" s="1210"/>
      <c r="Q89" s="1210"/>
      <c r="R89" s="1210"/>
      <c r="S89" s="1314"/>
      <c r="T89" s="381" t="b" cm="1">
        <f t="array" ref="T89">T88</f>
        <v>1</v>
      </c>
      <c r="U89" s="1210"/>
      <c r="V89" s="1210"/>
      <c r="W89" s="1210"/>
      <c r="X89" s="1755"/>
      <c r="Y89" s="1210"/>
      <c r="Z89" s="1735"/>
      <c r="AA89" s="1210"/>
      <c r="AB89" s="698" t="s">
        <v>1306</v>
      </c>
      <c r="AC89" s="695" t="s">
        <v>1307</v>
      </c>
      <c r="AD89" s="680"/>
      <c r="AE89" s="680" t="s">
        <v>766</v>
      </c>
      <c r="AF89" s="214"/>
      <c r="AG89" s="214">
        <f ca="1">IF(AND(method_reg="Метод индексации",first_year=god),SUMIFS('Калькуляция (МИ)'!$AG$25:$AG$315,'Калькуляция (МИ)'!$F$25:$F$315,$F89,'Калькуляция (МИ)'!$G$25:$G$315,$G89),SUMIFS('Калькуляция (МИ корр)'!$AG$25:$AG$315,'Калькуляция (МИ корр)'!$F$25:$F$315,$F89,'Калькуляция (МИ корр)'!$G$25:$G$315,$G89))</f>
        <v>0</v>
      </c>
      <c r="AH89" s="760"/>
      <c r="AI89" s="1210"/>
      <c r="AJ89" s="1210"/>
      <c r="AK89" s="1210"/>
      <c r="AL89" s="899" t="s">
        <v>1308</v>
      </c>
      <c r="AM89" s="1210"/>
      <c r="AN89" s="1210"/>
      <c r="AO89" s="1210"/>
      <c r="AP89" s="1210"/>
      <c r="AQ89" s="1210"/>
    </row>
    <row r="90" spans="1:43" s="1327" customFormat="1" ht="21.75" customHeight="1">
      <c r="A90" s="1210"/>
      <c r="B90" s="1104"/>
      <c r="C90" s="1210"/>
      <c r="D90" s="1210"/>
      <c r="E90" s="535">
        <v>22.5</v>
      </c>
      <c r="F90" s="3" t="str" cm="1">
        <f t="array" aca="1" ref="F90" ca="1">OFFSET(E90,-1,1)</f>
        <v>1</v>
      </c>
      <c r="G90" s="26" t="s">
        <v>1309</v>
      </c>
      <c r="H90" s="4"/>
      <c r="I90" s="409" t="s">
        <v>1310</v>
      </c>
      <c r="J90" s="1210"/>
      <c r="K90" s="43"/>
      <c r="L90" s="43"/>
      <c r="M90" s="43"/>
      <c r="N90" s="1210"/>
      <c r="O90" s="1210"/>
      <c r="P90" s="1210"/>
      <c r="Q90" s="1210"/>
      <c r="R90" s="1210"/>
      <c r="S90" s="1314"/>
      <c r="T90" s="381" t="b" cm="1">
        <f t="array" ref="T90">T89</f>
        <v>1</v>
      </c>
      <c r="U90" s="1210"/>
      <c r="V90" s="1210"/>
      <c r="W90" s="1210"/>
      <c r="X90" s="1755"/>
      <c r="Y90" s="1210"/>
      <c r="Z90" s="1735"/>
      <c r="AA90" s="1210"/>
      <c r="AB90" s="698" t="s">
        <v>1311</v>
      </c>
      <c r="AC90" s="695" t="s">
        <v>1312</v>
      </c>
      <c r="AD90" s="680"/>
      <c r="AE90" s="680" t="s">
        <v>766</v>
      </c>
      <c r="AF90" s="214"/>
      <c r="AG90" s="214">
        <f ca="1">IF(AND(method_reg="Метод индексации",first_year=god),SUMIFS('Калькуляция (МИ)'!$AG$25:$AG$315,'Калькуляция (МИ)'!$F$25:$F$315,$F90,'Калькуляция (МИ)'!$G$25:$G$315,$G90),SUMIFS('Калькуляция (МИ корр)'!$AG$25:$AG$315,'Калькуляция (МИ корр)'!$F$25:$F$315,$F90,'Калькуляция (МИ корр)'!$G$25:$G$315,$G90))</f>
        <v>0</v>
      </c>
      <c r="AH90" s="760"/>
      <c r="AI90" s="1210"/>
      <c r="AJ90" s="1210"/>
      <c r="AK90" s="1210"/>
      <c r="AL90" s="899" t="s">
        <v>1313</v>
      </c>
      <c r="AM90" s="1210"/>
      <c r="AN90" s="1210"/>
      <c r="AO90" s="1210"/>
      <c r="AP90" s="1210"/>
      <c r="AQ90" s="1210"/>
    </row>
    <row r="91" spans="1:43" s="1327" customFormat="1" ht="21.75" customHeight="1">
      <c r="A91" s="1210"/>
      <c r="B91" s="1104"/>
      <c r="C91" s="1210"/>
      <c r="D91" s="1210"/>
      <c r="E91" s="535">
        <v>22.5</v>
      </c>
      <c r="F91" s="3" t="str" cm="1">
        <f t="array" aca="1" ref="F91" ca="1">OFFSET(E91,-1,1)</f>
        <v>1</v>
      </c>
      <c r="G91" s="26" t="s">
        <v>1314</v>
      </c>
      <c r="H91" s="4"/>
      <c r="I91" s="409" t="s">
        <v>1315</v>
      </c>
      <c r="J91" s="1210"/>
      <c r="K91" s="43"/>
      <c r="L91" s="43"/>
      <c r="M91" s="43"/>
      <c r="N91" s="1210"/>
      <c r="O91" s="1210"/>
      <c r="P91" s="1210"/>
      <c r="Q91" s="1210"/>
      <c r="R91" s="1210"/>
      <c r="S91" s="1314"/>
      <c r="T91" s="381" t="b" cm="1">
        <f t="array" ref="T91">T90</f>
        <v>1</v>
      </c>
      <c r="U91" s="1210"/>
      <c r="V91" s="1210"/>
      <c r="W91" s="1210"/>
      <c r="X91" s="1755"/>
      <c r="Y91" s="1210"/>
      <c r="Z91" s="1735"/>
      <c r="AA91" s="1210"/>
      <c r="AB91" s="698" t="s">
        <v>1316</v>
      </c>
      <c r="AC91" s="695" t="s">
        <v>1317</v>
      </c>
      <c r="AD91" s="840"/>
      <c r="AE91" s="680" t="s">
        <v>766</v>
      </c>
      <c r="AF91" s="214"/>
      <c r="AG91" s="214">
        <f ca="1">IF(AND(method_reg="Метод индексации",first_year=god),SUMIFS('Калькуляция (МИ)'!$AG$25:$AG$315,'Калькуляция (МИ)'!$F$25:$F$315,$F91,'Калькуляция (МИ)'!$G$25:$G$315,$G91),SUMIFS('Калькуляция (МИ корр)'!$AG$25:$AG$315,'Калькуляция (МИ корр)'!$F$25:$F$315,$F91,'Калькуляция (МИ корр)'!$G$25:$G$315,$G91))</f>
        <v>0</v>
      </c>
      <c r="AH91" s="760"/>
      <c r="AI91" s="1210"/>
      <c r="AJ91" s="1210"/>
      <c r="AK91" s="1210"/>
      <c r="AL91" s="899" t="s">
        <v>1318</v>
      </c>
      <c r="AM91" s="1210"/>
      <c r="AN91" s="1210"/>
      <c r="AO91" s="1210"/>
      <c r="AP91" s="1210"/>
      <c r="AQ91" s="1210"/>
    </row>
    <row r="92" spans="1:43" s="1327" customFormat="1" ht="21.75" customHeight="1">
      <c r="A92" s="1210"/>
      <c r="B92" s="1104"/>
      <c r="C92" s="1210"/>
      <c r="D92" s="1210"/>
      <c r="E92" s="535">
        <v>22.5</v>
      </c>
      <c r="F92" s="3" t="str" cm="1">
        <f t="array" aca="1" ref="F92" ca="1">OFFSET(E92,-1,1)</f>
        <v>1</v>
      </c>
      <c r="G92" s="26" t="s">
        <v>1319</v>
      </c>
      <c r="H92" s="4"/>
      <c r="I92" s="409" t="s">
        <v>1320</v>
      </c>
      <c r="J92" s="1210"/>
      <c r="K92" s="43"/>
      <c r="L92" s="43"/>
      <c r="M92" s="43"/>
      <c r="N92" s="1210"/>
      <c r="O92" s="1210"/>
      <c r="P92" s="1210"/>
      <c r="Q92" s="1210"/>
      <c r="R92" s="1210"/>
      <c r="S92" s="1314"/>
      <c r="T92" s="381" t="b" cm="1">
        <f t="array" ref="T92">T91</f>
        <v>1</v>
      </c>
      <c r="U92" s="1210"/>
      <c r="V92" s="1210"/>
      <c r="W92" s="1210"/>
      <c r="X92" s="1755"/>
      <c r="Y92" s="1210"/>
      <c r="Z92" s="1735"/>
      <c r="AA92" s="1210"/>
      <c r="AB92" s="698" t="s">
        <v>1321</v>
      </c>
      <c r="AC92" s="695" t="s">
        <v>1322</v>
      </c>
      <c r="AD92" s="840"/>
      <c r="AE92" s="680" t="s">
        <v>766</v>
      </c>
      <c r="AF92" s="214"/>
      <c r="AG92" s="214">
        <f ca="1">IF(AND(method_reg="Метод индексации",first_year=god),SUMIFS('Калькуляция (МИ)'!$AG$25:$AG$315,'Калькуляция (МИ)'!$F$25:$F$315,$F92,'Калькуляция (МИ)'!$G$25:$G$315,$G92),SUMIFS('Калькуляция (МИ корр)'!$AG$25:$AG$315,'Калькуляция (МИ корр)'!$F$25:$F$315,$F92,'Калькуляция (МИ корр)'!$G$25:$G$315,$G92))</f>
        <v>0</v>
      </c>
      <c r="AH92" s="760"/>
      <c r="AI92" s="1210"/>
      <c r="AJ92" s="1210"/>
      <c r="AK92" s="1210"/>
      <c r="AL92" s="899" t="s">
        <v>1323</v>
      </c>
      <c r="AM92" s="1210"/>
      <c r="AN92" s="1210"/>
      <c r="AO92" s="1210"/>
      <c r="AP92" s="1210"/>
      <c r="AQ92" s="1210"/>
    </row>
    <row r="93" spans="1:43" s="1327" customFormat="1" ht="14.25" customHeight="1">
      <c r="A93" s="1210"/>
      <c r="B93" s="1104"/>
      <c r="C93" s="1210"/>
      <c r="D93" s="1210"/>
      <c r="E93" s="535">
        <v>15</v>
      </c>
      <c r="F93" s="3" t="str" cm="1">
        <f t="array" aca="1" ref="F93" ca="1">OFFSET(E93,-1,1)</f>
        <v>1</v>
      </c>
      <c r="G93" s="26" t="s">
        <v>1324</v>
      </c>
      <c r="H93" s="4"/>
      <c r="I93" s="409" t="s">
        <v>1325</v>
      </c>
      <c r="J93" s="1210"/>
      <c r="K93" s="43"/>
      <c r="L93" s="43"/>
      <c r="M93" s="43"/>
      <c r="N93" s="1210"/>
      <c r="O93" s="1210"/>
      <c r="P93" s="1210"/>
      <c r="Q93" s="1210"/>
      <c r="R93" s="1210"/>
      <c r="S93" s="1314"/>
      <c r="T93" s="381" t="b" cm="1">
        <f t="array" ref="T93">T92</f>
        <v>1</v>
      </c>
      <c r="U93" s="1210"/>
      <c r="V93" s="1210"/>
      <c r="W93" s="1210"/>
      <c r="X93" s="1755"/>
      <c r="Y93" s="1210"/>
      <c r="Z93" s="1735"/>
      <c r="AA93" s="1210"/>
      <c r="AB93" s="698" t="s">
        <v>1326</v>
      </c>
      <c r="AC93" s="695" t="s">
        <v>1327</v>
      </c>
      <c r="AD93" s="840"/>
      <c r="AE93" s="680" t="s">
        <v>766</v>
      </c>
      <c r="AF93" s="214"/>
      <c r="AG93" s="214">
        <f ca="1">IF(AND(method_reg="Метод индексации",first_year=god),SUMIFS('Калькуляция (МИ)'!$AG$25:$AG$315,'Калькуляция (МИ)'!$F$25:$F$315,$F93,'Калькуляция (МИ)'!$G$25:$G$315,$G93),SUMIFS('Калькуляция (МИ корр)'!$AG$25:$AG$315,'Калькуляция (МИ корр)'!$F$25:$F$315,$F93,'Калькуляция (МИ корр)'!$G$25:$G$315,$G93))</f>
        <v>0</v>
      </c>
      <c r="AH93" s="760"/>
      <c r="AI93" s="1210"/>
      <c r="AJ93" s="1210"/>
      <c r="AK93" s="1210"/>
      <c r="AL93" s="899" t="s">
        <v>1328</v>
      </c>
      <c r="AM93" s="1210"/>
      <c r="AN93" s="1210"/>
      <c r="AO93" s="1210"/>
      <c r="AP93" s="1210"/>
      <c r="AQ93" s="1210"/>
    </row>
    <row r="94" spans="1:43" s="1327" customFormat="1" ht="21.75" customHeight="1">
      <c r="A94" s="1210"/>
      <c r="B94" s="1104"/>
      <c r="C94" s="1210"/>
      <c r="D94" s="1210"/>
      <c r="E94" s="535">
        <v>22.5</v>
      </c>
      <c r="F94" s="3" t="str" cm="1">
        <f t="array" aca="1" ref="F94" ca="1">OFFSET(E94,-1,1)</f>
        <v>1</v>
      </c>
      <c r="G94" s="26" t="s">
        <v>1329</v>
      </c>
      <c r="H94" s="4"/>
      <c r="I94" s="409" t="s">
        <v>1330</v>
      </c>
      <c r="J94" s="1210"/>
      <c r="K94" s="43"/>
      <c r="L94" s="43"/>
      <c r="M94" s="43"/>
      <c r="N94" s="1210"/>
      <c r="O94" s="1210"/>
      <c r="P94" s="1210"/>
      <c r="Q94" s="1210"/>
      <c r="R94" s="1210"/>
      <c r="S94" s="1314"/>
      <c r="T94" s="381" t="b" cm="1">
        <f t="array" ref="T94">T93</f>
        <v>1</v>
      </c>
      <c r="U94" s="1210"/>
      <c r="V94" s="1210"/>
      <c r="W94" s="1210"/>
      <c r="X94" s="1755"/>
      <c r="Y94" s="1210"/>
      <c r="Z94" s="1735"/>
      <c r="AA94" s="1210"/>
      <c r="AB94" s="698" t="s">
        <v>1331</v>
      </c>
      <c r="AC94" s="695" t="s">
        <v>1332</v>
      </c>
      <c r="AD94" s="840"/>
      <c r="AE94" s="680" t="s">
        <v>766</v>
      </c>
      <c r="AF94" s="214"/>
      <c r="AG94" s="214">
        <f ca="1">IF(AND(method_reg="Метод индексации",first_year=god),SUMIFS('Калькуляция (МИ)'!$AG$25:$AG$315,'Калькуляция (МИ)'!$F$25:$F$315,$F94,'Калькуляция (МИ)'!$G$25:$G$315,$G94),SUMIFS('Калькуляция (МИ корр)'!$AG$25:$AG$315,'Калькуляция (МИ корр)'!$F$25:$F$315,$F94,'Калькуляция (МИ корр)'!$G$25:$G$315,$G94))</f>
        <v>0</v>
      </c>
      <c r="AH94" s="760"/>
      <c r="AI94" s="1210"/>
      <c r="AJ94" s="1210"/>
      <c r="AK94" s="1210"/>
      <c r="AL94" s="899" t="s">
        <v>1333</v>
      </c>
      <c r="AM94" s="1210"/>
      <c r="AN94" s="1210"/>
      <c r="AO94" s="1210"/>
      <c r="AP94" s="1210"/>
      <c r="AQ94" s="1210"/>
    </row>
    <row r="95" spans="1:43" s="1327" customFormat="1" ht="14.25" customHeight="1">
      <c r="A95" s="1210"/>
      <c r="B95" s="1104"/>
      <c r="C95" s="1210"/>
      <c r="D95" s="1210"/>
      <c r="E95" s="535">
        <v>15</v>
      </c>
      <c r="F95" s="3" t="str" cm="1">
        <f t="array" aca="1" ref="F95" ca="1">OFFSET(E95,-1,1)</f>
        <v>1</v>
      </c>
      <c r="G95" s="343"/>
      <c r="H95" s="4"/>
      <c r="I95" s="343" t="s">
        <v>1193</v>
      </c>
      <c r="J95" s="1210"/>
      <c r="K95" s="43"/>
      <c r="L95" s="43"/>
      <c r="M95" s="43"/>
      <c r="N95" s="1210"/>
      <c r="O95" s="1210"/>
      <c r="P95" s="1210"/>
      <c r="Q95" s="1210"/>
      <c r="R95" s="1210"/>
      <c r="S95" s="1314"/>
      <c r="T95" s="381" t="b" cm="1">
        <f t="array" ref="T95">T94</f>
        <v>1</v>
      </c>
      <c r="U95" s="1210"/>
      <c r="V95" s="1210"/>
      <c r="W95" s="1210"/>
      <c r="X95" s="1755"/>
      <c r="Y95" s="1210"/>
      <c r="Z95" s="1735"/>
      <c r="AA95" s="1210"/>
      <c r="AB95" s="215" t="s">
        <v>510</v>
      </c>
      <c r="AC95" s="676" t="s">
        <v>1334</v>
      </c>
      <c r="AD95" s="216" t="s">
        <v>1335</v>
      </c>
      <c r="AE95" s="680" t="s">
        <v>766</v>
      </c>
      <c r="AF95" s="214">
        <f>AF96*AF97*AF98</f>
        <v>0</v>
      </c>
      <c r="AG95" s="214">
        <f ca="1">AG96*AG97*AG98</f>
        <v>0</v>
      </c>
      <c r="AH95" s="760"/>
      <c r="AI95" s="1210"/>
      <c r="AJ95" s="1210"/>
      <c r="AK95" s="1210"/>
      <c r="AL95" s="899" t="s">
        <v>1336</v>
      </c>
      <c r="AM95" s="1210"/>
      <c r="AN95" s="1210"/>
      <c r="AO95" s="1210"/>
      <c r="AP95" s="1210"/>
      <c r="AQ95" s="1210"/>
    </row>
    <row r="96" spans="1:43" s="1327" customFormat="1" ht="21.75" customHeight="1">
      <c r="A96" s="1210"/>
      <c r="B96" s="1104"/>
      <c r="C96" s="1210"/>
      <c r="D96" s="1210"/>
      <c r="E96" s="535">
        <v>22.5</v>
      </c>
      <c r="F96" s="3" t="str" cm="1">
        <f t="array" aca="1" ref="F96" ca="1">OFFSET(E96,-1,1)</f>
        <v>1</v>
      </c>
      <c r="G96" s="343"/>
      <c r="H96" s="4"/>
      <c r="I96" s="343" t="s">
        <v>1337</v>
      </c>
      <c r="J96" s="1210"/>
      <c r="K96" s="43"/>
      <c r="L96" s="43"/>
      <c r="M96" s="43"/>
      <c r="N96" s="1210"/>
      <c r="O96" s="1210"/>
      <c r="P96" s="1210"/>
      <c r="Q96" s="1210"/>
      <c r="R96" s="1210"/>
      <c r="S96" s="1314"/>
      <c r="T96" s="381" t="b" cm="1">
        <f t="array" ref="T96">T95</f>
        <v>1</v>
      </c>
      <c r="U96" s="1210"/>
      <c r="V96" s="1210"/>
      <c r="W96" s="1210"/>
      <c r="X96" s="1755"/>
      <c r="Y96" s="1210"/>
      <c r="Z96" s="1735"/>
      <c r="AA96" s="1210"/>
      <c r="AB96" s="215" t="s">
        <v>464</v>
      </c>
      <c r="AC96" s="679" t="s">
        <v>1338</v>
      </c>
      <c r="AD96" s="216" t="s">
        <v>1339</v>
      </c>
      <c r="AE96" s="680" t="s">
        <v>783</v>
      </c>
      <c r="AF96" s="214"/>
      <c r="AG96" s="214">
        <f ca="1">SUMIFS(ЭЭ!AG$25:AG$67,ЭЭ!$F$25:$F$67,$F96,ЭЭ!$AC$25:$AC$67,"Удельный расход электроэнергии")</f>
        <v>0</v>
      </c>
      <c r="AH96" s="760"/>
      <c r="AI96" s="1210"/>
      <c r="AJ96" s="1210"/>
      <c r="AK96" s="1210"/>
      <c r="AL96" s="899" t="s">
        <v>1340</v>
      </c>
      <c r="AM96" s="1210"/>
      <c r="AN96" s="1210"/>
      <c r="AO96" s="1210"/>
      <c r="AP96" s="1210"/>
      <c r="AQ96" s="1210"/>
    </row>
    <row r="97" spans="1:43" s="1327" customFormat="1" ht="14.25" customHeight="1">
      <c r="A97" s="1210"/>
      <c r="B97" s="1104"/>
      <c r="C97" s="1210"/>
      <c r="D97" s="1210"/>
      <c r="E97" s="535">
        <v>15</v>
      </c>
      <c r="F97" s="3" t="str" cm="1">
        <f t="array" aca="1" ref="F97" ca="1">OFFSET(E97,-1,1)</f>
        <v>1</v>
      </c>
      <c r="G97" s="343"/>
      <c r="H97" s="4"/>
      <c r="I97" s="343" t="s">
        <v>1341</v>
      </c>
      <c r="J97" s="1210"/>
      <c r="K97" s="43"/>
      <c r="L97" s="43"/>
      <c r="M97" s="43"/>
      <c r="N97" s="1210"/>
      <c r="O97" s="1210"/>
      <c r="P97" s="1210"/>
      <c r="Q97" s="1210"/>
      <c r="R97" s="1210"/>
      <c r="S97" s="1314"/>
      <c r="T97" s="381" t="b" cm="1">
        <f t="array" ref="T97">T96</f>
        <v>1</v>
      </c>
      <c r="U97" s="1210"/>
      <c r="V97" s="1210"/>
      <c r="W97" s="1210"/>
      <c r="X97" s="1755"/>
      <c r="Y97" s="1210"/>
      <c r="Z97" s="1735"/>
      <c r="AA97" s="1210"/>
      <c r="AB97" s="215" t="s">
        <v>1342</v>
      </c>
      <c r="AC97" s="679" t="s">
        <v>1343</v>
      </c>
      <c r="AD97" s="216" t="s">
        <v>1344</v>
      </c>
      <c r="AE97" s="680" t="s">
        <v>777</v>
      </c>
      <c r="AF97" s="214"/>
      <c r="AG97" s="214">
        <f ca="1">SUMIFS(ЭЭ!AG$25:AG$67,ЭЭ!$F$25:$F$67,$F96,ЭЭ!$AC$25:$AC$67,"Объём воды/сточных вод")</f>
        <v>0</v>
      </c>
      <c r="AH97" s="760"/>
      <c r="AI97" s="1210"/>
      <c r="AJ97" s="1210"/>
      <c r="AK97" s="1210"/>
      <c r="AL97" s="899" t="s">
        <v>1345</v>
      </c>
      <c r="AM97" s="1210"/>
      <c r="AN97" s="1210"/>
      <c r="AO97" s="1210"/>
      <c r="AP97" s="1210"/>
      <c r="AQ97" s="1210"/>
    </row>
    <row r="98" spans="1:43" s="1327" customFormat="1" ht="21.75" customHeight="1">
      <c r="A98" s="1210"/>
      <c r="B98" s="1104"/>
      <c r="C98" s="1210"/>
      <c r="D98" s="1210"/>
      <c r="E98" s="535">
        <v>22.5</v>
      </c>
      <c r="F98" s="3" t="str" cm="1">
        <f t="array" aca="1" ref="F98" ca="1">OFFSET(E98,-1,1)</f>
        <v>1</v>
      </c>
      <c r="G98" s="343"/>
      <c r="H98" s="4"/>
      <c r="I98" s="343" t="s">
        <v>1346</v>
      </c>
      <c r="J98" s="1210"/>
      <c r="K98" s="43"/>
      <c r="L98" s="43"/>
      <c r="M98" s="43"/>
      <c r="N98" s="1210"/>
      <c r="O98" s="1210"/>
      <c r="P98" s="1210"/>
      <c r="Q98" s="1210"/>
      <c r="R98" s="1210"/>
      <c r="S98" s="1314"/>
      <c r="T98" s="381" t="b" cm="1">
        <f t="array" ref="T98">T97</f>
        <v>1</v>
      </c>
      <c r="U98" s="1210"/>
      <c r="V98" s="1210"/>
      <c r="W98" s="1210"/>
      <c r="X98" s="1755"/>
      <c r="Y98" s="1210"/>
      <c r="Z98" s="1735"/>
      <c r="AA98" s="1210"/>
      <c r="AB98" s="215" t="s">
        <v>1347</v>
      </c>
      <c r="AC98" s="679" t="s">
        <v>1348</v>
      </c>
      <c r="AD98" s="216" t="s">
        <v>1349</v>
      </c>
      <c r="AE98" s="680" t="s">
        <v>780</v>
      </c>
      <c r="AF98" s="214"/>
      <c r="AG98" s="214">
        <f ca="1">SUMIFS(ЭЭ!AG$25:AG$67,ЭЭ!$F$25:$F$67,$F96,ЭЭ!$AC$25:$AC$67,"Средний (расчетный) тариф")</f>
        <v>0</v>
      </c>
      <c r="AH98" s="760"/>
      <c r="AI98" s="1210"/>
      <c r="AJ98" s="1210"/>
      <c r="AK98" s="1210"/>
      <c r="AL98" s="899" t="s">
        <v>1350</v>
      </c>
      <c r="AM98" s="1210"/>
      <c r="AN98" s="1210"/>
      <c r="AO98" s="1210"/>
      <c r="AP98" s="1210"/>
      <c r="AQ98" s="1210"/>
    </row>
    <row r="99" spans="1:43" s="1327" customFormat="1" ht="21.75" customHeight="1">
      <c r="A99" s="1210"/>
      <c r="B99" s="1104"/>
      <c r="C99" s="1210"/>
      <c r="D99" s="1210"/>
      <c r="E99" s="535">
        <v>22.5</v>
      </c>
      <c r="F99" s="3" t="str" cm="1">
        <f t="array" aca="1" ref="F99" ca="1">OFFSET(E99,-1,1)</f>
        <v>1</v>
      </c>
      <c r="G99" s="343" t="s">
        <v>1351</v>
      </c>
      <c r="H99" s="4"/>
      <c r="I99" s="343" t="s">
        <v>1352</v>
      </c>
      <c r="J99" s="1210"/>
      <c r="K99" s="43"/>
      <c r="L99" s="43"/>
      <c r="M99" s="43"/>
      <c r="N99" s="1210"/>
      <c r="O99" s="1210"/>
      <c r="P99" s="1210"/>
      <c r="Q99" s="1210"/>
      <c r="R99" s="1210"/>
      <c r="S99" s="1314"/>
      <c r="T99" s="381" t="b" cm="1">
        <f t="array" ref="T99">T98</f>
        <v>1</v>
      </c>
      <c r="U99" s="1210"/>
      <c r="V99" s="1210"/>
      <c r="W99" s="1210"/>
      <c r="X99" s="1755"/>
      <c r="Y99" s="1210"/>
      <c r="Z99" s="1735"/>
      <c r="AA99" s="1210"/>
      <c r="AB99" s="215" t="s">
        <v>844</v>
      </c>
      <c r="AC99" s="676" t="s">
        <v>1353</v>
      </c>
      <c r="AD99" s="216" t="s">
        <v>1354</v>
      </c>
      <c r="AE99" s="680" t="s">
        <v>766</v>
      </c>
      <c r="AF99" s="214"/>
      <c r="AG99" s="214">
        <f ca="1">IF(AND(method_reg="Метод индексации",first_year=god),SUMIFS('Калькуляция (МИ)'!$AG$25:$AG$315,'Калькуляция (МИ)'!$F$25:$F$315,$F99,'Калькуляция (МИ)'!$G$25:$G$315,$G99),SUMIFS('Калькуляция (МИ корр)'!$AG$25:$AG$315,'Калькуляция (МИ корр)'!$F$25:$F$315,$F99,'Калькуляция (МИ корр)'!$G$25:$G$315,$G99))</f>
        <v>0</v>
      </c>
      <c r="AH99" s="760"/>
      <c r="AI99" s="1210"/>
      <c r="AJ99" s="1210"/>
      <c r="AK99" s="1210"/>
      <c r="AL99" s="899" t="s">
        <v>1096</v>
      </c>
      <c r="AM99" s="1210"/>
      <c r="AN99" s="1210"/>
      <c r="AO99" s="1210"/>
      <c r="AP99" s="1210"/>
      <c r="AQ99" s="1210"/>
    </row>
    <row r="100" spans="1:43" s="1327" customFormat="1" ht="14.25" customHeight="1">
      <c r="A100" s="1210"/>
      <c r="B100" s="1104"/>
      <c r="C100" s="1210"/>
      <c r="D100" s="1210"/>
      <c r="E100" s="535">
        <v>15</v>
      </c>
      <c r="F100" s="3" t="str" cm="1">
        <f t="array" aca="1" ref="F100" ca="1">OFFSET(E100,-1,1)</f>
        <v>1</v>
      </c>
      <c r="G100" s="343" t="s">
        <v>1355</v>
      </c>
      <c r="H100" s="4"/>
      <c r="I100" s="343" t="s">
        <v>1356</v>
      </c>
      <c r="J100" s="1210"/>
      <c r="K100" s="43"/>
      <c r="L100" s="43"/>
      <c r="M100" s="43"/>
      <c r="N100" s="1210"/>
      <c r="O100" s="1210"/>
      <c r="P100" s="1210"/>
      <c r="Q100" s="1210"/>
      <c r="R100" s="1210"/>
      <c r="S100" s="1314"/>
      <c r="T100" s="381" t="b" cm="1">
        <f t="array" ref="T100">T99</f>
        <v>1</v>
      </c>
      <c r="U100" s="1210"/>
      <c r="V100" s="1210"/>
      <c r="W100" s="1210"/>
      <c r="X100" s="1755"/>
      <c r="Y100" s="1210"/>
      <c r="Z100" s="1735"/>
      <c r="AA100" s="1210"/>
      <c r="AB100" s="215" t="s">
        <v>847</v>
      </c>
      <c r="AC100" s="841" t="s">
        <v>1357</v>
      </c>
      <c r="AD100" s="216" t="s">
        <v>1358</v>
      </c>
      <c r="AE100" s="680" t="s">
        <v>766</v>
      </c>
      <c r="AF100" s="214"/>
      <c r="AG100" s="214">
        <f ca="1">IF(AND(method_reg="Метод индексации",first_year=god),SUMIFS('Калькуляция (МИ)'!$AE$25:$AE$315,'Калькуляция (МИ)'!$F$25:$F$315,$F100,'Калькуляция (МИ)'!$G$25:$G$315,"Нормативная прибыль")-SUMIFS('Калькуляция (МИ)'!$AE$25:$AE$315,'Калькуляция (МИ)'!$F$25:$F$315,$F100,'Калькуляция (МИ)'!$G$25:$G$315,"иные экономически обоснованные расходы на социальные нужды")+SUMIFS('Калькуляция (МИ)'!$AG$25:$AG$315,'Калькуляция (МИ)'!$F$25:$F$315,$F100,'Калькуляция (МИ)'!$G$25:$G$315,"иные экономически обоснованные расходы на социальные нужды"),SUMIFS('Калькуляция (МИ корр)'!$AE$25:$AE$315,'Калькуляция (МИ корр)'!$F$25:$F$315,$F100,'Калькуляция (МИ корр)'!$G$25:$G$315,"Нормативная прибыль")-SUMIFS('Калькуляция (МИ корр)'!$AE$25:$AE$315,'Калькуляция (МИ корр)'!$F$25:$F$315,$F100,'Калькуляция (МИ корр)'!$G$25:$G$315,"иные экономически обоснованные расходы на социальные нужды")+SUMIFS('Калькуляция (МИ корр)'!$AG$25:$AG$315,'Калькуляция (МИ корр)'!$F$25:$F$315,$F100,'Калькуляция (МИ корр)'!$G$25:$G$315,"иные экономически обоснованные расходы на социальные нужды"))</f>
        <v>0</v>
      </c>
      <c r="AH100" s="760"/>
      <c r="AI100" s="1210"/>
      <c r="AJ100" s="1210"/>
      <c r="AK100" s="1210"/>
      <c r="AL100" s="899" t="s">
        <v>1359</v>
      </c>
      <c r="AM100" s="1210"/>
      <c r="AN100" s="1210"/>
      <c r="AO100" s="1210"/>
      <c r="AP100" s="1210"/>
      <c r="AQ100" s="1210"/>
    </row>
    <row r="101" spans="1:43" s="1327" customFormat="1" ht="14.25" customHeight="1">
      <c r="A101" s="1210"/>
      <c r="B101" s="1104"/>
      <c r="C101" s="1210"/>
      <c r="D101" s="1210"/>
      <c r="E101" s="535">
        <v>15</v>
      </c>
      <c r="F101" s="3" t="str" cm="1">
        <f t="array" aca="1" ref="F101" ca="1">OFFSET(E101,-1,1)</f>
        <v>1</v>
      </c>
      <c r="G101" s="26" t="s">
        <v>1360</v>
      </c>
      <c r="H101" s="4"/>
      <c r="I101" s="409" t="s">
        <v>1361</v>
      </c>
      <c r="J101" s="1210"/>
      <c r="K101" s="43"/>
      <c r="L101" s="43"/>
      <c r="M101" s="43"/>
      <c r="N101" s="1210"/>
      <c r="O101" s="1210"/>
      <c r="P101" s="1210"/>
      <c r="Q101" s="1210"/>
      <c r="R101" s="1210"/>
      <c r="S101" s="1314"/>
      <c r="T101" s="381" t="b" cm="1">
        <f t="array" ref="T101">T100</f>
        <v>1</v>
      </c>
      <c r="U101" s="1210"/>
      <c r="V101" s="1210"/>
      <c r="W101" s="1210"/>
      <c r="X101" s="1755"/>
      <c r="Y101" s="1210"/>
      <c r="Z101" s="1735"/>
      <c r="AA101" s="1210"/>
      <c r="AB101" s="215" t="s">
        <v>1362</v>
      </c>
      <c r="AC101" s="676" t="s">
        <v>1363</v>
      </c>
      <c r="AD101" s="216" t="s">
        <v>1364</v>
      </c>
      <c r="AE101" s="680" t="s">
        <v>766</v>
      </c>
      <c r="AF101" s="214"/>
      <c r="AG101" s="214">
        <f ca="1">IF(AND(method_reg="Метод индексации",first_year=god),SUMIFS('Калькуляция (МИ)'!$AG$25:$AG$315,'Калькуляция (МИ)'!$F$25:$F$315,$F101,'Калькуляция (МИ)'!$G$25:$G$315,$G101),SUMIFS('Калькуляция (МИ корр)'!$AG$25:$AG$315,'Калькуляция (МИ корр)'!$F$25:$F$315,$F101,'Калькуляция (МИ корр)'!$G$25:$G$315,$G101))</f>
        <v>0</v>
      </c>
      <c r="AH101" s="760"/>
      <c r="AI101" s="1210"/>
      <c r="AJ101" s="1210"/>
      <c r="AK101" s="1210"/>
      <c r="AL101" s="899" t="s">
        <v>1365</v>
      </c>
      <c r="AM101" s="1210"/>
      <c r="AN101" s="1210"/>
      <c r="AO101" s="1210"/>
      <c r="AP101" s="1210"/>
      <c r="AQ101" s="1210"/>
    </row>
    <row r="102" spans="1:43" s="1327" customFormat="1" ht="21.75" customHeight="1">
      <c r="A102" s="1210"/>
      <c r="B102" s="1104"/>
      <c r="C102" s="1210"/>
      <c r="D102" s="1210"/>
      <c r="E102" s="535">
        <v>22.5</v>
      </c>
      <c r="F102" s="3" t="str" cm="1">
        <f t="array" aca="1" ref="F102" ca="1">OFFSET(E102,-1,1)</f>
        <v>1</v>
      </c>
      <c r="G102" s="26"/>
      <c r="H102" s="4"/>
      <c r="I102" s="343" t="s">
        <v>1366</v>
      </c>
      <c r="J102" s="1210"/>
      <c r="K102" s="43"/>
      <c r="L102" s="43"/>
      <c r="M102" s="43"/>
      <c r="N102" s="1210"/>
      <c r="O102" s="1210"/>
      <c r="P102" s="1210"/>
      <c r="Q102" s="1210"/>
      <c r="R102" s="1210"/>
      <c r="S102" s="1314"/>
      <c r="T102" s="381" t="b" cm="1">
        <f t="array" ref="T102">T101</f>
        <v>1</v>
      </c>
      <c r="U102" s="1210"/>
      <c r="V102" s="1210"/>
      <c r="W102" s="1210"/>
      <c r="X102" s="1755"/>
      <c r="Y102" s="1210"/>
      <c r="Z102" s="1735"/>
      <c r="AA102" s="1210"/>
      <c r="AB102" s="215" t="s">
        <v>1367</v>
      </c>
      <c r="AC102" s="676" t="s">
        <v>1368</v>
      </c>
      <c r="AD102" s="216"/>
      <c r="AE102" s="680" t="s">
        <v>766</v>
      </c>
      <c r="AF102" s="214">
        <f>AF103+AF104+AF105</f>
        <v>0</v>
      </c>
      <c r="AG102" s="214">
        <f>AG103+AG104+AG105</f>
        <v>0</v>
      </c>
      <c r="AH102" s="760"/>
      <c r="AI102" s="1210"/>
      <c r="AJ102" s="1210"/>
      <c r="AK102" s="1210"/>
      <c r="AL102" s="899" t="s">
        <v>1369</v>
      </c>
      <c r="AM102" s="1210"/>
      <c r="AN102" s="1210"/>
      <c r="AO102" s="1210"/>
      <c r="AP102" s="1210"/>
      <c r="AQ102" s="1210"/>
    </row>
    <row r="103" spans="1:43" s="1327" customFormat="1" ht="21.75" customHeight="1">
      <c r="A103" s="1210"/>
      <c r="B103" s="1104"/>
      <c r="C103" s="1210"/>
      <c r="D103" s="1210"/>
      <c r="E103" s="535">
        <v>22.5</v>
      </c>
      <c r="F103" s="3" t="str" cm="1">
        <f t="array" aca="1" ref="F103" ca="1">OFFSET(E103,-1,1)</f>
        <v>1</v>
      </c>
      <c r="G103" s="343"/>
      <c r="H103" s="4"/>
      <c r="I103" s="343" t="s">
        <v>1370</v>
      </c>
      <c r="J103" s="1210"/>
      <c r="K103" s="43"/>
      <c r="L103" s="43"/>
      <c r="M103" s="43"/>
      <c r="N103" s="1210"/>
      <c r="O103" s="1210"/>
      <c r="P103" s="1210"/>
      <c r="Q103" s="1210"/>
      <c r="R103" s="1210"/>
      <c r="S103" s="1314"/>
      <c r="T103" s="381" t="b" cm="1">
        <f t="array" ref="T103">T102</f>
        <v>1</v>
      </c>
      <c r="U103" s="1210"/>
      <c r="V103" s="1210"/>
      <c r="W103" s="1210"/>
      <c r="X103" s="1755"/>
      <c r="Y103" s="1210"/>
      <c r="Z103" s="1735"/>
      <c r="AA103" s="1210"/>
      <c r="AB103" s="215" t="s">
        <v>1371</v>
      </c>
      <c r="AC103" s="679" t="s">
        <v>1372</v>
      </c>
      <c r="AD103" s="216" t="s">
        <v>1373</v>
      </c>
      <c r="AE103" s="680" t="s">
        <v>766</v>
      </c>
      <c r="AF103" s="214"/>
      <c r="AG103" s="214"/>
      <c r="AH103" s="760"/>
      <c r="AI103" s="1210"/>
      <c r="AJ103" s="1210"/>
      <c r="AK103" s="1210"/>
      <c r="AL103" s="899" t="s">
        <v>1374</v>
      </c>
      <c r="AM103" s="1210"/>
      <c r="AN103" s="1210"/>
      <c r="AO103" s="1210"/>
      <c r="AP103" s="1210"/>
      <c r="AQ103" s="1210"/>
    </row>
    <row r="104" spans="1:43" s="1327" customFormat="1" ht="14.25" customHeight="1">
      <c r="A104" s="1210"/>
      <c r="B104" s="1104"/>
      <c r="C104" s="1210"/>
      <c r="D104" s="1210"/>
      <c r="E104" s="535">
        <v>15</v>
      </c>
      <c r="F104" s="3" t="str" cm="1">
        <f t="array" aca="1" ref="F104" ca="1">OFFSET(E104,-1,1)</f>
        <v>1</v>
      </c>
      <c r="G104" s="343"/>
      <c r="H104" s="4"/>
      <c r="I104" s="343" t="s">
        <v>1375</v>
      </c>
      <c r="J104" s="1210"/>
      <c r="K104" s="43"/>
      <c r="L104" s="43"/>
      <c r="M104" s="43"/>
      <c r="N104" s="1210"/>
      <c r="O104" s="1210"/>
      <c r="P104" s="1210"/>
      <c r="Q104" s="1210"/>
      <c r="R104" s="1210"/>
      <c r="S104" s="1314"/>
      <c r="T104" s="381" t="b" cm="1">
        <f t="array" ref="T104">T103</f>
        <v>1</v>
      </c>
      <c r="U104" s="1210"/>
      <c r="V104" s="1210"/>
      <c r="W104" s="1210"/>
      <c r="X104" s="1755"/>
      <c r="Y104" s="1210"/>
      <c r="Z104" s="1735"/>
      <c r="AA104" s="1210"/>
      <c r="AB104" s="215" t="s">
        <v>1376</v>
      </c>
      <c r="AC104" s="679" t="s">
        <v>1377</v>
      </c>
      <c r="AD104" s="216" t="s">
        <v>1378</v>
      </c>
      <c r="AE104" s="680" t="s">
        <v>766</v>
      </c>
      <c r="AF104" s="214"/>
      <c r="AG104" s="214"/>
      <c r="AH104" s="760"/>
      <c r="AI104" s="1210"/>
      <c r="AJ104" s="1210"/>
      <c r="AK104" s="1210"/>
      <c r="AL104" s="899" t="s">
        <v>1379</v>
      </c>
      <c r="AM104" s="1210"/>
      <c r="AN104" s="1210"/>
      <c r="AO104" s="1210"/>
      <c r="AP104" s="1210"/>
      <c r="AQ104" s="1210"/>
    </row>
    <row r="105" spans="1:43" s="1327" customFormat="1" ht="43.5" customHeight="1">
      <c r="A105" s="1210"/>
      <c r="B105" s="1104"/>
      <c r="C105" s="1210"/>
      <c r="D105" s="1210"/>
      <c r="E105" s="535">
        <v>45</v>
      </c>
      <c r="F105" s="3" t="str" cm="1">
        <f t="array" aca="1" ref="F105" ca="1">OFFSET(E105,-1,1)</f>
        <v>1</v>
      </c>
      <c r="G105" s="343"/>
      <c r="H105" s="4"/>
      <c r="I105" s="343" t="s">
        <v>1380</v>
      </c>
      <c r="J105" s="1210"/>
      <c r="K105" s="43"/>
      <c r="L105" s="43"/>
      <c r="M105" s="43"/>
      <c r="N105" s="1210"/>
      <c r="O105" s="1210"/>
      <c r="P105" s="1210"/>
      <c r="Q105" s="1210"/>
      <c r="R105" s="1210"/>
      <c r="S105" s="1314"/>
      <c r="T105" s="381" t="b" cm="1">
        <f t="array" ref="T105">T104</f>
        <v>1</v>
      </c>
      <c r="U105" s="1210"/>
      <c r="V105" s="1210"/>
      <c r="W105" s="1210"/>
      <c r="X105" s="1755"/>
      <c r="Y105" s="1210"/>
      <c r="Z105" s="1735"/>
      <c r="AA105" s="1210"/>
      <c r="AB105" s="215" t="s">
        <v>1381</v>
      </c>
      <c r="AC105" s="679" t="s">
        <v>1382</v>
      </c>
      <c r="AD105" s="680" t="s">
        <v>1383</v>
      </c>
      <c r="AE105" s="680" t="s">
        <v>766</v>
      </c>
      <c r="AF105" s="214"/>
      <c r="AG105" s="214"/>
      <c r="AH105" s="760"/>
      <c r="AI105" s="1210"/>
      <c r="AJ105" s="1210"/>
      <c r="AK105" s="1210"/>
      <c r="AL105" s="899" t="s">
        <v>1384</v>
      </c>
      <c r="AM105" s="1210"/>
      <c r="AN105" s="1210"/>
      <c r="AO105" s="1210"/>
      <c r="AP105" s="1210"/>
      <c r="AQ105" s="1210"/>
    </row>
    <row r="106" spans="1:43" s="1327" customFormat="1" ht="21.75" customHeight="1">
      <c r="A106" s="1210"/>
      <c r="B106" s="1104"/>
      <c r="C106" s="1210"/>
      <c r="D106" s="1210"/>
      <c r="E106" s="535">
        <v>22.5</v>
      </c>
      <c r="F106" s="3" t="str" cm="1">
        <f t="array" aca="1" ref="F106" ca="1">OFFSET(E106,-1,1)</f>
        <v>1</v>
      </c>
      <c r="G106" s="343"/>
      <c r="H106" s="4"/>
      <c r="I106" s="343" t="s">
        <v>1385</v>
      </c>
      <c r="J106" s="1210"/>
      <c r="K106" s="43"/>
      <c r="L106" s="43"/>
      <c r="M106" s="43"/>
      <c r="N106" s="1210"/>
      <c r="O106" s="1210"/>
      <c r="P106" s="1210"/>
      <c r="Q106" s="1210"/>
      <c r="R106" s="1210"/>
      <c r="S106" s="1314"/>
      <c r="T106" s="381" t="b" cm="1">
        <f t="array" ref="T106">T105</f>
        <v>1</v>
      </c>
      <c r="U106" s="1210"/>
      <c r="V106" s="1210"/>
      <c r="W106" s="1210"/>
      <c r="X106" s="1755"/>
      <c r="Y106" s="1210"/>
      <c r="Z106" s="1735"/>
      <c r="AA106" s="1210"/>
      <c r="AB106" s="215" t="s">
        <v>1386</v>
      </c>
      <c r="AC106" s="676" t="s">
        <v>1387</v>
      </c>
      <c r="AD106" s="680" t="s">
        <v>1388</v>
      </c>
      <c r="AE106" s="680" t="s">
        <v>766</v>
      </c>
      <c r="AF106" s="214"/>
      <c r="AG106" s="214"/>
      <c r="AH106" s="760"/>
      <c r="AI106" s="1210"/>
      <c r="AJ106" s="1210"/>
      <c r="AK106" s="1210"/>
      <c r="AL106" s="899" t="s">
        <v>1389</v>
      </c>
      <c r="AM106" s="1210"/>
      <c r="AN106" s="1210"/>
      <c r="AO106" s="1210"/>
      <c r="AP106" s="1210"/>
      <c r="AQ106" s="1210"/>
    </row>
    <row r="107" spans="1:43" s="1327" customFormat="1" ht="76.5" hidden="1" customHeight="1">
      <c r="A107" s="1210"/>
      <c r="B107" s="345" t="b">
        <f>S78="Водоотведение"</f>
        <v>0</v>
      </c>
      <c r="C107" s="1210"/>
      <c r="D107" s="1210"/>
      <c r="E107" s="535">
        <v>78.75</v>
      </c>
      <c r="F107" s="3" t="str" cm="1">
        <f t="array" aca="1" ref="F107" ca="1">OFFSET(E107,-1,1)</f>
        <v>1</v>
      </c>
      <c r="G107" s="343"/>
      <c r="H107" s="4"/>
      <c r="I107" s="343"/>
      <c r="J107" s="1210"/>
      <c r="K107" s="43"/>
      <c r="L107" s="43"/>
      <c r="M107" s="43"/>
      <c r="N107" s="1210"/>
      <c r="O107" s="1210"/>
      <c r="P107" s="1210"/>
      <c r="Q107" s="1210"/>
      <c r="R107" s="1210"/>
      <c r="S107" s="1314"/>
      <c r="T107" s="381" t="b" cm="1">
        <f t="array" ref="T107">T106</f>
        <v>1</v>
      </c>
      <c r="U107" s="1210"/>
      <c r="V107" s="1210"/>
      <c r="W107" s="1210"/>
      <c r="X107" s="1755"/>
      <c r="Y107" s="1210"/>
      <c r="Z107" s="1735"/>
      <c r="AA107" s="1210"/>
      <c r="AB107" s="215" t="s">
        <v>1390</v>
      </c>
      <c r="AC107" s="676" t="s">
        <v>1391</v>
      </c>
      <c r="AD107" s="680"/>
      <c r="AE107" s="680" t="s">
        <v>766</v>
      </c>
      <c r="AF107" s="1399"/>
      <c r="AG107" s="1399"/>
      <c r="AH107" s="1358"/>
      <c r="AI107" s="1210"/>
      <c r="AJ107" s="1210"/>
      <c r="AK107" s="1210"/>
      <c r="AL107" s="899" t="s">
        <v>1392</v>
      </c>
      <c r="AM107" s="1210"/>
      <c r="AN107" s="1210"/>
      <c r="AO107" s="1210"/>
      <c r="AP107" s="1210"/>
      <c r="AQ107" s="1210"/>
    </row>
    <row r="108" spans="1:43" s="1327" customFormat="1" ht="54.75" hidden="1" customHeight="1">
      <c r="A108" s="1210"/>
      <c r="B108" s="345" t="b" cm="1">
        <f t="array" ref="B108">B107</f>
        <v>0</v>
      </c>
      <c r="C108" s="1210"/>
      <c r="D108" s="1210"/>
      <c r="E108" s="535">
        <v>56.25</v>
      </c>
      <c r="F108" s="3" t="str" cm="1">
        <f t="array" aca="1" ref="F108" ca="1">OFFSET(E108,-1,1)</f>
        <v>1</v>
      </c>
      <c r="G108" s="343"/>
      <c r="H108" s="4"/>
      <c r="I108" s="343"/>
      <c r="J108" s="1210"/>
      <c r="K108" s="43"/>
      <c r="L108" s="43"/>
      <c r="M108" s="43"/>
      <c r="N108" s="1210"/>
      <c r="O108" s="1210"/>
      <c r="P108" s="1210"/>
      <c r="Q108" s="1210"/>
      <c r="R108" s="1210"/>
      <c r="S108" s="1314"/>
      <c r="T108" s="381" t="b" cm="1">
        <f t="array" ref="T108">T107</f>
        <v>1</v>
      </c>
      <c r="U108" s="1210"/>
      <c r="V108" s="1210"/>
      <c r="W108" s="1210"/>
      <c r="X108" s="1755"/>
      <c r="Y108" s="1210"/>
      <c r="Z108" s="1735"/>
      <c r="AA108" s="1210"/>
      <c r="AB108" s="215" t="s">
        <v>1393</v>
      </c>
      <c r="AC108" s="676" t="s">
        <v>1394</v>
      </c>
      <c r="AD108" s="680"/>
      <c r="AE108" s="680" t="s">
        <v>766</v>
      </c>
      <c r="AF108" s="1399"/>
      <c r="AG108" s="1399"/>
      <c r="AH108" s="1358"/>
      <c r="AI108" s="1210"/>
      <c r="AJ108" s="1210"/>
      <c r="AK108" s="1210"/>
      <c r="AL108" s="899" t="s">
        <v>1220</v>
      </c>
      <c r="AM108" s="1210"/>
      <c r="AN108" s="1210"/>
      <c r="AO108" s="1210"/>
      <c r="AP108" s="1210"/>
      <c r="AQ108" s="1210"/>
    </row>
    <row r="109" spans="1:43" s="1327" customFormat="1" ht="14.25" customHeight="1">
      <c r="A109" s="1210"/>
      <c r="B109" s="1104"/>
      <c r="C109" s="1210"/>
      <c r="D109" s="1210"/>
      <c r="E109" s="535">
        <v>15</v>
      </c>
      <c r="F109" s="3" t="str" cm="1">
        <f t="array" aca="1" ref="F109" ca="1">OFFSET(E109,-1,1)</f>
        <v>1</v>
      </c>
      <c r="G109" s="343"/>
      <c r="H109" s="4"/>
      <c r="I109" s="343"/>
      <c r="J109" s="1210"/>
      <c r="K109" s="43"/>
      <c r="L109" s="43"/>
      <c r="M109" s="43"/>
      <c r="N109" s="1210"/>
      <c r="O109" s="1210"/>
      <c r="P109" s="1210"/>
      <c r="Q109" s="1210"/>
      <c r="R109" s="1210"/>
      <c r="S109" s="1314"/>
      <c r="T109" s="381" t="b" cm="1">
        <f t="array" ref="T109">T108</f>
        <v>1</v>
      </c>
      <c r="U109" s="1210"/>
      <c r="V109" s="1210"/>
      <c r="W109" s="1210"/>
      <c r="X109" s="1755"/>
      <c r="Y109" s="1210"/>
      <c r="Z109" s="1735"/>
      <c r="AA109" s="1210"/>
      <c r="AB109" s="216" t="str">
        <f>IF(B108,"2.12","2.10")</f>
        <v>2.10</v>
      </c>
      <c r="AC109" s="676" t="s">
        <v>1395</v>
      </c>
      <c r="AD109" s="680" t="s">
        <v>1396</v>
      </c>
      <c r="AE109" s="680" t="s">
        <v>766</v>
      </c>
      <c r="AF109" s="214">
        <f>AF110+AF111</f>
        <v>0</v>
      </c>
      <c r="AG109" s="214">
        <f>AG110+AG111</f>
        <v>0</v>
      </c>
      <c r="AH109" s="760"/>
      <c r="AI109" s="1210"/>
      <c r="AJ109" s="1210"/>
      <c r="AK109" s="1210"/>
      <c r="AL109" s="899" t="s">
        <v>1397</v>
      </c>
      <c r="AM109" s="1210"/>
      <c r="AN109" s="1210"/>
      <c r="AO109" s="1210"/>
      <c r="AP109" s="1210"/>
      <c r="AQ109" s="1210"/>
    </row>
    <row r="110" spans="1:43" s="1327" customFormat="1" ht="21.75" customHeight="1">
      <c r="A110" s="1210"/>
      <c r="B110" s="1104"/>
      <c r="C110" s="1210"/>
      <c r="D110" s="1210"/>
      <c r="E110" s="535">
        <v>22.5</v>
      </c>
      <c r="F110" s="3" t="str" cm="1">
        <f t="array" aca="1" ref="F110" ca="1">OFFSET(E110,-1,1)</f>
        <v>1</v>
      </c>
      <c r="G110" s="343"/>
      <c r="H110" s="4"/>
      <c r="I110" s="343"/>
      <c r="J110" s="1210"/>
      <c r="K110" s="43"/>
      <c r="L110" s="43"/>
      <c r="M110" s="43"/>
      <c r="N110" s="1210"/>
      <c r="O110" s="1210"/>
      <c r="P110" s="1210"/>
      <c r="Q110" s="1210"/>
      <c r="R110" s="1210"/>
      <c r="S110" s="1314"/>
      <c r="T110" s="381" t="b" cm="1">
        <f t="array" ref="T110">T109</f>
        <v>1</v>
      </c>
      <c r="U110" s="1210"/>
      <c r="V110" s="1210"/>
      <c r="W110" s="1210"/>
      <c r="X110" s="1755"/>
      <c r="Y110" s="1210"/>
      <c r="Z110" s="1735"/>
      <c r="AA110" s="1210"/>
      <c r="AB110" s="216" t="str">
        <f>AB109&amp;".1"</f>
        <v>2.10.1</v>
      </c>
      <c r="AC110" s="676" t="s">
        <v>1398</v>
      </c>
      <c r="AD110" s="680" t="s">
        <v>1396</v>
      </c>
      <c r="AE110" s="680" t="s">
        <v>766</v>
      </c>
      <c r="AF110" s="214"/>
      <c r="AG110" s="214"/>
      <c r="AH110" s="760"/>
      <c r="AI110" s="1210"/>
      <c r="AJ110" s="1210"/>
      <c r="AK110" s="1210"/>
      <c r="AL110" s="899" t="s">
        <v>1399</v>
      </c>
      <c r="AM110" s="1210"/>
      <c r="AN110" s="1210"/>
      <c r="AO110" s="1210"/>
      <c r="AP110" s="1210"/>
      <c r="AQ110" s="1210"/>
    </row>
    <row r="111" spans="1:43" s="1327" customFormat="1" ht="21.75" customHeight="1">
      <c r="A111" s="1210"/>
      <c r="B111" s="1104"/>
      <c r="C111" s="1210"/>
      <c r="D111" s="1210"/>
      <c r="E111" s="535">
        <v>22.5</v>
      </c>
      <c r="F111" s="3" t="str" cm="1">
        <f t="array" aca="1" ref="F111" ca="1">OFFSET(E111,-1,1)</f>
        <v>1</v>
      </c>
      <c r="G111" s="343"/>
      <c r="H111" s="4"/>
      <c r="I111" s="343"/>
      <c r="J111" s="1210"/>
      <c r="K111" s="43"/>
      <c r="L111" s="43"/>
      <c r="M111" s="43"/>
      <c r="N111" s="1210"/>
      <c r="O111" s="1210"/>
      <c r="P111" s="1210"/>
      <c r="Q111" s="1210"/>
      <c r="R111" s="1210"/>
      <c r="S111" s="1314"/>
      <c r="T111" s="381" t="b" cm="1">
        <f t="array" ref="T111">T110</f>
        <v>1</v>
      </c>
      <c r="U111" s="1210"/>
      <c r="V111" s="1210"/>
      <c r="W111" s="1210"/>
      <c r="X111" s="1755"/>
      <c r="Y111" s="1210"/>
      <c r="Z111" s="1735"/>
      <c r="AA111" s="1210"/>
      <c r="AB111" s="216" t="str">
        <f>AB109&amp;".2"</f>
        <v>2.10.2</v>
      </c>
      <c r="AC111" s="676" t="s">
        <v>1400</v>
      </c>
      <c r="AD111" s="680" t="s">
        <v>1396</v>
      </c>
      <c r="AE111" s="680" t="s">
        <v>766</v>
      </c>
      <c r="AF111" s="214"/>
      <c r="AG111" s="214"/>
      <c r="AH111" s="760"/>
      <c r="AI111" s="1210"/>
      <c r="AJ111" s="1210"/>
      <c r="AK111" s="1210"/>
      <c r="AL111" s="899" t="s">
        <v>1401</v>
      </c>
      <c r="AM111" s="1210"/>
      <c r="AN111" s="1210"/>
      <c r="AO111" s="1210"/>
      <c r="AP111" s="1210"/>
      <c r="AQ111" s="1210"/>
    </row>
    <row r="112" spans="1:43" s="1327" customFormat="1" ht="14.25" customHeight="1">
      <c r="A112" s="1210"/>
      <c r="B112" s="1104"/>
      <c r="C112" s="1210"/>
      <c r="D112" s="1210"/>
      <c r="E112" s="535">
        <v>15</v>
      </c>
      <c r="F112" s="3" t="str" cm="1">
        <f t="array" aca="1" ref="F112" ca="1">OFFSET(E112,-1,1)</f>
        <v>1</v>
      </c>
      <c r="G112" s="343"/>
      <c r="H112" s="4"/>
      <c r="I112" s="343"/>
      <c r="J112" s="1210"/>
      <c r="K112" s="43"/>
      <c r="L112" s="43"/>
      <c r="M112" s="43"/>
      <c r="N112" s="1210"/>
      <c r="O112" s="1210"/>
      <c r="P112" s="1210"/>
      <c r="Q112" s="1210"/>
      <c r="R112" s="1210"/>
      <c r="S112" s="1314"/>
      <c r="T112" s="381" t="b" cm="1">
        <f t="array" ref="T112">T111</f>
        <v>1</v>
      </c>
      <c r="U112" s="1210"/>
      <c r="V112" s="1210"/>
      <c r="W112" s="1210"/>
      <c r="X112" s="1755"/>
      <c r="Y112" s="1210"/>
      <c r="Z112" s="1735"/>
      <c r="AA112" s="1210"/>
      <c r="AB112" s="216" t="str">
        <f>IF(B108,"2.13","2.11")</f>
        <v>2.11</v>
      </c>
      <c r="AC112" s="676" t="s">
        <v>1402</v>
      </c>
      <c r="AD112" s="680" t="s">
        <v>1396</v>
      </c>
      <c r="AE112" s="680" t="s">
        <v>766</v>
      </c>
      <c r="AF112" s="214"/>
      <c r="AG112" s="214"/>
      <c r="AH112" s="760"/>
      <c r="AI112" s="1210"/>
      <c r="AJ112" s="1210"/>
      <c r="AK112" s="1210"/>
      <c r="AL112" s="899" t="s">
        <v>1403</v>
      </c>
      <c r="AM112" s="1210"/>
      <c r="AN112" s="1210"/>
      <c r="AO112" s="1210"/>
      <c r="AP112" s="1210"/>
      <c r="AQ112" s="1210"/>
    </row>
    <row r="113" spans="1:43" s="1327" customFormat="1" ht="14.25" customHeight="1">
      <c r="A113" s="1210"/>
      <c r="B113" s="1104"/>
      <c r="C113" s="1210"/>
      <c r="D113" s="1210"/>
      <c r="E113" s="535">
        <v>15</v>
      </c>
      <c r="F113" s="3" t="str" cm="1">
        <f t="array" aca="1" ref="F113" ca="1">OFFSET(E113,-1,1)</f>
        <v>1</v>
      </c>
      <c r="G113" s="343"/>
      <c r="H113" s="4"/>
      <c r="I113" s="343"/>
      <c r="J113" s="1210"/>
      <c r="K113" s="43"/>
      <c r="L113" s="43"/>
      <c r="M113" s="43"/>
      <c r="N113" s="1210"/>
      <c r="O113" s="1210"/>
      <c r="P113" s="1210"/>
      <c r="Q113" s="1210"/>
      <c r="R113" s="1210"/>
      <c r="S113" s="1314"/>
      <c r="T113" s="381" t="b" cm="1">
        <f t="array" ref="T113">T112</f>
        <v>1</v>
      </c>
      <c r="U113" s="1210"/>
      <c r="V113" s="1210"/>
      <c r="W113" s="1210"/>
      <c r="X113" s="1755"/>
      <c r="Y113" s="1210"/>
      <c r="Z113" s="1735"/>
      <c r="AA113" s="1210"/>
      <c r="AB113" s="216" t="str">
        <f>IF(B108,"2.14","2.12")</f>
        <v>2.12</v>
      </c>
      <c r="AC113" s="676" t="s">
        <v>1404</v>
      </c>
      <c r="AD113" s="680" t="s">
        <v>1396</v>
      </c>
      <c r="AE113" s="680" t="s">
        <v>766</v>
      </c>
      <c r="AF113" s="214"/>
      <c r="AG113" s="214"/>
      <c r="AH113" s="760"/>
      <c r="AI113" s="1210"/>
      <c r="AJ113" s="1210"/>
      <c r="AK113" s="1210"/>
      <c r="AL113" s="899" t="s">
        <v>1405</v>
      </c>
      <c r="AM113" s="1210"/>
      <c r="AN113" s="1210"/>
      <c r="AO113" s="1210"/>
      <c r="AP113" s="1210"/>
      <c r="AQ113" s="1210"/>
    </row>
    <row r="114" spans="1:43" s="1421" customFormat="1" ht="21.75" customHeight="1">
      <c r="A114" s="615"/>
      <c r="B114" s="348"/>
      <c r="C114" s="615"/>
      <c r="D114" s="615"/>
      <c r="E114" s="608">
        <v>22.5</v>
      </c>
      <c r="F114" s="3" t="str" cm="1">
        <f t="array" aca="1" ref="F114" ca="1">OFFSET(E114,-1,1)</f>
        <v>1</v>
      </c>
      <c r="G114" s="66"/>
      <c r="H114" s="66"/>
      <c r="I114" s="343" t="s">
        <v>324</v>
      </c>
      <c r="J114" s="615"/>
      <c r="K114" s="413"/>
      <c r="L114" s="413"/>
      <c r="M114" s="413"/>
      <c r="N114" s="615"/>
      <c r="O114" s="615"/>
      <c r="P114" s="615"/>
      <c r="Q114" s="615"/>
      <c r="R114" s="615"/>
      <c r="S114" s="615"/>
      <c r="T114" s="381" t="b" cm="1">
        <f t="array" ref="T114">T113</f>
        <v>1</v>
      </c>
      <c r="U114" s="615"/>
      <c r="V114" s="615"/>
      <c r="W114" s="615"/>
      <c r="X114" s="1755"/>
      <c r="Y114" s="615"/>
      <c r="Z114" s="1735"/>
      <c r="AA114" s="615"/>
      <c r="AB114" s="129" t="s">
        <v>1406</v>
      </c>
      <c r="AC114" s="130" t="s">
        <v>1407</v>
      </c>
      <c r="AD114" s="129" t="s">
        <v>1269</v>
      </c>
      <c r="AE114" s="152" t="s">
        <v>766</v>
      </c>
      <c r="AF114" s="758" cm="1">
        <f t="array" ref="AF114">AF115</f>
        <v>0</v>
      </c>
      <c r="AG114" s="758" cm="1">
        <f t="array" ref="AG114">AG115</f>
        <v>0</v>
      </c>
      <c r="AH114" s="759"/>
      <c r="AI114" s="615"/>
      <c r="AJ114" s="615"/>
      <c r="AK114" s="615"/>
      <c r="AL114" s="953" t="s">
        <v>1408</v>
      </c>
      <c r="AM114" s="615"/>
      <c r="AN114" s="615"/>
      <c r="AO114" s="615"/>
      <c r="AP114" s="615"/>
      <c r="AQ114" s="615"/>
    </row>
    <row r="115" spans="1:43" s="1327" customFormat="1" ht="32.25" customHeight="1">
      <c r="A115" s="1210"/>
      <c r="B115" s="1104"/>
      <c r="C115" s="1210"/>
      <c r="D115" s="1210"/>
      <c r="E115" s="535">
        <v>33.75</v>
      </c>
      <c r="F115" s="3" t="str" cm="1">
        <f t="array" aca="1" ref="F115" ca="1">OFFSET(E115,-1,1)</f>
        <v>1</v>
      </c>
      <c r="G115" s="343"/>
      <c r="H115" s="4"/>
      <c r="I115" s="343" t="s">
        <v>445</v>
      </c>
      <c r="J115" s="1210"/>
      <c r="K115" s="43"/>
      <c r="L115" s="43"/>
      <c r="M115" s="43"/>
      <c r="N115" s="1210"/>
      <c r="O115" s="1210"/>
      <c r="P115" s="1210"/>
      <c r="Q115" s="1210"/>
      <c r="R115" s="1210"/>
      <c r="S115" s="1314"/>
      <c r="T115" s="381" t="b" cm="1">
        <f t="array" ref="T115">T114</f>
        <v>1</v>
      </c>
      <c r="U115" s="1210"/>
      <c r="V115" s="1210"/>
      <c r="W115" s="1210"/>
      <c r="X115" s="1755"/>
      <c r="Y115" s="1210"/>
      <c r="Z115" s="1735"/>
      <c r="AA115" s="1210"/>
      <c r="AB115" s="215" t="s">
        <v>281</v>
      </c>
      <c r="AC115" s="369" t="s">
        <v>1409</v>
      </c>
      <c r="AD115" s="216" t="s">
        <v>1410</v>
      </c>
      <c r="AE115" s="680" t="s">
        <v>766</v>
      </c>
      <c r="AF115" s="839">
        <f>AF116+AF117</f>
        <v>0</v>
      </c>
      <c r="AG115" s="839">
        <f>AG116+AG117</f>
        <v>0</v>
      </c>
      <c r="AH115" s="760"/>
      <c r="AI115" s="1210"/>
      <c r="AJ115" s="1210"/>
      <c r="AK115" s="1210"/>
      <c r="AL115" s="899" t="s">
        <v>1411</v>
      </c>
      <c r="AM115" s="1210"/>
      <c r="AN115" s="1210"/>
      <c r="AO115" s="1210"/>
      <c r="AP115" s="1210"/>
      <c r="AQ115" s="1210"/>
    </row>
    <row r="116" spans="1:43" s="1327" customFormat="1" ht="43.5" customHeight="1">
      <c r="A116" s="1210"/>
      <c r="B116" s="1104"/>
      <c r="C116" s="1210"/>
      <c r="D116" s="1210"/>
      <c r="E116" s="535">
        <v>45</v>
      </c>
      <c r="F116" s="3" t="str" cm="1">
        <f t="array" aca="1" ref="F116" ca="1">OFFSET(E116,-1,1)</f>
        <v>1</v>
      </c>
      <c r="G116" s="343"/>
      <c r="H116" s="4"/>
      <c r="I116" s="343" t="s">
        <v>1412</v>
      </c>
      <c r="J116" s="1210"/>
      <c r="K116" s="43"/>
      <c r="L116" s="43"/>
      <c r="M116" s="43"/>
      <c r="N116" s="1210"/>
      <c r="O116" s="1210"/>
      <c r="P116" s="1210"/>
      <c r="Q116" s="1210"/>
      <c r="R116" s="1210"/>
      <c r="S116" s="1314"/>
      <c r="T116" s="381" t="b" cm="1">
        <f t="array" ref="T116">T115</f>
        <v>1</v>
      </c>
      <c r="U116" s="1210"/>
      <c r="V116" s="1210"/>
      <c r="W116" s="1210"/>
      <c r="X116" s="1755"/>
      <c r="Y116" s="1210"/>
      <c r="Z116" s="1735"/>
      <c r="AA116" s="1210"/>
      <c r="AB116" s="215" t="s">
        <v>821</v>
      </c>
      <c r="AC116" s="676" t="s">
        <v>1413</v>
      </c>
      <c r="AD116" s="216" t="s">
        <v>1414</v>
      </c>
      <c r="AE116" s="680" t="s">
        <v>766</v>
      </c>
      <c r="AF116" s="214"/>
      <c r="AG116" s="214"/>
      <c r="AH116" s="760"/>
      <c r="AI116" s="1210"/>
      <c r="AJ116" s="1210"/>
      <c r="AK116" s="1210"/>
      <c r="AL116" s="899" t="s">
        <v>1415</v>
      </c>
      <c r="AM116" s="1210"/>
      <c r="AN116" s="1210"/>
      <c r="AO116" s="1210"/>
      <c r="AP116" s="1210"/>
      <c r="AQ116" s="1210"/>
    </row>
    <row r="117" spans="1:43" s="1327" customFormat="1" ht="32.25" customHeight="1">
      <c r="A117" s="1210"/>
      <c r="B117" s="1104"/>
      <c r="C117" s="1210"/>
      <c r="D117" s="1210"/>
      <c r="E117" s="535">
        <v>33.75</v>
      </c>
      <c r="F117" s="3" t="str" cm="1">
        <f t="array" aca="1" ref="F117" ca="1">OFFSET(E117,-1,1)</f>
        <v>1</v>
      </c>
      <c r="G117" s="343"/>
      <c r="H117" s="4"/>
      <c r="I117" s="343" t="s">
        <v>1416</v>
      </c>
      <c r="J117" s="1210"/>
      <c r="K117" s="43"/>
      <c r="L117" s="43"/>
      <c r="M117" s="43"/>
      <c r="N117" s="1210"/>
      <c r="O117" s="1210"/>
      <c r="P117" s="1210"/>
      <c r="Q117" s="1210"/>
      <c r="R117" s="1210"/>
      <c r="S117" s="1314"/>
      <c r="T117" s="381" t="b" cm="1">
        <f t="array" ref="T117">T116</f>
        <v>1</v>
      </c>
      <c r="U117" s="1210"/>
      <c r="V117" s="1210"/>
      <c r="W117" s="1210"/>
      <c r="X117" s="1755"/>
      <c r="Y117" s="1210"/>
      <c r="Z117" s="1735"/>
      <c r="AA117" s="1210"/>
      <c r="AB117" s="215" t="s">
        <v>824</v>
      </c>
      <c r="AC117" s="676" t="s">
        <v>1417</v>
      </c>
      <c r="AD117" s="216" t="s">
        <v>1418</v>
      </c>
      <c r="AE117" s="680" t="s">
        <v>766</v>
      </c>
      <c r="AF117" s="214"/>
      <c r="AG117" s="214"/>
      <c r="AH117" s="760"/>
      <c r="AI117" s="1210"/>
      <c r="AJ117" s="1210"/>
      <c r="AK117" s="1210"/>
      <c r="AL117" s="899" t="s">
        <v>1419</v>
      </c>
      <c r="AM117" s="1210"/>
      <c r="AN117" s="1210"/>
      <c r="AO117" s="1210"/>
      <c r="AP117" s="1210"/>
      <c r="AQ117" s="1210"/>
    </row>
    <row r="118" spans="1:43" s="1327" customFormat="1" ht="33.75" customHeight="1">
      <c r="A118" s="1210"/>
      <c r="B118" s="1104"/>
      <c r="C118" s="1210"/>
      <c r="D118" s="1210"/>
      <c r="E118" s="535">
        <v>35</v>
      </c>
      <c r="F118" s="3" t="str" cm="1">
        <f t="array" aca="1" ref="F118" ca="1">OFFSET(E118,-1,1)</f>
        <v>1</v>
      </c>
      <c r="G118" s="343"/>
      <c r="H118" s="4"/>
      <c r="I118" s="343" t="s">
        <v>325</v>
      </c>
      <c r="J118" s="1210"/>
      <c r="K118" s="43" t="str">
        <f ca="1">F118&amp;"1komm"</f>
        <v>11komm</v>
      </c>
      <c r="L118" s="825" cm="1">
        <f t="array" ref="L118">AH118</f>
        <v>0</v>
      </c>
      <c r="M118" s="43"/>
      <c r="N118" s="1210"/>
      <c r="O118" s="1210"/>
      <c r="P118" s="1210"/>
      <c r="Q118" s="1210"/>
      <c r="R118" s="1210"/>
      <c r="S118" s="1314"/>
      <c r="T118" s="381" t="b" cm="1">
        <f t="array" ref="T118">T117</f>
        <v>1</v>
      </c>
      <c r="U118" s="1210"/>
      <c r="V118" s="1210"/>
      <c r="W118" s="1210"/>
      <c r="X118" s="1755"/>
      <c r="Y118" s="1210"/>
      <c r="Z118" s="1735"/>
      <c r="AA118" s="1210"/>
      <c r="AB118" s="152" t="s">
        <v>1420</v>
      </c>
      <c r="AC118" s="130" t="s">
        <v>1421</v>
      </c>
      <c r="AD118" s="129" t="s">
        <v>1422</v>
      </c>
      <c r="AE118" s="152" t="s">
        <v>766</v>
      </c>
      <c r="AF118" s="294"/>
      <c r="AG118" s="294"/>
      <c r="AH118" s="760"/>
      <c r="AI118" s="1210"/>
      <c r="AJ118" s="1210"/>
      <c r="AK118" s="1210"/>
      <c r="AL118" s="899" t="s">
        <v>1423</v>
      </c>
      <c r="AM118" s="1210"/>
      <c r="AN118" s="1210"/>
      <c r="AO118" s="1210"/>
      <c r="AP118" s="1210"/>
      <c r="AQ118" s="1210"/>
    </row>
    <row r="119" spans="1:43" s="1327" customFormat="1" ht="107.25" customHeight="1">
      <c r="A119" s="1210"/>
      <c r="B119" s="1104"/>
      <c r="C119" s="1210"/>
      <c r="D119" s="1210"/>
      <c r="E119" s="535">
        <v>110</v>
      </c>
      <c r="F119" s="3" t="str" cm="1">
        <f t="array" aca="1" ref="F119" ca="1">OFFSET(E119,-1,1)</f>
        <v>1</v>
      </c>
      <c r="G119" s="343"/>
      <c r="H119" s="4"/>
      <c r="I119" s="343" t="s">
        <v>327</v>
      </c>
      <c r="J119" s="1210"/>
      <c r="K119" s="43" t="str">
        <f ca="1">F119&amp;"2komm"</f>
        <v>12komm</v>
      </c>
      <c r="L119" s="825" cm="1">
        <f t="array" ref="L119">AH119</f>
        <v>0</v>
      </c>
      <c r="M119" s="43"/>
      <c r="N119" s="1210"/>
      <c r="O119" s="1210"/>
      <c r="P119" s="1210"/>
      <c r="Q119" s="1210"/>
      <c r="R119" s="1210"/>
      <c r="S119" s="1314"/>
      <c r="T119" s="381" t="b" cm="1">
        <f t="array" ref="T119">T118</f>
        <v>1</v>
      </c>
      <c r="U119" s="1210"/>
      <c r="V119" s="1210"/>
      <c r="W119" s="1210"/>
      <c r="X119" s="1755"/>
      <c r="Y119" s="1210"/>
      <c r="Z119" s="1735"/>
      <c r="AA119" s="1210"/>
      <c r="AB119" s="152" t="s">
        <v>1424</v>
      </c>
      <c r="AC119" s="130" t="s">
        <v>1425</v>
      </c>
      <c r="AD119" s="129" t="s">
        <v>1426</v>
      </c>
      <c r="AE119" s="152" t="s">
        <v>766</v>
      </c>
      <c r="AF119" s="294"/>
      <c r="AG119" s="294"/>
      <c r="AH119" s="760"/>
      <c r="AI119" s="1210"/>
      <c r="AJ119" s="1210"/>
      <c r="AK119" s="1210"/>
      <c r="AL119" s="899" t="s">
        <v>934</v>
      </c>
      <c r="AM119" s="1210"/>
      <c r="AN119" s="1210"/>
      <c r="AO119" s="1210"/>
      <c r="AP119" s="1210"/>
      <c r="AQ119" s="1210"/>
    </row>
    <row r="120" spans="1:43" s="1327" customFormat="1" ht="76.5" hidden="1" customHeight="1">
      <c r="A120" s="1210"/>
      <c r="B120" s="345" t="b">
        <f>S78="Водоотведение"</f>
        <v>0</v>
      </c>
      <c r="C120" s="1210"/>
      <c r="D120" s="1210"/>
      <c r="E120" s="535">
        <v>78.75</v>
      </c>
      <c r="F120" s="3" t="str" cm="1">
        <f t="array" aca="1" ref="F120" ca="1">OFFSET(E120,-1,1)</f>
        <v>1</v>
      </c>
      <c r="G120" s="923"/>
      <c r="H120" s="2"/>
      <c r="I120" s="41" t="s">
        <v>326</v>
      </c>
      <c r="J120" s="1210"/>
      <c r="K120" s="43" t="str">
        <f ca="1">F120&amp;"3komm"</f>
        <v>13komm</v>
      </c>
      <c r="L120" s="825" cm="1">
        <f t="array" ref="L120">AH120</f>
        <v>0</v>
      </c>
      <c r="M120" s="43"/>
      <c r="N120" s="1210"/>
      <c r="O120" s="1210"/>
      <c r="P120" s="1210"/>
      <c r="Q120" s="1210"/>
      <c r="R120" s="1210"/>
      <c r="S120" s="1314"/>
      <c r="T120" s="381" t="b" cm="1">
        <f t="array" ref="T120">T119</f>
        <v>1</v>
      </c>
      <c r="U120" s="1210"/>
      <c r="V120" s="1210"/>
      <c r="W120" s="1210"/>
      <c r="X120" s="1755"/>
      <c r="Y120" s="1210"/>
      <c r="Z120" s="1735"/>
      <c r="AA120" s="1210"/>
      <c r="AB120" s="152" t="s">
        <v>1427</v>
      </c>
      <c r="AC120" s="130" t="s">
        <v>1428</v>
      </c>
      <c r="AD120" s="129"/>
      <c r="AE120" s="152" t="s">
        <v>766</v>
      </c>
      <c r="AF120" s="1417"/>
      <c r="AG120" s="1398">
        <f ca="1">IFERROR(SUMIFS('Плата за негативное возд'!$AL$24:$AL$32,'Плата за негативное возд'!$F$24:$F$32,F120,'Плата за негативное возд'!$AB$24:$AB$32,"1"),0)</f>
        <v>0</v>
      </c>
      <c r="AH120" s="1358"/>
      <c r="AI120" s="1210"/>
      <c r="AJ120" s="1210"/>
      <c r="AK120" s="1210"/>
      <c r="AL120" s="899" t="s">
        <v>1429</v>
      </c>
      <c r="AM120" s="1210"/>
      <c r="AN120" s="1210"/>
      <c r="AO120" s="1210"/>
      <c r="AP120" s="1210"/>
      <c r="AQ120" s="1210"/>
    </row>
    <row r="121" spans="1:43" s="1327" customFormat="1" ht="54.75" hidden="1" customHeight="1">
      <c r="A121" s="1210"/>
      <c r="B121" s="345" t="b" cm="1">
        <f t="array" ref="B121">B120</f>
        <v>0</v>
      </c>
      <c r="C121" s="1210"/>
      <c r="D121" s="1210"/>
      <c r="E121" s="535">
        <v>56.25</v>
      </c>
      <c r="F121" s="3" t="str" cm="1">
        <f t="array" aca="1" ref="F121" ca="1">OFFSET(E121,-1,1)</f>
        <v>1</v>
      </c>
      <c r="G121" s="923"/>
      <c r="H121" s="2"/>
      <c r="I121" s="41" t="s">
        <v>477</v>
      </c>
      <c r="J121" s="1210"/>
      <c r="K121" s="43" t="str">
        <f ca="1">F121&amp;"4komm"</f>
        <v>14komm</v>
      </c>
      <c r="L121" s="825" cm="1">
        <f t="array" ref="L121">AH121</f>
        <v>0</v>
      </c>
      <c r="M121" s="43"/>
      <c r="N121" s="1210"/>
      <c r="O121" s="1210"/>
      <c r="P121" s="1210"/>
      <c r="Q121" s="1210"/>
      <c r="R121" s="1210"/>
      <c r="S121" s="1314"/>
      <c r="T121" s="381" t="b" cm="1">
        <f t="array" ref="T121">T120</f>
        <v>1</v>
      </c>
      <c r="U121" s="1210"/>
      <c r="V121" s="1210"/>
      <c r="W121" s="1210"/>
      <c r="X121" s="1755"/>
      <c r="Y121" s="1210"/>
      <c r="Z121" s="1735"/>
      <c r="AA121" s="1210"/>
      <c r="AB121" s="152" t="s">
        <v>1430</v>
      </c>
      <c r="AC121" s="130" t="s">
        <v>1431</v>
      </c>
      <c r="AD121" s="129"/>
      <c r="AE121" s="152" t="s">
        <v>766</v>
      </c>
      <c r="AF121" s="1417"/>
      <c r="AG121" s="1398">
        <f ca="1">IFERROR(SUMIFS('Плата за негативное возд'!$AL$24:$AL$32,'Плата за негативное возд'!$F$24:$F$32,F121,'Плата за негативное возд'!$AB$24:$AB$32,"2"),0)</f>
        <v>0</v>
      </c>
      <c r="AH121" s="1358"/>
      <c r="AI121" s="1210"/>
      <c r="AJ121" s="1210"/>
      <c r="AK121" s="1210"/>
      <c r="AL121" s="899" t="s">
        <v>1432</v>
      </c>
      <c r="AM121" s="1210"/>
      <c r="AN121" s="1210"/>
      <c r="AO121" s="1210"/>
      <c r="AP121" s="1210"/>
      <c r="AQ121" s="1210"/>
    </row>
    <row r="122" spans="1:43" s="1327" customFormat="1" ht="14.25" customHeight="1">
      <c r="A122" s="1210"/>
      <c r="B122" s="1104"/>
      <c r="C122" s="1210"/>
      <c r="D122" s="1210"/>
      <c r="E122" s="535">
        <v>15</v>
      </c>
      <c r="F122" s="3" t="str" cm="1">
        <f t="array" aca="1" ref="F122" ca="1">OFFSET(E122,-1,1)</f>
        <v>1</v>
      </c>
      <c r="G122" s="923"/>
      <c r="H122" s="4"/>
      <c r="I122" s="41" t="s">
        <v>481</v>
      </c>
      <c r="J122" s="1210"/>
      <c r="K122" s="43" t="str">
        <f ca="1">F122&amp;"5komm"</f>
        <v>15komm</v>
      </c>
      <c r="L122" s="825" cm="1">
        <f t="array" ref="L122">AH122</f>
        <v>0</v>
      </c>
      <c r="M122" s="43"/>
      <c r="N122" s="1210"/>
      <c r="O122" s="1210"/>
      <c r="P122" s="1210"/>
      <c r="Q122" s="1210"/>
      <c r="R122" s="1210"/>
      <c r="S122" s="1314"/>
      <c r="T122" s="381" t="b" cm="1">
        <f t="array" ref="T122">T121</f>
        <v>1</v>
      </c>
      <c r="U122" s="1210"/>
      <c r="V122" s="1210"/>
      <c r="W122" s="1210"/>
      <c r="X122" s="1755"/>
      <c r="Y122" s="1210"/>
      <c r="Z122" s="1735"/>
      <c r="AA122" s="1210"/>
      <c r="AB122" s="152" t="str">
        <f>IF(B121,"VII","V")</f>
        <v>V</v>
      </c>
      <c r="AC122" s="130" t="s">
        <v>1433</v>
      </c>
      <c r="AD122" s="129"/>
      <c r="AE122" s="152" t="s">
        <v>766</v>
      </c>
      <c r="AF122" s="294"/>
      <c r="AG122" s="294"/>
      <c r="AH122" s="760"/>
      <c r="AI122" s="1210"/>
      <c r="AJ122" s="1210"/>
      <c r="AK122" s="1210"/>
      <c r="AL122" s="899" t="s">
        <v>1434</v>
      </c>
      <c r="AM122" s="1210"/>
      <c r="AN122" s="1210"/>
      <c r="AO122" s="1210"/>
      <c r="AP122" s="1210"/>
      <c r="AQ122" s="1210"/>
    </row>
    <row r="123" spans="1:43" s="1422" customFormat="1" ht="14.25" customHeight="1">
      <c r="A123" s="615"/>
      <c r="B123" s="348"/>
      <c r="C123" s="615"/>
      <c r="D123" s="615"/>
      <c r="E123" s="608">
        <v>15</v>
      </c>
      <c r="F123" s="3" t="str" cm="1">
        <f t="array" aca="1" ref="F123" ca="1">OFFSET(E123,-1,1)</f>
        <v>1</v>
      </c>
      <c r="G123" s="413"/>
      <c r="H123" s="615"/>
      <c r="I123" s="159" t="s">
        <v>528</v>
      </c>
      <c r="J123" s="615"/>
      <c r="K123" s="43" t="str">
        <f ca="1">F123&amp;"6komm"</f>
        <v>16komm</v>
      </c>
      <c r="L123" s="825" cm="1">
        <f t="array" ref="L123">AH123</f>
        <v>0</v>
      </c>
      <c r="M123" s="413"/>
      <c r="N123" s="615"/>
      <c r="O123" s="615"/>
      <c r="P123" s="615"/>
      <c r="Q123" s="615"/>
      <c r="R123" s="615"/>
      <c r="S123" s="615"/>
      <c r="T123" s="381" t="b" cm="1">
        <f t="array" ref="T123">T122</f>
        <v>1</v>
      </c>
      <c r="U123" s="615"/>
      <c r="V123" s="615"/>
      <c r="W123" s="615"/>
      <c r="X123" s="1755"/>
      <c r="Y123" s="615"/>
      <c r="Z123" s="1735"/>
      <c r="AA123" s="615"/>
      <c r="AB123" s="152" t="str">
        <f>IF(B121,"VIII","VI")</f>
        <v>VI</v>
      </c>
      <c r="AC123" s="130" t="s">
        <v>1395</v>
      </c>
      <c r="AD123" s="129"/>
      <c r="AE123" s="152" t="s">
        <v>766</v>
      </c>
      <c r="AF123" s="294">
        <f>AF124+AF125</f>
        <v>0</v>
      </c>
      <c r="AG123" s="294">
        <f>AG124+AG125</f>
        <v>0</v>
      </c>
      <c r="AH123" s="760"/>
      <c r="AI123" s="615"/>
      <c r="AJ123" s="615"/>
      <c r="AK123" s="615"/>
      <c r="AL123" s="953" t="s">
        <v>1435</v>
      </c>
      <c r="AM123" s="615"/>
      <c r="AN123" s="615"/>
      <c r="AO123" s="615"/>
      <c r="AP123" s="615"/>
      <c r="AQ123" s="615"/>
    </row>
    <row r="124" spans="1:43" s="1327" customFormat="1" ht="21.75" customHeight="1">
      <c r="A124" s="1210"/>
      <c r="B124" s="1104"/>
      <c r="C124" s="1210"/>
      <c r="D124" s="1210"/>
      <c r="E124" s="535">
        <v>22.5</v>
      </c>
      <c r="F124" s="3" t="str" cm="1">
        <f t="array" aca="1" ref="F124" ca="1">OFFSET(E124,-1,1)</f>
        <v>1</v>
      </c>
      <c r="G124" s="923"/>
      <c r="H124" s="4"/>
      <c r="I124" s="41" t="s">
        <v>531</v>
      </c>
      <c r="J124" s="1210"/>
      <c r="K124" s="43" t="str">
        <f ca="1">F124&amp;"7komm"</f>
        <v>17komm</v>
      </c>
      <c r="L124" s="825" cm="1">
        <f t="array" ref="L124">AH124</f>
        <v>0</v>
      </c>
      <c r="M124" s="43"/>
      <c r="N124" s="1210"/>
      <c r="O124" s="1210"/>
      <c r="P124" s="1210"/>
      <c r="Q124" s="1210"/>
      <c r="R124" s="1210"/>
      <c r="S124" s="1314"/>
      <c r="T124" s="381" t="b" cm="1">
        <f t="array" ref="T124">T123</f>
        <v>1</v>
      </c>
      <c r="U124" s="1210"/>
      <c r="V124" s="1210"/>
      <c r="W124" s="1210"/>
      <c r="X124" s="1755"/>
      <c r="Y124" s="1210"/>
      <c r="Z124" s="1735"/>
      <c r="AA124" s="1210"/>
      <c r="AB124" s="680">
        <v>1</v>
      </c>
      <c r="AC124" s="676" t="s">
        <v>1398</v>
      </c>
      <c r="AD124" s="216"/>
      <c r="AE124" s="680" t="s">
        <v>766</v>
      </c>
      <c r="AF124" s="214"/>
      <c r="AG124" s="214"/>
      <c r="AH124" s="760"/>
      <c r="AI124" s="1210"/>
      <c r="AJ124" s="1210"/>
      <c r="AK124" s="1210"/>
      <c r="AL124" s="899" t="s">
        <v>1436</v>
      </c>
      <c r="AM124" s="1210"/>
      <c r="AN124" s="1210"/>
      <c r="AO124" s="1210"/>
      <c r="AP124" s="1210"/>
      <c r="AQ124" s="1210"/>
    </row>
    <row r="125" spans="1:43" s="1327" customFormat="1" ht="21.75" customHeight="1">
      <c r="A125" s="1210"/>
      <c r="B125" s="1104"/>
      <c r="C125" s="1210"/>
      <c r="D125" s="1210"/>
      <c r="E125" s="535">
        <v>22.5</v>
      </c>
      <c r="F125" s="3" t="str" cm="1">
        <f t="array" aca="1" ref="F125" ca="1">OFFSET(E125,-1,1)</f>
        <v>1</v>
      </c>
      <c r="G125" s="923"/>
      <c r="H125" s="4"/>
      <c r="I125" s="41" t="s">
        <v>535</v>
      </c>
      <c r="J125" s="1210"/>
      <c r="K125" s="43" t="str">
        <f ca="1">F125&amp;"8komm"</f>
        <v>18komm</v>
      </c>
      <c r="L125" s="825" cm="1">
        <f t="array" ref="L125">AH125</f>
        <v>0</v>
      </c>
      <c r="M125" s="43"/>
      <c r="N125" s="1210"/>
      <c r="O125" s="1210"/>
      <c r="P125" s="1210"/>
      <c r="Q125" s="1210"/>
      <c r="R125" s="1210"/>
      <c r="S125" s="1314"/>
      <c r="T125" s="381" t="b" cm="1">
        <f t="array" ref="T125">T124</f>
        <v>1</v>
      </c>
      <c r="U125" s="1210"/>
      <c r="V125" s="1210"/>
      <c r="W125" s="1210"/>
      <c r="X125" s="1755"/>
      <c r="Y125" s="1210"/>
      <c r="Z125" s="1735"/>
      <c r="AA125" s="1210"/>
      <c r="AB125" s="680">
        <v>2</v>
      </c>
      <c r="AC125" s="676" t="s">
        <v>1400</v>
      </c>
      <c r="AD125" s="216"/>
      <c r="AE125" s="680" t="s">
        <v>766</v>
      </c>
      <c r="AF125" s="214"/>
      <c r="AG125" s="214"/>
      <c r="AH125" s="760"/>
      <c r="AI125" s="1210"/>
      <c r="AJ125" s="1210"/>
      <c r="AK125" s="1210"/>
      <c r="AL125" s="899" t="s">
        <v>1437</v>
      </c>
      <c r="AM125" s="1210"/>
      <c r="AN125" s="1210"/>
      <c r="AO125" s="1210"/>
      <c r="AP125" s="1210"/>
      <c r="AQ125" s="1210"/>
    </row>
    <row r="126" spans="1:43" s="1327" customFormat="1" ht="14.25" customHeight="1">
      <c r="A126" s="1210"/>
      <c r="B126" s="1104"/>
      <c r="C126" s="1210"/>
      <c r="D126" s="1210"/>
      <c r="E126" s="535">
        <v>15</v>
      </c>
      <c r="F126" s="3" t="str" cm="1">
        <f t="array" aca="1" ref="F126" ca="1">OFFSET(E126,-1,1)</f>
        <v>1</v>
      </c>
      <c r="G126" s="923"/>
      <c r="H126" s="4"/>
      <c r="I126" s="41" t="s">
        <v>543</v>
      </c>
      <c r="J126" s="1210"/>
      <c r="K126" s="43" t="str">
        <f ca="1">F126&amp;"9komm"</f>
        <v>19komm</v>
      </c>
      <c r="L126" s="825" cm="1">
        <f t="array" ref="L126">AH126</f>
        <v>0</v>
      </c>
      <c r="M126" s="43"/>
      <c r="N126" s="1210"/>
      <c r="O126" s="1210"/>
      <c r="P126" s="1210"/>
      <c r="Q126" s="1210"/>
      <c r="R126" s="1210"/>
      <c r="S126" s="1314"/>
      <c r="T126" s="381" t="b" cm="1">
        <f t="array" ref="T126">T125</f>
        <v>1</v>
      </c>
      <c r="U126" s="1210"/>
      <c r="V126" s="1210"/>
      <c r="W126" s="1210"/>
      <c r="X126" s="1755"/>
      <c r="Y126" s="1210"/>
      <c r="Z126" s="1735"/>
      <c r="AA126" s="1210"/>
      <c r="AB126" s="152" t="str">
        <f>IF(B121,"IX","VIII")</f>
        <v>VIII</v>
      </c>
      <c r="AC126" s="130" t="s">
        <v>1402</v>
      </c>
      <c r="AD126" s="129"/>
      <c r="AE126" s="152" t="s">
        <v>766</v>
      </c>
      <c r="AF126" s="294"/>
      <c r="AG126" s="294"/>
      <c r="AH126" s="760"/>
      <c r="AI126" s="1210"/>
      <c r="AJ126" s="1210"/>
      <c r="AK126" s="1210"/>
      <c r="AL126" s="899" t="s">
        <v>1438</v>
      </c>
      <c r="AM126" s="1210"/>
      <c r="AN126" s="1210"/>
      <c r="AO126" s="1210"/>
      <c r="AP126" s="1210"/>
      <c r="AQ126" s="1210"/>
    </row>
    <row r="127" spans="1:43" s="1327" customFormat="1" ht="14.25" customHeight="1">
      <c r="A127" s="1210"/>
      <c r="B127" s="1104"/>
      <c r="C127" s="1210"/>
      <c r="D127" s="1210"/>
      <c r="E127" s="535">
        <v>15</v>
      </c>
      <c r="F127" s="3" t="str" cm="1">
        <f t="array" aca="1" ref="F127" ca="1">OFFSET(E127,-1,1)</f>
        <v>1</v>
      </c>
      <c r="G127" s="923"/>
      <c r="H127" s="4"/>
      <c r="I127" s="41" t="s">
        <v>551</v>
      </c>
      <c r="J127" s="1210"/>
      <c r="K127" s="43" t="str">
        <f ca="1">F127&amp;"10komm"</f>
        <v>110komm</v>
      </c>
      <c r="L127" s="825" cm="1">
        <f t="array" ref="L127">AH127</f>
        <v>0</v>
      </c>
      <c r="M127" s="43"/>
      <c r="N127" s="1210"/>
      <c r="O127" s="1210"/>
      <c r="P127" s="1210"/>
      <c r="Q127" s="1210"/>
      <c r="R127" s="1210"/>
      <c r="S127" s="1314"/>
      <c r="T127" s="381" t="b" cm="1">
        <f t="array" ref="T127">T126</f>
        <v>1</v>
      </c>
      <c r="U127" s="1210"/>
      <c r="V127" s="1210"/>
      <c r="W127" s="1210"/>
      <c r="X127" s="1755"/>
      <c r="Y127" s="1210"/>
      <c r="Z127" s="1735"/>
      <c r="AA127" s="1210"/>
      <c r="AB127" s="152" t="str">
        <f>IF(B121,"X","IX")</f>
        <v>IX</v>
      </c>
      <c r="AC127" s="130" t="s">
        <v>1404</v>
      </c>
      <c r="AD127" s="129"/>
      <c r="AE127" s="152" t="s">
        <v>766</v>
      </c>
      <c r="AF127" s="294"/>
      <c r="AG127" s="294"/>
      <c r="AH127" s="760"/>
      <c r="AI127" s="1210"/>
      <c r="AJ127" s="1210"/>
      <c r="AK127" s="1210"/>
      <c r="AL127" s="899" t="s">
        <v>1439</v>
      </c>
      <c r="AM127" s="1210"/>
      <c r="AN127" s="1210"/>
      <c r="AO127" s="1210"/>
      <c r="AP127" s="1210"/>
      <c r="AQ127" s="1210"/>
    </row>
    <row r="128" spans="1:43" s="1423" customFormat="1" ht="14.25" customHeight="1">
      <c r="A128" s="615"/>
      <c r="B128" s="348"/>
      <c r="C128" s="615"/>
      <c r="D128" s="615"/>
      <c r="E128" s="608">
        <v>15</v>
      </c>
      <c r="F128" s="3" t="str" cm="1">
        <f t="array" aca="1" ref="F128" ca="1">OFFSET(E128,-1,1)</f>
        <v>1</v>
      </c>
      <c r="G128" s="413"/>
      <c r="H128" s="615"/>
      <c r="I128" s="159" t="s">
        <v>709</v>
      </c>
      <c r="J128" s="615"/>
      <c r="K128" s="43" t="str">
        <f ca="1">F128&amp;"11komm"</f>
        <v>111komm</v>
      </c>
      <c r="L128" s="825" cm="1">
        <f t="array" ref="L128">AH128</f>
        <v>0</v>
      </c>
      <c r="M128" s="413"/>
      <c r="N128" s="615"/>
      <c r="O128" s="615"/>
      <c r="P128" s="615"/>
      <c r="Q128" s="615"/>
      <c r="R128" s="615"/>
      <c r="S128" s="615"/>
      <c r="T128" s="381" t="b" cm="1">
        <f t="array" ref="T128">T127</f>
        <v>1</v>
      </c>
      <c r="U128" s="615"/>
      <c r="V128" s="615"/>
      <c r="W128" s="615"/>
      <c r="X128" s="1755"/>
      <c r="Y128" s="615"/>
      <c r="Z128" s="1735"/>
      <c r="AA128" s="615"/>
      <c r="AB128" s="152" t="str">
        <f>IF(B121,"XI","X")</f>
        <v>X</v>
      </c>
      <c r="AC128" s="137" t="s">
        <v>1440</v>
      </c>
      <c r="AD128" s="129"/>
      <c r="AE128" s="152" t="s">
        <v>766</v>
      </c>
      <c r="AF128" s="842">
        <f ca="1">AF79+AF114+AF118+AF119+AF120+AF121+AF122+AF123+AF126+AF127</f>
        <v>0</v>
      </c>
      <c r="AG128" s="842">
        <f ca="1">AG79+AG114+AG118+AG119+AG120+AG121+AG122+AG123+AG126+AG127</f>
        <v>0</v>
      </c>
      <c r="AH128" s="760"/>
      <c r="AI128" s="615"/>
      <c r="AJ128" s="615"/>
      <c r="AK128" s="615"/>
      <c r="AL128" s="953" t="s">
        <v>1441</v>
      </c>
      <c r="AM128" s="615"/>
      <c r="AN128" s="615"/>
      <c r="AO128" s="615"/>
      <c r="AP128" s="615"/>
      <c r="AQ128" s="615"/>
    </row>
    <row r="129" spans="2:43" s="1327" customFormat="1" ht="10.9" customHeight="1">
      <c r="B129" s="347"/>
      <c r="E129" s="541">
        <v>11.25</v>
      </c>
      <c r="G129" s="403"/>
      <c r="K129" s="43"/>
      <c r="L129" s="825"/>
      <c r="M129" s="403"/>
      <c r="T129"/>
      <c r="U129" s="398" t="s">
        <v>177</v>
      </c>
      <c r="V129" s="59" t="s">
        <v>1442</v>
      </c>
      <c r="AB129"/>
      <c r="AC129" s="398"/>
      <c r="AD129" s="398"/>
      <c r="AE129" s="398"/>
      <c r="AF129" s="398"/>
      <c r="AG129"/>
      <c r="AH129"/>
      <c r="AL129" s="906"/>
      <c r="AQ129" s="20"/>
    </row>
    <row r="130" spans="2:43" ht="14.65" customHeight="1">
      <c r="E130" s="535">
        <v>15</v>
      </c>
      <c r="AB130" s="1758" t="s">
        <v>394</v>
      </c>
      <c r="AC130" s="1758"/>
      <c r="AD130" s="1758"/>
      <c r="AE130" s="1758"/>
      <c r="AF130" s="1758"/>
      <c r="AG130" s="1758"/>
      <c r="AH130" s="1758"/>
    </row>
    <row r="131" spans="2:43" ht="14.65" customHeight="1">
      <c r="E131" s="535">
        <v>15</v>
      </c>
      <c r="AA131" s="92"/>
      <c r="AB131" s="1825"/>
      <c r="AC131" s="1825"/>
      <c r="AD131" s="1825"/>
      <c r="AE131" s="1825"/>
      <c r="AF131" s="1825"/>
      <c r="AG131" s="1825"/>
      <c r="AH131" s="1825"/>
    </row>
    <row r="132" spans="2:43" ht="14.65" hidden="1" customHeight="1">
      <c r="E132" s="535">
        <v>15</v>
      </c>
      <c r="T132" s="381" t="b">
        <f>ROW(W132)&gt;ROW(W$132)</f>
        <v>0</v>
      </c>
      <c r="W132" s="671" t="s">
        <v>173</v>
      </c>
      <c r="AA132" s="337" t="s">
        <v>174</v>
      </c>
      <c r="AB132" s="1826" t="s">
        <v>231</v>
      </c>
      <c r="AC132" s="1826"/>
      <c r="AD132" s="1826"/>
      <c r="AE132" s="1826"/>
      <c r="AF132" s="1826"/>
      <c r="AG132" s="1826"/>
      <c r="AH132" s="1826"/>
    </row>
    <row r="133" spans="2:43" ht="14.65" customHeight="1">
      <c r="E133" s="535">
        <v>15</v>
      </c>
      <c r="W133" s="671" t="s">
        <v>395</v>
      </c>
      <c r="AB133" s="564"/>
      <c r="AC133" s="430" t="s">
        <v>396</v>
      </c>
      <c r="AD133" s="224"/>
      <c r="AE133" s="224"/>
      <c r="AF133" s="224"/>
      <c r="AG133" s="224"/>
      <c r="AH133" s="295"/>
    </row>
    <row r="134" spans="2:43" ht="10.7" customHeight="1">
      <c r="E134" s="535">
        <v>11</v>
      </c>
      <c r="AI134" s="343"/>
    </row>
    <row r="135" spans="2:43" ht="10.7" hidden="1" customHeight="1">
      <c r="E135" s="535">
        <v>11</v>
      </c>
      <c r="AB135" s="409" t="s">
        <v>1443</v>
      </c>
    </row>
  </sheetData>
  <sheetProtection formatColumns="0" formatRows="0" insertRows="0" deleteColumns="0" deleteRows="0" sort="0" autoFilter="0"/>
  <mergeCells count="12">
    <mergeCell ref="AB130:AH130"/>
    <mergeCell ref="AB131:AH131"/>
    <mergeCell ref="AB132:AH132"/>
    <mergeCell ref="X27:X77"/>
    <mergeCell ref="Z27:Z77"/>
    <mergeCell ref="X78:X128"/>
    <mergeCell ref="Z78:Z128"/>
    <mergeCell ref="AH24:AH25"/>
    <mergeCell ref="AB24:AB25"/>
    <mergeCell ref="AC24:AC25"/>
    <mergeCell ref="AD24:AD25"/>
    <mergeCell ref="AE24:AE25"/>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146"/>
  <sheetViews>
    <sheetView showGridLines="0" tabSelected="1" workbookViewId="0">
      <pane xSplit="29" ySplit="26" topLeftCell="AD27" activePane="bottomRight" state="frozen"/>
      <selection pane="topRight" activeCell="AD1" sqref="AD1"/>
      <selection pane="bottomLeft" activeCell="A27" sqref="A27"/>
      <selection pane="bottomRight" activeCell="GK89" sqref="GK89"/>
    </sheetView>
  </sheetViews>
  <sheetFormatPr defaultColWidth="9.140625" defaultRowHeight="11.25" customHeight="1"/>
  <cols>
    <col min="1" max="1" width="3.5703125" style="1207" hidden="1" customWidth="1"/>
    <col min="2" max="2" width="8.5703125" style="785" hidden="1" customWidth="1"/>
    <col min="3" max="4" width="3.5703125" style="1207" hidden="1" customWidth="1"/>
    <col min="5" max="5" width="3.5703125" style="1208" hidden="1" customWidth="1"/>
    <col min="6" max="6" width="5.42578125" style="1240" hidden="1" customWidth="1"/>
    <col min="7" max="7" width="19.42578125" style="1207" hidden="1" customWidth="1"/>
    <col min="8" max="10" width="3.5703125" style="1207" hidden="1" customWidth="1"/>
    <col min="11" max="11" width="6.42578125" style="1207" hidden="1" customWidth="1"/>
    <col min="12" max="12" width="8.5703125" style="1207" hidden="1" customWidth="1"/>
    <col min="13" max="16" width="3.5703125" style="1207" hidden="1" customWidth="1"/>
    <col min="17" max="17" width="18.85546875" style="1207" hidden="1" customWidth="1"/>
    <col min="18" max="18" width="17.7109375" style="1207" hidden="1" customWidth="1"/>
    <col min="19" max="19" width="11.85546875" style="1207" hidden="1" customWidth="1"/>
    <col min="20" max="20" width="9.425781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56" style="125" customWidth="1"/>
    <col min="29" max="29" width="12.5703125" style="1079" customWidth="1"/>
    <col min="30" max="32" width="14.140625" style="1207" customWidth="1"/>
    <col min="33" max="179" width="14.140625" style="1207" hidden="1" customWidth="1"/>
    <col min="180" max="180" width="3" style="1207" customWidth="1"/>
    <col min="181" max="181" width="9.140625" style="1207" hidden="1"/>
    <col min="182" max="182" width="31.7109375" style="1209" hidden="1" customWidth="1"/>
    <col min="183" max="184" width="9.140625" style="1209" hidden="1"/>
    <col min="185" max="186" width="9.140625" style="1208" hidden="1"/>
  </cols>
  <sheetData>
    <row r="1" spans="1:186" ht="11.25" hidden="1" customHeight="1">
      <c r="E1" s="17"/>
      <c r="F1" s="410" t="s">
        <v>311</v>
      </c>
      <c r="H1" s="17" t="s">
        <v>322</v>
      </c>
      <c r="I1" s="17" t="s">
        <v>347</v>
      </c>
      <c r="T1" s="381" t="s">
        <v>92</v>
      </c>
      <c r="U1" s="381" t="s">
        <v>97</v>
      </c>
      <c r="V1" s="381" t="s">
        <v>93</v>
      </c>
      <c r="W1" s="381" t="s">
        <v>94</v>
      </c>
      <c r="X1" s="381" t="s">
        <v>95</v>
      </c>
      <c r="Y1" s="383" t="s">
        <v>313</v>
      </c>
      <c r="Z1" s="381" t="s">
        <v>99</v>
      </c>
      <c r="AA1" s="383" t="s">
        <v>96</v>
      </c>
      <c r="AB1" s="382" t="s">
        <v>98</v>
      </c>
      <c r="FZ1" s="917" t="s">
        <v>314</v>
      </c>
      <c r="GA1" s="917" t="s">
        <v>315</v>
      </c>
      <c r="GB1" s="917" t="s">
        <v>316</v>
      </c>
      <c r="GC1" s="549" t="s">
        <v>319</v>
      </c>
      <c r="GD1" s="549" t="s">
        <v>320</v>
      </c>
    </row>
    <row r="2" spans="1:186" s="1076" customFormat="1" ht="11.25" hidden="1" customHeight="1">
      <c r="B2" s="830" t="s">
        <v>18</v>
      </c>
      <c r="F2" s="410"/>
      <c r="AB2" s="346"/>
      <c r="AC2" s="346"/>
      <c r="AG2" s="416" t="b">
        <f t="shared" ref="AG2:BL2" si="0">AG6&lt;=last_year_vis</f>
        <v>0</v>
      </c>
      <c r="AH2" s="416" t="b">
        <f t="shared" si="0"/>
        <v>0</v>
      </c>
      <c r="AI2" s="416" t="b">
        <f t="shared" si="0"/>
        <v>0</v>
      </c>
      <c r="AJ2" s="416" t="b">
        <f t="shared" si="0"/>
        <v>0</v>
      </c>
      <c r="AK2" s="416" t="b">
        <f t="shared" si="0"/>
        <v>0</v>
      </c>
      <c r="AL2" s="416" t="b">
        <f t="shared" si="0"/>
        <v>0</v>
      </c>
      <c r="AM2" s="416" t="b">
        <f t="shared" si="0"/>
        <v>0</v>
      </c>
      <c r="AN2" s="416" t="b">
        <f t="shared" si="0"/>
        <v>0</v>
      </c>
      <c r="AO2" s="416" t="b">
        <f t="shared" si="0"/>
        <v>0</v>
      </c>
      <c r="AP2" s="416" t="b">
        <f t="shared" si="0"/>
        <v>0</v>
      </c>
      <c r="AQ2" s="416" t="b">
        <f t="shared" si="0"/>
        <v>0</v>
      </c>
      <c r="AR2" s="416" t="b">
        <f t="shared" si="0"/>
        <v>0</v>
      </c>
      <c r="AS2" s="416" t="b">
        <f t="shared" si="0"/>
        <v>0</v>
      </c>
      <c r="AT2" s="416" t="b">
        <f t="shared" si="0"/>
        <v>0</v>
      </c>
      <c r="AU2" s="416" t="b">
        <f t="shared" si="0"/>
        <v>0</v>
      </c>
      <c r="AV2" s="416" t="b">
        <f t="shared" si="0"/>
        <v>0</v>
      </c>
      <c r="AW2" s="416" t="b">
        <f t="shared" si="0"/>
        <v>0</v>
      </c>
      <c r="AX2" s="416" t="b">
        <f t="shared" si="0"/>
        <v>0</v>
      </c>
      <c r="AY2" s="416" t="b">
        <f t="shared" si="0"/>
        <v>0</v>
      </c>
      <c r="AZ2" s="416" t="b">
        <f t="shared" si="0"/>
        <v>0</v>
      </c>
      <c r="BA2" s="416" t="b">
        <f t="shared" si="0"/>
        <v>0</v>
      </c>
      <c r="BB2" s="416" t="b">
        <f t="shared" si="0"/>
        <v>0</v>
      </c>
      <c r="BC2" s="416" t="b">
        <f t="shared" si="0"/>
        <v>0</v>
      </c>
      <c r="BD2" s="416" t="b">
        <f t="shared" si="0"/>
        <v>0</v>
      </c>
      <c r="BE2" s="416" t="b">
        <f t="shared" si="0"/>
        <v>0</v>
      </c>
      <c r="BF2" s="416" t="b">
        <f t="shared" si="0"/>
        <v>0</v>
      </c>
      <c r="BG2" s="416" t="b">
        <f t="shared" si="0"/>
        <v>0</v>
      </c>
      <c r="BH2" s="416" t="b">
        <f t="shared" si="0"/>
        <v>0</v>
      </c>
      <c r="BI2" s="416" t="b">
        <f t="shared" si="0"/>
        <v>0</v>
      </c>
      <c r="BJ2" s="416" t="b">
        <f t="shared" si="0"/>
        <v>0</v>
      </c>
      <c r="BK2" s="416" t="b">
        <f t="shared" si="0"/>
        <v>0</v>
      </c>
      <c r="BL2" s="416" t="b">
        <f t="shared" si="0"/>
        <v>0</v>
      </c>
      <c r="BM2" s="416" t="b">
        <f t="shared" ref="BM2:CR2" si="1">BM6&lt;=last_year_vis</f>
        <v>0</v>
      </c>
      <c r="BN2" s="416" t="b">
        <f t="shared" si="1"/>
        <v>0</v>
      </c>
      <c r="BO2" s="416" t="b">
        <f t="shared" si="1"/>
        <v>0</v>
      </c>
      <c r="BP2" s="416" t="b">
        <f t="shared" si="1"/>
        <v>0</v>
      </c>
      <c r="BQ2" s="416" t="b">
        <f t="shared" si="1"/>
        <v>0</v>
      </c>
      <c r="BR2" s="416" t="b">
        <f t="shared" si="1"/>
        <v>0</v>
      </c>
      <c r="BS2" s="416" t="b">
        <f t="shared" si="1"/>
        <v>0</v>
      </c>
      <c r="BT2" s="416" t="b">
        <f t="shared" si="1"/>
        <v>0</v>
      </c>
      <c r="BU2" s="416" t="b">
        <f t="shared" si="1"/>
        <v>0</v>
      </c>
      <c r="BV2" s="416" t="b">
        <f t="shared" si="1"/>
        <v>0</v>
      </c>
      <c r="BW2" s="416" t="b">
        <f t="shared" si="1"/>
        <v>0</v>
      </c>
      <c r="BX2" s="416" t="b">
        <f t="shared" si="1"/>
        <v>0</v>
      </c>
      <c r="BY2" s="416" t="b">
        <f t="shared" si="1"/>
        <v>0</v>
      </c>
      <c r="BZ2" s="416" t="b">
        <f t="shared" si="1"/>
        <v>0</v>
      </c>
      <c r="CA2" s="416" t="b">
        <f t="shared" si="1"/>
        <v>0</v>
      </c>
      <c r="CB2" s="416" t="b">
        <f t="shared" si="1"/>
        <v>0</v>
      </c>
      <c r="CC2" s="416" t="b">
        <f t="shared" si="1"/>
        <v>0</v>
      </c>
      <c r="CD2" s="416" t="b">
        <f t="shared" si="1"/>
        <v>0</v>
      </c>
      <c r="CE2" s="416" t="b">
        <f t="shared" si="1"/>
        <v>0</v>
      </c>
      <c r="CF2" s="416" t="b">
        <f t="shared" si="1"/>
        <v>0</v>
      </c>
      <c r="CG2" s="416" t="b">
        <f t="shared" si="1"/>
        <v>0</v>
      </c>
      <c r="CH2" s="416" t="b">
        <f t="shared" si="1"/>
        <v>0</v>
      </c>
      <c r="CI2" s="416" t="b">
        <f t="shared" si="1"/>
        <v>0</v>
      </c>
      <c r="CJ2" s="416" t="b">
        <f t="shared" si="1"/>
        <v>0</v>
      </c>
      <c r="CK2" s="416" t="b">
        <f t="shared" si="1"/>
        <v>0</v>
      </c>
      <c r="CL2" s="416" t="b">
        <f t="shared" si="1"/>
        <v>0</v>
      </c>
      <c r="CM2" s="416" t="b">
        <f t="shared" si="1"/>
        <v>0</v>
      </c>
      <c r="CN2" s="416" t="b">
        <f t="shared" si="1"/>
        <v>0</v>
      </c>
      <c r="CO2" s="416" t="b">
        <f t="shared" si="1"/>
        <v>0</v>
      </c>
      <c r="CP2" s="416" t="b">
        <f t="shared" si="1"/>
        <v>0</v>
      </c>
      <c r="CQ2" s="416" t="b">
        <f t="shared" si="1"/>
        <v>0</v>
      </c>
      <c r="CR2" s="416" t="b">
        <f t="shared" si="1"/>
        <v>0</v>
      </c>
      <c r="CS2" s="416" t="b">
        <f t="shared" ref="CS2:DX2" si="2">CS6&lt;=last_year_vis</f>
        <v>0</v>
      </c>
      <c r="CT2" s="416" t="b">
        <f t="shared" si="2"/>
        <v>0</v>
      </c>
      <c r="CU2" s="416" t="b">
        <f t="shared" si="2"/>
        <v>0</v>
      </c>
      <c r="CV2" s="416" t="b">
        <f t="shared" si="2"/>
        <v>0</v>
      </c>
      <c r="CW2" s="416" t="b">
        <f t="shared" si="2"/>
        <v>0</v>
      </c>
      <c r="CX2" s="416" t="b">
        <f t="shared" si="2"/>
        <v>0</v>
      </c>
      <c r="CY2" s="416" t="b">
        <f t="shared" si="2"/>
        <v>0</v>
      </c>
      <c r="CZ2" s="416" t="b">
        <f t="shared" si="2"/>
        <v>0</v>
      </c>
      <c r="DA2" s="416" t="b">
        <f t="shared" si="2"/>
        <v>0</v>
      </c>
      <c r="DB2" s="416" t="b">
        <f t="shared" si="2"/>
        <v>0</v>
      </c>
      <c r="DC2" s="416" t="b">
        <f t="shared" si="2"/>
        <v>0</v>
      </c>
      <c r="DD2" s="416" t="b">
        <f t="shared" si="2"/>
        <v>0</v>
      </c>
      <c r="DE2" s="416" t="b">
        <f t="shared" si="2"/>
        <v>0</v>
      </c>
      <c r="DF2" s="416" t="b">
        <f t="shared" si="2"/>
        <v>0</v>
      </c>
      <c r="DG2" s="416" t="b">
        <f t="shared" si="2"/>
        <v>0</v>
      </c>
      <c r="DH2" s="416" t="b">
        <f t="shared" si="2"/>
        <v>0</v>
      </c>
      <c r="DI2" s="416" t="b">
        <f t="shared" si="2"/>
        <v>0</v>
      </c>
      <c r="DJ2" s="416" t="b">
        <f t="shared" si="2"/>
        <v>0</v>
      </c>
      <c r="DK2" s="416" t="b">
        <f t="shared" si="2"/>
        <v>0</v>
      </c>
      <c r="DL2" s="416" t="b">
        <f t="shared" si="2"/>
        <v>0</v>
      </c>
      <c r="DM2" s="416" t="b">
        <f t="shared" si="2"/>
        <v>0</v>
      </c>
      <c r="DN2" s="416" t="b">
        <f t="shared" si="2"/>
        <v>0</v>
      </c>
      <c r="DO2" s="416" t="b">
        <f t="shared" si="2"/>
        <v>0</v>
      </c>
      <c r="DP2" s="416" t="b">
        <f t="shared" si="2"/>
        <v>0</v>
      </c>
      <c r="DQ2" s="416" t="b">
        <f t="shared" si="2"/>
        <v>0</v>
      </c>
      <c r="DR2" s="416" t="b">
        <f t="shared" si="2"/>
        <v>0</v>
      </c>
      <c r="DS2" s="416" t="b">
        <f t="shared" si="2"/>
        <v>0</v>
      </c>
      <c r="DT2" s="416" t="b">
        <f t="shared" si="2"/>
        <v>0</v>
      </c>
      <c r="DU2" s="416" t="b">
        <f t="shared" si="2"/>
        <v>0</v>
      </c>
      <c r="DV2" s="416" t="b">
        <f t="shared" si="2"/>
        <v>0</v>
      </c>
      <c r="DW2" s="416" t="b">
        <f t="shared" si="2"/>
        <v>0</v>
      </c>
      <c r="DX2" s="416" t="b">
        <f t="shared" si="2"/>
        <v>0</v>
      </c>
      <c r="DY2" s="416" t="b">
        <f t="shared" ref="DY2:FD2" si="3">DY6&lt;=last_year_vis</f>
        <v>0</v>
      </c>
      <c r="DZ2" s="416" t="b">
        <f t="shared" si="3"/>
        <v>0</v>
      </c>
      <c r="EA2" s="416" t="b">
        <f t="shared" si="3"/>
        <v>0</v>
      </c>
      <c r="EB2" s="416" t="b">
        <f t="shared" si="3"/>
        <v>0</v>
      </c>
      <c r="EC2" s="416" t="b">
        <f t="shared" si="3"/>
        <v>0</v>
      </c>
      <c r="ED2" s="416" t="b">
        <f t="shared" si="3"/>
        <v>0</v>
      </c>
      <c r="EE2" s="416" t="b">
        <f t="shared" si="3"/>
        <v>0</v>
      </c>
      <c r="EF2" s="416" t="b">
        <f t="shared" si="3"/>
        <v>0</v>
      </c>
      <c r="EG2" s="416" t="b">
        <f t="shared" si="3"/>
        <v>0</v>
      </c>
      <c r="EH2" s="416" t="b">
        <f t="shared" si="3"/>
        <v>0</v>
      </c>
      <c r="EI2" s="416" t="b">
        <f t="shared" si="3"/>
        <v>0</v>
      </c>
      <c r="EJ2" s="416" t="b">
        <f t="shared" si="3"/>
        <v>0</v>
      </c>
      <c r="EK2" s="416" t="b">
        <f t="shared" si="3"/>
        <v>0</v>
      </c>
      <c r="EL2" s="416" t="b">
        <f t="shared" si="3"/>
        <v>0</v>
      </c>
      <c r="EM2" s="416" t="b">
        <f t="shared" si="3"/>
        <v>0</v>
      </c>
      <c r="EN2" s="416" t="b">
        <f t="shared" si="3"/>
        <v>0</v>
      </c>
      <c r="EO2" s="416" t="b">
        <f t="shared" si="3"/>
        <v>0</v>
      </c>
      <c r="EP2" s="416" t="b">
        <f t="shared" si="3"/>
        <v>0</v>
      </c>
      <c r="EQ2" s="416" t="b">
        <f t="shared" si="3"/>
        <v>0</v>
      </c>
      <c r="ER2" s="416" t="b">
        <f t="shared" si="3"/>
        <v>0</v>
      </c>
      <c r="ES2" s="416" t="b">
        <f t="shared" si="3"/>
        <v>0</v>
      </c>
      <c r="ET2" s="416" t="b">
        <f t="shared" si="3"/>
        <v>0</v>
      </c>
      <c r="EU2" s="416" t="b">
        <f t="shared" si="3"/>
        <v>0</v>
      </c>
      <c r="EV2" s="416" t="b">
        <f t="shared" si="3"/>
        <v>0</v>
      </c>
      <c r="EW2" s="416" t="b">
        <f t="shared" si="3"/>
        <v>0</v>
      </c>
      <c r="EX2" s="416" t="b">
        <f t="shared" si="3"/>
        <v>0</v>
      </c>
      <c r="EY2" s="416" t="b">
        <f t="shared" si="3"/>
        <v>0</v>
      </c>
      <c r="EZ2" s="416" t="b">
        <f t="shared" si="3"/>
        <v>0</v>
      </c>
      <c r="FA2" s="416" t="b">
        <f t="shared" si="3"/>
        <v>0</v>
      </c>
      <c r="FB2" s="416" t="b">
        <f t="shared" si="3"/>
        <v>0</v>
      </c>
      <c r="FC2" s="416" t="b">
        <f t="shared" si="3"/>
        <v>0</v>
      </c>
      <c r="FD2" s="416" t="b">
        <f t="shared" si="3"/>
        <v>0</v>
      </c>
      <c r="FE2" s="416" t="b">
        <f t="shared" ref="FE2:FW2" si="4">FE6&lt;=last_year_vis</f>
        <v>0</v>
      </c>
      <c r="FF2" s="416" t="b">
        <f t="shared" si="4"/>
        <v>0</v>
      </c>
      <c r="FG2" s="416" t="b">
        <f t="shared" si="4"/>
        <v>0</v>
      </c>
      <c r="FH2" s="416" t="b">
        <f t="shared" si="4"/>
        <v>0</v>
      </c>
      <c r="FI2" s="416" t="b">
        <f t="shared" si="4"/>
        <v>0</v>
      </c>
      <c r="FJ2" s="416" t="b">
        <f t="shared" si="4"/>
        <v>0</v>
      </c>
      <c r="FK2" s="416" t="b">
        <f t="shared" si="4"/>
        <v>0</v>
      </c>
      <c r="FL2" s="416" t="b">
        <f t="shared" si="4"/>
        <v>0</v>
      </c>
      <c r="FM2" s="416" t="b">
        <f t="shared" si="4"/>
        <v>0</v>
      </c>
      <c r="FN2" s="416" t="b">
        <f t="shared" si="4"/>
        <v>0</v>
      </c>
      <c r="FO2" s="416" t="b">
        <f t="shared" si="4"/>
        <v>0</v>
      </c>
      <c r="FP2" s="416" t="b">
        <f t="shared" si="4"/>
        <v>0</v>
      </c>
      <c r="FQ2" s="416" t="b">
        <f t="shared" si="4"/>
        <v>0</v>
      </c>
      <c r="FR2" s="416" t="b">
        <f t="shared" si="4"/>
        <v>0</v>
      </c>
      <c r="FS2" s="416" t="b">
        <f t="shared" si="4"/>
        <v>0</v>
      </c>
      <c r="FT2" s="416" t="b">
        <f t="shared" si="4"/>
        <v>0</v>
      </c>
      <c r="FU2" s="416" t="b">
        <f t="shared" si="4"/>
        <v>0</v>
      </c>
      <c r="FV2" s="416" t="b">
        <f t="shared" si="4"/>
        <v>0</v>
      </c>
      <c r="FW2" s="416" t="b">
        <f t="shared" si="4"/>
        <v>0</v>
      </c>
      <c r="FZ2" s="918"/>
      <c r="GA2" s="918"/>
      <c r="GB2" s="918"/>
      <c r="GC2" s="931"/>
      <c r="GD2" s="931"/>
    </row>
    <row r="3" spans="1:186" ht="11.25" hidden="1" customHeight="1">
      <c r="E3" s="17"/>
    </row>
    <row r="4" spans="1:186" ht="11.25" hidden="1" customHeight="1">
      <c r="E4" s="17"/>
    </row>
    <row r="5" spans="1:186" s="1208" customFormat="1" ht="11.25" hidden="1" customHeight="1">
      <c r="A5" s="17"/>
      <c r="B5" s="753"/>
      <c r="C5" s="17"/>
      <c r="D5" s="17"/>
      <c r="E5" s="549" t="s">
        <v>19</v>
      </c>
      <c r="F5" s="814"/>
      <c r="AA5" s="549">
        <v>3</v>
      </c>
      <c r="AB5" s="610">
        <v>56</v>
      </c>
      <c r="AC5" s="547">
        <v>12.57</v>
      </c>
      <c r="AD5" s="549">
        <v>14.14</v>
      </c>
      <c r="AE5" s="549">
        <v>14.14</v>
      </c>
      <c r="AF5" s="549">
        <v>14.14</v>
      </c>
      <c r="AG5" s="549">
        <v>14.14</v>
      </c>
      <c r="AH5" s="549">
        <v>14.14</v>
      </c>
      <c r="AI5" s="549">
        <v>14.14</v>
      </c>
      <c r="AJ5" s="549">
        <v>14.14</v>
      </c>
      <c r="AK5" s="549">
        <v>14.14</v>
      </c>
      <c r="AL5" s="549">
        <v>14.14</v>
      </c>
      <c r="AM5" s="549">
        <v>14.14</v>
      </c>
      <c r="AN5" s="549">
        <v>14.14</v>
      </c>
      <c r="AO5" s="549">
        <v>14.14</v>
      </c>
      <c r="AP5" s="549">
        <v>14.14</v>
      </c>
      <c r="AQ5" s="549">
        <v>14.14</v>
      </c>
      <c r="AR5" s="549">
        <v>14.14</v>
      </c>
      <c r="AS5" s="549">
        <v>14.14</v>
      </c>
      <c r="AT5" s="549">
        <v>14.14</v>
      </c>
      <c r="AU5" s="549">
        <v>14.14</v>
      </c>
      <c r="AV5" s="549">
        <v>14.14</v>
      </c>
      <c r="AW5" s="549">
        <v>14.14</v>
      </c>
      <c r="AX5" s="549">
        <v>14.14</v>
      </c>
      <c r="AY5" s="549">
        <v>14.14</v>
      </c>
      <c r="AZ5" s="549">
        <v>14.14</v>
      </c>
      <c r="BA5" s="549">
        <v>14.14</v>
      </c>
      <c r="BB5" s="549">
        <v>14.14</v>
      </c>
      <c r="BC5" s="549">
        <v>14.14</v>
      </c>
      <c r="BD5" s="549">
        <v>14.14</v>
      </c>
      <c r="BE5" s="549">
        <v>14.14</v>
      </c>
      <c r="BF5" s="549">
        <v>14.14</v>
      </c>
      <c r="BG5" s="549">
        <v>14.14</v>
      </c>
      <c r="BH5" s="549">
        <v>14.14</v>
      </c>
      <c r="BI5" s="549">
        <v>14.14</v>
      </c>
      <c r="BJ5" s="549">
        <v>14.14</v>
      </c>
      <c r="BK5" s="549">
        <v>14.14</v>
      </c>
      <c r="BL5" s="549">
        <v>14.14</v>
      </c>
      <c r="BM5" s="549">
        <v>14.14</v>
      </c>
      <c r="BN5" s="549">
        <v>14.14</v>
      </c>
      <c r="BO5" s="549">
        <v>14.14</v>
      </c>
      <c r="BP5" s="549">
        <v>14.14</v>
      </c>
      <c r="BQ5" s="549">
        <v>14.14</v>
      </c>
      <c r="BR5" s="549">
        <v>14.14</v>
      </c>
      <c r="BS5" s="549">
        <v>14.14</v>
      </c>
      <c r="BT5" s="549">
        <v>14.14</v>
      </c>
      <c r="BU5" s="549">
        <v>14.14</v>
      </c>
      <c r="BV5" s="549">
        <v>14.14</v>
      </c>
      <c r="BW5" s="549">
        <v>14.14</v>
      </c>
      <c r="BX5" s="549">
        <v>14.14</v>
      </c>
      <c r="BY5" s="549">
        <v>14.14</v>
      </c>
      <c r="BZ5" s="549">
        <v>14.14</v>
      </c>
      <c r="CA5" s="549">
        <v>14.14</v>
      </c>
      <c r="CB5" s="549">
        <v>14.14</v>
      </c>
      <c r="CC5" s="549">
        <v>14.14</v>
      </c>
      <c r="CD5" s="549">
        <v>14.14</v>
      </c>
      <c r="CE5" s="549">
        <v>14.14</v>
      </c>
      <c r="CF5" s="549">
        <v>14.14</v>
      </c>
      <c r="CG5" s="549">
        <v>14.14</v>
      </c>
      <c r="CH5" s="549">
        <v>14.14</v>
      </c>
      <c r="CI5" s="549">
        <v>14.14</v>
      </c>
      <c r="CJ5" s="549">
        <v>14.14</v>
      </c>
      <c r="CK5" s="549">
        <v>14.14</v>
      </c>
      <c r="CL5" s="549">
        <v>14.14</v>
      </c>
      <c r="CM5" s="549">
        <v>14.14</v>
      </c>
      <c r="CN5" s="549">
        <v>14.14</v>
      </c>
      <c r="CO5" s="549">
        <v>14.14</v>
      </c>
      <c r="CP5" s="549">
        <v>14.14</v>
      </c>
      <c r="CQ5" s="549">
        <v>14.14</v>
      </c>
      <c r="CR5" s="549">
        <v>14.14</v>
      </c>
      <c r="CS5" s="549">
        <v>14.14</v>
      </c>
      <c r="CT5" s="549">
        <v>14.14</v>
      </c>
      <c r="CU5" s="549">
        <v>14.14</v>
      </c>
      <c r="CV5" s="549">
        <v>14.14</v>
      </c>
      <c r="CW5" s="549">
        <v>14.14</v>
      </c>
      <c r="CX5" s="549">
        <v>14.14</v>
      </c>
      <c r="CY5" s="549">
        <v>14.14</v>
      </c>
      <c r="CZ5" s="549">
        <v>14.14</v>
      </c>
      <c r="DA5" s="549">
        <v>14.14</v>
      </c>
      <c r="DB5" s="549">
        <v>14.14</v>
      </c>
      <c r="DC5" s="549">
        <v>14.14</v>
      </c>
      <c r="DD5" s="549">
        <v>14.14</v>
      </c>
      <c r="DE5" s="549">
        <v>14.14</v>
      </c>
      <c r="DF5" s="549">
        <v>14.14</v>
      </c>
      <c r="DG5" s="549">
        <v>14.14</v>
      </c>
      <c r="DH5" s="549">
        <v>14.14</v>
      </c>
      <c r="DI5" s="549">
        <v>14.14</v>
      </c>
      <c r="DJ5" s="549">
        <v>14.14</v>
      </c>
      <c r="DK5" s="549">
        <v>14.14</v>
      </c>
      <c r="DL5" s="549">
        <v>14.14</v>
      </c>
      <c r="DM5" s="549">
        <v>14.14</v>
      </c>
      <c r="DN5" s="549">
        <v>14.14</v>
      </c>
      <c r="DO5" s="549">
        <v>14.14</v>
      </c>
      <c r="DP5" s="549">
        <v>14.14</v>
      </c>
      <c r="DQ5" s="549">
        <v>14.14</v>
      </c>
      <c r="DR5" s="549">
        <v>14.14</v>
      </c>
      <c r="DS5" s="549">
        <v>14.14</v>
      </c>
      <c r="DT5" s="549">
        <v>14.14</v>
      </c>
      <c r="DU5" s="549">
        <v>14.14</v>
      </c>
      <c r="DV5" s="549">
        <v>14.14</v>
      </c>
      <c r="DW5" s="549">
        <v>14.14</v>
      </c>
      <c r="DX5" s="549">
        <v>14.14</v>
      </c>
      <c r="DY5" s="549">
        <v>14.14</v>
      </c>
      <c r="DZ5" s="549">
        <v>14.14</v>
      </c>
      <c r="EA5" s="549">
        <v>14.14</v>
      </c>
      <c r="EB5" s="549">
        <v>14.14</v>
      </c>
      <c r="EC5" s="549">
        <v>14.14</v>
      </c>
      <c r="ED5" s="549">
        <v>14.14</v>
      </c>
      <c r="EE5" s="549">
        <v>14.14</v>
      </c>
      <c r="EF5" s="549">
        <v>14.14</v>
      </c>
      <c r="EG5" s="549">
        <v>14.14</v>
      </c>
      <c r="EH5" s="549">
        <v>14.14</v>
      </c>
      <c r="EI5" s="549">
        <v>14.14</v>
      </c>
      <c r="EJ5" s="549">
        <v>14.14</v>
      </c>
      <c r="EK5" s="549">
        <v>14.14</v>
      </c>
      <c r="EL5" s="549">
        <v>14.14</v>
      </c>
      <c r="EM5" s="549">
        <v>14.14</v>
      </c>
      <c r="EN5" s="549">
        <v>14.14</v>
      </c>
      <c r="EO5" s="549">
        <v>14.14</v>
      </c>
      <c r="EP5" s="549">
        <v>14.14</v>
      </c>
      <c r="EQ5" s="549">
        <v>14.14</v>
      </c>
      <c r="ER5" s="549">
        <v>14.14</v>
      </c>
      <c r="ES5" s="549">
        <v>14.14</v>
      </c>
      <c r="ET5" s="549">
        <v>14.14</v>
      </c>
      <c r="EU5" s="549">
        <v>14.14</v>
      </c>
      <c r="EV5" s="549">
        <v>14.14</v>
      </c>
      <c r="EW5" s="549">
        <v>14.14</v>
      </c>
      <c r="EX5" s="549">
        <v>14.14</v>
      </c>
      <c r="EY5" s="549">
        <v>14.14</v>
      </c>
      <c r="EZ5" s="549">
        <v>14.14</v>
      </c>
      <c r="FA5" s="549">
        <v>14.14</v>
      </c>
      <c r="FB5" s="549">
        <v>14.14</v>
      </c>
      <c r="FC5" s="549">
        <v>14.14</v>
      </c>
      <c r="FD5" s="549">
        <v>14.14</v>
      </c>
      <c r="FE5" s="549">
        <v>14.14</v>
      </c>
      <c r="FF5" s="549">
        <v>14.14</v>
      </c>
      <c r="FG5" s="549">
        <v>14.14</v>
      </c>
      <c r="FH5" s="549">
        <v>14.14</v>
      </c>
      <c r="FI5" s="549">
        <v>14.14</v>
      </c>
      <c r="FJ5" s="549">
        <v>14.14</v>
      </c>
      <c r="FK5" s="549">
        <v>14.14</v>
      </c>
      <c r="FL5" s="549">
        <v>14.14</v>
      </c>
      <c r="FM5" s="549">
        <v>14.14</v>
      </c>
      <c r="FN5" s="549">
        <v>14.14</v>
      </c>
      <c r="FO5" s="549">
        <v>14.14</v>
      </c>
      <c r="FP5" s="549">
        <v>14.14</v>
      </c>
      <c r="FQ5" s="549">
        <v>14.14</v>
      </c>
      <c r="FR5" s="549">
        <v>14.14</v>
      </c>
      <c r="FS5" s="549">
        <v>14.14</v>
      </c>
      <c r="FT5" s="549">
        <v>14.14</v>
      </c>
      <c r="FU5" s="549">
        <v>14.14</v>
      </c>
      <c r="FV5" s="549">
        <v>14.14</v>
      </c>
      <c r="FW5" s="549">
        <v>14.14</v>
      </c>
      <c r="FX5" s="549">
        <v>3</v>
      </c>
      <c r="FZ5" s="917"/>
      <c r="GA5" s="917"/>
      <c r="GB5" s="917"/>
    </row>
    <row r="6" spans="1:186" ht="11.25" hidden="1" customHeight="1">
      <c r="A6" s="17" t="s">
        <v>350</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c r="A7" s="17" t="s">
        <v>351</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1209" customFormat="1" ht="11.25" hidden="1" customHeight="1">
      <c r="A9" s="917" t="s">
        <v>355</v>
      </c>
      <c r="B9" s="954"/>
      <c r="F9" s="955"/>
      <c r="AB9" s="956"/>
      <c r="AC9" s="915"/>
      <c r="AD9" s="917" cm="1">
        <f t="array" ref="AD9">AD6</f>
        <v>2026</v>
      </c>
      <c r="AE9" s="917" cm="1">
        <f t="array" ref="AE9">AE6</f>
        <v>2026</v>
      </c>
      <c r="AF9" s="917" cm="1">
        <f t="array" ref="AF9">AF6</f>
        <v>2026</v>
      </c>
      <c r="AG9" s="917" cm="1">
        <f t="array" ref="AG9">AG6</f>
        <v>2027</v>
      </c>
      <c r="AH9" s="917" cm="1">
        <f t="array" ref="AH9">AH6</f>
        <v>2027</v>
      </c>
      <c r="AI9" s="917" cm="1">
        <f t="array" ref="AI9">AI6</f>
        <v>2027</v>
      </c>
      <c r="AJ9" s="917" cm="1">
        <f t="array" ref="AJ9">AJ6</f>
        <v>2028</v>
      </c>
      <c r="AK9" s="917" cm="1">
        <f t="array" ref="AK9">AK6</f>
        <v>2028</v>
      </c>
      <c r="AL9" s="917" cm="1">
        <f t="array" ref="AL9">AL6</f>
        <v>2028</v>
      </c>
      <c r="AM9" s="917" cm="1">
        <f t="array" ref="AM9">AM6</f>
        <v>2029</v>
      </c>
      <c r="AN9" s="917" cm="1">
        <f t="array" ref="AN9">AN6</f>
        <v>2029</v>
      </c>
      <c r="AO9" s="917" cm="1">
        <f t="array" ref="AO9">AO6</f>
        <v>2029</v>
      </c>
      <c r="AP9" s="917" cm="1">
        <f t="array" ref="AP9">AP6</f>
        <v>2030</v>
      </c>
      <c r="AQ9" s="917" cm="1">
        <f t="array" ref="AQ9">AQ6</f>
        <v>2030</v>
      </c>
      <c r="AR9" s="917" cm="1">
        <f t="array" ref="AR9">AR6</f>
        <v>2030</v>
      </c>
      <c r="AS9" s="917" cm="1">
        <f t="array" ref="AS9">AS6</f>
        <v>2031</v>
      </c>
      <c r="AT9" s="917" cm="1">
        <f t="array" ref="AT9">AT6</f>
        <v>2031</v>
      </c>
      <c r="AU9" s="917" cm="1">
        <f t="array" ref="AU9">AU6</f>
        <v>2031</v>
      </c>
      <c r="AV9" s="917" cm="1">
        <f t="array" ref="AV9">AV6</f>
        <v>2032</v>
      </c>
      <c r="AW9" s="917" cm="1">
        <f t="array" ref="AW9">AW6</f>
        <v>2032</v>
      </c>
      <c r="AX9" s="917" cm="1">
        <f t="array" ref="AX9">AX6</f>
        <v>2032</v>
      </c>
      <c r="AY9" s="917" cm="1">
        <f t="array" ref="AY9">AY6</f>
        <v>2033</v>
      </c>
      <c r="AZ9" s="917" cm="1">
        <f t="array" ref="AZ9">AZ6</f>
        <v>2033</v>
      </c>
      <c r="BA9" s="917" cm="1">
        <f t="array" ref="BA9">BA6</f>
        <v>2033</v>
      </c>
      <c r="BB9" s="917" cm="1">
        <f t="array" ref="BB9">BB6</f>
        <v>2034</v>
      </c>
      <c r="BC9" s="917" cm="1">
        <f t="array" ref="BC9">BC6</f>
        <v>2034</v>
      </c>
      <c r="BD9" s="917" cm="1">
        <f t="array" ref="BD9">BD6</f>
        <v>2034</v>
      </c>
      <c r="BE9" s="917" cm="1">
        <f t="array" ref="BE9">BE6</f>
        <v>2035</v>
      </c>
      <c r="BF9" s="917" cm="1">
        <f t="array" ref="BF9">BF6</f>
        <v>2035</v>
      </c>
      <c r="BG9" s="917" cm="1">
        <f t="array" ref="BG9">BG6</f>
        <v>2035</v>
      </c>
      <c r="BH9" s="917" cm="1">
        <f t="array" ref="BH9">BH6</f>
        <v>2036</v>
      </c>
      <c r="BI9" s="917" cm="1">
        <f t="array" ref="BI9">BI6</f>
        <v>2036</v>
      </c>
      <c r="BJ9" s="917" cm="1">
        <f t="array" ref="BJ9">BJ6</f>
        <v>2036</v>
      </c>
      <c r="BK9" s="917" cm="1">
        <f t="array" ref="BK9">BK6</f>
        <v>2037</v>
      </c>
      <c r="BL9" s="917" cm="1">
        <f t="array" ref="BL9">BL6</f>
        <v>2037</v>
      </c>
      <c r="BM9" s="917" cm="1">
        <f t="array" ref="BM9">BM6</f>
        <v>2037</v>
      </c>
      <c r="BN9" s="917" cm="1">
        <f t="array" ref="BN9">BN6</f>
        <v>2038</v>
      </c>
      <c r="BO9" s="917" cm="1">
        <f t="array" ref="BO9">BO6</f>
        <v>2038</v>
      </c>
      <c r="BP9" s="917" cm="1">
        <f t="array" ref="BP9">BP6</f>
        <v>2038</v>
      </c>
      <c r="BQ9" s="917" cm="1">
        <f t="array" ref="BQ9">BQ6</f>
        <v>2039</v>
      </c>
      <c r="BR9" s="917" cm="1">
        <f t="array" ref="BR9">BR6</f>
        <v>2039</v>
      </c>
      <c r="BS9" s="917" cm="1">
        <f t="array" ref="BS9">BS6</f>
        <v>2039</v>
      </c>
      <c r="BT9" s="917" cm="1">
        <f t="array" ref="BT9">BT6</f>
        <v>2040</v>
      </c>
      <c r="BU9" s="917" cm="1">
        <f t="array" ref="BU9">BU6</f>
        <v>2040</v>
      </c>
      <c r="BV9" s="917" cm="1">
        <f t="array" ref="BV9">BV6</f>
        <v>2040</v>
      </c>
      <c r="BW9" s="917" cm="1">
        <f t="array" ref="BW9">BW6</f>
        <v>2041</v>
      </c>
      <c r="BX9" s="917" cm="1">
        <f t="array" ref="BX9">BX6</f>
        <v>2041</v>
      </c>
      <c r="BY9" s="917" cm="1">
        <f t="array" ref="BY9">BY6</f>
        <v>2041</v>
      </c>
      <c r="BZ9" s="917" cm="1">
        <f t="array" ref="BZ9">BZ6</f>
        <v>2042</v>
      </c>
      <c r="CA9" s="917" cm="1">
        <f t="array" ref="CA9">CA6</f>
        <v>2042</v>
      </c>
      <c r="CB9" s="917" cm="1">
        <f t="array" ref="CB9">CB6</f>
        <v>2042</v>
      </c>
      <c r="CC9" s="917" cm="1">
        <f t="array" ref="CC9">CC6</f>
        <v>2043</v>
      </c>
      <c r="CD9" s="917" cm="1">
        <f t="array" ref="CD9">CD6</f>
        <v>2043</v>
      </c>
      <c r="CE9" s="917" cm="1">
        <f t="array" ref="CE9">CE6</f>
        <v>2043</v>
      </c>
      <c r="CF9" s="917" cm="1">
        <f t="array" ref="CF9">CF6</f>
        <v>2044</v>
      </c>
      <c r="CG9" s="917" cm="1">
        <f t="array" ref="CG9">CG6</f>
        <v>2044</v>
      </c>
      <c r="CH9" s="917" cm="1">
        <f t="array" ref="CH9">CH6</f>
        <v>2044</v>
      </c>
      <c r="CI9" s="917" cm="1">
        <f t="array" ref="CI9">CI6</f>
        <v>2045</v>
      </c>
      <c r="CJ9" s="917" cm="1">
        <f t="array" ref="CJ9">CJ6</f>
        <v>2045</v>
      </c>
      <c r="CK9" s="917" cm="1">
        <f t="array" ref="CK9">CK6</f>
        <v>2045</v>
      </c>
      <c r="CL9" s="917" cm="1">
        <f t="array" ref="CL9">CL6</f>
        <v>2046</v>
      </c>
      <c r="CM9" s="917" cm="1">
        <f t="array" ref="CM9">CM6</f>
        <v>2046</v>
      </c>
      <c r="CN9" s="917" cm="1">
        <f t="array" ref="CN9">CN6</f>
        <v>2046</v>
      </c>
      <c r="CO9" s="917" cm="1">
        <f t="array" ref="CO9">CO6</f>
        <v>2047</v>
      </c>
      <c r="CP9" s="917" cm="1">
        <f t="array" ref="CP9">CP6</f>
        <v>2047</v>
      </c>
      <c r="CQ9" s="917" cm="1">
        <f t="array" ref="CQ9">CQ6</f>
        <v>2047</v>
      </c>
      <c r="CR9" s="917" cm="1">
        <f t="array" ref="CR9">CR6</f>
        <v>2048</v>
      </c>
      <c r="CS9" s="917" cm="1">
        <f t="array" ref="CS9">CS6</f>
        <v>2048</v>
      </c>
      <c r="CT9" s="917" cm="1">
        <f t="array" ref="CT9">CT6</f>
        <v>2048</v>
      </c>
      <c r="CU9" s="917" cm="1">
        <f t="array" ref="CU9">CU6</f>
        <v>2049</v>
      </c>
      <c r="CV9" s="917" cm="1">
        <f t="array" ref="CV9">CV6</f>
        <v>2049</v>
      </c>
      <c r="CW9" s="917" cm="1">
        <f t="array" ref="CW9">CW6</f>
        <v>2049</v>
      </c>
      <c r="CX9" s="917" cm="1">
        <f t="array" ref="CX9">CX6</f>
        <v>2050</v>
      </c>
      <c r="CY9" s="917" cm="1">
        <f t="array" ref="CY9">CY6</f>
        <v>2050</v>
      </c>
      <c r="CZ9" s="917" cm="1">
        <f t="array" ref="CZ9">CZ6</f>
        <v>2050</v>
      </c>
      <c r="DA9" s="917" cm="1">
        <f t="array" ref="DA9">DA6</f>
        <v>2051</v>
      </c>
      <c r="DB9" s="917" cm="1">
        <f t="array" ref="DB9">DB6</f>
        <v>2051</v>
      </c>
      <c r="DC9" s="917" cm="1">
        <f t="array" ref="DC9">DC6</f>
        <v>2051</v>
      </c>
      <c r="DD9" s="917" cm="1">
        <f t="array" ref="DD9">DD6</f>
        <v>2052</v>
      </c>
      <c r="DE9" s="917" cm="1">
        <f t="array" ref="DE9">DE6</f>
        <v>2052</v>
      </c>
      <c r="DF9" s="917" cm="1">
        <f t="array" ref="DF9">DF6</f>
        <v>2052</v>
      </c>
      <c r="DG9" s="917" cm="1">
        <f t="array" ref="DG9">DG6</f>
        <v>2053</v>
      </c>
      <c r="DH9" s="917" cm="1">
        <f t="array" ref="DH9">DH6</f>
        <v>2053</v>
      </c>
      <c r="DI9" s="917" cm="1">
        <f t="array" ref="DI9">DI6</f>
        <v>2053</v>
      </c>
      <c r="DJ9" s="917" cm="1">
        <f t="array" ref="DJ9">DJ6</f>
        <v>2054</v>
      </c>
      <c r="DK9" s="917" cm="1">
        <f t="array" ref="DK9">DK6</f>
        <v>2054</v>
      </c>
      <c r="DL9" s="917" cm="1">
        <f t="array" ref="DL9">DL6</f>
        <v>2054</v>
      </c>
      <c r="DM9" s="917" cm="1">
        <f t="array" ref="DM9">DM6</f>
        <v>2055</v>
      </c>
      <c r="DN9" s="917" cm="1">
        <f t="array" ref="DN9">DN6</f>
        <v>2055</v>
      </c>
      <c r="DO9" s="917" cm="1">
        <f t="array" ref="DO9">DO6</f>
        <v>2055</v>
      </c>
      <c r="DP9" s="917" cm="1">
        <f t="array" ref="DP9">DP6</f>
        <v>2056</v>
      </c>
      <c r="DQ9" s="917" cm="1">
        <f t="array" ref="DQ9">DQ6</f>
        <v>2056</v>
      </c>
      <c r="DR9" s="917" cm="1">
        <f t="array" ref="DR9">DR6</f>
        <v>2056</v>
      </c>
      <c r="DS9" s="917" cm="1">
        <f t="array" ref="DS9">DS6</f>
        <v>2057</v>
      </c>
      <c r="DT9" s="917" cm="1">
        <f t="array" ref="DT9">DT6</f>
        <v>2057</v>
      </c>
      <c r="DU9" s="917" cm="1">
        <f t="array" ref="DU9">DU6</f>
        <v>2057</v>
      </c>
      <c r="DV9" s="917" cm="1">
        <f t="array" ref="DV9">DV6</f>
        <v>2058</v>
      </c>
      <c r="DW9" s="917" cm="1">
        <f t="array" ref="DW9">DW6</f>
        <v>2058</v>
      </c>
      <c r="DX9" s="917" cm="1">
        <f t="array" ref="DX9">DX6</f>
        <v>2058</v>
      </c>
      <c r="DY9" s="917" cm="1">
        <f t="array" ref="DY9">DY6</f>
        <v>2059</v>
      </c>
      <c r="DZ9" s="917" cm="1">
        <f t="array" ref="DZ9">DZ6</f>
        <v>2059</v>
      </c>
      <c r="EA9" s="917" cm="1">
        <f t="array" ref="EA9">EA6</f>
        <v>2059</v>
      </c>
      <c r="EB9" s="917" cm="1">
        <f t="array" ref="EB9">EB6</f>
        <v>2060</v>
      </c>
      <c r="EC9" s="917" cm="1">
        <f t="array" ref="EC9">EC6</f>
        <v>2060</v>
      </c>
      <c r="ED9" s="917" cm="1">
        <f t="array" ref="ED9">ED6</f>
        <v>2060</v>
      </c>
      <c r="EE9" s="917" cm="1">
        <f t="array" ref="EE9">EE6</f>
        <v>2061</v>
      </c>
      <c r="EF9" s="917" cm="1">
        <f t="array" ref="EF9">EF6</f>
        <v>2061</v>
      </c>
      <c r="EG9" s="917" cm="1">
        <f t="array" ref="EG9">EG6</f>
        <v>2061</v>
      </c>
      <c r="EH9" s="917" cm="1">
        <f t="array" ref="EH9">EH6</f>
        <v>2062</v>
      </c>
      <c r="EI9" s="917" cm="1">
        <f t="array" ref="EI9">EI6</f>
        <v>2062</v>
      </c>
      <c r="EJ9" s="917" cm="1">
        <f t="array" ref="EJ9">EJ6</f>
        <v>2062</v>
      </c>
      <c r="EK9" s="917" cm="1">
        <f t="array" ref="EK9">EK6</f>
        <v>2063</v>
      </c>
      <c r="EL9" s="917" cm="1">
        <f t="array" ref="EL9">EL6</f>
        <v>2063</v>
      </c>
      <c r="EM9" s="917" cm="1">
        <f t="array" ref="EM9">EM6</f>
        <v>2063</v>
      </c>
      <c r="EN9" s="917" cm="1">
        <f t="array" ref="EN9">EN6</f>
        <v>2064</v>
      </c>
      <c r="EO9" s="917" cm="1">
        <f t="array" ref="EO9">EO6</f>
        <v>2064</v>
      </c>
      <c r="EP9" s="917" cm="1">
        <f t="array" ref="EP9">EP6</f>
        <v>2064</v>
      </c>
      <c r="EQ9" s="917" cm="1">
        <f t="array" ref="EQ9">EQ6</f>
        <v>2065</v>
      </c>
      <c r="ER9" s="917" cm="1">
        <f t="array" ref="ER9">ER6</f>
        <v>2065</v>
      </c>
      <c r="ES9" s="917" cm="1">
        <f t="array" ref="ES9">ES6</f>
        <v>2065</v>
      </c>
      <c r="ET9" s="917" cm="1">
        <f t="array" ref="ET9">ET6</f>
        <v>2066</v>
      </c>
      <c r="EU9" s="917" cm="1">
        <f t="array" ref="EU9">EU6</f>
        <v>2066</v>
      </c>
      <c r="EV9" s="917" cm="1">
        <f t="array" ref="EV9">EV6</f>
        <v>2066</v>
      </c>
      <c r="EW9" s="917" cm="1">
        <f t="array" ref="EW9">EW6</f>
        <v>2067</v>
      </c>
      <c r="EX9" s="917" cm="1">
        <f t="array" ref="EX9">EX6</f>
        <v>2067</v>
      </c>
      <c r="EY9" s="917" cm="1">
        <f t="array" ref="EY9">EY6</f>
        <v>2067</v>
      </c>
      <c r="EZ9" s="917" cm="1">
        <f t="array" ref="EZ9">EZ6</f>
        <v>2068</v>
      </c>
      <c r="FA9" s="917" cm="1">
        <f t="array" ref="FA9">FA6</f>
        <v>2068</v>
      </c>
      <c r="FB9" s="917" cm="1">
        <f t="array" ref="FB9">FB6</f>
        <v>2068</v>
      </c>
      <c r="FC9" s="917" cm="1">
        <f t="array" ref="FC9">FC6</f>
        <v>2069</v>
      </c>
      <c r="FD9" s="917" cm="1">
        <f t="array" ref="FD9">FD6</f>
        <v>2069</v>
      </c>
      <c r="FE9" s="917" cm="1">
        <f t="array" ref="FE9">FE6</f>
        <v>2069</v>
      </c>
      <c r="FF9" s="917" cm="1">
        <f t="array" ref="FF9">FF6</f>
        <v>2070</v>
      </c>
      <c r="FG9" s="917" cm="1">
        <f t="array" ref="FG9">FG6</f>
        <v>2070</v>
      </c>
      <c r="FH9" s="917" cm="1">
        <f t="array" ref="FH9">FH6</f>
        <v>2070</v>
      </c>
      <c r="FI9" s="917" cm="1">
        <f t="array" ref="FI9">FI6</f>
        <v>2071</v>
      </c>
      <c r="FJ9" s="917" cm="1">
        <f t="array" ref="FJ9">FJ6</f>
        <v>2071</v>
      </c>
      <c r="FK9" s="917" cm="1">
        <f t="array" ref="FK9">FK6</f>
        <v>2071</v>
      </c>
      <c r="FL9" s="917" cm="1">
        <f t="array" ref="FL9">FL6</f>
        <v>2072</v>
      </c>
      <c r="FM9" s="917" cm="1">
        <f t="array" ref="FM9">FM6</f>
        <v>2072</v>
      </c>
      <c r="FN9" s="917" cm="1">
        <f t="array" ref="FN9">FN6</f>
        <v>2072</v>
      </c>
      <c r="FO9" s="917" cm="1">
        <f t="array" ref="FO9">FO6</f>
        <v>2073</v>
      </c>
      <c r="FP9" s="917" cm="1">
        <f t="array" ref="FP9">FP6</f>
        <v>2073</v>
      </c>
      <c r="FQ9" s="917" cm="1">
        <f t="array" ref="FQ9">FQ6</f>
        <v>2073</v>
      </c>
      <c r="FR9" s="917" cm="1">
        <f t="array" ref="FR9">FR6</f>
        <v>2074</v>
      </c>
      <c r="FS9" s="917" cm="1">
        <f t="array" ref="FS9">FS6</f>
        <v>2074</v>
      </c>
      <c r="FT9" s="917" cm="1">
        <f t="array" ref="FT9">FT6</f>
        <v>2074</v>
      </c>
      <c r="FU9" s="917" cm="1">
        <f t="array" ref="FU9">FU6</f>
        <v>2075</v>
      </c>
      <c r="FV9" s="917" cm="1">
        <f t="array" ref="FV9">FV6</f>
        <v>2075</v>
      </c>
      <c r="FW9" s="917" cm="1">
        <f t="array" ref="FW9">FW6</f>
        <v>2075</v>
      </c>
      <c r="GC9" s="549"/>
      <c r="GD9" s="549"/>
    </row>
    <row r="10" spans="1:186" s="1209" customFormat="1" ht="11.25" hidden="1" customHeight="1">
      <c r="A10" s="917" t="s">
        <v>356</v>
      </c>
      <c r="B10" s="954"/>
      <c r="F10" s="955"/>
      <c r="AB10" s="956"/>
      <c r="AC10" s="915"/>
      <c r="AD10" s="917" t="str" cm="1">
        <f t="array" ref="AD10">AD26</f>
        <v>Предложение организации</v>
      </c>
      <c r="AE10" s="917" t="str" cm="1">
        <f t="array" ref="AE10">AE26</f>
        <v>Принято органом регулирования</v>
      </c>
      <c r="AF10" s="917" t="str" cm="1">
        <f t="array" ref="AF10">AF26</f>
        <v>Отклонение, %</v>
      </c>
      <c r="AG10" s="917" t="str" cm="1">
        <f t="array" ref="AG10">AG26</f>
        <v>Предложение организации</v>
      </c>
      <c r="AH10" s="917" t="str" cm="1">
        <f t="array" ref="AH10">AH26</f>
        <v>Принято органом регулирования</v>
      </c>
      <c r="AI10" s="917" t="str" cm="1">
        <f t="array" ref="AI10">AI26</f>
        <v>Отклонение, %</v>
      </c>
      <c r="AJ10" s="917" t="str" cm="1">
        <f t="array" ref="AJ10">AJ26</f>
        <v>Предложение организации</v>
      </c>
      <c r="AK10" s="917" t="str" cm="1">
        <f t="array" ref="AK10">AK26</f>
        <v>Принято органом регулирования</v>
      </c>
      <c r="AL10" s="917" t="str" cm="1">
        <f t="array" ref="AL10">AL26</f>
        <v>Отклонение, %</v>
      </c>
      <c r="AM10" s="917" t="str" cm="1">
        <f t="array" ref="AM10">AM26</f>
        <v>Предложение организации</v>
      </c>
      <c r="AN10" s="917" t="str" cm="1">
        <f t="array" ref="AN10">AN26</f>
        <v>Принято органом регулирования</v>
      </c>
      <c r="AO10" s="917" t="str" cm="1">
        <f t="array" ref="AO10">AO26</f>
        <v>Отклонение, %</v>
      </c>
      <c r="AP10" s="917" t="str" cm="1">
        <f t="array" ref="AP10">AP26</f>
        <v>Предложение организации</v>
      </c>
      <c r="AQ10" s="917" t="str" cm="1">
        <f t="array" ref="AQ10">AQ26</f>
        <v>Принято органом регулирования</v>
      </c>
      <c r="AR10" s="917" t="str" cm="1">
        <f t="array" ref="AR10">AR26</f>
        <v>Отклонение, %</v>
      </c>
      <c r="AS10" s="917" t="str" cm="1">
        <f t="array" ref="AS10">AS26</f>
        <v>Предложение организации</v>
      </c>
      <c r="AT10" s="917" t="str" cm="1">
        <f t="array" ref="AT10">AT26</f>
        <v>Принято органом регулирования</v>
      </c>
      <c r="AU10" s="917" t="str" cm="1">
        <f t="array" ref="AU10">AU26</f>
        <v>Отклонение, %</v>
      </c>
      <c r="AV10" s="917" t="str" cm="1">
        <f t="array" ref="AV10">AV26</f>
        <v>Предложение организации</v>
      </c>
      <c r="AW10" s="917" t="str" cm="1">
        <f t="array" ref="AW10">AW26</f>
        <v>Принято органом регулирования</v>
      </c>
      <c r="AX10" s="917" t="str" cm="1">
        <f t="array" ref="AX10">AX26</f>
        <v>Отклонение, %</v>
      </c>
      <c r="AY10" s="917" t="str" cm="1">
        <f t="array" ref="AY10">AY26</f>
        <v>Предложение организации</v>
      </c>
      <c r="AZ10" s="917" t="str" cm="1">
        <f t="array" ref="AZ10">AZ26</f>
        <v>Принято органом регулирования</v>
      </c>
      <c r="BA10" s="917" t="str" cm="1">
        <f t="array" ref="BA10">BA26</f>
        <v>Отклонение, %</v>
      </c>
      <c r="BB10" s="917" t="str" cm="1">
        <f t="array" ref="BB10">BB26</f>
        <v>Предложение организации</v>
      </c>
      <c r="BC10" s="917" t="str" cm="1">
        <f t="array" ref="BC10">BC26</f>
        <v>Принято органом регулирования</v>
      </c>
      <c r="BD10" s="917" t="str" cm="1">
        <f t="array" ref="BD10">BD26</f>
        <v>Отклонение, %</v>
      </c>
      <c r="BE10" s="917" t="str" cm="1">
        <f t="array" ref="BE10">BE26</f>
        <v>Предложение организации</v>
      </c>
      <c r="BF10" s="917" t="str" cm="1">
        <f t="array" ref="BF10">BF26</f>
        <v>Принято органом регулирования</v>
      </c>
      <c r="BG10" s="917" t="str" cm="1">
        <f t="array" ref="BG10">BG26</f>
        <v>Отклонение, %</v>
      </c>
      <c r="BH10" s="917" t="str" cm="1">
        <f t="array" ref="BH10">BH26</f>
        <v>Предложение организации</v>
      </c>
      <c r="BI10" s="917" t="str" cm="1">
        <f t="array" ref="BI10">BI26</f>
        <v>Принято органом регулирования</v>
      </c>
      <c r="BJ10" s="917" t="str" cm="1">
        <f t="array" ref="BJ10">BJ26</f>
        <v>Отклонение, %</v>
      </c>
      <c r="BK10" s="917" t="str" cm="1">
        <f t="array" ref="BK10">BK26</f>
        <v>Предложение организации</v>
      </c>
      <c r="BL10" s="917" t="str" cm="1">
        <f t="array" ref="BL10">BL26</f>
        <v>Принято органом регулирования</v>
      </c>
      <c r="BM10" s="917" t="str" cm="1">
        <f t="array" ref="BM10">BM26</f>
        <v>Отклонение, %</v>
      </c>
      <c r="BN10" s="917" t="str" cm="1">
        <f t="array" ref="BN10">BN26</f>
        <v>Предложение организации</v>
      </c>
      <c r="BO10" s="917" t="str" cm="1">
        <f t="array" ref="BO10">BO26</f>
        <v>Принято органом регулирования</v>
      </c>
      <c r="BP10" s="917" t="str" cm="1">
        <f t="array" ref="BP10">BP26</f>
        <v>Отклонение, %</v>
      </c>
      <c r="BQ10" s="917" t="str" cm="1">
        <f t="array" ref="BQ10">BQ26</f>
        <v>Предложение организации</v>
      </c>
      <c r="BR10" s="917" t="str" cm="1">
        <f t="array" ref="BR10">BR26</f>
        <v>Принято органом регулирования</v>
      </c>
      <c r="BS10" s="917" t="str" cm="1">
        <f t="array" ref="BS10">BS26</f>
        <v>Отклонение, %</v>
      </c>
      <c r="BT10" s="917" t="str" cm="1">
        <f t="array" ref="BT10">BT26</f>
        <v>Предложение организации</v>
      </c>
      <c r="BU10" s="917" t="str" cm="1">
        <f t="array" ref="BU10">BU26</f>
        <v>Принято органом регулирования</v>
      </c>
      <c r="BV10" s="917" t="str" cm="1">
        <f t="array" ref="BV10">BV26</f>
        <v>Отклонение, %</v>
      </c>
      <c r="BW10" s="917" t="str" cm="1">
        <f t="array" ref="BW10">BW26</f>
        <v>Предложение организации</v>
      </c>
      <c r="BX10" s="917" t="str" cm="1">
        <f t="array" ref="BX10">BX26</f>
        <v>Принято органом регулирования</v>
      </c>
      <c r="BY10" s="917" t="str" cm="1">
        <f t="array" ref="BY10">BY26</f>
        <v>Отклонение, %</v>
      </c>
      <c r="BZ10" s="917" t="str" cm="1">
        <f t="array" ref="BZ10">BZ26</f>
        <v>Предложение организации</v>
      </c>
      <c r="CA10" s="917" t="str" cm="1">
        <f t="array" ref="CA10">CA26</f>
        <v>Принято органом регулирования</v>
      </c>
      <c r="CB10" s="917" t="str" cm="1">
        <f t="array" ref="CB10">CB26</f>
        <v>Отклонение, %</v>
      </c>
      <c r="CC10" s="917" t="str" cm="1">
        <f t="array" ref="CC10">CC26</f>
        <v>Предложение организации</v>
      </c>
      <c r="CD10" s="917" t="str" cm="1">
        <f t="array" ref="CD10">CD26</f>
        <v>Принято органом регулирования</v>
      </c>
      <c r="CE10" s="917" t="str" cm="1">
        <f t="array" ref="CE10">CE26</f>
        <v>Отклонение, %</v>
      </c>
      <c r="CF10" s="917" t="str" cm="1">
        <f t="array" ref="CF10">CF26</f>
        <v>Предложение организации</v>
      </c>
      <c r="CG10" s="917" t="str" cm="1">
        <f t="array" ref="CG10">CG26</f>
        <v>Принято органом регулирования</v>
      </c>
      <c r="CH10" s="917" t="str" cm="1">
        <f t="array" ref="CH10">CH26</f>
        <v>Отклонение, %</v>
      </c>
      <c r="CI10" s="917" t="str" cm="1">
        <f t="array" ref="CI10">CI26</f>
        <v>Предложение организации</v>
      </c>
      <c r="CJ10" s="917" t="str" cm="1">
        <f t="array" ref="CJ10">CJ26</f>
        <v>Принято органом регулирования</v>
      </c>
      <c r="CK10" s="917" t="str" cm="1">
        <f t="array" ref="CK10">CK26</f>
        <v>Отклонение, %</v>
      </c>
      <c r="CL10" s="917" t="str" cm="1">
        <f t="array" ref="CL10">CL26</f>
        <v>Предложение организации</v>
      </c>
      <c r="CM10" s="917" t="str" cm="1">
        <f t="array" ref="CM10">CM26</f>
        <v>Принято органом регулирования</v>
      </c>
      <c r="CN10" s="917" t="str" cm="1">
        <f t="array" ref="CN10">CN26</f>
        <v>Отклонение, %</v>
      </c>
      <c r="CO10" s="917" t="str" cm="1">
        <f t="array" ref="CO10">CO26</f>
        <v>Предложение организации</v>
      </c>
      <c r="CP10" s="917" t="str" cm="1">
        <f t="array" ref="CP10">CP26</f>
        <v>Принято органом регулирования</v>
      </c>
      <c r="CQ10" s="917" t="str" cm="1">
        <f t="array" ref="CQ10">CQ26</f>
        <v>Отклонение, %</v>
      </c>
      <c r="CR10" s="917" t="str" cm="1">
        <f t="array" ref="CR10">CR26</f>
        <v>Предложение организации</v>
      </c>
      <c r="CS10" s="917" t="str" cm="1">
        <f t="array" ref="CS10">CS26</f>
        <v>Принято органом регулирования</v>
      </c>
      <c r="CT10" s="917" t="str" cm="1">
        <f t="array" ref="CT10">CT26</f>
        <v>Отклонение, %</v>
      </c>
      <c r="CU10" s="917" t="str" cm="1">
        <f t="array" ref="CU10">CU26</f>
        <v>Предложение организации</v>
      </c>
      <c r="CV10" s="917" t="str" cm="1">
        <f t="array" ref="CV10">CV26</f>
        <v>Принято органом регулирования</v>
      </c>
      <c r="CW10" s="917" t="str" cm="1">
        <f t="array" ref="CW10">CW26</f>
        <v>Отклонение, %</v>
      </c>
      <c r="CX10" s="917" t="str" cm="1">
        <f t="array" ref="CX10">CX26</f>
        <v>Предложение организации</v>
      </c>
      <c r="CY10" s="917" t="str" cm="1">
        <f t="array" ref="CY10">CY26</f>
        <v>Принято органом регулирования</v>
      </c>
      <c r="CZ10" s="917" t="str" cm="1">
        <f t="array" ref="CZ10">CZ26</f>
        <v>Отклонение, %</v>
      </c>
      <c r="DA10" s="917" t="str" cm="1">
        <f t="array" ref="DA10">DA26</f>
        <v>Предложение организации</v>
      </c>
      <c r="DB10" s="917" t="str" cm="1">
        <f t="array" ref="DB10">DB26</f>
        <v>Принято органом регулирования</v>
      </c>
      <c r="DC10" s="917" t="str" cm="1">
        <f t="array" ref="DC10">DC26</f>
        <v>Отклонение, %</v>
      </c>
      <c r="DD10" s="917" t="str" cm="1">
        <f t="array" ref="DD10">DD26</f>
        <v>Предложение организации</v>
      </c>
      <c r="DE10" s="917" t="str" cm="1">
        <f t="array" ref="DE10">DE26</f>
        <v>Принято органом регулирования</v>
      </c>
      <c r="DF10" s="917" t="str" cm="1">
        <f t="array" ref="DF10">DF26</f>
        <v>Отклонение, %</v>
      </c>
      <c r="DG10" s="917" t="str" cm="1">
        <f t="array" ref="DG10">DG26</f>
        <v>Предложение организации</v>
      </c>
      <c r="DH10" s="917" t="str" cm="1">
        <f t="array" ref="DH10">DH26</f>
        <v>Принято органом регулирования</v>
      </c>
      <c r="DI10" s="917" t="str" cm="1">
        <f t="array" ref="DI10">DI26</f>
        <v>Отклонение, %</v>
      </c>
      <c r="DJ10" s="917" t="str" cm="1">
        <f t="array" ref="DJ10">DJ26</f>
        <v>Предложение организации</v>
      </c>
      <c r="DK10" s="917" t="str" cm="1">
        <f t="array" ref="DK10">DK26</f>
        <v>Принято органом регулирования</v>
      </c>
      <c r="DL10" s="917" t="str" cm="1">
        <f t="array" ref="DL10">DL26</f>
        <v>Отклонение, %</v>
      </c>
      <c r="DM10" s="917" t="str" cm="1">
        <f t="array" ref="DM10">DM26</f>
        <v>Предложение организации</v>
      </c>
      <c r="DN10" s="917" t="str" cm="1">
        <f t="array" ref="DN10">DN26</f>
        <v>Принято органом регулирования</v>
      </c>
      <c r="DO10" s="917" t="str" cm="1">
        <f t="array" ref="DO10">DO26</f>
        <v>Отклонение, %</v>
      </c>
      <c r="DP10" s="917" t="str" cm="1">
        <f t="array" ref="DP10">DP26</f>
        <v>Предложение организации</v>
      </c>
      <c r="DQ10" s="917" t="str" cm="1">
        <f t="array" ref="DQ10">DQ26</f>
        <v>Принято органом регулирования</v>
      </c>
      <c r="DR10" s="917" t="str" cm="1">
        <f t="array" ref="DR10">DR26</f>
        <v>Отклонение, %</v>
      </c>
      <c r="DS10" s="917" t="str" cm="1">
        <f t="array" ref="DS10">DS26</f>
        <v>Предложение организации</v>
      </c>
      <c r="DT10" s="917" t="str" cm="1">
        <f t="array" ref="DT10">DT26</f>
        <v>Принято органом регулирования</v>
      </c>
      <c r="DU10" s="917" t="str" cm="1">
        <f t="array" ref="DU10">DU26</f>
        <v>Отклонение, %</v>
      </c>
      <c r="DV10" s="917" t="str" cm="1">
        <f t="array" ref="DV10">DV26</f>
        <v>Предложение организации</v>
      </c>
      <c r="DW10" s="917" t="str" cm="1">
        <f t="array" ref="DW10">DW26</f>
        <v>Принято органом регулирования</v>
      </c>
      <c r="DX10" s="917" t="str" cm="1">
        <f t="array" ref="DX10">DX26</f>
        <v>Отклонение, %</v>
      </c>
      <c r="DY10" s="917" t="str" cm="1">
        <f t="array" ref="DY10">DY26</f>
        <v>Предложение организации</v>
      </c>
      <c r="DZ10" s="917" t="str" cm="1">
        <f t="array" ref="DZ10">DZ26</f>
        <v>Принято органом регулирования</v>
      </c>
      <c r="EA10" s="917" t="str" cm="1">
        <f t="array" ref="EA10">EA26</f>
        <v>Отклонение, %</v>
      </c>
      <c r="EB10" s="917" t="str" cm="1">
        <f t="array" ref="EB10">EB26</f>
        <v>Предложение организации</v>
      </c>
      <c r="EC10" s="917" t="str" cm="1">
        <f t="array" ref="EC10">EC26</f>
        <v>Принято органом регулирования</v>
      </c>
      <c r="ED10" s="917" t="str" cm="1">
        <f t="array" ref="ED10">ED26</f>
        <v>Отклонение, %</v>
      </c>
      <c r="EE10" s="917" t="str" cm="1">
        <f t="array" ref="EE10">EE26</f>
        <v>Предложение организации</v>
      </c>
      <c r="EF10" s="917" t="str" cm="1">
        <f t="array" ref="EF10">EF26</f>
        <v>Принято органом регулирования</v>
      </c>
      <c r="EG10" s="917" t="str" cm="1">
        <f t="array" ref="EG10">EG26</f>
        <v>Отклонение, %</v>
      </c>
      <c r="EH10" s="917" t="str" cm="1">
        <f t="array" ref="EH10">EH26</f>
        <v>Предложение организации</v>
      </c>
      <c r="EI10" s="917" t="str" cm="1">
        <f t="array" ref="EI10">EI26</f>
        <v>Принято органом регулирования</v>
      </c>
      <c r="EJ10" s="917" t="str" cm="1">
        <f t="array" ref="EJ10">EJ26</f>
        <v>Отклонение, %</v>
      </c>
      <c r="EK10" s="917" t="str" cm="1">
        <f t="array" ref="EK10">EK26</f>
        <v>Предложение организации</v>
      </c>
      <c r="EL10" s="917" t="str" cm="1">
        <f t="array" ref="EL10">EL26</f>
        <v>Принято органом регулирования</v>
      </c>
      <c r="EM10" s="917" t="str" cm="1">
        <f t="array" ref="EM10">EM26</f>
        <v>Отклонение, %</v>
      </c>
      <c r="EN10" s="917" t="str" cm="1">
        <f t="array" ref="EN10">EN26</f>
        <v>Предложение организации</v>
      </c>
      <c r="EO10" s="917" t="str" cm="1">
        <f t="array" ref="EO10">EO26</f>
        <v>Принято органом регулирования</v>
      </c>
      <c r="EP10" s="917" t="str" cm="1">
        <f t="array" ref="EP10">EP26</f>
        <v>Отклонение, %</v>
      </c>
      <c r="EQ10" s="917" t="str" cm="1">
        <f t="array" ref="EQ10">EQ26</f>
        <v>Предложение организации</v>
      </c>
      <c r="ER10" s="917" t="str" cm="1">
        <f t="array" ref="ER10">ER26</f>
        <v>Принято органом регулирования</v>
      </c>
      <c r="ES10" s="917" t="str" cm="1">
        <f t="array" ref="ES10">ES26</f>
        <v>Отклонение, %</v>
      </c>
      <c r="ET10" s="917" t="str" cm="1">
        <f t="array" ref="ET10">ET26</f>
        <v>Предложение организации</v>
      </c>
      <c r="EU10" s="917" t="str" cm="1">
        <f t="array" ref="EU10">EU26</f>
        <v>Принято органом регулирования</v>
      </c>
      <c r="EV10" s="917" t="str" cm="1">
        <f t="array" ref="EV10">EV26</f>
        <v>Отклонение, %</v>
      </c>
      <c r="EW10" s="917" t="str" cm="1">
        <f t="array" ref="EW10">EW26</f>
        <v>Предложение организации</v>
      </c>
      <c r="EX10" s="917" t="str" cm="1">
        <f t="array" ref="EX10">EX26</f>
        <v>Принято органом регулирования</v>
      </c>
      <c r="EY10" s="917" t="str" cm="1">
        <f t="array" ref="EY10">EY26</f>
        <v>Отклонение, %</v>
      </c>
      <c r="EZ10" s="917" t="str" cm="1">
        <f t="array" ref="EZ10">EZ26</f>
        <v>Предложение организации</v>
      </c>
      <c r="FA10" s="917" t="str" cm="1">
        <f t="array" ref="FA10">FA26</f>
        <v>Принято органом регулирования</v>
      </c>
      <c r="FB10" s="917" t="str" cm="1">
        <f t="array" ref="FB10">FB26</f>
        <v>Отклонение, %</v>
      </c>
      <c r="FC10" s="917" t="str" cm="1">
        <f t="array" ref="FC10">FC26</f>
        <v>Предложение организации</v>
      </c>
      <c r="FD10" s="917" t="str" cm="1">
        <f t="array" ref="FD10">FD26</f>
        <v>Принято органом регулирования</v>
      </c>
      <c r="FE10" s="917" t="str" cm="1">
        <f t="array" ref="FE10">FE26</f>
        <v>Отклонение, %</v>
      </c>
      <c r="FF10" s="917" t="str" cm="1">
        <f t="array" ref="FF10">FF26</f>
        <v>Предложение организации</v>
      </c>
      <c r="FG10" s="917" t="str" cm="1">
        <f t="array" ref="FG10">FG26</f>
        <v>Принято органом регулирования</v>
      </c>
      <c r="FH10" s="917" t="str" cm="1">
        <f t="array" ref="FH10">FH26</f>
        <v>Отклонение, %</v>
      </c>
      <c r="FI10" s="917" t="str" cm="1">
        <f t="array" ref="FI10">FI26</f>
        <v>Предложение организации</v>
      </c>
      <c r="FJ10" s="917" t="str" cm="1">
        <f t="array" ref="FJ10">FJ26</f>
        <v>Принято органом регулирования</v>
      </c>
      <c r="FK10" s="917" t="str" cm="1">
        <f t="array" ref="FK10">FK26</f>
        <v>Отклонение, %</v>
      </c>
      <c r="FL10" s="917" t="str" cm="1">
        <f t="array" ref="FL10">FL26</f>
        <v>Предложение организации</v>
      </c>
      <c r="FM10" s="917" t="str" cm="1">
        <f t="array" ref="FM10">FM26</f>
        <v>Принято органом регулирования</v>
      </c>
      <c r="FN10" s="917" t="str" cm="1">
        <f t="array" ref="FN10">FN26</f>
        <v>Отклонение, %</v>
      </c>
      <c r="FO10" s="917" t="str" cm="1">
        <f t="array" ref="FO10">FO26</f>
        <v>Предложение организации</v>
      </c>
      <c r="FP10" s="917" t="str" cm="1">
        <f t="array" ref="FP10">FP26</f>
        <v>Принято органом регулирования</v>
      </c>
      <c r="FQ10" s="917" t="str" cm="1">
        <f t="array" ref="FQ10">FQ26</f>
        <v>Отклонение, %</v>
      </c>
      <c r="FR10" s="917" t="str" cm="1">
        <f t="array" ref="FR10">FR26</f>
        <v>Предложение организации</v>
      </c>
      <c r="FS10" s="917" t="str" cm="1">
        <f t="array" ref="FS10">FS26</f>
        <v>Принято органом регулирования</v>
      </c>
      <c r="FT10" s="917" t="str" cm="1">
        <f t="array" ref="FT10">FT26</f>
        <v>Отклонение, %</v>
      </c>
      <c r="FU10" s="917" t="str" cm="1">
        <f t="array" ref="FU10">FU26</f>
        <v>Предложение организации</v>
      </c>
      <c r="FV10" s="917" t="str" cm="1">
        <f t="array" ref="FV10">FV26</f>
        <v>Принято органом регулирования</v>
      </c>
      <c r="FW10" s="917" t="str" cm="1">
        <f t="array" ref="FW10">FW26</f>
        <v>Отклонение, %</v>
      </c>
      <c r="GC10" s="549"/>
      <c r="GD10" s="549"/>
    </row>
    <row r="11" spans="1:186" s="1209" customFormat="1" ht="11.25" hidden="1" customHeight="1">
      <c r="A11" s="917" t="s">
        <v>329</v>
      </c>
      <c r="B11" s="954"/>
      <c r="F11" s="955"/>
      <c r="AB11" s="956" t="s">
        <v>316</v>
      </c>
      <c r="AC11" s="915"/>
      <c r="GC11" s="549"/>
      <c r="GD11" s="549"/>
    </row>
    <row r="12" spans="1:186" ht="11.25" hidden="1" customHeight="1"/>
    <row r="13" spans="1:186" ht="11.25" hidden="1" customHeight="1"/>
    <row r="14" spans="1:186" ht="11.25" hidden="1" customHeight="1"/>
    <row r="15" spans="1:186" ht="11.25" hidden="1" customHeight="1"/>
    <row r="16" spans="1:186" ht="11.25" hidden="1" customHeight="1"/>
    <row r="17" spans="1:186" ht="11.25" hidden="1" customHeight="1"/>
    <row r="18" spans="1:186" ht="11.25" hidden="1" customHeight="1">
      <c r="A18" s="17" t="s">
        <v>358</v>
      </c>
      <c r="AB18" s="125" t="s">
        <v>359</v>
      </c>
    </row>
    <row r="19" spans="1:186" ht="11.25" hidden="1" customHeight="1"/>
    <row r="20" spans="1:186" ht="11.25" hidden="1" customHeight="1"/>
    <row r="21" spans="1:186" ht="14.65" customHeight="1">
      <c r="E21" s="549">
        <v>15</v>
      </c>
      <c r="AA21" s="574"/>
      <c r="AB21" s="279" t="str" cm="1">
        <f t="array" ref="AB21">tpl_title</f>
        <v>Кемеровская область / 2026 / ОАО «СКЭК» (ИНН:4205153492, КПП:420501001) / ДПР: 2026-2026</v>
      </c>
    </row>
    <row r="22" spans="1:186" s="1242" customFormat="1" ht="23.45" customHeight="1">
      <c r="B22" s="753"/>
      <c r="E22" s="550">
        <v>24</v>
      </c>
      <c r="F22" s="410"/>
      <c r="S22" s="409"/>
      <c r="AB22" s="232" t="s">
        <v>82</v>
      </c>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201"/>
      <c r="DF22" s="201"/>
      <c r="DG22" s="201"/>
      <c r="DH22" s="201"/>
      <c r="DI22" s="201"/>
      <c r="DJ22" s="201"/>
      <c r="DK22" s="201"/>
      <c r="DL22" s="201"/>
      <c r="DM22" s="201"/>
      <c r="DN22" s="201"/>
      <c r="DO22" s="201"/>
      <c r="DP22" s="20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c r="FA22" s="201"/>
      <c r="FB22" s="201"/>
      <c r="FC22" s="201"/>
      <c r="FD22" s="201"/>
      <c r="FE22" s="201"/>
      <c r="FF22" s="201"/>
      <c r="FG22" s="201"/>
      <c r="FH22" s="201"/>
      <c r="FI22" s="201"/>
      <c r="FJ22" s="201"/>
      <c r="FK22" s="201"/>
      <c r="FL22" s="201"/>
      <c r="FM22" s="201"/>
      <c r="FN22" s="201"/>
      <c r="FO22" s="201"/>
      <c r="FP22" s="201"/>
      <c r="FQ22" s="201"/>
      <c r="FR22" s="201"/>
      <c r="FS22" s="201"/>
      <c r="FT22" s="201"/>
      <c r="FU22" s="201"/>
      <c r="FV22" s="201"/>
      <c r="FW22" s="201"/>
      <c r="FZ22" s="920"/>
      <c r="GA22" s="920"/>
      <c r="GB22" s="920"/>
      <c r="GC22" s="550"/>
      <c r="GD22" s="550"/>
    </row>
    <row r="23" spans="1:186" ht="10.9" customHeight="1">
      <c r="E23" s="549">
        <v>11.25</v>
      </c>
      <c r="AB23" s="63"/>
      <c r="AD23" s="63"/>
    </row>
    <row r="24" spans="1:186" s="1242" customFormat="1" ht="18.95" customHeight="1">
      <c r="B24" s="409"/>
      <c r="E24" s="550">
        <v>19.5</v>
      </c>
      <c r="F24" s="410"/>
      <c r="T24" s="381" t="b">
        <f>OR(hasVS,hasVO)</f>
        <v>1</v>
      </c>
      <c r="AA24" s="299"/>
      <c r="AB24" s="323" t="s">
        <v>82</v>
      </c>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3"/>
      <c r="DZ24" s="283"/>
      <c r="EA24" s="283"/>
      <c r="EB24" s="283"/>
      <c r="EC24" s="283"/>
      <c r="ED24" s="283"/>
      <c r="EE24" s="283"/>
      <c r="EF24" s="283"/>
      <c r="EG24" s="283"/>
      <c r="EH24" s="283"/>
      <c r="EI24" s="283"/>
      <c r="EJ24" s="283"/>
      <c r="EK24" s="283"/>
      <c r="EL24" s="283"/>
      <c r="EM24" s="283"/>
      <c r="EN24" s="283"/>
      <c r="EO24" s="283"/>
      <c r="EP24" s="283"/>
      <c r="EQ24" s="283"/>
      <c r="ER24" s="283"/>
      <c r="ES24" s="283"/>
      <c r="ET24" s="283"/>
      <c r="EU24" s="283"/>
      <c r="EV24" s="283"/>
      <c r="EW24" s="283"/>
      <c r="EX24" s="283"/>
      <c r="EY24" s="283"/>
      <c r="EZ24" s="283"/>
      <c r="FA24" s="283"/>
      <c r="FB24" s="283"/>
      <c r="FC24" s="283"/>
      <c r="FD24" s="283"/>
      <c r="FE24" s="283"/>
      <c r="FF24" s="283"/>
      <c r="FG24" s="283"/>
      <c r="FH24" s="283"/>
      <c r="FI24" s="283"/>
      <c r="FJ24" s="283"/>
      <c r="FK24" s="283"/>
      <c r="FL24" s="283"/>
      <c r="FM24" s="283"/>
      <c r="FN24" s="283"/>
      <c r="FO24" s="283"/>
      <c r="FP24" s="283"/>
      <c r="FQ24" s="283"/>
      <c r="FR24" s="283"/>
      <c r="FS24" s="283"/>
      <c r="FT24" s="283"/>
      <c r="FU24" s="283"/>
      <c r="FV24" s="283"/>
      <c r="FW24" s="283"/>
      <c r="FZ24" s="920"/>
      <c r="GA24" s="920"/>
      <c r="GB24" s="920"/>
      <c r="GC24" s="550"/>
      <c r="GD24" s="550"/>
    </row>
    <row r="25" spans="1:186" ht="10.9" customHeight="1">
      <c r="E25" s="549">
        <v>11.25</v>
      </c>
      <c r="T25" s="381" t="b">
        <f>OR(hasVS,hasVO)</f>
        <v>1</v>
      </c>
      <c r="AB25" s="1756" t="s">
        <v>359</v>
      </c>
      <c r="AC25" s="1756" t="s">
        <v>360</v>
      </c>
      <c r="AD25" s="1832" t="str">
        <f>AD6&amp;" год"</f>
        <v>2026 год</v>
      </c>
      <c r="AE25" s="1833"/>
      <c r="AF25" s="1834"/>
      <c r="AG25" s="1832" t="str">
        <f>AG6&amp;" год"</f>
        <v>2027 год</v>
      </c>
      <c r="AH25" s="1833"/>
      <c r="AI25" s="1834"/>
      <c r="AJ25" s="1832" t="str">
        <f>AJ6&amp;" год"</f>
        <v>2028 год</v>
      </c>
      <c r="AK25" s="1833"/>
      <c r="AL25" s="1834"/>
      <c r="AM25" s="1832" t="str">
        <f>AM6&amp;" год"</f>
        <v>2029 год</v>
      </c>
      <c r="AN25" s="1833"/>
      <c r="AO25" s="1834"/>
      <c r="AP25" s="1832" t="str">
        <f>AP6&amp;" год"</f>
        <v>2030 год</v>
      </c>
      <c r="AQ25" s="1833"/>
      <c r="AR25" s="1834"/>
      <c r="AS25" s="1832" t="str">
        <f>AS6&amp;" год"</f>
        <v>2031 год</v>
      </c>
      <c r="AT25" s="1833"/>
      <c r="AU25" s="1834"/>
      <c r="AV25" s="1832" t="str">
        <f>AV6&amp;" год"</f>
        <v>2032 год</v>
      </c>
      <c r="AW25" s="1833"/>
      <c r="AX25" s="1834"/>
      <c r="AY25" s="1832" t="str">
        <f>AY6&amp;" год"</f>
        <v>2033 год</v>
      </c>
      <c r="AZ25" s="1833"/>
      <c r="BA25" s="1834"/>
      <c r="BB25" s="1832" t="str">
        <f>BB6&amp;" год"</f>
        <v>2034 год</v>
      </c>
      <c r="BC25" s="1833"/>
      <c r="BD25" s="1834"/>
      <c r="BE25" s="1832" t="str">
        <f>BE6&amp;" год"</f>
        <v>2035 год</v>
      </c>
      <c r="BF25" s="1833"/>
      <c r="BG25" s="1834"/>
      <c r="BH25" s="1832" t="str">
        <f>BH6&amp;" год"</f>
        <v>2036 год</v>
      </c>
      <c r="BI25" s="1833"/>
      <c r="BJ25" s="1834"/>
      <c r="BK25" s="1832" t="str">
        <f>BK6&amp;" год"</f>
        <v>2037 год</v>
      </c>
      <c r="BL25" s="1833"/>
      <c r="BM25" s="1834"/>
      <c r="BN25" s="1832" t="str">
        <f>BN6&amp;" год"</f>
        <v>2038 год</v>
      </c>
      <c r="BO25" s="1833"/>
      <c r="BP25" s="1834"/>
      <c r="BQ25" s="1832" t="str">
        <f>BQ6&amp;" год"</f>
        <v>2039 год</v>
      </c>
      <c r="BR25" s="1833"/>
      <c r="BS25" s="1834"/>
      <c r="BT25" s="1832" t="str">
        <f>BT6&amp;" год"</f>
        <v>2040 год</v>
      </c>
      <c r="BU25" s="1833"/>
      <c r="BV25" s="1834"/>
      <c r="BW25" s="1832" t="str">
        <f>BW6&amp;" год"</f>
        <v>2041 год</v>
      </c>
      <c r="BX25" s="1833"/>
      <c r="BY25" s="1834"/>
      <c r="BZ25" s="1832" t="str">
        <f>BZ6&amp;" год"</f>
        <v>2042 год</v>
      </c>
      <c r="CA25" s="1833"/>
      <c r="CB25" s="1834"/>
      <c r="CC25" s="1832" t="str">
        <f>CC6&amp;" год"</f>
        <v>2043 год</v>
      </c>
      <c r="CD25" s="1833"/>
      <c r="CE25" s="1834"/>
      <c r="CF25" s="1832" t="str">
        <f>CF6&amp;" год"</f>
        <v>2044 год</v>
      </c>
      <c r="CG25" s="1833"/>
      <c r="CH25" s="1834"/>
      <c r="CI25" s="1832" t="str">
        <f>CI6&amp;" год"</f>
        <v>2045 год</v>
      </c>
      <c r="CJ25" s="1833"/>
      <c r="CK25" s="1834"/>
      <c r="CL25" s="1832" t="str">
        <f>CL6&amp;" год"</f>
        <v>2046 год</v>
      </c>
      <c r="CM25" s="1833"/>
      <c r="CN25" s="1834"/>
      <c r="CO25" s="1832" t="str">
        <f>CO6&amp;" год"</f>
        <v>2047 год</v>
      </c>
      <c r="CP25" s="1833"/>
      <c r="CQ25" s="1834"/>
      <c r="CR25" s="1832" t="str">
        <f>CR6&amp;" год"</f>
        <v>2048 год</v>
      </c>
      <c r="CS25" s="1833"/>
      <c r="CT25" s="1834"/>
      <c r="CU25" s="1832" t="str">
        <f>CU6&amp;" год"</f>
        <v>2049 год</v>
      </c>
      <c r="CV25" s="1833"/>
      <c r="CW25" s="1834"/>
      <c r="CX25" s="1832" t="str">
        <f>CX6&amp;" год"</f>
        <v>2050 год</v>
      </c>
      <c r="CY25" s="1833"/>
      <c r="CZ25" s="1834"/>
      <c r="DA25" s="1832" t="str">
        <f>DA6&amp;" год"</f>
        <v>2051 год</v>
      </c>
      <c r="DB25" s="1833"/>
      <c r="DC25" s="1834"/>
      <c r="DD25" s="1832" t="str">
        <f>DD6&amp;" год"</f>
        <v>2052 год</v>
      </c>
      <c r="DE25" s="1833"/>
      <c r="DF25" s="1834"/>
      <c r="DG25" s="1832" t="str">
        <f>DG6&amp;" год"</f>
        <v>2053 год</v>
      </c>
      <c r="DH25" s="1833"/>
      <c r="DI25" s="1834"/>
      <c r="DJ25" s="1832" t="str">
        <f>DJ6&amp;" год"</f>
        <v>2054 год</v>
      </c>
      <c r="DK25" s="1833"/>
      <c r="DL25" s="1834"/>
      <c r="DM25" s="1832" t="str">
        <f>DM6&amp;" год"</f>
        <v>2055 год</v>
      </c>
      <c r="DN25" s="1833"/>
      <c r="DO25" s="1834"/>
      <c r="DP25" s="1832" t="str">
        <f>DP6&amp;" год"</f>
        <v>2056 год</v>
      </c>
      <c r="DQ25" s="1833"/>
      <c r="DR25" s="1834"/>
      <c r="DS25" s="1832" t="str">
        <f>DS6&amp;" год"</f>
        <v>2057 год</v>
      </c>
      <c r="DT25" s="1833"/>
      <c r="DU25" s="1834"/>
      <c r="DV25" s="1832" t="str">
        <f>DV6&amp;" год"</f>
        <v>2058 год</v>
      </c>
      <c r="DW25" s="1833"/>
      <c r="DX25" s="1834"/>
      <c r="DY25" s="1832" t="str">
        <f>DY6&amp;" год"</f>
        <v>2059 год</v>
      </c>
      <c r="DZ25" s="1833"/>
      <c r="EA25" s="1834"/>
      <c r="EB25" s="1832" t="str">
        <f>EB6&amp;" год"</f>
        <v>2060 год</v>
      </c>
      <c r="EC25" s="1833"/>
      <c r="ED25" s="1834"/>
      <c r="EE25" s="1832" t="str">
        <f>EE6&amp;" год"</f>
        <v>2061 год</v>
      </c>
      <c r="EF25" s="1833"/>
      <c r="EG25" s="1834"/>
      <c r="EH25" s="1832" t="str">
        <f>EH6&amp;" год"</f>
        <v>2062 год</v>
      </c>
      <c r="EI25" s="1833"/>
      <c r="EJ25" s="1834"/>
      <c r="EK25" s="1832" t="str">
        <f>EK6&amp;" год"</f>
        <v>2063 год</v>
      </c>
      <c r="EL25" s="1833"/>
      <c r="EM25" s="1834"/>
      <c r="EN25" s="1832" t="str">
        <f>EN6&amp;" год"</f>
        <v>2064 год</v>
      </c>
      <c r="EO25" s="1833"/>
      <c r="EP25" s="1834"/>
      <c r="EQ25" s="1832" t="str">
        <f>EQ6&amp;" год"</f>
        <v>2065 год</v>
      </c>
      <c r="ER25" s="1833"/>
      <c r="ES25" s="1834"/>
      <c r="ET25" s="1832" t="str">
        <f>ET6&amp;" год"</f>
        <v>2066 год</v>
      </c>
      <c r="EU25" s="1833"/>
      <c r="EV25" s="1834"/>
      <c r="EW25" s="1832" t="str">
        <f>EW6&amp;" год"</f>
        <v>2067 год</v>
      </c>
      <c r="EX25" s="1833"/>
      <c r="EY25" s="1834"/>
      <c r="EZ25" s="1832" t="str">
        <f>EZ6&amp;" год"</f>
        <v>2068 год</v>
      </c>
      <c r="FA25" s="1833"/>
      <c r="FB25" s="1834"/>
      <c r="FC25" s="1832" t="str">
        <f>FC6&amp;" год"</f>
        <v>2069 год</v>
      </c>
      <c r="FD25" s="1833"/>
      <c r="FE25" s="1834"/>
      <c r="FF25" s="1832" t="str">
        <f>FF6&amp;" год"</f>
        <v>2070 год</v>
      </c>
      <c r="FG25" s="1833"/>
      <c r="FH25" s="1834"/>
      <c r="FI25" s="1832" t="str">
        <f>FI6&amp;" год"</f>
        <v>2071 год</v>
      </c>
      <c r="FJ25" s="1833"/>
      <c r="FK25" s="1834"/>
      <c r="FL25" s="1832" t="str">
        <f>FL6&amp;" год"</f>
        <v>2072 год</v>
      </c>
      <c r="FM25" s="1833"/>
      <c r="FN25" s="1834"/>
      <c r="FO25" s="1832" t="str">
        <f>FO6&amp;" год"</f>
        <v>2073 год</v>
      </c>
      <c r="FP25" s="1833"/>
      <c r="FQ25" s="1834"/>
      <c r="FR25" s="1832" t="str">
        <f>FR6&amp;" год"</f>
        <v>2074 год</v>
      </c>
      <c r="FS25" s="1833"/>
      <c r="FT25" s="1834"/>
      <c r="FU25" s="1832" t="str">
        <f>FU6&amp;" год"</f>
        <v>2075 год</v>
      </c>
      <c r="FV25" s="1833"/>
      <c r="FW25" s="1834"/>
    </row>
    <row r="26" spans="1:186" ht="33.4" customHeight="1">
      <c r="E26" s="549">
        <v>34.25</v>
      </c>
      <c r="T26" s="381" t="b">
        <f>OR(hasVS,hasVO)</f>
        <v>1</v>
      </c>
      <c r="AB26" s="1756"/>
      <c r="AC26" s="1756"/>
      <c r="AD26" s="1020" t="s">
        <v>353</v>
      </c>
      <c r="AE26" s="12" t="s">
        <v>352</v>
      </c>
      <c r="AF26" s="12" t="s">
        <v>1444</v>
      </c>
      <c r="AG26" s="1020" t="s">
        <v>353</v>
      </c>
      <c r="AH26" s="12" t="s">
        <v>352</v>
      </c>
      <c r="AI26" s="12" t="s">
        <v>1444</v>
      </c>
      <c r="AJ26" s="1020" t="s">
        <v>353</v>
      </c>
      <c r="AK26" s="12" t="s">
        <v>352</v>
      </c>
      <c r="AL26" s="12" t="s">
        <v>1444</v>
      </c>
      <c r="AM26" s="1020" t="s">
        <v>353</v>
      </c>
      <c r="AN26" s="12" t="s">
        <v>352</v>
      </c>
      <c r="AO26" s="12" t="s">
        <v>1444</v>
      </c>
      <c r="AP26" s="1020" t="s">
        <v>353</v>
      </c>
      <c r="AQ26" s="12" t="s">
        <v>352</v>
      </c>
      <c r="AR26" s="12" t="s">
        <v>1444</v>
      </c>
      <c r="AS26" s="1020" t="s">
        <v>353</v>
      </c>
      <c r="AT26" s="12" t="s">
        <v>352</v>
      </c>
      <c r="AU26" s="12" t="s">
        <v>1444</v>
      </c>
      <c r="AV26" s="1020" t="s">
        <v>353</v>
      </c>
      <c r="AW26" s="12" t="s">
        <v>352</v>
      </c>
      <c r="AX26" s="12" t="s">
        <v>1444</v>
      </c>
      <c r="AY26" s="1020" t="s">
        <v>353</v>
      </c>
      <c r="AZ26" s="12" t="s">
        <v>352</v>
      </c>
      <c r="BA26" s="12" t="s">
        <v>1444</v>
      </c>
      <c r="BB26" s="1020" t="s">
        <v>353</v>
      </c>
      <c r="BC26" s="12" t="s">
        <v>352</v>
      </c>
      <c r="BD26" s="12" t="s">
        <v>1444</v>
      </c>
      <c r="BE26" s="1020" t="s">
        <v>353</v>
      </c>
      <c r="BF26" s="12" t="s">
        <v>352</v>
      </c>
      <c r="BG26" s="12" t="s">
        <v>1444</v>
      </c>
      <c r="BH26" s="1020" t="s">
        <v>353</v>
      </c>
      <c r="BI26" s="12" t="s">
        <v>352</v>
      </c>
      <c r="BJ26" s="12" t="s">
        <v>1444</v>
      </c>
      <c r="BK26" s="1020" t="s">
        <v>353</v>
      </c>
      <c r="BL26" s="12" t="s">
        <v>352</v>
      </c>
      <c r="BM26" s="12" t="s">
        <v>1444</v>
      </c>
      <c r="BN26" s="1020" t="s">
        <v>353</v>
      </c>
      <c r="BO26" s="12" t="s">
        <v>352</v>
      </c>
      <c r="BP26" s="12" t="s">
        <v>1444</v>
      </c>
      <c r="BQ26" s="1020" t="s">
        <v>353</v>
      </c>
      <c r="BR26" s="12" t="s">
        <v>352</v>
      </c>
      <c r="BS26" s="12" t="s">
        <v>1444</v>
      </c>
      <c r="BT26" s="1020" t="s">
        <v>353</v>
      </c>
      <c r="BU26" s="12" t="s">
        <v>352</v>
      </c>
      <c r="BV26" s="12" t="s">
        <v>1444</v>
      </c>
      <c r="BW26" s="1020" t="s">
        <v>353</v>
      </c>
      <c r="BX26" s="12" t="s">
        <v>352</v>
      </c>
      <c r="BY26" s="12" t="s">
        <v>1444</v>
      </c>
      <c r="BZ26" s="1020" t="s">
        <v>353</v>
      </c>
      <c r="CA26" s="12" t="s">
        <v>352</v>
      </c>
      <c r="CB26" s="12" t="s">
        <v>1444</v>
      </c>
      <c r="CC26" s="1020" t="s">
        <v>353</v>
      </c>
      <c r="CD26" s="12" t="s">
        <v>352</v>
      </c>
      <c r="CE26" s="12" t="s">
        <v>1444</v>
      </c>
      <c r="CF26" s="1020" t="s">
        <v>353</v>
      </c>
      <c r="CG26" s="12" t="s">
        <v>352</v>
      </c>
      <c r="CH26" s="12" t="s">
        <v>1444</v>
      </c>
      <c r="CI26" s="1020" t="s">
        <v>353</v>
      </c>
      <c r="CJ26" s="12" t="s">
        <v>352</v>
      </c>
      <c r="CK26" s="12" t="s">
        <v>1444</v>
      </c>
      <c r="CL26" s="1020" t="s">
        <v>353</v>
      </c>
      <c r="CM26" s="12" t="s">
        <v>352</v>
      </c>
      <c r="CN26" s="12" t="s">
        <v>1444</v>
      </c>
      <c r="CO26" s="1020" t="s">
        <v>353</v>
      </c>
      <c r="CP26" s="12" t="s">
        <v>352</v>
      </c>
      <c r="CQ26" s="12" t="s">
        <v>1444</v>
      </c>
      <c r="CR26" s="1020" t="s">
        <v>353</v>
      </c>
      <c r="CS26" s="12" t="s">
        <v>352</v>
      </c>
      <c r="CT26" s="12" t="s">
        <v>1444</v>
      </c>
      <c r="CU26" s="1020" t="s">
        <v>353</v>
      </c>
      <c r="CV26" s="12" t="s">
        <v>352</v>
      </c>
      <c r="CW26" s="12" t="s">
        <v>1444</v>
      </c>
      <c r="CX26" s="1020" t="s">
        <v>353</v>
      </c>
      <c r="CY26" s="12" t="s">
        <v>352</v>
      </c>
      <c r="CZ26" s="12" t="s">
        <v>1444</v>
      </c>
      <c r="DA26" s="1020" t="s">
        <v>353</v>
      </c>
      <c r="DB26" s="12" t="s">
        <v>352</v>
      </c>
      <c r="DC26" s="12" t="s">
        <v>1444</v>
      </c>
      <c r="DD26" s="1020" t="s">
        <v>353</v>
      </c>
      <c r="DE26" s="12" t="s">
        <v>352</v>
      </c>
      <c r="DF26" s="12" t="s">
        <v>1444</v>
      </c>
      <c r="DG26" s="1020" t="s">
        <v>353</v>
      </c>
      <c r="DH26" s="12" t="s">
        <v>352</v>
      </c>
      <c r="DI26" s="12" t="s">
        <v>1444</v>
      </c>
      <c r="DJ26" s="1020" t="s">
        <v>353</v>
      </c>
      <c r="DK26" s="12" t="s">
        <v>352</v>
      </c>
      <c r="DL26" s="12" t="s">
        <v>1444</v>
      </c>
      <c r="DM26" s="1020" t="s">
        <v>353</v>
      </c>
      <c r="DN26" s="12" t="s">
        <v>352</v>
      </c>
      <c r="DO26" s="12" t="s">
        <v>1444</v>
      </c>
      <c r="DP26" s="1020" t="s">
        <v>353</v>
      </c>
      <c r="DQ26" s="12" t="s">
        <v>352</v>
      </c>
      <c r="DR26" s="12" t="s">
        <v>1444</v>
      </c>
      <c r="DS26" s="1020" t="s">
        <v>353</v>
      </c>
      <c r="DT26" s="12" t="s">
        <v>352</v>
      </c>
      <c r="DU26" s="12" t="s">
        <v>1444</v>
      </c>
      <c r="DV26" s="1020" t="s">
        <v>353</v>
      </c>
      <c r="DW26" s="12" t="s">
        <v>352</v>
      </c>
      <c r="DX26" s="12" t="s">
        <v>1444</v>
      </c>
      <c r="DY26" s="1020" t="s">
        <v>353</v>
      </c>
      <c r="DZ26" s="12" t="s">
        <v>352</v>
      </c>
      <c r="EA26" s="12" t="s">
        <v>1444</v>
      </c>
      <c r="EB26" s="1020" t="s">
        <v>353</v>
      </c>
      <c r="EC26" s="12" t="s">
        <v>352</v>
      </c>
      <c r="ED26" s="12" t="s">
        <v>1444</v>
      </c>
      <c r="EE26" s="1020" t="s">
        <v>353</v>
      </c>
      <c r="EF26" s="12" t="s">
        <v>352</v>
      </c>
      <c r="EG26" s="12" t="s">
        <v>1444</v>
      </c>
      <c r="EH26" s="1020" t="s">
        <v>353</v>
      </c>
      <c r="EI26" s="12" t="s">
        <v>352</v>
      </c>
      <c r="EJ26" s="12" t="s">
        <v>1444</v>
      </c>
      <c r="EK26" s="1020" t="s">
        <v>353</v>
      </c>
      <c r="EL26" s="12" t="s">
        <v>352</v>
      </c>
      <c r="EM26" s="12" t="s">
        <v>1444</v>
      </c>
      <c r="EN26" s="1020" t="s">
        <v>353</v>
      </c>
      <c r="EO26" s="12" t="s">
        <v>352</v>
      </c>
      <c r="EP26" s="12" t="s">
        <v>1444</v>
      </c>
      <c r="EQ26" s="1020" t="s">
        <v>353</v>
      </c>
      <c r="ER26" s="12" t="s">
        <v>352</v>
      </c>
      <c r="ES26" s="12" t="s">
        <v>1444</v>
      </c>
      <c r="ET26" s="1020" t="s">
        <v>353</v>
      </c>
      <c r="EU26" s="12" t="s">
        <v>352</v>
      </c>
      <c r="EV26" s="12" t="s">
        <v>1444</v>
      </c>
      <c r="EW26" s="1020" t="s">
        <v>353</v>
      </c>
      <c r="EX26" s="12" t="s">
        <v>352</v>
      </c>
      <c r="EY26" s="12" t="s">
        <v>1444</v>
      </c>
      <c r="EZ26" s="1020" t="s">
        <v>353</v>
      </c>
      <c r="FA26" s="12" t="s">
        <v>352</v>
      </c>
      <c r="FB26" s="12" t="s">
        <v>1444</v>
      </c>
      <c r="FC26" s="1020" t="s">
        <v>353</v>
      </c>
      <c r="FD26" s="12" t="s">
        <v>352</v>
      </c>
      <c r="FE26" s="12" t="s">
        <v>1444</v>
      </c>
      <c r="FF26" s="1020" t="s">
        <v>353</v>
      </c>
      <c r="FG26" s="12" t="s">
        <v>352</v>
      </c>
      <c r="FH26" s="12" t="s">
        <v>1444</v>
      </c>
      <c r="FI26" s="1020" t="s">
        <v>353</v>
      </c>
      <c r="FJ26" s="12" t="s">
        <v>352</v>
      </c>
      <c r="FK26" s="12" t="s">
        <v>1444</v>
      </c>
      <c r="FL26" s="1020" t="s">
        <v>353</v>
      </c>
      <c r="FM26" s="12" t="s">
        <v>352</v>
      </c>
      <c r="FN26" s="12" t="s">
        <v>1444</v>
      </c>
      <c r="FO26" s="1020" t="s">
        <v>353</v>
      </c>
      <c r="FP26" s="12" t="s">
        <v>352</v>
      </c>
      <c r="FQ26" s="12" t="s">
        <v>1444</v>
      </c>
      <c r="FR26" s="1020" t="s">
        <v>353</v>
      </c>
      <c r="FS26" s="12" t="s">
        <v>352</v>
      </c>
      <c r="FT26" s="12" t="s">
        <v>1444</v>
      </c>
      <c r="FU26" s="1020" t="s">
        <v>353</v>
      </c>
      <c r="FV26" s="12" t="s">
        <v>352</v>
      </c>
      <c r="FW26" s="12" t="s">
        <v>1444</v>
      </c>
    </row>
    <row r="27" spans="1:186" ht="11.25" hidden="1" customHeight="1">
      <c r="E27" s="549">
        <v>0</v>
      </c>
      <c r="T27" s="381" t="b">
        <f>OR(hasVS,hasVO)</f>
        <v>1</v>
      </c>
      <c r="AB27" s="122"/>
      <c r="AC27" s="213"/>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row>
    <row r="28" spans="1:186" s="1327" customFormat="1" ht="11.25" hidden="1" customHeight="1">
      <c r="A28" s="415"/>
      <c r="B28" s="831"/>
      <c r="C28" s="415"/>
      <c r="D28" s="415"/>
      <c r="E28" s="780">
        <v>0</v>
      </c>
      <c r="F28" s="661" t="s">
        <v>1445</v>
      </c>
      <c r="G28" s="398"/>
      <c r="H28" s="415"/>
      <c r="I28" s="415"/>
      <c r="J28" s="415"/>
      <c r="K28" s="415"/>
      <c r="L28" s="415"/>
      <c r="M28" s="415"/>
      <c r="N28" s="415"/>
      <c r="O28" s="415"/>
      <c r="P28" s="415"/>
      <c r="Q28" s="398" t="s">
        <v>1446</v>
      </c>
      <c r="R28" s="832" t="s">
        <v>1447</v>
      </c>
      <c r="S28" s="832" t="s">
        <v>269</v>
      </c>
      <c r="T28" s="381"/>
      <c r="U28" s="415"/>
      <c r="V28" s="415"/>
      <c r="W28" s="415"/>
      <c r="X28" s="415"/>
      <c r="Y28" s="415"/>
      <c r="Z28" s="415"/>
      <c r="AA28" s="415"/>
      <c r="AC28" s="19"/>
      <c r="AD28" s="19"/>
      <c r="AE28" s="19"/>
      <c r="AF28" s="19"/>
      <c r="AQ28" s="20"/>
      <c r="FZ28" s="906"/>
      <c r="GA28" s="906"/>
      <c r="GB28" s="900"/>
      <c r="GC28" s="541"/>
      <c r="GD28" s="541"/>
    </row>
    <row r="29" spans="1:186" ht="14.65" hidden="1" customHeight="1">
      <c r="A29" s="409"/>
      <c r="C29" s="409"/>
      <c r="D29" s="409"/>
      <c r="E29" s="754">
        <v>15</v>
      </c>
      <c r="F29" s="410" cm="1">
        <f t="array" ref="F29">X29</f>
        <v>0</v>
      </c>
      <c r="G29" s="409" cm="1">
        <f t="array" ref="G29">INDEX('Общие сведения'!$AK$179:$AK$208,MATCH($X29,'Общие сведения'!$Z$179:$Z$208,0))</f>
        <v>0</v>
      </c>
      <c r="H29" s="409"/>
      <c r="I29" s="409"/>
      <c r="J29" s="409"/>
      <c r="K29" s="409"/>
      <c r="L29" s="409"/>
      <c r="M29" s="409"/>
      <c r="N29" s="409"/>
      <c r="O29" s="409"/>
      <c r="P29" s="409"/>
      <c r="Q29" s="409" cm="1">
        <f t="array" ref="Q29">INDEX('Общие сведения'!$AE$179:$AE$208,MATCH($X29,'Общие сведения'!$Z$179:$Z$208,0))</f>
        <v>0</v>
      </c>
      <c r="R29" s="400" cm="1">
        <f t="array" ref="R29">INDEX('Общие сведения'!$AK$179:$AK$208,MATCH($X29,'Общие сведения'!$Z$179:$Z$208,0))</f>
        <v>0</v>
      </c>
      <c r="S29" s="409" t="b" cm="1">
        <f t="array" ref="S29">INDEX('Общие сведения'!$AN$179:$AN$208,MATCH($X29,'Общие сведения'!$Z$179:$Z$208,0))</f>
        <v>0</v>
      </c>
      <c r="T29" s="381" t="b">
        <f>X29&gt;0</f>
        <v>0</v>
      </c>
      <c r="U29" s="409"/>
      <c r="V29" s="409" t="s">
        <v>270</v>
      </c>
      <c r="W29" s="409"/>
      <c r="X29" s="1787">
        <v>0</v>
      </c>
      <c r="Y29" s="409"/>
      <c r="Z29" s="1734"/>
      <c r="AA29" s="409"/>
      <c r="AB29" s="1835" t="s">
        <v>21</v>
      </c>
      <c r="AC29" s="1836"/>
      <c r="AD29" s="802" t="str" cm="1">
        <f t="array" ref="AD29">INDEX('Общие сведения'!$AG$179:$AG$208,MATCH($X29,'Общие сведения'!$Z$179:$Z$208,0))</f>
        <v xml:space="preserve">Тариф 0 () - </v>
      </c>
      <c r="AE29" s="202"/>
      <c r="AF29" s="202"/>
      <c r="AG29" s="202"/>
      <c r="AH29" s="202"/>
      <c r="AI29" s="202"/>
      <c r="AJ29" s="202"/>
      <c r="AK29" s="202"/>
      <c r="AL29" s="202"/>
      <c r="AM29" s="202"/>
      <c r="AN29" s="202"/>
      <c r="AO29" s="202"/>
      <c r="AP29" s="202"/>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2"/>
      <c r="BO29" s="202"/>
      <c r="BP29" s="202"/>
      <c r="BQ29" s="202"/>
      <c r="BR29" s="202"/>
      <c r="BS29" s="202"/>
      <c r="BT29" s="202"/>
      <c r="BU29" s="202"/>
      <c r="BV29" s="202"/>
      <c r="BW29" s="202"/>
      <c r="BX29" s="202"/>
      <c r="BY29" s="202"/>
      <c r="BZ29" s="202"/>
      <c r="CA29" s="202"/>
      <c r="CB29" s="202"/>
      <c r="CC29" s="202"/>
      <c r="CD29" s="202"/>
      <c r="CE29" s="202"/>
      <c r="CF29" s="202"/>
      <c r="CG29" s="202"/>
      <c r="CH29" s="202"/>
      <c r="CI29" s="202"/>
      <c r="CJ29" s="202"/>
      <c r="CK29" s="202"/>
      <c r="CL29" s="202"/>
      <c r="CM29" s="202"/>
      <c r="CN29" s="202"/>
      <c r="CO29" s="202"/>
      <c r="CP29" s="202"/>
      <c r="CQ29" s="202"/>
      <c r="CR29" s="202"/>
      <c r="CS29" s="202"/>
      <c r="CT29" s="202"/>
      <c r="CU29" s="202"/>
      <c r="CV29" s="202"/>
      <c r="CW29" s="202"/>
      <c r="CX29" s="202"/>
      <c r="CY29" s="202"/>
      <c r="CZ29" s="202"/>
      <c r="DA29" s="202"/>
      <c r="DB29" s="202"/>
      <c r="DC29" s="202"/>
      <c r="DD29" s="202"/>
      <c r="DE29" s="202"/>
      <c r="DF29" s="202"/>
      <c r="DG29" s="202"/>
      <c r="DH29" s="202"/>
      <c r="DI29" s="202"/>
      <c r="DJ29" s="202"/>
      <c r="DK29" s="202"/>
      <c r="DL29" s="202"/>
      <c r="DM29" s="202"/>
      <c r="DN29" s="202"/>
      <c r="DO29" s="202"/>
      <c r="DP29" s="202"/>
      <c r="DQ29" s="202"/>
      <c r="DR29" s="202"/>
      <c r="DS29" s="202"/>
      <c r="DT29" s="202"/>
      <c r="DU29" s="202"/>
      <c r="DV29" s="202"/>
      <c r="DW29" s="202"/>
      <c r="DX29" s="202"/>
      <c r="DY29" s="202"/>
      <c r="DZ29" s="202"/>
      <c r="EA29" s="202"/>
      <c r="EB29" s="202"/>
      <c r="EC29" s="202"/>
      <c r="ED29" s="202"/>
      <c r="EE29" s="202"/>
      <c r="EF29" s="202"/>
      <c r="EG29" s="202"/>
      <c r="EH29" s="202"/>
      <c r="EI29" s="202"/>
      <c r="EJ29" s="202"/>
      <c r="EK29" s="202"/>
      <c r="EL29" s="202"/>
      <c r="EM29" s="202"/>
      <c r="EN29" s="202"/>
      <c r="EO29" s="202"/>
      <c r="EP29" s="202"/>
      <c r="EQ29" s="202"/>
      <c r="ER29" s="202"/>
      <c r="ES29" s="202"/>
      <c r="ET29" s="202"/>
      <c r="EU29" s="202"/>
      <c r="EV29" s="202"/>
      <c r="EW29" s="202"/>
      <c r="EX29" s="202"/>
      <c r="EY29" s="202"/>
      <c r="EZ29" s="202"/>
      <c r="FA29" s="202"/>
      <c r="FB29" s="202"/>
      <c r="FC29" s="202"/>
      <c r="FD29" s="202"/>
      <c r="FE29" s="202"/>
      <c r="FF29" s="202"/>
      <c r="FG29" s="202"/>
      <c r="FH29" s="202"/>
      <c r="FI29" s="202"/>
      <c r="FJ29" s="202"/>
      <c r="FK29" s="202"/>
      <c r="FL29" s="202"/>
      <c r="FM29" s="202"/>
      <c r="FN29" s="202"/>
      <c r="FO29" s="202"/>
      <c r="FP29" s="202"/>
      <c r="FQ29" s="202"/>
      <c r="FR29" s="202"/>
      <c r="FS29" s="202"/>
      <c r="FT29" s="202"/>
      <c r="FU29" s="202"/>
      <c r="FV29" s="202"/>
      <c r="FW29" s="203"/>
    </row>
    <row r="30" spans="1:186" ht="14.65" hidden="1" customHeight="1">
      <c r="A30" s="409"/>
      <c r="C30" s="409"/>
      <c r="D30" s="409"/>
      <c r="E30" s="754">
        <v>15</v>
      </c>
      <c r="F30" s="3" cm="1">
        <f t="array" aca="1" ref="F30" ca="1">OFFSET(E30,-1,1)</f>
        <v>0</v>
      </c>
      <c r="G30" s="409"/>
      <c r="H30" s="409"/>
      <c r="I30" s="409"/>
      <c r="J30" s="409"/>
      <c r="K30" s="409"/>
      <c r="L30" s="409"/>
      <c r="M30" s="409"/>
      <c r="N30" s="409"/>
      <c r="O30" s="409"/>
      <c r="P30" s="409"/>
      <c r="Q30" s="409"/>
      <c r="R30" s="400"/>
      <c r="S30" s="400"/>
      <c r="T30" s="381" t="b" cm="1">
        <f t="array" ref="T30">T29</f>
        <v>0</v>
      </c>
      <c r="U30" s="409"/>
      <c r="V30" s="409"/>
      <c r="W30" s="409"/>
      <c r="X30" s="1787"/>
      <c r="Y30" s="409"/>
      <c r="Z30" s="1734"/>
      <c r="AA30" s="409"/>
      <c r="AB30" s="1690" t="str">
        <f>"Вид "&amp;IF(ISERROR(SEARCH("Водоснабжение",AD29)),"сточных вод","воды")</f>
        <v>Вид сточных вод</v>
      </c>
      <c r="AC30" s="1692"/>
      <c r="AD30" s="802" cm="1">
        <f t="array" ref="AD30">INDEX('Общие сведения'!$AH$179:$AH$208,MATCH($X29,'Общие сведения'!$Z$179:$Z$208,0))</f>
        <v>0</v>
      </c>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c r="FD30" s="204"/>
      <c r="FE30" s="204"/>
      <c r="FF30" s="204"/>
      <c r="FG30" s="204"/>
      <c r="FH30" s="204"/>
      <c r="FI30" s="204"/>
      <c r="FJ30" s="204"/>
      <c r="FK30" s="204"/>
      <c r="FL30" s="204"/>
      <c r="FM30" s="204"/>
      <c r="FN30" s="204"/>
      <c r="FO30" s="204"/>
      <c r="FP30" s="204"/>
      <c r="FQ30" s="204"/>
      <c r="FR30" s="204"/>
      <c r="FS30" s="204"/>
      <c r="FT30" s="204"/>
      <c r="FU30" s="204"/>
      <c r="FV30" s="204"/>
      <c r="FW30" s="205"/>
    </row>
    <row r="31" spans="1:186" ht="14.65" hidden="1" customHeight="1">
      <c r="A31" s="409"/>
      <c r="C31" s="409"/>
      <c r="D31" s="409"/>
      <c r="E31" s="754">
        <v>15</v>
      </c>
      <c r="F31" s="3" cm="1">
        <f t="array" aca="1" ref="F31" ca="1">OFFSET(E31,-1,1)</f>
        <v>0</v>
      </c>
      <c r="G31" s="409"/>
      <c r="H31" s="409"/>
      <c r="I31" s="409"/>
      <c r="J31" s="409"/>
      <c r="K31" s="409"/>
      <c r="L31" s="409"/>
      <c r="M31" s="409"/>
      <c r="N31" s="409"/>
      <c r="O31" s="409"/>
      <c r="P31" s="409"/>
      <c r="Q31" s="409"/>
      <c r="R31" s="400"/>
      <c r="S31" s="400"/>
      <c r="T31" s="381" t="b" cm="1">
        <f t="array" ref="T31">T30</f>
        <v>0</v>
      </c>
      <c r="U31" s="409"/>
      <c r="V31" s="409"/>
      <c r="W31" s="409"/>
      <c r="X31" s="1787"/>
      <c r="Y31" s="409"/>
      <c r="Z31" s="1734"/>
      <c r="AA31" s="409"/>
      <c r="AB31" s="1690" t="s">
        <v>1448</v>
      </c>
      <c r="AC31" s="1692"/>
      <c r="AD31" s="802" cm="1">
        <f t="array" ref="AD31">INDEX('Общие сведения'!$AI$179:$AI$208,MATCH($X29,'Общие сведения'!$Z$179:$Z$208,0))</f>
        <v>0</v>
      </c>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4"/>
      <c r="CF31" s="204"/>
      <c r="CG31" s="204"/>
      <c r="CH31" s="204"/>
      <c r="CI31" s="204"/>
      <c r="CJ31" s="204"/>
      <c r="CK31" s="204"/>
      <c r="CL31" s="204"/>
      <c r="CM31" s="204"/>
      <c r="CN31" s="204"/>
      <c r="CO31" s="204"/>
      <c r="CP31" s="204"/>
      <c r="CQ31" s="204"/>
      <c r="CR31" s="204"/>
      <c r="CS31" s="204"/>
      <c r="CT31" s="204"/>
      <c r="CU31" s="204"/>
      <c r="CV31" s="204"/>
      <c r="CW31" s="204"/>
      <c r="CX31" s="204"/>
      <c r="CY31" s="204"/>
      <c r="CZ31" s="204"/>
      <c r="DA31" s="204"/>
      <c r="DB31" s="204"/>
      <c r="DC31" s="204"/>
      <c r="DD31" s="204"/>
      <c r="DE31" s="204"/>
      <c r="DF31" s="204"/>
      <c r="DG31" s="204"/>
      <c r="DH31" s="204"/>
      <c r="DI31" s="204"/>
      <c r="DJ31" s="204"/>
      <c r="DK31" s="204"/>
      <c r="DL31" s="204"/>
      <c r="DM31" s="204"/>
      <c r="DN31" s="204"/>
      <c r="DO31" s="204"/>
      <c r="DP31" s="204"/>
      <c r="DQ31" s="204"/>
      <c r="DR31" s="204"/>
      <c r="DS31" s="204"/>
      <c r="DT31" s="204"/>
      <c r="DU31" s="204"/>
      <c r="DV31" s="204"/>
      <c r="DW31" s="204"/>
      <c r="DX31" s="204"/>
      <c r="DY31" s="204"/>
      <c r="DZ31" s="204"/>
      <c r="EA31" s="204"/>
      <c r="EB31" s="204"/>
      <c r="EC31" s="204"/>
      <c r="ED31" s="204"/>
      <c r="EE31" s="204"/>
      <c r="EF31" s="204"/>
      <c r="EG31" s="204"/>
      <c r="EH31" s="204"/>
      <c r="EI31" s="204"/>
      <c r="EJ31" s="204"/>
      <c r="EK31" s="204"/>
      <c r="EL31" s="204"/>
      <c r="EM31" s="204"/>
      <c r="EN31" s="204"/>
      <c r="EO31" s="204"/>
      <c r="EP31" s="204"/>
      <c r="EQ31" s="204"/>
      <c r="ER31" s="204"/>
      <c r="ES31" s="204"/>
      <c r="ET31" s="204"/>
      <c r="EU31" s="204"/>
      <c r="EV31" s="204"/>
      <c r="EW31" s="204"/>
      <c r="EX31" s="204"/>
      <c r="EY31" s="204"/>
      <c r="EZ31" s="204"/>
      <c r="FA31" s="204"/>
      <c r="FB31" s="204"/>
      <c r="FC31" s="204"/>
      <c r="FD31" s="204"/>
      <c r="FE31" s="204"/>
      <c r="FF31" s="204"/>
      <c r="FG31" s="204"/>
      <c r="FH31" s="204"/>
      <c r="FI31" s="204"/>
      <c r="FJ31" s="204"/>
      <c r="FK31" s="204"/>
      <c r="FL31" s="204"/>
      <c r="FM31" s="204"/>
      <c r="FN31" s="204"/>
      <c r="FO31" s="204"/>
      <c r="FP31" s="204"/>
      <c r="FQ31" s="204"/>
      <c r="FR31" s="204"/>
      <c r="FS31" s="204"/>
      <c r="FT31" s="204"/>
      <c r="FU31" s="204"/>
      <c r="FV31" s="204"/>
      <c r="FW31" s="205"/>
    </row>
    <row r="32" spans="1:186" ht="14.65" hidden="1" customHeight="1">
      <c r="A32" s="409"/>
      <c r="C32" s="409"/>
      <c r="D32" s="409"/>
      <c r="E32" s="754">
        <v>15</v>
      </c>
      <c r="F32" s="3" cm="1">
        <f t="array" aca="1" ref="F32" ca="1">OFFSET(E32,-1,1)</f>
        <v>0</v>
      </c>
      <c r="G32" s="409"/>
      <c r="H32" s="409"/>
      <c r="I32" s="409"/>
      <c r="J32" s="409"/>
      <c r="K32" s="409"/>
      <c r="L32" s="409"/>
      <c r="M32" s="409"/>
      <c r="N32" s="409"/>
      <c r="O32" s="409"/>
      <c r="P32" s="409"/>
      <c r="Q32" s="833"/>
      <c r="R32" s="409"/>
      <c r="S32" s="400"/>
      <c r="T32" s="381" t="b" cm="1">
        <f t="array" ref="T32">T31</f>
        <v>0</v>
      </c>
      <c r="U32" s="409"/>
      <c r="V32" s="409"/>
      <c r="W32" s="409"/>
      <c r="X32" s="1787"/>
      <c r="Y32" s="409"/>
      <c r="Z32" s="1734"/>
      <c r="AA32" s="409"/>
      <c r="AB32" s="1690" t="s">
        <v>1449</v>
      </c>
      <c r="AC32" s="1692"/>
      <c r="AD32" s="802" cm="1">
        <f t="array" ref="AD32">INDEX('Общие сведения'!$AJ$179:$AJ$208,MATCH($X29,'Общие сведения'!$Z$179:$Z$208,0))</f>
        <v>0</v>
      </c>
      <c r="AE32" s="204"/>
      <c r="AF32" s="204"/>
      <c r="AG32" s="204"/>
      <c r="AH32" s="204"/>
      <c r="AI32" s="204"/>
      <c r="AJ32" s="204"/>
      <c r="AK32" s="204"/>
      <c r="AL32" s="204"/>
      <c r="AM32" s="204"/>
      <c r="AN32" s="204"/>
      <c r="AO32" s="204"/>
      <c r="AP32" s="204"/>
      <c r="AQ32" s="204"/>
      <c r="AR32" s="204"/>
      <c r="AS32" s="204"/>
      <c r="AT32" s="204"/>
      <c r="AU32" s="204"/>
      <c r="AV32" s="204"/>
      <c r="AW32" s="204"/>
      <c r="AX32" s="204"/>
      <c r="AY32" s="204"/>
      <c r="AZ32" s="204"/>
      <c r="BA32" s="204"/>
      <c r="BB32" s="204"/>
      <c r="BC32" s="204"/>
      <c r="BD32" s="204"/>
      <c r="BE32" s="204"/>
      <c r="BF32" s="204"/>
      <c r="BG32" s="204"/>
      <c r="BH32" s="204"/>
      <c r="BI32" s="204"/>
      <c r="BJ32" s="204"/>
      <c r="BK32" s="204"/>
      <c r="BL32" s="204"/>
      <c r="BM32" s="204"/>
      <c r="BN32" s="204"/>
      <c r="BO32" s="204"/>
      <c r="BP32" s="204"/>
      <c r="BQ32" s="204"/>
      <c r="BR32" s="204"/>
      <c r="BS32" s="204"/>
      <c r="BT32" s="204"/>
      <c r="BU32" s="204"/>
      <c r="BV32" s="204"/>
      <c r="BW32" s="204"/>
      <c r="BX32" s="204"/>
      <c r="BY32" s="204"/>
      <c r="BZ32" s="204"/>
      <c r="CA32" s="204"/>
      <c r="CB32" s="204"/>
      <c r="CC32" s="204"/>
      <c r="CD32" s="204"/>
      <c r="CE32" s="204"/>
      <c r="CF32" s="204"/>
      <c r="CG32" s="204"/>
      <c r="CH32" s="204"/>
      <c r="CI32" s="204"/>
      <c r="CJ32" s="204"/>
      <c r="CK32" s="204"/>
      <c r="CL32" s="204"/>
      <c r="CM32" s="204"/>
      <c r="CN32" s="204"/>
      <c r="CO32" s="204"/>
      <c r="CP32" s="204"/>
      <c r="CQ32" s="204"/>
      <c r="CR32" s="204"/>
      <c r="CS32" s="204"/>
      <c r="CT32" s="204"/>
      <c r="CU32" s="204"/>
      <c r="CV32" s="204"/>
      <c r="CW32" s="204"/>
      <c r="CX32" s="204"/>
      <c r="CY32" s="204"/>
      <c r="CZ32" s="204"/>
      <c r="DA32" s="204"/>
      <c r="DB32" s="204"/>
      <c r="DC32" s="204"/>
      <c r="DD32" s="204"/>
      <c r="DE32" s="204"/>
      <c r="DF32" s="204"/>
      <c r="DG32" s="204"/>
      <c r="DH32" s="204"/>
      <c r="DI32" s="204"/>
      <c r="DJ32" s="204"/>
      <c r="DK32" s="204"/>
      <c r="DL32" s="204"/>
      <c r="DM32" s="204"/>
      <c r="DN32" s="204"/>
      <c r="DO32" s="204"/>
      <c r="DP32" s="204"/>
      <c r="DQ32" s="204"/>
      <c r="DR32" s="204"/>
      <c r="DS32" s="204"/>
      <c r="DT32" s="204"/>
      <c r="DU32" s="204"/>
      <c r="DV32" s="204"/>
      <c r="DW32" s="204"/>
      <c r="DX32" s="204"/>
      <c r="DY32" s="204"/>
      <c r="DZ32" s="204"/>
      <c r="EA32" s="204"/>
      <c r="EB32" s="204"/>
      <c r="EC32" s="204"/>
      <c r="ED32" s="204"/>
      <c r="EE32" s="204"/>
      <c r="EF32" s="204"/>
      <c r="EG32" s="204"/>
      <c r="EH32" s="204"/>
      <c r="EI32" s="204"/>
      <c r="EJ32" s="204"/>
      <c r="EK32" s="204"/>
      <c r="EL32" s="204"/>
      <c r="EM32" s="204"/>
      <c r="EN32" s="204"/>
      <c r="EO32" s="204"/>
      <c r="EP32" s="204"/>
      <c r="EQ32" s="204"/>
      <c r="ER32" s="204"/>
      <c r="ES32" s="204"/>
      <c r="ET32" s="204"/>
      <c r="EU32" s="204"/>
      <c r="EV32" s="204"/>
      <c r="EW32" s="204"/>
      <c r="EX32" s="204"/>
      <c r="EY32" s="204"/>
      <c r="EZ32" s="204"/>
      <c r="FA32" s="204"/>
      <c r="FB32" s="204"/>
      <c r="FC32" s="204"/>
      <c r="FD32" s="204"/>
      <c r="FE32" s="204"/>
      <c r="FF32" s="204"/>
      <c r="FG32" s="204"/>
      <c r="FH32" s="204"/>
      <c r="FI32" s="204"/>
      <c r="FJ32" s="204"/>
      <c r="FK32" s="204"/>
      <c r="FL32" s="204"/>
      <c r="FM32" s="204"/>
      <c r="FN32" s="204"/>
      <c r="FO32" s="204"/>
      <c r="FP32" s="204"/>
      <c r="FQ32" s="204"/>
      <c r="FR32" s="204"/>
      <c r="FS32" s="204"/>
      <c r="FT32" s="204"/>
      <c r="FU32" s="204"/>
      <c r="FV32" s="204"/>
      <c r="FW32" s="205"/>
    </row>
    <row r="33" spans="1:186" ht="14.65" hidden="1" customHeight="1">
      <c r="A33" s="409"/>
      <c r="B33" s="830" t="b">
        <f>AND(R29="одноставочный",NOT(S29))</f>
        <v>0</v>
      </c>
      <c r="C33" s="409"/>
      <c r="D33" s="409"/>
      <c r="E33" s="754">
        <v>15</v>
      </c>
      <c r="F33" s="3" cm="1">
        <f t="array" aca="1" ref="F33" ca="1">OFFSET(E33,-1,1)</f>
        <v>0</v>
      </c>
      <c r="G33" s="409"/>
      <c r="H33" s="409"/>
      <c r="I33" s="409"/>
      <c r="J33" s="409"/>
      <c r="K33" s="409"/>
      <c r="L33" s="409"/>
      <c r="M33" s="409"/>
      <c r="N33" s="409"/>
      <c r="O33" s="409"/>
      <c r="P33" s="409"/>
      <c r="Q33" s="409"/>
      <c r="R33" s="409"/>
      <c r="S33" s="409"/>
      <c r="T33" s="381" t="b" cm="1">
        <f t="array" ref="T33">T32</f>
        <v>0</v>
      </c>
      <c r="U33" s="409"/>
      <c r="V33" s="409"/>
      <c r="W33" s="409"/>
      <c r="X33" s="1787"/>
      <c r="Y33" s="409"/>
      <c r="Z33" s="1734"/>
      <c r="AA33" s="409"/>
      <c r="AB33" s="803" t="s">
        <v>1450</v>
      </c>
      <c r="AC33" s="804"/>
      <c r="AD33" s="805"/>
      <c r="AE33" s="805"/>
      <c r="AF33" s="805"/>
      <c r="AG33" s="805"/>
      <c r="AH33" s="805"/>
      <c r="AI33" s="805"/>
      <c r="AJ33" s="805"/>
      <c r="AK33" s="805"/>
      <c r="AL33" s="805"/>
      <c r="AM33" s="805"/>
      <c r="AN33" s="805"/>
      <c r="AO33" s="805"/>
      <c r="AP33" s="805"/>
      <c r="AQ33" s="805"/>
      <c r="AR33" s="805"/>
      <c r="AS33" s="805"/>
      <c r="AT33" s="805"/>
      <c r="AU33" s="805"/>
      <c r="AV33" s="805"/>
      <c r="AW33" s="805"/>
      <c r="AX33" s="805"/>
      <c r="AY33" s="805"/>
      <c r="AZ33" s="805"/>
      <c r="BA33" s="805"/>
      <c r="BB33" s="805"/>
      <c r="BC33" s="805"/>
      <c r="BD33" s="805"/>
      <c r="BE33" s="805"/>
      <c r="BF33" s="805"/>
      <c r="BG33" s="805"/>
      <c r="BH33" s="805"/>
      <c r="BI33" s="805"/>
      <c r="BJ33" s="813"/>
      <c r="BK33" s="805"/>
      <c r="BL33" s="805"/>
      <c r="BM33" s="813"/>
      <c r="BN33" s="805"/>
      <c r="BO33" s="805"/>
      <c r="BP33" s="813"/>
      <c r="BQ33" s="805"/>
      <c r="BR33" s="805"/>
      <c r="BS33" s="813"/>
      <c r="BT33" s="805"/>
      <c r="BU33" s="805"/>
      <c r="BV33" s="813"/>
      <c r="BW33" s="805"/>
      <c r="BX33" s="805"/>
      <c r="BY33" s="813"/>
      <c r="BZ33" s="805"/>
      <c r="CA33" s="805"/>
      <c r="CB33" s="813"/>
      <c r="CC33" s="805"/>
      <c r="CD33" s="805"/>
      <c r="CE33" s="813"/>
      <c r="CF33" s="805"/>
      <c r="CG33" s="805"/>
      <c r="CH33" s="813"/>
      <c r="CI33" s="805"/>
      <c r="CJ33" s="805"/>
      <c r="CK33" s="813"/>
      <c r="CL33" s="805"/>
      <c r="CM33" s="805"/>
      <c r="CN33" s="813"/>
      <c r="CO33" s="805"/>
      <c r="CP33" s="805"/>
      <c r="CQ33" s="813"/>
      <c r="CR33" s="805"/>
      <c r="CS33" s="805"/>
      <c r="CT33" s="813"/>
      <c r="CU33" s="805"/>
      <c r="CV33" s="805"/>
      <c r="CW33" s="813"/>
      <c r="CX33" s="805"/>
      <c r="CY33" s="805"/>
      <c r="CZ33" s="813"/>
      <c r="DA33" s="805"/>
      <c r="DB33" s="805"/>
      <c r="DC33" s="813"/>
      <c r="DD33" s="805"/>
      <c r="DE33" s="805"/>
      <c r="DF33" s="207"/>
      <c r="DG33" s="206"/>
      <c r="DH33" s="206"/>
      <c r="DI33" s="207"/>
      <c r="DJ33" s="206"/>
      <c r="DK33" s="206"/>
      <c r="DL33" s="207"/>
      <c r="DM33" s="206"/>
      <c r="DN33" s="206"/>
      <c r="DO33" s="207"/>
      <c r="DP33" s="206"/>
      <c r="DQ33" s="206"/>
      <c r="DR33" s="207"/>
      <c r="DS33" s="206"/>
      <c r="DT33" s="206"/>
      <c r="DU33" s="207"/>
      <c r="DV33" s="206"/>
      <c r="DW33" s="206"/>
      <c r="DX33" s="207"/>
      <c r="DY33" s="206"/>
      <c r="DZ33" s="206"/>
      <c r="EA33" s="207"/>
      <c r="EB33" s="206"/>
      <c r="EC33" s="206"/>
      <c r="ED33" s="207"/>
      <c r="EE33" s="206"/>
      <c r="EF33" s="206"/>
      <c r="EG33" s="207"/>
      <c r="EH33" s="206"/>
      <c r="EI33" s="206"/>
      <c r="EJ33" s="207"/>
      <c r="EK33" s="206"/>
      <c r="EL33" s="206"/>
      <c r="EM33" s="207"/>
      <c r="EN33" s="206"/>
      <c r="EO33" s="206"/>
      <c r="EP33" s="207"/>
      <c r="EQ33" s="206"/>
      <c r="ER33" s="206"/>
      <c r="ES33" s="207"/>
      <c r="ET33" s="206"/>
      <c r="EU33" s="206"/>
      <c r="EV33" s="207"/>
      <c r="EW33" s="206"/>
      <c r="EX33" s="206"/>
      <c r="EY33" s="207"/>
      <c r="EZ33" s="206"/>
      <c r="FA33" s="206"/>
      <c r="FB33" s="207"/>
      <c r="FC33" s="206"/>
      <c r="FD33" s="206"/>
      <c r="FE33" s="207"/>
      <c r="FF33" s="206"/>
      <c r="FG33" s="206"/>
      <c r="FH33" s="207"/>
      <c r="FI33" s="206"/>
      <c r="FJ33" s="206"/>
      <c r="FK33" s="207"/>
      <c r="FL33" s="206"/>
      <c r="FM33" s="206"/>
      <c r="FN33" s="207"/>
      <c r="FO33" s="206"/>
      <c r="FP33" s="206"/>
      <c r="FQ33" s="207"/>
      <c r="FR33" s="206"/>
      <c r="FS33" s="206"/>
      <c r="FT33" s="207"/>
      <c r="FU33" s="206"/>
      <c r="FV33" s="206"/>
      <c r="FW33" s="207"/>
    </row>
    <row r="34" spans="1:186" s="208" customFormat="1" ht="23.85" hidden="1" customHeight="1">
      <c r="A34" s="806"/>
      <c r="B34" s="830" t="b" cm="1">
        <f t="array" ref="B34">B33</f>
        <v>0</v>
      </c>
      <c r="C34" s="806"/>
      <c r="D34" s="806"/>
      <c r="E34" s="807">
        <v>24.5</v>
      </c>
      <c r="F34" s="3" cm="1">
        <f t="array" aca="1" ref="F34" ca="1">OFFSET(E34,-1,1)</f>
        <v>0</v>
      </c>
      <c r="G34" s="409" t="s">
        <v>1451</v>
      </c>
      <c r="H34" s="409" t="s">
        <v>427</v>
      </c>
      <c r="I34" s="409" t="s">
        <v>1452</v>
      </c>
      <c r="J34" s="806"/>
      <c r="K34" s="806"/>
      <c r="L34" s="409"/>
      <c r="M34" s="806"/>
      <c r="N34" s="806"/>
      <c r="O34" s="806"/>
      <c r="P34" s="806"/>
      <c r="Q34" s="806"/>
      <c r="R34" s="806"/>
      <c r="S34" s="409"/>
      <c r="T34" s="381" t="b" cm="1">
        <f t="array" ref="T34">T33</f>
        <v>0</v>
      </c>
      <c r="U34" s="806"/>
      <c r="V34" s="806"/>
      <c r="W34" s="806"/>
      <c r="X34" s="1787"/>
      <c r="Y34" s="806"/>
      <c r="Z34" s="1734"/>
      <c r="AA34" s="806"/>
      <c r="AB34" s="209" t="s">
        <v>1453</v>
      </c>
      <c r="AC34" s="210" t="s">
        <v>1454</v>
      </c>
      <c r="AD34" s="1424">
        <f ca="1">IF(AND(method_reg="Метод индексации",god&lt;&gt;first_year),SUMIFS(INDEX('Калькуляция (МИ корр)'!$AJ$25:$BC$315,,MATCH(AD$8,'Калькуляция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(МИ)'!$AJ$25:$BC$315,,MATCH(AD$8,'Калькуляция (МИ)'!$AJ$8:$BC$8,0)),'Калькуляция (МИ)'!$F$25:$F$315,$F34,'Калькуляция (МИ)'!$G$25:$G$315,$G34))))</f>
        <v>0</v>
      </c>
      <c r="AE34" s="1424">
        <f ca="1">IF(AND(method_reg="Метод индексации",god&lt;&gt;first_year),SUMIFS(INDEX('Калькуляция (МИ корр)'!$AJ$25:$BC$315,,MATCH(AE$8,'Калькуляция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(МИ)'!$AJ$25:$BC$315,,MATCH(AE$8,'Калькуляция (МИ)'!$AJ$8:$BC$8,0)),'Калькуляция (МИ)'!$F$25:$F$315,$F34,'Калькуляция (МИ)'!$G$25:$G$315,$G34))))</f>
        <v>0</v>
      </c>
      <c r="AF34" s="212">
        <f ca="1">IF(AD34=0,0,(AE34-AD34)/AD34*100)</f>
        <v>0</v>
      </c>
      <c r="AG34" s="1424">
        <f ca="1">IF(AND(method_reg="Метод индексации",god&lt;&gt;first_year),SUMIFS(INDEX('Калькуляция (МИ корр)'!$AJ$25:$BC$315,,MATCH(AG$8,'Калькуляция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(МИ)'!$AJ$25:$BC$315,,MATCH(AG$8,'Калькуляция (МИ)'!$AJ$8:$BC$8,0)),'Калькуляция (МИ)'!$F$25:$F$315,$F34,'Калькуляция (МИ)'!$G$25:$G$315,$G34))))</f>
        <v>0</v>
      </c>
      <c r="AH34" s="1424">
        <f ca="1">IF(AND(method_reg="Метод индексации",god&lt;&gt;first_year),SUMIFS(INDEX('Калькуляция (МИ корр)'!$AJ$25:$BC$315,,MATCH(AH$8,'Калькуляция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(МИ)'!$AJ$25:$BC$315,,MATCH(AH$8,'Калькуляция (МИ)'!$AJ$8:$BC$8,0)),'Калькуляция (МИ)'!$F$25:$F$315,$F34,'Калькуляция (МИ)'!$G$25:$G$315,$G34))))</f>
        <v>0</v>
      </c>
      <c r="AI34" s="212">
        <f ca="1">IF(AG34=0,0,(AH34-AG34)/AG34*100)</f>
        <v>0</v>
      </c>
      <c r="AJ34" s="1424">
        <f ca="1">IF(AND(method_reg="Метод индексации",god&lt;&gt;first_year),SUMIFS(INDEX('Калькуляция (МИ корр)'!$AJ$25:$BC$315,,MATCH(AJ$8,'Калькуляция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(МИ)'!$AJ$25:$BC$315,,MATCH(AJ$8,'Калькуляция (МИ)'!$AJ$8:$BC$8,0)),'Калькуляция (МИ)'!$F$25:$F$315,$F34,'Калькуляция (МИ)'!$G$25:$G$315,$G34))))</f>
        <v>0</v>
      </c>
      <c r="AK34" s="1424">
        <f ca="1">IF(AND(method_reg="Метод индексации",god&lt;&gt;first_year),SUMIFS(INDEX('Калькуляция (МИ корр)'!$AJ$25:$BC$315,,MATCH(AK$8,'Калькуляция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(МИ)'!$AJ$25:$BC$315,,MATCH(AK$8,'Калькуляция (МИ)'!$AJ$8:$BC$8,0)),'Калькуляция (МИ)'!$F$25:$F$315,$F34,'Калькуляция (МИ)'!$G$25:$G$315,$G34))))</f>
        <v>0</v>
      </c>
      <c r="AL34" s="212">
        <f ca="1">IF(AJ34=0,0,(AK34-AJ34)/AJ34*100)</f>
        <v>0</v>
      </c>
      <c r="AM34" s="1424">
        <f ca="1">IF(AND(method_reg="Метод индексации",god&lt;&gt;first_year),SUMIFS(INDEX('Калькуляция (МИ корр)'!$AJ$25:$BC$315,,MATCH(AM$8,'Калькуляция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(МИ)'!$AJ$25:$BC$315,,MATCH(AM$8,'Калькуляция (МИ)'!$AJ$8:$BC$8,0)),'Калькуляция (МИ)'!$F$25:$F$315,$F34,'Калькуляция (МИ)'!$G$25:$G$315,$G34))))</f>
        <v>0</v>
      </c>
      <c r="AN34" s="1424">
        <f ca="1">IF(AND(method_reg="Метод индексации",god&lt;&gt;first_year),SUMIFS(INDEX('Калькуляция (МИ корр)'!$AJ$25:$BC$315,,MATCH(AN$8,'Калькуляция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(МИ)'!$AJ$25:$BC$315,,MATCH(AN$8,'Калькуляция (МИ)'!$AJ$8:$BC$8,0)),'Калькуляция (МИ)'!$F$25:$F$315,$F34,'Калькуляция (МИ)'!$G$25:$G$315,$G34))))</f>
        <v>0</v>
      </c>
      <c r="AO34" s="212">
        <f ca="1">IF(AM34=0,0,(AN34-AM34)/AM34*100)</f>
        <v>0</v>
      </c>
      <c r="AP34" s="1424">
        <f ca="1">IF(AND(method_reg="Метод индексации",god&lt;&gt;first_year),SUMIFS(INDEX('Калькуляция (МИ корр)'!$AJ$25:$BC$315,,MATCH(AP$8,'Калькуляция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(МИ)'!$AJ$25:$BC$315,,MATCH(AP$8,'Калькуляция (МИ)'!$AJ$8:$BC$8,0)),'Калькуляция (МИ)'!$F$25:$F$315,$F34,'Калькуляция (МИ)'!$G$25:$G$315,$G34))))</f>
        <v>0</v>
      </c>
      <c r="AQ34" s="1424">
        <f ca="1">IF(AND(method_reg="Метод индексации",god&lt;&gt;first_year),SUMIFS(INDEX('Калькуляция (МИ корр)'!$AJ$25:$BC$315,,MATCH(AQ$8,'Калькуляция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(МИ)'!$AJ$25:$BC$315,,MATCH(AQ$8,'Калькуляция (МИ)'!$AJ$8:$BC$8,0)),'Калькуляция (МИ)'!$F$25:$F$315,$F34,'Калькуляция (МИ)'!$G$25:$G$315,$G34))))</f>
        <v>0</v>
      </c>
      <c r="AR34" s="212">
        <f ca="1">IF(AP34=0,0,(AQ34-AP34)/AP34*100)</f>
        <v>0</v>
      </c>
      <c r="AS34" s="1424">
        <f ca="1">IF(AND(method_reg="Метод индексации",god&lt;&gt;first_year),SUMIFS(INDEX('Калькуляция (МИ корр)'!$AJ$25:$BC$315,,MATCH(AS$8,'Калькуляция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(МИ)'!$AJ$25:$BC$315,,MATCH(AS$8,'Калькуляция (МИ)'!$AJ$8:$BC$8,0)),'Калькуляция (МИ)'!$F$25:$F$315,$F34,'Калькуляция (МИ)'!$G$25:$G$315,$G34))))</f>
        <v>0</v>
      </c>
      <c r="AT34" s="1424">
        <f ca="1">IF(AND(method_reg="Метод индексации",god&lt;&gt;first_year),SUMIFS(INDEX('Калькуляция (МИ корр)'!$AJ$25:$BC$315,,MATCH(AT$8,'Калькуляция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(МИ)'!$AJ$25:$BC$315,,MATCH(AT$8,'Калькуляция (МИ)'!$AJ$8:$BC$8,0)),'Калькуляция (МИ)'!$F$25:$F$315,$F34,'Калькуляция (МИ)'!$G$25:$G$315,$G34))))</f>
        <v>0</v>
      </c>
      <c r="AU34" s="212">
        <f ca="1">IF(AS34=0,0,(AT34-AS34)/AS34*100)</f>
        <v>0</v>
      </c>
      <c r="AV34" s="1424">
        <f ca="1">IF(AND(method_reg="Метод индексации",god&lt;&gt;first_year),SUMIFS(INDEX('Калькуляция (МИ корр)'!$AJ$25:$BC$315,,MATCH(AV$8,'Калькуляция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(МИ)'!$AJ$25:$BC$315,,MATCH(AV$8,'Калькуляция (МИ)'!$AJ$8:$BC$8,0)),'Калькуляция (МИ)'!$F$25:$F$315,$F34,'Калькуляция (МИ)'!$G$25:$G$315,$G34))))</f>
        <v>0</v>
      </c>
      <c r="AW34" s="1424">
        <f ca="1">IF(AND(method_reg="Метод индексации",god&lt;&gt;first_year),SUMIFS(INDEX('Калькуляция (МИ корр)'!$AJ$25:$BC$315,,MATCH(AW$8,'Калькуляция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(МИ)'!$AJ$25:$BC$315,,MATCH(AW$8,'Калькуляция (МИ)'!$AJ$8:$BC$8,0)),'Калькуляция (МИ)'!$F$25:$F$315,$F34,'Калькуляция (МИ)'!$G$25:$G$315,$G34))))</f>
        <v>0</v>
      </c>
      <c r="AX34" s="212">
        <f ca="1">IF(AV34=0,0,(AW34-AV34)/AV34*100)</f>
        <v>0</v>
      </c>
      <c r="AY34" s="1424">
        <f ca="1">IF(AND(method_reg="Метод индексации",god&lt;&gt;first_year),SUMIFS(INDEX('Калькуляция (МИ корр)'!$AJ$25:$BC$315,,MATCH(AY$8,'Калькуляция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(МИ)'!$AJ$25:$BC$315,,MATCH(AY$8,'Калькуляция (МИ)'!$AJ$8:$BC$8,0)),'Калькуляция (МИ)'!$F$25:$F$315,$F34,'Калькуляция (МИ)'!$G$25:$G$315,$G34))))</f>
        <v>0</v>
      </c>
      <c r="AZ34" s="1424">
        <f ca="1">IF(AND(method_reg="Метод индексации",god&lt;&gt;first_year),SUMIFS(INDEX('Калькуляция (МИ корр)'!$AJ$25:$BC$315,,MATCH(AZ$8,'Калькуляция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(МИ)'!$AJ$25:$BC$315,,MATCH(AZ$8,'Калькуляция (МИ)'!$AJ$8:$BC$8,0)),'Калькуляция (МИ)'!$F$25:$F$315,$F34,'Калькуляция (МИ)'!$G$25:$G$315,$G34))))</f>
        <v>0</v>
      </c>
      <c r="BA34" s="212">
        <f ca="1">IF(AY34=0,0,(AZ34-AY34)/AY34*100)</f>
        <v>0</v>
      </c>
      <c r="BB34" s="1424">
        <f ca="1">IF(AND(method_reg="Метод индексации",god&lt;&gt;first_year),SUMIFS(INDEX('Калькуляция (МИ корр)'!$AJ$25:$BC$315,,MATCH(BB$8,'Калькуляция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(МИ)'!$AJ$25:$BC$315,,MATCH(BB$8,'Калькуляция (МИ)'!$AJ$8:$BC$8,0)),'Калькуляция (МИ)'!$F$25:$F$315,$F34,'Калькуляция (МИ)'!$G$25:$G$315,$G34))))</f>
        <v>0</v>
      </c>
      <c r="BC34" s="1424">
        <f ca="1">IF(AND(method_reg="Метод индексации",god&lt;&gt;first_year),SUMIFS(INDEX('Калькуляция (МИ корр)'!$AJ$25:$BC$315,,MATCH(BC$8,'Калькуляция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(МИ)'!$AJ$25:$BC$315,,MATCH(BC$8,'Калькуляция (МИ)'!$AJ$8:$BC$8,0)),'Калькуляция (МИ)'!$F$25:$F$315,$F34,'Калькуляция (МИ)'!$G$25:$G$315,$G34))))</f>
        <v>0</v>
      </c>
      <c r="BD34" s="212">
        <f ca="1">IF(BB34=0,0,(BC34-BB34)/BB34*100)</f>
        <v>0</v>
      </c>
      <c r="BE34" s="1424">
        <f ca="1">IF(AND(method_reg="Метод индексации",god&lt;&gt;first_year),SUMIFS(INDEX('Калькуляция (МИ корр)'!$AJ$25:$BC$315,,MATCH(BE$8,'Калькуляция (МИ корр)'!$AJ$8:$BC$8,0)),'Калькуляция (МИ корр)'!$F$25:$F$315,$F34,'Калькуляция (МИ корр)'!$G$25:$G$315,$G34),IF(method_reg="Метод экономически обоснованных расходов",SUMIFS('Калькуляция (МЭОР)'!$AJ$25:$AJ$199,'Калькуляция (МЭОР)'!$F$25:$F$199,$F34,'Калькуляция (МЭОР)'!$G$25:$G$199,$G34),IF(method_reg="Метод сравнения аналогов",SUMIFS('Калькуляция (МСА)'!$AE$25:$AE$65,'Калькуляция (МСА)'!$F$25:$F$65,$F34,'Калькуляция (МСА)'!$G$25:$G$65,$G34),SUMIFS(INDEX('Калькуляция (МИ)'!$AJ$25:$BC$315,,MATCH(BE$8,'Калькуляция (МИ)'!$AJ$8:$BC$8,0)),'Калькуляция (МИ)'!$F$25:$F$315,$F34,'Калькуляция (МИ)'!$G$25:$G$315,$G34))))</f>
        <v>0</v>
      </c>
      <c r="BF34" s="1424">
        <f ca="1">IF(AND(method_reg="Метод индексации",god&lt;&gt;first_year),SUMIFS(INDEX('Калькуляция (МИ корр)'!$AJ$25:$BC$315,,MATCH(BF$8,'Калькуляция (МИ корр)'!$AJ$8:$BC$8,0)),'Калькуляция (МИ корр)'!$F$25:$F$315,$F34,'Калькуляция (МИ корр)'!$G$25:$G$315,$G34),IF(method_reg="Метод экономически обоснованных расходов",SUMIFS('Калькуляция (МЭОР)'!$AK$25:$AK$199,'Калькуляция (МЭОР)'!$F$25:$F$199,$F34,'Калькуляция (МЭОР)'!$G$25:$G$199,$G34),IF(method_reg="Метод сравнения аналогов",SUMIFS('Калькуляция (МСА)'!$AF$25:$AF$65,'Калькуляция (МСА)'!$F$25:$F$65,$F34,'Калькуляция (МСА)'!$G$25:$G$65,$G34),SUMIFS(INDEX('Калькуляция (МИ)'!$AJ$25:$BC$315,,MATCH(BF$8,'Калькуляция (МИ)'!$AJ$8:$BC$8,0)),'Калькуляция (МИ)'!$F$25:$F$315,$F34,'Калькуляция (МИ)'!$G$25:$G$315,$G34))))</f>
        <v>0</v>
      </c>
      <c r="BG34" s="212">
        <f ca="1">IF(BE34=0,0,(BF34-BE34)/BE34*100)</f>
        <v>0</v>
      </c>
      <c r="BH34" s="1424"/>
      <c r="BI34" s="1424"/>
      <c r="BJ34" s="212">
        <f>IF(BH34=0,0,(BI34-BH34)/BH34*100)</f>
        <v>0</v>
      </c>
      <c r="BK34" s="1424"/>
      <c r="BL34" s="1424"/>
      <c r="BM34" s="212">
        <f>IF(BK34=0,0,(BL34-BK34)/BK34*100)</f>
        <v>0</v>
      </c>
      <c r="BN34" s="1424"/>
      <c r="BO34" s="1424"/>
      <c r="BP34" s="212">
        <f>IF(BN34=0,0,(BO34-BN34)/BN34*100)</f>
        <v>0</v>
      </c>
      <c r="BQ34" s="1424"/>
      <c r="BR34" s="1424"/>
      <c r="BS34" s="212">
        <f>IF(BQ34=0,0,(BR34-BQ34)/BQ34*100)</f>
        <v>0</v>
      </c>
      <c r="BT34" s="1424"/>
      <c r="BU34" s="1424"/>
      <c r="BV34" s="212">
        <f>IF(BT34=0,0,(BU34-BT34)/BT34*100)</f>
        <v>0</v>
      </c>
      <c r="BW34" s="1424"/>
      <c r="BX34" s="1424"/>
      <c r="BY34" s="212">
        <f>IF(BW34=0,0,(BX34-BW34)/BW34*100)</f>
        <v>0</v>
      </c>
      <c r="BZ34" s="1424"/>
      <c r="CA34" s="1424"/>
      <c r="CB34" s="212">
        <f>IF(BZ34=0,0,(CA34-BZ34)/BZ34*100)</f>
        <v>0</v>
      </c>
      <c r="CC34" s="1424"/>
      <c r="CD34" s="1424"/>
      <c r="CE34" s="212">
        <f>IF(CC34=0,0,(CD34-CC34)/CC34*100)</f>
        <v>0</v>
      </c>
      <c r="CF34" s="1424"/>
      <c r="CG34" s="1424"/>
      <c r="CH34" s="212">
        <f>IF(CF34=0,0,(CG34-CF34)/CF34*100)</f>
        <v>0</v>
      </c>
      <c r="CI34" s="1424"/>
      <c r="CJ34" s="1424"/>
      <c r="CK34" s="212">
        <f>IF(CI34=0,0,(CJ34-CI34)/CI34*100)</f>
        <v>0</v>
      </c>
      <c r="CL34" s="1424"/>
      <c r="CM34" s="1424"/>
      <c r="CN34" s="212">
        <f>IF(CL34=0,0,(CM34-CL34)/CL34*100)</f>
        <v>0</v>
      </c>
      <c r="CO34" s="1424"/>
      <c r="CP34" s="1424"/>
      <c r="CQ34" s="212">
        <f>IF(CO34=0,0,(CP34-CO34)/CO34*100)</f>
        <v>0</v>
      </c>
      <c r="CR34" s="1424"/>
      <c r="CS34" s="1424"/>
      <c r="CT34" s="212">
        <f>IF(CR34=0,0,(CS34-CR34)/CR34*100)</f>
        <v>0</v>
      </c>
      <c r="CU34" s="1424"/>
      <c r="CV34" s="1424"/>
      <c r="CW34" s="212">
        <f>IF(CU34=0,0,(CV34-CU34)/CU34*100)</f>
        <v>0</v>
      </c>
      <c r="CX34" s="1424"/>
      <c r="CY34" s="1424"/>
      <c r="CZ34" s="212">
        <f>IF(CX34=0,0,(CY34-CX34)/CX34*100)</f>
        <v>0</v>
      </c>
      <c r="DA34" s="1424"/>
      <c r="DB34" s="1424"/>
      <c r="DC34" s="212">
        <f>IF(DA34=0,0,(DB34-DA34)/DA34*100)</f>
        <v>0</v>
      </c>
      <c r="DD34" s="1424"/>
      <c r="DE34" s="1424"/>
      <c r="DF34" s="212">
        <f>IF(DD34=0,0,(DE34-DD34)/DD34*100)</f>
        <v>0</v>
      </c>
      <c r="DG34" s="1425"/>
      <c r="DH34" s="1425"/>
      <c r="DI34" s="212">
        <f>IF(DG34=0,0,(DH34-DG34)/DG34*100)</f>
        <v>0</v>
      </c>
      <c r="DJ34" s="1425"/>
      <c r="DK34" s="1425"/>
      <c r="DL34" s="212">
        <f>IF(DJ34=0,0,(DK34-DJ34)/DJ34*100)</f>
        <v>0</v>
      </c>
      <c r="DM34" s="1425"/>
      <c r="DN34" s="1425"/>
      <c r="DO34" s="212">
        <f>IF(DM34=0,0,(DN34-DM34)/DM34*100)</f>
        <v>0</v>
      </c>
      <c r="DP34" s="1425"/>
      <c r="DQ34" s="1425"/>
      <c r="DR34" s="212">
        <f>IF(DP34=0,0,(DQ34-DP34)/DP34*100)</f>
        <v>0</v>
      </c>
      <c r="DS34" s="1425"/>
      <c r="DT34" s="1425"/>
      <c r="DU34" s="212">
        <f>IF(DS34=0,0,(DT34-DS34)/DS34*100)</f>
        <v>0</v>
      </c>
      <c r="DV34" s="1425"/>
      <c r="DW34" s="1425"/>
      <c r="DX34" s="212">
        <f>IF(DV34=0,0,(DW34-DV34)/DV34*100)</f>
        <v>0</v>
      </c>
      <c r="DY34" s="1425"/>
      <c r="DZ34" s="1425"/>
      <c r="EA34" s="212">
        <f>IF(DY34=0,0,(DZ34-DY34)/DY34*100)</f>
        <v>0</v>
      </c>
      <c r="EB34" s="1425"/>
      <c r="EC34" s="1425"/>
      <c r="ED34" s="212">
        <f>IF(EB34=0,0,(EC34-EB34)/EB34*100)</f>
        <v>0</v>
      </c>
      <c r="EE34" s="1425"/>
      <c r="EF34" s="1425"/>
      <c r="EG34" s="212">
        <f>IF(EE34=0,0,(EF34-EE34)/EE34*100)</f>
        <v>0</v>
      </c>
      <c r="EH34" s="1425"/>
      <c r="EI34" s="1425"/>
      <c r="EJ34" s="212">
        <f>IF(EH34=0,0,(EI34-EH34)/EH34*100)</f>
        <v>0</v>
      </c>
      <c r="EK34" s="1425"/>
      <c r="EL34" s="1425"/>
      <c r="EM34" s="212">
        <f>IF(EK34=0,0,(EL34-EK34)/EK34*100)</f>
        <v>0</v>
      </c>
      <c r="EN34" s="1425"/>
      <c r="EO34" s="1425"/>
      <c r="EP34" s="212">
        <f>IF(EN34=0,0,(EO34-EN34)/EN34*100)</f>
        <v>0</v>
      </c>
      <c r="EQ34" s="1425"/>
      <c r="ER34" s="1425"/>
      <c r="ES34" s="212">
        <f>IF(EQ34=0,0,(ER34-EQ34)/EQ34*100)</f>
        <v>0</v>
      </c>
      <c r="ET34" s="1425"/>
      <c r="EU34" s="1425"/>
      <c r="EV34" s="212">
        <f>IF(ET34=0,0,(EU34-ET34)/ET34*100)</f>
        <v>0</v>
      </c>
      <c r="EW34" s="1425"/>
      <c r="EX34" s="1425"/>
      <c r="EY34" s="212">
        <f>IF(EW34=0,0,(EX34-EW34)/EW34*100)</f>
        <v>0</v>
      </c>
      <c r="EZ34" s="1425"/>
      <c r="FA34" s="1425"/>
      <c r="FB34" s="212">
        <f>IF(EZ34=0,0,(FA34-EZ34)/EZ34*100)</f>
        <v>0</v>
      </c>
      <c r="FC34" s="1425"/>
      <c r="FD34" s="1425"/>
      <c r="FE34" s="212">
        <f>IF(FC34=0,0,(FD34-FC34)/FC34*100)</f>
        <v>0</v>
      </c>
      <c r="FF34" s="1425"/>
      <c r="FG34" s="1425"/>
      <c r="FH34" s="212">
        <f>IF(FF34=0,0,(FG34-FF34)/FF34*100)</f>
        <v>0</v>
      </c>
      <c r="FI34" s="1425"/>
      <c r="FJ34" s="1425"/>
      <c r="FK34" s="212">
        <f>IF(FI34=0,0,(FJ34-FI34)/FI34*100)</f>
        <v>0</v>
      </c>
      <c r="FL34" s="1425"/>
      <c r="FM34" s="1425"/>
      <c r="FN34" s="212">
        <f>IF(FL34=0,0,(FM34-FL34)/FL34*100)</f>
        <v>0</v>
      </c>
      <c r="FO34" s="1425"/>
      <c r="FP34" s="1425"/>
      <c r="FQ34" s="212">
        <f>IF(FO34=0,0,(FP34-FO34)/FO34*100)</f>
        <v>0</v>
      </c>
      <c r="FR34" s="1425"/>
      <c r="FS34" s="1425"/>
      <c r="FT34" s="212">
        <f>IF(FR34=0,0,(FS34-FR34)/FR34*100)</f>
        <v>0</v>
      </c>
      <c r="FU34" s="1425"/>
      <c r="FV34" s="1425"/>
      <c r="FW34" s="212">
        <f>IF(FU34=0,0,(FV34-FU34)/FU34*100)</f>
        <v>0</v>
      </c>
      <c r="FZ34" s="957" t="s">
        <v>1455</v>
      </c>
      <c r="GA34" s="957"/>
      <c r="GB34" s="957"/>
      <c r="GC34" s="958"/>
      <c r="GD34" s="958"/>
    </row>
    <row r="35" spans="1:186" s="208" customFormat="1" ht="23.85" hidden="1" customHeight="1">
      <c r="A35" s="806"/>
      <c r="B35" s="830" t="b" cm="1">
        <f t="array" ref="B35">B34</f>
        <v>0</v>
      </c>
      <c r="C35" s="806"/>
      <c r="D35" s="806"/>
      <c r="E35" s="807">
        <v>24.5</v>
      </c>
      <c r="F35" s="3" cm="1">
        <f t="array" aca="1" ref="F35" ca="1">OFFSET(E35,-1,1)</f>
        <v>0</v>
      </c>
      <c r="G35" s="409" t="s">
        <v>1456</v>
      </c>
      <c r="H35" s="409" t="s">
        <v>427</v>
      </c>
      <c r="I35" s="409" t="s">
        <v>1457</v>
      </c>
      <c r="J35" s="806"/>
      <c r="K35" s="806"/>
      <c r="L35" s="409"/>
      <c r="M35" s="806"/>
      <c r="N35" s="806"/>
      <c r="O35" s="806"/>
      <c r="P35" s="806"/>
      <c r="Q35" s="806"/>
      <c r="R35" s="806"/>
      <c r="S35" s="409"/>
      <c r="T35" s="381" t="b" cm="1">
        <f t="array" ref="T35">T34</f>
        <v>0</v>
      </c>
      <c r="U35" s="806"/>
      <c r="V35" s="806"/>
      <c r="W35" s="806"/>
      <c r="X35" s="1787"/>
      <c r="Y35" s="806"/>
      <c r="Z35" s="1734"/>
      <c r="AA35" s="806"/>
      <c r="AB35" s="209" t="s">
        <v>1458</v>
      </c>
      <c r="AC35" s="210" t="s">
        <v>1454</v>
      </c>
      <c r="AD35" s="1424">
        <f ca="1">IF(AND(method_reg="Метод индексации",god&lt;&gt;first_year),SUMIFS(INDEX('Калькуляция (МИ корр)'!$AJ$25:$BC$315,,MATCH(AD$8,'Калькуляция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(МИ)'!$AJ$25:$BC$315,,MATCH(AD$8,'Калькуляция (МИ)'!$AJ$8:$BC$8,0)),'Калькуляция (МИ)'!$F$25:$F$315,$F35,'Калькуляция (МИ)'!$G$25:$G$315,$G35))))</f>
        <v>0</v>
      </c>
      <c r="AE35" s="1424">
        <f ca="1">IF(AND(method_reg="Метод индексации",god&lt;&gt;first_year),SUMIFS(INDEX('Калькуляция (МИ корр)'!$AJ$25:$BC$315,,MATCH(AE$8,'Калькуляция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(МИ)'!$AJ$25:$BC$315,,MATCH(AE$8,'Калькуляция (МИ)'!$AJ$8:$BC$8,0)),'Калькуляция (МИ)'!$F$25:$F$315,$F35,'Калькуляция (МИ)'!$G$25:$G$315,$G35))))</f>
        <v>0</v>
      </c>
      <c r="AF35" s="212">
        <f ca="1">IF(AD35=0,0,(AE35-AD35)/AD35*100)</f>
        <v>0</v>
      </c>
      <c r="AG35" s="1424">
        <f ca="1">IF(AND(method_reg="Метод индексации",god&lt;&gt;first_year),SUMIFS(INDEX('Калькуляция (МИ корр)'!$AJ$25:$BC$315,,MATCH(AG$8,'Калькуляция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(МИ)'!$AJ$25:$BC$315,,MATCH(AG$8,'Калькуляция (МИ)'!$AJ$8:$BC$8,0)),'Калькуляция (МИ)'!$F$25:$F$315,$F35,'Калькуляция (МИ)'!$G$25:$G$315,$G35))))</f>
        <v>0</v>
      </c>
      <c r="AH35" s="1424">
        <f ca="1">IF(AND(method_reg="Метод индексации",god&lt;&gt;first_year),SUMIFS(INDEX('Калькуляция (МИ корр)'!$AJ$25:$BC$315,,MATCH(AH$8,'Калькуляция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(МИ)'!$AJ$25:$BC$315,,MATCH(AH$8,'Калькуляция (МИ)'!$AJ$8:$BC$8,0)),'Калькуляция (МИ)'!$F$25:$F$315,$F35,'Калькуляция (МИ)'!$G$25:$G$315,$G35))))</f>
        <v>0</v>
      </c>
      <c r="AI35" s="212">
        <f ca="1">IF(AG35=0,0,(AH35-AG35)/AG35*100)</f>
        <v>0</v>
      </c>
      <c r="AJ35" s="1424">
        <f ca="1">IF(AND(method_reg="Метод индексации",god&lt;&gt;first_year),SUMIFS(INDEX('Калькуляция (МИ корр)'!$AJ$25:$BC$315,,MATCH(AJ$8,'Калькуляция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(МИ)'!$AJ$25:$BC$315,,MATCH(AJ$8,'Калькуляция (МИ)'!$AJ$8:$BC$8,0)),'Калькуляция (МИ)'!$F$25:$F$315,$F35,'Калькуляция (МИ)'!$G$25:$G$315,$G35))))</f>
        <v>0</v>
      </c>
      <c r="AK35" s="1424">
        <f ca="1">IF(AND(method_reg="Метод индексации",god&lt;&gt;first_year),SUMIFS(INDEX('Калькуляция (МИ корр)'!$AJ$25:$BC$315,,MATCH(AK$8,'Калькуляция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(МИ)'!$AJ$25:$BC$315,,MATCH(AK$8,'Калькуляция (МИ)'!$AJ$8:$BC$8,0)),'Калькуляция (МИ)'!$F$25:$F$315,$F35,'Калькуляция (МИ)'!$G$25:$G$315,$G35))))</f>
        <v>0</v>
      </c>
      <c r="AL35" s="212">
        <f ca="1">IF(AJ35=0,0,(AK35-AJ35)/AJ35*100)</f>
        <v>0</v>
      </c>
      <c r="AM35" s="1424">
        <f ca="1">IF(AND(method_reg="Метод индексации",god&lt;&gt;first_year),SUMIFS(INDEX('Калькуляция (МИ корр)'!$AJ$25:$BC$315,,MATCH(AM$8,'Калькуляция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(МИ)'!$AJ$25:$BC$315,,MATCH(AM$8,'Калькуляция (МИ)'!$AJ$8:$BC$8,0)),'Калькуляция (МИ)'!$F$25:$F$315,$F35,'Калькуляция (МИ)'!$G$25:$G$315,$G35))))</f>
        <v>0</v>
      </c>
      <c r="AN35" s="1424">
        <f ca="1">IF(AND(method_reg="Метод индексации",god&lt;&gt;first_year),SUMIFS(INDEX('Калькуляция (МИ корр)'!$AJ$25:$BC$315,,MATCH(AN$8,'Калькуляция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(МИ)'!$AJ$25:$BC$315,,MATCH(AN$8,'Калькуляция (МИ)'!$AJ$8:$BC$8,0)),'Калькуляция (МИ)'!$F$25:$F$315,$F35,'Калькуляция (МИ)'!$G$25:$G$315,$G35))))</f>
        <v>0</v>
      </c>
      <c r="AO35" s="212">
        <f ca="1">IF(AM35=0,0,(AN35-AM35)/AM35*100)</f>
        <v>0</v>
      </c>
      <c r="AP35" s="1424">
        <f ca="1">IF(AND(method_reg="Метод индексации",god&lt;&gt;first_year),SUMIFS(INDEX('Калькуляция (МИ корр)'!$AJ$25:$BC$315,,MATCH(AP$8,'Калькуляция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(МИ)'!$AJ$25:$BC$315,,MATCH(AP$8,'Калькуляция (МИ)'!$AJ$8:$BC$8,0)),'Калькуляция (МИ)'!$F$25:$F$315,$F35,'Калькуляция (МИ)'!$G$25:$G$315,$G35))))</f>
        <v>0</v>
      </c>
      <c r="AQ35" s="1424">
        <f ca="1">IF(AND(method_reg="Метод индексации",god&lt;&gt;first_year),SUMIFS(INDEX('Калькуляция (МИ корр)'!$AJ$25:$BC$315,,MATCH(AQ$8,'Калькуляция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(МИ)'!$AJ$25:$BC$315,,MATCH(AQ$8,'Калькуляция (МИ)'!$AJ$8:$BC$8,0)),'Калькуляция (МИ)'!$F$25:$F$315,$F35,'Калькуляция (МИ)'!$G$25:$G$315,$G35))))</f>
        <v>0</v>
      </c>
      <c r="AR35" s="212">
        <f ca="1">IF(AP35=0,0,(AQ35-AP35)/AP35*100)</f>
        <v>0</v>
      </c>
      <c r="AS35" s="1424">
        <f ca="1">IF(AND(method_reg="Метод индексации",god&lt;&gt;first_year),SUMIFS(INDEX('Калькуляция (МИ корр)'!$AJ$25:$BC$315,,MATCH(AS$8,'Калькуляция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(МИ)'!$AJ$25:$BC$315,,MATCH(AS$8,'Калькуляция (МИ)'!$AJ$8:$BC$8,0)),'Калькуляция (МИ)'!$F$25:$F$315,$F35,'Калькуляция (МИ)'!$G$25:$G$315,$G35))))</f>
        <v>0</v>
      </c>
      <c r="AT35" s="1424">
        <f ca="1">IF(AND(method_reg="Метод индексации",god&lt;&gt;first_year),SUMIFS(INDEX('Калькуляция (МИ корр)'!$AJ$25:$BC$315,,MATCH(AT$8,'Калькуляция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(МИ)'!$AJ$25:$BC$315,,MATCH(AT$8,'Калькуляция (МИ)'!$AJ$8:$BC$8,0)),'Калькуляция (МИ)'!$F$25:$F$315,$F35,'Калькуляция (МИ)'!$G$25:$G$315,$G35))))</f>
        <v>0</v>
      </c>
      <c r="AU35" s="212">
        <f ca="1">IF(AS35=0,0,(AT35-AS35)/AS35*100)</f>
        <v>0</v>
      </c>
      <c r="AV35" s="1424">
        <f ca="1">IF(AND(method_reg="Метод индексации",god&lt;&gt;first_year),SUMIFS(INDEX('Калькуляция (МИ корр)'!$AJ$25:$BC$315,,MATCH(AV$8,'Калькуляция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(МИ)'!$AJ$25:$BC$315,,MATCH(AV$8,'Калькуляция (МИ)'!$AJ$8:$BC$8,0)),'Калькуляция (МИ)'!$F$25:$F$315,$F35,'Калькуляция (МИ)'!$G$25:$G$315,$G35))))</f>
        <v>0</v>
      </c>
      <c r="AW35" s="1424">
        <f ca="1">IF(AND(method_reg="Метод индексации",god&lt;&gt;first_year),SUMIFS(INDEX('Калькуляция (МИ корр)'!$AJ$25:$BC$315,,MATCH(AW$8,'Калькуляция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(МИ)'!$AJ$25:$BC$315,,MATCH(AW$8,'Калькуляция (МИ)'!$AJ$8:$BC$8,0)),'Калькуляция (МИ)'!$F$25:$F$315,$F35,'Калькуляция (МИ)'!$G$25:$G$315,$G35))))</f>
        <v>0</v>
      </c>
      <c r="AX35" s="212">
        <f ca="1">IF(AV35=0,0,(AW35-AV35)/AV35*100)</f>
        <v>0</v>
      </c>
      <c r="AY35" s="1424">
        <f ca="1">IF(AND(method_reg="Метод индексации",god&lt;&gt;first_year),SUMIFS(INDEX('Калькуляция (МИ корр)'!$AJ$25:$BC$315,,MATCH(AY$8,'Калькуляция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(МИ)'!$AJ$25:$BC$315,,MATCH(AY$8,'Калькуляция (МИ)'!$AJ$8:$BC$8,0)),'Калькуляция (МИ)'!$F$25:$F$315,$F35,'Калькуляция (МИ)'!$G$25:$G$315,$G35))))</f>
        <v>0</v>
      </c>
      <c r="AZ35" s="1424">
        <f ca="1">IF(AND(method_reg="Метод индексации",god&lt;&gt;first_year),SUMIFS(INDEX('Калькуляция (МИ корр)'!$AJ$25:$BC$315,,MATCH(AZ$8,'Калькуляция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(МИ)'!$AJ$25:$BC$315,,MATCH(AZ$8,'Калькуляция (МИ)'!$AJ$8:$BC$8,0)),'Калькуляция (МИ)'!$F$25:$F$315,$F35,'Калькуляция (МИ)'!$G$25:$G$315,$G35))))</f>
        <v>0</v>
      </c>
      <c r="BA35" s="212">
        <f ca="1">IF(AY35=0,0,(AZ35-AY35)/AY35*100)</f>
        <v>0</v>
      </c>
      <c r="BB35" s="1424">
        <f ca="1">IF(AND(method_reg="Метод индексации",god&lt;&gt;first_year),SUMIFS(INDEX('Калькуляция (МИ корр)'!$AJ$25:$BC$315,,MATCH(BB$8,'Калькуляция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(МИ)'!$AJ$25:$BC$315,,MATCH(BB$8,'Калькуляция (МИ)'!$AJ$8:$BC$8,0)),'Калькуляция (МИ)'!$F$25:$F$315,$F35,'Калькуляция (МИ)'!$G$25:$G$315,$G35))))</f>
        <v>0</v>
      </c>
      <c r="BC35" s="1424">
        <f ca="1">IF(AND(method_reg="Метод индексации",god&lt;&gt;first_year),SUMIFS(INDEX('Калькуляция (МИ корр)'!$AJ$25:$BC$315,,MATCH(BC$8,'Калькуляция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(МИ)'!$AJ$25:$BC$315,,MATCH(BC$8,'Калькуляция (МИ)'!$AJ$8:$BC$8,0)),'Калькуляция (МИ)'!$F$25:$F$315,$F35,'Калькуляция (МИ)'!$G$25:$G$315,$G35))))</f>
        <v>0</v>
      </c>
      <c r="BD35" s="212">
        <f ca="1">IF(BB35=0,0,(BC35-BB35)/BB35*100)</f>
        <v>0</v>
      </c>
      <c r="BE35" s="1424">
        <f ca="1">IF(AND(method_reg="Метод индексации",god&lt;&gt;first_year),SUMIFS(INDEX('Калькуляция (МИ корр)'!$AJ$25:$BC$315,,MATCH(BE$8,'Калькуляция (МИ корр)'!$AJ$8:$BC$8,0)),'Калькуляция (МИ корр)'!$F$25:$F$315,$F35,'Калькуляция (МИ корр)'!$G$25:$G$315,$G35),IF(method_reg="Метод экономически обоснованных расходов",SUMIFS('Калькуляция (МЭОР)'!$AJ$25:$AJ$199,'Калькуляция (МЭОР)'!$F$25:$F$199,$F35,'Калькуляция (МЭОР)'!$G$25:$G$199,$G35),IF(method_reg="Метод сравнения аналогов",SUMIFS('Калькуляция (МСА)'!$AE$25:$AE$65,'Калькуляция (МСА)'!$F$25:$F$65,$F35,'Калькуляция (МСА)'!$G$25:$G$65,$G35),SUMIFS(INDEX('Калькуляция (МИ)'!$AJ$25:$BC$315,,MATCH(BE$8,'Калькуляция (МИ)'!$AJ$8:$BC$8,0)),'Калькуляция (МИ)'!$F$25:$F$315,$F35,'Калькуляция (МИ)'!$G$25:$G$315,$G35))))</f>
        <v>0</v>
      </c>
      <c r="BF35" s="1424">
        <f ca="1">IF(AND(method_reg="Метод индексации",god&lt;&gt;first_year),SUMIFS(INDEX('Калькуляция (МИ корр)'!$AJ$25:$BC$315,,MATCH(BF$8,'Калькуляция (МИ корр)'!$AJ$8:$BC$8,0)),'Калькуляция (МИ корр)'!$F$25:$F$315,$F35,'Калькуляция (МИ корр)'!$G$25:$G$315,$G35),IF(method_reg="Метод экономически обоснованных расходов",SUMIFS('Калькуляция (МЭОР)'!$AK$25:$AK$199,'Калькуляция (МЭОР)'!$F$25:$F$199,$F35,'Калькуляция (МЭОР)'!$G$25:$G$199,$G35),IF(method_reg="Метод сравнения аналогов",SUMIFS('Калькуляция (МСА)'!$AF$25:$AF$65,'Калькуляция (МСА)'!$F$25:$F$65,$F35,'Калькуляция (МСА)'!$G$25:$G$65,$G35),SUMIFS(INDEX('Калькуляция (МИ)'!$AJ$25:$BC$315,,MATCH(BF$8,'Калькуляция (МИ)'!$AJ$8:$BC$8,0)),'Калькуляция (МИ)'!$F$25:$F$315,$F35,'Калькуляция (МИ)'!$G$25:$G$315,$G35))))</f>
        <v>0</v>
      </c>
      <c r="BG35" s="212">
        <f ca="1">IF(BE35=0,0,(BF35-BE35)/BE35*100)</f>
        <v>0</v>
      </c>
      <c r="BH35" s="1424"/>
      <c r="BI35" s="1424"/>
      <c r="BJ35" s="212">
        <f>IF(BH35=0,0,(BI35-BH35)/BH35*100)</f>
        <v>0</v>
      </c>
      <c r="BK35" s="1424"/>
      <c r="BL35" s="1424"/>
      <c r="BM35" s="212">
        <f>IF(BK35=0,0,(BL35-BK35)/BK35*100)</f>
        <v>0</v>
      </c>
      <c r="BN35" s="1424"/>
      <c r="BO35" s="1424"/>
      <c r="BP35" s="212">
        <f>IF(BN35=0,0,(BO35-BN35)/BN35*100)</f>
        <v>0</v>
      </c>
      <c r="BQ35" s="1424"/>
      <c r="BR35" s="1424"/>
      <c r="BS35" s="212">
        <f>IF(BQ35=0,0,(BR35-BQ35)/BQ35*100)</f>
        <v>0</v>
      </c>
      <c r="BT35" s="1424"/>
      <c r="BU35" s="1424"/>
      <c r="BV35" s="212">
        <f>IF(BT35=0,0,(BU35-BT35)/BT35*100)</f>
        <v>0</v>
      </c>
      <c r="BW35" s="1424"/>
      <c r="BX35" s="1424"/>
      <c r="BY35" s="212">
        <f>IF(BW35=0,0,(BX35-BW35)/BW35*100)</f>
        <v>0</v>
      </c>
      <c r="BZ35" s="1424"/>
      <c r="CA35" s="1424"/>
      <c r="CB35" s="212">
        <f>IF(BZ35=0,0,(CA35-BZ35)/BZ35*100)</f>
        <v>0</v>
      </c>
      <c r="CC35" s="1424"/>
      <c r="CD35" s="1424"/>
      <c r="CE35" s="212">
        <f>IF(CC35=0,0,(CD35-CC35)/CC35*100)</f>
        <v>0</v>
      </c>
      <c r="CF35" s="1424"/>
      <c r="CG35" s="1424"/>
      <c r="CH35" s="212">
        <f>IF(CF35=0,0,(CG35-CF35)/CF35*100)</f>
        <v>0</v>
      </c>
      <c r="CI35" s="1424"/>
      <c r="CJ35" s="1424"/>
      <c r="CK35" s="212">
        <f>IF(CI35=0,0,(CJ35-CI35)/CI35*100)</f>
        <v>0</v>
      </c>
      <c r="CL35" s="1424"/>
      <c r="CM35" s="1424"/>
      <c r="CN35" s="212">
        <f>IF(CL35=0,0,(CM35-CL35)/CL35*100)</f>
        <v>0</v>
      </c>
      <c r="CO35" s="1424"/>
      <c r="CP35" s="1424"/>
      <c r="CQ35" s="212">
        <f>IF(CO35=0,0,(CP35-CO35)/CO35*100)</f>
        <v>0</v>
      </c>
      <c r="CR35" s="1424"/>
      <c r="CS35" s="1424"/>
      <c r="CT35" s="212">
        <f>IF(CR35=0,0,(CS35-CR35)/CR35*100)</f>
        <v>0</v>
      </c>
      <c r="CU35" s="1424"/>
      <c r="CV35" s="1424"/>
      <c r="CW35" s="212">
        <f>IF(CU35=0,0,(CV35-CU35)/CU35*100)</f>
        <v>0</v>
      </c>
      <c r="CX35" s="1424"/>
      <c r="CY35" s="1424"/>
      <c r="CZ35" s="212">
        <f>IF(CX35=0,0,(CY35-CX35)/CX35*100)</f>
        <v>0</v>
      </c>
      <c r="DA35" s="1424"/>
      <c r="DB35" s="1424"/>
      <c r="DC35" s="212">
        <f>IF(DA35=0,0,(DB35-DA35)/DA35*100)</f>
        <v>0</v>
      </c>
      <c r="DD35" s="1424"/>
      <c r="DE35" s="1424"/>
      <c r="DF35" s="212">
        <f>IF(DD35=0,0,(DE35-DD35)/DD35*100)</f>
        <v>0</v>
      </c>
      <c r="DG35" s="1425"/>
      <c r="DH35" s="1425"/>
      <c r="DI35" s="212">
        <f>IF(DG35=0,0,(DH35-DG35)/DG35*100)</f>
        <v>0</v>
      </c>
      <c r="DJ35" s="1425"/>
      <c r="DK35" s="1425"/>
      <c r="DL35" s="212">
        <f>IF(DJ35=0,0,(DK35-DJ35)/DJ35*100)</f>
        <v>0</v>
      </c>
      <c r="DM35" s="1425"/>
      <c r="DN35" s="1425"/>
      <c r="DO35" s="212">
        <f>IF(DM35=0,0,(DN35-DM35)/DM35*100)</f>
        <v>0</v>
      </c>
      <c r="DP35" s="1425"/>
      <c r="DQ35" s="1425"/>
      <c r="DR35" s="212">
        <f>IF(DP35=0,0,(DQ35-DP35)/DP35*100)</f>
        <v>0</v>
      </c>
      <c r="DS35" s="1425"/>
      <c r="DT35" s="1425"/>
      <c r="DU35" s="212">
        <f>IF(DS35=0,0,(DT35-DS35)/DS35*100)</f>
        <v>0</v>
      </c>
      <c r="DV35" s="1425"/>
      <c r="DW35" s="1425"/>
      <c r="DX35" s="212">
        <f>IF(DV35=0,0,(DW35-DV35)/DV35*100)</f>
        <v>0</v>
      </c>
      <c r="DY35" s="1425"/>
      <c r="DZ35" s="1425"/>
      <c r="EA35" s="212">
        <f>IF(DY35=0,0,(DZ35-DY35)/DY35*100)</f>
        <v>0</v>
      </c>
      <c r="EB35" s="1425"/>
      <c r="EC35" s="1425"/>
      <c r="ED35" s="212">
        <f>IF(EB35=0,0,(EC35-EB35)/EB35*100)</f>
        <v>0</v>
      </c>
      <c r="EE35" s="1425"/>
      <c r="EF35" s="1425"/>
      <c r="EG35" s="212">
        <f>IF(EE35=0,0,(EF35-EE35)/EE35*100)</f>
        <v>0</v>
      </c>
      <c r="EH35" s="1425"/>
      <c r="EI35" s="1425"/>
      <c r="EJ35" s="212">
        <f>IF(EH35=0,0,(EI35-EH35)/EH35*100)</f>
        <v>0</v>
      </c>
      <c r="EK35" s="1425"/>
      <c r="EL35" s="1425"/>
      <c r="EM35" s="212">
        <f>IF(EK35=0,0,(EL35-EK35)/EK35*100)</f>
        <v>0</v>
      </c>
      <c r="EN35" s="1425"/>
      <c r="EO35" s="1425"/>
      <c r="EP35" s="212">
        <f>IF(EN35=0,0,(EO35-EN35)/EN35*100)</f>
        <v>0</v>
      </c>
      <c r="EQ35" s="1425"/>
      <c r="ER35" s="1425"/>
      <c r="ES35" s="212">
        <f>IF(EQ35=0,0,(ER35-EQ35)/EQ35*100)</f>
        <v>0</v>
      </c>
      <c r="ET35" s="1425"/>
      <c r="EU35" s="1425"/>
      <c r="EV35" s="212">
        <f>IF(ET35=0,0,(EU35-ET35)/ET35*100)</f>
        <v>0</v>
      </c>
      <c r="EW35" s="1425"/>
      <c r="EX35" s="1425"/>
      <c r="EY35" s="212">
        <f>IF(EW35=0,0,(EX35-EW35)/EW35*100)</f>
        <v>0</v>
      </c>
      <c r="EZ35" s="1425"/>
      <c r="FA35" s="1425"/>
      <c r="FB35" s="212">
        <f>IF(EZ35=0,0,(FA35-EZ35)/EZ35*100)</f>
        <v>0</v>
      </c>
      <c r="FC35" s="1425"/>
      <c r="FD35" s="1425"/>
      <c r="FE35" s="212">
        <f>IF(FC35=0,0,(FD35-FC35)/FC35*100)</f>
        <v>0</v>
      </c>
      <c r="FF35" s="1425"/>
      <c r="FG35" s="1425"/>
      <c r="FH35" s="212">
        <f>IF(FF35=0,0,(FG35-FF35)/FF35*100)</f>
        <v>0</v>
      </c>
      <c r="FI35" s="1425"/>
      <c r="FJ35" s="1425"/>
      <c r="FK35" s="212">
        <f>IF(FI35=0,0,(FJ35-FI35)/FI35*100)</f>
        <v>0</v>
      </c>
      <c r="FL35" s="1425"/>
      <c r="FM35" s="1425"/>
      <c r="FN35" s="212">
        <f>IF(FL35=0,0,(FM35-FL35)/FL35*100)</f>
        <v>0</v>
      </c>
      <c r="FO35" s="1425"/>
      <c r="FP35" s="1425"/>
      <c r="FQ35" s="212">
        <f>IF(FO35=0,0,(FP35-FO35)/FO35*100)</f>
        <v>0</v>
      </c>
      <c r="FR35" s="1425"/>
      <c r="FS35" s="1425"/>
      <c r="FT35" s="212">
        <f>IF(FR35=0,0,(FS35-FR35)/FR35*100)</f>
        <v>0</v>
      </c>
      <c r="FU35" s="1425"/>
      <c r="FV35" s="1425"/>
      <c r="FW35" s="212">
        <f>IF(FU35=0,0,(FV35-FU35)/FU35*100)</f>
        <v>0</v>
      </c>
      <c r="FZ35" s="957" t="s">
        <v>1459</v>
      </c>
      <c r="GA35" s="957"/>
      <c r="GB35" s="957"/>
      <c r="GC35" s="958"/>
      <c r="GD35" s="958"/>
    </row>
    <row r="36" spans="1:186" ht="14.65" hidden="1" customHeight="1">
      <c r="A36" s="409"/>
      <c r="B36" s="830" t="b" cm="1">
        <f t="array" ref="B36">B35</f>
        <v>0</v>
      </c>
      <c r="C36" s="409"/>
      <c r="D36" s="409"/>
      <c r="E36" s="754">
        <v>15</v>
      </c>
      <c r="F36" s="3" cm="1">
        <f t="array" aca="1" ref="F36" ca="1">OFFSET(E36,-1,1)</f>
        <v>0</v>
      </c>
      <c r="G36" s="409"/>
      <c r="H36" s="409" t="s">
        <v>431</v>
      </c>
      <c r="I36" s="409" t="s">
        <v>1460</v>
      </c>
      <c r="J36" s="409"/>
      <c r="K36" s="409"/>
      <c r="L36" s="409"/>
      <c r="M36" s="409"/>
      <c r="N36" s="409"/>
      <c r="O36" s="409"/>
      <c r="P36" s="409"/>
      <c r="Q36" s="409"/>
      <c r="R36" s="409"/>
      <c r="S36" s="409"/>
      <c r="T36" s="381" t="b" cm="1">
        <f t="array" ref="T36">T35</f>
        <v>0</v>
      </c>
      <c r="U36" s="409"/>
      <c r="V36" s="409"/>
      <c r="W36" s="409"/>
      <c r="X36" s="1787"/>
      <c r="Y36" s="409"/>
      <c r="Z36" s="1734"/>
      <c r="AA36" s="409"/>
      <c r="AB36" s="992" t="s">
        <v>1461</v>
      </c>
      <c r="AC36" s="778" t="s">
        <v>423</v>
      </c>
      <c r="AD36" s="995">
        <f ca="1">IF(AD34=0,0,AD35/AD34)*100</f>
        <v>0</v>
      </c>
      <c r="AE36" s="995">
        <f ca="1">IF(AE34=0,0,AE35/AE34)*100</f>
        <v>0</v>
      </c>
      <c r="AF36" s="996"/>
      <c r="AG36" s="995">
        <f ca="1">IF(AG34=0,0,AG35/AG34)*100</f>
        <v>0</v>
      </c>
      <c r="AH36" s="995">
        <f ca="1">IF(AH34=0,0,AH35/AH34)*100</f>
        <v>0</v>
      </c>
      <c r="AI36" s="996"/>
      <c r="AJ36" s="995">
        <f ca="1">IF(AJ34=0,0,AJ35/AJ34)*100</f>
        <v>0</v>
      </c>
      <c r="AK36" s="995">
        <f ca="1">IF(AK34=0,0,AK35/AK34)*100</f>
        <v>0</v>
      </c>
      <c r="AL36" s="996"/>
      <c r="AM36" s="995">
        <f ca="1">IF(AM34=0,0,AM35/AM34)*100</f>
        <v>0</v>
      </c>
      <c r="AN36" s="995">
        <f ca="1">IF(AN34=0,0,AN35/AN34)*100</f>
        <v>0</v>
      </c>
      <c r="AO36" s="996"/>
      <c r="AP36" s="995">
        <f ca="1">IF(AP34=0,0,AP35/AP34)*100</f>
        <v>0</v>
      </c>
      <c r="AQ36" s="995">
        <f ca="1">IF(AQ34=0,0,AQ35/AQ34)*100</f>
        <v>0</v>
      </c>
      <c r="AR36" s="996"/>
      <c r="AS36" s="995">
        <f ca="1">IF(AS34=0,0,AS35/AS34)*100</f>
        <v>0</v>
      </c>
      <c r="AT36" s="995">
        <f ca="1">IF(AT34=0,0,AT35/AT34)*100</f>
        <v>0</v>
      </c>
      <c r="AU36" s="996"/>
      <c r="AV36" s="995">
        <f ca="1">IF(AV34=0,0,AV35/AV34)*100</f>
        <v>0</v>
      </c>
      <c r="AW36" s="995">
        <f ca="1">IF(AW34=0,0,AW35/AW34)*100</f>
        <v>0</v>
      </c>
      <c r="AX36" s="996"/>
      <c r="AY36" s="995">
        <f ca="1">IF(AY34=0,0,AY35/AY34)*100</f>
        <v>0</v>
      </c>
      <c r="AZ36" s="995">
        <f ca="1">IF(AZ34=0,0,AZ35/AZ34)*100</f>
        <v>0</v>
      </c>
      <c r="BA36" s="996"/>
      <c r="BB36" s="995">
        <f ca="1">IF(BB34=0,0,BB35/BB34)*100</f>
        <v>0</v>
      </c>
      <c r="BC36" s="995">
        <f ca="1">IF(BC34=0,0,BC35/BC34)*100</f>
        <v>0</v>
      </c>
      <c r="BD36" s="996"/>
      <c r="BE36" s="995">
        <f ca="1">IF(BE34=0,0,BE35/BE34)*100</f>
        <v>0</v>
      </c>
      <c r="BF36" s="995">
        <f ca="1">IF(BF34=0,0,BF35/BF34)*100</f>
        <v>0</v>
      </c>
      <c r="BG36" s="996"/>
      <c r="BH36" s="995">
        <f>IF(BH34=0,0,BH35/BH34)*100</f>
        <v>0</v>
      </c>
      <c r="BI36" s="995">
        <f>IF(BI34=0,0,BI35/BI34)*100</f>
        <v>0</v>
      </c>
      <c r="BJ36" s="996"/>
      <c r="BK36" s="995">
        <f>IF(BK34=0,0,BK35/BK34)*100</f>
        <v>0</v>
      </c>
      <c r="BL36" s="995">
        <f>IF(BL34=0,0,BL35/BL34)*100</f>
        <v>0</v>
      </c>
      <c r="BM36" s="996"/>
      <c r="BN36" s="995">
        <f>IF(BN34=0,0,BN35/BN34)*100</f>
        <v>0</v>
      </c>
      <c r="BO36" s="995">
        <f>IF(BO34=0,0,BO35/BO34)*100</f>
        <v>0</v>
      </c>
      <c r="BP36" s="996"/>
      <c r="BQ36" s="995">
        <f>IF(BQ34=0,0,BQ35/BQ34)*100</f>
        <v>0</v>
      </c>
      <c r="BR36" s="995">
        <f>IF(BR34=0,0,BR35/BR34)*100</f>
        <v>0</v>
      </c>
      <c r="BS36" s="996"/>
      <c r="BT36" s="995">
        <f>IF(BT34=0,0,BT35/BT34)*100</f>
        <v>0</v>
      </c>
      <c r="BU36" s="995">
        <f>IF(BU34=0,0,BU35/BU34)*100</f>
        <v>0</v>
      </c>
      <c r="BV36" s="996"/>
      <c r="BW36" s="995">
        <f>IF(BW34=0,0,BW35/BW34)*100</f>
        <v>0</v>
      </c>
      <c r="BX36" s="995">
        <f>IF(BX34=0,0,BX35/BX34)*100</f>
        <v>0</v>
      </c>
      <c r="BY36" s="996"/>
      <c r="BZ36" s="995">
        <f>IF(BZ34=0,0,BZ35/BZ34)*100</f>
        <v>0</v>
      </c>
      <c r="CA36" s="995">
        <f>IF(CA34=0,0,CA35/CA34)*100</f>
        <v>0</v>
      </c>
      <c r="CB36" s="996"/>
      <c r="CC36" s="995">
        <f>IF(CC34=0,0,CC35/CC34)*100</f>
        <v>0</v>
      </c>
      <c r="CD36" s="995">
        <f>IF(CD34=0,0,CD35/CD34)*100</f>
        <v>0</v>
      </c>
      <c r="CE36" s="996"/>
      <c r="CF36" s="995">
        <f>IF(CF34=0,0,CF35/CF34)*100</f>
        <v>0</v>
      </c>
      <c r="CG36" s="995">
        <f>IF(CG34=0,0,CG35/CG34)*100</f>
        <v>0</v>
      </c>
      <c r="CH36" s="996"/>
      <c r="CI36" s="995">
        <f>IF(CI34=0,0,CI35/CI34)*100</f>
        <v>0</v>
      </c>
      <c r="CJ36" s="995">
        <f>IF(CJ34=0,0,CJ35/CJ34)*100</f>
        <v>0</v>
      </c>
      <c r="CK36" s="996"/>
      <c r="CL36" s="995">
        <f>IF(CL34=0,0,CL35/CL34)*100</f>
        <v>0</v>
      </c>
      <c r="CM36" s="995">
        <f>IF(CM34=0,0,CM35/CM34)*100</f>
        <v>0</v>
      </c>
      <c r="CN36" s="996"/>
      <c r="CO36" s="995">
        <f>IF(CO34=0,0,CO35/CO34)*100</f>
        <v>0</v>
      </c>
      <c r="CP36" s="995">
        <f>IF(CP34=0,0,CP35/CP34)*100</f>
        <v>0</v>
      </c>
      <c r="CQ36" s="996"/>
      <c r="CR36" s="995">
        <f>IF(CR34=0,0,CR35/CR34)*100</f>
        <v>0</v>
      </c>
      <c r="CS36" s="995">
        <f>IF(CS34=0,0,CS35/CS34)*100</f>
        <v>0</v>
      </c>
      <c r="CT36" s="996"/>
      <c r="CU36" s="995">
        <f>IF(CU34=0,0,CU35/CU34)*100</f>
        <v>0</v>
      </c>
      <c r="CV36" s="995">
        <f>IF(CV34=0,0,CV35/CV34)*100</f>
        <v>0</v>
      </c>
      <c r="CW36" s="996"/>
      <c r="CX36" s="995">
        <f>IF(CX34=0,0,CX35/CX34)*100</f>
        <v>0</v>
      </c>
      <c r="CY36" s="995">
        <f>IF(CY34=0,0,CY35/CY34)*100</f>
        <v>0</v>
      </c>
      <c r="CZ36" s="996"/>
      <c r="DA36" s="995">
        <f>IF(DA34=0,0,DA35/DA34)*100</f>
        <v>0</v>
      </c>
      <c r="DB36" s="995">
        <f>IF(DB34=0,0,DB35/DB34)*100</f>
        <v>0</v>
      </c>
      <c r="DC36" s="996"/>
      <c r="DD36" s="995">
        <f>IF(DD34=0,0,DD35/DD34)*100</f>
        <v>0</v>
      </c>
      <c r="DE36" s="995">
        <f>IF(DE34=0,0,DE35/DE34)*100</f>
        <v>0</v>
      </c>
      <c r="DF36" s="996"/>
      <c r="DG36" s="995">
        <f>IF(DG34=0,0,DG35/DG34)*100</f>
        <v>0</v>
      </c>
      <c r="DH36" s="995">
        <f>IF(DH34=0,0,DH35/DH34)*100</f>
        <v>0</v>
      </c>
      <c r="DI36" s="996"/>
      <c r="DJ36" s="995">
        <f>IF(DJ34=0,0,DJ35/DJ34)*100</f>
        <v>0</v>
      </c>
      <c r="DK36" s="995">
        <f>IF(DK34=0,0,DK35/DK34)*100</f>
        <v>0</v>
      </c>
      <c r="DL36" s="996"/>
      <c r="DM36" s="995">
        <f>IF(DM34=0,0,DM35/DM34)*100</f>
        <v>0</v>
      </c>
      <c r="DN36" s="995">
        <f>IF(DN34=0,0,DN35/DN34)*100</f>
        <v>0</v>
      </c>
      <c r="DO36" s="996"/>
      <c r="DP36" s="995">
        <f>IF(DP34=0,0,DP35/DP34)*100</f>
        <v>0</v>
      </c>
      <c r="DQ36" s="995">
        <f>IF(DQ34=0,0,DQ35/DQ34)*100</f>
        <v>0</v>
      </c>
      <c r="DR36" s="996"/>
      <c r="DS36" s="995">
        <f>IF(DS34=0,0,DS35/DS34)*100</f>
        <v>0</v>
      </c>
      <c r="DT36" s="995">
        <f>IF(DT34=0,0,DT35/DT34)*100</f>
        <v>0</v>
      </c>
      <c r="DU36" s="996"/>
      <c r="DV36" s="995">
        <f>IF(DV34=0,0,DV35/DV34)*100</f>
        <v>0</v>
      </c>
      <c r="DW36" s="995">
        <f>IF(DW34=0,0,DW35/DW34)*100</f>
        <v>0</v>
      </c>
      <c r="DX36" s="996"/>
      <c r="DY36" s="995">
        <f>IF(DY34=0,0,DY35/DY34)*100</f>
        <v>0</v>
      </c>
      <c r="DZ36" s="995">
        <f>IF(DZ34=0,0,DZ35/DZ34)*100</f>
        <v>0</v>
      </c>
      <c r="EA36" s="996"/>
      <c r="EB36" s="995">
        <f>IF(EB34=0,0,EB35/EB34)*100</f>
        <v>0</v>
      </c>
      <c r="EC36" s="995">
        <f>IF(EC34=0,0,EC35/EC34)*100</f>
        <v>0</v>
      </c>
      <c r="ED36" s="996"/>
      <c r="EE36" s="995">
        <f>IF(EE34=0,0,EE35/EE34)*100</f>
        <v>0</v>
      </c>
      <c r="EF36" s="995">
        <f>IF(EF34=0,0,EF35/EF34)*100</f>
        <v>0</v>
      </c>
      <c r="EG36" s="996"/>
      <c r="EH36" s="995">
        <f>IF(EH34=0,0,EH35/EH34)*100</f>
        <v>0</v>
      </c>
      <c r="EI36" s="995">
        <f>IF(EI34=0,0,EI35/EI34)*100</f>
        <v>0</v>
      </c>
      <c r="EJ36" s="996"/>
      <c r="EK36" s="995">
        <f>IF(EK34=0,0,EK35/EK34)*100</f>
        <v>0</v>
      </c>
      <c r="EL36" s="995">
        <f>IF(EL34=0,0,EL35/EL34)*100</f>
        <v>0</v>
      </c>
      <c r="EM36" s="996"/>
      <c r="EN36" s="995">
        <f>IF(EN34=0,0,EN35/EN34)*100</f>
        <v>0</v>
      </c>
      <c r="EO36" s="995">
        <f>IF(EO34=0,0,EO35/EO34)*100</f>
        <v>0</v>
      </c>
      <c r="EP36" s="996"/>
      <c r="EQ36" s="995">
        <f>IF(EQ34=0,0,EQ35/EQ34)*100</f>
        <v>0</v>
      </c>
      <c r="ER36" s="995">
        <f>IF(ER34=0,0,ER35/ER34)*100</f>
        <v>0</v>
      </c>
      <c r="ES36" s="996"/>
      <c r="ET36" s="995">
        <f>IF(ET34=0,0,ET35/ET34)*100</f>
        <v>0</v>
      </c>
      <c r="EU36" s="995">
        <f>IF(EU34=0,0,EU35/EU34)*100</f>
        <v>0</v>
      </c>
      <c r="EV36" s="996"/>
      <c r="EW36" s="995">
        <f>IF(EW34=0,0,EW35/EW34)*100</f>
        <v>0</v>
      </c>
      <c r="EX36" s="995">
        <f>IF(EX34=0,0,EX35/EX34)*100</f>
        <v>0</v>
      </c>
      <c r="EY36" s="996"/>
      <c r="EZ36" s="995">
        <f>IF(EZ34=0,0,EZ35/EZ34)*100</f>
        <v>0</v>
      </c>
      <c r="FA36" s="995">
        <f>IF(FA34=0,0,FA35/FA34)*100</f>
        <v>0</v>
      </c>
      <c r="FB36" s="996"/>
      <c r="FC36" s="995">
        <f>IF(FC34=0,0,FC35/FC34)*100</f>
        <v>0</v>
      </c>
      <c r="FD36" s="995">
        <f>IF(FD34=0,0,FD35/FD34)*100</f>
        <v>0</v>
      </c>
      <c r="FE36" s="996"/>
      <c r="FF36" s="995">
        <f>IF(FF34=0,0,FF35/FF34)*100</f>
        <v>0</v>
      </c>
      <c r="FG36" s="995">
        <f>IF(FG34=0,0,FG35/FG34)*100</f>
        <v>0</v>
      </c>
      <c r="FH36" s="996"/>
      <c r="FI36" s="995">
        <f>IF(FI34=0,0,FI35/FI34)*100</f>
        <v>0</v>
      </c>
      <c r="FJ36" s="995">
        <f>IF(FJ34=0,0,FJ35/FJ34)*100</f>
        <v>0</v>
      </c>
      <c r="FK36" s="996"/>
      <c r="FL36" s="995">
        <f>IF(FL34=0,0,FL35/FL34)*100</f>
        <v>0</v>
      </c>
      <c r="FM36" s="995">
        <f>IF(FM34=0,0,FM35/FM34)*100</f>
        <v>0</v>
      </c>
      <c r="FN36" s="996"/>
      <c r="FO36" s="995">
        <f>IF(FO34=0,0,FO35/FO34)*100</f>
        <v>0</v>
      </c>
      <c r="FP36" s="995">
        <f>IF(FP34=0,0,FP35/FP34)*100</f>
        <v>0</v>
      </c>
      <c r="FQ36" s="996"/>
      <c r="FR36" s="995">
        <f>IF(FR34=0,0,FR35/FR34)*100</f>
        <v>0</v>
      </c>
      <c r="FS36" s="995">
        <f>IF(FS34=0,0,FS35/FS34)*100</f>
        <v>0</v>
      </c>
      <c r="FT36" s="996"/>
      <c r="FU36" s="995">
        <f>IF(FU34=0,0,FU35/FU34)*100</f>
        <v>0</v>
      </c>
      <c r="FV36" s="995">
        <f>IF(FV34=0,0,FV35/FV34)*100</f>
        <v>0</v>
      </c>
      <c r="FW36" s="996"/>
      <c r="FX36" s="208"/>
      <c r="FZ36" s="957" t="s">
        <v>1462</v>
      </c>
    </row>
    <row r="37" spans="1:186" ht="14.65" hidden="1" customHeight="1">
      <c r="A37" s="409"/>
      <c r="B37" s="830" t="b" cm="1">
        <f t="array" ref="B37">B36</f>
        <v>0</v>
      </c>
      <c r="C37" s="409"/>
      <c r="D37" s="409"/>
      <c r="E37" s="754">
        <v>15</v>
      </c>
      <c r="F37" s="3" cm="1">
        <f t="array" aca="1" ref="F37" ca="1">OFFSET(E37,-1,1)</f>
        <v>0</v>
      </c>
      <c r="G37" s="26" t="s">
        <v>1463</v>
      </c>
      <c r="H37" s="409" t="s">
        <v>434</v>
      </c>
      <c r="I37" s="409" t="s">
        <v>1460</v>
      </c>
      <c r="J37" s="409"/>
      <c r="K37" s="409"/>
      <c r="L37" s="409"/>
      <c r="M37" s="409"/>
      <c r="N37" s="409"/>
      <c r="O37" s="409"/>
      <c r="P37" s="409"/>
      <c r="Q37" s="409"/>
      <c r="R37" s="409"/>
      <c r="S37" s="409"/>
      <c r="T37" s="381" t="b" cm="1">
        <f t="array" ref="T37">T36</f>
        <v>0</v>
      </c>
      <c r="U37" s="409"/>
      <c r="V37" s="409"/>
      <c r="W37" s="409"/>
      <c r="X37" s="1787"/>
      <c r="Y37" s="409"/>
      <c r="Z37" s="1734"/>
      <c r="AA37" s="409"/>
      <c r="AB37" s="992" t="s">
        <v>1464</v>
      </c>
      <c r="AC37" s="778" t="s">
        <v>499</v>
      </c>
      <c r="AD37" s="1426">
        <f ca="1">IF(AND(method_reg="Метод индексации",god&lt;&gt;first_year),SUMIFS(INDEX('Калькуляция (МИ корр)'!$AJ$25:$BC$315,,MATCH(AD$8,'Калькуляция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(МИ)'!$AJ$25:$BC$315,,MATCH(AD$8,'Калькуляция (МИ)'!$AJ$8:$BC$8,0)),'Калькуляция (МИ)'!$F$25:$F$315,$F37,'Калькуляция (МИ)'!$G$25:$G$315,$G37))))</f>
        <v>0</v>
      </c>
      <c r="AE37" s="1426">
        <f ca="1">IF(AND(method_reg="Метод индексации",god&lt;&gt;first_year),SUMIFS(INDEX('Калькуляция (МИ корр)'!$AJ$25:$BC$315,,MATCH(AE$8,'Калькуляция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(МИ)'!$AJ$25:$BC$315,,MATCH(AE$8,'Калькуляция (МИ)'!$AJ$8:$BC$8,0)),'Калькуляция (МИ)'!$F$25:$F$315,$F37,'Калькуляция (МИ)'!$G$25:$G$315,$G37))))</f>
        <v>0</v>
      </c>
      <c r="AF37" s="998">
        <f ca="1">IF(AD37=0,0,(AE37-AD37)/AD37*100)</f>
        <v>0</v>
      </c>
      <c r="AG37" s="1426">
        <f ca="1">IF(AND(method_reg="Метод индексации",god&lt;&gt;first_year),SUMIFS(INDEX('Калькуляция (МИ корр)'!$AJ$25:$BC$315,,MATCH(AG$8,'Калькуляция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(МИ)'!$AJ$25:$BC$315,,MATCH(AG$8,'Калькуляция (МИ)'!$AJ$8:$BC$8,0)),'Калькуляция (МИ)'!$F$25:$F$315,$F37,'Калькуляция (МИ)'!$G$25:$G$315,$G37))))</f>
        <v>0</v>
      </c>
      <c r="AH37" s="1426">
        <f ca="1">IF(AND(method_reg="Метод индексации",god&lt;&gt;first_year),SUMIFS(INDEX('Калькуляция (МИ корр)'!$AJ$25:$BC$315,,MATCH(AH$8,'Калькуляция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(МИ)'!$AJ$25:$BC$315,,MATCH(AH$8,'Калькуляция (МИ)'!$AJ$8:$BC$8,0)),'Калькуляция (МИ)'!$F$25:$F$315,$F37,'Калькуляция (МИ)'!$G$25:$G$315,$G37))))</f>
        <v>0</v>
      </c>
      <c r="AI37" s="998">
        <f ca="1">IF(AG37=0,0,(AH37-AG37)/AG37*100)</f>
        <v>0</v>
      </c>
      <c r="AJ37" s="1426">
        <f ca="1">IF(AND(method_reg="Метод индексации",god&lt;&gt;first_year),SUMIFS(INDEX('Калькуляция (МИ корр)'!$AJ$25:$BC$315,,MATCH(AJ$8,'Калькуляция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(МИ)'!$AJ$25:$BC$315,,MATCH(AJ$8,'Калькуляция (МИ)'!$AJ$8:$BC$8,0)),'Калькуляция (МИ)'!$F$25:$F$315,$F37,'Калькуляция (МИ)'!$G$25:$G$315,$G37))))</f>
        <v>0</v>
      </c>
      <c r="AK37" s="1426">
        <f ca="1">IF(AND(method_reg="Метод индексации",god&lt;&gt;first_year),SUMIFS(INDEX('Калькуляция (МИ корр)'!$AJ$25:$BC$315,,MATCH(AK$8,'Калькуляция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(МИ)'!$AJ$25:$BC$315,,MATCH(AK$8,'Калькуляция (МИ)'!$AJ$8:$BC$8,0)),'Калькуляция (МИ)'!$F$25:$F$315,$F37,'Калькуляция (МИ)'!$G$25:$G$315,$G37))))</f>
        <v>0</v>
      </c>
      <c r="AL37" s="998">
        <f ca="1">IF(AJ37=0,0,(AK37-AJ37)/AJ37*100)</f>
        <v>0</v>
      </c>
      <c r="AM37" s="1426">
        <f ca="1">IF(AND(method_reg="Метод индексации",god&lt;&gt;first_year),SUMIFS(INDEX('Калькуляция (МИ корр)'!$AJ$25:$BC$315,,MATCH(AM$8,'Калькуляция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(МИ)'!$AJ$25:$BC$315,,MATCH(AM$8,'Калькуляция (МИ)'!$AJ$8:$BC$8,0)),'Калькуляция (МИ)'!$F$25:$F$315,$F37,'Калькуляция (МИ)'!$G$25:$G$315,$G37))))</f>
        <v>0</v>
      </c>
      <c r="AN37" s="1426">
        <f ca="1">IF(AND(method_reg="Метод индексации",god&lt;&gt;first_year),SUMIFS(INDEX('Калькуляция (МИ корр)'!$AJ$25:$BC$315,,MATCH(AN$8,'Калькуляция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(МИ)'!$AJ$25:$BC$315,,MATCH(AN$8,'Калькуляция (МИ)'!$AJ$8:$BC$8,0)),'Калькуляция (МИ)'!$F$25:$F$315,$F37,'Калькуляция (МИ)'!$G$25:$G$315,$G37))))</f>
        <v>0</v>
      </c>
      <c r="AO37" s="998">
        <f ca="1">IF(AM37=0,0,(AN37-AM37)/AM37*100)</f>
        <v>0</v>
      </c>
      <c r="AP37" s="1426">
        <f ca="1">IF(AND(method_reg="Метод индексации",god&lt;&gt;first_year),SUMIFS(INDEX('Калькуляция (МИ корр)'!$AJ$25:$BC$315,,MATCH(AP$8,'Калькуляция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(МИ)'!$AJ$25:$BC$315,,MATCH(AP$8,'Калькуляция (МИ)'!$AJ$8:$BC$8,0)),'Калькуляция (МИ)'!$F$25:$F$315,$F37,'Калькуляция (МИ)'!$G$25:$G$315,$G37))))</f>
        <v>0</v>
      </c>
      <c r="AQ37" s="1426">
        <f ca="1">IF(AND(method_reg="Метод индексации",god&lt;&gt;first_year),SUMIFS(INDEX('Калькуляция (МИ корр)'!$AJ$25:$BC$315,,MATCH(AQ$8,'Калькуляция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(МИ)'!$AJ$25:$BC$315,,MATCH(AQ$8,'Калькуляция (МИ)'!$AJ$8:$BC$8,0)),'Калькуляция (МИ)'!$F$25:$F$315,$F37,'Калькуляция (МИ)'!$G$25:$G$315,$G37))))</f>
        <v>0</v>
      </c>
      <c r="AR37" s="998">
        <f ca="1">IF(AP37=0,0,(AQ37-AP37)/AP37*100)</f>
        <v>0</v>
      </c>
      <c r="AS37" s="1426">
        <f ca="1">IF(AND(method_reg="Метод индексации",god&lt;&gt;first_year),SUMIFS(INDEX('Калькуляция (МИ корр)'!$AJ$25:$BC$315,,MATCH(AS$8,'Калькуляция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(МИ)'!$AJ$25:$BC$315,,MATCH(AS$8,'Калькуляция (МИ)'!$AJ$8:$BC$8,0)),'Калькуляция (МИ)'!$F$25:$F$315,$F37,'Калькуляция (МИ)'!$G$25:$G$315,$G37))))</f>
        <v>0</v>
      </c>
      <c r="AT37" s="1426">
        <f ca="1">IF(AND(method_reg="Метод индексации",god&lt;&gt;first_year),SUMIFS(INDEX('Калькуляция (МИ корр)'!$AJ$25:$BC$315,,MATCH(AT$8,'Калькуляция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(МИ)'!$AJ$25:$BC$315,,MATCH(AT$8,'Калькуляция (МИ)'!$AJ$8:$BC$8,0)),'Калькуляция (МИ)'!$F$25:$F$315,$F37,'Калькуляция (МИ)'!$G$25:$G$315,$G37))))</f>
        <v>0</v>
      </c>
      <c r="AU37" s="998">
        <f ca="1">IF(AS37=0,0,(AT37-AS37)/AS37*100)</f>
        <v>0</v>
      </c>
      <c r="AV37" s="1426">
        <f ca="1">IF(AND(method_reg="Метод индексации",god&lt;&gt;first_year),SUMIFS(INDEX('Калькуляция (МИ корр)'!$AJ$25:$BC$315,,MATCH(AV$8,'Калькуляция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(МИ)'!$AJ$25:$BC$315,,MATCH(AV$8,'Калькуляция (МИ)'!$AJ$8:$BC$8,0)),'Калькуляция (МИ)'!$F$25:$F$315,$F37,'Калькуляция (МИ)'!$G$25:$G$315,$G37))))</f>
        <v>0</v>
      </c>
      <c r="AW37" s="1426">
        <f ca="1">IF(AND(method_reg="Метод индексации",god&lt;&gt;first_year),SUMIFS(INDEX('Калькуляция (МИ корр)'!$AJ$25:$BC$315,,MATCH(AW$8,'Калькуляция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(МИ)'!$AJ$25:$BC$315,,MATCH(AW$8,'Калькуляция (МИ)'!$AJ$8:$BC$8,0)),'Калькуляция (МИ)'!$F$25:$F$315,$F37,'Калькуляция (МИ)'!$G$25:$G$315,$G37))))</f>
        <v>0</v>
      </c>
      <c r="AX37" s="998">
        <f ca="1">IF(AV37=0,0,(AW37-AV37)/AV37*100)</f>
        <v>0</v>
      </c>
      <c r="AY37" s="1426">
        <f ca="1">IF(AND(method_reg="Метод индексации",god&lt;&gt;first_year),SUMIFS(INDEX('Калькуляция (МИ корр)'!$AJ$25:$BC$315,,MATCH(AY$8,'Калькуляция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(МИ)'!$AJ$25:$BC$315,,MATCH(AY$8,'Калькуляция (МИ)'!$AJ$8:$BC$8,0)),'Калькуляция (МИ)'!$F$25:$F$315,$F37,'Калькуляция (МИ)'!$G$25:$G$315,$G37))))</f>
        <v>0</v>
      </c>
      <c r="AZ37" s="1426">
        <f ca="1">IF(AND(method_reg="Метод индексации",god&lt;&gt;first_year),SUMIFS(INDEX('Калькуляция (МИ корр)'!$AJ$25:$BC$315,,MATCH(AZ$8,'Калькуляция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(МИ)'!$AJ$25:$BC$315,,MATCH(AZ$8,'Калькуляция (МИ)'!$AJ$8:$BC$8,0)),'Калькуляция (МИ)'!$F$25:$F$315,$F37,'Калькуляция (МИ)'!$G$25:$G$315,$G37))))</f>
        <v>0</v>
      </c>
      <c r="BA37" s="998">
        <f ca="1">IF(AY37=0,0,(AZ37-AY37)/AY37*100)</f>
        <v>0</v>
      </c>
      <c r="BB37" s="1426">
        <f ca="1">IF(AND(method_reg="Метод индексации",god&lt;&gt;first_year),SUMIFS(INDEX('Калькуляция (МИ корр)'!$AJ$25:$BC$315,,MATCH(BB$8,'Калькуляция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(МИ)'!$AJ$25:$BC$315,,MATCH(BB$8,'Калькуляция (МИ)'!$AJ$8:$BC$8,0)),'Калькуляция (МИ)'!$F$25:$F$315,$F37,'Калькуляция (МИ)'!$G$25:$G$315,$G37))))</f>
        <v>0</v>
      </c>
      <c r="BC37" s="1426">
        <f ca="1">IF(AND(method_reg="Метод индексации",god&lt;&gt;first_year),SUMIFS(INDEX('Калькуляция (МИ корр)'!$AJ$25:$BC$315,,MATCH(BC$8,'Калькуляция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(МИ)'!$AJ$25:$BC$315,,MATCH(BC$8,'Калькуляция (МИ)'!$AJ$8:$BC$8,0)),'Калькуляция (МИ)'!$F$25:$F$315,$F37,'Калькуляция (МИ)'!$G$25:$G$315,$G37))))</f>
        <v>0</v>
      </c>
      <c r="BD37" s="998">
        <f ca="1">IF(BB37=0,0,(BC37-BB37)/BB37*100)</f>
        <v>0</v>
      </c>
      <c r="BE37" s="1426">
        <f ca="1">IF(AND(method_reg="Метод индексации",god&lt;&gt;first_year),SUMIFS(INDEX('Калькуляция (МИ корр)'!$AJ$25:$BC$315,,MATCH(BE$8,'Калькуляция (МИ корр)'!$AJ$8:$BC$8,0)),'Калькуляция (МИ корр)'!$F$25:$F$315,$F37,'Калькуляция (МИ корр)'!$G$25:$G$315,$G37),IF(method_reg="Метод экономически обоснованных расходов",SUMIFS('Калькуляция (МЭОР)'!$AJ$25:$AJ$199,'Калькуляция (МЭОР)'!$F$25:$F$199,$F37,'Калькуляция (МЭОР)'!$G$25:$G$199,$G37),IF(method_reg="Метод сравнения аналогов",SUMIFS('Калькуляция (МСА)'!$AE$25:$AE$65,'Калькуляция (МСА)'!$F$25:$F$65,$F37,'Калькуляция (МСА)'!$G$25:$G$65,$G37),SUMIFS(INDEX('Калькуляция (МИ)'!$AJ$25:$BC$315,,MATCH(BE$8,'Калькуляция (МИ)'!$AJ$8:$BC$8,0)),'Калькуляция (МИ)'!$F$25:$F$315,$F37,'Калькуляция (МИ)'!$G$25:$G$315,$G37))))</f>
        <v>0</v>
      </c>
      <c r="BF37" s="1426">
        <f ca="1">IF(AND(method_reg="Метод индексации",god&lt;&gt;first_year),SUMIFS(INDEX('Калькуляция (МИ корр)'!$AJ$25:$BC$315,,MATCH(BF$8,'Калькуляция (МИ корр)'!$AJ$8:$BC$8,0)),'Калькуляция (МИ корр)'!$F$25:$F$315,$F37,'Калькуляция (МИ корр)'!$G$25:$G$315,$G37),IF(method_reg="Метод экономически обоснованных расходов",SUMIFS('Калькуляция (МЭОР)'!$AK$25:$AK$199,'Калькуляция (МЭОР)'!$F$25:$F$199,$F37,'Калькуляция (МЭОР)'!$G$25:$G$199,$G37),IF(method_reg="Метод сравнения аналогов",SUMIFS('Калькуляция (МСА)'!$AF$25:$AF$65,'Калькуляция (МСА)'!$F$25:$F$65,$F37,'Калькуляция (МСА)'!$G$25:$G$65,$G37),SUMIFS(INDEX('Калькуляция (МИ)'!$AJ$25:$BC$315,,MATCH(BF$8,'Калькуляция (МИ)'!$AJ$8:$BC$8,0)),'Калькуляция (МИ)'!$F$25:$F$315,$F37,'Калькуляция (МИ)'!$G$25:$G$315,$G37))))</f>
        <v>0</v>
      </c>
      <c r="BG37" s="998">
        <f ca="1">IF(BE37=0,0,(BF37-BE37)/BE37*100)</f>
        <v>0</v>
      </c>
      <c r="BH37" s="1426"/>
      <c r="BI37" s="1426"/>
      <c r="BJ37" s="998">
        <f>IF(BH37=0,0,(BI37-BH37)/BH37*100)</f>
        <v>0</v>
      </c>
      <c r="BK37" s="1426"/>
      <c r="BL37" s="1426"/>
      <c r="BM37" s="998">
        <f>IF(BK37=0,0,(BL37-BK37)/BK37*100)</f>
        <v>0</v>
      </c>
      <c r="BN37" s="1426"/>
      <c r="BO37" s="1426"/>
      <c r="BP37" s="998">
        <f>IF(BN37=0,0,(BO37-BN37)/BN37*100)</f>
        <v>0</v>
      </c>
      <c r="BQ37" s="1426"/>
      <c r="BR37" s="1426"/>
      <c r="BS37" s="998">
        <f>IF(BQ37=0,0,(BR37-BQ37)/BQ37*100)</f>
        <v>0</v>
      </c>
      <c r="BT37" s="1426"/>
      <c r="BU37" s="1426"/>
      <c r="BV37" s="998">
        <f>IF(BT37=0,0,(BU37-BT37)/BT37*100)</f>
        <v>0</v>
      </c>
      <c r="BW37" s="1426"/>
      <c r="BX37" s="1426"/>
      <c r="BY37" s="998">
        <f>IF(BW37=0,0,(BX37-BW37)/BW37*100)</f>
        <v>0</v>
      </c>
      <c r="BZ37" s="1426"/>
      <c r="CA37" s="1426"/>
      <c r="CB37" s="998">
        <f>IF(BZ37=0,0,(CA37-BZ37)/BZ37*100)</f>
        <v>0</v>
      </c>
      <c r="CC37" s="1426"/>
      <c r="CD37" s="1426"/>
      <c r="CE37" s="998">
        <f>IF(CC37=0,0,(CD37-CC37)/CC37*100)</f>
        <v>0</v>
      </c>
      <c r="CF37" s="1426"/>
      <c r="CG37" s="1426"/>
      <c r="CH37" s="998">
        <f>IF(CF37=0,0,(CG37-CF37)/CF37*100)</f>
        <v>0</v>
      </c>
      <c r="CI37" s="1426"/>
      <c r="CJ37" s="1426"/>
      <c r="CK37" s="998">
        <f>IF(CI37=0,0,(CJ37-CI37)/CI37*100)</f>
        <v>0</v>
      </c>
      <c r="CL37" s="1426"/>
      <c r="CM37" s="1426"/>
      <c r="CN37" s="998">
        <f>IF(CL37=0,0,(CM37-CL37)/CL37*100)</f>
        <v>0</v>
      </c>
      <c r="CO37" s="1426"/>
      <c r="CP37" s="1426"/>
      <c r="CQ37" s="998">
        <f>IF(CO37=0,0,(CP37-CO37)/CO37*100)</f>
        <v>0</v>
      </c>
      <c r="CR37" s="1426"/>
      <c r="CS37" s="1426"/>
      <c r="CT37" s="998">
        <f>IF(CR37=0,0,(CS37-CR37)/CR37*100)</f>
        <v>0</v>
      </c>
      <c r="CU37" s="1426"/>
      <c r="CV37" s="1426"/>
      <c r="CW37" s="998">
        <f>IF(CU37=0,0,(CV37-CU37)/CU37*100)</f>
        <v>0</v>
      </c>
      <c r="CX37" s="1426"/>
      <c r="CY37" s="1426"/>
      <c r="CZ37" s="998">
        <f>IF(CX37=0,0,(CY37-CX37)/CX37*100)</f>
        <v>0</v>
      </c>
      <c r="DA37" s="1426"/>
      <c r="DB37" s="1426"/>
      <c r="DC37" s="998">
        <f>IF(DA37=0,0,(DB37-DA37)/DA37*100)</f>
        <v>0</v>
      </c>
      <c r="DD37" s="1426"/>
      <c r="DE37" s="1426"/>
      <c r="DF37" s="998">
        <f>IF(DD37=0,0,(DE37-DD37)/DD37*100)</f>
        <v>0</v>
      </c>
      <c r="DG37" s="1426"/>
      <c r="DH37" s="1426"/>
      <c r="DI37" s="998">
        <f>IF(DG37=0,0,(DH37-DG37)/DG37*100)</f>
        <v>0</v>
      </c>
      <c r="DJ37" s="1426"/>
      <c r="DK37" s="1426"/>
      <c r="DL37" s="998">
        <f>IF(DJ37=0,0,(DK37-DJ37)/DJ37*100)</f>
        <v>0</v>
      </c>
      <c r="DM37" s="1426"/>
      <c r="DN37" s="1426"/>
      <c r="DO37" s="998">
        <f>IF(DM37=0,0,(DN37-DM37)/DM37*100)</f>
        <v>0</v>
      </c>
      <c r="DP37" s="1426"/>
      <c r="DQ37" s="1426"/>
      <c r="DR37" s="998">
        <f>IF(DP37=0,0,(DQ37-DP37)/DP37*100)</f>
        <v>0</v>
      </c>
      <c r="DS37" s="1426"/>
      <c r="DT37" s="1426"/>
      <c r="DU37" s="998">
        <f>IF(DS37=0,0,(DT37-DS37)/DS37*100)</f>
        <v>0</v>
      </c>
      <c r="DV37" s="1426"/>
      <c r="DW37" s="1426"/>
      <c r="DX37" s="998">
        <f>IF(DV37=0,0,(DW37-DV37)/DV37*100)</f>
        <v>0</v>
      </c>
      <c r="DY37" s="1426"/>
      <c r="DZ37" s="1426"/>
      <c r="EA37" s="998">
        <f>IF(DY37=0,0,(DZ37-DY37)/DY37*100)</f>
        <v>0</v>
      </c>
      <c r="EB37" s="1426"/>
      <c r="EC37" s="1426"/>
      <c r="ED37" s="998">
        <f>IF(EB37=0,0,(EC37-EB37)/EB37*100)</f>
        <v>0</v>
      </c>
      <c r="EE37" s="1426"/>
      <c r="EF37" s="1426"/>
      <c r="EG37" s="998">
        <f>IF(EE37=0,0,(EF37-EE37)/EE37*100)</f>
        <v>0</v>
      </c>
      <c r="EH37" s="1426"/>
      <c r="EI37" s="1426"/>
      <c r="EJ37" s="998">
        <f>IF(EH37=0,0,(EI37-EH37)/EH37*100)</f>
        <v>0</v>
      </c>
      <c r="EK37" s="1426"/>
      <c r="EL37" s="1426"/>
      <c r="EM37" s="998">
        <f>IF(EK37=0,0,(EL37-EK37)/EK37*100)</f>
        <v>0</v>
      </c>
      <c r="EN37" s="1426"/>
      <c r="EO37" s="1426"/>
      <c r="EP37" s="998">
        <f>IF(EN37=0,0,(EO37-EN37)/EN37*100)</f>
        <v>0</v>
      </c>
      <c r="EQ37" s="1426"/>
      <c r="ER37" s="1426"/>
      <c r="ES37" s="998">
        <f>IF(EQ37=0,0,(ER37-EQ37)/EQ37*100)</f>
        <v>0</v>
      </c>
      <c r="ET37" s="1426"/>
      <c r="EU37" s="1426"/>
      <c r="EV37" s="998">
        <f>IF(ET37=0,0,(EU37-ET37)/ET37*100)</f>
        <v>0</v>
      </c>
      <c r="EW37" s="1426"/>
      <c r="EX37" s="1426"/>
      <c r="EY37" s="998">
        <f>IF(EW37=0,0,(EX37-EW37)/EW37*100)</f>
        <v>0</v>
      </c>
      <c r="EZ37" s="1426"/>
      <c r="FA37" s="1426"/>
      <c r="FB37" s="998">
        <f>IF(EZ37=0,0,(FA37-EZ37)/EZ37*100)</f>
        <v>0</v>
      </c>
      <c r="FC37" s="1426"/>
      <c r="FD37" s="1426"/>
      <c r="FE37" s="998">
        <f>IF(FC37=0,0,(FD37-FC37)/FC37*100)</f>
        <v>0</v>
      </c>
      <c r="FF37" s="1426"/>
      <c r="FG37" s="1426"/>
      <c r="FH37" s="998">
        <f>IF(FF37=0,0,(FG37-FF37)/FF37*100)</f>
        <v>0</v>
      </c>
      <c r="FI37" s="1426"/>
      <c r="FJ37" s="1426"/>
      <c r="FK37" s="998">
        <f>IF(FI37=0,0,(FJ37-FI37)/FI37*100)</f>
        <v>0</v>
      </c>
      <c r="FL37" s="1426"/>
      <c r="FM37" s="1426"/>
      <c r="FN37" s="998">
        <f>IF(FL37=0,0,(FM37-FL37)/FL37*100)</f>
        <v>0</v>
      </c>
      <c r="FO37" s="1426"/>
      <c r="FP37" s="1426"/>
      <c r="FQ37" s="998">
        <f>IF(FO37=0,0,(FP37-FO37)/FO37*100)</f>
        <v>0</v>
      </c>
      <c r="FR37" s="1426"/>
      <c r="FS37" s="1426"/>
      <c r="FT37" s="998">
        <f>IF(FR37=0,0,(FS37-FR37)/FR37*100)</f>
        <v>0</v>
      </c>
      <c r="FU37" s="1426"/>
      <c r="FV37" s="1426"/>
      <c r="FW37" s="998">
        <f>IF(FU37=0,0,(FV37-FU37)/FU37*100)</f>
        <v>0</v>
      </c>
      <c r="FX37" s="208"/>
      <c r="FZ37" s="957" t="s">
        <v>1465</v>
      </c>
    </row>
    <row r="38" spans="1:186" s="208" customFormat="1" ht="23.85" hidden="1" customHeight="1">
      <c r="A38" s="806"/>
      <c r="B38" s="830" t="b" cm="1">
        <f t="array" ref="B38">B37</f>
        <v>0</v>
      </c>
      <c r="C38" s="806"/>
      <c r="D38" s="806"/>
      <c r="E38" s="807">
        <v>24.5</v>
      </c>
      <c r="F38" s="3" cm="1">
        <f t="array" aca="1" ref="F38" ca="1">OFFSET(E38,-1,1)</f>
        <v>0</v>
      </c>
      <c r="G38" s="26" t="s">
        <v>1466</v>
      </c>
      <c r="H38" s="409" t="s">
        <v>427</v>
      </c>
      <c r="I38" s="409" t="s">
        <v>1467</v>
      </c>
      <c r="J38" s="806"/>
      <c r="K38" s="806"/>
      <c r="L38" s="409"/>
      <c r="M38" s="806"/>
      <c r="N38" s="806"/>
      <c r="O38" s="806"/>
      <c r="P38" s="806"/>
      <c r="Q38" s="806"/>
      <c r="R38" s="409"/>
      <c r="S38" s="409"/>
      <c r="T38" s="381" t="b" cm="1">
        <f t="array" ref="T38">T37</f>
        <v>0</v>
      </c>
      <c r="U38" s="806"/>
      <c r="V38" s="806"/>
      <c r="W38" s="806"/>
      <c r="X38" s="1787"/>
      <c r="Y38" s="806"/>
      <c r="Z38" s="1734"/>
      <c r="AA38" s="806"/>
      <c r="AB38" s="209" t="s">
        <v>1468</v>
      </c>
      <c r="AC38" s="210" t="s">
        <v>1454</v>
      </c>
      <c r="AD38" s="1424">
        <f ca="1">IF(AND(method_reg="Метод индексации",god&lt;&gt;first_year),SUMIFS(INDEX('Калькуляция (МИ корр)'!$AJ$25:$BC$315,,MATCH(AD$8,'Калькуляция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(МИ)'!$AJ$25:$BC$315,,MATCH(AD$8,'Калькуляция (МИ)'!$AJ$8:$BC$8,0)),'Калькуляция (МИ)'!$F$25:$F$315,$F38,'Калькуляция (МИ)'!$G$25:$G$315,$G38))))</f>
        <v>0</v>
      </c>
      <c r="AE38" s="1424">
        <f ca="1">IF(AND(method_reg="Метод индексации",god&lt;&gt;first_year),SUMIFS(INDEX('Калькуляция (МИ корр)'!$AJ$25:$BC$315,,MATCH(AE$8,'Калькуляция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(МИ)'!$AJ$25:$BC$315,,MATCH(AE$8,'Калькуляция (МИ)'!$AJ$8:$BC$8,0)),'Калькуляция (МИ)'!$F$25:$F$315,$F38,'Калькуляция (МИ)'!$G$25:$G$315,$G38))))</f>
        <v>0</v>
      </c>
      <c r="AF38" s="212">
        <f ca="1">IF(AD38=0,0,(AE38-AD38)/AD38*100)</f>
        <v>0</v>
      </c>
      <c r="AG38" s="1424">
        <f ca="1">IF(AND(method_reg="Метод индексации",god&lt;&gt;first_year),SUMIFS(INDEX('Калькуляция (МИ корр)'!$AJ$25:$BC$315,,MATCH(AG$8,'Калькуляция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(МИ)'!$AJ$25:$BC$315,,MATCH(AG$8,'Калькуляция (МИ)'!$AJ$8:$BC$8,0)),'Калькуляция (МИ)'!$F$25:$F$315,$F38,'Калькуляция (МИ)'!$G$25:$G$315,$G38))))</f>
        <v>0</v>
      </c>
      <c r="AH38" s="1424">
        <f ca="1">IF(AND(method_reg="Метод индексации",god&lt;&gt;first_year),SUMIFS(INDEX('Калькуляция (МИ корр)'!$AJ$25:$BC$315,,MATCH(AH$8,'Калькуляция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(МИ)'!$AJ$25:$BC$315,,MATCH(AH$8,'Калькуляция (МИ)'!$AJ$8:$BC$8,0)),'Калькуляция (МИ)'!$F$25:$F$315,$F38,'Калькуляция (МИ)'!$G$25:$G$315,$G38))))</f>
        <v>0</v>
      </c>
      <c r="AI38" s="212">
        <f ca="1">IF(AG38=0,0,(AH38-AG38)/AG38*100)</f>
        <v>0</v>
      </c>
      <c r="AJ38" s="1424">
        <f ca="1">IF(AND(method_reg="Метод индексации",god&lt;&gt;first_year),SUMIFS(INDEX('Калькуляция (МИ корр)'!$AJ$25:$BC$315,,MATCH(AJ$8,'Калькуляция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(МИ)'!$AJ$25:$BC$315,,MATCH(AJ$8,'Калькуляция (МИ)'!$AJ$8:$BC$8,0)),'Калькуляция (МИ)'!$F$25:$F$315,$F38,'Калькуляция (МИ)'!$G$25:$G$315,$G38))))</f>
        <v>0</v>
      </c>
      <c r="AK38" s="1424">
        <f ca="1">IF(AND(method_reg="Метод индексации",god&lt;&gt;first_year),SUMIFS(INDEX('Калькуляция (МИ корр)'!$AJ$25:$BC$315,,MATCH(AK$8,'Калькуляция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(МИ)'!$AJ$25:$BC$315,,MATCH(AK$8,'Калькуляция (МИ)'!$AJ$8:$BC$8,0)),'Калькуляция (МИ)'!$F$25:$F$315,$F38,'Калькуляция (МИ)'!$G$25:$G$315,$G38))))</f>
        <v>0</v>
      </c>
      <c r="AL38" s="212">
        <f ca="1">IF(AJ38=0,0,(AK38-AJ38)/AJ38*100)</f>
        <v>0</v>
      </c>
      <c r="AM38" s="1424">
        <f ca="1">IF(AND(method_reg="Метод индексации",god&lt;&gt;first_year),SUMIFS(INDEX('Калькуляция (МИ корр)'!$AJ$25:$BC$315,,MATCH(AM$8,'Калькуляция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(МИ)'!$AJ$25:$BC$315,,MATCH(AM$8,'Калькуляция (МИ)'!$AJ$8:$BC$8,0)),'Калькуляция (МИ)'!$F$25:$F$315,$F38,'Калькуляция (МИ)'!$G$25:$G$315,$G38))))</f>
        <v>0</v>
      </c>
      <c r="AN38" s="1424">
        <f ca="1">IF(AND(method_reg="Метод индексации",god&lt;&gt;first_year),SUMIFS(INDEX('Калькуляция (МИ корр)'!$AJ$25:$BC$315,,MATCH(AN$8,'Калькуляция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(МИ)'!$AJ$25:$BC$315,,MATCH(AN$8,'Калькуляция (МИ)'!$AJ$8:$BC$8,0)),'Калькуляция (МИ)'!$F$25:$F$315,$F38,'Калькуляция (МИ)'!$G$25:$G$315,$G38))))</f>
        <v>0</v>
      </c>
      <c r="AO38" s="212">
        <f ca="1">IF(AM38=0,0,(AN38-AM38)/AM38*100)</f>
        <v>0</v>
      </c>
      <c r="AP38" s="1424">
        <f ca="1">IF(AND(method_reg="Метод индексации",god&lt;&gt;first_year),SUMIFS(INDEX('Калькуляция (МИ корр)'!$AJ$25:$BC$315,,MATCH(AP$8,'Калькуляция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(МИ)'!$AJ$25:$BC$315,,MATCH(AP$8,'Калькуляция (МИ)'!$AJ$8:$BC$8,0)),'Калькуляция (МИ)'!$F$25:$F$315,$F38,'Калькуляция (МИ)'!$G$25:$G$315,$G38))))</f>
        <v>0</v>
      </c>
      <c r="AQ38" s="1424">
        <f ca="1">IF(AND(method_reg="Метод индексации",god&lt;&gt;first_year),SUMIFS(INDEX('Калькуляция (МИ корр)'!$AJ$25:$BC$315,,MATCH(AQ$8,'Калькуляция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(МИ)'!$AJ$25:$BC$315,,MATCH(AQ$8,'Калькуляция (МИ)'!$AJ$8:$BC$8,0)),'Калькуляция (МИ)'!$F$25:$F$315,$F38,'Калькуляция (МИ)'!$G$25:$G$315,$G38))))</f>
        <v>0</v>
      </c>
      <c r="AR38" s="212">
        <f ca="1">IF(AP38=0,0,(AQ38-AP38)/AP38*100)</f>
        <v>0</v>
      </c>
      <c r="AS38" s="1424">
        <f ca="1">IF(AND(method_reg="Метод индексации",god&lt;&gt;first_year),SUMIFS(INDEX('Калькуляция (МИ корр)'!$AJ$25:$BC$315,,MATCH(AS$8,'Калькуляция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(МИ)'!$AJ$25:$BC$315,,MATCH(AS$8,'Калькуляция (МИ)'!$AJ$8:$BC$8,0)),'Калькуляция (МИ)'!$F$25:$F$315,$F38,'Калькуляция (МИ)'!$G$25:$G$315,$G38))))</f>
        <v>0</v>
      </c>
      <c r="AT38" s="1424">
        <f ca="1">IF(AND(method_reg="Метод индексации",god&lt;&gt;first_year),SUMIFS(INDEX('Калькуляция (МИ корр)'!$AJ$25:$BC$315,,MATCH(AT$8,'Калькуляция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(МИ)'!$AJ$25:$BC$315,,MATCH(AT$8,'Калькуляция (МИ)'!$AJ$8:$BC$8,0)),'Калькуляция (МИ)'!$F$25:$F$315,$F38,'Калькуляция (МИ)'!$G$25:$G$315,$G38))))</f>
        <v>0</v>
      </c>
      <c r="AU38" s="212">
        <f ca="1">IF(AS38=0,0,(AT38-AS38)/AS38*100)</f>
        <v>0</v>
      </c>
      <c r="AV38" s="1424">
        <f ca="1">IF(AND(method_reg="Метод индексации",god&lt;&gt;first_year),SUMIFS(INDEX('Калькуляция (МИ корр)'!$AJ$25:$BC$315,,MATCH(AV$8,'Калькуляция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(МИ)'!$AJ$25:$BC$315,,MATCH(AV$8,'Калькуляция (МИ)'!$AJ$8:$BC$8,0)),'Калькуляция (МИ)'!$F$25:$F$315,$F38,'Калькуляция (МИ)'!$G$25:$G$315,$G38))))</f>
        <v>0</v>
      </c>
      <c r="AW38" s="1424">
        <f ca="1">IF(AND(method_reg="Метод индексации",god&lt;&gt;first_year),SUMIFS(INDEX('Калькуляция (МИ корр)'!$AJ$25:$BC$315,,MATCH(AW$8,'Калькуляция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(МИ)'!$AJ$25:$BC$315,,MATCH(AW$8,'Калькуляция (МИ)'!$AJ$8:$BC$8,0)),'Калькуляция (МИ)'!$F$25:$F$315,$F38,'Калькуляция (МИ)'!$G$25:$G$315,$G38))))</f>
        <v>0</v>
      </c>
      <c r="AX38" s="212">
        <f ca="1">IF(AV38=0,0,(AW38-AV38)/AV38*100)</f>
        <v>0</v>
      </c>
      <c r="AY38" s="1424">
        <f ca="1">IF(AND(method_reg="Метод индексации",god&lt;&gt;first_year),SUMIFS(INDEX('Калькуляция (МИ корр)'!$AJ$25:$BC$315,,MATCH(AY$8,'Калькуляция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(МИ)'!$AJ$25:$BC$315,,MATCH(AY$8,'Калькуляция (МИ)'!$AJ$8:$BC$8,0)),'Калькуляция (МИ)'!$F$25:$F$315,$F38,'Калькуляция (МИ)'!$G$25:$G$315,$G38))))</f>
        <v>0</v>
      </c>
      <c r="AZ38" s="1424">
        <f ca="1">IF(AND(method_reg="Метод индексации",god&lt;&gt;first_year),SUMIFS(INDEX('Калькуляция (МИ корр)'!$AJ$25:$BC$315,,MATCH(AZ$8,'Калькуляция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(МИ)'!$AJ$25:$BC$315,,MATCH(AZ$8,'Калькуляция (МИ)'!$AJ$8:$BC$8,0)),'Калькуляция (МИ)'!$F$25:$F$315,$F38,'Калькуляция (МИ)'!$G$25:$G$315,$G38))))</f>
        <v>0</v>
      </c>
      <c r="BA38" s="212">
        <f ca="1">IF(AY38=0,0,(AZ38-AY38)/AY38*100)</f>
        <v>0</v>
      </c>
      <c r="BB38" s="1424">
        <f ca="1">IF(AND(method_reg="Метод индексации",god&lt;&gt;first_year),SUMIFS(INDEX('Калькуляция (МИ корр)'!$AJ$25:$BC$315,,MATCH(BB$8,'Калькуляция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(МИ)'!$AJ$25:$BC$315,,MATCH(BB$8,'Калькуляция (МИ)'!$AJ$8:$BC$8,0)),'Калькуляция (МИ)'!$F$25:$F$315,$F38,'Калькуляция (МИ)'!$G$25:$G$315,$G38))))</f>
        <v>0</v>
      </c>
      <c r="BC38" s="1424">
        <f ca="1">IF(AND(method_reg="Метод индексации",god&lt;&gt;first_year),SUMIFS(INDEX('Калькуляция (МИ корр)'!$AJ$25:$BC$315,,MATCH(BC$8,'Калькуляция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(МИ)'!$AJ$25:$BC$315,,MATCH(BC$8,'Калькуляция (МИ)'!$AJ$8:$BC$8,0)),'Калькуляция (МИ)'!$F$25:$F$315,$F38,'Калькуляция (МИ)'!$G$25:$G$315,$G38))))</f>
        <v>0</v>
      </c>
      <c r="BD38" s="212">
        <f ca="1">IF(BB38=0,0,(BC38-BB38)/BB38*100)</f>
        <v>0</v>
      </c>
      <c r="BE38" s="1424">
        <f ca="1">IF(AND(method_reg="Метод индексации",god&lt;&gt;first_year),SUMIFS(INDEX('Калькуляция (МИ корр)'!$AJ$25:$BC$315,,MATCH(BE$8,'Калькуляция (МИ корр)'!$AJ$8:$BC$8,0)),'Калькуляция (МИ корр)'!$F$25:$F$315,$F38,'Калькуляция (МИ корр)'!$G$25:$G$315,$G38),IF(method_reg="Метод экономически обоснованных расходов",SUMIFS('Калькуляция (МЭОР)'!$AJ$25:$AJ$199,'Калькуляция (МЭОР)'!$F$25:$F$199,$F38,'Калькуляция (МЭОР)'!$G$25:$G$199,$G38),IF(method_reg="Метод сравнения аналогов",SUMIFS('Калькуляция (МСА)'!$AE$25:$AE$65,'Калькуляция (МСА)'!$F$25:$F$65,$F38,'Калькуляция (МСА)'!$G$25:$G$65,$G38),SUMIFS(INDEX('Калькуляция (МИ)'!$AJ$25:$BC$315,,MATCH(BE$8,'Калькуляция (МИ)'!$AJ$8:$BC$8,0)),'Калькуляция (МИ)'!$F$25:$F$315,$F38,'Калькуляция (МИ)'!$G$25:$G$315,$G38))))</f>
        <v>0</v>
      </c>
      <c r="BF38" s="1424">
        <f ca="1">IF(AND(method_reg="Метод индексации",god&lt;&gt;first_year),SUMIFS(INDEX('Калькуляция (МИ корр)'!$AJ$25:$BC$315,,MATCH(BF$8,'Калькуляция (МИ корр)'!$AJ$8:$BC$8,0)),'Калькуляция (МИ корр)'!$F$25:$F$315,$F38,'Калькуляция (МИ корр)'!$G$25:$G$315,$G38),IF(method_reg="Метод экономически обоснованных расходов",SUMIFS('Калькуляция (МЭОР)'!$AK$25:$AK$199,'Калькуляция (МЭОР)'!$F$25:$F$199,$F38,'Калькуляция (МЭОР)'!$G$25:$G$199,$G38),IF(method_reg="Метод сравнения аналогов",SUMIFS('Калькуляция (МСА)'!$AF$25:$AF$65,'Калькуляция (МСА)'!$F$25:$F$65,$F38,'Калькуляция (МСА)'!$G$25:$G$65,$G38),SUMIFS(INDEX('Калькуляция (МИ)'!$AJ$25:$BC$315,,MATCH(BF$8,'Калькуляция (МИ)'!$AJ$8:$BC$8,0)),'Калькуляция (МИ)'!$F$25:$F$315,$F38,'Калькуляция (МИ)'!$G$25:$G$315,$G38))))</f>
        <v>0</v>
      </c>
      <c r="BG38" s="212">
        <f ca="1">IF(BE38=0,0,(BF38-BE38)/BE38*100)</f>
        <v>0</v>
      </c>
      <c r="BH38" s="1424"/>
      <c r="BI38" s="1424"/>
      <c r="BJ38" s="212">
        <f>IF(BH38=0,0,(BI38-BH38)/BH38*100)</f>
        <v>0</v>
      </c>
      <c r="BK38" s="1424"/>
      <c r="BL38" s="1424"/>
      <c r="BM38" s="212">
        <f>IF(BK38=0,0,(BL38-BK38)/BK38*100)</f>
        <v>0</v>
      </c>
      <c r="BN38" s="1424"/>
      <c r="BO38" s="1424"/>
      <c r="BP38" s="212">
        <f>IF(BN38=0,0,(BO38-BN38)/BN38*100)</f>
        <v>0</v>
      </c>
      <c r="BQ38" s="1424"/>
      <c r="BR38" s="1424"/>
      <c r="BS38" s="212">
        <f>IF(BQ38=0,0,(BR38-BQ38)/BQ38*100)</f>
        <v>0</v>
      </c>
      <c r="BT38" s="1424"/>
      <c r="BU38" s="1424"/>
      <c r="BV38" s="212">
        <f>IF(BT38=0,0,(BU38-BT38)/BT38*100)</f>
        <v>0</v>
      </c>
      <c r="BW38" s="1424"/>
      <c r="BX38" s="1424"/>
      <c r="BY38" s="212">
        <f>IF(BW38=0,0,(BX38-BW38)/BW38*100)</f>
        <v>0</v>
      </c>
      <c r="BZ38" s="1424"/>
      <c r="CA38" s="1424"/>
      <c r="CB38" s="212">
        <f>IF(BZ38=0,0,(CA38-BZ38)/BZ38*100)</f>
        <v>0</v>
      </c>
      <c r="CC38" s="1424"/>
      <c r="CD38" s="1424"/>
      <c r="CE38" s="212">
        <f>IF(CC38=0,0,(CD38-CC38)/CC38*100)</f>
        <v>0</v>
      </c>
      <c r="CF38" s="1424"/>
      <c r="CG38" s="1424"/>
      <c r="CH38" s="212">
        <f>IF(CF38=0,0,(CG38-CF38)/CF38*100)</f>
        <v>0</v>
      </c>
      <c r="CI38" s="1424"/>
      <c r="CJ38" s="1424"/>
      <c r="CK38" s="212">
        <f>IF(CI38=0,0,(CJ38-CI38)/CI38*100)</f>
        <v>0</v>
      </c>
      <c r="CL38" s="1424"/>
      <c r="CM38" s="1424"/>
      <c r="CN38" s="212">
        <f>IF(CL38=0,0,(CM38-CL38)/CL38*100)</f>
        <v>0</v>
      </c>
      <c r="CO38" s="1424"/>
      <c r="CP38" s="1424"/>
      <c r="CQ38" s="212">
        <f>IF(CO38=0,0,(CP38-CO38)/CO38*100)</f>
        <v>0</v>
      </c>
      <c r="CR38" s="1424"/>
      <c r="CS38" s="1424"/>
      <c r="CT38" s="212">
        <f>IF(CR38=0,0,(CS38-CR38)/CR38*100)</f>
        <v>0</v>
      </c>
      <c r="CU38" s="1424"/>
      <c r="CV38" s="1424"/>
      <c r="CW38" s="212">
        <f>IF(CU38=0,0,(CV38-CU38)/CU38*100)</f>
        <v>0</v>
      </c>
      <c r="CX38" s="1424"/>
      <c r="CY38" s="1424"/>
      <c r="CZ38" s="212">
        <f>IF(CX38=0,0,(CY38-CX38)/CX38*100)</f>
        <v>0</v>
      </c>
      <c r="DA38" s="1424"/>
      <c r="DB38" s="1424"/>
      <c r="DC38" s="212">
        <f>IF(DA38=0,0,(DB38-DA38)/DA38*100)</f>
        <v>0</v>
      </c>
      <c r="DD38" s="1424"/>
      <c r="DE38" s="1424"/>
      <c r="DF38" s="212">
        <f>IF(DD38=0,0,(DE38-DD38)/DD38*100)</f>
        <v>0</v>
      </c>
      <c r="DG38" s="1424"/>
      <c r="DH38" s="1424"/>
      <c r="DI38" s="212">
        <f>IF(DG38=0,0,(DH38-DG38)/DG38*100)</f>
        <v>0</v>
      </c>
      <c r="DJ38" s="1424"/>
      <c r="DK38" s="1424"/>
      <c r="DL38" s="212">
        <f>IF(DJ38=0,0,(DK38-DJ38)/DJ38*100)</f>
        <v>0</v>
      </c>
      <c r="DM38" s="1424"/>
      <c r="DN38" s="1424"/>
      <c r="DO38" s="212">
        <f>IF(DM38=0,0,(DN38-DM38)/DM38*100)</f>
        <v>0</v>
      </c>
      <c r="DP38" s="1424"/>
      <c r="DQ38" s="1424"/>
      <c r="DR38" s="212">
        <f>IF(DP38=0,0,(DQ38-DP38)/DP38*100)</f>
        <v>0</v>
      </c>
      <c r="DS38" s="1424"/>
      <c r="DT38" s="1424"/>
      <c r="DU38" s="212">
        <f>IF(DS38=0,0,(DT38-DS38)/DS38*100)</f>
        <v>0</v>
      </c>
      <c r="DV38" s="1424"/>
      <c r="DW38" s="1424"/>
      <c r="DX38" s="212">
        <f>IF(DV38=0,0,(DW38-DV38)/DV38*100)</f>
        <v>0</v>
      </c>
      <c r="DY38" s="1424"/>
      <c r="DZ38" s="1424"/>
      <c r="EA38" s="212">
        <f>IF(DY38=0,0,(DZ38-DY38)/DY38*100)</f>
        <v>0</v>
      </c>
      <c r="EB38" s="1424"/>
      <c r="EC38" s="1424"/>
      <c r="ED38" s="212">
        <f>IF(EB38=0,0,(EC38-EB38)/EB38*100)</f>
        <v>0</v>
      </c>
      <c r="EE38" s="1424"/>
      <c r="EF38" s="1424"/>
      <c r="EG38" s="212">
        <f>IF(EE38=0,0,(EF38-EE38)/EE38*100)</f>
        <v>0</v>
      </c>
      <c r="EH38" s="1424"/>
      <c r="EI38" s="1424"/>
      <c r="EJ38" s="212">
        <f>IF(EH38=0,0,(EI38-EH38)/EH38*100)</f>
        <v>0</v>
      </c>
      <c r="EK38" s="1424"/>
      <c r="EL38" s="1424"/>
      <c r="EM38" s="212">
        <f>IF(EK38=0,0,(EL38-EK38)/EK38*100)</f>
        <v>0</v>
      </c>
      <c r="EN38" s="1424"/>
      <c r="EO38" s="1424"/>
      <c r="EP38" s="212">
        <f>IF(EN38=0,0,(EO38-EN38)/EN38*100)</f>
        <v>0</v>
      </c>
      <c r="EQ38" s="1424"/>
      <c r="ER38" s="1424"/>
      <c r="ES38" s="212">
        <f>IF(EQ38=0,0,(ER38-EQ38)/EQ38*100)</f>
        <v>0</v>
      </c>
      <c r="ET38" s="1424"/>
      <c r="EU38" s="1424"/>
      <c r="EV38" s="212">
        <f>IF(ET38=0,0,(EU38-ET38)/ET38*100)</f>
        <v>0</v>
      </c>
      <c r="EW38" s="1424"/>
      <c r="EX38" s="1424"/>
      <c r="EY38" s="212">
        <f>IF(EW38=0,0,(EX38-EW38)/EW38*100)</f>
        <v>0</v>
      </c>
      <c r="EZ38" s="1424"/>
      <c r="FA38" s="1424"/>
      <c r="FB38" s="212">
        <f>IF(EZ38=0,0,(FA38-EZ38)/EZ38*100)</f>
        <v>0</v>
      </c>
      <c r="FC38" s="1424"/>
      <c r="FD38" s="1424"/>
      <c r="FE38" s="212">
        <f>IF(FC38=0,0,(FD38-FC38)/FC38*100)</f>
        <v>0</v>
      </c>
      <c r="FF38" s="1424"/>
      <c r="FG38" s="1424"/>
      <c r="FH38" s="212">
        <f>IF(FF38=0,0,(FG38-FF38)/FF38*100)</f>
        <v>0</v>
      </c>
      <c r="FI38" s="1424"/>
      <c r="FJ38" s="1424"/>
      <c r="FK38" s="212">
        <f>IF(FI38=0,0,(FJ38-FI38)/FI38*100)</f>
        <v>0</v>
      </c>
      <c r="FL38" s="1424"/>
      <c r="FM38" s="1424"/>
      <c r="FN38" s="212">
        <f>IF(FL38=0,0,(FM38-FL38)/FL38*100)</f>
        <v>0</v>
      </c>
      <c r="FO38" s="1424"/>
      <c r="FP38" s="1424"/>
      <c r="FQ38" s="212">
        <f>IF(FO38=0,0,(FP38-FO38)/FO38*100)</f>
        <v>0</v>
      </c>
      <c r="FR38" s="1424"/>
      <c r="FS38" s="1424"/>
      <c r="FT38" s="212">
        <f>IF(FR38=0,0,(FS38-FR38)/FR38*100)</f>
        <v>0</v>
      </c>
      <c r="FU38" s="1424"/>
      <c r="FV38" s="1424"/>
      <c r="FW38" s="212">
        <f>IF(FU38=0,0,(FV38-FU38)/FU38*100)</f>
        <v>0</v>
      </c>
      <c r="FZ38" s="957" t="s">
        <v>1469</v>
      </c>
      <c r="GA38" s="957"/>
      <c r="GB38" s="957"/>
      <c r="GC38" s="958"/>
      <c r="GD38" s="958"/>
    </row>
    <row r="39" spans="1:186" s="208" customFormat="1" ht="23.85" hidden="1" customHeight="1">
      <c r="A39" s="806"/>
      <c r="B39" s="830" t="b" cm="1">
        <f t="array" ref="B39">B38</f>
        <v>0</v>
      </c>
      <c r="C39" s="806"/>
      <c r="D39" s="806"/>
      <c r="E39" s="807">
        <v>24.5</v>
      </c>
      <c r="F39" s="3" cm="1">
        <f t="array" aca="1" ref="F39" ca="1">OFFSET(E39,-1,1)</f>
        <v>0</v>
      </c>
      <c r="G39" s="26" t="s">
        <v>1470</v>
      </c>
      <c r="H39" s="409" t="s">
        <v>427</v>
      </c>
      <c r="I39" s="409" t="s">
        <v>1471</v>
      </c>
      <c r="J39" s="806"/>
      <c r="K39" s="806"/>
      <c r="L39" s="409"/>
      <c r="M39" s="806"/>
      <c r="N39" s="806"/>
      <c r="O39" s="806"/>
      <c r="P39" s="806"/>
      <c r="Q39" s="806"/>
      <c r="R39" s="409"/>
      <c r="S39" s="409"/>
      <c r="T39" s="381" t="b" cm="1">
        <f t="array" ref="T39">T38</f>
        <v>0</v>
      </c>
      <c r="U39" s="806"/>
      <c r="V39" s="806"/>
      <c r="W39" s="806"/>
      <c r="X39" s="1787"/>
      <c r="Y39" s="806"/>
      <c r="Z39" s="1734"/>
      <c r="AA39" s="806"/>
      <c r="AB39" s="993" t="s">
        <v>1472</v>
      </c>
      <c r="AC39" s="210" t="s">
        <v>1454</v>
      </c>
      <c r="AD39" s="1424">
        <f ca="1">IF(AND(method_reg="Метод индексации",god&lt;&gt;first_year),SUMIFS(INDEX('Калькуляция (МИ корр)'!$AJ$25:$BC$315,,MATCH(AD$8,'Калькуляция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(МИ)'!$AJ$25:$BC$315,,MATCH(AD$8,'Калькуляция (МИ)'!$AJ$8:$BC$8,0)),'Калькуляция (МИ)'!$F$25:$F$315,$F39,'Калькуляция (МИ)'!$G$25:$G$315,$G39))))</f>
        <v>0</v>
      </c>
      <c r="AE39" s="1424">
        <f ca="1">IF(AND(method_reg="Метод индексации",god&lt;&gt;first_year),SUMIFS(INDEX('Калькуляция (МИ корр)'!$AJ$25:$BC$315,,MATCH(AE$8,'Калькуляция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(МИ)'!$AJ$25:$BC$315,,MATCH(AE$8,'Калькуляция (МИ)'!$AJ$8:$BC$8,0)),'Калькуляция (МИ)'!$F$25:$F$315,$F39,'Калькуляция (МИ)'!$G$25:$G$315,$G39))))</f>
        <v>0</v>
      </c>
      <c r="AF39" s="212">
        <f ca="1">IF(AD39=0,0,(AE39-AD39)/AD39*100)</f>
        <v>0</v>
      </c>
      <c r="AG39" s="1424">
        <f ca="1">IF(AND(method_reg="Метод индексации",god&lt;&gt;first_year),SUMIFS(INDEX('Калькуляция (МИ корр)'!$AJ$25:$BC$315,,MATCH(AG$8,'Калькуляция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(МИ)'!$AJ$25:$BC$315,,MATCH(AG$8,'Калькуляция (МИ)'!$AJ$8:$BC$8,0)),'Калькуляция (МИ)'!$F$25:$F$315,$F39,'Калькуляция (МИ)'!$G$25:$G$315,$G39))))</f>
        <v>0</v>
      </c>
      <c r="AH39" s="1424">
        <f ca="1">IF(AND(method_reg="Метод индексации",god&lt;&gt;first_year),SUMIFS(INDEX('Калькуляция (МИ корр)'!$AJ$25:$BC$315,,MATCH(AH$8,'Калькуляция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(МИ)'!$AJ$25:$BC$315,,MATCH(AH$8,'Калькуляция (МИ)'!$AJ$8:$BC$8,0)),'Калькуляция (МИ)'!$F$25:$F$315,$F39,'Калькуляция (МИ)'!$G$25:$G$315,$G39))))</f>
        <v>0</v>
      </c>
      <c r="AI39" s="212">
        <f ca="1">IF(AG39=0,0,(AH39-AG39)/AG39*100)</f>
        <v>0</v>
      </c>
      <c r="AJ39" s="1424">
        <f ca="1">IF(AND(method_reg="Метод индексации",god&lt;&gt;first_year),SUMIFS(INDEX('Калькуляция (МИ корр)'!$AJ$25:$BC$315,,MATCH(AJ$8,'Калькуляция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(МИ)'!$AJ$25:$BC$315,,MATCH(AJ$8,'Калькуляция (МИ)'!$AJ$8:$BC$8,0)),'Калькуляция (МИ)'!$F$25:$F$315,$F39,'Калькуляция (МИ)'!$G$25:$G$315,$G39))))</f>
        <v>0</v>
      </c>
      <c r="AK39" s="1424">
        <f ca="1">IF(AND(method_reg="Метод индексации",god&lt;&gt;first_year),SUMIFS(INDEX('Калькуляция (МИ корр)'!$AJ$25:$BC$315,,MATCH(AK$8,'Калькуляция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(МИ)'!$AJ$25:$BC$315,,MATCH(AK$8,'Калькуляция (МИ)'!$AJ$8:$BC$8,0)),'Калькуляция (МИ)'!$F$25:$F$315,$F39,'Калькуляция (МИ)'!$G$25:$G$315,$G39))))</f>
        <v>0</v>
      </c>
      <c r="AL39" s="212">
        <f ca="1">IF(AJ39=0,0,(AK39-AJ39)/AJ39*100)</f>
        <v>0</v>
      </c>
      <c r="AM39" s="1424">
        <f ca="1">IF(AND(method_reg="Метод индексации",god&lt;&gt;first_year),SUMIFS(INDEX('Калькуляция (МИ корр)'!$AJ$25:$BC$315,,MATCH(AM$8,'Калькуляция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(МИ)'!$AJ$25:$BC$315,,MATCH(AM$8,'Калькуляция (МИ)'!$AJ$8:$BC$8,0)),'Калькуляция (МИ)'!$F$25:$F$315,$F39,'Калькуляция (МИ)'!$G$25:$G$315,$G39))))</f>
        <v>0</v>
      </c>
      <c r="AN39" s="1424">
        <f ca="1">IF(AND(method_reg="Метод индексации",god&lt;&gt;first_year),SUMIFS(INDEX('Калькуляция (МИ корр)'!$AJ$25:$BC$315,,MATCH(AN$8,'Калькуляция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(МИ)'!$AJ$25:$BC$315,,MATCH(AN$8,'Калькуляция (МИ)'!$AJ$8:$BC$8,0)),'Калькуляция (МИ)'!$F$25:$F$315,$F39,'Калькуляция (МИ)'!$G$25:$G$315,$G39))))</f>
        <v>0</v>
      </c>
      <c r="AO39" s="212">
        <f ca="1">IF(AM39=0,0,(AN39-AM39)/AM39*100)</f>
        <v>0</v>
      </c>
      <c r="AP39" s="1424">
        <f ca="1">IF(AND(method_reg="Метод индексации",god&lt;&gt;first_year),SUMIFS(INDEX('Калькуляция (МИ корр)'!$AJ$25:$BC$315,,MATCH(AP$8,'Калькуляция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(МИ)'!$AJ$25:$BC$315,,MATCH(AP$8,'Калькуляция (МИ)'!$AJ$8:$BC$8,0)),'Калькуляция (МИ)'!$F$25:$F$315,$F39,'Калькуляция (МИ)'!$G$25:$G$315,$G39))))</f>
        <v>0</v>
      </c>
      <c r="AQ39" s="1424">
        <f ca="1">IF(AND(method_reg="Метод индексации",god&lt;&gt;first_year),SUMIFS(INDEX('Калькуляция (МИ корр)'!$AJ$25:$BC$315,,MATCH(AQ$8,'Калькуляция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(МИ)'!$AJ$25:$BC$315,,MATCH(AQ$8,'Калькуляция (МИ)'!$AJ$8:$BC$8,0)),'Калькуляция (МИ)'!$F$25:$F$315,$F39,'Калькуляция (МИ)'!$G$25:$G$315,$G39))))</f>
        <v>0</v>
      </c>
      <c r="AR39" s="212">
        <f ca="1">IF(AP39=0,0,(AQ39-AP39)/AP39*100)</f>
        <v>0</v>
      </c>
      <c r="AS39" s="1424">
        <f ca="1">IF(AND(method_reg="Метод индексации",god&lt;&gt;first_year),SUMIFS(INDEX('Калькуляция (МИ корр)'!$AJ$25:$BC$315,,MATCH(AS$8,'Калькуляция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(МИ)'!$AJ$25:$BC$315,,MATCH(AS$8,'Калькуляция (МИ)'!$AJ$8:$BC$8,0)),'Калькуляция (МИ)'!$F$25:$F$315,$F39,'Калькуляция (МИ)'!$G$25:$G$315,$G39))))</f>
        <v>0</v>
      </c>
      <c r="AT39" s="1424">
        <f ca="1">IF(AND(method_reg="Метод индексации",god&lt;&gt;first_year),SUMIFS(INDEX('Калькуляция (МИ корр)'!$AJ$25:$BC$315,,MATCH(AT$8,'Калькуляция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(МИ)'!$AJ$25:$BC$315,,MATCH(AT$8,'Калькуляция (МИ)'!$AJ$8:$BC$8,0)),'Калькуляция (МИ)'!$F$25:$F$315,$F39,'Калькуляция (МИ)'!$G$25:$G$315,$G39))))</f>
        <v>0</v>
      </c>
      <c r="AU39" s="212">
        <f ca="1">IF(AS39=0,0,(AT39-AS39)/AS39*100)</f>
        <v>0</v>
      </c>
      <c r="AV39" s="1424">
        <f ca="1">IF(AND(method_reg="Метод индексации",god&lt;&gt;first_year),SUMIFS(INDEX('Калькуляция (МИ корр)'!$AJ$25:$BC$315,,MATCH(AV$8,'Калькуляция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(МИ)'!$AJ$25:$BC$315,,MATCH(AV$8,'Калькуляция (МИ)'!$AJ$8:$BC$8,0)),'Калькуляция (МИ)'!$F$25:$F$315,$F39,'Калькуляция (МИ)'!$G$25:$G$315,$G39))))</f>
        <v>0</v>
      </c>
      <c r="AW39" s="1424">
        <f ca="1">IF(AND(method_reg="Метод индексации",god&lt;&gt;first_year),SUMIFS(INDEX('Калькуляция (МИ корр)'!$AJ$25:$BC$315,,MATCH(AW$8,'Калькуляция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(МИ)'!$AJ$25:$BC$315,,MATCH(AW$8,'Калькуляция (МИ)'!$AJ$8:$BC$8,0)),'Калькуляция (МИ)'!$F$25:$F$315,$F39,'Калькуляция (МИ)'!$G$25:$G$315,$G39))))</f>
        <v>0</v>
      </c>
      <c r="AX39" s="212">
        <f ca="1">IF(AV39=0,0,(AW39-AV39)/AV39*100)</f>
        <v>0</v>
      </c>
      <c r="AY39" s="1424">
        <f ca="1">IF(AND(method_reg="Метод индексации",god&lt;&gt;first_year),SUMIFS(INDEX('Калькуляция (МИ корр)'!$AJ$25:$BC$315,,MATCH(AY$8,'Калькуляция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(МИ)'!$AJ$25:$BC$315,,MATCH(AY$8,'Калькуляция (МИ)'!$AJ$8:$BC$8,0)),'Калькуляция (МИ)'!$F$25:$F$315,$F39,'Калькуляция (МИ)'!$G$25:$G$315,$G39))))</f>
        <v>0</v>
      </c>
      <c r="AZ39" s="1424">
        <f ca="1">IF(AND(method_reg="Метод индексации",god&lt;&gt;first_year),SUMIFS(INDEX('Калькуляция (МИ корр)'!$AJ$25:$BC$315,,MATCH(AZ$8,'Калькуляция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(МИ)'!$AJ$25:$BC$315,,MATCH(AZ$8,'Калькуляция (МИ)'!$AJ$8:$BC$8,0)),'Калькуляция (МИ)'!$F$25:$F$315,$F39,'Калькуляция (МИ)'!$G$25:$G$315,$G39))))</f>
        <v>0</v>
      </c>
      <c r="BA39" s="212">
        <f ca="1">IF(AY39=0,0,(AZ39-AY39)/AY39*100)</f>
        <v>0</v>
      </c>
      <c r="BB39" s="1424">
        <f ca="1">IF(AND(method_reg="Метод индексации",god&lt;&gt;first_year),SUMIFS(INDEX('Калькуляция (МИ корр)'!$AJ$25:$BC$315,,MATCH(BB$8,'Калькуляция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(МИ)'!$AJ$25:$BC$315,,MATCH(BB$8,'Калькуляция (МИ)'!$AJ$8:$BC$8,0)),'Калькуляция (МИ)'!$F$25:$F$315,$F39,'Калькуляция (МИ)'!$G$25:$G$315,$G39))))</f>
        <v>0</v>
      </c>
      <c r="BC39" s="1424">
        <f ca="1">IF(AND(method_reg="Метод индексации",god&lt;&gt;first_year),SUMIFS(INDEX('Калькуляция (МИ корр)'!$AJ$25:$BC$315,,MATCH(BC$8,'Калькуляция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(МИ)'!$AJ$25:$BC$315,,MATCH(BC$8,'Калькуляция (МИ)'!$AJ$8:$BC$8,0)),'Калькуляция (МИ)'!$F$25:$F$315,$F39,'Калькуляция (МИ)'!$G$25:$G$315,$G39))))</f>
        <v>0</v>
      </c>
      <c r="BD39" s="212">
        <f ca="1">IF(BB39=0,0,(BC39-BB39)/BB39*100)</f>
        <v>0</v>
      </c>
      <c r="BE39" s="1424">
        <f ca="1">IF(AND(method_reg="Метод индексации",god&lt;&gt;first_year),SUMIFS(INDEX('Калькуляция (МИ корр)'!$AJ$25:$BC$315,,MATCH(BE$8,'Калькуляция (МИ корр)'!$AJ$8:$BC$8,0)),'Калькуляция (МИ корр)'!$F$25:$F$315,$F39,'Калькуляция (МИ корр)'!$G$25:$G$315,$G39),IF(method_reg="Метод экономически обоснованных расходов",SUMIFS('Калькуляция (МЭОР)'!$AJ$25:$AJ$199,'Калькуляция (МЭОР)'!$F$25:$F$199,$F39,'Калькуляция (МЭОР)'!$G$25:$G$199,$G39),IF(method_reg="Метод сравнения аналогов",SUMIFS('Калькуляция (МСА)'!$AE$25:$AE$65,'Калькуляция (МСА)'!$F$25:$F$65,$F39,'Калькуляция (МСА)'!$G$25:$G$65,$G39),SUMIFS(INDEX('Калькуляция (МИ)'!$AJ$25:$BC$315,,MATCH(BE$8,'Калькуляция (МИ)'!$AJ$8:$BC$8,0)),'Калькуляция (МИ)'!$F$25:$F$315,$F39,'Калькуляция (МИ)'!$G$25:$G$315,$G39))))</f>
        <v>0</v>
      </c>
      <c r="BF39" s="1424">
        <f ca="1">IF(AND(method_reg="Метод индексации",god&lt;&gt;first_year),SUMIFS(INDEX('Калькуляция (МИ корр)'!$AJ$25:$BC$315,,MATCH(BF$8,'Калькуляция (МИ корр)'!$AJ$8:$BC$8,0)),'Калькуляция (МИ корр)'!$F$25:$F$315,$F39,'Калькуляция (МИ корр)'!$G$25:$G$315,$G39),IF(method_reg="Метод экономически обоснованных расходов",SUMIFS('Калькуляция (МЭОР)'!$AK$25:$AK$199,'Калькуляция (МЭОР)'!$F$25:$F$199,$F39,'Калькуляция (МЭОР)'!$G$25:$G$199,$G39),IF(method_reg="Метод сравнения аналогов",SUMIFS('Калькуляция (МСА)'!$AF$25:$AF$65,'Калькуляция (МСА)'!$F$25:$F$65,$F39,'Калькуляция (МСА)'!$G$25:$G$65,$G39),SUMIFS(INDEX('Калькуляция (МИ)'!$AJ$25:$BC$315,,MATCH(BF$8,'Калькуляция (МИ)'!$AJ$8:$BC$8,0)),'Калькуляция (МИ)'!$F$25:$F$315,$F39,'Калькуляция (МИ)'!$G$25:$G$315,$G39))))</f>
        <v>0</v>
      </c>
      <c r="BG39" s="212">
        <f ca="1">IF(BE39=0,0,(BF39-BE39)/BE39*100)</f>
        <v>0</v>
      </c>
      <c r="BH39" s="1424"/>
      <c r="BI39" s="1424"/>
      <c r="BJ39" s="212">
        <f>IF(BH39=0,0,(BI39-BH39)/BH39*100)</f>
        <v>0</v>
      </c>
      <c r="BK39" s="1424"/>
      <c r="BL39" s="1424"/>
      <c r="BM39" s="212">
        <f>IF(BK39=0,0,(BL39-BK39)/BK39*100)</f>
        <v>0</v>
      </c>
      <c r="BN39" s="1424"/>
      <c r="BO39" s="1424"/>
      <c r="BP39" s="212">
        <f>IF(BN39=0,0,(BO39-BN39)/BN39*100)</f>
        <v>0</v>
      </c>
      <c r="BQ39" s="1424"/>
      <c r="BR39" s="1424"/>
      <c r="BS39" s="212">
        <f>IF(BQ39=0,0,(BR39-BQ39)/BQ39*100)</f>
        <v>0</v>
      </c>
      <c r="BT39" s="1424"/>
      <c r="BU39" s="1424"/>
      <c r="BV39" s="212">
        <f>IF(BT39=0,0,(BU39-BT39)/BT39*100)</f>
        <v>0</v>
      </c>
      <c r="BW39" s="1424"/>
      <c r="BX39" s="1424"/>
      <c r="BY39" s="212">
        <f>IF(BW39=0,0,(BX39-BW39)/BW39*100)</f>
        <v>0</v>
      </c>
      <c r="BZ39" s="1424"/>
      <c r="CA39" s="1424"/>
      <c r="CB39" s="212">
        <f>IF(BZ39=0,0,(CA39-BZ39)/BZ39*100)</f>
        <v>0</v>
      </c>
      <c r="CC39" s="1424"/>
      <c r="CD39" s="1424"/>
      <c r="CE39" s="212">
        <f>IF(CC39=0,0,(CD39-CC39)/CC39*100)</f>
        <v>0</v>
      </c>
      <c r="CF39" s="1424"/>
      <c r="CG39" s="1424"/>
      <c r="CH39" s="212">
        <f>IF(CF39=0,0,(CG39-CF39)/CF39*100)</f>
        <v>0</v>
      </c>
      <c r="CI39" s="1424"/>
      <c r="CJ39" s="1424"/>
      <c r="CK39" s="212">
        <f>IF(CI39=0,0,(CJ39-CI39)/CI39*100)</f>
        <v>0</v>
      </c>
      <c r="CL39" s="1424"/>
      <c r="CM39" s="1424"/>
      <c r="CN39" s="212">
        <f>IF(CL39=0,0,(CM39-CL39)/CL39*100)</f>
        <v>0</v>
      </c>
      <c r="CO39" s="1424"/>
      <c r="CP39" s="1424"/>
      <c r="CQ39" s="212">
        <f>IF(CO39=0,0,(CP39-CO39)/CO39*100)</f>
        <v>0</v>
      </c>
      <c r="CR39" s="1424"/>
      <c r="CS39" s="1424"/>
      <c r="CT39" s="212">
        <f>IF(CR39=0,0,(CS39-CR39)/CR39*100)</f>
        <v>0</v>
      </c>
      <c r="CU39" s="1424"/>
      <c r="CV39" s="1424"/>
      <c r="CW39" s="212">
        <f>IF(CU39=0,0,(CV39-CU39)/CU39*100)</f>
        <v>0</v>
      </c>
      <c r="CX39" s="1424"/>
      <c r="CY39" s="1424"/>
      <c r="CZ39" s="212">
        <f>IF(CX39=0,0,(CY39-CX39)/CX39*100)</f>
        <v>0</v>
      </c>
      <c r="DA39" s="1424"/>
      <c r="DB39" s="1424"/>
      <c r="DC39" s="212">
        <f>IF(DA39=0,0,(DB39-DA39)/DA39*100)</f>
        <v>0</v>
      </c>
      <c r="DD39" s="1424"/>
      <c r="DE39" s="1424"/>
      <c r="DF39" s="212">
        <f>IF(DD39=0,0,(DE39-DD39)/DD39*100)</f>
        <v>0</v>
      </c>
      <c r="DG39" s="1424"/>
      <c r="DH39" s="1424"/>
      <c r="DI39" s="212">
        <f>IF(DG39=0,0,(DH39-DG39)/DG39*100)</f>
        <v>0</v>
      </c>
      <c r="DJ39" s="1424"/>
      <c r="DK39" s="1424"/>
      <c r="DL39" s="212">
        <f>IF(DJ39=0,0,(DK39-DJ39)/DJ39*100)</f>
        <v>0</v>
      </c>
      <c r="DM39" s="1424"/>
      <c r="DN39" s="1424"/>
      <c r="DO39" s="212">
        <f>IF(DM39=0,0,(DN39-DM39)/DM39*100)</f>
        <v>0</v>
      </c>
      <c r="DP39" s="1424"/>
      <c r="DQ39" s="1424"/>
      <c r="DR39" s="212">
        <f>IF(DP39=0,0,(DQ39-DP39)/DP39*100)</f>
        <v>0</v>
      </c>
      <c r="DS39" s="1424"/>
      <c r="DT39" s="1424"/>
      <c r="DU39" s="212">
        <f>IF(DS39=0,0,(DT39-DS39)/DS39*100)</f>
        <v>0</v>
      </c>
      <c r="DV39" s="1424"/>
      <c r="DW39" s="1424"/>
      <c r="DX39" s="212">
        <f>IF(DV39=0,0,(DW39-DV39)/DV39*100)</f>
        <v>0</v>
      </c>
      <c r="DY39" s="1424"/>
      <c r="DZ39" s="1424"/>
      <c r="EA39" s="212">
        <f>IF(DY39=0,0,(DZ39-DY39)/DY39*100)</f>
        <v>0</v>
      </c>
      <c r="EB39" s="1424"/>
      <c r="EC39" s="1424"/>
      <c r="ED39" s="212">
        <f>IF(EB39=0,0,(EC39-EB39)/EB39*100)</f>
        <v>0</v>
      </c>
      <c r="EE39" s="1424"/>
      <c r="EF39" s="1424"/>
      <c r="EG39" s="212">
        <f>IF(EE39=0,0,(EF39-EE39)/EE39*100)</f>
        <v>0</v>
      </c>
      <c r="EH39" s="1424"/>
      <c r="EI39" s="1424"/>
      <c r="EJ39" s="212">
        <f>IF(EH39=0,0,(EI39-EH39)/EH39*100)</f>
        <v>0</v>
      </c>
      <c r="EK39" s="1424"/>
      <c r="EL39" s="1424"/>
      <c r="EM39" s="212">
        <f>IF(EK39=0,0,(EL39-EK39)/EK39*100)</f>
        <v>0</v>
      </c>
      <c r="EN39" s="1424"/>
      <c r="EO39" s="1424"/>
      <c r="EP39" s="212">
        <f>IF(EN39=0,0,(EO39-EN39)/EN39*100)</f>
        <v>0</v>
      </c>
      <c r="EQ39" s="1424"/>
      <c r="ER39" s="1424"/>
      <c r="ES39" s="212">
        <f>IF(EQ39=0,0,(ER39-EQ39)/EQ39*100)</f>
        <v>0</v>
      </c>
      <c r="ET39" s="1424"/>
      <c r="EU39" s="1424"/>
      <c r="EV39" s="212">
        <f>IF(ET39=0,0,(EU39-ET39)/ET39*100)</f>
        <v>0</v>
      </c>
      <c r="EW39" s="1424"/>
      <c r="EX39" s="1424"/>
      <c r="EY39" s="212">
        <f>IF(EW39=0,0,(EX39-EW39)/EW39*100)</f>
        <v>0</v>
      </c>
      <c r="EZ39" s="1424"/>
      <c r="FA39" s="1424"/>
      <c r="FB39" s="212">
        <f>IF(EZ39=0,0,(FA39-EZ39)/EZ39*100)</f>
        <v>0</v>
      </c>
      <c r="FC39" s="1424"/>
      <c r="FD39" s="1424"/>
      <c r="FE39" s="212">
        <f>IF(FC39=0,0,(FD39-FC39)/FC39*100)</f>
        <v>0</v>
      </c>
      <c r="FF39" s="1424"/>
      <c r="FG39" s="1424"/>
      <c r="FH39" s="212">
        <f>IF(FF39=0,0,(FG39-FF39)/FF39*100)</f>
        <v>0</v>
      </c>
      <c r="FI39" s="1424"/>
      <c r="FJ39" s="1424"/>
      <c r="FK39" s="212">
        <f>IF(FI39=0,0,(FJ39-FI39)/FI39*100)</f>
        <v>0</v>
      </c>
      <c r="FL39" s="1424"/>
      <c r="FM39" s="1424"/>
      <c r="FN39" s="212">
        <f>IF(FL39=0,0,(FM39-FL39)/FL39*100)</f>
        <v>0</v>
      </c>
      <c r="FO39" s="1424"/>
      <c r="FP39" s="1424"/>
      <c r="FQ39" s="212">
        <f>IF(FO39=0,0,(FP39-FO39)/FO39*100)</f>
        <v>0</v>
      </c>
      <c r="FR39" s="1424"/>
      <c r="FS39" s="1424"/>
      <c r="FT39" s="212">
        <f>IF(FR39=0,0,(FS39-FR39)/FR39*100)</f>
        <v>0</v>
      </c>
      <c r="FU39" s="1424"/>
      <c r="FV39" s="1424"/>
      <c r="FW39" s="212">
        <f>IF(FU39=0,0,(FV39-FU39)/FU39*100)</f>
        <v>0</v>
      </c>
      <c r="FZ39" s="957" t="s">
        <v>1473</v>
      </c>
      <c r="GA39" s="957"/>
      <c r="GB39" s="957"/>
      <c r="GC39" s="958"/>
      <c r="GD39" s="958"/>
    </row>
    <row r="40" spans="1:186" ht="14.65" hidden="1" customHeight="1">
      <c r="A40" s="409"/>
      <c r="B40" s="830" t="b" cm="1">
        <f t="array" ref="B40">B39</f>
        <v>0</v>
      </c>
      <c r="C40" s="409"/>
      <c r="D40" s="409"/>
      <c r="E40" s="754">
        <v>15</v>
      </c>
      <c r="F40" s="3" cm="1">
        <f t="array" aca="1" ref="F40" ca="1">OFFSET(E40,-1,1)</f>
        <v>0</v>
      </c>
      <c r="G40" s="26"/>
      <c r="H40" s="409" t="s">
        <v>431</v>
      </c>
      <c r="I40" s="409" t="s">
        <v>1474</v>
      </c>
      <c r="J40" s="409"/>
      <c r="K40" s="409"/>
      <c r="L40" s="409"/>
      <c r="M40" s="409"/>
      <c r="N40" s="409"/>
      <c r="O40" s="409"/>
      <c r="P40" s="409"/>
      <c r="Q40" s="806"/>
      <c r="R40" s="409"/>
      <c r="S40" s="409"/>
      <c r="T40" s="381" t="b" cm="1">
        <f t="array" ref="T40">T39</f>
        <v>0</v>
      </c>
      <c r="U40" s="409"/>
      <c r="V40" s="409"/>
      <c r="W40" s="409"/>
      <c r="X40" s="1787"/>
      <c r="Y40" s="409"/>
      <c r="Z40" s="1734"/>
      <c r="AA40" s="409"/>
      <c r="AB40" s="992" t="s">
        <v>1461</v>
      </c>
      <c r="AC40" s="778" t="s">
        <v>423</v>
      </c>
      <c r="AD40" s="995">
        <f ca="1">IF(AD38=0,0,AD39/AD38)*100</f>
        <v>0</v>
      </c>
      <c r="AE40" s="995">
        <f ca="1">IF(AE38=0,0,AE39/AE38)*100</f>
        <v>0</v>
      </c>
      <c r="AF40" s="996"/>
      <c r="AG40" s="995">
        <f ca="1">IF(AG38=0,0,AG39/AG38)*100</f>
        <v>0</v>
      </c>
      <c r="AH40" s="995">
        <f ca="1">IF(AH38=0,0,AH39/AH38)*100</f>
        <v>0</v>
      </c>
      <c r="AI40" s="996"/>
      <c r="AJ40" s="995">
        <f ca="1">IF(AJ38=0,0,AJ39/AJ38)*100</f>
        <v>0</v>
      </c>
      <c r="AK40" s="995">
        <f ca="1">IF(AK38=0,0,AK39/AK38)*100</f>
        <v>0</v>
      </c>
      <c r="AL40" s="996"/>
      <c r="AM40" s="995">
        <f ca="1">IF(AM38=0,0,AM39/AM38)*100</f>
        <v>0</v>
      </c>
      <c r="AN40" s="995">
        <f ca="1">IF(AN38=0,0,AN39/AN38)*100</f>
        <v>0</v>
      </c>
      <c r="AO40" s="996"/>
      <c r="AP40" s="995">
        <f ca="1">IF(AP38=0,0,AP39/AP38)*100</f>
        <v>0</v>
      </c>
      <c r="AQ40" s="995">
        <f ca="1">IF(AQ38=0,0,AQ39/AQ38)*100</f>
        <v>0</v>
      </c>
      <c r="AR40" s="996"/>
      <c r="AS40" s="995">
        <f ca="1">IF(AS38=0,0,AS39/AS38)*100</f>
        <v>0</v>
      </c>
      <c r="AT40" s="995">
        <f ca="1">IF(AT38=0,0,AT39/AT38)*100</f>
        <v>0</v>
      </c>
      <c r="AU40" s="996"/>
      <c r="AV40" s="995">
        <f ca="1">IF(AV38=0,0,AV39/AV38)*100</f>
        <v>0</v>
      </c>
      <c r="AW40" s="995">
        <f ca="1">IF(AW38=0,0,AW39/AW38)*100</f>
        <v>0</v>
      </c>
      <c r="AX40" s="996"/>
      <c r="AY40" s="995">
        <f ca="1">IF(AY38=0,0,AY39/AY38)*100</f>
        <v>0</v>
      </c>
      <c r="AZ40" s="995">
        <f ca="1">IF(AZ38=0,0,AZ39/AZ38)*100</f>
        <v>0</v>
      </c>
      <c r="BA40" s="996"/>
      <c r="BB40" s="995">
        <f ca="1">IF(BB38=0,0,BB39/BB38)*100</f>
        <v>0</v>
      </c>
      <c r="BC40" s="995">
        <f ca="1">IF(BC38=0,0,BC39/BC38)*100</f>
        <v>0</v>
      </c>
      <c r="BD40" s="996"/>
      <c r="BE40" s="995">
        <f ca="1">IF(BE38=0,0,BE39/BE38)*100</f>
        <v>0</v>
      </c>
      <c r="BF40" s="995">
        <f ca="1">IF(BF38=0,0,BF39/BF38)*100</f>
        <v>0</v>
      </c>
      <c r="BG40" s="996"/>
      <c r="BH40" s="995">
        <f>IF(BH38=0,0,BH39/BH38)*100</f>
        <v>0</v>
      </c>
      <c r="BI40" s="995">
        <f>IF(BI38=0,0,BI39/BI38)*100</f>
        <v>0</v>
      </c>
      <c r="BJ40" s="996"/>
      <c r="BK40" s="995">
        <f>IF(BK38=0,0,BK39/BK38)*100</f>
        <v>0</v>
      </c>
      <c r="BL40" s="995">
        <f>IF(BL38=0,0,BL39/BL38)*100</f>
        <v>0</v>
      </c>
      <c r="BM40" s="996"/>
      <c r="BN40" s="995">
        <f>IF(BN38=0,0,BN39/BN38)*100</f>
        <v>0</v>
      </c>
      <c r="BO40" s="995">
        <f>IF(BO38=0,0,BO39/BO38)*100</f>
        <v>0</v>
      </c>
      <c r="BP40" s="996"/>
      <c r="BQ40" s="995">
        <f>IF(BQ38=0,0,BQ39/BQ38)*100</f>
        <v>0</v>
      </c>
      <c r="BR40" s="995">
        <f>IF(BR38=0,0,BR39/BR38)*100</f>
        <v>0</v>
      </c>
      <c r="BS40" s="996"/>
      <c r="BT40" s="995">
        <f>IF(BT38=0,0,BT39/BT38)*100</f>
        <v>0</v>
      </c>
      <c r="BU40" s="995">
        <f>IF(BU38=0,0,BU39/BU38)*100</f>
        <v>0</v>
      </c>
      <c r="BV40" s="996"/>
      <c r="BW40" s="995">
        <f>IF(BW38=0,0,BW39/BW38)*100</f>
        <v>0</v>
      </c>
      <c r="BX40" s="995">
        <f>IF(BX38=0,0,BX39/BX38)*100</f>
        <v>0</v>
      </c>
      <c r="BY40" s="996"/>
      <c r="BZ40" s="995">
        <f>IF(BZ38=0,0,BZ39/BZ38)*100</f>
        <v>0</v>
      </c>
      <c r="CA40" s="995">
        <f>IF(CA38=0,0,CA39/CA38)*100</f>
        <v>0</v>
      </c>
      <c r="CB40" s="996"/>
      <c r="CC40" s="995">
        <f>IF(CC38=0,0,CC39/CC38)*100</f>
        <v>0</v>
      </c>
      <c r="CD40" s="995">
        <f>IF(CD38=0,0,CD39/CD38)*100</f>
        <v>0</v>
      </c>
      <c r="CE40" s="996"/>
      <c r="CF40" s="995">
        <f>IF(CF38=0,0,CF39/CF38)*100</f>
        <v>0</v>
      </c>
      <c r="CG40" s="995">
        <f>IF(CG38=0,0,CG39/CG38)*100</f>
        <v>0</v>
      </c>
      <c r="CH40" s="996"/>
      <c r="CI40" s="995">
        <f>IF(CI38=0,0,CI39/CI38)*100</f>
        <v>0</v>
      </c>
      <c r="CJ40" s="995">
        <f>IF(CJ38=0,0,CJ39/CJ38)*100</f>
        <v>0</v>
      </c>
      <c r="CK40" s="996"/>
      <c r="CL40" s="995">
        <f>IF(CL38=0,0,CL39/CL38)*100</f>
        <v>0</v>
      </c>
      <c r="CM40" s="995">
        <f>IF(CM38=0,0,CM39/CM38)*100</f>
        <v>0</v>
      </c>
      <c r="CN40" s="996"/>
      <c r="CO40" s="995">
        <f>IF(CO38=0,0,CO39/CO38)*100</f>
        <v>0</v>
      </c>
      <c r="CP40" s="995">
        <f>IF(CP38=0,0,CP39/CP38)*100</f>
        <v>0</v>
      </c>
      <c r="CQ40" s="996"/>
      <c r="CR40" s="995">
        <f>IF(CR38=0,0,CR39/CR38)*100</f>
        <v>0</v>
      </c>
      <c r="CS40" s="995">
        <f>IF(CS38=0,0,CS39/CS38)*100</f>
        <v>0</v>
      </c>
      <c r="CT40" s="996"/>
      <c r="CU40" s="995">
        <f>IF(CU38=0,0,CU39/CU38)*100</f>
        <v>0</v>
      </c>
      <c r="CV40" s="995">
        <f>IF(CV38=0,0,CV39/CV38)*100</f>
        <v>0</v>
      </c>
      <c r="CW40" s="996"/>
      <c r="CX40" s="995">
        <f>IF(CX38=0,0,CX39/CX38)*100</f>
        <v>0</v>
      </c>
      <c r="CY40" s="995">
        <f>IF(CY38=0,0,CY39/CY38)*100</f>
        <v>0</v>
      </c>
      <c r="CZ40" s="996"/>
      <c r="DA40" s="995">
        <f>IF(DA38=0,0,DA39/DA38)*100</f>
        <v>0</v>
      </c>
      <c r="DB40" s="995">
        <f>IF(DB38=0,0,DB39/DB38)*100</f>
        <v>0</v>
      </c>
      <c r="DC40" s="996"/>
      <c r="DD40" s="995">
        <f>IF(DD38=0,0,DD39/DD38)*100</f>
        <v>0</v>
      </c>
      <c r="DE40" s="995">
        <f>IF(DE38=0,0,DE39/DE38)*100</f>
        <v>0</v>
      </c>
      <c r="DF40" s="996"/>
      <c r="DG40" s="995">
        <f>IF(DG38=0,0,DG39/DG38)*100</f>
        <v>0</v>
      </c>
      <c r="DH40" s="995">
        <f>IF(DH38=0,0,DH39/DH38)*100</f>
        <v>0</v>
      </c>
      <c r="DI40" s="996"/>
      <c r="DJ40" s="995">
        <f>IF(DJ38=0,0,DJ39/DJ38)*100</f>
        <v>0</v>
      </c>
      <c r="DK40" s="995">
        <f>IF(DK38=0,0,DK39/DK38)*100</f>
        <v>0</v>
      </c>
      <c r="DL40" s="996"/>
      <c r="DM40" s="995">
        <f>IF(DM38=0,0,DM39/DM38)*100</f>
        <v>0</v>
      </c>
      <c r="DN40" s="995">
        <f>IF(DN38=0,0,DN39/DN38)*100</f>
        <v>0</v>
      </c>
      <c r="DO40" s="996"/>
      <c r="DP40" s="995">
        <f>IF(DP38=0,0,DP39/DP38)*100</f>
        <v>0</v>
      </c>
      <c r="DQ40" s="995">
        <f>IF(DQ38=0,0,DQ39/DQ38)*100</f>
        <v>0</v>
      </c>
      <c r="DR40" s="996"/>
      <c r="DS40" s="995">
        <f>IF(DS38=0,0,DS39/DS38)*100</f>
        <v>0</v>
      </c>
      <c r="DT40" s="995">
        <f>IF(DT38=0,0,DT39/DT38)*100</f>
        <v>0</v>
      </c>
      <c r="DU40" s="996"/>
      <c r="DV40" s="995">
        <f>IF(DV38=0,0,DV39/DV38)*100</f>
        <v>0</v>
      </c>
      <c r="DW40" s="995">
        <f>IF(DW38=0,0,DW39/DW38)*100</f>
        <v>0</v>
      </c>
      <c r="DX40" s="996"/>
      <c r="DY40" s="995">
        <f>IF(DY38=0,0,DY39/DY38)*100</f>
        <v>0</v>
      </c>
      <c r="DZ40" s="995">
        <f>IF(DZ38=0,0,DZ39/DZ38)*100</f>
        <v>0</v>
      </c>
      <c r="EA40" s="996"/>
      <c r="EB40" s="995">
        <f>IF(EB38=0,0,EB39/EB38)*100</f>
        <v>0</v>
      </c>
      <c r="EC40" s="995">
        <f>IF(EC38=0,0,EC39/EC38)*100</f>
        <v>0</v>
      </c>
      <c r="ED40" s="996"/>
      <c r="EE40" s="995">
        <f>IF(EE38=0,0,EE39/EE38)*100</f>
        <v>0</v>
      </c>
      <c r="EF40" s="995">
        <f>IF(EF38=0,0,EF39/EF38)*100</f>
        <v>0</v>
      </c>
      <c r="EG40" s="996"/>
      <c r="EH40" s="995">
        <f>IF(EH38=0,0,EH39/EH38)*100</f>
        <v>0</v>
      </c>
      <c r="EI40" s="995">
        <f>IF(EI38=0,0,EI39/EI38)*100</f>
        <v>0</v>
      </c>
      <c r="EJ40" s="996"/>
      <c r="EK40" s="995">
        <f>IF(EK38=0,0,EK39/EK38)*100</f>
        <v>0</v>
      </c>
      <c r="EL40" s="995">
        <f>IF(EL38=0,0,EL39/EL38)*100</f>
        <v>0</v>
      </c>
      <c r="EM40" s="996"/>
      <c r="EN40" s="995">
        <f>IF(EN38=0,0,EN39/EN38)*100</f>
        <v>0</v>
      </c>
      <c r="EO40" s="995">
        <f>IF(EO38=0,0,EO39/EO38)*100</f>
        <v>0</v>
      </c>
      <c r="EP40" s="996"/>
      <c r="EQ40" s="995">
        <f>IF(EQ38=0,0,EQ39/EQ38)*100</f>
        <v>0</v>
      </c>
      <c r="ER40" s="995">
        <f>IF(ER38=0,0,ER39/ER38)*100</f>
        <v>0</v>
      </c>
      <c r="ES40" s="996"/>
      <c r="ET40" s="995">
        <f>IF(ET38=0,0,ET39/ET38)*100</f>
        <v>0</v>
      </c>
      <c r="EU40" s="995">
        <f>IF(EU38=0,0,EU39/EU38)*100</f>
        <v>0</v>
      </c>
      <c r="EV40" s="996"/>
      <c r="EW40" s="995">
        <f>IF(EW38=0,0,EW39/EW38)*100</f>
        <v>0</v>
      </c>
      <c r="EX40" s="995">
        <f>IF(EX38=0,0,EX39/EX38)*100</f>
        <v>0</v>
      </c>
      <c r="EY40" s="996"/>
      <c r="EZ40" s="995">
        <f>IF(EZ38=0,0,EZ39/EZ38)*100</f>
        <v>0</v>
      </c>
      <c r="FA40" s="995">
        <f>IF(FA38=0,0,FA39/FA38)*100</f>
        <v>0</v>
      </c>
      <c r="FB40" s="996"/>
      <c r="FC40" s="995">
        <f>IF(FC38=0,0,FC39/FC38)*100</f>
        <v>0</v>
      </c>
      <c r="FD40" s="995">
        <f>IF(FD38=0,0,FD39/FD38)*100</f>
        <v>0</v>
      </c>
      <c r="FE40" s="996"/>
      <c r="FF40" s="995">
        <f>IF(FF38=0,0,FF39/FF38)*100</f>
        <v>0</v>
      </c>
      <c r="FG40" s="995">
        <f>IF(FG38=0,0,FG39/FG38)*100</f>
        <v>0</v>
      </c>
      <c r="FH40" s="996"/>
      <c r="FI40" s="995">
        <f>IF(FI38=0,0,FI39/FI38)*100</f>
        <v>0</v>
      </c>
      <c r="FJ40" s="995">
        <f>IF(FJ38=0,0,FJ39/FJ38)*100</f>
        <v>0</v>
      </c>
      <c r="FK40" s="996"/>
      <c r="FL40" s="995">
        <f>IF(FL38=0,0,FL39/FL38)*100</f>
        <v>0</v>
      </c>
      <c r="FM40" s="995">
        <f>IF(FM38=0,0,FM39/FM38)*100</f>
        <v>0</v>
      </c>
      <c r="FN40" s="996"/>
      <c r="FO40" s="995">
        <f>IF(FO38=0,0,FO39/FO38)*100</f>
        <v>0</v>
      </c>
      <c r="FP40" s="995">
        <f>IF(FP38=0,0,FP39/FP38)*100</f>
        <v>0</v>
      </c>
      <c r="FQ40" s="996"/>
      <c r="FR40" s="995">
        <f>IF(FR38=0,0,FR39/FR38)*100</f>
        <v>0</v>
      </c>
      <c r="FS40" s="995">
        <f>IF(FS38=0,0,FS39/FS38)*100</f>
        <v>0</v>
      </c>
      <c r="FT40" s="996"/>
      <c r="FU40" s="995">
        <f>IF(FU38=0,0,FU39/FU38)*100</f>
        <v>0</v>
      </c>
      <c r="FV40" s="995">
        <f>IF(FV38=0,0,FV39/FV38)*100</f>
        <v>0</v>
      </c>
      <c r="FW40" s="996"/>
      <c r="FX40" s="208"/>
      <c r="FZ40" s="957" t="s">
        <v>1475</v>
      </c>
    </row>
    <row r="41" spans="1:186" ht="14.65" hidden="1" customHeight="1">
      <c r="A41" s="409"/>
      <c r="B41" s="830" t="b" cm="1">
        <f t="array" ref="B41">B40</f>
        <v>0</v>
      </c>
      <c r="C41" s="409"/>
      <c r="D41" s="409"/>
      <c r="E41" s="754">
        <v>15</v>
      </c>
      <c r="F41" s="3" cm="1">
        <f t="array" aca="1" ref="F41" ca="1">OFFSET(E41,-1,1)</f>
        <v>0</v>
      </c>
      <c r="G41" s="26" t="s">
        <v>1476</v>
      </c>
      <c r="H41" s="409" t="s">
        <v>434</v>
      </c>
      <c r="I41" s="409" t="s">
        <v>1474</v>
      </c>
      <c r="J41" s="409"/>
      <c r="K41" s="409"/>
      <c r="L41" s="409"/>
      <c r="M41" s="409"/>
      <c r="N41" s="409"/>
      <c r="O41" s="409"/>
      <c r="P41" s="409"/>
      <c r="Q41" s="806"/>
      <c r="R41" s="409"/>
      <c r="S41" s="409"/>
      <c r="T41" s="381" t="b" cm="1">
        <f t="array" ref="T41">T40</f>
        <v>0</v>
      </c>
      <c r="U41" s="409"/>
      <c r="V41" s="409"/>
      <c r="W41" s="409"/>
      <c r="X41" s="1787"/>
      <c r="Y41" s="409"/>
      <c r="Z41" s="1734"/>
      <c r="AA41" s="409"/>
      <c r="AB41" s="809" t="s">
        <v>1477</v>
      </c>
      <c r="AC41" s="778" t="s">
        <v>499</v>
      </c>
      <c r="AD41" s="1426">
        <f ca="1">IF(AND(method_reg="Метод индексации",god&lt;&gt;first_year),SUMIFS(INDEX('Калькуляция (МИ корр)'!$AJ$25:$BC$315,,MATCH(AD$8,'Калькуляция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(МИ)'!$AJ$25:$BC$315,,MATCH(AD$8,'Калькуляция (МИ)'!$AJ$8:$BC$8,0)),'Калькуляция (МИ)'!$F$25:$F$315,$F41,'Калькуляция (МИ)'!$G$25:$G$315,$G41))))</f>
        <v>0</v>
      </c>
      <c r="AE41" s="1426">
        <f ca="1">IF(AND(method_reg="Метод индексации",god&lt;&gt;first_year),SUMIFS(INDEX('Калькуляция (МИ корр)'!$AJ$25:$BC$315,,MATCH(AE$8,'Калькуляция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(МИ)'!$AJ$25:$BC$315,,MATCH(AE$8,'Калькуляция (МИ)'!$AJ$8:$BC$8,0)),'Калькуляция (МИ)'!$F$25:$F$315,$F41,'Калькуляция (МИ)'!$G$25:$G$315,$G41))))</f>
        <v>0</v>
      </c>
      <c r="AF41" s="998">
        <f ca="1">IF(AD41=0,0,(AE41-AD41)/AD41*100)</f>
        <v>0</v>
      </c>
      <c r="AG41" s="1426">
        <f ca="1">IF(AND(method_reg="Метод индексации",god&lt;&gt;first_year),SUMIFS(INDEX('Калькуляция (МИ корр)'!$AJ$25:$BC$315,,MATCH(AG$8,'Калькуляция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(МИ)'!$AJ$25:$BC$315,,MATCH(AG$8,'Калькуляция (МИ)'!$AJ$8:$BC$8,0)),'Калькуляция (МИ)'!$F$25:$F$315,$F41,'Калькуляция (МИ)'!$G$25:$G$315,$G41))))</f>
        <v>0</v>
      </c>
      <c r="AH41" s="1426">
        <f ca="1">IF(AND(method_reg="Метод индексации",god&lt;&gt;first_year),SUMIFS(INDEX('Калькуляция (МИ корр)'!$AJ$25:$BC$315,,MATCH(AH$8,'Калькуляция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(МИ)'!$AJ$25:$BC$315,,MATCH(AH$8,'Калькуляция (МИ)'!$AJ$8:$BC$8,0)),'Калькуляция (МИ)'!$F$25:$F$315,$F41,'Калькуляция (МИ)'!$G$25:$G$315,$G41))))</f>
        <v>0</v>
      </c>
      <c r="AI41" s="998">
        <f ca="1">IF(AG41=0,0,(AH41-AG41)/AG41*100)</f>
        <v>0</v>
      </c>
      <c r="AJ41" s="1426">
        <f ca="1">IF(AND(method_reg="Метод индексации",god&lt;&gt;first_year),SUMIFS(INDEX('Калькуляция (МИ корр)'!$AJ$25:$BC$315,,MATCH(AJ$8,'Калькуляция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(МИ)'!$AJ$25:$BC$315,,MATCH(AJ$8,'Калькуляция (МИ)'!$AJ$8:$BC$8,0)),'Калькуляция (МИ)'!$F$25:$F$315,$F41,'Калькуляция (МИ)'!$G$25:$G$315,$G41))))</f>
        <v>0</v>
      </c>
      <c r="AK41" s="1426">
        <f ca="1">IF(AND(method_reg="Метод индексации",god&lt;&gt;first_year),SUMIFS(INDEX('Калькуляция (МИ корр)'!$AJ$25:$BC$315,,MATCH(AK$8,'Калькуляция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(МИ)'!$AJ$25:$BC$315,,MATCH(AK$8,'Калькуляция (МИ)'!$AJ$8:$BC$8,0)),'Калькуляция (МИ)'!$F$25:$F$315,$F41,'Калькуляция (МИ)'!$G$25:$G$315,$G41))))</f>
        <v>0</v>
      </c>
      <c r="AL41" s="998">
        <f ca="1">IF(AJ41=0,0,(AK41-AJ41)/AJ41*100)</f>
        <v>0</v>
      </c>
      <c r="AM41" s="1426">
        <f ca="1">IF(AND(method_reg="Метод индексации",god&lt;&gt;first_year),SUMIFS(INDEX('Калькуляция (МИ корр)'!$AJ$25:$BC$315,,MATCH(AM$8,'Калькуляция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(МИ)'!$AJ$25:$BC$315,,MATCH(AM$8,'Калькуляция (МИ)'!$AJ$8:$BC$8,0)),'Калькуляция (МИ)'!$F$25:$F$315,$F41,'Калькуляция (МИ)'!$G$25:$G$315,$G41))))</f>
        <v>0</v>
      </c>
      <c r="AN41" s="1426">
        <f ca="1">IF(AND(method_reg="Метод индексации",god&lt;&gt;first_year),SUMIFS(INDEX('Калькуляция (МИ корр)'!$AJ$25:$BC$315,,MATCH(AN$8,'Калькуляция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(МИ)'!$AJ$25:$BC$315,,MATCH(AN$8,'Калькуляция (МИ)'!$AJ$8:$BC$8,0)),'Калькуляция (МИ)'!$F$25:$F$315,$F41,'Калькуляция (МИ)'!$G$25:$G$315,$G41))))</f>
        <v>0</v>
      </c>
      <c r="AO41" s="998">
        <f ca="1">IF(AM41=0,0,(AN41-AM41)/AM41*100)</f>
        <v>0</v>
      </c>
      <c r="AP41" s="1426">
        <f ca="1">IF(AND(method_reg="Метод индексации",god&lt;&gt;first_year),SUMIFS(INDEX('Калькуляция (МИ корр)'!$AJ$25:$BC$315,,MATCH(AP$8,'Калькуляция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(МИ)'!$AJ$25:$BC$315,,MATCH(AP$8,'Калькуляция (МИ)'!$AJ$8:$BC$8,0)),'Калькуляция (МИ)'!$F$25:$F$315,$F41,'Калькуляция (МИ)'!$G$25:$G$315,$G41))))</f>
        <v>0</v>
      </c>
      <c r="AQ41" s="1426">
        <f ca="1">IF(AND(method_reg="Метод индексации",god&lt;&gt;first_year),SUMIFS(INDEX('Калькуляция (МИ корр)'!$AJ$25:$BC$315,,MATCH(AQ$8,'Калькуляция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(МИ)'!$AJ$25:$BC$315,,MATCH(AQ$8,'Калькуляция (МИ)'!$AJ$8:$BC$8,0)),'Калькуляция (МИ)'!$F$25:$F$315,$F41,'Калькуляция (МИ)'!$G$25:$G$315,$G41))))</f>
        <v>0</v>
      </c>
      <c r="AR41" s="998">
        <f ca="1">IF(AP41=0,0,(AQ41-AP41)/AP41*100)</f>
        <v>0</v>
      </c>
      <c r="AS41" s="1426">
        <f ca="1">IF(AND(method_reg="Метод индексации",god&lt;&gt;first_year),SUMIFS(INDEX('Калькуляция (МИ корр)'!$AJ$25:$BC$315,,MATCH(AS$8,'Калькуляция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(МИ)'!$AJ$25:$BC$315,,MATCH(AS$8,'Калькуляция (МИ)'!$AJ$8:$BC$8,0)),'Калькуляция (МИ)'!$F$25:$F$315,$F41,'Калькуляция (МИ)'!$G$25:$G$315,$G41))))</f>
        <v>0</v>
      </c>
      <c r="AT41" s="1426">
        <f ca="1">IF(AND(method_reg="Метод индексации",god&lt;&gt;first_year),SUMIFS(INDEX('Калькуляция (МИ корр)'!$AJ$25:$BC$315,,MATCH(AT$8,'Калькуляция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(МИ)'!$AJ$25:$BC$315,,MATCH(AT$8,'Калькуляция (МИ)'!$AJ$8:$BC$8,0)),'Калькуляция (МИ)'!$F$25:$F$315,$F41,'Калькуляция (МИ)'!$G$25:$G$315,$G41))))</f>
        <v>0</v>
      </c>
      <c r="AU41" s="998">
        <f ca="1">IF(AS41=0,0,(AT41-AS41)/AS41*100)</f>
        <v>0</v>
      </c>
      <c r="AV41" s="1426">
        <f ca="1">IF(AND(method_reg="Метод индексации",god&lt;&gt;first_year),SUMIFS(INDEX('Калькуляция (МИ корр)'!$AJ$25:$BC$315,,MATCH(AV$8,'Калькуляция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(МИ)'!$AJ$25:$BC$315,,MATCH(AV$8,'Калькуляция (МИ)'!$AJ$8:$BC$8,0)),'Калькуляция (МИ)'!$F$25:$F$315,$F41,'Калькуляция (МИ)'!$G$25:$G$315,$G41))))</f>
        <v>0</v>
      </c>
      <c r="AW41" s="1426">
        <f ca="1">IF(AND(method_reg="Метод индексации",god&lt;&gt;first_year),SUMIFS(INDEX('Калькуляция (МИ корр)'!$AJ$25:$BC$315,,MATCH(AW$8,'Калькуляция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(МИ)'!$AJ$25:$BC$315,,MATCH(AW$8,'Калькуляция (МИ)'!$AJ$8:$BC$8,0)),'Калькуляция (МИ)'!$F$25:$F$315,$F41,'Калькуляция (МИ)'!$G$25:$G$315,$G41))))</f>
        <v>0</v>
      </c>
      <c r="AX41" s="998">
        <f ca="1">IF(AV41=0,0,(AW41-AV41)/AV41*100)</f>
        <v>0</v>
      </c>
      <c r="AY41" s="1426">
        <f ca="1">IF(AND(method_reg="Метод индексации",god&lt;&gt;first_year),SUMIFS(INDEX('Калькуляция (МИ корр)'!$AJ$25:$BC$315,,MATCH(AY$8,'Калькуляция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(МИ)'!$AJ$25:$BC$315,,MATCH(AY$8,'Калькуляция (МИ)'!$AJ$8:$BC$8,0)),'Калькуляция (МИ)'!$F$25:$F$315,$F41,'Калькуляция (МИ)'!$G$25:$G$315,$G41))))</f>
        <v>0</v>
      </c>
      <c r="AZ41" s="1426">
        <f ca="1">IF(AND(method_reg="Метод индексации",god&lt;&gt;first_year),SUMIFS(INDEX('Калькуляция (МИ корр)'!$AJ$25:$BC$315,,MATCH(AZ$8,'Калькуляция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(МИ)'!$AJ$25:$BC$315,,MATCH(AZ$8,'Калькуляция (МИ)'!$AJ$8:$BC$8,0)),'Калькуляция (МИ)'!$F$25:$F$315,$F41,'Калькуляция (МИ)'!$G$25:$G$315,$G41))))</f>
        <v>0</v>
      </c>
      <c r="BA41" s="998">
        <f ca="1">IF(AY41=0,0,(AZ41-AY41)/AY41*100)</f>
        <v>0</v>
      </c>
      <c r="BB41" s="1426">
        <f ca="1">IF(AND(method_reg="Метод индексации",god&lt;&gt;first_year),SUMIFS(INDEX('Калькуляция (МИ корр)'!$AJ$25:$BC$315,,MATCH(BB$8,'Калькуляция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(МИ)'!$AJ$25:$BC$315,,MATCH(BB$8,'Калькуляция (МИ)'!$AJ$8:$BC$8,0)),'Калькуляция (МИ)'!$F$25:$F$315,$F41,'Калькуляция (МИ)'!$G$25:$G$315,$G41))))</f>
        <v>0</v>
      </c>
      <c r="BC41" s="1426">
        <f ca="1">IF(AND(method_reg="Метод индексации",god&lt;&gt;first_year),SUMIFS(INDEX('Калькуляция (МИ корр)'!$AJ$25:$BC$315,,MATCH(BC$8,'Калькуляция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(МИ)'!$AJ$25:$BC$315,,MATCH(BC$8,'Калькуляция (МИ)'!$AJ$8:$BC$8,0)),'Калькуляция (МИ)'!$F$25:$F$315,$F41,'Калькуляция (МИ)'!$G$25:$G$315,$G41))))</f>
        <v>0</v>
      </c>
      <c r="BD41" s="998">
        <f ca="1">IF(BB41=0,0,(BC41-BB41)/BB41*100)</f>
        <v>0</v>
      </c>
      <c r="BE41" s="1426">
        <f ca="1">IF(AND(method_reg="Метод индексации",god&lt;&gt;first_year),SUMIFS(INDEX('Калькуляция (МИ корр)'!$AJ$25:$BC$315,,MATCH(BE$8,'Калькуляция (МИ корр)'!$AJ$8:$BC$8,0)),'Калькуляция (МИ корр)'!$F$25:$F$315,$F41,'Калькуляция (МИ корр)'!$G$25:$G$315,$G41),IF(method_reg="Метод экономически обоснованных расходов",SUMIFS('Калькуляция (МЭОР)'!$AJ$25:$AJ$199,'Калькуляция (МЭОР)'!$F$25:$F$199,$F41,'Калькуляция (МЭОР)'!$G$25:$G$199,$G41),IF(method_reg="Метод сравнения аналогов",SUMIFS('Калькуляция (МСА)'!$AE$25:$AE$65,'Калькуляция (МСА)'!$F$25:$F$65,$F41,'Калькуляция (МСА)'!$G$25:$G$65,$G41),SUMIFS(INDEX('Калькуляция (МИ)'!$AJ$25:$BC$315,,MATCH(BE$8,'Калькуляция (МИ)'!$AJ$8:$BC$8,0)),'Калькуляция (МИ)'!$F$25:$F$315,$F41,'Калькуляция (МИ)'!$G$25:$G$315,$G41))))</f>
        <v>0</v>
      </c>
      <c r="BF41" s="1426">
        <f ca="1">IF(AND(method_reg="Метод индексации",god&lt;&gt;first_year),SUMIFS(INDEX('Калькуляция (МИ корр)'!$AJ$25:$BC$315,,MATCH(BF$8,'Калькуляция (МИ корр)'!$AJ$8:$BC$8,0)),'Калькуляция (МИ корр)'!$F$25:$F$315,$F41,'Калькуляция (МИ корр)'!$G$25:$G$315,$G41),IF(method_reg="Метод экономически обоснованных расходов",SUMIFS('Калькуляция (МЭОР)'!$AK$25:$AK$199,'Калькуляция (МЭОР)'!$F$25:$F$199,$F41,'Калькуляция (МЭОР)'!$G$25:$G$199,$G41),IF(method_reg="Метод сравнения аналогов",SUMIFS('Калькуляция (МСА)'!$AF$25:$AF$65,'Калькуляция (МСА)'!$F$25:$F$65,$F41,'Калькуляция (МСА)'!$G$25:$G$65,$G41),SUMIFS(INDEX('Калькуляция (МИ)'!$AJ$25:$BC$315,,MATCH(BF$8,'Калькуляция (МИ)'!$AJ$8:$BC$8,0)),'Калькуляция (МИ)'!$F$25:$F$315,$F41,'Калькуляция (МИ)'!$G$25:$G$315,$G41))))</f>
        <v>0</v>
      </c>
      <c r="BG41" s="998">
        <f ca="1">IF(BE41=0,0,(BF41-BE41)/BE41*100)</f>
        <v>0</v>
      </c>
      <c r="BH41" s="1426"/>
      <c r="BI41" s="1426"/>
      <c r="BJ41" s="998">
        <f>IF(BH41=0,0,(BI41-BH41)/BH41*100)</f>
        <v>0</v>
      </c>
      <c r="BK41" s="1426"/>
      <c r="BL41" s="1426"/>
      <c r="BM41" s="998">
        <f>IF(BK41=0,0,(BL41-BK41)/BK41*100)</f>
        <v>0</v>
      </c>
      <c r="BN41" s="1426"/>
      <c r="BO41" s="1426"/>
      <c r="BP41" s="998">
        <f>IF(BN41=0,0,(BO41-BN41)/BN41*100)</f>
        <v>0</v>
      </c>
      <c r="BQ41" s="1426"/>
      <c r="BR41" s="1426"/>
      <c r="BS41" s="998">
        <f>IF(BQ41=0,0,(BR41-BQ41)/BQ41*100)</f>
        <v>0</v>
      </c>
      <c r="BT41" s="1426"/>
      <c r="BU41" s="1426"/>
      <c r="BV41" s="998">
        <f>IF(BT41=0,0,(BU41-BT41)/BT41*100)</f>
        <v>0</v>
      </c>
      <c r="BW41" s="1426"/>
      <c r="BX41" s="1426"/>
      <c r="BY41" s="998">
        <f>IF(BW41=0,0,(BX41-BW41)/BW41*100)</f>
        <v>0</v>
      </c>
      <c r="BZ41" s="1426"/>
      <c r="CA41" s="1426"/>
      <c r="CB41" s="998">
        <f>IF(BZ41=0,0,(CA41-BZ41)/BZ41*100)</f>
        <v>0</v>
      </c>
      <c r="CC41" s="1426"/>
      <c r="CD41" s="1426"/>
      <c r="CE41" s="998">
        <f>IF(CC41=0,0,(CD41-CC41)/CC41*100)</f>
        <v>0</v>
      </c>
      <c r="CF41" s="1426"/>
      <c r="CG41" s="1426"/>
      <c r="CH41" s="998">
        <f>IF(CF41=0,0,(CG41-CF41)/CF41*100)</f>
        <v>0</v>
      </c>
      <c r="CI41" s="1426"/>
      <c r="CJ41" s="1426"/>
      <c r="CK41" s="998">
        <f>IF(CI41=0,0,(CJ41-CI41)/CI41*100)</f>
        <v>0</v>
      </c>
      <c r="CL41" s="1426"/>
      <c r="CM41" s="1426"/>
      <c r="CN41" s="998">
        <f>IF(CL41=0,0,(CM41-CL41)/CL41*100)</f>
        <v>0</v>
      </c>
      <c r="CO41" s="1426"/>
      <c r="CP41" s="1426"/>
      <c r="CQ41" s="998">
        <f>IF(CO41=0,0,(CP41-CO41)/CO41*100)</f>
        <v>0</v>
      </c>
      <c r="CR41" s="1426"/>
      <c r="CS41" s="1426"/>
      <c r="CT41" s="998">
        <f>IF(CR41=0,0,(CS41-CR41)/CR41*100)</f>
        <v>0</v>
      </c>
      <c r="CU41" s="1426"/>
      <c r="CV41" s="1426"/>
      <c r="CW41" s="998">
        <f>IF(CU41=0,0,(CV41-CU41)/CU41*100)</f>
        <v>0</v>
      </c>
      <c r="CX41" s="1426"/>
      <c r="CY41" s="1426"/>
      <c r="CZ41" s="998">
        <f>IF(CX41=0,0,(CY41-CX41)/CX41*100)</f>
        <v>0</v>
      </c>
      <c r="DA41" s="1426"/>
      <c r="DB41" s="1426"/>
      <c r="DC41" s="998">
        <f>IF(DA41=0,0,(DB41-DA41)/DA41*100)</f>
        <v>0</v>
      </c>
      <c r="DD41" s="1426"/>
      <c r="DE41" s="1426"/>
      <c r="DF41" s="998">
        <f>IF(DD41=0,0,(DE41-DD41)/DD41*100)</f>
        <v>0</v>
      </c>
      <c r="DG41" s="1426"/>
      <c r="DH41" s="1426"/>
      <c r="DI41" s="998">
        <f>IF(DG41=0,0,(DH41-DG41)/DG41*100)</f>
        <v>0</v>
      </c>
      <c r="DJ41" s="1426"/>
      <c r="DK41" s="1426"/>
      <c r="DL41" s="998">
        <f>IF(DJ41=0,0,(DK41-DJ41)/DJ41*100)</f>
        <v>0</v>
      </c>
      <c r="DM41" s="1426"/>
      <c r="DN41" s="1426"/>
      <c r="DO41" s="998">
        <f>IF(DM41=0,0,(DN41-DM41)/DM41*100)</f>
        <v>0</v>
      </c>
      <c r="DP41" s="1426"/>
      <c r="DQ41" s="1426"/>
      <c r="DR41" s="998">
        <f>IF(DP41=0,0,(DQ41-DP41)/DP41*100)</f>
        <v>0</v>
      </c>
      <c r="DS41" s="1426"/>
      <c r="DT41" s="1426"/>
      <c r="DU41" s="998">
        <f>IF(DS41=0,0,(DT41-DS41)/DS41*100)</f>
        <v>0</v>
      </c>
      <c r="DV41" s="1426"/>
      <c r="DW41" s="1426"/>
      <c r="DX41" s="998">
        <f>IF(DV41=0,0,(DW41-DV41)/DV41*100)</f>
        <v>0</v>
      </c>
      <c r="DY41" s="1426"/>
      <c r="DZ41" s="1426"/>
      <c r="EA41" s="998">
        <f>IF(DY41=0,0,(DZ41-DY41)/DY41*100)</f>
        <v>0</v>
      </c>
      <c r="EB41" s="1426"/>
      <c r="EC41" s="1426"/>
      <c r="ED41" s="998">
        <f>IF(EB41=0,0,(EC41-EB41)/EB41*100)</f>
        <v>0</v>
      </c>
      <c r="EE41" s="1426"/>
      <c r="EF41" s="1426"/>
      <c r="EG41" s="998">
        <f>IF(EE41=0,0,(EF41-EE41)/EE41*100)</f>
        <v>0</v>
      </c>
      <c r="EH41" s="1426"/>
      <c r="EI41" s="1426"/>
      <c r="EJ41" s="998">
        <f>IF(EH41=0,0,(EI41-EH41)/EH41*100)</f>
        <v>0</v>
      </c>
      <c r="EK41" s="1426"/>
      <c r="EL41" s="1426"/>
      <c r="EM41" s="998">
        <f>IF(EK41=0,0,(EL41-EK41)/EK41*100)</f>
        <v>0</v>
      </c>
      <c r="EN41" s="1426"/>
      <c r="EO41" s="1426"/>
      <c r="EP41" s="998">
        <f>IF(EN41=0,0,(EO41-EN41)/EN41*100)</f>
        <v>0</v>
      </c>
      <c r="EQ41" s="1426"/>
      <c r="ER41" s="1426"/>
      <c r="ES41" s="998">
        <f>IF(EQ41=0,0,(ER41-EQ41)/EQ41*100)</f>
        <v>0</v>
      </c>
      <c r="ET41" s="1426"/>
      <c r="EU41" s="1426"/>
      <c r="EV41" s="998">
        <f>IF(ET41=0,0,(EU41-ET41)/ET41*100)</f>
        <v>0</v>
      </c>
      <c r="EW41" s="1426"/>
      <c r="EX41" s="1426"/>
      <c r="EY41" s="998">
        <f>IF(EW41=0,0,(EX41-EW41)/EW41*100)</f>
        <v>0</v>
      </c>
      <c r="EZ41" s="1426"/>
      <c r="FA41" s="1426"/>
      <c r="FB41" s="998">
        <f>IF(EZ41=0,0,(FA41-EZ41)/EZ41*100)</f>
        <v>0</v>
      </c>
      <c r="FC41" s="1426"/>
      <c r="FD41" s="1426"/>
      <c r="FE41" s="998">
        <f>IF(FC41=0,0,(FD41-FC41)/FC41*100)</f>
        <v>0</v>
      </c>
      <c r="FF41" s="1426"/>
      <c r="FG41" s="1426"/>
      <c r="FH41" s="998">
        <f>IF(FF41=0,0,(FG41-FF41)/FF41*100)</f>
        <v>0</v>
      </c>
      <c r="FI41" s="1426"/>
      <c r="FJ41" s="1426"/>
      <c r="FK41" s="998">
        <f>IF(FI41=0,0,(FJ41-FI41)/FI41*100)</f>
        <v>0</v>
      </c>
      <c r="FL41" s="1426"/>
      <c r="FM41" s="1426"/>
      <c r="FN41" s="998">
        <f>IF(FL41=0,0,(FM41-FL41)/FL41*100)</f>
        <v>0</v>
      </c>
      <c r="FO41" s="1426"/>
      <c r="FP41" s="1426"/>
      <c r="FQ41" s="998">
        <f>IF(FO41=0,0,(FP41-FO41)/FO41*100)</f>
        <v>0</v>
      </c>
      <c r="FR41" s="1426"/>
      <c r="FS41" s="1426"/>
      <c r="FT41" s="998">
        <f>IF(FR41=0,0,(FS41-FR41)/FR41*100)</f>
        <v>0</v>
      </c>
      <c r="FU41" s="1426"/>
      <c r="FV41" s="1426"/>
      <c r="FW41" s="998">
        <f>IF(FU41=0,0,(FV41-FU41)/FU41*100)</f>
        <v>0</v>
      </c>
      <c r="FX41" s="208"/>
      <c r="FZ41" s="957" t="s">
        <v>1478</v>
      </c>
    </row>
    <row r="42" spans="1:186" ht="18.2" hidden="1" customHeight="1">
      <c r="A42" s="409"/>
      <c r="B42" s="830" t="b" cm="1">
        <f t="array" ref="B42">B41</f>
        <v>0</v>
      </c>
      <c r="C42" s="409"/>
      <c r="D42" s="409"/>
      <c r="E42" s="754">
        <v>18.75</v>
      </c>
      <c r="F42" s="3" cm="1">
        <f t="array" aca="1" ref="F42" ca="1">OFFSET(E42,-1,1)</f>
        <v>0</v>
      </c>
      <c r="G42" s="409"/>
      <c r="H42" s="409" t="s">
        <v>427</v>
      </c>
      <c r="I42" s="409" cm="1">
        <f t="array" ref="I42">AB42</f>
        <v>0</v>
      </c>
      <c r="J42" s="409"/>
      <c r="K42" s="409"/>
      <c r="L42" s="409"/>
      <c r="M42" s="409"/>
      <c r="N42" s="409"/>
      <c r="O42" s="409"/>
      <c r="P42" s="409"/>
      <c r="Q42" s="806"/>
      <c r="R42" s="409"/>
      <c r="S42" s="409"/>
      <c r="T42" s="381" t="b">
        <f ca="1">AND(F42&gt;0,Y42&gt;0)</f>
        <v>0</v>
      </c>
      <c r="U42" s="409"/>
      <c r="V42" s="409"/>
      <c r="W42" s="409" t="s">
        <v>173</v>
      </c>
      <c r="X42" s="1787"/>
      <c r="Y42" s="1787">
        <v>0</v>
      </c>
      <c r="Z42" s="1734"/>
      <c r="AA42" s="1681" t="s">
        <v>174</v>
      </c>
      <c r="AB42" s="1427"/>
      <c r="AC42" s="778" t="s">
        <v>1454</v>
      </c>
      <c r="AD42" s="1428"/>
      <c r="AE42" s="1429"/>
      <c r="AF42" s="996">
        <f>IF(AD42=0,0,(AE42-AD42)/AD42*100)</f>
        <v>0</v>
      </c>
      <c r="AG42" s="1428"/>
      <c r="AH42" s="1429"/>
      <c r="AI42" s="996">
        <f>IF(AG42=0,0,(AH42-AG42)/AG42*100)</f>
        <v>0</v>
      </c>
      <c r="AJ42" s="1428"/>
      <c r="AK42" s="1429"/>
      <c r="AL42" s="996">
        <f>IF(AJ42=0,0,(AK42-AJ42)/AJ42*100)</f>
        <v>0</v>
      </c>
      <c r="AM42" s="1428"/>
      <c r="AN42" s="1429"/>
      <c r="AO42" s="996">
        <f>IF(AM42=0,0,(AN42-AM42)/AM42*100)</f>
        <v>0</v>
      </c>
      <c r="AP42" s="1428"/>
      <c r="AQ42" s="1429"/>
      <c r="AR42" s="996">
        <f>IF(AP42=0,0,(AQ42-AP42)/AP42*100)</f>
        <v>0</v>
      </c>
      <c r="AS42" s="1428"/>
      <c r="AT42" s="1429"/>
      <c r="AU42" s="996">
        <f>IF(AS42=0,0,(AT42-AS42)/AS42*100)</f>
        <v>0</v>
      </c>
      <c r="AV42" s="1428"/>
      <c r="AW42" s="1429"/>
      <c r="AX42" s="996">
        <f>IF(AV42=0,0,(AW42-AV42)/AV42*100)</f>
        <v>0</v>
      </c>
      <c r="AY42" s="1428"/>
      <c r="AZ42" s="1429"/>
      <c r="BA42" s="996">
        <f>IF(AY42=0,0,(AZ42-AY42)/AY42*100)</f>
        <v>0</v>
      </c>
      <c r="BB42" s="1428"/>
      <c r="BC42" s="1429"/>
      <c r="BD42" s="996">
        <f>IF(BB42=0,0,(BC42-BB42)/BB42*100)</f>
        <v>0</v>
      </c>
      <c r="BE42" s="1428"/>
      <c r="BF42" s="1429"/>
      <c r="BG42" s="996">
        <f>IF(BE42=0,0,(BF42-BE42)/BE42*100)</f>
        <v>0</v>
      </c>
      <c r="BH42" s="1428"/>
      <c r="BI42" s="1429"/>
      <c r="BJ42" s="996">
        <f>IF(BH42=0,0,(BI42-BH42)/BH42*100)</f>
        <v>0</v>
      </c>
      <c r="BK42" s="1428"/>
      <c r="BL42" s="1429"/>
      <c r="BM42" s="996">
        <f>IF(BK42=0,0,(BL42-BK42)/BK42*100)</f>
        <v>0</v>
      </c>
      <c r="BN42" s="1428"/>
      <c r="BO42" s="1429"/>
      <c r="BP42" s="996">
        <f>IF(BN42=0,0,(BO42-BN42)/BN42*100)</f>
        <v>0</v>
      </c>
      <c r="BQ42" s="1428"/>
      <c r="BR42" s="1429"/>
      <c r="BS42" s="996">
        <f>IF(BQ42=0,0,(BR42-BQ42)/BQ42*100)</f>
        <v>0</v>
      </c>
      <c r="BT42" s="1428"/>
      <c r="BU42" s="1429"/>
      <c r="BV42" s="996">
        <f>IF(BT42=0,0,(BU42-BT42)/BT42*100)</f>
        <v>0</v>
      </c>
      <c r="BW42" s="1428"/>
      <c r="BX42" s="1429"/>
      <c r="BY42" s="996">
        <f>IF(BW42=0,0,(BX42-BW42)/BW42*100)</f>
        <v>0</v>
      </c>
      <c r="BZ42" s="1428"/>
      <c r="CA42" s="1429"/>
      <c r="CB42" s="996">
        <f>IF(BZ42=0,0,(CA42-BZ42)/BZ42*100)</f>
        <v>0</v>
      </c>
      <c r="CC42" s="1428"/>
      <c r="CD42" s="1429"/>
      <c r="CE42" s="996">
        <f>IF(CC42=0,0,(CD42-CC42)/CC42*100)</f>
        <v>0</v>
      </c>
      <c r="CF42" s="1428"/>
      <c r="CG42" s="1429"/>
      <c r="CH42" s="996">
        <f>IF(CF42=0,0,(CG42-CF42)/CF42*100)</f>
        <v>0</v>
      </c>
      <c r="CI42" s="1428"/>
      <c r="CJ42" s="1429"/>
      <c r="CK42" s="996">
        <f>IF(CI42=0,0,(CJ42-CI42)/CI42*100)</f>
        <v>0</v>
      </c>
      <c r="CL42" s="1428"/>
      <c r="CM42" s="1429"/>
      <c r="CN42" s="996">
        <f>IF(CL42=0,0,(CM42-CL42)/CL42*100)</f>
        <v>0</v>
      </c>
      <c r="CO42" s="1428"/>
      <c r="CP42" s="1429"/>
      <c r="CQ42" s="996">
        <f>IF(CO42=0,0,(CP42-CO42)/CO42*100)</f>
        <v>0</v>
      </c>
      <c r="CR42" s="1428"/>
      <c r="CS42" s="1429"/>
      <c r="CT42" s="996">
        <f>IF(CR42=0,0,(CS42-CR42)/CR42*100)</f>
        <v>0</v>
      </c>
      <c r="CU42" s="1428"/>
      <c r="CV42" s="1429"/>
      <c r="CW42" s="996">
        <f>IF(CU42=0,0,(CV42-CU42)/CU42*100)</f>
        <v>0</v>
      </c>
      <c r="CX42" s="1428"/>
      <c r="CY42" s="1429"/>
      <c r="CZ42" s="996">
        <f>IF(CX42=0,0,(CY42-CX42)/CX42*100)</f>
        <v>0</v>
      </c>
      <c r="DA42" s="1428"/>
      <c r="DB42" s="1429"/>
      <c r="DC42" s="996">
        <f>IF(DA42=0,0,(DB42-DA42)/DA42*100)</f>
        <v>0</v>
      </c>
      <c r="DD42" s="1428"/>
      <c r="DE42" s="1429"/>
      <c r="DF42" s="996">
        <f>IF(DD42=0,0,(DE42-DD42)/DD42*100)</f>
        <v>0</v>
      </c>
      <c r="DG42" s="1428"/>
      <c r="DH42" s="1429"/>
      <c r="DI42" s="996">
        <f>IF(DG42=0,0,(DH42-DG42)/DG42*100)</f>
        <v>0</v>
      </c>
      <c r="DJ42" s="1428"/>
      <c r="DK42" s="1429"/>
      <c r="DL42" s="996">
        <f>IF(DJ42=0,0,(DK42-DJ42)/DJ42*100)</f>
        <v>0</v>
      </c>
      <c r="DM42" s="1428"/>
      <c r="DN42" s="1429"/>
      <c r="DO42" s="996">
        <f>IF(DM42=0,0,(DN42-DM42)/DM42*100)</f>
        <v>0</v>
      </c>
      <c r="DP42" s="1428"/>
      <c r="DQ42" s="1429"/>
      <c r="DR42" s="996">
        <f>IF(DP42=0,0,(DQ42-DP42)/DP42*100)</f>
        <v>0</v>
      </c>
      <c r="DS42" s="1428"/>
      <c r="DT42" s="1429"/>
      <c r="DU42" s="996">
        <f>IF(DS42=0,0,(DT42-DS42)/DS42*100)</f>
        <v>0</v>
      </c>
      <c r="DV42" s="1428"/>
      <c r="DW42" s="1429"/>
      <c r="DX42" s="996">
        <f>IF(DV42=0,0,(DW42-DV42)/DV42*100)</f>
        <v>0</v>
      </c>
      <c r="DY42" s="1428"/>
      <c r="DZ42" s="1429"/>
      <c r="EA42" s="996">
        <f>IF(DY42=0,0,(DZ42-DY42)/DY42*100)</f>
        <v>0</v>
      </c>
      <c r="EB42" s="1428"/>
      <c r="EC42" s="1429"/>
      <c r="ED42" s="996">
        <f>IF(EB42=0,0,(EC42-EB42)/EB42*100)</f>
        <v>0</v>
      </c>
      <c r="EE42" s="1428"/>
      <c r="EF42" s="1429"/>
      <c r="EG42" s="996">
        <f>IF(EE42=0,0,(EF42-EE42)/EE42*100)</f>
        <v>0</v>
      </c>
      <c r="EH42" s="1428"/>
      <c r="EI42" s="1429"/>
      <c r="EJ42" s="996">
        <f>IF(EH42=0,0,(EI42-EH42)/EH42*100)</f>
        <v>0</v>
      </c>
      <c r="EK42" s="1428"/>
      <c r="EL42" s="1429"/>
      <c r="EM42" s="996">
        <f>IF(EK42=0,0,(EL42-EK42)/EK42*100)</f>
        <v>0</v>
      </c>
      <c r="EN42" s="1428"/>
      <c r="EO42" s="1429"/>
      <c r="EP42" s="996">
        <f>IF(EN42=0,0,(EO42-EN42)/EN42*100)</f>
        <v>0</v>
      </c>
      <c r="EQ42" s="1428"/>
      <c r="ER42" s="1429"/>
      <c r="ES42" s="996">
        <f>IF(EQ42=0,0,(ER42-EQ42)/EQ42*100)</f>
        <v>0</v>
      </c>
      <c r="ET42" s="1428"/>
      <c r="EU42" s="1429"/>
      <c r="EV42" s="996">
        <f>IF(ET42=0,0,(EU42-ET42)/ET42*100)</f>
        <v>0</v>
      </c>
      <c r="EW42" s="1428"/>
      <c r="EX42" s="1429"/>
      <c r="EY42" s="996">
        <f>IF(EW42=0,0,(EX42-EW42)/EW42*100)</f>
        <v>0</v>
      </c>
      <c r="EZ42" s="1428"/>
      <c r="FA42" s="1429"/>
      <c r="FB42" s="996">
        <f>IF(EZ42=0,0,(FA42-EZ42)/EZ42*100)</f>
        <v>0</v>
      </c>
      <c r="FC42" s="1428"/>
      <c r="FD42" s="1429"/>
      <c r="FE42" s="996">
        <f>IF(FC42=0,0,(FD42-FC42)/FC42*100)</f>
        <v>0</v>
      </c>
      <c r="FF42" s="1428"/>
      <c r="FG42" s="1429"/>
      <c r="FH42" s="996">
        <f>IF(FF42=0,0,(FG42-FF42)/FF42*100)</f>
        <v>0</v>
      </c>
      <c r="FI42" s="1428"/>
      <c r="FJ42" s="1429"/>
      <c r="FK42" s="996">
        <f>IF(FI42=0,0,(FJ42-FI42)/FI42*100)</f>
        <v>0</v>
      </c>
      <c r="FL42" s="1428"/>
      <c r="FM42" s="1429"/>
      <c r="FN42" s="996">
        <f>IF(FL42=0,0,(FM42-FL42)/FL42*100)</f>
        <v>0</v>
      </c>
      <c r="FO42" s="1428"/>
      <c r="FP42" s="1429"/>
      <c r="FQ42" s="996">
        <f>IF(FO42=0,0,(FP42-FO42)/FO42*100)</f>
        <v>0</v>
      </c>
      <c r="FR42" s="1428"/>
      <c r="FS42" s="1429"/>
      <c r="FT42" s="996">
        <f>IF(FR42=0,0,(FS42-FR42)/FR42*100)</f>
        <v>0</v>
      </c>
      <c r="FU42" s="1428"/>
      <c r="FV42" s="1429"/>
      <c r="FW42" s="996">
        <f>IF(FU42=0,0,(FV42-FU42)/FU42*100)</f>
        <v>0</v>
      </c>
      <c r="FX42" s="208"/>
      <c r="FZ42" s="957" t="s">
        <v>1479</v>
      </c>
      <c r="GA42" s="917" t="s">
        <v>1480</v>
      </c>
      <c r="GB42" s="917" cm="1">
        <f t="array" ref="GB42">AB42</f>
        <v>0</v>
      </c>
      <c r="GD42" s="549" t="b">
        <v>1</v>
      </c>
    </row>
    <row r="43" spans="1:186" ht="14.65" hidden="1" customHeight="1">
      <c r="A43" s="409"/>
      <c r="B43" s="830" t="b" cm="1">
        <f t="array" ref="B43">B42</f>
        <v>0</v>
      </c>
      <c r="C43" s="409"/>
      <c r="D43" s="409"/>
      <c r="E43" s="754">
        <v>15</v>
      </c>
      <c r="F43" s="3" cm="1">
        <f t="array" aca="1" ref="F43" ca="1">OFFSET(E43,-1,1)</f>
        <v>0</v>
      </c>
      <c r="G43" s="409"/>
      <c r="H43" s="409" t="s">
        <v>434</v>
      </c>
      <c r="I43" s="409" cm="1">
        <f t="array" ref="I43">I42</f>
        <v>0</v>
      </c>
      <c r="J43" s="409"/>
      <c r="K43" s="409"/>
      <c r="L43" s="409"/>
      <c r="M43" s="409"/>
      <c r="N43" s="409"/>
      <c r="O43" s="409"/>
      <c r="P43" s="409"/>
      <c r="Q43" s="806"/>
      <c r="R43" s="409"/>
      <c r="S43" s="409"/>
      <c r="T43" s="381" t="b" cm="1">
        <f t="array" aca="1" ref="T43" ca="1">T42</f>
        <v>0</v>
      </c>
      <c r="U43" s="409"/>
      <c r="V43" s="409"/>
      <c r="W43" s="409"/>
      <c r="X43" s="1787"/>
      <c r="Y43" s="1787"/>
      <c r="Z43" s="1734"/>
      <c r="AA43" s="1681"/>
      <c r="AB43" s="809" t="s">
        <v>1481</v>
      </c>
      <c r="AC43" s="216" t="s">
        <v>499</v>
      </c>
      <c r="AD43" s="1426"/>
      <c r="AE43" s="1426"/>
      <c r="AF43" s="998">
        <f>IF(AD43=0,0,(AE43-AD43)/AD43*100)</f>
        <v>0</v>
      </c>
      <c r="AG43" s="1426"/>
      <c r="AH43" s="1426"/>
      <c r="AI43" s="998">
        <f>IF(AG43=0,0,(AH43-AG43)/AG43*100)</f>
        <v>0</v>
      </c>
      <c r="AJ43" s="1426"/>
      <c r="AK43" s="1426"/>
      <c r="AL43" s="998">
        <f>IF(AJ43=0,0,(AK43-AJ43)/AJ43*100)</f>
        <v>0</v>
      </c>
      <c r="AM43" s="1426"/>
      <c r="AN43" s="1426"/>
      <c r="AO43" s="998">
        <f>IF(AM43=0,0,(AN43-AM43)/AM43*100)</f>
        <v>0</v>
      </c>
      <c r="AP43" s="1426"/>
      <c r="AQ43" s="1426"/>
      <c r="AR43" s="998">
        <f>IF(AP43=0,0,(AQ43-AP43)/AP43*100)</f>
        <v>0</v>
      </c>
      <c r="AS43" s="1426"/>
      <c r="AT43" s="1426"/>
      <c r="AU43" s="998">
        <f>IF(AS43=0,0,(AT43-AS43)/AS43*100)</f>
        <v>0</v>
      </c>
      <c r="AV43" s="1426"/>
      <c r="AW43" s="1426"/>
      <c r="AX43" s="998">
        <f>IF(AV43=0,0,(AW43-AV43)/AV43*100)</f>
        <v>0</v>
      </c>
      <c r="AY43" s="1426"/>
      <c r="AZ43" s="1426"/>
      <c r="BA43" s="998">
        <f>IF(AY43=0,0,(AZ43-AY43)/AY43*100)</f>
        <v>0</v>
      </c>
      <c r="BB43" s="1426"/>
      <c r="BC43" s="1426"/>
      <c r="BD43" s="998">
        <f>IF(BB43=0,0,(BC43-BB43)/BB43*100)</f>
        <v>0</v>
      </c>
      <c r="BE43" s="1426"/>
      <c r="BF43" s="1426"/>
      <c r="BG43" s="998">
        <f>IF(BE43=0,0,(BF43-BE43)/BE43*100)</f>
        <v>0</v>
      </c>
      <c r="BH43" s="1426"/>
      <c r="BI43" s="1426"/>
      <c r="BJ43" s="998">
        <f>IF(BH43=0,0,(BI43-BH43)/BH43*100)</f>
        <v>0</v>
      </c>
      <c r="BK43" s="1426"/>
      <c r="BL43" s="1426"/>
      <c r="BM43" s="998">
        <f>IF(BK43=0,0,(BL43-BK43)/BK43*100)</f>
        <v>0</v>
      </c>
      <c r="BN43" s="1426"/>
      <c r="BO43" s="1426"/>
      <c r="BP43" s="998">
        <f>IF(BN43=0,0,(BO43-BN43)/BN43*100)</f>
        <v>0</v>
      </c>
      <c r="BQ43" s="1426"/>
      <c r="BR43" s="1426"/>
      <c r="BS43" s="998">
        <f>IF(BQ43=0,0,(BR43-BQ43)/BQ43*100)</f>
        <v>0</v>
      </c>
      <c r="BT43" s="1426"/>
      <c r="BU43" s="1426"/>
      <c r="BV43" s="998">
        <f>IF(BT43=0,0,(BU43-BT43)/BT43*100)</f>
        <v>0</v>
      </c>
      <c r="BW43" s="1426"/>
      <c r="BX43" s="1426"/>
      <c r="BY43" s="998">
        <f>IF(BW43=0,0,(BX43-BW43)/BW43*100)</f>
        <v>0</v>
      </c>
      <c r="BZ43" s="1426"/>
      <c r="CA43" s="1426"/>
      <c r="CB43" s="998">
        <f>IF(BZ43=0,0,(CA43-BZ43)/BZ43*100)</f>
        <v>0</v>
      </c>
      <c r="CC43" s="1426"/>
      <c r="CD43" s="1426"/>
      <c r="CE43" s="998">
        <f>IF(CC43=0,0,(CD43-CC43)/CC43*100)</f>
        <v>0</v>
      </c>
      <c r="CF43" s="1426"/>
      <c r="CG43" s="1426"/>
      <c r="CH43" s="998">
        <f>IF(CF43=0,0,(CG43-CF43)/CF43*100)</f>
        <v>0</v>
      </c>
      <c r="CI43" s="1426"/>
      <c r="CJ43" s="1426"/>
      <c r="CK43" s="998">
        <f>IF(CI43=0,0,(CJ43-CI43)/CI43*100)</f>
        <v>0</v>
      </c>
      <c r="CL43" s="1426"/>
      <c r="CM43" s="1426"/>
      <c r="CN43" s="998">
        <f>IF(CL43=0,0,(CM43-CL43)/CL43*100)</f>
        <v>0</v>
      </c>
      <c r="CO43" s="1426"/>
      <c r="CP43" s="1426"/>
      <c r="CQ43" s="998">
        <f>IF(CO43=0,0,(CP43-CO43)/CO43*100)</f>
        <v>0</v>
      </c>
      <c r="CR43" s="1426"/>
      <c r="CS43" s="1426"/>
      <c r="CT43" s="998">
        <f>IF(CR43=0,0,(CS43-CR43)/CR43*100)</f>
        <v>0</v>
      </c>
      <c r="CU43" s="1426"/>
      <c r="CV43" s="1426"/>
      <c r="CW43" s="998">
        <f>IF(CU43=0,0,(CV43-CU43)/CU43*100)</f>
        <v>0</v>
      </c>
      <c r="CX43" s="1426"/>
      <c r="CY43" s="1426"/>
      <c r="CZ43" s="998">
        <f>IF(CX43=0,0,(CY43-CX43)/CX43*100)</f>
        <v>0</v>
      </c>
      <c r="DA43" s="1426"/>
      <c r="DB43" s="1426"/>
      <c r="DC43" s="998">
        <f>IF(DA43=0,0,(DB43-DA43)/DA43*100)</f>
        <v>0</v>
      </c>
      <c r="DD43" s="1426"/>
      <c r="DE43" s="1426"/>
      <c r="DF43" s="998">
        <f>IF(DD43=0,0,(DE43-DD43)/DD43*100)</f>
        <v>0</v>
      </c>
      <c r="DG43" s="1426"/>
      <c r="DH43" s="1426"/>
      <c r="DI43" s="998">
        <f>IF(DG43=0,0,(DH43-DG43)/DG43*100)</f>
        <v>0</v>
      </c>
      <c r="DJ43" s="1426"/>
      <c r="DK43" s="1426"/>
      <c r="DL43" s="998">
        <f>IF(DJ43=0,0,(DK43-DJ43)/DJ43*100)</f>
        <v>0</v>
      </c>
      <c r="DM43" s="1426"/>
      <c r="DN43" s="1426"/>
      <c r="DO43" s="998">
        <f>IF(DM43=0,0,(DN43-DM43)/DM43*100)</f>
        <v>0</v>
      </c>
      <c r="DP43" s="1426"/>
      <c r="DQ43" s="1426"/>
      <c r="DR43" s="998">
        <f>IF(DP43=0,0,(DQ43-DP43)/DP43*100)</f>
        <v>0</v>
      </c>
      <c r="DS43" s="1426"/>
      <c r="DT43" s="1426"/>
      <c r="DU43" s="998">
        <f>IF(DS43=0,0,(DT43-DS43)/DS43*100)</f>
        <v>0</v>
      </c>
      <c r="DV43" s="1426"/>
      <c r="DW43" s="1426"/>
      <c r="DX43" s="998">
        <f>IF(DV43=0,0,(DW43-DV43)/DV43*100)</f>
        <v>0</v>
      </c>
      <c r="DY43" s="1426"/>
      <c r="DZ43" s="1426"/>
      <c r="EA43" s="998">
        <f>IF(DY43=0,0,(DZ43-DY43)/DY43*100)</f>
        <v>0</v>
      </c>
      <c r="EB43" s="1426"/>
      <c r="EC43" s="1426"/>
      <c r="ED43" s="998">
        <f>IF(EB43=0,0,(EC43-EB43)/EB43*100)</f>
        <v>0</v>
      </c>
      <c r="EE43" s="1426"/>
      <c r="EF43" s="1426"/>
      <c r="EG43" s="998">
        <f>IF(EE43=0,0,(EF43-EE43)/EE43*100)</f>
        <v>0</v>
      </c>
      <c r="EH43" s="1426"/>
      <c r="EI43" s="1426"/>
      <c r="EJ43" s="998">
        <f>IF(EH43=0,0,(EI43-EH43)/EH43*100)</f>
        <v>0</v>
      </c>
      <c r="EK43" s="1426"/>
      <c r="EL43" s="1426"/>
      <c r="EM43" s="998">
        <f>IF(EK43=0,0,(EL43-EK43)/EK43*100)</f>
        <v>0</v>
      </c>
      <c r="EN43" s="1426"/>
      <c r="EO43" s="1426"/>
      <c r="EP43" s="998">
        <f>IF(EN43=0,0,(EO43-EN43)/EN43*100)</f>
        <v>0</v>
      </c>
      <c r="EQ43" s="1426"/>
      <c r="ER43" s="1426"/>
      <c r="ES43" s="998">
        <f>IF(EQ43=0,0,(ER43-EQ43)/EQ43*100)</f>
        <v>0</v>
      </c>
      <c r="ET43" s="1426"/>
      <c r="EU43" s="1426"/>
      <c r="EV43" s="998">
        <f>IF(ET43=0,0,(EU43-ET43)/ET43*100)</f>
        <v>0</v>
      </c>
      <c r="EW43" s="1426"/>
      <c r="EX43" s="1426"/>
      <c r="EY43" s="998">
        <f>IF(EW43=0,0,(EX43-EW43)/EW43*100)</f>
        <v>0</v>
      </c>
      <c r="EZ43" s="1426"/>
      <c r="FA43" s="1426"/>
      <c r="FB43" s="998">
        <f>IF(EZ43=0,0,(FA43-EZ43)/EZ43*100)</f>
        <v>0</v>
      </c>
      <c r="FC43" s="1426"/>
      <c r="FD43" s="1426"/>
      <c r="FE43" s="998">
        <f>IF(FC43=0,0,(FD43-FC43)/FC43*100)</f>
        <v>0</v>
      </c>
      <c r="FF43" s="1426"/>
      <c r="FG43" s="1426"/>
      <c r="FH43" s="998">
        <f>IF(FF43=0,0,(FG43-FF43)/FF43*100)</f>
        <v>0</v>
      </c>
      <c r="FI43" s="1426"/>
      <c r="FJ43" s="1426"/>
      <c r="FK43" s="998">
        <f>IF(FI43=0,0,(FJ43-FI43)/FI43*100)</f>
        <v>0</v>
      </c>
      <c r="FL43" s="1426"/>
      <c r="FM43" s="1426"/>
      <c r="FN43" s="998">
        <f>IF(FL43=0,0,(FM43-FL43)/FL43*100)</f>
        <v>0</v>
      </c>
      <c r="FO43" s="1426"/>
      <c r="FP43" s="1426"/>
      <c r="FQ43" s="998">
        <f>IF(FO43=0,0,(FP43-FO43)/FO43*100)</f>
        <v>0</v>
      </c>
      <c r="FR43" s="1426"/>
      <c r="FS43" s="1426"/>
      <c r="FT43" s="998">
        <f>IF(FR43=0,0,(FS43-FR43)/FR43*100)</f>
        <v>0</v>
      </c>
      <c r="FU43" s="1426"/>
      <c r="FV43" s="1426"/>
      <c r="FW43" s="998">
        <f>IF(FU43=0,0,(FV43-FU43)/FU43*100)</f>
        <v>0</v>
      </c>
      <c r="FX43" s="208"/>
      <c r="FZ43" s="957" t="s">
        <v>1482</v>
      </c>
      <c r="GA43" s="917" t="s">
        <v>1480</v>
      </c>
      <c r="GB43" s="917" cm="1">
        <f t="array" ref="GB43">GB42</f>
        <v>0</v>
      </c>
    </row>
    <row r="44" spans="1:186" ht="14.65" hidden="1" customHeight="1">
      <c r="A44" s="409"/>
      <c r="B44" s="830" t="b" cm="1">
        <f t="array" ref="B44">B43</f>
        <v>0</v>
      </c>
      <c r="C44" s="409"/>
      <c r="D44" s="409"/>
      <c r="E44" s="754">
        <v>15</v>
      </c>
      <c r="F44" s="3" cm="1">
        <f t="array" aca="1" ref="F44" ca="1">OFFSET(E44,-1,1)</f>
        <v>0</v>
      </c>
      <c r="G44" s="409"/>
      <c r="H44" s="409"/>
      <c r="I44" s="17" t="s">
        <v>1483</v>
      </c>
      <c r="J44" s="409"/>
      <c r="K44" s="409"/>
      <c r="L44" s="409"/>
      <c r="M44" s="409"/>
      <c r="N44" s="409"/>
      <c r="O44" s="409"/>
      <c r="P44" s="409"/>
      <c r="Q44" s="409"/>
      <c r="R44" s="4"/>
      <c r="S44" s="409"/>
      <c r="T44" s="381" t="b">
        <f ca="1">F44&gt;0</f>
        <v>0</v>
      </c>
      <c r="U44" s="409"/>
      <c r="W44" s="671" t="s">
        <v>1484</v>
      </c>
      <c r="X44" s="1787"/>
      <c r="Z44" s="1734"/>
      <c r="AB44" s="176" t="s">
        <v>177</v>
      </c>
      <c r="AC44" s="180"/>
      <c r="AD44" s="999"/>
      <c r="AE44" s="999"/>
      <c r="AF44" s="999"/>
      <c r="AG44" s="999"/>
      <c r="AH44" s="999"/>
      <c r="AI44" s="999"/>
      <c r="AJ44" s="999"/>
      <c r="AK44" s="999"/>
      <c r="AL44" s="999"/>
      <c r="AM44" s="999"/>
      <c r="AN44" s="999"/>
      <c r="AO44" s="999"/>
      <c r="AP44" s="999"/>
      <c r="AQ44" s="999"/>
      <c r="AR44" s="999"/>
      <c r="AS44" s="999"/>
      <c r="AT44" s="999"/>
      <c r="AU44" s="999"/>
      <c r="AV44" s="999"/>
      <c r="AW44" s="999"/>
      <c r="AX44" s="999"/>
      <c r="AY44" s="999"/>
      <c r="AZ44" s="999"/>
      <c r="BA44" s="999"/>
      <c r="BB44" s="999"/>
      <c r="BC44" s="999"/>
      <c r="BD44" s="999"/>
      <c r="BE44" s="999"/>
      <c r="BF44" s="999"/>
      <c r="BG44" s="999"/>
      <c r="BH44" s="999"/>
      <c r="BI44" s="999"/>
      <c r="BJ44" s="999"/>
      <c r="BK44" s="999"/>
      <c r="BL44" s="999"/>
      <c r="BM44" s="999"/>
      <c r="BN44" s="999"/>
      <c r="BO44" s="999"/>
      <c r="BP44" s="999"/>
      <c r="BQ44" s="999"/>
      <c r="BR44" s="999"/>
      <c r="BS44" s="999"/>
      <c r="BT44" s="999"/>
      <c r="BU44" s="999"/>
      <c r="BV44" s="999"/>
      <c r="BW44" s="999"/>
      <c r="BX44" s="999"/>
      <c r="BY44" s="999"/>
      <c r="BZ44" s="999"/>
      <c r="CA44" s="999"/>
      <c r="CB44" s="999"/>
      <c r="CC44" s="999"/>
      <c r="CD44" s="999"/>
      <c r="CE44" s="999"/>
      <c r="CF44" s="999"/>
      <c r="CG44" s="999"/>
      <c r="CH44" s="999"/>
      <c r="CI44" s="999"/>
      <c r="CJ44" s="999"/>
      <c r="CK44" s="999"/>
      <c r="CL44" s="999"/>
      <c r="CM44" s="999"/>
      <c r="CN44" s="999"/>
      <c r="CO44" s="999"/>
      <c r="CP44" s="999"/>
      <c r="CQ44" s="999"/>
      <c r="CR44" s="999"/>
      <c r="CS44" s="999"/>
      <c r="CT44" s="999"/>
      <c r="CU44" s="999"/>
      <c r="CV44" s="999"/>
      <c r="CW44" s="999"/>
      <c r="CX44" s="999"/>
      <c r="CY44" s="999"/>
      <c r="CZ44" s="999"/>
      <c r="DA44" s="999"/>
      <c r="DB44" s="999"/>
      <c r="DC44" s="999"/>
      <c r="DD44" s="999"/>
      <c r="DE44" s="999"/>
      <c r="DF44" s="999"/>
      <c r="DG44" s="999"/>
      <c r="DH44" s="999"/>
      <c r="DI44" s="999"/>
      <c r="DJ44" s="999"/>
      <c r="DK44" s="999"/>
      <c r="DL44" s="999"/>
      <c r="DM44" s="999"/>
      <c r="DN44" s="999"/>
      <c r="DO44" s="999"/>
      <c r="DP44" s="999"/>
      <c r="DQ44" s="999"/>
      <c r="DR44" s="999"/>
      <c r="DS44" s="999"/>
      <c r="DT44" s="999"/>
      <c r="DU44" s="999"/>
      <c r="DV44" s="999"/>
      <c r="DW44" s="999"/>
      <c r="DX44" s="999"/>
      <c r="DY44" s="999"/>
      <c r="DZ44" s="999"/>
      <c r="EA44" s="999"/>
      <c r="EB44" s="999"/>
      <c r="EC44" s="999"/>
      <c r="ED44" s="999"/>
      <c r="EE44" s="999"/>
      <c r="EF44" s="999"/>
      <c r="EG44" s="999"/>
      <c r="EH44" s="999"/>
      <c r="EI44" s="999"/>
      <c r="EJ44" s="999"/>
      <c r="EK44" s="999"/>
      <c r="EL44" s="999"/>
      <c r="EM44" s="999"/>
      <c r="EN44" s="999"/>
      <c r="EO44" s="999"/>
      <c r="EP44" s="999"/>
      <c r="EQ44" s="999"/>
      <c r="ER44" s="999"/>
      <c r="ES44" s="999"/>
      <c r="ET44" s="999"/>
      <c r="EU44" s="999"/>
      <c r="EV44" s="999"/>
      <c r="EW44" s="999"/>
      <c r="EX44" s="999"/>
      <c r="EY44" s="999"/>
      <c r="EZ44" s="999"/>
      <c r="FA44" s="999"/>
      <c r="FB44" s="999"/>
      <c r="FC44" s="999"/>
      <c r="FD44" s="999"/>
      <c r="FE44" s="999"/>
      <c r="FF44" s="999"/>
      <c r="FG44" s="999"/>
      <c r="FH44" s="999"/>
      <c r="FI44" s="999"/>
      <c r="FJ44" s="999"/>
      <c r="FK44" s="999"/>
      <c r="FL44" s="999"/>
      <c r="FM44" s="999"/>
      <c r="FN44" s="999"/>
      <c r="FO44" s="999"/>
      <c r="FP44" s="999"/>
      <c r="FQ44" s="999"/>
      <c r="FR44" s="999"/>
      <c r="FS44" s="999"/>
      <c r="FT44" s="999"/>
      <c r="FU44" s="999"/>
      <c r="FV44" s="999"/>
      <c r="FW44" s="1000"/>
      <c r="FZ44" s="957" t="s">
        <v>231</v>
      </c>
      <c r="GC44" s="549" t="s">
        <v>1480</v>
      </c>
    </row>
    <row r="45" spans="1:186" ht="14.65" hidden="1" customHeight="1">
      <c r="A45" s="409"/>
      <c r="B45" s="830" t="b">
        <f>AND(R29="двухставочный",NOT(S29))</f>
        <v>0</v>
      </c>
      <c r="C45" s="409"/>
      <c r="D45" s="409"/>
      <c r="E45" s="754">
        <v>15</v>
      </c>
      <c r="F45" s="3" cm="1">
        <f t="array" aca="1" ref="F45" ca="1">OFFSET(E45,-1,1)</f>
        <v>0</v>
      </c>
      <c r="G45" s="409"/>
      <c r="H45" s="409"/>
      <c r="I45" s="409"/>
      <c r="J45" s="409"/>
      <c r="K45" s="409"/>
      <c r="L45" s="409"/>
      <c r="M45" s="409"/>
      <c r="N45" s="409"/>
      <c r="O45" s="409"/>
      <c r="P45" s="409"/>
      <c r="Q45" s="409"/>
      <c r="R45" s="4"/>
      <c r="S45" s="409"/>
      <c r="T45" s="381" t="b" cm="1">
        <f t="array" aca="1" ref="T45" ca="1">T44</f>
        <v>0</v>
      </c>
      <c r="U45" s="409"/>
      <c r="V45" s="409"/>
      <c r="W45" s="409"/>
      <c r="X45" s="1787"/>
      <c r="Y45" s="409"/>
      <c r="Z45" s="1734"/>
      <c r="AA45" s="409"/>
      <c r="AB45" s="803" t="s">
        <v>1485</v>
      </c>
      <c r="AC45" s="804"/>
      <c r="AD45" s="1001"/>
      <c r="AE45" s="1001"/>
      <c r="AF45" s="1001"/>
      <c r="AG45" s="1001"/>
      <c r="AH45" s="1001"/>
      <c r="AI45" s="1001"/>
      <c r="AJ45" s="1001"/>
      <c r="AK45" s="1001"/>
      <c r="AL45" s="1001"/>
      <c r="AM45" s="1001"/>
      <c r="AN45" s="1001"/>
      <c r="AO45" s="1001"/>
      <c r="AP45" s="1001"/>
      <c r="AQ45" s="1001"/>
      <c r="AR45" s="1001"/>
      <c r="AS45" s="1001"/>
      <c r="AT45" s="1001"/>
      <c r="AU45" s="1001"/>
      <c r="AV45" s="1001"/>
      <c r="AW45" s="1001"/>
      <c r="AX45" s="1001"/>
      <c r="AY45" s="1001"/>
      <c r="AZ45" s="1001"/>
      <c r="BA45" s="1001"/>
      <c r="BB45" s="1001"/>
      <c r="BC45" s="1001"/>
      <c r="BD45" s="1001"/>
      <c r="BE45" s="1001"/>
      <c r="BF45" s="1001"/>
      <c r="BG45" s="1001"/>
      <c r="BH45" s="1001"/>
      <c r="BI45" s="1001"/>
      <c r="BJ45" s="1001"/>
      <c r="BK45" s="1001"/>
      <c r="BL45" s="1001"/>
      <c r="BM45" s="1001"/>
      <c r="BN45" s="1001"/>
      <c r="BO45" s="1001"/>
      <c r="BP45" s="1001"/>
      <c r="BQ45" s="1001"/>
      <c r="BR45" s="1001"/>
      <c r="BS45" s="1001"/>
      <c r="BT45" s="1001"/>
      <c r="BU45" s="1001"/>
      <c r="BV45" s="1001"/>
      <c r="BW45" s="1001"/>
      <c r="BX45" s="1001"/>
      <c r="BY45" s="1001"/>
      <c r="BZ45" s="1001"/>
      <c r="CA45" s="1001"/>
      <c r="CB45" s="1001"/>
      <c r="CC45" s="1001"/>
      <c r="CD45" s="1001"/>
      <c r="CE45" s="1001"/>
      <c r="CF45" s="1001"/>
      <c r="CG45" s="1001"/>
      <c r="CH45" s="1001"/>
      <c r="CI45" s="1001"/>
      <c r="CJ45" s="1001"/>
      <c r="CK45" s="1001"/>
      <c r="CL45" s="1001"/>
      <c r="CM45" s="1001"/>
      <c r="CN45" s="1001"/>
      <c r="CO45" s="1001"/>
      <c r="CP45" s="1001"/>
      <c r="CQ45" s="1001"/>
      <c r="CR45" s="1001"/>
      <c r="CS45" s="1001"/>
      <c r="CT45" s="1001"/>
      <c r="CU45" s="1001"/>
      <c r="CV45" s="1001"/>
      <c r="CW45" s="1001"/>
      <c r="CX45" s="1001"/>
      <c r="CY45" s="1001"/>
      <c r="CZ45" s="1001"/>
      <c r="DA45" s="1001"/>
      <c r="DB45" s="1001"/>
      <c r="DC45" s="1001"/>
      <c r="DD45" s="1001"/>
      <c r="DE45" s="1001"/>
      <c r="DF45" s="1001"/>
      <c r="DG45" s="1001"/>
      <c r="DH45" s="1001"/>
      <c r="DI45" s="1001"/>
      <c r="DJ45" s="1001"/>
      <c r="DK45" s="1001"/>
      <c r="DL45" s="1001"/>
      <c r="DM45" s="1001"/>
      <c r="DN45" s="1001"/>
      <c r="DO45" s="1001"/>
      <c r="DP45" s="1001"/>
      <c r="DQ45" s="1001"/>
      <c r="DR45" s="1001"/>
      <c r="DS45" s="1001"/>
      <c r="DT45" s="1001"/>
      <c r="DU45" s="1001"/>
      <c r="DV45" s="1001"/>
      <c r="DW45" s="1001"/>
      <c r="DX45" s="1001"/>
      <c r="DY45" s="1001"/>
      <c r="DZ45" s="1001"/>
      <c r="EA45" s="1001"/>
      <c r="EB45" s="1001"/>
      <c r="EC45" s="1001"/>
      <c r="ED45" s="1001"/>
      <c r="EE45" s="1001"/>
      <c r="EF45" s="1001"/>
      <c r="EG45" s="1001"/>
      <c r="EH45" s="1001"/>
      <c r="EI45" s="1001"/>
      <c r="EJ45" s="1001"/>
      <c r="EK45" s="1001"/>
      <c r="EL45" s="1001"/>
      <c r="EM45" s="1001"/>
      <c r="EN45" s="1001"/>
      <c r="EO45" s="1001"/>
      <c r="EP45" s="1001"/>
      <c r="EQ45" s="1001"/>
      <c r="ER45" s="1001"/>
      <c r="ES45" s="1001"/>
      <c r="ET45" s="1001"/>
      <c r="EU45" s="1001"/>
      <c r="EV45" s="1001"/>
      <c r="EW45" s="1001"/>
      <c r="EX45" s="1001"/>
      <c r="EY45" s="1001"/>
      <c r="EZ45" s="1001"/>
      <c r="FA45" s="1001"/>
      <c r="FB45" s="1001"/>
      <c r="FC45" s="1001"/>
      <c r="FD45" s="1001"/>
      <c r="FE45" s="1001"/>
      <c r="FF45" s="1001"/>
      <c r="FG45" s="1001"/>
      <c r="FH45" s="1001"/>
      <c r="FI45" s="1001"/>
      <c r="FJ45" s="1001"/>
      <c r="FK45" s="1001"/>
      <c r="FL45" s="1001"/>
      <c r="FM45" s="1001"/>
      <c r="FN45" s="1001"/>
      <c r="FO45" s="1001"/>
      <c r="FP45" s="1001"/>
      <c r="FQ45" s="1001"/>
      <c r="FR45" s="1001"/>
      <c r="FS45" s="1001"/>
      <c r="FT45" s="1001"/>
      <c r="FU45" s="1001"/>
      <c r="FV45" s="1001"/>
      <c r="FW45" s="1002"/>
      <c r="FZ45" s="957" t="s">
        <v>231</v>
      </c>
    </row>
    <row r="46" spans="1:186" ht="23.85" hidden="1" customHeight="1">
      <c r="A46" s="409"/>
      <c r="B46" s="830" t="b" cm="1">
        <f t="array" ref="B46">B45</f>
        <v>0</v>
      </c>
      <c r="C46" s="409"/>
      <c r="D46" s="409"/>
      <c r="E46" s="754">
        <v>24.5</v>
      </c>
      <c r="F46" s="3" cm="1">
        <f t="array" aca="1" ref="F46" ca="1">OFFSET(E46,-1,1)</f>
        <v>0</v>
      </c>
      <c r="G46" s="409"/>
      <c r="H46" s="409"/>
      <c r="I46" s="409"/>
      <c r="J46" s="409"/>
      <c r="K46" s="409"/>
      <c r="L46" s="409"/>
      <c r="M46" s="409"/>
      <c r="N46" s="409"/>
      <c r="O46" s="409"/>
      <c r="P46" s="409"/>
      <c r="Q46" s="409"/>
      <c r="R46" s="409"/>
      <c r="S46" s="409"/>
      <c r="T46" s="381" t="b" cm="1">
        <f t="array" aca="1" ref="T46" ca="1">T45</f>
        <v>0</v>
      </c>
      <c r="U46" s="409"/>
      <c r="V46" s="409"/>
      <c r="W46" s="409"/>
      <c r="X46" s="1787"/>
      <c r="Y46" s="409"/>
      <c r="Z46" s="1734"/>
      <c r="AA46" s="409"/>
      <c r="AB46" s="209" t="s">
        <v>1486</v>
      </c>
      <c r="AC46" s="810"/>
      <c r="AD46" s="1003"/>
      <c r="AE46" s="1003"/>
      <c r="AF46" s="1003"/>
      <c r="AG46" s="1003"/>
      <c r="AH46" s="1003"/>
      <c r="AI46" s="1003"/>
      <c r="AJ46" s="1003"/>
      <c r="AK46" s="1003"/>
      <c r="AL46" s="1003"/>
      <c r="AM46" s="1003"/>
      <c r="AN46" s="1003"/>
      <c r="AO46" s="1003"/>
      <c r="AP46" s="1003"/>
      <c r="AQ46" s="1003"/>
      <c r="AR46" s="1003"/>
      <c r="AS46" s="1003"/>
      <c r="AT46" s="1003"/>
      <c r="AU46" s="1003"/>
      <c r="AV46" s="1003"/>
      <c r="AW46" s="1003"/>
      <c r="AX46" s="1003"/>
      <c r="AY46" s="1003"/>
      <c r="AZ46" s="1003"/>
      <c r="BA46" s="1003"/>
      <c r="BB46" s="1003"/>
      <c r="BC46" s="1003"/>
      <c r="BD46" s="1003"/>
      <c r="BE46" s="1003"/>
      <c r="BF46" s="1003"/>
      <c r="BG46" s="1003"/>
      <c r="BH46" s="1003"/>
      <c r="BI46" s="1003"/>
      <c r="BJ46" s="1003"/>
      <c r="BK46" s="1003"/>
      <c r="BL46" s="1003"/>
      <c r="BM46" s="1003"/>
      <c r="BN46" s="1003"/>
      <c r="BO46" s="1003"/>
      <c r="BP46" s="1003"/>
      <c r="BQ46" s="1003"/>
      <c r="BR46" s="1003"/>
      <c r="BS46" s="1003"/>
      <c r="BT46" s="1003"/>
      <c r="BU46" s="1003"/>
      <c r="BV46" s="1003"/>
      <c r="BW46" s="1003"/>
      <c r="BX46" s="1003"/>
      <c r="BY46" s="1003"/>
      <c r="BZ46" s="1003"/>
      <c r="CA46" s="1003"/>
      <c r="CB46" s="1003"/>
      <c r="CC46" s="1003"/>
      <c r="CD46" s="1003"/>
      <c r="CE46" s="1003"/>
      <c r="CF46" s="1003"/>
      <c r="CG46" s="1003"/>
      <c r="CH46" s="1003"/>
      <c r="CI46" s="1003"/>
      <c r="CJ46" s="1003"/>
      <c r="CK46" s="1003"/>
      <c r="CL46" s="1003"/>
      <c r="CM46" s="1003"/>
      <c r="CN46" s="1003"/>
      <c r="CO46" s="1003"/>
      <c r="CP46" s="1003"/>
      <c r="CQ46" s="1003"/>
      <c r="CR46" s="1003"/>
      <c r="CS46" s="1003"/>
      <c r="CT46" s="1003"/>
      <c r="CU46" s="1003"/>
      <c r="CV46" s="1003"/>
      <c r="CW46" s="1003"/>
      <c r="CX46" s="1003"/>
      <c r="CY46" s="1003"/>
      <c r="CZ46" s="1003"/>
      <c r="DA46" s="1003"/>
      <c r="DB46" s="1003"/>
      <c r="DC46" s="1003"/>
      <c r="DD46" s="1003"/>
      <c r="DE46" s="1003"/>
      <c r="DF46" s="1003"/>
      <c r="DG46" s="1003"/>
      <c r="DH46" s="1003"/>
      <c r="DI46" s="1003"/>
      <c r="DJ46" s="1003"/>
      <c r="DK46" s="1003"/>
      <c r="DL46" s="1003"/>
      <c r="DM46" s="1003"/>
      <c r="DN46" s="1003"/>
      <c r="DO46" s="1003"/>
      <c r="DP46" s="1003"/>
      <c r="DQ46" s="1003"/>
      <c r="DR46" s="1003"/>
      <c r="DS46" s="1003"/>
      <c r="DT46" s="1003"/>
      <c r="DU46" s="1003"/>
      <c r="DV46" s="1003"/>
      <c r="DW46" s="1003"/>
      <c r="DX46" s="1003"/>
      <c r="DY46" s="1003"/>
      <c r="DZ46" s="1003"/>
      <c r="EA46" s="1003"/>
      <c r="EB46" s="1003"/>
      <c r="EC46" s="1003"/>
      <c r="ED46" s="1003"/>
      <c r="EE46" s="1003"/>
      <c r="EF46" s="1003"/>
      <c r="EG46" s="1003"/>
      <c r="EH46" s="1003"/>
      <c r="EI46" s="1003"/>
      <c r="EJ46" s="1003"/>
      <c r="EK46" s="1003"/>
      <c r="EL46" s="1003"/>
      <c r="EM46" s="1003"/>
      <c r="EN46" s="1003"/>
      <c r="EO46" s="1003"/>
      <c r="EP46" s="1003"/>
      <c r="EQ46" s="1003"/>
      <c r="ER46" s="1003"/>
      <c r="ES46" s="1003"/>
      <c r="ET46" s="1003"/>
      <c r="EU46" s="1003"/>
      <c r="EV46" s="1003"/>
      <c r="EW46" s="1003"/>
      <c r="EX46" s="1003"/>
      <c r="EY46" s="1003"/>
      <c r="EZ46" s="1003"/>
      <c r="FA46" s="1003"/>
      <c r="FB46" s="1003"/>
      <c r="FC46" s="1003"/>
      <c r="FD46" s="1003"/>
      <c r="FE46" s="1003"/>
      <c r="FF46" s="1003"/>
      <c r="FG46" s="1003"/>
      <c r="FH46" s="1003"/>
      <c r="FI46" s="1003"/>
      <c r="FJ46" s="1003"/>
      <c r="FK46" s="1003"/>
      <c r="FL46" s="1003"/>
      <c r="FM46" s="1003"/>
      <c r="FN46" s="1003"/>
      <c r="FO46" s="1003"/>
      <c r="FP46" s="1003"/>
      <c r="FQ46" s="1003"/>
      <c r="FR46" s="1003"/>
      <c r="FS46" s="1003"/>
      <c r="FT46" s="1003"/>
      <c r="FU46" s="1003"/>
      <c r="FV46" s="1003"/>
      <c r="FW46" s="1004"/>
      <c r="FZ46" s="957" t="s">
        <v>231</v>
      </c>
    </row>
    <row r="47" spans="1:186" ht="14.65" hidden="1" customHeight="1">
      <c r="A47" s="409"/>
      <c r="B47" s="830" t="b" cm="1">
        <f t="array" ref="B47">B46</f>
        <v>0</v>
      </c>
      <c r="C47" s="409"/>
      <c r="D47" s="409"/>
      <c r="E47" s="754">
        <v>15</v>
      </c>
      <c r="F47" s="3" cm="1">
        <f t="array" aca="1" ref="F47" ca="1">OFFSET(E47,-1,1)</f>
        <v>0</v>
      </c>
      <c r="G47" s="409"/>
      <c r="H47" s="409" t="s">
        <v>1412</v>
      </c>
      <c r="I47" s="409" t="s">
        <v>1452</v>
      </c>
      <c r="J47" s="409"/>
      <c r="K47" s="409"/>
      <c r="L47" s="409"/>
      <c r="M47" s="409"/>
      <c r="N47" s="409"/>
      <c r="O47" s="409"/>
      <c r="P47" s="409"/>
      <c r="Q47" s="409"/>
      <c r="R47" s="409"/>
      <c r="S47" s="409"/>
      <c r="T47" s="381" t="b" cm="1">
        <f t="array" aca="1" ref="T47" ca="1">T46</f>
        <v>0</v>
      </c>
      <c r="U47" s="409"/>
      <c r="V47" s="409"/>
      <c r="W47" s="409"/>
      <c r="X47" s="1787"/>
      <c r="Y47" s="409"/>
      <c r="Z47" s="1734"/>
      <c r="AA47" s="409"/>
      <c r="AB47" s="811" t="s">
        <v>1487</v>
      </c>
      <c r="AC47" s="778" t="s">
        <v>1454</v>
      </c>
      <c r="AD47" s="1428">
        <f ca="1">IF(AD49=0,0,(AD48*AD49+AD50*AD51*IF(god=2026,9,6))/AD49)</f>
        <v>0</v>
      </c>
      <c r="AE47" s="1428">
        <f ca="1">IF(AE49=0,0,(AE48*AE49+AE50*AE51*IF(god=2026,9,6))/AE49)</f>
        <v>0</v>
      </c>
      <c r="AF47" s="996">
        <f ca="1">IF(AD47=0,0,(AE47-AD47)/AD47*100)</f>
        <v>0</v>
      </c>
      <c r="AG47" s="1428">
        <f ca="1">IF(AG49=0,0,(AG48*AG49+AG50*AG51*IF(god=2025,9,6))/AG49)</f>
        <v>0</v>
      </c>
      <c r="AH47" s="1428">
        <f ca="1">IF(AH49=0,0,(AH48*AH49+AH50*AH51*IF(god=2025,9,6))/AH49)</f>
        <v>0</v>
      </c>
      <c r="AI47" s="996">
        <f ca="1">IF(AG47=0,0,(AH47-AG47)/AG47*100)</f>
        <v>0</v>
      </c>
      <c r="AJ47" s="1428">
        <f ca="1">IF(AJ49=0,0,(AJ48*AJ49+AJ50*AJ51*6)/AJ49)</f>
        <v>0</v>
      </c>
      <c r="AK47" s="1428">
        <f ca="1">IF(AK49=0,0,(AK48*AK49+AK50*AK51*6)/AK49)</f>
        <v>0</v>
      </c>
      <c r="AL47" s="996">
        <f ca="1">IF(AJ47=0,0,(AK47-AJ47)/AJ47*100)</f>
        <v>0</v>
      </c>
      <c r="AM47" s="1428">
        <f ca="1">IF(AM49=0,0,(AM48*AM49+AM50*AM51*6)/AM49)</f>
        <v>0</v>
      </c>
      <c r="AN47" s="1428">
        <f ca="1">IF(AN49=0,0,(AN48*AN49+AN50*AN51*6)/AN49)</f>
        <v>0</v>
      </c>
      <c r="AO47" s="996">
        <f ca="1">IF(AM47=0,0,(AN47-AM47)/AM47*100)</f>
        <v>0</v>
      </c>
      <c r="AP47" s="1428">
        <f ca="1">IF(AP49=0,0,(AP48*AP49+AP50*AP51*6)/AP49)</f>
        <v>0</v>
      </c>
      <c r="AQ47" s="1428">
        <f ca="1">IF(AQ49=0,0,(AQ48*AQ49+AQ50*AQ51*6)/AQ49)</f>
        <v>0</v>
      </c>
      <c r="AR47" s="996">
        <f ca="1">IF(AP47=0,0,(AQ47-AP47)/AP47*100)</f>
        <v>0</v>
      </c>
      <c r="AS47" s="1428">
        <f ca="1">IF(AS49=0,0,(AS48*AS49+AS50*AS51*6)/AS49)</f>
        <v>0</v>
      </c>
      <c r="AT47" s="1428">
        <f ca="1">IF(AT49=0,0,(AT48*AT49+AT50*AT51*6)/AT49)</f>
        <v>0</v>
      </c>
      <c r="AU47" s="996">
        <f ca="1">IF(AS47=0,0,(AT47-AS47)/AS47*100)</f>
        <v>0</v>
      </c>
      <c r="AV47" s="1428">
        <f ca="1">IF(AV49=0,0,(AV48*AV49+AV50*AV51*6)/AV49)</f>
        <v>0</v>
      </c>
      <c r="AW47" s="1428">
        <f ca="1">IF(AW49=0,0,(AW48*AW49+AW50*AW51*6)/AW49)</f>
        <v>0</v>
      </c>
      <c r="AX47" s="996">
        <f ca="1">IF(AV47=0,0,(AW47-AV47)/AV47*100)</f>
        <v>0</v>
      </c>
      <c r="AY47" s="1428">
        <f ca="1">IF(AY49=0,0,(AY48*AY49+AY50*AY51*6)/AY49)</f>
        <v>0</v>
      </c>
      <c r="AZ47" s="1428">
        <f ca="1">IF(AZ49=0,0,(AZ48*AZ49+AZ50*AZ51*6)/AZ49)</f>
        <v>0</v>
      </c>
      <c r="BA47" s="996">
        <f ca="1">IF(AY47=0,0,(AZ47-AY47)/AY47*100)</f>
        <v>0</v>
      </c>
      <c r="BB47" s="1428">
        <f ca="1">IF(BB49=0,0,(BB48*BB49+BB50*BB51*6)/BB49)</f>
        <v>0</v>
      </c>
      <c r="BC47" s="1428">
        <f ca="1">IF(BC49=0,0,(BC48*BC49+BC50*BC51*6)/BC49)</f>
        <v>0</v>
      </c>
      <c r="BD47" s="996">
        <f ca="1">IF(BB47=0,0,(BC47-BB47)/BB47*100)</f>
        <v>0</v>
      </c>
      <c r="BE47" s="1428">
        <f ca="1">IF(BE49=0,0,(BE48*BE49+BE50*BE51*6)/BE49)</f>
        <v>0</v>
      </c>
      <c r="BF47" s="1428">
        <f ca="1">IF(BF49=0,0,(BF48*BF49+BF50*BF51*6)/BF49)</f>
        <v>0</v>
      </c>
      <c r="BG47" s="996">
        <f ca="1">IF(BE47=0,0,(BF47-BE47)/BE47*100)</f>
        <v>0</v>
      </c>
      <c r="BH47" s="1428">
        <f>IF(BH49=0,0,(BH48*BH49+BH50*BH51*6)/BH49)</f>
        <v>0</v>
      </c>
      <c r="BI47" s="1428">
        <f>IF(BI49=0,0,(BI48*BI49+BI50*BI51*6)/BI49)</f>
        <v>0</v>
      </c>
      <c r="BJ47" s="996">
        <f>IF(BH47=0,0,(BI47-BH47)/BH47*100)</f>
        <v>0</v>
      </c>
      <c r="BK47" s="1428">
        <f>IF(BK49=0,0,(BK48*BK49+BK50*BK51*6)/BK49)</f>
        <v>0</v>
      </c>
      <c r="BL47" s="1428">
        <f>IF(BL49=0,0,(BL48*BL49+BL50*BL51*6)/BL49)</f>
        <v>0</v>
      </c>
      <c r="BM47" s="996">
        <f>IF(BK47=0,0,(BL47-BK47)/BK47*100)</f>
        <v>0</v>
      </c>
      <c r="BN47" s="1428">
        <f>IF(BN49=0,0,(BN48*BN49+BN50*BN51*6)/BN49)</f>
        <v>0</v>
      </c>
      <c r="BO47" s="1428">
        <f>IF(BO49=0,0,(BO48*BO49+BO50*BO51*6)/BO49)</f>
        <v>0</v>
      </c>
      <c r="BP47" s="996">
        <f>IF(BN47=0,0,(BO47-BN47)/BN47*100)</f>
        <v>0</v>
      </c>
      <c r="BQ47" s="1428">
        <f>IF(BQ49=0,0,(BQ48*BQ49+BQ50*BQ51*6)/BQ49)</f>
        <v>0</v>
      </c>
      <c r="BR47" s="1428">
        <f>IF(BR49=0,0,(BR48*BR49+BR50*BR51*6)/BR49)</f>
        <v>0</v>
      </c>
      <c r="BS47" s="996">
        <f>IF(BQ47=0,0,(BR47-BQ47)/BQ47*100)</f>
        <v>0</v>
      </c>
      <c r="BT47" s="1428">
        <f>IF(BT49=0,0,(BT48*BT49+BT50*BT51*6)/BT49)</f>
        <v>0</v>
      </c>
      <c r="BU47" s="1428">
        <f>IF(BU49=0,0,(BU48*BU49+BU50*BU51*6)/BU49)</f>
        <v>0</v>
      </c>
      <c r="BV47" s="996">
        <f>IF(BT47=0,0,(BU47-BT47)/BT47*100)</f>
        <v>0</v>
      </c>
      <c r="BW47" s="1428">
        <f>IF(BW49=0,0,(BW48*BW49+BW50*BW51*6)/BW49)</f>
        <v>0</v>
      </c>
      <c r="BX47" s="1428">
        <f>IF(BX49=0,0,(BX48*BX49+BX50*BX51*6)/BX49)</f>
        <v>0</v>
      </c>
      <c r="BY47" s="996">
        <f>IF(BW47=0,0,(BX47-BW47)/BW47*100)</f>
        <v>0</v>
      </c>
      <c r="BZ47" s="1428">
        <f>IF(BZ49=0,0,(BZ48*BZ49+BZ50*BZ51*6)/BZ49)</f>
        <v>0</v>
      </c>
      <c r="CA47" s="1428">
        <f>IF(CA49=0,0,(CA48*CA49+CA50*CA51*6)/CA49)</f>
        <v>0</v>
      </c>
      <c r="CB47" s="996">
        <f>IF(BZ47=0,0,(CA47-BZ47)/BZ47*100)</f>
        <v>0</v>
      </c>
      <c r="CC47" s="1428">
        <f>IF(CC49=0,0,(CC48*CC49+CC50*CC51*6)/CC49)</f>
        <v>0</v>
      </c>
      <c r="CD47" s="1428">
        <f>IF(CD49=0,0,(CD48*CD49+CD50*CD51*6)/CD49)</f>
        <v>0</v>
      </c>
      <c r="CE47" s="996">
        <f>IF(CC47=0,0,(CD47-CC47)/CC47*100)</f>
        <v>0</v>
      </c>
      <c r="CF47" s="1428">
        <f>IF(CF49=0,0,(CF48*CF49+CF50*CF51*6)/CF49)</f>
        <v>0</v>
      </c>
      <c r="CG47" s="1428">
        <f>IF(CG49=0,0,(CG48*CG49+CG50*CG51*6)/CG49)</f>
        <v>0</v>
      </c>
      <c r="CH47" s="996">
        <f>IF(CF47=0,0,(CG47-CF47)/CF47*100)</f>
        <v>0</v>
      </c>
      <c r="CI47" s="1428">
        <f>IF(CI49=0,0,(CI48*CI49+CI50*CI51*6)/CI49)</f>
        <v>0</v>
      </c>
      <c r="CJ47" s="1428">
        <f>IF(CJ49=0,0,(CJ48*CJ49+CJ50*CJ51*6)/CJ49)</f>
        <v>0</v>
      </c>
      <c r="CK47" s="996">
        <f>IF(CI47=0,0,(CJ47-CI47)/CI47*100)</f>
        <v>0</v>
      </c>
      <c r="CL47" s="1428">
        <f>IF(CL49=0,0,(CL48*CL49+CL50*CL51*6)/CL49)</f>
        <v>0</v>
      </c>
      <c r="CM47" s="1428">
        <f>IF(CM49=0,0,(CM48*CM49+CM50*CM51*6)/CM49)</f>
        <v>0</v>
      </c>
      <c r="CN47" s="996">
        <f>IF(CL47=0,0,(CM47-CL47)/CL47*100)</f>
        <v>0</v>
      </c>
      <c r="CO47" s="1428">
        <f>IF(CO49=0,0,(CO48*CO49+CO50*CO51*6)/CO49)</f>
        <v>0</v>
      </c>
      <c r="CP47" s="1428">
        <f>IF(CP49=0,0,(CP48*CP49+CP50*CP51*6)/CP49)</f>
        <v>0</v>
      </c>
      <c r="CQ47" s="996">
        <f>IF(CO47=0,0,(CP47-CO47)/CO47*100)</f>
        <v>0</v>
      </c>
      <c r="CR47" s="1428">
        <f>IF(CR49=0,0,(CR48*CR49+CR50*CR51*6)/CR49)</f>
        <v>0</v>
      </c>
      <c r="CS47" s="1428">
        <f>IF(CS49=0,0,(CS48*CS49+CS50*CS51*6)/CS49)</f>
        <v>0</v>
      </c>
      <c r="CT47" s="996">
        <f>IF(CR47=0,0,(CS47-CR47)/CR47*100)</f>
        <v>0</v>
      </c>
      <c r="CU47" s="1428">
        <f>IF(CU49=0,0,(CU48*CU49+CU50*CU51*6)/CU49)</f>
        <v>0</v>
      </c>
      <c r="CV47" s="1428">
        <f>IF(CV49=0,0,(CV48*CV49+CV50*CV51*6)/CV49)</f>
        <v>0</v>
      </c>
      <c r="CW47" s="996">
        <f>IF(CU47=0,0,(CV47-CU47)/CU47*100)</f>
        <v>0</v>
      </c>
      <c r="CX47" s="1428">
        <f>IF(CX49=0,0,(CX48*CX49+CX50*CX51*6)/CX49)</f>
        <v>0</v>
      </c>
      <c r="CY47" s="1428">
        <f>IF(CY49=0,0,(CY48*CY49+CY50*CY51*6)/CY49)</f>
        <v>0</v>
      </c>
      <c r="CZ47" s="996">
        <f>IF(CX47=0,0,(CY47-CX47)/CX47*100)</f>
        <v>0</v>
      </c>
      <c r="DA47" s="1428">
        <f>IF(DA49=0,0,(DA48*DA49+DA50*DA51*6)/DA49)</f>
        <v>0</v>
      </c>
      <c r="DB47" s="1428">
        <f>IF(DB49=0,0,(DB48*DB49+DB50*DB51*6)/DB49)</f>
        <v>0</v>
      </c>
      <c r="DC47" s="996">
        <f>IF(DA47=0,0,(DB47-DA47)/DA47*100)</f>
        <v>0</v>
      </c>
      <c r="DD47" s="1428">
        <f>IF(DD49=0,0,(DD48*DD49+DD50*DD51*6)/DD49)</f>
        <v>0</v>
      </c>
      <c r="DE47" s="1428">
        <f>IF(DE49=0,0,(DE48*DE49+DE50*DE51*6)/DE49)</f>
        <v>0</v>
      </c>
      <c r="DF47" s="996">
        <f>IF(DD47=0,0,(DE47-DD47)/DD47*100)</f>
        <v>0</v>
      </c>
      <c r="DG47" s="1428">
        <f>IF(DG49=0,0,(DG48*DG49+DG50*DG51*6)/DG49)</f>
        <v>0</v>
      </c>
      <c r="DH47" s="1428">
        <f>IF(DH49=0,0,(DH48*DH49+DH50*DH51*6)/DH49)</f>
        <v>0</v>
      </c>
      <c r="DI47" s="996">
        <f>IF(DG47=0,0,(DH47-DG47)/DG47*100)</f>
        <v>0</v>
      </c>
      <c r="DJ47" s="1428">
        <f>IF(DJ49=0,0,(DJ48*DJ49+DJ50*DJ51*6)/DJ49)</f>
        <v>0</v>
      </c>
      <c r="DK47" s="1428">
        <f>IF(DK49=0,0,(DK48*DK49+DK50*DK51*6)/DK49)</f>
        <v>0</v>
      </c>
      <c r="DL47" s="996">
        <f>IF(DJ47=0,0,(DK47-DJ47)/DJ47*100)</f>
        <v>0</v>
      </c>
      <c r="DM47" s="1428">
        <f>IF(DM49=0,0,(DM48*DM49+DM50*DM51*6)/DM49)</f>
        <v>0</v>
      </c>
      <c r="DN47" s="1428">
        <f>IF(DN49=0,0,(DN48*DN49+DN50*DN51*6)/DN49)</f>
        <v>0</v>
      </c>
      <c r="DO47" s="996">
        <f>IF(DM47=0,0,(DN47-DM47)/DM47*100)</f>
        <v>0</v>
      </c>
      <c r="DP47" s="1428">
        <f>IF(DP49=0,0,(DP48*DP49+DP50*DP51*6)/DP49)</f>
        <v>0</v>
      </c>
      <c r="DQ47" s="1428">
        <f>IF(DQ49=0,0,(DQ48*DQ49+DQ50*DQ51*6)/DQ49)</f>
        <v>0</v>
      </c>
      <c r="DR47" s="996">
        <f>IF(DP47=0,0,(DQ47-DP47)/DP47*100)</f>
        <v>0</v>
      </c>
      <c r="DS47" s="1428">
        <f>IF(DS49=0,0,(DS48*DS49+DS50*DS51*6)/DS49)</f>
        <v>0</v>
      </c>
      <c r="DT47" s="1428">
        <f>IF(DT49=0,0,(DT48*DT49+DT50*DT51*6)/DT49)</f>
        <v>0</v>
      </c>
      <c r="DU47" s="996">
        <f>IF(DS47=0,0,(DT47-DS47)/DS47*100)</f>
        <v>0</v>
      </c>
      <c r="DV47" s="1428">
        <f>IF(DV49=0,0,(DV48*DV49+DV50*DV51*6)/DV49)</f>
        <v>0</v>
      </c>
      <c r="DW47" s="1428">
        <f>IF(DW49=0,0,(DW48*DW49+DW50*DW51*6)/DW49)</f>
        <v>0</v>
      </c>
      <c r="DX47" s="996">
        <f>IF(DV47=0,0,(DW47-DV47)/DV47*100)</f>
        <v>0</v>
      </c>
      <c r="DY47" s="1428">
        <f>IF(DY49=0,0,(DY48*DY49+DY50*DY51*6)/DY49)</f>
        <v>0</v>
      </c>
      <c r="DZ47" s="1428">
        <f>IF(DZ49=0,0,(DZ48*DZ49+DZ50*DZ51*6)/DZ49)</f>
        <v>0</v>
      </c>
      <c r="EA47" s="996">
        <f>IF(DY47=0,0,(DZ47-DY47)/DY47*100)</f>
        <v>0</v>
      </c>
      <c r="EB47" s="1428">
        <f>IF(EB49=0,0,(EB48*EB49+EB50*EB51*6)/EB49)</f>
        <v>0</v>
      </c>
      <c r="EC47" s="1428">
        <f>IF(EC49=0,0,(EC48*EC49+EC50*EC51*6)/EC49)</f>
        <v>0</v>
      </c>
      <c r="ED47" s="996">
        <f>IF(EB47=0,0,(EC47-EB47)/EB47*100)</f>
        <v>0</v>
      </c>
      <c r="EE47" s="1428">
        <f>IF(EE49=0,0,(EE48*EE49+EE50*EE51*6)/EE49)</f>
        <v>0</v>
      </c>
      <c r="EF47" s="1428">
        <f>IF(EF49=0,0,(EF48*EF49+EF50*EF51*6)/EF49)</f>
        <v>0</v>
      </c>
      <c r="EG47" s="996">
        <f>IF(EE47=0,0,(EF47-EE47)/EE47*100)</f>
        <v>0</v>
      </c>
      <c r="EH47" s="1428">
        <f>IF(EH49=0,0,(EH48*EH49+EH50*EH51*6)/EH49)</f>
        <v>0</v>
      </c>
      <c r="EI47" s="1428">
        <f>IF(EI49=0,0,(EI48*EI49+EI50*EI51*6)/EI49)</f>
        <v>0</v>
      </c>
      <c r="EJ47" s="996">
        <f>IF(EH47=0,0,(EI47-EH47)/EH47*100)</f>
        <v>0</v>
      </c>
      <c r="EK47" s="1428">
        <f>IF(EK49=0,0,(EK48*EK49+EK50*EK51*6)/EK49)</f>
        <v>0</v>
      </c>
      <c r="EL47" s="1428">
        <f>IF(EL49=0,0,(EL48*EL49+EL50*EL51*6)/EL49)</f>
        <v>0</v>
      </c>
      <c r="EM47" s="996">
        <f>IF(EK47=0,0,(EL47-EK47)/EK47*100)</f>
        <v>0</v>
      </c>
      <c r="EN47" s="1428">
        <f>IF(EN49=0,0,(EN48*EN49+EN50*EN51*6)/EN49)</f>
        <v>0</v>
      </c>
      <c r="EO47" s="1428">
        <f>IF(EO49=0,0,(EO48*EO49+EO50*EO51*6)/EO49)</f>
        <v>0</v>
      </c>
      <c r="EP47" s="996">
        <f>IF(EN47=0,0,(EO47-EN47)/EN47*100)</f>
        <v>0</v>
      </c>
      <c r="EQ47" s="1428">
        <f>IF(EQ49=0,0,(EQ48*EQ49+EQ50*EQ51*6)/EQ49)</f>
        <v>0</v>
      </c>
      <c r="ER47" s="1428">
        <f>IF(ER49=0,0,(ER48*ER49+ER50*ER51*6)/ER49)</f>
        <v>0</v>
      </c>
      <c r="ES47" s="996">
        <f>IF(EQ47=0,0,(ER47-EQ47)/EQ47*100)</f>
        <v>0</v>
      </c>
      <c r="ET47" s="1428">
        <f>IF(ET49=0,0,(ET48*ET49+ET50*ET51*6)/ET49)</f>
        <v>0</v>
      </c>
      <c r="EU47" s="1428">
        <f>IF(EU49=0,0,(EU48*EU49+EU50*EU51*6)/EU49)</f>
        <v>0</v>
      </c>
      <c r="EV47" s="996">
        <f>IF(ET47=0,0,(EU47-ET47)/ET47*100)</f>
        <v>0</v>
      </c>
      <c r="EW47" s="1428">
        <f>IF(EW49=0,0,(EW48*EW49+EW50*EW51*6)/EW49)</f>
        <v>0</v>
      </c>
      <c r="EX47" s="1428">
        <f>IF(EX49=0,0,(EX48*EX49+EX50*EX51*6)/EX49)</f>
        <v>0</v>
      </c>
      <c r="EY47" s="996">
        <f>IF(EW47=0,0,(EX47-EW47)/EW47*100)</f>
        <v>0</v>
      </c>
      <c r="EZ47" s="1428">
        <f>IF(EZ49=0,0,(EZ48*EZ49+EZ50*EZ51*6)/EZ49)</f>
        <v>0</v>
      </c>
      <c r="FA47" s="1428">
        <f>IF(FA49=0,0,(FA48*FA49+FA50*FA51*6)/FA49)</f>
        <v>0</v>
      </c>
      <c r="FB47" s="996">
        <f>IF(EZ47=0,0,(FA47-EZ47)/EZ47*100)</f>
        <v>0</v>
      </c>
      <c r="FC47" s="1428">
        <f>IF(FC49=0,0,(FC48*FC49+FC50*FC51*6)/FC49)</f>
        <v>0</v>
      </c>
      <c r="FD47" s="1428">
        <f>IF(FD49=0,0,(FD48*FD49+FD50*FD51*6)/FD49)</f>
        <v>0</v>
      </c>
      <c r="FE47" s="996">
        <f>IF(FC47=0,0,(FD47-FC47)/FC47*100)</f>
        <v>0</v>
      </c>
      <c r="FF47" s="1428">
        <f>IF(FF49=0,0,(FF48*FF49+FF50*FF51*6)/FF49)</f>
        <v>0</v>
      </c>
      <c r="FG47" s="1428">
        <f>IF(FG49=0,0,(FG48*FG49+FG50*FG51*6)/FG49)</f>
        <v>0</v>
      </c>
      <c r="FH47" s="996">
        <f>IF(FF47=0,0,(FG47-FF47)/FF47*100)</f>
        <v>0</v>
      </c>
      <c r="FI47" s="1428">
        <f>IF(FI49=0,0,(FI48*FI49+FI50*FI51*6)/FI49)</f>
        <v>0</v>
      </c>
      <c r="FJ47" s="1428">
        <f>IF(FJ49=0,0,(FJ48*FJ49+FJ50*FJ51*6)/FJ49)</f>
        <v>0</v>
      </c>
      <c r="FK47" s="996">
        <f>IF(FI47=0,0,(FJ47-FI47)/FI47*100)</f>
        <v>0</v>
      </c>
      <c r="FL47" s="1428">
        <f>IF(FL49=0,0,(FL48*FL49+FL50*FL51*6)/FL49)</f>
        <v>0</v>
      </c>
      <c r="FM47" s="1428">
        <f>IF(FM49=0,0,(FM48*FM49+FM50*FM51*6)/FM49)</f>
        <v>0</v>
      </c>
      <c r="FN47" s="996">
        <f>IF(FL47=0,0,(FM47-FL47)/FL47*100)</f>
        <v>0</v>
      </c>
      <c r="FO47" s="1428">
        <f>IF(FO49=0,0,(FO48*FO49+FO50*FO51*6)/FO49)</f>
        <v>0</v>
      </c>
      <c r="FP47" s="1428">
        <f>IF(FP49=0,0,(FP48*FP49+FP50*FP51*6)/FP49)</f>
        <v>0</v>
      </c>
      <c r="FQ47" s="996">
        <f>IF(FO47=0,0,(FP47-FO47)/FO47*100)</f>
        <v>0</v>
      </c>
      <c r="FR47" s="1428">
        <f>IF(FR49=0,0,(FR48*FR49+FR50*FR51*6)/FR49)</f>
        <v>0</v>
      </c>
      <c r="FS47" s="1428">
        <f>IF(FS49=0,0,(FS48*FS49+FS50*FS51*6)/FS49)</f>
        <v>0</v>
      </c>
      <c r="FT47" s="996">
        <f>IF(FR47=0,0,(FS47-FR47)/FR47*100)</f>
        <v>0</v>
      </c>
      <c r="FU47" s="1428">
        <f>IF(FU49=0,0,(FU48*FU49+FU50*FU51*6)/FU49)</f>
        <v>0</v>
      </c>
      <c r="FV47" s="1428">
        <f>IF(FV49=0,0,(FV48*FV49+FV50*FV51*6)/FV49)</f>
        <v>0</v>
      </c>
      <c r="FW47" s="996">
        <f>IF(FU47=0,0,(FV47-FU47)/FU47*100)</f>
        <v>0</v>
      </c>
      <c r="FZ47" s="957" t="s">
        <v>1488</v>
      </c>
    </row>
    <row r="48" spans="1:186" ht="14.65" hidden="1" customHeight="1">
      <c r="A48" s="409"/>
      <c r="B48" s="830" t="b" cm="1">
        <f t="array" ref="B48">B47</f>
        <v>0</v>
      </c>
      <c r="C48" s="409"/>
      <c r="D48" s="409"/>
      <c r="E48" s="754">
        <v>15</v>
      </c>
      <c r="F48" s="3" cm="1">
        <f t="array" aca="1" ref="F48" ca="1">OFFSET(E48,-1,1)</f>
        <v>0</v>
      </c>
      <c r="G48" s="409"/>
      <c r="H48" s="409" t="s">
        <v>1416</v>
      </c>
      <c r="I48" s="409" t="s">
        <v>1452</v>
      </c>
      <c r="J48" s="409"/>
      <c r="K48" s="409"/>
      <c r="L48" s="409"/>
      <c r="M48" s="409"/>
      <c r="N48" s="409"/>
      <c r="O48" s="409"/>
      <c r="P48" s="409"/>
      <c r="Q48" s="409"/>
      <c r="R48" s="409"/>
      <c r="S48" s="409"/>
      <c r="T48" s="381" t="b" cm="1">
        <f t="array" aca="1" ref="T48" ca="1">T47</f>
        <v>0</v>
      </c>
      <c r="U48" s="409"/>
      <c r="V48" s="409"/>
      <c r="W48" s="409"/>
      <c r="X48" s="1787"/>
      <c r="Y48" s="409"/>
      <c r="Z48" s="1734"/>
      <c r="AA48" s="409"/>
      <c r="AB48" s="811" t="str">
        <f>"ставка платы за "&amp;IF(Q29="Водоснабжение","потребление 1 куб.м холодной воды","объем принятых сточных вод")</f>
        <v>ставка платы за объем принятых сточных вод</v>
      </c>
      <c r="AC48" s="778" t="s">
        <v>1454</v>
      </c>
      <c r="AD48" s="1428"/>
      <c r="AE48" s="1428"/>
      <c r="AF48" s="996">
        <f>IF(AD48=0,0,(AE48-AD48)/AD48*100)</f>
        <v>0</v>
      </c>
      <c r="AG48" s="1428"/>
      <c r="AH48" s="1428"/>
      <c r="AI48" s="996">
        <f>IF(AG48=0,0,(AH48-AG48)/AG48*100)</f>
        <v>0</v>
      </c>
      <c r="AJ48" s="1428"/>
      <c r="AK48" s="1428"/>
      <c r="AL48" s="996">
        <f>IF(AJ48=0,0,(AK48-AJ48)/AJ48*100)</f>
        <v>0</v>
      </c>
      <c r="AM48" s="1428"/>
      <c r="AN48" s="1428"/>
      <c r="AO48" s="996">
        <f>IF(AM48=0,0,(AN48-AM48)/AM48*100)</f>
        <v>0</v>
      </c>
      <c r="AP48" s="1428"/>
      <c r="AQ48" s="1428"/>
      <c r="AR48" s="996">
        <f>IF(AP48=0,0,(AQ48-AP48)/AP48*100)</f>
        <v>0</v>
      </c>
      <c r="AS48" s="1428"/>
      <c r="AT48" s="1428"/>
      <c r="AU48" s="996">
        <f>IF(AS48=0,0,(AT48-AS48)/AS48*100)</f>
        <v>0</v>
      </c>
      <c r="AV48" s="1428"/>
      <c r="AW48" s="1428"/>
      <c r="AX48" s="996">
        <f>IF(AV48=0,0,(AW48-AV48)/AV48*100)</f>
        <v>0</v>
      </c>
      <c r="AY48" s="1428"/>
      <c r="AZ48" s="1428"/>
      <c r="BA48" s="996">
        <f>IF(AY48=0,0,(AZ48-AY48)/AY48*100)</f>
        <v>0</v>
      </c>
      <c r="BB48" s="1428"/>
      <c r="BC48" s="1428"/>
      <c r="BD48" s="996">
        <f>IF(BB48=0,0,(BC48-BB48)/BB48*100)</f>
        <v>0</v>
      </c>
      <c r="BE48" s="1428"/>
      <c r="BF48" s="1428"/>
      <c r="BG48" s="996">
        <f>IF(BE48=0,0,(BF48-BE48)/BE48*100)</f>
        <v>0</v>
      </c>
      <c r="BH48" s="1428"/>
      <c r="BI48" s="1428"/>
      <c r="BJ48" s="996">
        <f>IF(BH48=0,0,(BI48-BH48)/BH48*100)</f>
        <v>0</v>
      </c>
      <c r="BK48" s="1428"/>
      <c r="BL48" s="1428"/>
      <c r="BM48" s="996">
        <f>IF(BK48=0,0,(BL48-BK48)/BK48*100)</f>
        <v>0</v>
      </c>
      <c r="BN48" s="1428"/>
      <c r="BO48" s="1428"/>
      <c r="BP48" s="996">
        <f>IF(BN48=0,0,(BO48-BN48)/BN48*100)</f>
        <v>0</v>
      </c>
      <c r="BQ48" s="1428"/>
      <c r="BR48" s="1428"/>
      <c r="BS48" s="996">
        <f>IF(BQ48=0,0,(BR48-BQ48)/BQ48*100)</f>
        <v>0</v>
      </c>
      <c r="BT48" s="1428"/>
      <c r="BU48" s="1428"/>
      <c r="BV48" s="996">
        <f>IF(BT48=0,0,(BU48-BT48)/BT48*100)</f>
        <v>0</v>
      </c>
      <c r="BW48" s="1428"/>
      <c r="BX48" s="1428"/>
      <c r="BY48" s="996">
        <f>IF(BW48=0,0,(BX48-BW48)/BW48*100)</f>
        <v>0</v>
      </c>
      <c r="BZ48" s="1428"/>
      <c r="CA48" s="1428"/>
      <c r="CB48" s="996">
        <f>IF(BZ48=0,0,(CA48-BZ48)/BZ48*100)</f>
        <v>0</v>
      </c>
      <c r="CC48" s="1428"/>
      <c r="CD48" s="1428"/>
      <c r="CE48" s="996">
        <f>IF(CC48=0,0,(CD48-CC48)/CC48*100)</f>
        <v>0</v>
      </c>
      <c r="CF48" s="1428"/>
      <c r="CG48" s="1428"/>
      <c r="CH48" s="996">
        <f>IF(CF48=0,0,(CG48-CF48)/CF48*100)</f>
        <v>0</v>
      </c>
      <c r="CI48" s="1428"/>
      <c r="CJ48" s="1428"/>
      <c r="CK48" s="996">
        <f>IF(CI48=0,0,(CJ48-CI48)/CI48*100)</f>
        <v>0</v>
      </c>
      <c r="CL48" s="1428"/>
      <c r="CM48" s="1428"/>
      <c r="CN48" s="996">
        <f>IF(CL48=0,0,(CM48-CL48)/CL48*100)</f>
        <v>0</v>
      </c>
      <c r="CO48" s="1428"/>
      <c r="CP48" s="1428"/>
      <c r="CQ48" s="996">
        <f>IF(CO48=0,0,(CP48-CO48)/CO48*100)</f>
        <v>0</v>
      </c>
      <c r="CR48" s="1428"/>
      <c r="CS48" s="1428"/>
      <c r="CT48" s="996">
        <f>IF(CR48=0,0,(CS48-CR48)/CR48*100)</f>
        <v>0</v>
      </c>
      <c r="CU48" s="1428"/>
      <c r="CV48" s="1428"/>
      <c r="CW48" s="996">
        <f>IF(CU48=0,0,(CV48-CU48)/CU48*100)</f>
        <v>0</v>
      </c>
      <c r="CX48" s="1428"/>
      <c r="CY48" s="1428"/>
      <c r="CZ48" s="996">
        <f>IF(CX48=0,0,(CY48-CX48)/CX48*100)</f>
        <v>0</v>
      </c>
      <c r="DA48" s="1428"/>
      <c r="DB48" s="1428"/>
      <c r="DC48" s="996">
        <f>IF(DA48=0,0,(DB48-DA48)/DA48*100)</f>
        <v>0</v>
      </c>
      <c r="DD48" s="1428"/>
      <c r="DE48" s="1428"/>
      <c r="DF48" s="996">
        <f>IF(DD48=0,0,(DE48-DD48)/DD48*100)</f>
        <v>0</v>
      </c>
      <c r="DG48" s="1428"/>
      <c r="DH48" s="1428"/>
      <c r="DI48" s="996">
        <f>IF(DG48=0,0,(DH48-DG48)/DG48*100)</f>
        <v>0</v>
      </c>
      <c r="DJ48" s="1428"/>
      <c r="DK48" s="1428"/>
      <c r="DL48" s="996">
        <f>IF(DJ48=0,0,(DK48-DJ48)/DJ48*100)</f>
        <v>0</v>
      </c>
      <c r="DM48" s="1428"/>
      <c r="DN48" s="1428"/>
      <c r="DO48" s="996">
        <f>IF(DM48=0,0,(DN48-DM48)/DM48*100)</f>
        <v>0</v>
      </c>
      <c r="DP48" s="1428"/>
      <c r="DQ48" s="1428"/>
      <c r="DR48" s="996">
        <f>IF(DP48=0,0,(DQ48-DP48)/DP48*100)</f>
        <v>0</v>
      </c>
      <c r="DS48" s="1428"/>
      <c r="DT48" s="1428"/>
      <c r="DU48" s="996">
        <f>IF(DS48=0,0,(DT48-DS48)/DS48*100)</f>
        <v>0</v>
      </c>
      <c r="DV48" s="1428"/>
      <c r="DW48" s="1428"/>
      <c r="DX48" s="996">
        <f>IF(DV48=0,0,(DW48-DV48)/DV48*100)</f>
        <v>0</v>
      </c>
      <c r="DY48" s="1428"/>
      <c r="DZ48" s="1428"/>
      <c r="EA48" s="996">
        <f>IF(DY48=0,0,(DZ48-DY48)/DY48*100)</f>
        <v>0</v>
      </c>
      <c r="EB48" s="1428"/>
      <c r="EC48" s="1428"/>
      <c r="ED48" s="996">
        <f>IF(EB48=0,0,(EC48-EB48)/EB48*100)</f>
        <v>0</v>
      </c>
      <c r="EE48" s="1428"/>
      <c r="EF48" s="1428"/>
      <c r="EG48" s="996">
        <f>IF(EE48=0,0,(EF48-EE48)/EE48*100)</f>
        <v>0</v>
      </c>
      <c r="EH48" s="1428"/>
      <c r="EI48" s="1428"/>
      <c r="EJ48" s="996">
        <f>IF(EH48=0,0,(EI48-EH48)/EH48*100)</f>
        <v>0</v>
      </c>
      <c r="EK48" s="1428"/>
      <c r="EL48" s="1428"/>
      <c r="EM48" s="996">
        <f>IF(EK48=0,0,(EL48-EK48)/EK48*100)</f>
        <v>0</v>
      </c>
      <c r="EN48" s="1428"/>
      <c r="EO48" s="1428"/>
      <c r="EP48" s="996">
        <f>IF(EN48=0,0,(EO48-EN48)/EN48*100)</f>
        <v>0</v>
      </c>
      <c r="EQ48" s="1428"/>
      <c r="ER48" s="1428"/>
      <c r="ES48" s="996">
        <f>IF(EQ48=0,0,(ER48-EQ48)/EQ48*100)</f>
        <v>0</v>
      </c>
      <c r="ET48" s="1428"/>
      <c r="EU48" s="1428"/>
      <c r="EV48" s="996">
        <f>IF(ET48=0,0,(EU48-ET48)/ET48*100)</f>
        <v>0</v>
      </c>
      <c r="EW48" s="1428"/>
      <c r="EX48" s="1428"/>
      <c r="EY48" s="996">
        <f>IF(EW48=0,0,(EX48-EW48)/EW48*100)</f>
        <v>0</v>
      </c>
      <c r="EZ48" s="1428"/>
      <c r="FA48" s="1428"/>
      <c r="FB48" s="996">
        <f>IF(EZ48=0,0,(FA48-EZ48)/EZ48*100)</f>
        <v>0</v>
      </c>
      <c r="FC48" s="1428"/>
      <c r="FD48" s="1428"/>
      <c r="FE48" s="996">
        <f>IF(FC48=0,0,(FD48-FC48)/FC48*100)</f>
        <v>0</v>
      </c>
      <c r="FF48" s="1428"/>
      <c r="FG48" s="1428"/>
      <c r="FH48" s="996">
        <f>IF(FF48=0,0,(FG48-FF48)/FF48*100)</f>
        <v>0</v>
      </c>
      <c r="FI48" s="1428"/>
      <c r="FJ48" s="1428"/>
      <c r="FK48" s="996">
        <f>IF(FI48=0,0,(FJ48-FI48)/FI48*100)</f>
        <v>0</v>
      </c>
      <c r="FL48" s="1428"/>
      <c r="FM48" s="1428"/>
      <c r="FN48" s="996">
        <f>IF(FL48=0,0,(FM48-FL48)/FL48*100)</f>
        <v>0</v>
      </c>
      <c r="FO48" s="1428"/>
      <c r="FP48" s="1428"/>
      <c r="FQ48" s="996">
        <f>IF(FO48=0,0,(FP48-FO48)/FO48*100)</f>
        <v>0</v>
      </c>
      <c r="FR48" s="1428"/>
      <c r="FS48" s="1428"/>
      <c r="FT48" s="996">
        <f>IF(FR48=0,0,(FS48-FR48)/FR48*100)</f>
        <v>0</v>
      </c>
      <c r="FU48" s="1428"/>
      <c r="FV48" s="1428"/>
      <c r="FW48" s="996">
        <f>IF(FU48=0,0,(FV48-FU48)/FU48*100)</f>
        <v>0</v>
      </c>
      <c r="FZ48" s="957" t="s">
        <v>1489</v>
      </c>
    </row>
    <row r="49" spans="1:182" ht="14.65" hidden="1" customHeight="1">
      <c r="A49" s="409"/>
      <c r="B49" s="830" t="b" cm="1">
        <f t="array" ref="B49">B48</f>
        <v>0</v>
      </c>
      <c r="C49" s="409"/>
      <c r="D49" s="409"/>
      <c r="E49" s="754">
        <v>15</v>
      </c>
      <c r="F49" s="3" cm="1">
        <f t="array" aca="1" ref="F49" ca="1">OFFSET(E49,-1,1)</f>
        <v>0</v>
      </c>
      <c r="G49" s="26" t="s">
        <v>1490</v>
      </c>
      <c r="H49" s="409" t="s">
        <v>1491</v>
      </c>
      <c r="I49" s="409" t="s">
        <v>1452</v>
      </c>
      <c r="J49" s="409"/>
      <c r="K49" s="409"/>
      <c r="L49" s="409"/>
      <c r="M49" s="409"/>
      <c r="N49" s="409"/>
      <c r="O49" s="409"/>
      <c r="P49" s="409"/>
      <c r="Q49" s="409"/>
      <c r="R49" s="409"/>
      <c r="S49" s="409"/>
      <c r="T49" s="381" t="b" cm="1">
        <f t="array" aca="1" ref="T49" ca="1">T48</f>
        <v>0</v>
      </c>
      <c r="U49" s="409"/>
      <c r="V49" s="409"/>
      <c r="W49" s="409"/>
      <c r="X49" s="1787"/>
      <c r="Y49" s="409"/>
      <c r="Z49" s="1734"/>
      <c r="AA49" s="409"/>
      <c r="AB49" s="811" t="str">
        <f>"объём "&amp;IF(Q29="Водоснабжение","потребления холодной воды","водоотведения")</f>
        <v>объём водоотведения</v>
      </c>
      <c r="AC49" s="778" t="s">
        <v>499</v>
      </c>
      <c r="AD49" s="1426">
        <f ca="1">IF(AND(method_reg="Метод индексации",god&lt;&gt;first_year),SUMIFS(INDEX('Калькуляция (МИ корр)'!$AJ$25:$BC$315,,MATCH(AD$8,'Калькуляция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(МИ)'!$AJ$25:$BC$315,,MATCH(AD$8,'Калькуляция (МИ)'!$AJ$8:$BC$8,0)),'Калькуляция (МИ)'!$F$25:$F$315,$F49,'Калькуляция (МИ)'!$G$25:$G$315,$G49))))</f>
        <v>0</v>
      </c>
      <c r="AE49" s="1426">
        <f ca="1">IF(AND(method_reg="Метод индексации",god&lt;&gt;first_year),SUMIFS(INDEX('Калькуляция (МИ корр)'!$AJ$25:$BC$315,,MATCH(AE$8,'Калькуляция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(МИ)'!$AJ$25:$BC$315,,MATCH(AE$8,'Калькуляция (МИ)'!$AJ$8:$BC$8,0)),'Калькуляция (МИ)'!$F$25:$F$315,$F49,'Калькуляция (МИ)'!$G$25:$G$315,$G49))))</f>
        <v>0</v>
      </c>
      <c r="AF49" s="998">
        <f ca="1">IF(AD49=0,0,(AE49-AD49)/AD49*100)</f>
        <v>0</v>
      </c>
      <c r="AG49" s="1426">
        <f ca="1">IF(AND(method_reg="Метод индексации",god&lt;&gt;first_year),SUMIFS(INDEX('Калькуляция (МИ корр)'!$AJ$25:$BC$315,,MATCH(AG$8,'Калькуляция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(МИ)'!$AJ$25:$BC$315,,MATCH(AG$8,'Калькуляция (МИ)'!$AJ$8:$BC$8,0)),'Калькуляция (МИ)'!$F$25:$F$315,$F49,'Калькуляция (МИ)'!$G$25:$G$315,$G49))))</f>
        <v>0</v>
      </c>
      <c r="AH49" s="1426">
        <f ca="1">IF(AND(method_reg="Метод индексации",god&lt;&gt;first_year),SUMIFS(INDEX('Калькуляция (МИ корр)'!$AJ$25:$BC$315,,MATCH(AH$8,'Калькуляция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(МИ)'!$AJ$25:$BC$315,,MATCH(AH$8,'Калькуляция (МИ)'!$AJ$8:$BC$8,0)),'Калькуляция (МИ)'!$F$25:$F$315,$F49,'Калькуляция (МИ)'!$G$25:$G$315,$G49))))</f>
        <v>0</v>
      </c>
      <c r="AI49" s="998">
        <f ca="1">IF(AG49=0,0,(AH49-AG49)/AG49*100)</f>
        <v>0</v>
      </c>
      <c r="AJ49" s="1426">
        <f ca="1">IF(AND(method_reg="Метод индексации",god&lt;&gt;first_year),SUMIFS(INDEX('Калькуляция (МИ корр)'!$AJ$25:$BC$315,,MATCH(AJ$8,'Калькуляция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(МИ)'!$AJ$25:$BC$315,,MATCH(AJ$8,'Калькуляция (МИ)'!$AJ$8:$BC$8,0)),'Калькуляция (МИ)'!$F$25:$F$315,$F49,'Калькуляция (МИ)'!$G$25:$G$315,$G49))))</f>
        <v>0</v>
      </c>
      <c r="AK49" s="1426">
        <f ca="1">IF(AND(method_reg="Метод индексации",god&lt;&gt;first_year),SUMIFS(INDEX('Калькуляция (МИ корр)'!$AJ$25:$BC$315,,MATCH(AK$8,'Калькуляция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(МИ)'!$AJ$25:$BC$315,,MATCH(AK$8,'Калькуляция (МИ)'!$AJ$8:$BC$8,0)),'Калькуляция (МИ)'!$F$25:$F$315,$F49,'Калькуляция (МИ)'!$G$25:$G$315,$G49))))</f>
        <v>0</v>
      </c>
      <c r="AL49" s="998">
        <f ca="1">IF(AJ49=0,0,(AK49-AJ49)/AJ49*100)</f>
        <v>0</v>
      </c>
      <c r="AM49" s="1426">
        <f ca="1">IF(AND(method_reg="Метод индексации",god&lt;&gt;first_year),SUMIFS(INDEX('Калькуляция (МИ корр)'!$AJ$25:$BC$315,,MATCH(AM$8,'Калькуляция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(МИ)'!$AJ$25:$BC$315,,MATCH(AM$8,'Калькуляция (МИ)'!$AJ$8:$BC$8,0)),'Калькуляция (МИ)'!$F$25:$F$315,$F49,'Калькуляция (МИ)'!$G$25:$G$315,$G49))))</f>
        <v>0</v>
      </c>
      <c r="AN49" s="1426">
        <f ca="1">IF(AND(method_reg="Метод индексации",god&lt;&gt;first_year),SUMIFS(INDEX('Калькуляция (МИ корр)'!$AJ$25:$BC$315,,MATCH(AN$8,'Калькуляция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(МИ)'!$AJ$25:$BC$315,,MATCH(AN$8,'Калькуляция (МИ)'!$AJ$8:$BC$8,0)),'Калькуляция (МИ)'!$F$25:$F$315,$F49,'Калькуляция (МИ)'!$G$25:$G$315,$G49))))</f>
        <v>0</v>
      </c>
      <c r="AO49" s="998">
        <f ca="1">IF(AM49=0,0,(AN49-AM49)/AM49*100)</f>
        <v>0</v>
      </c>
      <c r="AP49" s="1426">
        <f ca="1">IF(AND(method_reg="Метод индексации",god&lt;&gt;first_year),SUMIFS(INDEX('Калькуляция (МИ корр)'!$AJ$25:$BC$315,,MATCH(AP$8,'Калькуляция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(МИ)'!$AJ$25:$BC$315,,MATCH(AP$8,'Калькуляция (МИ)'!$AJ$8:$BC$8,0)),'Калькуляция (МИ)'!$F$25:$F$315,$F49,'Калькуляция (МИ)'!$G$25:$G$315,$G49))))</f>
        <v>0</v>
      </c>
      <c r="AQ49" s="1426">
        <f ca="1">IF(AND(method_reg="Метод индексации",god&lt;&gt;first_year),SUMIFS(INDEX('Калькуляция (МИ корр)'!$AJ$25:$BC$315,,MATCH(AQ$8,'Калькуляция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(МИ)'!$AJ$25:$BC$315,,MATCH(AQ$8,'Калькуляция (МИ)'!$AJ$8:$BC$8,0)),'Калькуляция (МИ)'!$F$25:$F$315,$F49,'Калькуляция (МИ)'!$G$25:$G$315,$G49))))</f>
        <v>0</v>
      </c>
      <c r="AR49" s="998">
        <f ca="1">IF(AP49=0,0,(AQ49-AP49)/AP49*100)</f>
        <v>0</v>
      </c>
      <c r="AS49" s="1426">
        <f ca="1">IF(AND(method_reg="Метод индексации",god&lt;&gt;first_year),SUMIFS(INDEX('Калькуляция (МИ корр)'!$AJ$25:$BC$315,,MATCH(AS$8,'Калькуляция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(МИ)'!$AJ$25:$BC$315,,MATCH(AS$8,'Калькуляция (МИ)'!$AJ$8:$BC$8,0)),'Калькуляция (МИ)'!$F$25:$F$315,$F49,'Калькуляция (МИ)'!$G$25:$G$315,$G49))))</f>
        <v>0</v>
      </c>
      <c r="AT49" s="1426">
        <f ca="1">IF(AND(method_reg="Метод индексации",god&lt;&gt;first_year),SUMIFS(INDEX('Калькуляция (МИ корр)'!$AJ$25:$BC$315,,MATCH(AT$8,'Калькуляция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(МИ)'!$AJ$25:$BC$315,,MATCH(AT$8,'Калькуляция (МИ)'!$AJ$8:$BC$8,0)),'Калькуляция (МИ)'!$F$25:$F$315,$F49,'Калькуляция (МИ)'!$G$25:$G$315,$G49))))</f>
        <v>0</v>
      </c>
      <c r="AU49" s="998">
        <f ca="1">IF(AS49=0,0,(AT49-AS49)/AS49*100)</f>
        <v>0</v>
      </c>
      <c r="AV49" s="1426">
        <f ca="1">IF(AND(method_reg="Метод индексации",god&lt;&gt;first_year),SUMIFS(INDEX('Калькуляция (МИ корр)'!$AJ$25:$BC$315,,MATCH(AV$8,'Калькуляция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(МИ)'!$AJ$25:$BC$315,,MATCH(AV$8,'Калькуляция (МИ)'!$AJ$8:$BC$8,0)),'Калькуляция (МИ)'!$F$25:$F$315,$F49,'Калькуляция (МИ)'!$G$25:$G$315,$G49))))</f>
        <v>0</v>
      </c>
      <c r="AW49" s="1426">
        <f ca="1">IF(AND(method_reg="Метод индексации",god&lt;&gt;first_year),SUMIFS(INDEX('Калькуляция (МИ корр)'!$AJ$25:$BC$315,,MATCH(AW$8,'Калькуляция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(МИ)'!$AJ$25:$BC$315,,MATCH(AW$8,'Калькуляция (МИ)'!$AJ$8:$BC$8,0)),'Калькуляция (МИ)'!$F$25:$F$315,$F49,'Калькуляция (МИ)'!$G$25:$G$315,$G49))))</f>
        <v>0</v>
      </c>
      <c r="AX49" s="998">
        <f ca="1">IF(AV49=0,0,(AW49-AV49)/AV49*100)</f>
        <v>0</v>
      </c>
      <c r="AY49" s="1426">
        <f ca="1">IF(AND(method_reg="Метод индексации",god&lt;&gt;first_year),SUMIFS(INDEX('Калькуляция (МИ корр)'!$AJ$25:$BC$315,,MATCH(AY$8,'Калькуляция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(МИ)'!$AJ$25:$BC$315,,MATCH(AY$8,'Калькуляция (МИ)'!$AJ$8:$BC$8,0)),'Калькуляция (МИ)'!$F$25:$F$315,$F49,'Калькуляция (МИ)'!$G$25:$G$315,$G49))))</f>
        <v>0</v>
      </c>
      <c r="AZ49" s="1426">
        <f ca="1">IF(AND(method_reg="Метод индексации",god&lt;&gt;first_year),SUMIFS(INDEX('Калькуляция (МИ корр)'!$AJ$25:$BC$315,,MATCH(AZ$8,'Калькуляция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(МИ)'!$AJ$25:$BC$315,,MATCH(AZ$8,'Калькуляция (МИ)'!$AJ$8:$BC$8,0)),'Калькуляция (МИ)'!$F$25:$F$315,$F49,'Калькуляция (МИ)'!$G$25:$G$315,$G49))))</f>
        <v>0</v>
      </c>
      <c r="BA49" s="998">
        <f ca="1">IF(AY49=0,0,(AZ49-AY49)/AY49*100)</f>
        <v>0</v>
      </c>
      <c r="BB49" s="1426">
        <f ca="1">IF(AND(method_reg="Метод индексации",god&lt;&gt;first_year),SUMIFS(INDEX('Калькуляция (МИ корр)'!$AJ$25:$BC$315,,MATCH(BB$8,'Калькуляция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(МИ)'!$AJ$25:$BC$315,,MATCH(BB$8,'Калькуляция (МИ)'!$AJ$8:$BC$8,0)),'Калькуляция (МИ)'!$F$25:$F$315,$F49,'Калькуляция (МИ)'!$G$25:$G$315,$G49))))</f>
        <v>0</v>
      </c>
      <c r="BC49" s="1426">
        <f ca="1">IF(AND(method_reg="Метод индексации",god&lt;&gt;first_year),SUMIFS(INDEX('Калькуляция (МИ корр)'!$AJ$25:$BC$315,,MATCH(BC$8,'Калькуляция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(МИ)'!$AJ$25:$BC$315,,MATCH(BC$8,'Калькуляция (МИ)'!$AJ$8:$BC$8,0)),'Калькуляция (МИ)'!$F$25:$F$315,$F49,'Калькуляция (МИ)'!$G$25:$G$315,$G49))))</f>
        <v>0</v>
      </c>
      <c r="BD49" s="998">
        <f ca="1">IF(BB49=0,0,(BC49-BB49)/BB49*100)</f>
        <v>0</v>
      </c>
      <c r="BE49" s="1426">
        <f ca="1">IF(AND(method_reg="Метод индексации",god&lt;&gt;first_year),SUMIFS(INDEX('Калькуляция (МИ корр)'!$AJ$25:$BC$315,,MATCH(BE$8,'Калькуляция (МИ корр)'!$AJ$8:$BC$8,0)),'Калькуляция (МИ корр)'!$F$25:$F$315,$F49,'Калькуляция (МИ корр)'!$G$25:$G$315,$G49),IF(method_reg="Метод экономически обоснованных расходов",SUMIFS('Калькуляция (МЭОР)'!$AJ$25:$AJ$199,'Калькуляция (МЭОР)'!$F$25:$F$199,$F49,'Калькуляция (МЭОР)'!$G$25:$G$199,$G49),IF(method_reg="Метод сравнения аналогов",SUMIFS('Калькуляция (МСА)'!$AE$25:$AE$65,'Калькуляция (МСА)'!$F$25:$F$65,$F49,'Калькуляция (МСА)'!$G$25:$G$65,$G49),SUMIFS(INDEX('Калькуляция (МИ)'!$AJ$25:$BC$315,,MATCH(BE$8,'Калькуляция (МИ)'!$AJ$8:$BC$8,0)),'Калькуляция (МИ)'!$F$25:$F$315,$F49,'Калькуляция (МИ)'!$G$25:$G$315,$G49))))</f>
        <v>0</v>
      </c>
      <c r="BF49" s="1426">
        <f ca="1">IF(AND(method_reg="Метод индексации",god&lt;&gt;first_year),SUMIFS(INDEX('Калькуляция (МИ корр)'!$AJ$25:$BC$315,,MATCH(BF$8,'Калькуляция (МИ корр)'!$AJ$8:$BC$8,0)),'Калькуляция (МИ корр)'!$F$25:$F$315,$F49,'Калькуляция (МИ корр)'!$G$25:$G$315,$G49),IF(method_reg="Метод экономически обоснованных расходов",SUMIFS('Калькуляция (МЭОР)'!$AK$25:$AK$199,'Калькуляция (МЭОР)'!$F$25:$F$199,$F49,'Калькуляция (МЭОР)'!$G$25:$G$199,$G49),IF(method_reg="Метод сравнения аналогов",SUMIFS('Калькуляция (МСА)'!$AF$25:$AF$65,'Калькуляция (МСА)'!$F$25:$F$65,$F49,'Калькуляция (МСА)'!$G$25:$G$65,$G49),SUMIFS(INDEX('Калькуляция (МИ)'!$AJ$25:$BC$315,,MATCH(BF$8,'Калькуляция (МИ)'!$AJ$8:$BC$8,0)),'Калькуляция (МИ)'!$F$25:$F$315,$F49,'Калькуляция (МИ)'!$G$25:$G$315,$G49))))</f>
        <v>0</v>
      </c>
      <c r="BG49" s="998">
        <f ca="1">IF(BE49=0,0,(BF49-BE49)/BE49*100)</f>
        <v>0</v>
      </c>
      <c r="BH49" s="1426"/>
      <c r="BI49" s="1426"/>
      <c r="BJ49" s="998">
        <f>IF(BH49=0,0,(BI49-BH49)/BH49*100)</f>
        <v>0</v>
      </c>
      <c r="BK49" s="1426"/>
      <c r="BL49" s="1426"/>
      <c r="BM49" s="998">
        <f>IF(BK49=0,0,(BL49-BK49)/BK49*100)</f>
        <v>0</v>
      </c>
      <c r="BN49" s="1426"/>
      <c r="BO49" s="1426"/>
      <c r="BP49" s="998">
        <f>IF(BN49=0,0,(BO49-BN49)/BN49*100)</f>
        <v>0</v>
      </c>
      <c r="BQ49" s="1426"/>
      <c r="BR49" s="1426"/>
      <c r="BS49" s="998">
        <f>IF(BQ49=0,0,(BR49-BQ49)/BQ49*100)</f>
        <v>0</v>
      </c>
      <c r="BT49" s="1426"/>
      <c r="BU49" s="1426"/>
      <c r="BV49" s="998">
        <f>IF(BT49=0,0,(BU49-BT49)/BT49*100)</f>
        <v>0</v>
      </c>
      <c r="BW49" s="1426"/>
      <c r="BX49" s="1426"/>
      <c r="BY49" s="998">
        <f>IF(BW49=0,0,(BX49-BW49)/BW49*100)</f>
        <v>0</v>
      </c>
      <c r="BZ49" s="1426"/>
      <c r="CA49" s="1426"/>
      <c r="CB49" s="998">
        <f>IF(BZ49=0,0,(CA49-BZ49)/BZ49*100)</f>
        <v>0</v>
      </c>
      <c r="CC49" s="1426"/>
      <c r="CD49" s="1426"/>
      <c r="CE49" s="998">
        <f>IF(CC49=0,0,(CD49-CC49)/CC49*100)</f>
        <v>0</v>
      </c>
      <c r="CF49" s="1426"/>
      <c r="CG49" s="1426"/>
      <c r="CH49" s="998">
        <f>IF(CF49=0,0,(CG49-CF49)/CF49*100)</f>
        <v>0</v>
      </c>
      <c r="CI49" s="1426"/>
      <c r="CJ49" s="1426"/>
      <c r="CK49" s="998">
        <f>IF(CI49=0,0,(CJ49-CI49)/CI49*100)</f>
        <v>0</v>
      </c>
      <c r="CL49" s="1426"/>
      <c r="CM49" s="1426"/>
      <c r="CN49" s="998">
        <f>IF(CL49=0,0,(CM49-CL49)/CL49*100)</f>
        <v>0</v>
      </c>
      <c r="CO49" s="1426"/>
      <c r="CP49" s="1426"/>
      <c r="CQ49" s="998">
        <f>IF(CO49=0,0,(CP49-CO49)/CO49*100)</f>
        <v>0</v>
      </c>
      <c r="CR49" s="1426"/>
      <c r="CS49" s="1426"/>
      <c r="CT49" s="998">
        <f>IF(CR49=0,0,(CS49-CR49)/CR49*100)</f>
        <v>0</v>
      </c>
      <c r="CU49" s="1426"/>
      <c r="CV49" s="1426"/>
      <c r="CW49" s="998">
        <f>IF(CU49=0,0,(CV49-CU49)/CU49*100)</f>
        <v>0</v>
      </c>
      <c r="CX49" s="1426"/>
      <c r="CY49" s="1426"/>
      <c r="CZ49" s="998">
        <f>IF(CX49=0,0,(CY49-CX49)/CX49*100)</f>
        <v>0</v>
      </c>
      <c r="DA49" s="1426"/>
      <c r="DB49" s="1426"/>
      <c r="DC49" s="998">
        <f>IF(DA49=0,0,(DB49-DA49)/DA49*100)</f>
        <v>0</v>
      </c>
      <c r="DD49" s="1426"/>
      <c r="DE49" s="1426"/>
      <c r="DF49" s="998">
        <f>IF(DD49=0,0,(DE49-DD49)/DD49*100)</f>
        <v>0</v>
      </c>
      <c r="DG49" s="1426"/>
      <c r="DH49" s="1426"/>
      <c r="DI49" s="998">
        <f>IF(DG49=0,0,(DH49-DG49)/DG49*100)</f>
        <v>0</v>
      </c>
      <c r="DJ49" s="1426"/>
      <c r="DK49" s="1426"/>
      <c r="DL49" s="998">
        <f>IF(DJ49=0,0,(DK49-DJ49)/DJ49*100)</f>
        <v>0</v>
      </c>
      <c r="DM49" s="1426"/>
      <c r="DN49" s="1426"/>
      <c r="DO49" s="998">
        <f>IF(DM49=0,0,(DN49-DM49)/DM49*100)</f>
        <v>0</v>
      </c>
      <c r="DP49" s="1426"/>
      <c r="DQ49" s="1426"/>
      <c r="DR49" s="998">
        <f>IF(DP49=0,0,(DQ49-DP49)/DP49*100)</f>
        <v>0</v>
      </c>
      <c r="DS49" s="1426"/>
      <c r="DT49" s="1426"/>
      <c r="DU49" s="998">
        <f>IF(DS49=0,0,(DT49-DS49)/DS49*100)</f>
        <v>0</v>
      </c>
      <c r="DV49" s="1426"/>
      <c r="DW49" s="1426"/>
      <c r="DX49" s="998">
        <f>IF(DV49=0,0,(DW49-DV49)/DV49*100)</f>
        <v>0</v>
      </c>
      <c r="DY49" s="1426"/>
      <c r="DZ49" s="1426"/>
      <c r="EA49" s="998">
        <f>IF(DY49=0,0,(DZ49-DY49)/DY49*100)</f>
        <v>0</v>
      </c>
      <c r="EB49" s="1426"/>
      <c r="EC49" s="1426"/>
      <c r="ED49" s="998">
        <f>IF(EB49=0,0,(EC49-EB49)/EB49*100)</f>
        <v>0</v>
      </c>
      <c r="EE49" s="1426"/>
      <c r="EF49" s="1426"/>
      <c r="EG49" s="998">
        <f>IF(EE49=0,0,(EF49-EE49)/EE49*100)</f>
        <v>0</v>
      </c>
      <c r="EH49" s="1426"/>
      <c r="EI49" s="1426"/>
      <c r="EJ49" s="998">
        <f>IF(EH49=0,0,(EI49-EH49)/EH49*100)</f>
        <v>0</v>
      </c>
      <c r="EK49" s="1426"/>
      <c r="EL49" s="1426"/>
      <c r="EM49" s="998">
        <f>IF(EK49=0,0,(EL49-EK49)/EK49*100)</f>
        <v>0</v>
      </c>
      <c r="EN49" s="1426"/>
      <c r="EO49" s="1426"/>
      <c r="EP49" s="998">
        <f>IF(EN49=0,0,(EO49-EN49)/EN49*100)</f>
        <v>0</v>
      </c>
      <c r="EQ49" s="1426"/>
      <c r="ER49" s="1426"/>
      <c r="ES49" s="998">
        <f>IF(EQ49=0,0,(ER49-EQ49)/EQ49*100)</f>
        <v>0</v>
      </c>
      <c r="ET49" s="1426"/>
      <c r="EU49" s="1426"/>
      <c r="EV49" s="998">
        <f>IF(ET49=0,0,(EU49-ET49)/ET49*100)</f>
        <v>0</v>
      </c>
      <c r="EW49" s="1426"/>
      <c r="EX49" s="1426"/>
      <c r="EY49" s="998">
        <f>IF(EW49=0,0,(EX49-EW49)/EW49*100)</f>
        <v>0</v>
      </c>
      <c r="EZ49" s="1426"/>
      <c r="FA49" s="1426"/>
      <c r="FB49" s="998">
        <f>IF(EZ49=0,0,(FA49-EZ49)/EZ49*100)</f>
        <v>0</v>
      </c>
      <c r="FC49" s="1426"/>
      <c r="FD49" s="1426"/>
      <c r="FE49" s="998">
        <f>IF(FC49=0,0,(FD49-FC49)/FC49*100)</f>
        <v>0</v>
      </c>
      <c r="FF49" s="1426"/>
      <c r="FG49" s="1426"/>
      <c r="FH49" s="998">
        <f>IF(FF49=0,0,(FG49-FF49)/FF49*100)</f>
        <v>0</v>
      </c>
      <c r="FI49" s="1426"/>
      <c r="FJ49" s="1426"/>
      <c r="FK49" s="998">
        <f>IF(FI49=0,0,(FJ49-FI49)/FI49*100)</f>
        <v>0</v>
      </c>
      <c r="FL49" s="1426"/>
      <c r="FM49" s="1426"/>
      <c r="FN49" s="998">
        <f>IF(FL49=0,0,(FM49-FL49)/FL49*100)</f>
        <v>0</v>
      </c>
      <c r="FO49" s="1426"/>
      <c r="FP49" s="1426"/>
      <c r="FQ49" s="998">
        <f>IF(FO49=0,0,(FP49-FO49)/FO49*100)</f>
        <v>0</v>
      </c>
      <c r="FR49" s="1426"/>
      <c r="FS49" s="1426"/>
      <c r="FT49" s="998">
        <f>IF(FR49=0,0,(FS49-FR49)/FR49*100)</f>
        <v>0</v>
      </c>
      <c r="FU49" s="1426"/>
      <c r="FV49" s="1426"/>
      <c r="FW49" s="998">
        <f>IF(FU49=0,0,(FV49-FU49)/FU49*100)</f>
        <v>0</v>
      </c>
      <c r="FZ49" s="957" t="s">
        <v>1492</v>
      </c>
    </row>
    <row r="50" spans="1:182" ht="24.2" hidden="1" customHeight="1">
      <c r="A50" s="409"/>
      <c r="B50" s="830" t="b" cm="1">
        <f t="array" ref="B50">B49</f>
        <v>0</v>
      </c>
      <c r="C50" s="409"/>
      <c r="D50" s="409"/>
      <c r="E50" s="754">
        <v>24.75</v>
      </c>
      <c r="F50" s="3" cm="1">
        <f t="array" aca="1" ref="F50" ca="1">OFFSET(E50,-1,1)</f>
        <v>0</v>
      </c>
      <c r="G50" s="409"/>
      <c r="H50" s="409" t="s">
        <v>1493</v>
      </c>
      <c r="I50" s="409" t="s">
        <v>1452</v>
      </c>
      <c r="J50" s="409"/>
      <c r="K50" s="409"/>
      <c r="L50" s="409"/>
      <c r="M50" s="409"/>
      <c r="N50" s="409"/>
      <c r="O50" s="409"/>
      <c r="P50" s="409"/>
      <c r="Q50" s="409"/>
      <c r="R50" s="409"/>
      <c r="S50" s="409"/>
      <c r="T50" s="381" t="b" cm="1">
        <f t="array" aca="1" ref="T50" ca="1">T49</f>
        <v>0</v>
      </c>
      <c r="U50" s="409"/>
      <c r="V50" s="409"/>
      <c r="W50" s="409"/>
      <c r="X50" s="1787"/>
      <c r="Y50" s="409"/>
      <c r="Z50" s="1734"/>
      <c r="AA50" s="409"/>
      <c r="AB50" s="81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778" t="s">
        <v>1494</v>
      </c>
      <c r="AD50" s="1428"/>
      <c r="AE50" s="1428"/>
      <c r="AF50" s="996">
        <f>IF(AD50=0,0,(AE50-AD50)/AD50*100)</f>
        <v>0</v>
      </c>
      <c r="AG50" s="1428"/>
      <c r="AH50" s="1428"/>
      <c r="AI50" s="996">
        <f>IF(AG50=0,0,(AH50-AG50)/AG50*100)</f>
        <v>0</v>
      </c>
      <c r="AJ50" s="1428"/>
      <c r="AK50" s="1428"/>
      <c r="AL50" s="996">
        <f>IF(AJ50=0,0,(AK50-AJ50)/AJ50*100)</f>
        <v>0</v>
      </c>
      <c r="AM50" s="1428"/>
      <c r="AN50" s="1428"/>
      <c r="AO50" s="996">
        <f>IF(AM50=0,0,(AN50-AM50)/AM50*100)</f>
        <v>0</v>
      </c>
      <c r="AP50" s="1428"/>
      <c r="AQ50" s="1428"/>
      <c r="AR50" s="996">
        <f>IF(AP50=0,0,(AQ50-AP50)/AP50*100)</f>
        <v>0</v>
      </c>
      <c r="AS50" s="1428"/>
      <c r="AT50" s="1428"/>
      <c r="AU50" s="996">
        <f>IF(AS50=0,0,(AT50-AS50)/AS50*100)</f>
        <v>0</v>
      </c>
      <c r="AV50" s="1428"/>
      <c r="AW50" s="1428"/>
      <c r="AX50" s="996">
        <f>IF(AV50=0,0,(AW50-AV50)/AV50*100)</f>
        <v>0</v>
      </c>
      <c r="AY50" s="1428"/>
      <c r="AZ50" s="1428"/>
      <c r="BA50" s="996">
        <f>IF(AY50=0,0,(AZ50-AY50)/AY50*100)</f>
        <v>0</v>
      </c>
      <c r="BB50" s="1428"/>
      <c r="BC50" s="1428"/>
      <c r="BD50" s="996">
        <f>IF(BB50=0,0,(BC50-BB50)/BB50*100)</f>
        <v>0</v>
      </c>
      <c r="BE50" s="1428"/>
      <c r="BF50" s="1428"/>
      <c r="BG50" s="996">
        <f>IF(BE50=0,0,(BF50-BE50)/BE50*100)</f>
        <v>0</v>
      </c>
      <c r="BH50" s="1428"/>
      <c r="BI50" s="1428"/>
      <c r="BJ50" s="996">
        <f>IF(BH50=0,0,(BI50-BH50)/BH50*100)</f>
        <v>0</v>
      </c>
      <c r="BK50" s="1428"/>
      <c r="BL50" s="1428"/>
      <c r="BM50" s="996">
        <f>IF(BK50=0,0,(BL50-BK50)/BK50*100)</f>
        <v>0</v>
      </c>
      <c r="BN50" s="1428"/>
      <c r="BO50" s="1428"/>
      <c r="BP50" s="996">
        <f>IF(BN50=0,0,(BO50-BN50)/BN50*100)</f>
        <v>0</v>
      </c>
      <c r="BQ50" s="1428"/>
      <c r="BR50" s="1428"/>
      <c r="BS50" s="996">
        <f>IF(BQ50=0,0,(BR50-BQ50)/BQ50*100)</f>
        <v>0</v>
      </c>
      <c r="BT50" s="1428"/>
      <c r="BU50" s="1428"/>
      <c r="BV50" s="996">
        <f>IF(BT50=0,0,(BU50-BT50)/BT50*100)</f>
        <v>0</v>
      </c>
      <c r="BW50" s="1428"/>
      <c r="BX50" s="1428"/>
      <c r="BY50" s="996">
        <f>IF(BW50=0,0,(BX50-BW50)/BW50*100)</f>
        <v>0</v>
      </c>
      <c r="BZ50" s="1428"/>
      <c r="CA50" s="1428"/>
      <c r="CB50" s="996">
        <f>IF(BZ50=0,0,(CA50-BZ50)/BZ50*100)</f>
        <v>0</v>
      </c>
      <c r="CC50" s="1428"/>
      <c r="CD50" s="1428"/>
      <c r="CE50" s="996">
        <f>IF(CC50=0,0,(CD50-CC50)/CC50*100)</f>
        <v>0</v>
      </c>
      <c r="CF50" s="1428"/>
      <c r="CG50" s="1428"/>
      <c r="CH50" s="996">
        <f>IF(CF50=0,0,(CG50-CF50)/CF50*100)</f>
        <v>0</v>
      </c>
      <c r="CI50" s="1428"/>
      <c r="CJ50" s="1428"/>
      <c r="CK50" s="996">
        <f>IF(CI50=0,0,(CJ50-CI50)/CI50*100)</f>
        <v>0</v>
      </c>
      <c r="CL50" s="1428"/>
      <c r="CM50" s="1428"/>
      <c r="CN50" s="996">
        <f>IF(CL50=0,0,(CM50-CL50)/CL50*100)</f>
        <v>0</v>
      </c>
      <c r="CO50" s="1428"/>
      <c r="CP50" s="1428"/>
      <c r="CQ50" s="996">
        <f>IF(CO50=0,0,(CP50-CO50)/CO50*100)</f>
        <v>0</v>
      </c>
      <c r="CR50" s="1428"/>
      <c r="CS50" s="1428"/>
      <c r="CT50" s="996">
        <f>IF(CR50=0,0,(CS50-CR50)/CR50*100)</f>
        <v>0</v>
      </c>
      <c r="CU50" s="1428"/>
      <c r="CV50" s="1428"/>
      <c r="CW50" s="996">
        <f>IF(CU50=0,0,(CV50-CU50)/CU50*100)</f>
        <v>0</v>
      </c>
      <c r="CX50" s="1428"/>
      <c r="CY50" s="1428"/>
      <c r="CZ50" s="996">
        <f>IF(CX50=0,0,(CY50-CX50)/CX50*100)</f>
        <v>0</v>
      </c>
      <c r="DA50" s="1428"/>
      <c r="DB50" s="1428"/>
      <c r="DC50" s="996">
        <f>IF(DA50=0,0,(DB50-DA50)/DA50*100)</f>
        <v>0</v>
      </c>
      <c r="DD50" s="1428"/>
      <c r="DE50" s="1428"/>
      <c r="DF50" s="996">
        <f>IF(DD50=0,0,(DE50-DD50)/DD50*100)</f>
        <v>0</v>
      </c>
      <c r="DG50" s="1428"/>
      <c r="DH50" s="1428"/>
      <c r="DI50" s="996">
        <f>IF(DG50=0,0,(DH50-DG50)/DG50*100)</f>
        <v>0</v>
      </c>
      <c r="DJ50" s="1428"/>
      <c r="DK50" s="1428"/>
      <c r="DL50" s="996">
        <f>IF(DJ50=0,0,(DK50-DJ50)/DJ50*100)</f>
        <v>0</v>
      </c>
      <c r="DM50" s="1428"/>
      <c r="DN50" s="1428"/>
      <c r="DO50" s="996">
        <f>IF(DM50=0,0,(DN50-DM50)/DM50*100)</f>
        <v>0</v>
      </c>
      <c r="DP50" s="1428"/>
      <c r="DQ50" s="1428"/>
      <c r="DR50" s="996">
        <f>IF(DP50=0,0,(DQ50-DP50)/DP50*100)</f>
        <v>0</v>
      </c>
      <c r="DS50" s="1428"/>
      <c r="DT50" s="1428"/>
      <c r="DU50" s="996">
        <f>IF(DS50=0,0,(DT50-DS50)/DS50*100)</f>
        <v>0</v>
      </c>
      <c r="DV50" s="1428"/>
      <c r="DW50" s="1428"/>
      <c r="DX50" s="996">
        <f>IF(DV50=0,0,(DW50-DV50)/DV50*100)</f>
        <v>0</v>
      </c>
      <c r="DY50" s="1428"/>
      <c r="DZ50" s="1428"/>
      <c r="EA50" s="996">
        <f>IF(DY50=0,0,(DZ50-DY50)/DY50*100)</f>
        <v>0</v>
      </c>
      <c r="EB50" s="1428"/>
      <c r="EC50" s="1428"/>
      <c r="ED50" s="996">
        <f>IF(EB50=0,0,(EC50-EB50)/EB50*100)</f>
        <v>0</v>
      </c>
      <c r="EE50" s="1428"/>
      <c r="EF50" s="1428"/>
      <c r="EG50" s="996">
        <f>IF(EE50=0,0,(EF50-EE50)/EE50*100)</f>
        <v>0</v>
      </c>
      <c r="EH50" s="1428"/>
      <c r="EI50" s="1428"/>
      <c r="EJ50" s="996">
        <f>IF(EH50=0,0,(EI50-EH50)/EH50*100)</f>
        <v>0</v>
      </c>
      <c r="EK50" s="1428"/>
      <c r="EL50" s="1428"/>
      <c r="EM50" s="996">
        <f>IF(EK50=0,0,(EL50-EK50)/EK50*100)</f>
        <v>0</v>
      </c>
      <c r="EN50" s="1428"/>
      <c r="EO50" s="1428"/>
      <c r="EP50" s="996">
        <f>IF(EN50=0,0,(EO50-EN50)/EN50*100)</f>
        <v>0</v>
      </c>
      <c r="EQ50" s="1428"/>
      <c r="ER50" s="1428"/>
      <c r="ES50" s="996">
        <f>IF(EQ50=0,0,(ER50-EQ50)/EQ50*100)</f>
        <v>0</v>
      </c>
      <c r="ET50" s="1428"/>
      <c r="EU50" s="1428"/>
      <c r="EV50" s="996">
        <f>IF(ET50=0,0,(EU50-ET50)/ET50*100)</f>
        <v>0</v>
      </c>
      <c r="EW50" s="1428"/>
      <c r="EX50" s="1428"/>
      <c r="EY50" s="996">
        <f>IF(EW50=0,0,(EX50-EW50)/EW50*100)</f>
        <v>0</v>
      </c>
      <c r="EZ50" s="1428"/>
      <c r="FA50" s="1428"/>
      <c r="FB50" s="996">
        <f>IF(EZ50=0,0,(FA50-EZ50)/EZ50*100)</f>
        <v>0</v>
      </c>
      <c r="FC50" s="1428"/>
      <c r="FD50" s="1428"/>
      <c r="FE50" s="996">
        <f>IF(FC50=0,0,(FD50-FC50)/FC50*100)</f>
        <v>0</v>
      </c>
      <c r="FF50" s="1428"/>
      <c r="FG50" s="1428"/>
      <c r="FH50" s="996">
        <f>IF(FF50=0,0,(FG50-FF50)/FF50*100)</f>
        <v>0</v>
      </c>
      <c r="FI50" s="1428"/>
      <c r="FJ50" s="1428"/>
      <c r="FK50" s="996">
        <f>IF(FI50=0,0,(FJ50-FI50)/FI50*100)</f>
        <v>0</v>
      </c>
      <c r="FL50" s="1428"/>
      <c r="FM50" s="1428"/>
      <c r="FN50" s="996">
        <f>IF(FL50=0,0,(FM50-FL50)/FL50*100)</f>
        <v>0</v>
      </c>
      <c r="FO50" s="1428"/>
      <c r="FP50" s="1428"/>
      <c r="FQ50" s="996">
        <f>IF(FO50=0,0,(FP50-FO50)/FO50*100)</f>
        <v>0</v>
      </c>
      <c r="FR50" s="1428"/>
      <c r="FS50" s="1428"/>
      <c r="FT50" s="996">
        <f>IF(FR50=0,0,(FS50-FR50)/FR50*100)</f>
        <v>0</v>
      </c>
      <c r="FU50" s="1428"/>
      <c r="FV50" s="1428"/>
      <c r="FW50" s="996">
        <f>IF(FU50=0,0,(FV50-FU50)/FU50*100)</f>
        <v>0</v>
      </c>
      <c r="FZ50" s="957" t="s">
        <v>1495</v>
      </c>
    </row>
    <row r="51" spans="1:182" ht="14.65" hidden="1" customHeight="1">
      <c r="A51" s="409"/>
      <c r="B51" s="830" t="b" cm="1">
        <f t="array" ref="B51">B50</f>
        <v>0</v>
      </c>
      <c r="C51" s="409"/>
      <c r="D51" s="409"/>
      <c r="E51" s="754">
        <v>15</v>
      </c>
      <c r="F51" s="3" cm="1">
        <f t="array" aca="1" ref="F51" ca="1">OFFSET(E51,-1,1)</f>
        <v>0</v>
      </c>
      <c r="G51" s="409"/>
      <c r="H51" s="409" t="s">
        <v>1496</v>
      </c>
      <c r="I51" s="409" t="s">
        <v>1452</v>
      </c>
      <c r="J51" s="409"/>
      <c r="K51" s="409"/>
      <c r="L51" s="409"/>
      <c r="M51" s="409"/>
      <c r="N51" s="409"/>
      <c r="O51" s="409"/>
      <c r="P51" s="409"/>
      <c r="Q51" s="409"/>
      <c r="R51" s="409"/>
      <c r="S51" s="409"/>
      <c r="T51" s="381" t="b" cm="1">
        <f t="array" aca="1" ref="T51" ca="1">T50</f>
        <v>0</v>
      </c>
      <c r="U51" s="409"/>
      <c r="V51" s="409"/>
      <c r="W51" s="409"/>
      <c r="X51" s="1787"/>
      <c r="Y51" s="409"/>
      <c r="Z51" s="1734"/>
      <c r="AA51" s="409"/>
      <c r="AB51" s="811" t="s">
        <v>1497</v>
      </c>
      <c r="AC51" s="778" t="s">
        <v>1498</v>
      </c>
      <c r="AD51" s="1428"/>
      <c r="AE51" s="1428"/>
      <c r="AF51" s="996">
        <f>IF(AD51=0,0,(AE51-AD51)/AD51*100)</f>
        <v>0</v>
      </c>
      <c r="AG51" s="1428"/>
      <c r="AH51" s="1428"/>
      <c r="AI51" s="996">
        <f>IF(AG51=0,0,(AH51-AG51)/AG51*100)</f>
        <v>0</v>
      </c>
      <c r="AJ51" s="1428"/>
      <c r="AK51" s="1428"/>
      <c r="AL51" s="996">
        <f>IF(AJ51=0,0,(AK51-AJ51)/AJ51*100)</f>
        <v>0</v>
      </c>
      <c r="AM51" s="1428"/>
      <c r="AN51" s="1428"/>
      <c r="AO51" s="996">
        <f>IF(AM51=0,0,(AN51-AM51)/AM51*100)</f>
        <v>0</v>
      </c>
      <c r="AP51" s="1428"/>
      <c r="AQ51" s="1428"/>
      <c r="AR51" s="996">
        <f>IF(AP51=0,0,(AQ51-AP51)/AP51*100)</f>
        <v>0</v>
      </c>
      <c r="AS51" s="1428"/>
      <c r="AT51" s="1428"/>
      <c r="AU51" s="996">
        <f>IF(AS51=0,0,(AT51-AS51)/AS51*100)</f>
        <v>0</v>
      </c>
      <c r="AV51" s="1428"/>
      <c r="AW51" s="1428"/>
      <c r="AX51" s="996">
        <f>IF(AV51=0,0,(AW51-AV51)/AV51*100)</f>
        <v>0</v>
      </c>
      <c r="AY51" s="1428"/>
      <c r="AZ51" s="1428"/>
      <c r="BA51" s="996">
        <f>IF(AY51=0,0,(AZ51-AY51)/AY51*100)</f>
        <v>0</v>
      </c>
      <c r="BB51" s="1428"/>
      <c r="BC51" s="1428"/>
      <c r="BD51" s="996">
        <f>IF(BB51=0,0,(BC51-BB51)/BB51*100)</f>
        <v>0</v>
      </c>
      <c r="BE51" s="1428"/>
      <c r="BF51" s="1428"/>
      <c r="BG51" s="996">
        <f>IF(BE51=0,0,(BF51-BE51)/BE51*100)</f>
        <v>0</v>
      </c>
      <c r="BH51" s="1428"/>
      <c r="BI51" s="1428"/>
      <c r="BJ51" s="996">
        <f>IF(BH51=0,0,(BI51-BH51)/BH51*100)</f>
        <v>0</v>
      </c>
      <c r="BK51" s="1428"/>
      <c r="BL51" s="1428"/>
      <c r="BM51" s="996">
        <f>IF(BK51=0,0,(BL51-BK51)/BK51*100)</f>
        <v>0</v>
      </c>
      <c r="BN51" s="1428"/>
      <c r="BO51" s="1428"/>
      <c r="BP51" s="996">
        <f>IF(BN51=0,0,(BO51-BN51)/BN51*100)</f>
        <v>0</v>
      </c>
      <c r="BQ51" s="1428"/>
      <c r="BR51" s="1428"/>
      <c r="BS51" s="996">
        <f>IF(BQ51=0,0,(BR51-BQ51)/BQ51*100)</f>
        <v>0</v>
      </c>
      <c r="BT51" s="1428"/>
      <c r="BU51" s="1428"/>
      <c r="BV51" s="996">
        <f>IF(BT51=0,0,(BU51-BT51)/BT51*100)</f>
        <v>0</v>
      </c>
      <c r="BW51" s="1428"/>
      <c r="BX51" s="1428"/>
      <c r="BY51" s="996">
        <f>IF(BW51=0,0,(BX51-BW51)/BW51*100)</f>
        <v>0</v>
      </c>
      <c r="BZ51" s="1428"/>
      <c r="CA51" s="1428"/>
      <c r="CB51" s="996">
        <f>IF(BZ51=0,0,(CA51-BZ51)/BZ51*100)</f>
        <v>0</v>
      </c>
      <c r="CC51" s="1428"/>
      <c r="CD51" s="1428"/>
      <c r="CE51" s="996">
        <f>IF(CC51=0,0,(CD51-CC51)/CC51*100)</f>
        <v>0</v>
      </c>
      <c r="CF51" s="1428"/>
      <c r="CG51" s="1428"/>
      <c r="CH51" s="996">
        <f>IF(CF51=0,0,(CG51-CF51)/CF51*100)</f>
        <v>0</v>
      </c>
      <c r="CI51" s="1428"/>
      <c r="CJ51" s="1428"/>
      <c r="CK51" s="996">
        <f>IF(CI51=0,0,(CJ51-CI51)/CI51*100)</f>
        <v>0</v>
      </c>
      <c r="CL51" s="1428"/>
      <c r="CM51" s="1428"/>
      <c r="CN51" s="996">
        <f>IF(CL51=0,0,(CM51-CL51)/CL51*100)</f>
        <v>0</v>
      </c>
      <c r="CO51" s="1428"/>
      <c r="CP51" s="1428"/>
      <c r="CQ51" s="996">
        <f>IF(CO51=0,0,(CP51-CO51)/CO51*100)</f>
        <v>0</v>
      </c>
      <c r="CR51" s="1428"/>
      <c r="CS51" s="1428"/>
      <c r="CT51" s="996">
        <f>IF(CR51=0,0,(CS51-CR51)/CR51*100)</f>
        <v>0</v>
      </c>
      <c r="CU51" s="1428"/>
      <c r="CV51" s="1428"/>
      <c r="CW51" s="996">
        <f>IF(CU51=0,0,(CV51-CU51)/CU51*100)</f>
        <v>0</v>
      </c>
      <c r="CX51" s="1428"/>
      <c r="CY51" s="1428"/>
      <c r="CZ51" s="996">
        <f>IF(CX51=0,0,(CY51-CX51)/CX51*100)</f>
        <v>0</v>
      </c>
      <c r="DA51" s="1428"/>
      <c r="DB51" s="1428"/>
      <c r="DC51" s="996">
        <f>IF(DA51=0,0,(DB51-DA51)/DA51*100)</f>
        <v>0</v>
      </c>
      <c r="DD51" s="1428"/>
      <c r="DE51" s="1428"/>
      <c r="DF51" s="996">
        <f>IF(DD51=0,0,(DE51-DD51)/DD51*100)</f>
        <v>0</v>
      </c>
      <c r="DG51" s="1428"/>
      <c r="DH51" s="1428"/>
      <c r="DI51" s="996">
        <f>IF(DG51=0,0,(DH51-DG51)/DG51*100)</f>
        <v>0</v>
      </c>
      <c r="DJ51" s="1428"/>
      <c r="DK51" s="1428"/>
      <c r="DL51" s="996">
        <f>IF(DJ51=0,0,(DK51-DJ51)/DJ51*100)</f>
        <v>0</v>
      </c>
      <c r="DM51" s="1428"/>
      <c r="DN51" s="1428"/>
      <c r="DO51" s="996">
        <f>IF(DM51=0,0,(DN51-DM51)/DM51*100)</f>
        <v>0</v>
      </c>
      <c r="DP51" s="1428"/>
      <c r="DQ51" s="1428"/>
      <c r="DR51" s="996">
        <f>IF(DP51=0,0,(DQ51-DP51)/DP51*100)</f>
        <v>0</v>
      </c>
      <c r="DS51" s="1428"/>
      <c r="DT51" s="1428"/>
      <c r="DU51" s="996">
        <f>IF(DS51=0,0,(DT51-DS51)/DS51*100)</f>
        <v>0</v>
      </c>
      <c r="DV51" s="1428"/>
      <c r="DW51" s="1428"/>
      <c r="DX51" s="996">
        <f>IF(DV51=0,0,(DW51-DV51)/DV51*100)</f>
        <v>0</v>
      </c>
      <c r="DY51" s="1428"/>
      <c r="DZ51" s="1428"/>
      <c r="EA51" s="996">
        <f>IF(DY51=0,0,(DZ51-DY51)/DY51*100)</f>
        <v>0</v>
      </c>
      <c r="EB51" s="1428"/>
      <c r="EC51" s="1428"/>
      <c r="ED51" s="996">
        <f>IF(EB51=0,0,(EC51-EB51)/EB51*100)</f>
        <v>0</v>
      </c>
      <c r="EE51" s="1428"/>
      <c r="EF51" s="1428"/>
      <c r="EG51" s="996">
        <f>IF(EE51=0,0,(EF51-EE51)/EE51*100)</f>
        <v>0</v>
      </c>
      <c r="EH51" s="1428"/>
      <c r="EI51" s="1428"/>
      <c r="EJ51" s="996">
        <f>IF(EH51=0,0,(EI51-EH51)/EH51*100)</f>
        <v>0</v>
      </c>
      <c r="EK51" s="1428"/>
      <c r="EL51" s="1428"/>
      <c r="EM51" s="996">
        <f>IF(EK51=0,0,(EL51-EK51)/EK51*100)</f>
        <v>0</v>
      </c>
      <c r="EN51" s="1428"/>
      <c r="EO51" s="1428"/>
      <c r="EP51" s="996">
        <f>IF(EN51=0,0,(EO51-EN51)/EN51*100)</f>
        <v>0</v>
      </c>
      <c r="EQ51" s="1428"/>
      <c r="ER51" s="1428"/>
      <c r="ES51" s="996">
        <f>IF(EQ51=0,0,(ER51-EQ51)/EQ51*100)</f>
        <v>0</v>
      </c>
      <c r="ET51" s="1428"/>
      <c r="EU51" s="1428"/>
      <c r="EV51" s="996">
        <f>IF(ET51=0,0,(EU51-ET51)/ET51*100)</f>
        <v>0</v>
      </c>
      <c r="EW51" s="1428"/>
      <c r="EX51" s="1428"/>
      <c r="EY51" s="996">
        <f>IF(EW51=0,0,(EX51-EW51)/EW51*100)</f>
        <v>0</v>
      </c>
      <c r="EZ51" s="1428"/>
      <c r="FA51" s="1428"/>
      <c r="FB51" s="996">
        <f>IF(EZ51=0,0,(FA51-EZ51)/EZ51*100)</f>
        <v>0</v>
      </c>
      <c r="FC51" s="1428"/>
      <c r="FD51" s="1428"/>
      <c r="FE51" s="996">
        <f>IF(FC51=0,0,(FD51-FC51)/FC51*100)</f>
        <v>0</v>
      </c>
      <c r="FF51" s="1428"/>
      <c r="FG51" s="1428"/>
      <c r="FH51" s="996">
        <f>IF(FF51=0,0,(FG51-FF51)/FF51*100)</f>
        <v>0</v>
      </c>
      <c r="FI51" s="1428"/>
      <c r="FJ51" s="1428"/>
      <c r="FK51" s="996">
        <f>IF(FI51=0,0,(FJ51-FI51)/FI51*100)</f>
        <v>0</v>
      </c>
      <c r="FL51" s="1428"/>
      <c r="FM51" s="1428"/>
      <c r="FN51" s="996">
        <f>IF(FL51=0,0,(FM51-FL51)/FL51*100)</f>
        <v>0</v>
      </c>
      <c r="FO51" s="1428"/>
      <c r="FP51" s="1428"/>
      <c r="FQ51" s="996">
        <f>IF(FO51=0,0,(FP51-FO51)/FO51*100)</f>
        <v>0</v>
      </c>
      <c r="FR51" s="1428"/>
      <c r="FS51" s="1428"/>
      <c r="FT51" s="996">
        <f>IF(FR51=0,0,(FS51-FR51)/FR51*100)</f>
        <v>0</v>
      </c>
      <c r="FU51" s="1428"/>
      <c r="FV51" s="1428"/>
      <c r="FW51" s="996">
        <f>IF(FU51=0,0,(FV51-FU51)/FU51*100)</f>
        <v>0</v>
      </c>
      <c r="FZ51" s="957" t="s">
        <v>1499</v>
      </c>
    </row>
    <row r="52" spans="1:182" ht="23.85" hidden="1" customHeight="1">
      <c r="A52" s="409"/>
      <c r="B52" s="830" t="b" cm="1">
        <f t="array" ref="B52">B51</f>
        <v>0</v>
      </c>
      <c r="C52" s="409"/>
      <c r="D52" s="409"/>
      <c r="E52" s="754">
        <v>24.5</v>
      </c>
      <c r="F52" s="3" cm="1">
        <f t="array" aca="1" ref="F52" ca="1">OFFSET(E52,-1,1)</f>
        <v>0</v>
      </c>
      <c r="G52" s="409"/>
      <c r="H52" s="409"/>
      <c r="I52" s="409"/>
      <c r="J52" s="409"/>
      <c r="K52" s="409"/>
      <c r="L52" s="409"/>
      <c r="M52" s="409"/>
      <c r="N52" s="409"/>
      <c r="O52" s="409"/>
      <c r="P52" s="409"/>
      <c r="Q52" s="409"/>
      <c r="R52" s="409"/>
      <c r="S52" s="409"/>
      <c r="T52" s="381" t="b" cm="1">
        <f t="array" aca="1" ref="T52" ca="1">T51</f>
        <v>0</v>
      </c>
      <c r="U52" s="409"/>
      <c r="V52" s="409"/>
      <c r="W52" s="409"/>
      <c r="X52" s="1787"/>
      <c r="Y52" s="409"/>
      <c r="Z52" s="1734"/>
      <c r="AA52" s="409"/>
      <c r="AB52" s="209" t="s">
        <v>1500</v>
      </c>
      <c r="AC52" s="810"/>
      <c r="AD52" s="1003"/>
      <c r="AE52" s="1003"/>
      <c r="AF52" s="1003"/>
      <c r="AG52" s="1003"/>
      <c r="AH52" s="1003"/>
      <c r="AI52" s="1003"/>
      <c r="AJ52" s="1003"/>
      <c r="AK52" s="1003"/>
      <c r="AL52" s="1003"/>
      <c r="AM52" s="1003"/>
      <c r="AN52" s="1003"/>
      <c r="AO52" s="1003"/>
      <c r="AP52" s="1003"/>
      <c r="AQ52" s="1003"/>
      <c r="AR52" s="1003"/>
      <c r="AS52" s="1003"/>
      <c r="AT52" s="1003"/>
      <c r="AU52" s="1003"/>
      <c r="AV52" s="1003"/>
      <c r="AW52" s="1003"/>
      <c r="AX52" s="1003"/>
      <c r="AY52" s="1003"/>
      <c r="AZ52" s="1003"/>
      <c r="BA52" s="1003"/>
      <c r="BB52" s="1003"/>
      <c r="BC52" s="1003"/>
      <c r="BD52" s="1003"/>
      <c r="BE52" s="1003"/>
      <c r="BF52" s="1003"/>
      <c r="BG52" s="1003"/>
      <c r="BH52" s="1003"/>
      <c r="BI52" s="1003"/>
      <c r="BJ52" s="1003"/>
      <c r="BK52" s="1003"/>
      <c r="BL52" s="1003"/>
      <c r="BM52" s="1003"/>
      <c r="BN52" s="1003"/>
      <c r="BO52" s="1003"/>
      <c r="BP52" s="1003"/>
      <c r="BQ52" s="1003"/>
      <c r="BR52" s="1003"/>
      <c r="BS52" s="1003"/>
      <c r="BT52" s="1003"/>
      <c r="BU52" s="1003"/>
      <c r="BV52" s="1003"/>
      <c r="BW52" s="1003"/>
      <c r="BX52" s="1003"/>
      <c r="BY52" s="1003"/>
      <c r="BZ52" s="1003"/>
      <c r="CA52" s="1003"/>
      <c r="CB52" s="1003"/>
      <c r="CC52" s="1003"/>
      <c r="CD52" s="1003"/>
      <c r="CE52" s="1003"/>
      <c r="CF52" s="1003"/>
      <c r="CG52" s="1003"/>
      <c r="CH52" s="1003"/>
      <c r="CI52" s="1003"/>
      <c r="CJ52" s="1003"/>
      <c r="CK52" s="1003"/>
      <c r="CL52" s="1003"/>
      <c r="CM52" s="1003"/>
      <c r="CN52" s="1003"/>
      <c r="CO52" s="1003"/>
      <c r="CP52" s="1003"/>
      <c r="CQ52" s="1003"/>
      <c r="CR52" s="1003"/>
      <c r="CS52" s="1003"/>
      <c r="CT52" s="1003"/>
      <c r="CU52" s="1003"/>
      <c r="CV52" s="1003"/>
      <c r="CW52" s="1003"/>
      <c r="CX52" s="1003"/>
      <c r="CY52" s="1003"/>
      <c r="CZ52" s="1003"/>
      <c r="DA52" s="1003"/>
      <c r="DB52" s="1003"/>
      <c r="DC52" s="1003"/>
      <c r="DD52" s="1003"/>
      <c r="DE52" s="1003"/>
      <c r="DF52" s="1003"/>
      <c r="DG52" s="1003"/>
      <c r="DH52" s="1003"/>
      <c r="DI52" s="1003"/>
      <c r="DJ52" s="1003"/>
      <c r="DK52" s="1003"/>
      <c r="DL52" s="1003"/>
      <c r="DM52" s="1003"/>
      <c r="DN52" s="1003"/>
      <c r="DO52" s="1003"/>
      <c r="DP52" s="1003"/>
      <c r="DQ52" s="1003"/>
      <c r="DR52" s="1003"/>
      <c r="DS52" s="1003"/>
      <c r="DT52" s="1003"/>
      <c r="DU52" s="1003"/>
      <c r="DV52" s="1003"/>
      <c r="DW52" s="1003"/>
      <c r="DX52" s="1003"/>
      <c r="DY52" s="1003"/>
      <c r="DZ52" s="1003"/>
      <c r="EA52" s="1003"/>
      <c r="EB52" s="1003"/>
      <c r="EC52" s="1003"/>
      <c r="ED52" s="1003"/>
      <c r="EE52" s="1003"/>
      <c r="EF52" s="1003"/>
      <c r="EG52" s="1003"/>
      <c r="EH52" s="1003"/>
      <c r="EI52" s="1003"/>
      <c r="EJ52" s="1003"/>
      <c r="EK52" s="1003"/>
      <c r="EL52" s="1003"/>
      <c r="EM52" s="1003"/>
      <c r="EN52" s="1003"/>
      <c r="EO52" s="1003"/>
      <c r="EP52" s="1003"/>
      <c r="EQ52" s="1003"/>
      <c r="ER52" s="1003"/>
      <c r="ES52" s="1003"/>
      <c r="ET52" s="1003"/>
      <c r="EU52" s="1003"/>
      <c r="EV52" s="1003"/>
      <c r="EW52" s="1003"/>
      <c r="EX52" s="1003"/>
      <c r="EY52" s="1003"/>
      <c r="EZ52" s="1003"/>
      <c r="FA52" s="1003"/>
      <c r="FB52" s="1003"/>
      <c r="FC52" s="1003"/>
      <c r="FD52" s="1003"/>
      <c r="FE52" s="1003"/>
      <c r="FF52" s="1003"/>
      <c r="FG52" s="1003"/>
      <c r="FH52" s="1003"/>
      <c r="FI52" s="1003"/>
      <c r="FJ52" s="1003"/>
      <c r="FK52" s="1003"/>
      <c r="FL52" s="1003"/>
      <c r="FM52" s="1003"/>
      <c r="FN52" s="1003"/>
      <c r="FO52" s="1003"/>
      <c r="FP52" s="1003"/>
      <c r="FQ52" s="1003"/>
      <c r="FR52" s="1003"/>
      <c r="FS52" s="1003"/>
      <c r="FT52" s="1003"/>
      <c r="FU52" s="1003"/>
      <c r="FV52" s="1003"/>
      <c r="FW52" s="1004"/>
      <c r="FZ52" s="957"/>
    </row>
    <row r="53" spans="1:182" ht="14.65" hidden="1" customHeight="1">
      <c r="A53" s="409"/>
      <c r="B53" s="830" t="b" cm="1">
        <f t="array" ref="B53">B52</f>
        <v>0</v>
      </c>
      <c r="C53" s="409"/>
      <c r="D53" s="409"/>
      <c r="E53" s="754">
        <v>15</v>
      </c>
      <c r="F53" s="3" cm="1">
        <f t="array" aca="1" ref="F53" ca="1">OFFSET(E53,-1,1)</f>
        <v>0</v>
      </c>
      <c r="G53" s="409"/>
      <c r="H53" s="409" t="s">
        <v>1412</v>
      </c>
      <c r="I53" s="409" t="s">
        <v>1457</v>
      </c>
      <c r="J53" s="409"/>
      <c r="K53" s="409"/>
      <c r="L53" s="409"/>
      <c r="M53" s="409"/>
      <c r="N53" s="409"/>
      <c r="O53" s="409"/>
      <c r="P53" s="409"/>
      <c r="Q53" s="409"/>
      <c r="R53" s="409"/>
      <c r="S53" s="409"/>
      <c r="T53" s="381" t="b" cm="1">
        <f t="array" aca="1" ref="T53" ca="1">T52</f>
        <v>0</v>
      </c>
      <c r="U53" s="409"/>
      <c r="V53" s="409"/>
      <c r="W53" s="409"/>
      <c r="X53" s="1787"/>
      <c r="Y53" s="409"/>
      <c r="Z53" s="1734"/>
      <c r="AA53" s="409"/>
      <c r="AB53" s="994" t="s">
        <v>1487</v>
      </c>
      <c r="AC53" s="778" t="s">
        <v>1454</v>
      </c>
      <c r="AD53" s="1428">
        <f ca="1">IF(AD55=0,0,(AD54*AD55+AD56*AD57*IF(god=2026,3,6))/AD55)</f>
        <v>0</v>
      </c>
      <c r="AE53" s="1428">
        <f ca="1">IF(AE55=0,0,(AE54*AE55+AE56*AE57*IF(god=2026,3,6))/AE55)</f>
        <v>0</v>
      </c>
      <c r="AF53" s="996">
        <f ca="1">IF(AD53=0,0,(AE53-AD53)/AD53*100)</f>
        <v>0</v>
      </c>
      <c r="AG53" s="1428">
        <f ca="1">IF(AG55=0,0,(AG54*AG55+AG56*AG57*IF(god=2025,3,6))/AG55)</f>
        <v>0</v>
      </c>
      <c r="AH53" s="1428">
        <f ca="1">IF(AH55=0,0,(AH54*AH55+AH56*AH57*IF(god=2025,3,6))/AH55)</f>
        <v>0</v>
      </c>
      <c r="AI53" s="996">
        <f ca="1">IF(AG53=0,0,(AH53-AG53)/AG53*100)</f>
        <v>0</v>
      </c>
      <c r="AJ53" s="1428">
        <f ca="1">IF(AJ55=0,0,(AJ54*AJ55+AJ56*AJ57*6)/AJ55)</f>
        <v>0</v>
      </c>
      <c r="AK53" s="1428">
        <f ca="1">IF(AK55=0,0,(AK54*AK55+AK56*AK57*6)/AK55)</f>
        <v>0</v>
      </c>
      <c r="AL53" s="996">
        <f ca="1">IF(AJ53=0,0,(AK53-AJ53)/AJ53*100)</f>
        <v>0</v>
      </c>
      <c r="AM53" s="1428">
        <f ca="1">IF(AM55=0,0,(AM54*AM55+AM56*AM57*6)/AM55)</f>
        <v>0</v>
      </c>
      <c r="AN53" s="1428">
        <f ca="1">IF(AN55=0,0,(AN54*AN55+AN56*AN57*6)/AN55)</f>
        <v>0</v>
      </c>
      <c r="AO53" s="996">
        <f ca="1">IF(AM53=0,0,(AN53-AM53)/AM53*100)</f>
        <v>0</v>
      </c>
      <c r="AP53" s="1428">
        <f ca="1">IF(AP55=0,0,(AP54*AP55+AP56*AP57*6)/AP55)</f>
        <v>0</v>
      </c>
      <c r="AQ53" s="1428">
        <f ca="1">IF(AQ55=0,0,(AQ54*AQ55+AQ56*AQ57*6)/AQ55)</f>
        <v>0</v>
      </c>
      <c r="AR53" s="996">
        <f ca="1">IF(AP53=0,0,(AQ53-AP53)/AP53*100)</f>
        <v>0</v>
      </c>
      <c r="AS53" s="1428">
        <f ca="1">IF(AS55=0,0,(AS54*AS55+AS56*AS57*6)/AS55)</f>
        <v>0</v>
      </c>
      <c r="AT53" s="1428">
        <f ca="1">IF(AT55=0,0,(AT54*AT55+AT56*AT57*6)/AT55)</f>
        <v>0</v>
      </c>
      <c r="AU53" s="996">
        <f ca="1">IF(AS53=0,0,(AT53-AS53)/AS53*100)</f>
        <v>0</v>
      </c>
      <c r="AV53" s="1428">
        <f ca="1">IF(AV55=0,0,(AV54*AV55+AV56*AV57*6)/AV55)</f>
        <v>0</v>
      </c>
      <c r="AW53" s="1428">
        <f ca="1">IF(AW55=0,0,(AW54*AW55+AW56*AW57*6)/AW55)</f>
        <v>0</v>
      </c>
      <c r="AX53" s="996">
        <f ca="1">IF(AV53=0,0,(AW53-AV53)/AV53*100)</f>
        <v>0</v>
      </c>
      <c r="AY53" s="1428">
        <f ca="1">IF(AY55=0,0,(AY54*AY55+AY56*AY57*6)/AY55)</f>
        <v>0</v>
      </c>
      <c r="AZ53" s="1428">
        <f ca="1">IF(AZ55=0,0,(AZ54*AZ55+AZ56*AZ57*6)/AZ55)</f>
        <v>0</v>
      </c>
      <c r="BA53" s="996">
        <f ca="1">IF(AY53=0,0,(AZ53-AY53)/AY53*100)</f>
        <v>0</v>
      </c>
      <c r="BB53" s="1428">
        <f ca="1">IF(BB55=0,0,(BB54*BB55+BB56*BB57*6)/BB55)</f>
        <v>0</v>
      </c>
      <c r="BC53" s="1428">
        <f ca="1">IF(BC55=0,0,(BC54*BC55+BC56*BC57*6)/BC55)</f>
        <v>0</v>
      </c>
      <c r="BD53" s="996">
        <f ca="1">IF(BB53=0,0,(BC53-BB53)/BB53*100)</f>
        <v>0</v>
      </c>
      <c r="BE53" s="1428">
        <f ca="1">IF(BE55=0,0,(BE54*BE55+BE56*BE57*6)/BE55)</f>
        <v>0</v>
      </c>
      <c r="BF53" s="1428">
        <f ca="1">IF(BF55=0,0,(BF54*BF55+BF56*BF57*6)/BF55)</f>
        <v>0</v>
      </c>
      <c r="BG53" s="996">
        <f ca="1">IF(BE53=0,0,(BF53-BE53)/BE53*100)</f>
        <v>0</v>
      </c>
      <c r="BH53" s="1428">
        <f>IF(BH55=0,0,(BH54*BH55+BH56*BH57*6)/BH55)</f>
        <v>0</v>
      </c>
      <c r="BI53" s="1428">
        <f>IF(BI55=0,0,(BI54*BI55+BI56*BI57*6)/BI55)</f>
        <v>0</v>
      </c>
      <c r="BJ53" s="996">
        <f>IF(BH53=0,0,(BI53-BH53)/BH53*100)</f>
        <v>0</v>
      </c>
      <c r="BK53" s="1428">
        <f>IF(BK55=0,0,(BK54*BK55+BK56*BK57*6)/BK55)</f>
        <v>0</v>
      </c>
      <c r="BL53" s="1428">
        <f>IF(BL55=0,0,(BL54*BL55+BL56*BL57*6)/BL55)</f>
        <v>0</v>
      </c>
      <c r="BM53" s="996">
        <f>IF(BK53=0,0,(BL53-BK53)/BK53*100)</f>
        <v>0</v>
      </c>
      <c r="BN53" s="1428">
        <f>IF(BN55=0,0,(BN54*BN55+BN56*BN57*6)/BN55)</f>
        <v>0</v>
      </c>
      <c r="BO53" s="1428">
        <f>IF(BO55=0,0,(BO54*BO55+BO56*BO57*6)/BO55)</f>
        <v>0</v>
      </c>
      <c r="BP53" s="996">
        <f>IF(BN53=0,0,(BO53-BN53)/BN53*100)</f>
        <v>0</v>
      </c>
      <c r="BQ53" s="1428">
        <f>IF(BQ55=0,0,(BQ54*BQ55+BQ56*BQ57*6)/BQ55)</f>
        <v>0</v>
      </c>
      <c r="BR53" s="1428">
        <f>IF(BR55=0,0,(BR54*BR55+BR56*BR57*6)/BR55)</f>
        <v>0</v>
      </c>
      <c r="BS53" s="996">
        <f>IF(BQ53=0,0,(BR53-BQ53)/BQ53*100)</f>
        <v>0</v>
      </c>
      <c r="BT53" s="1428">
        <f>IF(BT55=0,0,(BT54*BT55+BT56*BT57*6)/BT55)</f>
        <v>0</v>
      </c>
      <c r="BU53" s="1428">
        <f>IF(BU55=0,0,(BU54*BU55+BU56*BU57*6)/BU55)</f>
        <v>0</v>
      </c>
      <c r="BV53" s="996">
        <f>IF(BT53=0,0,(BU53-BT53)/BT53*100)</f>
        <v>0</v>
      </c>
      <c r="BW53" s="1428">
        <f>IF(BW55=0,0,(BW54*BW55+BW56*BW57*6)/BW55)</f>
        <v>0</v>
      </c>
      <c r="BX53" s="1428">
        <f>IF(BX55=0,0,(BX54*BX55+BX56*BX57*6)/BX55)</f>
        <v>0</v>
      </c>
      <c r="BY53" s="996">
        <f>IF(BW53=0,0,(BX53-BW53)/BW53*100)</f>
        <v>0</v>
      </c>
      <c r="BZ53" s="1428">
        <f>IF(BZ55=0,0,(BZ54*BZ55+BZ56*BZ57*6)/BZ55)</f>
        <v>0</v>
      </c>
      <c r="CA53" s="1428">
        <f>IF(CA55=0,0,(CA54*CA55+CA56*CA57*6)/CA55)</f>
        <v>0</v>
      </c>
      <c r="CB53" s="996">
        <f>IF(BZ53=0,0,(CA53-BZ53)/BZ53*100)</f>
        <v>0</v>
      </c>
      <c r="CC53" s="1428">
        <f>IF(CC55=0,0,(CC54*CC55+CC56*CC57*6)/CC55)</f>
        <v>0</v>
      </c>
      <c r="CD53" s="1428">
        <f>IF(CD55=0,0,(CD54*CD55+CD56*CD57*6)/CD55)</f>
        <v>0</v>
      </c>
      <c r="CE53" s="996">
        <f>IF(CC53=0,0,(CD53-CC53)/CC53*100)</f>
        <v>0</v>
      </c>
      <c r="CF53" s="1428">
        <f>IF(CF55=0,0,(CF54*CF55+CF56*CF57*6)/CF55)</f>
        <v>0</v>
      </c>
      <c r="CG53" s="1428">
        <f>IF(CG55=0,0,(CG54*CG55+CG56*CG57*6)/CG55)</f>
        <v>0</v>
      </c>
      <c r="CH53" s="996">
        <f>IF(CF53=0,0,(CG53-CF53)/CF53*100)</f>
        <v>0</v>
      </c>
      <c r="CI53" s="1428">
        <f>IF(CI55=0,0,(CI54*CI55+CI56*CI57*6)/CI55)</f>
        <v>0</v>
      </c>
      <c r="CJ53" s="1428">
        <f>IF(CJ55=0,0,(CJ54*CJ55+CJ56*CJ57*6)/CJ55)</f>
        <v>0</v>
      </c>
      <c r="CK53" s="996">
        <f>IF(CI53=0,0,(CJ53-CI53)/CI53*100)</f>
        <v>0</v>
      </c>
      <c r="CL53" s="1428">
        <f>IF(CL55=0,0,(CL54*CL55+CL56*CL57*6)/CL55)</f>
        <v>0</v>
      </c>
      <c r="CM53" s="1428">
        <f>IF(CM55=0,0,(CM54*CM55+CM56*CM57*6)/CM55)</f>
        <v>0</v>
      </c>
      <c r="CN53" s="996">
        <f>IF(CL53=0,0,(CM53-CL53)/CL53*100)</f>
        <v>0</v>
      </c>
      <c r="CO53" s="1428">
        <f>IF(CO55=0,0,(CO54*CO55+CO56*CO57*6)/CO55)</f>
        <v>0</v>
      </c>
      <c r="CP53" s="1428">
        <f>IF(CP55=0,0,(CP54*CP55+CP56*CP57*6)/CP55)</f>
        <v>0</v>
      </c>
      <c r="CQ53" s="996">
        <f>IF(CO53=0,0,(CP53-CO53)/CO53*100)</f>
        <v>0</v>
      </c>
      <c r="CR53" s="1428">
        <f>IF(CR55=0,0,(CR54*CR55+CR56*CR57*6)/CR55)</f>
        <v>0</v>
      </c>
      <c r="CS53" s="1428">
        <f>IF(CS55=0,0,(CS54*CS55+CS56*CS57*6)/CS55)</f>
        <v>0</v>
      </c>
      <c r="CT53" s="996">
        <f>IF(CR53=0,0,(CS53-CR53)/CR53*100)</f>
        <v>0</v>
      </c>
      <c r="CU53" s="1428">
        <f>IF(CU55=0,0,(CU54*CU55+CU56*CU57*6)/CU55)</f>
        <v>0</v>
      </c>
      <c r="CV53" s="1428">
        <f>IF(CV55=0,0,(CV54*CV55+CV56*CV57*6)/CV55)</f>
        <v>0</v>
      </c>
      <c r="CW53" s="996">
        <f>IF(CU53=0,0,(CV53-CU53)/CU53*100)</f>
        <v>0</v>
      </c>
      <c r="CX53" s="1428">
        <f>IF(CX55=0,0,(CX54*CX55+CX56*CX57*6)/CX55)</f>
        <v>0</v>
      </c>
      <c r="CY53" s="1428">
        <f>IF(CY55=0,0,(CY54*CY55+CY56*CY57*6)/CY55)</f>
        <v>0</v>
      </c>
      <c r="CZ53" s="996">
        <f>IF(CX53=0,0,(CY53-CX53)/CX53*100)</f>
        <v>0</v>
      </c>
      <c r="DA53" s="1428">
        <f>IF(DA55=0,0,(DA54*DA55+DA56*DA57*6)/DA55)</f>
        <v>0</v>
      </c>
      <c r="DB53" s="1428">
        <f>IF(DB55=0,0,(DB54*DB55+DB56*DB57*6)/DB55)</f>
        <v>0</v>
      </c>
      <c r="DC53" s="996">
        <f>IF(DA53=0,0,(DB53-DA53)/DA53*100)</f>
        <v>0</v>
      </c>
      <c r="DD53" s="1428">
        <f>IF(DD55=0,0,(DD54*DD55+DD56*DD57*6)/DD55)</f>
        <v>0</v>
      </c>
      <c r="DE53" s="1428">
        <f>IF(DE55=0,0,(DE54*DE55+DE56*DE57*6)/DE55)</f>
        <v>0</v>
      </c>
      <c r="DF53" s="996">
        <f>IF(DD53=0,0,(DE53-DD53)/DD53*100)</f>
        <v>0</v>
      </c>
      <c r="DG53" s="1428">
        <f>IF(DG55=0,0,(DG54*DG55+DG56*DG57*6)/DG55)</f>
        <v>0</v>
      </c>
      <c r="DH53" s="1428">
        <f>IF(DH55=0,0,(DH54*DH55+DH56*DH57*6)/DH55)</f>
        <v>0</v>
      </c>
      <c r="DI53" s="996">
        <f>IF(DG53=0,0,(DH53-DG53)/DG53*100)</f>
        <v>0</v>
      </c>
      <c r="DJ53" s="1428">
        <f>IF(DJ55=0,0,(DJ54*DJ55+DJ56*DJ57*6)/DJ55)</f>
        <v>0</v>
      </c>
      <c r="DK53" s="1428">
        <f>IF(DK55=0,0,(DK54*DK55+DK56*DK57*6)/DK55)</f>
        <v>0</v>
      </c>
      <c r="DL53" s="996">
        <f>IF(DJ53=0,0,(DK53-DJ53)/DJ53*100)</f>
        <v>0</v>
      </c>
      <c r="DM53" s="1428">
        <f>IF(DM55=0,0,(DM54*DM55+DM56*DM57*6)/DM55)</f>
        <v>0</v>
      </c>
      <c r="DN53" s="1428">
        <f>IF(DN55=0,0,(DN54*DN55+DN56*DN57*6)/DN55)</f>
        <v>0</v>
      </c>
      <c r="DO53" s="996">
        <f>IF(DM53=0,0,(DN53-DM53)/DM53*100)</f>
        <v>0</v>
      </c>
      <c r="DP53" s="1428">
        <f>IF(DP55=0,0,(DP54*DP55+DP56*DP57*6)/DP55)</f>
        <v>0</v>
      </c>
      <c r="DQ53" s="1428">
        <f>IF(DQ55=0,0,(DQ54*DQ55+DQ56*DQ57*6)/DQ55)</f>
        <v>0</v>
      </c>
      <c r="DR53" s="996">
        <f>IF(DP53=0,0,(DQ53-DP53)/DP53*100)</f>
        <v>0</v>
      </c>
      <c r="DS53" s="1428">
        <f>IF(DS55=0,0,(DS54*DS55+DS56*DS57*6)/DS55)</f>
        <v>0</v>
      </c>
      <c r="DT53" s="1428">
        <f>IF(DT55=0,0,(DT54*DT55+DT56*DT57*6)/DT55)</f>
        <v>0</v>
      </c>
      <c r="DU53" s="996">
        <f>IF(DS53=0,0,(DT53-DS53)/DS53*100)</f>
        <v>0</v>
      </c>
      <c r="DV53" s="1428">
        <f>IF(DV55=0,0,(DV54*DV55+DV56*DV57*6)/DV55)</f>
        <v>0</v>
      </c>
      <c r="DW53" s="1428">
        <f>IF(DW55=0,0,(DW54*DW55+DW56*DW57*6)/DW55)</f>
        <v>0</v>
      </c>
      <c r="DX53" s="996">
        <f>IF(DV53=0,0,(DW53-DV53)/DV53*100)</f>
        <v>0</v>
      </c>
      <c r="DY53" s="1428">
        <f>IF(DY55=0,0,(DY54*DY55+DY56*DY57*6)/DY55)</f>
        <v>0</v>
      </c>
      <c r="DZ53" s="1428">
        <f>IF(DZ55=0,0,(DZ54*DZ55+DZ56*DZ57*6)/DZ55)</f>
        <v>0</v>
      </c>
      <c r="EA53" s="996">
        <f>IF(DY53=0,0,(DZ53-DY53)/DY53*100)</f>
        <v>0</v>
      </c>
      <c r="EB53" s="1428">
        <f>IF(EB55=0,0,(EB54*EB55+EB56*EB57*6)/EB55)</f>
        <v>0</v>
      </c>
      <c r="EC53" s="1428">
        <f>IF(EC55=0,0,(EC54*EC55+EC56*EC57*6)/EC55)</f>
        <v>0</v>
      </c>
      <c r="ED53" s="996">
        <f>IF(EB53=0,0,(EC53-EB53)/EB53*100)</f>
        <v>0</v>
      </c>
      <c r="EE53" s="1428">
        <f>IF(EE55=0,0,(EE54*EE55+EE56*EE57*6)/EE55)</f>
        <v>0</v>
      </c>
      <c r="EF53" s="1428">
        <f>IF(EF55=0,0,(EF54*EF55+EF56*EF57*6)/EF55)</f>
        <v>0</v>
      </c>
      <c r="EG53" s="996">
        <f>IF(EE53=0,0,(EF53-EE53)/EE53*100)</f>
        <v>0</v>
      </c>
      <c r="EH53" s="1428">
        <f>IF(EH55=0,0,(EH54*EH55+EH56*EH57*6)/EH55)</f>
        <v>0</v>
      </c>
      <c r="EI53" s="1428">
        <f>IF(EI55=0,0,(EI54*EI55+EI56*EI57*6)/EI55)</f>
        <v>0</v>
      </c>
      <c r="EJ53" s="996">
        <f>IF(EH53=0,0,(EI53-EH53)/EH53*100)</f>
        <v>0</v>
      </c>
      <c r="EK53" s="1428">
        <f>IF(EK55=0,0,(EK54*EK55+EK56*EK57*6)/EK55)</f>
        <v>0</v>
      </c>
      <c r="EL53" s="1428">
        <f>IF(EL55=0,0,(EL54*EL55+EL56*EL57*6)/EL55)</f>
        <v>0</v>
      </c>
      <c r="EM53" s="996">
        <f>IF(EK53=0,0,(EL53-EK53)/EK53*100)</f>
        <v>0</v>
      </c>
      <c r="EN53" s="1428">
        <f>IF(EN55=0,0,(EN54*EN55+EN56*EN57*6)/EN55)</f>
        <v>0</v>
      </c>
      <c r="EO53" s="1428">
        <f>IF(EO55=0,0,(EO54*EO55+EO56*EO57*6)/EO55)</f>
        <v>0</v>
      </c>
      <c r="EP53" s="996">
        <f>IF(EN53=0,0,(EO53-EN53)/EN53*100)</f>
        <v>0</v>
      </c>
      <c r="EQ53" s="1428">
        <f>IF(EQ55=0,0,(EQ54*EQ55+EQ56*EQ57*6)/EQ55)</f>
        <v>0</v>
      </c>
      <c r="ER53" s="1428">
        <f>IF(ER55=0,0,(ER54*ER55+ER56*ER57*6)/ER55)</f>
        <v>0</v>
      </c>
      <c r="ES53" s="996">
        <f>IF(EQ53=0,0,(ER53-EQ53)/EQ53*100)</f>
        <v>0</v>
      </c>
      <c r="ET53" s="1428">
        <f>IF(ET55=0,0,(ET54*ET55+ET56*ET57*6)/ET55)</f>
        <v>0</v>
      </c>
      <c r="EU53" s="1428">
        <f>IF(EU55=0,0,(EU54*EU55+EU56*EU57*6)/EU55)</f>
        <v>0</v>
      </c>
      <c r="EV53" s="996">
        <f>IF(ET53=0,0,(EU53-ET53)/ET53*100)</f>
        <v>0</v>
      </c>
      <c r="EW53" s="1428">
        <f>IF(EW55=0,0,(EW54*EW55+EW56*EW57*6)/EW55)</f>
        <v>0</v>
      </c>
      <c r="EX53" s="1428">
        <f>IF(EX55=0,0,(EX54*EX55+EX56*EX57*6)/EX55)</f>
        <v>0</v>
      </c>
      <c r="EY53" s="996">
        <f>IF(EW53=0,0,(EX53-EW53)/EW53*100)</f>
        <v>0</v>
      </c>
      <c r="EZ53" s="1428">
        <f>IF(EZ55=0,0,(EZ54*EZ55+EZ56*EZ57*6)/EZ55)</f>
        <v>0</v>
      </c>
      <c r="FA53" s="1428">
        <f>IF(FA55=0,0,(FA54*FA55+FA56*FA57*6)/FA55)</f>
        <v>0</v>
      </c>
      <c r="FB53" s="996">
        <f>IF(EZ53=0,0,(FA53-EZ53)/EZ53*100)</f>
        <v>0</v>
      </c>
      <c r="FC53" s="1428">
        <f>IF(FC55=0,0,(FC54*FC55+FC56*FC57*6)/FC55)</f>
        <v>0</v>
      </c>
      <c r="FD53" s="1428">
        <f>IF(FD55=0,0,(FD54*FD55+FD56*FD57*6)/FD55)</f>
        <v>0</v>
      </c>
      <c r="FE53" s="996">
        <f>IF(FC53=0,0,(FD53-FC53)/FC53*100)</f>
        <v>0</v>
      </c>
      <c r="FF53" s="1428">
        <f>IF(FF55=0,0,(FF54*FF55+FF56*FF57*6)/FF55)</f>
        <v>0</v>
      </c>
      <c r="FG53" s="1428">
        <f>IF(FG55=0,0,(FG54*FG55+FG56*FG57*6)/FG55)</f>
        <v>0</v>
      </c>
      <c r="FH53" s="996">
        <f>IF(FF53=0,0,(FG53-FF53)/FF53*100)</f>
        <v>0</v>
      </c>
      <c r="FI53" s="1428">
        <f>IF(FI55=0,0,(FI54*FI55+FI56*FI57*6)/FI55)</f>
        <v>0</v>
      </c>
      <c r="FJ53" s="1428">
        <f>IF(FJ55=0,0,(FJ54*FJ55+FJ56*FJ57*6)/FJ55)</f>
        <v>0</v>
      </c>
      <c r="FK53" s="996">
        <f>IF(FI53=0,0,(FJ53-FI53)/FI53*100)</f>
        <v>0</v>
      </c>
      <c r="FL53" s="1428">
        <f>IF(FL55=0,0,(FL54*FL55+FL56*FL57*6)/FL55)</f>
        <v>0</v>
      </c>
      <c r="FM53" s="1428">
        <f>IF(FM55=0,0,(FM54*FM55+FM56*FM57*6)/FM55)</f>
        <v>0</v>
      </c>
      <c r="FN53" s="996">
        <f>IF(FL53=0,0,(FM53-FL53)/FL53*100)</f>
        <v>0</v>
      </c>
      <c r="FO53" s="1428">
        <f>IF(FO55=0,0,(FO54*FO55+FO56*FO57*6)/FO55)</f>
        <v>0</v>
      </c>
      <c r="FP53" s="1428">
        <f>IF(FP55=0,0,(FP54*FP55+FP56*FP57*6)/FP55)</f>
        <v>0</v>
      </c>
      <c r="FQ53" s="996">
        <f>IF(FO53=0,0,(FP53-FO53)/FO53*100)</f>
        <v>0</v>
      </c>
      <c r="FR53" s="1428">
        <f>IF(FR55=0,0,(FR54*FR55+FR56*FR57*6)/FR55)</f>
        <v>0</v>
      </c>
      <c r="FS53" s="1428">
        <f>IF(FS55=0,0,(FS54*FS55+FS56*FS57*6)/FS55)</f>
        <v>0</v>
      </c>
      <c r="FT53" s="996">
        <f>IF(FR53=0,0,(FS53-FR53)/FR53*100)</f>
        <v>0</v>
      </c>
      <c r="FU53" s="1428">
        <f>IF(FU55=0,0,(FU54*FU55+FU56*FU57*6)/FU55)</f>
        <v>0</v>
      </c>
      <c r="FV53" s="1428">
        <f>IF(FV55=0,0,(FV54*FV55+FV56*FV57*6)/FV55)</f>
        <v>0</v>
      </c>
      <c r="FW53" s="996">
        <f>IF(FU53=0,0,(FV53-FU53)/FU53*100)</f>
        <v>0</v>
      </c>
      <c r="FZ53" s="957" t="s">
        <v>1501</v>
      </c>
    </row>
    <row r="54" spans="1:182" ht="14.65" hidden="1" customHeight="1">
      <c r="A54" s="409"/>
      <c r="B54" s="830" t="b" cm="1">
        <f t="array" ref="B54">B53</f>
        <v>0</v>
      </c>
      <c r="C54" s="409"/>
      <c r="D54" s="409"/>
      <c r="E54" s="754">
        <v>15</v>
      </c>
      <c r="F54" s="3" cm="1">
        <f t="array" aca="1" ref="F54" ca="1">OFFSET(E54,-1,1)</f>
        <v>0</v>
      </c>
      <c r="G54" s="409"/>
      <c r="H54" s="409" t="s">
        <v>1416</v>
      </c>
      <c r="I54" s="409" t="s">
        <v>1457</v>
      </c>
      <c r="J54" s="409"/>
      <c r="K54" s="409"/>
      <c r="L54" s="409"/>
      <c r="M54" s="409"/>
      <c r="N54" s="409"/>
      <c r="O54" s="409"/>
      <c r="P54" s="409"/>
      <c r="Q54" s="409"/>
      <c r="R54" s="409"/>
      <c r="S54" s="409"/>
      <c r="T54" s="381" t="b" cm="1">
        <f t="array" aca="1" ref="T54" ca="1">T53</f>
        <v>0</v>
      </c>
      <c r="U54" s="409"/>
      <c r="V54" s="409"/>
      <c r="W54" s="409"/>
      <c r="X54" s="1787"/>
      <c r="Y54" s="409"/>
      <c r="Z54" s="1734"/>
      <c r="AA54" s="409"/>
      <c r="AB54" s="994" t="str">
        <f>"ставка платы за "&amp;IF(Q29="Водоснабжение","потребление 1 куб.м холодной воды","объем принятых сточных вод")</f>
        <v>ставка платы за объем принятых сточных вод</v>
      </c>
      <c r="AC54" s="778" t="s">
        <v>1454</v>
      </c>
      <c r="AD54" s="1428"/>
      <c r="AE54" s="1428"/>
      <c r="AF54" s="996">
        <f>IF(AD54=0,0,(AE54-AD54)/AD54*100)</f>
        <v>0</v>
      </c>
      <c r="AG54" s="1428"/>
      <c r="AH54" s="1428"/>
      <c r="AI54" s="996">
        <f>IF(AG54=0,0,(AH54-AG54)/AG54*100)</f>
        <v>0</v>
      </c>
      <c r="AJ54" s="1428"/>
      <c r="AK54" s="1428"/>
      <c r="AL54" s="996">
        <f>IF(AJ54=0,0,(AK54-AJ54)/AJ54*100)</f>
        <v>0</v>
      </c>
      <c r="AM54" s="1428"/>
      <c r="AN54" s="1428"/>
      <c r="AO54" s="996">
        <f>IF(AM54=0,0,(AN54-AM54)/AM54*100)</f>
        <v>0</v>
      </c>
      <c r="AP54" s="1428"/>
      <c r="AQ54" s="1428"/>
      <c r="AR54" s="996">
        <f>IF(AP54=0,0,(AQ54-AP54)/AP54*100)</f>
        <v>0</v>
      </c>
      <c r="AS54" s="1428"/>
      <c r="AT54" s="1428"/>
      <c r="AU54" s="996">
        <f>IF(AS54=0,0,(AT54-AS54)/AS54*100)</f>
        <v>0</v>
      </c>
      <c r="AV54" s="1428"/>
      <c r="AW54" s="1428"/>
      <c r="AX54" s="996">
        <f>IF(AV54=0,0,(AW54-AV54)/AV54*100)</f>
        <v>0</v>
      </c>
      <c r="AY54" s="1428"/>
      <c r="AZ54" s="1428"/>
      <c r="BA54" s="996">
        <f>IF(AY54=0,0,(AZ54-AY54)/AY54*100)</f>
        <v>0</v>
      </c>
      <c r="BB54" s="1428"/>
      <c r="BC54" s="1428"/>
      <c r="BD54" s="996">
        <f>IF(BB54=0,0,(BC54-BB54)/BB54*100)</f>
        <v>0</v>
      </c>
      <c r="BE54" s="1428"/>
      <c r="BF54" s="1428"/>
      <c r="BG54" s="996">
        <f>IF(BE54=0,0,(BF54-BE54)/BE54*100)</f>
        <v>0</v>
      </c>
      <c r="BH54" s="1428"/>
      <c r="BI54" s="1428"/>
      <c r="BJ54" s="996">
        <f>IF(BH54=0,0,(BI54-BH54)/BH54*100)</f>
        <v>0</v>
      </c>
      <c r="BK54" s="1428"/>
      <c r="BL54" s="1428"/>
      <c r="BM54" s="996">
        <f>IF(BK54=0,0,(BL54-BK54)/BK54*100)</f>
        <v>0</v>
      </c>
      <c r="BN54" s="1428"/>
      <c r="BO54" s="1428"/>
      <c r="BP54" s="996">
        <f>IF(BN54=0,0,(BO54-BN54)/BN54*100)</f>
        <v>0</v>
      </c>
      <c r="BQ54" s="1428"/>
      <c r="BR54" s="1428"/>
      <c r="BS54" s="996">
        <f>IF(BQ54=0,0,(BR54-BQ54)/BQ54*100)</f>
        <v>0</v>
      </c>
      <c r="BT54" s="1428"/>
      <c r="BU54" s="1428"/>
      <c r="BV54" s="996">
        <f>IF(BT54=0,0,(BU54-BT54)/BT54*100)</f>
        <v>0</v>
      </c>
      <c r="BW54" s="1428"/>
      <c r="BX54" s="1428"/>
      <c r="BY54" s="996">
        <f>IF(BW54=0,0,(BX54-BW54)/BW54*100)</f>
        <v>0</v>
      </c>
      <c r="BZ54" s="1428"/>
      <c r="CA54" s="1428"/>
      <c r="CB54" s="996">
        <f>IF(BZ54=0,0,(CA54-BZ54)/BZ54*100)</f>
        <v>0</v>
      </c>
      <c r="CC54" s="1428"/>
      <c r="CD54" s="1428"/>
      <c r="CE54" s="996">
        <f>IF(CC54=0,0,(CD54-CC54)/CC54*100)</f>
        <v>0</v>
      </c>
      <c r="CF54" s="1428"/>
      <c r="CG54" s="1428"/>
      <c r="CH54" s="996">
        <f>IF(CF54=0,0,(CG54-CF54)/CF54*100)</f>
        <v>0</v>
      </c>
      <c r="CI54" s="1428"/>
      <c r="CJ54" s="1428"/>
      <c r="CK54" s="996">
        <f>IF(CI54=0,0,(CJ54-CI54)/CI54*100)</f>
        <v>0</v>
      </c>
      <c r="CL54" s="1428"/>
      <c r="CM54" s="1428"/>
      <c r="CN54" s="996">
        <f>IF(CL54=0,0,(CM54-CL54)/CL54*100)</f>
        <v>0</v>
      </c>
      <c r="CO54" s="1428"/>
      <c r="CP54" s="1428"/>
      <c r="CQ54" s="996">
        <f>IF(CO54=0,0,(CP54-CO54)/CO54*100)</f>
        <v>0</v>
      </c>
      <c r="CR54" s="1428"/>
      <c r="CS54" s="1428"/>
      <c r="CT54" s="996">
        <f>IF(CR54=0,0,(CS54-CR54)/CR54*100)</f>
        <v>0</v>
      </c>
      <c r="CU54" s="1428"/>
      <c r="CV54" s="1428"/>
      <c r="CW54" s="996">
        <f>IF(CU54=0,0,(CV54-CU54)/CU54*100)</f>
        <v>0</v>
      </c>
      <c r="CX54" s="1428"/>
      <c r="CY54" s="1428"/>
      <c r="CZ54" s="996">
        <f>IF(CX54=0,0,(CY54-CX54)/CX54*100)</f>
        <v>0</v>
      </c>
      <c r="DA54" s="1428"/>
      <c r="DB54" s="1428"/>
      <c r="DC54" s="996">
        <f>IF(DA54=0,0,(DB54-DA54)/DA54*100)</f>
        <v>0</v>
      </c>
      <c r="DD54" s="1428"/>
      <c r="DE54" s="1428"/>
      <c r="DF54" s="996">
        <f>IF(DD54=0,0,(DE54-DD54)/DD54*100)</f>
        <v>0</v>
      </c>
      <c r="DG54" s="1428"/>
      <c r="DH54" s="1428"/>
      <c r="DI54" s="996">
        <f>IF(DG54=0,0,(DH54-DG54)/DG54*100)</f>
        <v>0</v>
      </c>
      <c r="DJ54" s="1428"/>
      <c r="DK54" s="1428"/>
      <c r="DL54" s="996">
        <f>IF(DJ54=0,0,(DK54-DJ54)/DJ54*100)</f>
        <v>0</v>
      </c>
      <c r="DM54" s="1428"/>
      <c r="DN54" s="1428"/>
      <c r="DO54" s="996">
        <f>IF(DM54=0,0,(DN54-DM54)/DM54*100)</f>
        <v>0</v>
      </c>
      <c r="DP54" s="1428"/>
      <c r="DQ54" s="1428"/>
      <c r="DR54" s="996">
        <f>IF(DP54=0,0,(DQ54-DP54)/DP54*100)</f>
        <v>0</v>
      </c>
      <c r="DS54" s="1428"/>
      <c r="DT54" s="1428"/>
      <c r="DU54" s="996">
        <f>IF(DS54=0,0,(DT54-DS54)/DS54*100)</f>
        <v>0</v>
      </c>
      <c r="DV54" s="1428"/>
      <c r="DW54" s="1428"/>
      <c r="DX54" s="996">
        <f>IF(DV54=0,0,(DW54-DV54)/DV54*100)</f>
        <v>0</v>
      </c>
      <c r="DY54" s="1428"/>
      <c r="DZ54" s="1428"/>
      <c r="EA54" s="996">
        <f>IF(DY54=0,0,(DZ54-DY54)/DY54*100)</f>
        <v>0</v>
      </c>
      <c r="EB54" s="1428"/>
      <c r="EC54" s="1428"/>
      <c r="ED54" s="996">
        <f>IF(EB54=0,0,(EC54-EB54)/EB54*100)</f>
        <v>0</v>
      </c>
      <c r="EE54" s="1428"/>
      <c r="EF54" s="1428"/>
      <c r="EG54" s="996">
        <f>IF(EE54=0,0,(EF54-EE54)/EE54*100)</f>
        <v>0</v>
      </c>
      <c r="EH54" s="1428"/>
      <c r="EI54" s="1428"/>
      <c r="EJ54" s="996">
        <f>IF(EH54=0,0,(EI54-EH54)/EH54*100)</f>
        <v>0</v>
      </c>
      <c r="EK54" s="1428"/>
      <c r="EL54" s="1428"/>
      <c r="EM54" s="996">
        <f>IF(EK54=0,0,(EL54-EK54)/EK54*100)</f>
        <v>0</v>
      </c>
      <c r="EN54" s="1428"/>
      <c r="EO54" s="1428"/>
      <c r="EP54" s="996">
        <f>IF(EN54=0,0,(EO54-EN54)/EN54*100)</f>
        <v>0</v>
      </c>
      <c r="EQ54" s="1428"/>
      <c r="ER54" s="1428"/>
      <c r="ES54" s="996">
        <f>IF(EQ54=0,0,(ER54-EQ54)/EQ54*100)</f>
        <v>0</v>
      </c>
      <c r="ET54" s="1428"/>
      <c r="EU54" s="1428"/>
      <c r="EV54" s="996">
        <f>IF(ET54=0,0,(EU54-ET54)/ET54*100)</f>
        <v>0</v>
      </c>
      <c r="EW54" s="1428"/>
      <c r="EX54" s="1428"/>
      <c r="EY54" s="996">
        <f>IF(EW54=0,0,(EX54-EW54)/EW54*100)</f>
        <v>0</v>
      </c>
      <c r="EZ54" s="1428"/>
      <c r="FA54" s="1428"/>
      <c r="FB54" s="996">
        <f>IF(EZ54=0,0,(FA54-EZ54)/EZ54*100)</f>
        <v>0</v>
      </c>
      <c r="FC54" s="1428"/>
      <c r="FD54" s="1428"/>
      <c r="FE54" s="996">
        <f>IF(FC54=0,0,(FD54-FC54)/FC54*100)</f>
        <v>0</v>
      </c>
      <c r="FF54" s="1428"/>
      <c r="FG54" s="1428"/>
      <c r="FH54" s="996">
        <f>IF(FF54=0,0,(FG54-FF54)/FF54*100)</f>
        <v>0</v>
      </c>
      <c r="FI54" s="1428"/>
      <c r="FJ54" s="1428"/>
      <c r="FK54" s="996">
        <f>IF(FI54=0,0,(FJ54-FI54)/FI54*100)</f>
        <v>0</v>
      </c>
      <c r="FL54" s="1428"/>
      <c r="FM54" s="1428"/>
      <c r="FN54" s="996">
        <f>IF(FL54=0,0,(FM54-FL54)/FL54*100)</f>
        <v>0</v>
      </c>
      <c r="FO54" s="1428"/>
      <c r="FP54" s="1428"/>
      <c r="FQ54" s="996">
        <f>IF(FO54=0,0,(FP54-FO54)/FO54*100)</f>
        <v>0</v>
      </c>
      <c r="FR54" s="1428"/>
      <c r="FS54" s="1428"/>
      <c r="FT54" s="996">
        <f>IF(FR54=0,0,(FS54-FR54)/FR54*100)</f>
        <v>0</v>
      </c>
      <c r="FU54" s="1428"/>
      <c r="FV54" s="1428"/>
      <c r="FW54" s="996">
        <f>IF(FU54=0,0,(FV54-FU54)/FU54*100)</f>
        <v>0</v>
      </c>
      <c r="FZ54" s="957" t="s">
        <v>1502</v>
      </c>
    </row>
    <row r="55" spans="1:182" ht="14.65" hidden="1" customHeight="1">
      <c r="A55" s="409"/>
      <c r="B55" s="830" t="b" cm="1">
        <f t="array" ref="B55">B54</f>
        <v>0</v>
      </c>
      <c r="C55" s="409"/>
      <c r="D55" s="409"/>
      <c r="E55" s="754">
        <v>15</v>
      </c>
      <c r="F55" s="3" cm="1">
        <f t="array" aca="1" ref="F55" ca="1">OFFSET(E55,-1,1)</f>
        <v>0</v>
      </c>
      <c r="G55" s="26" t="s">
        <v>1503</v>
      </c>
      <c r="H55" s="409" t="s">
        <v>1491</v>
      </c>
      <c r="I55" s="409" t="s">
        <v>1457</v>
      </c>
      <c r="J55" s="409"/>
      <c r="K55" s="409"/>
      <c r="L55" s="409"/>
      <c r="M55" s="409"/>
      <c r="N55" s="409"/>
      <c r="O55" s="409"/>
      <c r="P55" s="409"/>
      <c r="Q55" s="409"/>
      <c r="R55" s="409"/>
      <c r="S55" s="409"/>
      <c r="T55" s="381" t="b" cm="1">
        <f t="array" aca="1" ref="T55" ca="1">T54</f>
        <v>0</v>
      </c>
      <c r="U55" s="409"/>
      <c r="V55" s="409"/>
      <c r="W55" s="409"/>
      <c r="X55" s="1787"/>
      <c r="Y55" s="409"/>
      <c r="Z55" s="1734"/>
      <c r="AA55" s="409"/>
      <c r="AB55" s="994" t="str">
        <f>"объём "&amp;IF(Q29="Водоснабжение","потребления холодной воды","водоотведения")</f>
        <v>объём водоотведения</v>
      </c>
      <c r="AC55" s="778" t="s">
        <v>499</v>
      </c>
      <c r="AD55" s="1426">
        <f ca="1">IF(AND(method_reg="Метод индексации",god&lt;&gt;first_year),SUMIFS(INDEX('Калькуляция (МИ корр)'!$AJ$25:$BC$315,,MATCH(AD$8,'Калькуляция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(МИ)'!$AJ$25:$BC$315,,MATCH(AD$8,'Калькуляция (МИ)'!$AJ$8:$BC$8,0)),'Калькуляция (МИ)'!$F$25:$F$315,$F55,'Калькуляция (МИ)'!$G$25:$G$315,$G55))))</f>
        <v>0</v>
      </c>
      <c r="AE55" s="1426">
        <f ca="1">IF(AND(method_reg="Метод индексации",god&lt;&gt;first_year),SUMIFS(INDEX('Калькуляция (МИ корр)'!$AJ$25:$BC$315,,MATCH(AE$8,'Калькуляция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(МИ)'!$AJ$25:$BC$315,,MATCH(AE$8,'Калькуляция (МИ)'!$AJ$8:$BC$8,0)),'Калькуляция (МИ)'!$F$25:$F$315,$F55,'Калькуляция (МИ)'!$G$25:$G$315,$G55))))</f>
        <v>0</v>
      </c>
      <c r="AF55" s="998">
        <f ca="1">IF(AD55=0,0,(AE55-AD55)/AD55*100)</f>
        <v>0</v>
      </c>
      <c r="AG55" s="1426">
        <f ca="1">IF(AND(method_reg="Метод индексации",god&lt;&gt;first_year),SUMIFS(INDEX('Калькуляция (МИ корр)'!$AJ$25:$BC$315,,MATCH(AG$8,'Калькуляция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(МИ)'!$AJ$25:$BC$315,,MATCH(AG$8,'Калькуляция (МИ)'!$AJ$8:$BC$8,0)),'Калькуляция (МИ)'!$F$25:$F$315,$F55,'Калькуляция (МИ)'!$G$25:$G$315,$G55))))</f>
        <v>0</v>
      </c>
      <c r="AH55" s="1426">
        <f ca="1">IF(AND(method_reg="Метод индексации",god&lt;&gt;first_year),SUMIFS(INDEX('Калькуляция (МИ корр)'!$AJ$25:$BC$315,,MATCH(AH$8,'Калькуляция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(МИ)'!$AJ$25:$BC$315,,MATCH(AH$8,'Калькуляция (МИ)'!$AJ$8:$BC$8,0)),'Калькуляция (МИ)'!$F$25:$F$315,$F55,'Калькуляция (МИ)'!$G$25:$G$315,$G55))))</f>
        <v>0</v>
      </c>
      <c r="AI55" s="998">
        <f ca="1">IF(AG55=0,0,(AH55-AG55)/AG55*100)</f>
        <v>0</v>
      </c>
      <c r="AJ55" s="1426">
        <f ca="1">IF(AND(method_reg="Метод индексации",god&lt;&gt;first_year),SUMIFS(INDEX('Калькуляция (МИ корр)'!$AJ$25:$BC$315,,MATCH(AJ$8,'Калькуляция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(МИ)'!$AJ$25:$BC$315,,MATCH(AJ$8,'Калькуляция (МИ)'!$AJ$8:$BC$8,0)),'Калькуляция (МИ)'!$F$25:$F$315,$F55,'Калькуляция (МИ)'!$G$25:$G$315,$G55))))</f>
        <v>0</v>
      </c>
      <c r="AK55" s="1426">
        <f ca="1">IF(AND(method_reg="Метод индексации",god&lt;&gt;first_year),SUMIFS(INDEX('Калькуляция (МИ корр)'!$AJ$25:$BC$315,,MATCH(AK$8,'Калькуляция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(МИ)'!$AJ$25:$BC$315,,MATCH(AK$8,'Калькуляция (МИ)'!$AJ$8:$BC$8,0)),'Калькуляция (МИ)'!$F$25:$F$315,$F55,'Калькуляция (МИ)'!$G$25:$G$315,$G55))))</f>
        <v>0</v>
      </c>
      <c r="AL55" s="998">
        <f ca="1">IF(AJ55=0,0,(AK55-AJ55)/AJ55*100)</f>
        <v>0</v>
      </c>
      <c r="AM55" s="1426">
        <f ca="1">IF(AND(method_reg="Метод индексации",god&lt;&gt;first_year),SUMIFS(INDEX('Калькуляция (МИ корр)'!$AJ$25:$BC$315,,MATCH(AM$8,'Калькуляция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(МИ)'!$AJ$25:$BC$315,,MATCH(AM$8,'Калькуляция (МИ)'!$AJ$8:$BC$8,0)),'Калькуляция (МИ)'!$F$25:$F$315,$F55,'Калькуляция (МИ)'!$G$25:$G$315,$G55))))</f>
        <v>0</v>
      </c>
      <c r="AN55" s="1426">
        <f ca="1">IF(AND(method_reg="Метод индексации",god&lt;&gt;first_year),SUMIFS(INDEX('Калькуляция (МИ корр)'!$AJ$25:$BC$315,,MATCH(AN$8,'Калькуляция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(МИ)'!$AJ$25:$BC$315,,MATCH(AN$8,'Калькуляция (МИ)'!$AJ$8:$BC$8,0)),'Калькуляция (МИ)'!$F$25:$F$315,$F55,'Калькуляция (МИ)'!$G$25:$G$315,$G55))))</f>
        <v>0</v>
      </c>
      <c r="AO55" s="998">
        <f ca="1">IF(AM55=0,0,(AN55-AM55)/AM55*100)</f>
        <v>0</v>
      </c>
      <c r="AP55" s="1426">
        <f ca="1">IF(AND(method_reg="Метод индексации",god&lt;&gt;first_year),SUMIFS(INDEX('Калькуляция (МИ корр)'!$AJ$25:$BC$315,,MATCH(AP$8,'Калькуляция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(МИ)'!$AJ$25:$BC$315,,MATCH(AP$8,'Калькуляция (МИ)'!$AJ$8:$BC$8,0)),'Калькуляция (МИ)'!$F$25:$F$315,$F55,'Калькуляция (МИ)'!$G$25:$G$315,$G55))))</f>
        <v>0</v>
      </c>
      <c r="AQ55" s="1426">
        <f ca="1">IF(AND(method_reg="Метод индексации",god&lt;&gt;first_year),SUMIFS(INDEX('Калькуляция (МИ корр)'!$AJ$25:$BC$315,,MATCH(AQ$8,'Калькуляция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(МИ)'!$AJ$25:$BC$315,,MATCH(AQ$8,'Калькуляция (МИ)'!$AJ$8:$BC$8,0)),'Калькуляция (МИ)'!$F$25:$F$315,$F55,'Калькуляция (МИ)'!$G$25:$G$315,$G55))))</f>
        <v>0</v>
      </c>
      <c r="AR55" s="998">
        <f ca="1">IF(AP55=0,0,(AQ55-AP55)/AP55*100)</f>
        <v>0</v>
      </c>
      <c r="AS55" s="1426">
        <f ca="1">IF(AND(method_reg="Метод индексации",god&lt;&gt;first_year),SUMIFS(INDEX('Калькуляция (МИ корр)'!$AJ$25:$BC$315,,MATCH(AS$8,'Калькуляция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(МИ)'!$AJ$25:$BC$315,,MATCH(AS$8,'Калькуляция (МИ)'!$AJ$8:$BC$8,0)),'Калькуляция (МИ)'!$F$25:$F$315,$F55,'Калькуляция (МИ)'!$G$25:$G$315,$G55))))</f>
        <v>0</v>
      </c>
      <c r="AT55" s="1426">
        <f ca="1">IF(AND(method_reg="Метод индексации",god&lt;&gt;first_year),SUMIFS(INDEX('Калькуляция (МИ корр)'!$AJ$25:$BC$315,,MATCH(AT$8,'Калькуляция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(МИ)'!$AJ$25:$BC$315,,MATCH(AT$8,'Калькуляция (МИ)'!$AJ$8:$BC$8,0)),'Калькуляция (МИ)'!$F$25:$F$315,$F55,'Калькуляция (МИ)'!$G$25:$G$315,$G55))))</f>
        <v>0</v>
      </c>
      <c r="AU55" s="998">
        <f ca="1">IF(AS55=0,0,(AT55-AS55)/AS55*100)</f>
        <v>0</v>
      </c>
      <c r="AV55" s="1426">
        <f ca="1">IF(AND(method_reg="Метод индексации",god&lt;&gt;first_year),SUMIFS(INDEX('Калькуляция (МИ корр)'!$AJ$25:$BC$315,,MATCH(AV$8,'Калькуляция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(МИ)'!$AJ$25:$BC$315,,MATCH(AV$8,'Калькуляция (МИ)'!$AJ$8:$BC$8,0)),'Калькуляция (МИ)'!$F$25:$F$315,$F55,'Калькуляция (МИ)'!$G$25:$G$315,$G55))))</f>
        <v>0</v>
      </c>
      <c r="AW55" s="1426">
        <f ca="1">IF(AND(method_reg="Метод индексации",god&lt;&gt;first_year),SUMIFS(INDEX('Калькуляция (МИ корр)'!$AJ$25:$BC$315,,MATCH(AW$8,'Калькуляция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(МИ)'!$AJ$25:$BC$315,,MATCH(AW$8,'Калькуляция (МИ)'!$AJ$8:$BC$8,0)),'Калькуляция (МИ)'!$F$25:$F$315,$F55,'Калькуляция (МИ)'!$G$25:$G$315,$G55))))</f>
        <v>0</v>
      </c>
      <c r="AX55" s="998">
        <f ca="1">IF(AV55=0,0,(AW55-AV55)/AV55*100)</f>
        <v>0</v>
      </c>
      <c r="AY55" s="1426">
        <f ca="1">IF(AND(method_reg="Метод индексации",god&lt;&gt;first_year),SUMIFS(INDEX('Калькуляция (МИ корр)'!$AJ$25:$BC$315,,MATCH(AY$8,'Калькуляция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(МИ)'!$AJ$25:$BC$315,,MATCH(AY$8,'Калькуляция (МИ)'!$AJ$8:$BC$8,0)),'Калькуляция (МИ)'!$F$25:$F$315,$F55,'Калькуляция (МИ)'!$G$25:$G$315,$G55))))</f>
        <v>0</v>
      </c>
      <c r="AZ55" s="1426">
        <f ca="1">IF(AND(method_reg="Метод индексации",god&lt;&gt;first_year),SUMIFS(INDEX('Калькуляция (МИ корр)'!$AJ$25:$BC$315,,MATCH(AZ$8,'Калькуляция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(МИ)'!$AJ$25:$BC$315,,MATCH(AZ$8,'Калькуляция (МИ)'!$AJ$8:$BC$8,0)),'Калькуляция (МИ)'!$F$25:$F$315,$F55,'Калькуляция (МИ)'!$G$25:$G$315,$G55))))</f>
        <v>0</v>
      </c>
      <c r="BA55" s="998">
        <f ca="1">IF(AY55=0,0,(AZ55-AY55)/AY55*100)</f>
        <v>0</v>
      </c>
      <c r="BB55" s="1426">
        <f ca="1">IF(AND(method_reg="Метод индексации",god&lt;&gt;first_year),SUMIFS(INDEX('Калькуляция (МИ корр)'!$AJ$25:$BC$315,,MATCH(BB$8,'Калькуляция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(МИ)'!$AJ$25:$BC$315,,MATCH(BB$8,'Калькуляция (МИ)'!$AJ$8:$BC$8,0)),'Калькуляция (МИ)'!$F$25:$F$315,$F55,'Калькуляция (МИ)'!$G$25:$G$315,$G55))))</f>
        <v>0</v>
      </c>
      <c r="BC55" s="1426">
        <f ca="1">IF(AND(method_reg="Метод индексации",god&lt;&gt;first_year),SUMIFS(INDEX('Калькуляция (МИ корр)'!$AJ$25:$BC$315,,MATCH(BC$8,'Калькуляция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(МИ)'!$AJ$25:$BC$315,,MATCH(BC$8,'Калькуляция (МИ)'!$AJ$8:$BC$8,0)),'Калькуляция (МИ)'!$F$25:$F$315,$F55,'Калькуляция (МИ)'!$G$25:$G$315,$G55))))</f>
        <v>0</v>
      </c>
      <c r="BD55" s="998">
        <f ca="1">IF(BB55=0,0,(BC55-BB55)/BB55*100)</f>
        <v>0</v>
      </c>
      <c r="BE55" s="1426">
        <f ca="1">IF(AND(method_reg="Метод индексации",god&lt;&gt;first_year),SUMIFS(INDEX('Калькуляция (МИ корр)'!$AJ$25:$BC$315,,MATCH(BE$8,'Калькуляция (МИ корр)'!$AJ$8:$BC$8,0)),'Калькуляция (МИ корр)'!$F$25:$F$315,$F55,'Калькуляция (МИ корр)'!$G$25:$G$315,$G55),IF(method_reg="Метод экономически обоснованных расходов",SUMIFS('Калькуляция (МЭОР)'!$AJ$25:$AJ$199,'Калькуляция (МЭОР)'!$F$25:$F$199,$F55,'Калькуляция (МЭОР)'!$G$25:$G$199,$G55),IF(method_reg="Метод сравнения аналогов",SUMIFS('Калькуляция (МСА)'!$AE$25:$AE$65,'Калькуляция (МСА)'!$F$25:$F$65,$F55,'Калькуляция (МСА)'!$G$25:$G$65,$G55),SUMIFS(INDEX('Калькуляция (МИ)'!$AJ$25:$BC$315,,MATCH(BE$8,'Калькуляция (МИ)'!$AJ$8:$BC$8,0)),'Калькуляция (МИ)'!$F$25:$F$315,$F55,'Калькуляция (МИ)'!$G$25:$G$315,$G55))))</f>
        <v>0</v>
      </c>
      <c r="BF55" s="1426">
        <f ca="1">IF(AND(method_reg="Метод индексации",god&lt;&gt;first_year),SUMIFS(INDEX('Калькуляция (МИ корр)'!$AJ$25:$BC$315,,MATCH(BF$8,'Калькуляция (МИ корр)'!$AJ$8:$BC$8,0)),'Калькуляция (МИ корр)'!$F$25:$F$315,$F55,'Калькуляция (МИ корр)'!$G$25:$G$315,$G55),IF(method_reg="Метод экономически обоснованных расходов",SUMIFS('Калькуляция (МЭОР)'!$AK$25:$AK$199,'Калькуляция (МЭОР)'!$F$25:$F$199,$F55,'Калькуляция (МЭОР)'!$G$25:$G$199,$G55),IF(method_reg="Метод сравнения аналогов",SUMIFS('Калькуляция (МСА)'!$AF$25:$AF$65,'Калькуляция (МСА)'!$F$25:$F$65,$F55,'Калькуляция (МСА)'!$G$25:$G$65,$G55),SUMIFS(INDEX('Калькуляция (МИ)'!$AJ$25:$BC$315,,MATCH(BF$8,'Калькуляция (МИ)'!$AJ$8:$BC$8,0)),'Калькуляция (МИ)'!$F$25:$F$315,$F55,'Калькуляция (МИ)'!$G$25:$G$315,$G55))))</f>
        <v>0</v>
      </c>
      <c r="BG55" s="1005">
        <f ca="1">IF(BE55=0,0,(BF55-BE55)/BE55*100)</f>
        <v>0</v>
      </c>
      <c r="BH55" s="1426"/>
      <c r="BI55" s="1426"/>
      <c r="BJ55" s="1005">
        <f>IF(BH55=0,0,(BI55-BH55)/BH55*100)</f>
        <v>0</v>
      </c>
      <c r="BK55" s="1426"/>
      <c r="BL55" s="1426"/>
      <c r="BM55" s="1005">
        <f>IF(BK55=0,0,(BL55-BK55)/BK55*100)</f>
        <v>0</v>
      </c>
      <c r="BN55" s="1426"/>
      <c r="BO55" s="1426"/>
      <c r="BP55" s="1005">
        <f>IF(BN55=0,0,(BO55-BN55)/BN55*100)</f>
        <v>0</v>
      </c>
      <c r="BQ55" s="1426"/>
      <c r="BR55" s="1426"/>
      <c r="BS55" s="1005">
        <f>IF(BQ55=0,0,(BR55-BQ55)/BQ55*100)</f>
        <v>0</v>
      </c>
      <c r="BT55" s="1426"/>
      <c r="BU55" s="1426"/>
      <c r="BV55" s="1005">
        <f>IF(BT55=0,0,(BU55-BT55)/BT55*100)</f>
        <v>0</v>
      </c>
      <c r="BW55" s="1426"/>
      <c r="BX55" s="1426"/>
      <c r="BY55" s="1005">
        <f>IF(BW55=0,0,(BX55-BW55)/BW55*100)</f>
        <v>0</v>
      </c>
      <c r="BZ55" s="1426"/>
      <c r="CA55" s="1426"/>
      <c r="CB55" s="1005">
        <f>IF(BZ55=0,0,(CA55-BZ55)/BZ55*100)</f>
        <v>0</v>
      </c>
      <c r="CC55" s="1426"/>
      <c r="CD55" s="1426"/>
      <c r="CE55" s="1005">
        <f>IF(CC55=0,0,(CD55-CC55)/CC55*100)</f>
        <v>0</v>
      </c>
      <c r="CF55" s="1426"/>
      <c r="CG55" s="1426"/>
      <c r="CH55" s="1005">
        <f>IF(CF55=0,0,(CG55-CF55)/CF55*100)</f>
        <v>0</v>
      </c>
      <c r="CI55" s="1426"/>
      <c r="CJ55" s="1426"/>
      <c r="CK55" s="1005">
        <f>IF(CI55=0,0,(CJ55-CI55)/CI55*100)</f>
        <v>0</v>
      </c>
      <c r="CL55" s="1426"/>
      <c r="CM55" s="1426"/>
      <c r="CN55" s="1005">
        <f>IF(CL55=0,0,(CM55-CL55)/CL55*100)</f>
        <v>0</v>
      </c>
      <c r="CO55" s="1426"/>
      <c r="CP55" s="1426"/>
      <c r="CQ55" s="1005">
        <f>IF(CO55=0,0,(CP55-CO55)/CO55*100)</f>
        <v>0</v>
      </c>
      <c r="CR55" s="1426"/>
      <c r="CS55" s="1426"/>
      <c r="CT55" s="1005">
        <f>IF(CR55=0,0,(CS55-CR55)/CR55*100)</f>
        <v>0</v>
      </c>
      <c r="CU55" s="1426"/>
      <c r="CV55" s="1426"/>
      <c r="CW55" s="1005">
        <f>IF(CU55=0,0,(CV55-CU55)/CU55*100)</f>
        <v>0</v>
      </c>
      <c r="CX55" s="1426"/>
      <c r="CY55" s="1426"/>
      <c r="CZ55" s="1005">
        <f>IF(CX55=0,0,(CY55-CX55)/CX55*100)</f>
        <v>0</v>
      </c>
      <c r="DA55" s="1426"/>
      <c r="DB55" s="1426"/>
      <c r="DC55" s="1005">
        <f>IF(DA55=0,0,(DB55-DA55)/DA55*100)</f>
        <v>0</v>
      </c>
      <c r="DD55" s="1426"/>
      <c r="DE55" s="1426"/>
      <c r="DF55" s="1005">
        <f>IF(DD55=0,0,(DE55-DD55)/DD55*100)</f>
        <v>0</v>
      </c>
      <c r="DG55" s="1426"/>
      <c r="DH55" s="1426"/>
      <c r="DI55" s="1005">
        <f>IF(DG55=0,0,(DH55-DG55)/DG55*100)</f>
        <v>0</v>
      </c>
      <c r="DJ55" s="1426"/>
      <c r="DK55" s="1426"/>
      <c r="DL55" s="1005">
        <f>IF(DJ55=0,0,(DK55-DJ55)/DJ55*100)</f>
        <v>0</v>
      </c>
      <c r="DM55" s="1426"/>
      <c r="DN55" s="1426"/>
      <c r="DO55" s="1005">
        <f>IF(DM55=0,0,(DN55-DM55)/DM55*100)</f>
        <v>0</v>
      </c>
      <c r="DP55" s="1426"/>
      <c r="DQ55" s="1426"/>
      <c r="DR55" s="1005">
        <f>IF(DP55=0,0,(DQ55-DP55)/DP55*100)</f>
        <v>0</v>
      </c>
      <c r="DS55" s="1426"/>
      <c r="DT55" s="1426"/>
      <c r="DU55" s="1005">
        <f>IF(DS55=0,0,(DT55-DS55)/DS55*100)</f>
        <v>0</v>
      </c>
      <c r="DV55" s="1426"/>
      <c r="DW55" s="1426"/>
      <c r="DX55" s="1005">
        <f>IF(DV55=0,0,(DW55-DV55)/DV55*100)</f>
        <v>0</v>
      </c>
      <c r="DY55" s="1426"/>
      <c r="DZ55" s="1426"/>
      <c r="EA55" s="1005">
        <f>IF(DY55=0,0,(DZ55-DY55)/DY55*100)</f>
        <v>0</v>
      </c>
      <c r="EB55" s="1426"/>
      <c r="EC55" s="1426"/>
      <c r="ED55" s="1005">
        <f>IF(EB55=0,0,(EC55-EB55)/EB55*100)</f>
        <v>0</v>
      </c>
      <c r="EE55" s="1426"/>
      <c r="EF55" s="1426"/>
      <c r="EG55" s="1005">
        <f>IF(EE55=0,0,(EF55-EE55)/EE55*100)</f>
        <v>0</v>
      </c>
      <c r="EH55" s="1426"/>
      <c r="EI55" s="1426"/>
      <c r="EJ55" s="1005">
        <f>IF(EH55=0,0,(EI55-EH55)/EH55*100)</f>
        <v>0</v>
      </c>
      <c r="EK55" s="1426"/>
      <c r="EL55" s="1426"/>
      <c r="EM55" s="1005">
        <f>IF(EK55=0,0,(EL55-EK55)/EK55*100)</f>
        <v>0</v>
      </c>
      <c r="EN55" s="1426"/>
      <c r="EO55" s="1426"/>
      <c r="EP55" s="1005">
        <f>IF(EN55=0,0,(EO55-EN55)/EN55*100)</f>
        <v>0</v>
      </c>
      <c r="EQ55" s="1426"/>
      <c r="ER55" s="1426"/>
      <c r="ES55" s="1005">
        <f>IF(EQ55=0,0,(ER55-EQ55)/EQ55*100)</f>
        <v>0</v>
      </c>
      <c r="ET55" s="1426"/>
      <c r="EU55" s="1426"/>
      <c r="EV55" s="1005">
        <f>IF(ET55=0,0,(EU55-ET55)/ET55*100)</f>
        <v>0</v>
      </c>
      <c r="EW55" s="1426"/>
      <c r="EX55" s="1426"/>
      <c r="EY55" s="1005">
        <f>IF(EW55=0,0,(EX55-EW55)/EW55*100)</f>
        <v>0</v>
      </c>
      <c r="EZ55" s="1426"/>
      <c r="FA55" s="1426"/>
      <c r="FB55" s="1005">
        <f>IF(EZ55=0,0,(FA55-EZ55)/EZ55*100)</f>
        <v>0</v>
      </c>
      <c r="FC55" s="1426"/>
      <c r="FD55" s="1426"/>
      <c r="FE55" s="1005">
        <f>IF(FC55=0,0,(FD55-FC55)/FC55*100)</f>
        <v>0</v>
      </c>
      <c r="FF55" s="1426"/>
      <c r="FG55" s="1426"/>
      <c r="FH55" s="1005">
        <f>IF(FF55=0,0,(FG55-FF55)/FF55*100)</f>
        <v>0</v>
      </c>
      <c r="FI55" s="1426"/>
      <c r="FJ55" s="1426"/>
      <c r="FK55" s="1005">
        <f>IF(FI55=0,0,(FJ55-FI55)/FI55*100)</f>
        <v>0</v>
      </c>
      <c r="FL55" s="1426"/>
      <c r="FM55" s="1426"/>
      <c r="FN55" s="1005">
        <f>IF(FL55=0,0,(FM55-FL55)/FL55*100)</f>
        <v>0</v>
      </c>
      <c r="FO55" s="1426"/>
      <c r="FP55" s="1426"/>
      <c r="FQ55" s="1005">
        <f>IF(FO55=0,0,(FP55-FO55)/FO55*100)</f>
        <v>0</v>
      </c>
      <c r="FR55" s="1426"/>
      <c r="FS55" s="1426"/>
      <c r="FT55" s="1005">
        <f>IF(FR55=0,0,(FS55-FR55)/FR55*100)</f>
        <v>0</v>
      </c>
      <c r="FU55" s="1426"/>
      <c r="FV55" s="1426"/>
      <c r="FW55" s="1005">
        <f>IF(FU55=0,0,(FV55-FU55)/FU55*100)</f>
        <v>0</v>
      </c>
      <c r="FZ55" s="957" t="s">
        <v>1504</v>
      </c>
    </row>
    <row r="56" spans="1:182" ht="21.95" hidden="1" customHeight="1">
      <c r="A56" s="409"/>
      <c r="B56" s="830" t="b" cm="1">
        <f t="array" ref="B56">B55</f>
        <v>0</v>
      </c>
      <c r="C56" s="409"/>
      <c r="D56" s="409"/>
      <c r="E56" s="754">
        <v>22.5</v>
      </c>
      <c r="F56" s="3" cm="1">
        <f t="array" aca="1" ref="F56" ca="1">OFFSET(E56,-1,1)</f>
        <v>0</v>
      </c>
      <c r="G56" s="409"/>
      <c r="H56" s="409" t="s">
        <v>1493</v>
      </c>
      <c r="I56" s="409" t="s">
        <v>1457</v>
      </c>
      <c r="J56" s="409"/>
      <c r="K56" s="409"/>
      <c r="L56" s="409"/>
      <c r="M56" s="409"/>
      <c r="N56" s="409"/>
      <c r="O56" s="409"/>
      <c r="P56" s="409"/>
      <c r="Q56" s="409"/>
      <c r="R56" s="409"/>
      <c r="S56" s="409"/>
      <c r="T56" s="381" t="b" cm="1">
        <f t="array" aca="1" ref="T56" ca="1">T55</f>
        <v>0</v>
      </c>
      <c r="U56" s="409"/>
      <c r="V56" s="409"/>
      <c r="W56" s="409"/>
      <c r="X56" s="1787"/>
      <c r="Y56" s="409"/>
      <c r="Z56" s="1734"/>
      <c r="AA56" s="409"/>
      <c r="AB56" s="994"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778" t="s">
        <v>1494</v>
      </c>
      <c r="AD56" s="1428"/>
      <c r="AE56" s="1428"/>
      <c r="AF56" s="996">
        <f>IF(AD56=0,0,(AE56-AD56)/AD56*100)</f>
        <v>0</v>
      </c>
      <c r="AG56" s="1428"/>
      <c r="AH56" s="1428"/>
      <c r="AI56" s="996">
        <f>IF(AG56=0,0,(AH56-AG56)/AG56*100)</f>
        <v>0</v>
      </c>
      <c r="AJ56" s="1428"/>
      <c r="AK56" s="1428"/>
      <c r="AL56" s="996">
        <f>IF(AJ56=0,0,(AK56-AJ56)/AJ56*100)</f>
        <v>0</v>
      </c>
      <c r="AM56" s="1428"/>
      <c r="AN56" s="1428"/>
      <c r="AO56" s="996">
        <f>IF(AM56=0,0,(AN56-AM56)/AM56*100)</f>
        <v>0</v>
      </c>
      <c r="AP56" s="1428"/>
      <c r="AQ56" s="1428"/>
      <c r="AR56" s="996">
        <f>IF(AP56=0,0,(AQ56-AP56)/AP56*100)</f>
        <v>0</v>
      </c>
      <c r="AS56" s="1428"/>
      <c r="AT56" s="1428"/>
      <c r="AU56" s="996">
        <f>IF(AS56=0,0,(AT56-AS56)/AS56*100)</f>
        <v>0</v>
      </c>
      <c r="AV56" s="1428"/>
      <c r="AW56" s="1428"/>
      <c r="AX56" s="996">
        <f>IF(AV56=0,0,(AW56-AV56)/AV56*100)</f>
        <v>0</v>
      </c>
      <c r="AY56" s="1428"/>
      <c r="AZ56" s="1428"/>
      <c r="BA56" s="996">
        <f>IF(AY56=0,0,(AZ56-AY56)/AY56*100)</f>
        <v>0</v>
      </c>
      <c r="BB56" s="1428"/>
      <c r="BC56" s="1428"/>
      <c r="BD56" s="996">
        <f>IF(BB56=0,0,(BC56-BB56)/BB56*100)</f>
        <v>0</v>
      </c>
      <c r="BE56" s="1428"/>
      <c r="BF56" s="1428"/>
      <c r="BG56" s="996">
        <f>IF(BE56=0,0,(BF56-BE56)/BE56*100)</f>
        <v>0</v>
      </c>
      <c r="BH56" s="1428"/>
      <c r="BI56" s="1428"/>
      <c r="BJ56" s="996">
        <f>IF(BH56=0,0,(BI56-BH56)/BH56*100)</f>
        <v>0</v>
      </c>
      <c r="BK56" s="1428"/>
      <c r="BL56" s="1428"/>
      <c r="BM56" s="996">
        <f>IF(BK56=0,0,(BL56-BK56)/BK56*100)</f>
        <v>0</v>
      </c>
      <c r="BN56" s="1428"/>
      <c r="BO56" s="1428"/>
      <c r="BP56" s="996">
        <f>IF(BN56=0,0,(BO56-BN56)/BN56*100)</f>
        <v>0</v>
      </c>
      <c r="BQ56" s="1428"/>
      <c r="BR56" s="1428"/>
      <c r="BS56" s="996">
        <f>IF(BQ56=0,0,(BR56-BQ56)/BQ56*100)</f>
        <v>0</v>
      </c>
      <c r="BT56" s="1428"/>
      <c r="BU56" s="1428"/>
      <c r="BV56" s="996">
        <f>IF(BT56=0,0,(BU56-BT56)/BT56*100)</f>
        <v>0</v>
      </c>
      <c r="BW56" s="1428"/>
      <c r="BX56" s="1428"/>
      <c r="BY56" s="996">
        <f>IF(BW56=0,0,(BX56-BW56)/BW56*100)</f>
        <v>0</v>
      </c>
      <c r="BZ56" s="1428"/>
      <c r="CA56" s="1428"/>
      <c r="CB56" s="996">
        <f>IF(BZ56=0,0,(CA56-BZ56)/BZ56*100)</f>
        <v>0</v>
      </c>
      <c r="CC56" s="1428"/>
      <c r="CD56" s="1428"/>
      <c r="CE56" s="996">
        <f>IF(CC56=0,0,(CD56-CC56)/CC56*100)</f>
        <v>0</v>
      </c>
      <c r="CF56" s="1428"/>
      <c r="CG56" s="1428"/>
      <c r="CH56" s="996">
        <f>IF(CF56=0,0,(CG56-CF56)/CF56*100)</f>
        <v>0</v>
      </c>
      <c r="CI56" s="1428"/>
      <c r="CJ56" s="1428"/>
      <c r="CK56" s="996">
        <f>IF(CI56=0,0,(CJ56-CI56)/CI56*100)</f>
        <v>0</v>
      </c>
      <c r="CL56" s="1428"/>
      <c r="CM56" s="1428"/>
      <c r="CN56" s="996">
        <f>IF(CL56=0,0,(CM56-CL56)/CL56*100)</f>
        <v>0</v>
      </c>
      <c r="CO56" s="1428"/>
      <c r="CP56" s="1428"/>
      <c r="CQ56" s="996">
        <f>IF(CO56=0,0,(CP56-CO56)/CO56*100)</f>
        <v>0</v>
      </c>
      <c r="CR56" s="1428"/>
      <c r="CS56" s="1428"/>
      <c r="CT56" s="996">
        <f>IF(CR56=0,0,(CS56-CR56)/CR56*100)</f>
        <v>0</v>
      </c>
      <c r="CU56" s="1428"/>
      <c r="CV56" s="1428"/>
      <c r="CW56" s="996">
        <f>IF(CU56=0,0,(CV56-CU56)/CU56*100)</f>
        <v>0</v>
      </c>
      <c r="CX56" s="1428"/>
      <c r="CY56" s="1428"/>
      <c r="CZ56" s="996">
        <f>IF(CX56=0,0,(CY56-CX56)/CX56*100)</f>
        <v>0</v>
      </c>
      <c r="DA56" s="1428"/>
      <c r="DB56" s="1428"/>
      <c r="DC56" s="996">
        <f>IF(DA56=0,0,(DB56-DA56)/DA56*100)</f>
        <v>0</v>
      </c>
      <c r="DD56" s="1428"/>
      <c r="DE56" s="1428"/>
      <c r="DF56" s="996">
        <f>IF(DD56=0,0,(DE56-DD56)/DD56*100)</f>
        <v>0</v>
      </c>
      <c r="DG56" s="1428"/>
      <c r="DH56" s="1428"/>
      <c r="DI56" s="996">
        <f>IF(DG56=0,0,(DH56-DG56)/DG56*100)</f>
        <v>0</v>
      </c>
      <c r="DJ56" s="1428"/>
      <c r="DK56" s="1428"/>
      <c r="DL56" s="996">
        <f>IF(DJ56=0,0,(DK56-DJ56)/DJ56*100)</f>
        <v>0</v>
      </c>
      <c r="DM56" s="1428"/>
      <c r="DN56" s="1428"/>
      <c r="DO56" s="996">
        <f>IF(DM56=0,0,(DN56-DM56)/DM56*100)</f>
        <v>0</v>
      </c>
      <c r="DP56" s="1428"/>
      <c r="DQ56" s="1428"/>
      <c r="DR56" s="996">
        <f>IF(DP56=0,0,(DQ56-DP56)/DP56*100)</f>
        <v>0</v>
      </c>
      <c r="DS56" s="1428"/>
      <c r="DT56" s="1428"/>
      <c r="DU56" s="996">
        <f>IF(DS56=0,0,(DT56-DS56)/DS56*100)</f>
        <v>0</v>
      </c>
      <c r="DV56" s="1428"/>
      <c r="DW56" s="1428"/>
      <c r="DX56" s="996">
        <f>IF(DV56=0,0,(DW56-DV56)/DV56*100)</f>
        <v>0</v>
      </c>
      <c r="DY56" s="1428"/>
      <c r="DZ56" s="1428"/>
      <c r="EA56" s="996">
        <f>IF(DY56=0,0,(DZ56-DY56)/DY56*100)</f>
        <v>0</v>
      </c>
      <c r="EB56" s="1428"/>
      <c r="EC56" s="1428"/>
      <c r="ED56" s="996">
        <f>IF(EB56=0,0,(EC56-EB56)/EB56*100)</f>
        <v>0</v>
      </c>
      <c r="EE56" s="1428"/>
      <c r="EF56" s="1428"/>
      <c r="EG56" s="996">
        <f>IF(EE56=0,0,(EF56-EE56)/EE56*100)</f>
        <v>0</v>
      </c>
      <c r="EH56" s="1428"/>
      <c r="EI56" s="1428"/>
      <c r="EJ56" s="996">
        <f>IF(EH56=0,0,(EI56-EH56)/EH56*100)</f>
        <v>0</v>
      </c>
      <c r="EK56" s="1428"/>
      <c r="EL56" s="1428"/>
      <c r="EM56" s="996">
        <f>IF(EK56=0,0,(EL56-EK56)/EK56*100)</f>
        <v>0</v>
      </c>
      <c r="EN56" s="1428"/>
      <c r="EO56" s="1428"/>
      <c r="EP56" s="996">
        <f>IF(EN56=0,0,(EO56-EN56)/EN56*100)</f>
        <v>0</v>
      </c>
      <c r="EQ56" s="1428"/>
      <c r="ER56" s="1428"/>
      <c r="ES56" s="996">
        <f>IF(EQ56=0,0,(ER56-EQ56)/EQ56*100)</f>
        <v>0</v>
      </c>
      <c r="ET56" s="1428"/>
      <c r="EU56" s="1428"/>
      <c r="EV56" s="996">
        <f>IF(ET56=0,0,(EU56-ET56)/ET56*100)</f>
        <v>0</v>
      </c>
      <c r="EW56" s="1428"/>
      <c r="EX56" s="1428"/>
      <c r="EY56" s="996">
        <f>IF(EW56=0,0,(EX56-EW56)/EW56*100)</f>
        <v>0</v>
      </c>
      <c r="EZ56" s="1428"/>
      <c r="FA56" s="1428"/>
      <c r="FB56" s="996">
        <f>IF(EZ56=0,0,(FA56-EZ56)/EZ56*100)</f>
        <v>0</v>
      </c>
      <c r="FC56" s="1428"/>
      <c r="FD56" s="1428"/>
      <c r="FE56" s="996">
        <f>IF(FC56=0,0,(FD56-FC56)/FC56*100)</f>
        <v>0</v>
      </c>
      <c r="FF56" s="1428"/>
      <c r="FG56" s="1428"/>
      <c r="FH56" s="996">
        <f>IF(FF56=0,0,(FG56-FF56)/FF56*100)</f>
        <v>0</v>
      </c>
      <c r="FI56" s="1428"/>
      <c r="FJ56" s="1428"/>
      <c r="FK56" s="996">
        <f>IF(FI56=0,0,(FJ56-FI56)/FI56*100)</f>
        <v>0</v>
      </c>
      <c r="FL56" s="1428"/>
      <c r="FM56" s="1428"/>
      <c r="FN56" s="996">
        <f>IF(FL56=0,0,(FM56-FL56)/FL56*100)</f>
        <v>0</v>
      </c>
      <c r="FO56" s="1428"/>
      <c r="FP56" s="1428"/>
      <c r="FQ56" s="996">
        <f>IF(FO56=0,0,(FP56-FO56)/FO56*100)</f>
        <v>0</v>
      </c>
      <c r="FR56" s="1428"/>
      <c r="FS56" s="1428"/>
      <c r="FT56" s="996">
        <f>IF(FR56=0,0,(FS56-FR56)/FR56*100)</f>
        <v>0</v>
      </c>
      <c r="FU56" s="1428"/>
      <c r="FV56" s="1428"/>
      <c r="FW56" s="996">
        <f>IF(FU56=0,0,(FV56-FU56)/FU56*100)</f>
        <v>0</v>
      </c>
      <c r="FZ56" s="957" t="s">
        <v>1505</v>
      </c>
    </row>
    <row r="57" spans="1:182" ht="14.65" hidden="1" customHeight="1">
      <c r="A57" s="409"/>
      <c r="B57" s="830" t="b" cm="1">
        <f t="array" ref="B57">B56</f>
        <v>0</v>
      </c>
      <c r="C57" s="409"/>
      <c r="D57" s="409"/>
      <c r="E57" s="754">
        <v>15</v>
      </c>
      <c r="F57" s="3" cm="1">
        <f t="array" aca="1" ref="F57" ca="1">OFFSET(E57,-1,1)</f>
        <v>0</v>
      </c>
      <c r="G57" s="409"/>
      <c r="H57" s="409" t="s">
        <v>1496</v>
      </c>
      <c r="I57" s="409" t="s">
        <v>1457</v>
      </c>
      <c r="J57" s="409"/>
      <c r="K57" s="409"/>
      <c r="L57" s="409"/>
      <c r="M57" s="409"/>
      <c r="N57" s="409"/>
      <c r="O57" s="409"/>
      <c r="P57" s="409"/>
      <c r="Q57" s="409"/>
      <c r="R57" s="409"/>
      <c r="S57" s="409"/>
      <c r="T57" s="381" t="b" cm="1">
        <f t="array" aca="1" ref="T57" ca="1">T56</f>
        <v>0</v>
      </c>
      <c r="U57" s="409"/>
      <c r="V57" s="409"/>
      <c r="W57" s="409"/>
      <c r="X57" s="1787"/>
      <c r="Y57" s="409"/>
      <c r="Z57" s="1734"/>
      <c r="AA57" s="409"/>
      <c r="AB57" s="994" t="s">
        <v>1497</v>
      </c>
      <c r="AC57" s="778" t="s">
        <v>1498</v>
      </c>
      <c r="AD57" s="1428"/>
      <c r="AE57" s="1428"/>
      <c r="AF57" s="996">
        <f>IF(AD57=0,0,(AE57-AD57)/AD57*100)</f>
        <v>0</v>
      </c>
      <c r="AG57" s="1428"/>
      <c r="AH57" s="1428"/>
      <c r="AI57" s="996">
        <f>IF(AG57=0,0,(AH57-AG57)/AG57*100)</f>
        <v>0</v>
      </c>
      <c r="AJ57" s="1428"/>
      <c r="AK57" s="1428"/>
      <c r="AL57" s="996">
        <f>IF(AJ57=0,0,(AK57-AJ57)/AJ57*100)</f>
        <v>0</v>
      </c>
      <c r="AM57" s="1428"/>
      <c r="AN57" s="1428"/>
      <c r="AO57" s="996">
        <f>IF(AM57=0,0,(AN57-AM57)/AM57*100)</f>
        <v>0</v>
      </c>
      <c r="AP57" s="1428"/>
      <c r="AQ57" s="1428"/>
      <c r="AR57" s="996">
        <f>IF(AP57=0,0,(AQ57-AP57)/AP57*100)</f>
        <v>0</v>
      </c>
      <c r="AS57" s="1428"/>
      <c r="AT57" s="1428"/>
      <c r="AU57" s="996">
        <f>IF(AS57=0,0,(AT57-AS57)/AS57*100)</f>
        <v>0</v>
      </c>
      <c r="AV57" s="1428"/>
      <c r="AW57" s="1428"/>
      <c r="AX57" s="996">
        <f>IF(AV57=0,0,(AW57-AV57)/AV57*100)</f>
        <v>0</v>
      </c>
      <c r="AY57" s="1428"/>
      <c r="AZ57" s="1428"/>
      <c r="BA57" s="996">
        <f>IF(AY57=0,0,(AZ57-AY57)/AY57*100)</f>
        <v>0</v>
      </c>
      <c r="BB57" s="1428"/>
      <c r="BC57" s="1428"/>
      <c r="BD57" s="996">
        <f>IF(BB57=0,0,(BC57-BB57)/BB57*100)</f>
        <v>0</v>
      </c>
      <c r="BE57" s="1428"/>
      <c r="BF57" s="1428"/>
      <c r="BG57" s="996">
        <f>IF(BE57=0,0,(BF57-BE57)/BE57*100)</f>
        <v>0</v>
      </c>
      <c r="BH57" s="1428"/>
      <c r="BI57" s="1428"/>
      <c r="BJ57" s="996">
        <f>IF(BH57=0,0,(BI57-BH57)/BH57*100)</f>
        <v>0</v>
      </c>
      <c r="BK57" s="1428"/>
      <c r="BL57" s="1428"/>
      <c r="BM57" s="996">
        <f>IF(BK57=0,0,(BL57-BK57)/BK57*100)</f>
        <v>0</v>
      </c>
      <c r="BN57" s="1428"/>
      <c r="BO57" s="1428"/>
      <c r="BP57" s="996">
        <f>IF(BN57=0,0,(BO57-BN57)/BN57*100)</f>
        <v>0</v>
      </c>
      <c r="BQ57" s="1428"/>
      <c r="BR57" s="1428"/>
      <c r="BS57" s="996">
        <f>IF(BQ57=0,0,(BR57-BQ57)/BQ57*100)</f>
        <v>0</v>
      </c>
      <c r="BT57" s="1428"/>
      <c r="BU57" s="1428"/>
      <c r="BV57" s="996">
        <f>IF(BT57=0,0,(BU57-BT57)/BT57*100)</f>
        <v>0</v>
      </c>
      <c r="BW57" s="1428"/>
      <c r="BX57" s="1428"/>
      <c r="BY57" s="996">
        <f>IF(BW57=0,0,(BX57-BW57)/BW57*100)</f>
        <v>0</v>
      </c>
      <c r="BZ57" s="1428"/>
      <c r="CA57" s="1428"/>
      <c r="CB57" s="996">
        <f>IF(BZ57=0,0,(CA57-BZ57)/BZ57*100)</f>
        <v>0</v>
      </c>
      <c r="CC57" s="1428"/>
      <c r="CD57" s="1428"/>
      <c r="CE57" s="996">
        <f>IF(CC57=0,0,(CD57-CC57)/CC57*100)</f>
        <v>0</v>
      </c>
      <c r="CF57" s="1428"/>
      <c r="CG57" s="1428"/>
      <c r="CH57" s="996">
        <f>IF(CF57=0,0,(CG57-CF57)/CF57*100)</f>
        <v>0</v>
      </c>
      <c r="CI57" s="1428"/>
      <c r="CJ57" s="1428"/>
      <c r="CK57" s="996">
        <f>IF(CI57=0,0,(CJ57-CI57)/CI57*100)</f>
        <v>0</v>
      </c>
      <c r="CL57" s="1428"/>
      <c r="CM57" s="1428"/>
      <c r="CN57" s="996">
        <f>IF(CL57=0,0,(CM57-CL57)/CL57*100)</f>
        <v>0</v>
      </c>
      <c r="CO57" s="1428"/>
      <c r="CP57" s="1428"/>
      <c r="CQ57" s="996">
        <f>IF(CO57=0,0,(CP57-CO57)/CO57*100)</f>
        <v>0</v>
      </c>
      <c r="CR57" s="1428"/>
      <c r="CS57" s="1428"/>
      <c r="CT57" s="996">
        <f>IF(CR57=0,0,(CS57-CR57)/CR57*100)</f>
        <v>0</v>
      </c>
      <c r="CU57" s="1428"/>
      <c r="CV57" s="1428"/>
      <c r="CW57" s="996">
        <f>IF(CU57=0,0,(CV57-CU57)/CU57*100)</f>
        <v>0</v>
      </c>
      <c r="CX57" s="1428"/>
      <c r="CY57" s="1428"/>
      <c r="CZ57" s="996">
        <f>IF(CX57=0,0,(CY57-CX57)/CX57*100)</f>
        <v>0</v>
      </c>
      <c r="DA57" s="1428"/>
      <c r="DB57" s="1428"/>
      <c r="DC57" s="996">
        <f>IF(DA57=0,0,(DB57-DA57)/DA57*100)</f>
        <v>0</v>
      </c>
      <c r="DD57" s="1428"/>
      <c r="DE57" s="1428"/>
      <c r="DF57" s="996">
        <f>IF(DD57=0,0,(DE57-DD57)/DD57*100)</f>
        <v>0</v>
      </c>
      <c r="DG57" s="1428"/>
      <c r="DH57" s="1428"/>
      <c r="DI57" s="996">
        <f>IF(DG57=0,0,(DH57-DG57)/DG57*100)</f>
        <v>0</v>
      </c>
      <c r="DJ57" s="1428"/>
      <c r="DK57" s="1428"/>
      <c r="DL57" s="996">
        <f>IF(DJ57=0,0,(DK57-DJ57)/DJ57*100)</f>
        <v>0</v>
      </c>
      <c r="DM57" s="1428"/>
      <c r="DN57" s="1428"/>
      <c r="DO57" s="996">
        <f>IF(DM57=0,0,(DN57-DM57)/DM57*100)</f>
        <v>0</v>
      </c>
      <c r="DP57" s="1428"/>
      <c r="DQ57" s="1428"/>
      <c r="DR57" s="996">
        <f>IF(DP57=0,0,(DQ57-DP57)/DP57*100)</f>
        <v>0</v>
      </c>
      <c r="DS57" s="1428"/>
      <c r="DT57" s="1428"/>
      <c r="DU57" s="996">
        <f>IF(DS57=0,0,(DT57-DS57)/DS57*100)</f>
        <v>0</v>
      </c>
      <c r="DV57" s="1428"/>
      <c r="DW57" s="1428"/>
      <c r="DX57" s="996">
        <f>IF(DV57=0,0,(DW57-DV57)/DV57*100)</f>
        <v>0</v>
      </c>
      <c r="DY57" s="1428"/>
      <c r="DZ57" s="1428"/>
      <c r="EA57" s="996">
        <f>IF(DY57=0,0,(DZ57-DY57)/DY57*100)</f>
        <v>0</v>
      </c>
      <c r="EB57" s="1428"/>
      <c r="EC57" s="1428"/>
      <c r="ED57" s="996">
        <f>IF(EB57=0,0,(EC57-EB57)/EB57*100)</f>
        <v>0</v>
      </c>
      <c r="EE57" s="1428"/>
      <c r="EF57" s="1428"/>
      <c r="EG57" s="996">
        <f>IF(EE57=0,0,(EF57-EE57)/EE57*100)</f>
        <v>0</v>
      </c>
      <c r="EH57" s="1428"/>
      <c r="EI57" s="1428"/>
      <c r="EJ57" s="996">
        <f>IF(EH57=0,0,(EI57-EH57)/EH57*100)</f>
        <v>0</v>
      </c>
      <c r="EK57" s="1428"/>
      <c r="EL57" s="1428"/>
      <c r="EM57" s="996">
        <f>IF(EK57=0,0,(EL57-EK57)/EK57*100)</f>
        <v>0</v>
      </c>
      <c r="EN57" s="1428"/>
      <c r="EO57" s="1428"/>
      <c r="EP57" s="996">
        <f>IF(EN57=0,0,(EO57-EN57)/EN57*100)</f>
        <v>0</v>
      </c>
      <c r="EQ57" s="1428"/>
      <c r="ER57" s="1428"/>
      <c r="ES57" s="996">
        <f>IF(EQ57=0,0,(ER57-EQ57)/EQ57*100)</f>
        <v>0</v>
      </c>
      <c r="ET57" s="1428"/>
      <c r="EU57" s="1428"/>
      <c r="EV57" s="996">
        <f>IF(ET57=0,0,(EU57-ET57)/ET57*100)</f>
        <v>0</v>
      </c>
      <c r="EW57" s="1428"/>
      <c r="EX57" s="1428"/>
      <c r="EY57" s="996">
        <f>IF(EW57=0,0,(EX57-EW57)/EW57*100)</f>
        <v>0</v>
      </c>
      <c r="EZ57" s="1428"/>
      <c r="FA57" s="1428"/>
      <c r="FB57" s="996">
        <f>IF(EZ57=0,0,(FA57-EZ57)/EZ57*100)</f>
        <v>0</v>
      </c>
      <c r="FC57" s="1428"/>
      <c r="FD57" s="1428"/>
      <c r="FE57" s="996">
        <f>IF(FC57=0,0,(FD57-FC57)/FC57*100)</f>
        <v>0</v>
      </c>
      <c r="FF57" s="1428"/>
      <c r="FG57" s="1428"/>
      <c r="FH57" s="996">
        <f>IF(FF57=0,0,(FG57-FF57)/FF57*100)</f>
        <v>0</v>
      </c>
      <c r="FI57" s="1428"/>
      <c r="FJ57" s="1428"/>
      <c r="FK57" s="996">
        <f>IF(FI57=0,0,(FJ57-FI57)/FI57*100)</f>
        <v>0</v>
      </c>
      <c r="FL57" s="1428"/>
      <c r="FM57" s="1428"/>
      <c r="FN57" s="996">
        <f>IF(FL57=0,0,(FM57-FL57)/FL57*100)</f>
        <v>0</v>
      </c>
      <c r="FO57" s="1428"/>
      <c r="FP57" s="1428"/>
      <c r="FQ57" s="996">
        <f>IF(FO57=0,0,(FP57-FO57)/FO57*100)</f>
        <v>0</v>
      </c>
      <c r="FR57" s="1428"/>
      <c r="FS57" s="1428"/>
      <c r="FT57" s="996">
        <f>IF(FR57=0,0,(FS57-FR57)/FR57*100)</f>
        <v>0</v>
      </c>
      <c r="FU57" s="1428"/>
      <c r="FV57" s="1428"/>
      <c r="FW57" s="996">
        <f>IF(FU57=0,0,(FV57-FU57)/FU57*100)</f>
        <v>0</v>
      </c>
      <c r="FZ57" s="957" t="s">
        <v>1506</v>
      </c>
    </row>
    <row r="58" spans="1:182" ht="23.85" hidden="1" customHeight="1">
      <c r="A58" s="409"/>
      <c r="B58" s="830" t="b" cm="1">
        <f t="array" ref="B58">B57</f>
        <v>0</v>
      </c>
      <c r="C58" s="409"/>
      <c r="D58" s="409"/>
      <c r="E58" s="754">
        <v>24.5</v>
      </c>
      <c r="F58" s="3" cm="1">
        <f t="array" aca="1" ref="F58" ca="1">OFFSET(E58,-1,1)</f>
        <v>0</v>
      </c>
      <c r="G58" s="409"/>
      <c r="H58" s="409"/>
      <c r="I58" s="409"/>
      <c r="J58" s="409"/>
      <c r="K58" s="409"/>
      <c r="L58" s="409"/>
      <c r="M58" s="409"/>
      <c r="N58" s="409"/>
      <c r="O58" s="409"/>
      <c r="P58" s="409"/>
      <c r="Q58" s="409"/>
      <c r="R58" s="409"/>
      <c r="S58" s="409"/>
      <c r="T58" s="381" t="b" cm="1">
        <f t="array" aca="1" ref="T58" ca="1">T57</f>
        <v>0</v>
      </c>
      <c r="U58" s="409"/>
      <c r="V58" s="409"/>
      <c r="W58" s="409"/>
      <c r="X58" s="1787"/>
      <c r="Y58" s="409"/>
      <c r="Z58" s="1734"/>
      <c r="AA58" s="409"/>
      <c r="AB58" s="209" t="s">
        <v>1507</v>
      </c>
      <c r="AC58" s="810"/>
      <c r="AD58" s="1003"/>
      <c r="AE58" s="1003"/>
      <c r="AF58" s="1003"/>
      <c r="AG58" s="1003"/>
      <c r="AH58" s="1003"/>
      <c r="AI58" s="1003"/>
      <c r="AJ58" s="1003"/>
      <c r="AK58" s="1003"/>
      <c r="AL58" s="1003"/>
      <c r="AM58" s="1003"/>
      <c r="AN58" s="1003"/>
      <c r="AO58" s="1003"/>
      <c r="AP58" s="1003"/>
      <c r="AQ58" s="1003"/>
      <c r="AR58" s="1003"/>
      <c r="AS58" s="1003"/>
      <c r="AT58" s="1003"/>
      <c r="AU58" s="1003"/>
      <c r="AV58" s="1003"/>
      <c r="AW58" s="1003"/>
      <c r="AX58" s="1003"/>
      <c r="AY58" s="1003"/>
      <c r="AZ58" s="1003"/>
      <c r="BA58" s="1003"/>
      <c r="BB58" s="1003"/>
      <c r="BC58" s="1003"/>
      <c r="BD58" s="1003"/>
      <c r="BE58" s="1003"/>
      <c r="BF58" s="1003"/>
      <c r="BG58" s="1003"/>
      <c r="BH58" s="1003"/>
      <c r="BI58" s="1003"/>
      <c r="BJ58" s="1003"/>
      <c r="BK58" s="1003"/>
      <c r="BL58" s="1003"/>
      <c r="BM58" s="1003"/>
      <c r="BN58" s="1003"/>
      <c r="BO58" s="1003"/>
      <c r="BP58" s="1003"/>
      <c r="BQ58" s="1003"/>
      <c r="BR58" s="1003"/>
      <c r="BS58" s="1003"/>
      <c r="BT58" s="1003"/>
      <c r="BU58" s="1003"/>
      <c r="BV58" s="1003"/>
      <c r="BW58" s="1003"/>
      <c r="BX58" s="1003"/>
      <c r="BY58" s="1003"/>
      <c r="BZ58" s="1003"/>
      <c r="CA58" s="1003"/>
      <c r="CB58" s="1003"/>
      <c r="CC58" s="1003"/>
      <c r="CD58" s="1003"/>
      <c r="CE58" s="1003"/>
      <c r="CF58" s="1003"/>
      <c r="CG58" s="1003"/>
      <c r="CH58" s="1003"/>
      <c r="CI58" s="1003"/>
      <c r="CJ58" s="1003"/>
      <c r="CK58" s="1003"/>
      <c r="CL58" s="1003"/>
      <c r="CM58" s="1003"/>
      <c r="CN58" s="1003"/>
      <c r="CO58" s="1003"/>
      <c r="CP58" s="1003"/>
      <c r="CQ58" s="1003"/>
      <c r="CR58" s="1003"/>
      <c r="CS58" s="1003"/>
      <c r="CT58" s="1003"/>
      <c r="CU58" s="1003"/>
      <c r="CV58" s="1003"/>
      <c r="CW58" s="1003"/>
      <c r="CX58" s="1003"/>
      <c r="CY58" s="1003"/>
      <c r="CZ58" s="1003"/>
      <c r="DA58" s="1003"/>
      <c r="DB58" s="1003"/>
      <c r="DC58" s="1003"/>
      <c r="DD58" s="1003"/>
      <c r="DE58" s="1003"/>
      <c r="DF58" s="1003"/>
      <c r="DG58" s="1003"/>
      <c r="DH58" s="1003"/>
      <c r="DI58" s="1003"/>
      <c r="DJ58" s="1003"/>
      <c r="DK58" s="1003"/>
      <c r="DL58" s="1003"/>
      <c r="DM58" s="1003"/>
      <c r="DN58" s="1003"/>
      <c r="DO58" s="1003"/>
      <c r="DP58" s="1003"/>
      <c r="DQ58" s="1003"/>
      <c r="DR58" s="1003"/>
      <c r="DS58" s="1003"/>
      <c r="DT58" s="1003"/>
      <c r="DU58" s="1003"/>
      <c r="DV58" s="1003"/>
      <c r="DW58" s="1003"/>
      <c r="DX58" s="1003"/>
      <c r="DY58" s="1003"/>
      <c r="DZ58" s="1003"/>
      <c r="EA58" s="1003"/>
      <c r="EB58" s="1003"/>
      <c r="EC58" s="1003"/>
      <c r="ED58" s="1003"/>
      <c r="EE58" s="1003"/>
      <c r="EF58" s="1003"/>
      <c r="EG58" s="1003"/>
      <c r="EH58" s="1003"/>
      <c r="EI58" s="1003"/>
      <c r="EJ58" s="1003"/>
      <c r="EK58" s="1003"/>
      <c r="EL58" s="1003"/>
      <c r="EM58" s="1003"/>
      <c r="EN58" s="1003"/>
      <c r="EO58" s="1003"/>
      <c r="EP58" s="1003"/>
      <c r="EQ58" s="1003"/>
      <c r="ER58" s="1003"/>
      <c r="ES58" s="1003"/>
      <c r="ET58" s="1003"/>
      <c r="EU58" s="1003"/>
      <c r="EV58" s="1003"/>
      <c r="EW58" s="1003"/>
      <c r="EX58" s="1003"/>
      <c r="EY58" s="1003"/>
      <c r="EZ58" s="1003"/>
      <c r="FA58" s="1003"/>
      <c r="FB58" s="1003"/>
      <c r="FC58" s="1003"/>
      <c r="FD58" s="1003"/>
      <c r="FE58" s="1003"/>
      <c r="FF58" s="1003"/>
      <c r="FG58" s="1003"/>
      <c r="FH58" s="1003"/>
      <c r="FI58" s="1003"/>
      <c r="FJ58" s="1003"/>
      <c r="FK58" s="1003"/>
      <c r="FL58" s="1003"/>
      <c r="FM58" s="1003"/>
      <c r="FN58" s="1003"/>
      <c r="FO58" s="1003"/>
      <c r="FP58" s="1003"/>
      <c r="FQ58" s="1003"/>
      <c r="FR58" s="1003"/>
      <c r="FS58" s="1003"/>
      <c r="FT58" s="1003"/>
      <c r="FU58" s="1003"/>
      <c r="FV58" s="1003"/>
      <c r="FW58" s="1004"/>
      <c r="FZ58" s="957"/>
    </row>
    <row r="59" spans="1:182" ht="14.65" hidden="1" customHeight="1">
      <c r="A59" s="409"/>
      <c r="B59" s="830" t="b" cm="1">
        <f t="array" ref="B59">B58</f>
        <v>0</v>
      </c>
      <c r="C59" s="409"/>
      <c r="D59" s="409"/>
      <c r="E59" s="754">
        <v>15</v>
      </c>
      <c r="F59" s="3" cm="1">
        <f t="array" aca="1" ref="F59" ca="1">OFFSET(E59,-1,1)</f>
        <v>0</v>
      </c>
      <c r="G59" s="409"/>
      <c r="H59" s="409" t="s">
        <v>1412</v>
      </c>
      <c r="I59" s="409" t="s">
        <v>1467</v>
      </c>
      <c r="J59" s="409"/>
      <c r="K59" s="409"/>
      <c r="L59" s="409"/>
      <c r="M59" s="409"/>
      <c r="N59" s="409"/>
      <c r="O59" s="409"/>
      <c r="P59" s="409"/>
      <c r="Q59" s="409"/>
      <c r="R59" s="409"/>
      <c r="S59" s="409"/>
      <c r="T59" s="381" t="b" cm="1">
        <f t="array" aca="1" ref="T59" ca="1">T58</f>
        <v>0</v>
      </c>
      <c r="U59" s="409"/>
      <c r="V59" s="409"/>
      <c r="W59" s="409"/>
      <c r="X59" s="1787"/>
      <c r="Y59" s="409"/>
      <c r="Z59" s="1734"/>
      <c r="AA59" s="409"/>
      <c r="AB59" s="994" t="s">
        <v>1487</v>
      </c>
      <c r="AC59" s="778" t="s">
        <v>1454</v>
      </c>
      <c r="AD59" s="1428">
        <f ca="1">IF(AD61=0,0,(AD60*AD61+AD62*AD63*IF(god=2026,9,6))/AD61)</f>
        <v>0</v>
      </c>
      <c r="AE59" s="1428">
        <f ca="1">IF(AE61=0,0,(AE60*AE61+AE62*AE63*IF(god=2026,9,6))/AE61)</f>
        <v>0</v>
      </c>
      <c r="AF59" s="996">
        <f ca="1">IF(AD59=0,0,(AE59-AD59)/AD59*100)</f>
        <v>0</v>
      </c>
      <c r="AG59" s="1428">
        <f ca="1">IF(AG61=0,0,(AG60*AG61+AG62*AG63*IF(god=2025,9,6))/AG61)</f>
        <v>0</v>
      </c>
      <c r="AH59" s="1428">
        <f ca="1">IF(AH61=0,0,(AH60*AH61+AH62*AH63*IF(god=2025,9,6))/AH61)</f>
        <v>0</v>
      </c>
      <c r="AI59" s="996">
        <f ca="1">IF(AG59=0,0,(AH59-AG59)/AG59*100)</f>
        <v>0</v>
      </c>
      <c r="AJ59" s="1428">
        <f ca="1">IF(AJ61=0,0,(AJ60*AJ61+AJ62*AJ63*6)/AJ61)</f>
        <v>0</v>
      </c>
      <c r="AK59" s="1428">
        <f ca="1">IF(AK61=0,0,(AK60*AK61+AK62*AK63*6)/AK61)</f>
        <v>0</v>
      </c>
      <c r="AL59" s="996">
        <f ca="1">IF(AJ59=0,0,(AK59-AJ59)/AJ59*100)</f>
        <v>0</v>
      </c>
      <c r="AM59" s="1428">
        <f ca="1">IF(AM61=0,0,(AM60*AM61+AM62*AM63*6)/AM61)</f>
        <v>0</v>
      </c>
      <c r="AN59" s="1428">
        <f ca="1">IF(AN61=0,0,(AN60*AN61+AN62*AN63*6)/AN61)</f>
        <v>0</v>
      </c>
      <c r="AO59" s="996">
        <f ca="1">IF(AM59=0,0,(AN59-AM59)/AM59*100)</f>
        <v>0</v>
      </c>
      <c r="AP59" s="1428">
        <f ca="1">IF(AP61=0,0,(AP60*AP61+AP62*AP63*6)/AP61)</f>
        <v>0</v>
      </c>
      <c r="AQ59" s="1428">
        <f ca="1">IF(AQ61=0,0,(AQ60*AQ61+AQ62*AQ63*6)/AQ61)</f>
        <v>0</v>
      </c>
      <c r="AR59" s="996">
        <f ca="1">IF(AP59=0,0,(AQ59-AP59)/AP59*100)</f>
        <v>0</v>
      </c>
      <c r="AS59" s="1428">
        <f ca="1">IF(AS61=0,0,(AS60*AS61+AS62*AS63*6)/AS61)</f>
        <v>0</v>
      </c>
      <c r="AT59" s="1428">
        <f ca="1">IF(AT61=0,0,(AT60*AT61+AT62*AT63*6)/AT61)</f>
        <v>0</v>
      </c>
      <c r="AU59" s="996">
        <f ca="1">IF(AS59=0,0,(AT59-AS59)/AS59*100)</f>
        <v>0</v>
      </c>
      <c r="AV59" s="1428">
        <f ca="1">IF(AV61=0,0,(AV60*AV61+AV62*AV63*6)/AV61)</f>
        <v>0</v>
      </c>
      <c r="AW59" s="1428">
        <f ca="1">IF(AW61=0,0,(AW60*AW61+AW62*AW63*6)/AW61)</f>
        <v>0</v>
      </c>
      <c r="AX59" s="996">
        <f ca="1">IF(AV59=0,0,(AW59-AV59)/AV59*100)</f>
        <v>0</v>
      </c>
      <c r="AY59" s="1428">
        <f ca="1">IF(AY61=0,0,(AY60*AY61+AY62*AY63*6)/AY61)</f>
        <v>0</v>
      </c>
      <c r="AZ59" s="1428">
        <f ca="1">IF(AZ61=0,0,(AZ60*AZ61+AZ62*AZ63*6)/AZ61)</f>
        <v>0</v>
      </c>
      <c r="BA59" s="996">
        <f ca="1">IF(AY59=0,0,(AZ59-AY59)/AY59*100)</f>
        <v>0</v>
      </c>
      <c r="BB59" s="1428">
        <f ca="1">IF(BB61=0,0,(BB60*BB61+BB62*BB63*6)/BB61)</f>
        <v>0</v>
      </c>
      <c r="BC59" s="1428">
        <f ca="1">IF(BC61=0,0,(BC60*BC61+BC62*BC63*6)/BC61)</f>
        <v>0</v>
      </c>
      <c r="BD59" s="996">
        <f ca="1">IF(BB59=0,0,(BC59-BB59)/BB59*100)</f>
        <v>0</v>
      </c>
      <c r="BE59" s="1428">
        <f ca="1">IF(BE61=0,0,(BE60*BE61+BE62*BE63*6)/BE61)</f>
        <v>0</v>
      </c>
      <c r="BF59" s="1428">
        <f ca="1">IF(BF61=0,0,(BF60*BF61+BF62*BF63*6)/BF61)</f>
        <v>0</v>
      </c>
      <c r="BG59" s="996">
        <f ca="1">IF(BE59=0,0,(BF59-BE59)/BE59*100)</f>
        <v>0</v>
      </c>
      <c r="BH59" s="1428">
        <f>IF(BH61=0,0,(BH60*BH61+BH62*BH63*6)/BH61)</f>
        <v>0</v>
      </c>
      <c r="BI59" s="1428">
        <f>IF(BI61=0,0,(BI60*BI61+BI62*BI63*6)/BI61)</f>
        <v>0</v>
      </c>
      <c r="BJ59" s="996">
        <f>IF(BH59=0,0,(BI59-BH59)/BH59*100)</f>
        <v>0</v>
      </c>
      <c r="BK59" s="1428">
        <f>IF(BK61=0,0,(BK60*BK61+BK62*BK63*6)/BK61)</f>
        <v>0</v>
      </c>
      <c r="BL59" s="1428">
        <f>IF(BL61=0,0,(BL60*BL61+BL62*BL63*6)/BL61)</f>
        <v>0</v>
      </c>
      <c r="BM59" s="996">
        <f>IF(BK59=0,0,(BL59-BK59)/BK59*100)</f>
        <v>0</v>
      </c>
      <c r="BN59" s="1428">
        <f>IF(BN61=0,0,(BN60*BN61+BN62*BN63*6)/BN61)</f>
        <v>0</v>
      </c>
      <c r="BO59" s="1428">
        <f>IF(BO61=0,0,(BO60*BO61+BO62*BO63*6)/BO61)</f>
        <v>0</v>
      </c>
      <c r="BP59" s="996">
        <f>IF(BN59=0,0,(BO59-BN59)/BN59*100)</f>
        <v>0</v>
      </c>
      <c r="BQ59" s="1428">
        <f>IF(BQ61=0,0,(BQ60*BQ61+BQ62*BQ63*6)/BQ61)</f>
        <v>0</v>
      </c>
      <c r="BR59" s="1428">
        <f>IF(BR61=0,0,(BR60*BR61+BR62*BR63*6)/BR61)</f>
        <v>0</v>
      </c>
      <c r="BS59" s="996">
        <f>IF(BQ59=0,0,(BR59-BQ59)/BQ59*100)</f>
        <v>0</v>
      </c>
      <c r="BT59" s="1428">
        <f>IF(BT61=0,0,(BT60*BT61+BT62*BT63*6)/BT61)</f>
        <v>0</v>
      </c>
      <c r="BU59" s="1428">
        <f>IF(BU61=0,0,(BU60*BU61+BU62*BU63*6)/BU61)</f>
        <v>0</v>
      </c>
      <c r="BV59" s="996">
        <f>IF(BT59=0,0,(BU59-BT59)/BT59*100)</f>
        <v>0</v>
      </c>
      <c r="BW59" s="1428">
        <f>IF(BW61=0,0,(BW60*BW61+BW62*BW63*6)/BW61)</f>
        <v>0</v>
      </c>
      <c r="BX59" s="1428">
        <f>IF(BX61=0,0,(BX60*BX61+BX62*BX63*6)/BX61)</f>
        <v>0</v>
      </c>
      <c r="BY59" s="996">
        <f>IF(BW59=0,0,(BX59-BW59)/BW59*100)</f>
        <v>0</v>
      </c>
      <c r="BZ59" s="1428">
        <f>IF(BZ61=0,0,(BZ60*BZ61+BZ62*BZ63*6)/BZ61)</f>
        <v>0</v>
      </c>
      <c r="CA59" s="1428">
        <f>IF(CA61=0,0,(CA60*CA61+CA62*CA63*6)/CA61)</f>
        <v>0</v>
      </c>
      <c r="CB59" s="996">
        <f>IF(BZ59=0,0,(CA59-BZ59)/BZ59*100)</f>
        <v>0</v>
      </c>
      <c r="CC59" s="1428">
        <f>IF(CC61=0,0,(CC60*CC61+CC62*CC63*6)/CC61)</f>
        <v>0</v>
      </c>
      <c r="CD59" s="1428">
        <f>IF(CD61=0,0,(CD60*CD61+CD62*CD63*6)/CD61)</f>
        <v>0</v>
      </c>
      <c r="CE59" s="996">
        <f>IF(CC59=0,0,(CD59-CC59)/CC59*100)</f>
        <v>0</v>
      </c>
      <c r="CF59" s="1428">
        <f>IF(CF61=0,0,(CF60*CF61+CF62*CF63*6)/CF61)</f>
        <v>0</v>
      </c>
      <c r="CG59" s="1428">
        <f>IF(CG61=0,0,(CG60*CG61+CG62*CG63*6)/CG61)</f>
        <v>0</v>
      </c>
      <c r="CH59" s="996">
        <f>IF(CF59=0,0,(CG59-CF59)/CF59*100)</f>
        <v>0</v>
      </c>
      <c r="CI59" s="1428">
        <f>IF(CI61=0,0,(CI60*CI61+CI62*CI63*6)/CI61)</f>
        <v>0</v>
      </c>
      <c r="CJ59" s="1428">
        <f>IF(CJ61=0,0,(CJ60*CJ61+CJ62*CJ63*6)/CJ61)</f>
        <v>0</v>
      </c>
      <c r="CK59" s="996">
        <f>IF(CI59=0,0,(CJ59-CI59)/CI59*100)</f>
        <v>0</v>
      </c>
      <c r="CL59" s="1428">
        <f>IF(CL61=0,0,(CL60*CL61+CL62*CL63*6)/CL61)</f>
        <v>0</v>
      </c>
      <c r="CM59" s="1428">
        <f>IF(CM61=0,0,(CM60*CM61+CM62*CM63*6)/CM61)</f>
        <v>0</v>
      </c>
      <c r="CN59" s="996">
        <f>IF(CL59=0,0,(CM59-CL59)/CL59*100)</f>
        <v>0</v>
      </c>
      <c r="CO59" s="1428">
        <f>IF(CO61=0,0,(CO60*CO61+CO62*CO63*6)/CO61)</f>
        <v>0</v>
      </c>
      <c r="CP59" s="1428">
        <f>IF(CP61=0,0,(CP60*CP61+CP62*CP63*6)/CP61)</f>
        <v>0</v>
      </c>
      <c r="CQ59" s="996">
        <f>IF(CO59=0,0,(CP59-CO59)/CO59*100)</f>
        <v>0</v>
      </c>
      <c r="CR59" s="1428">
        <f>IF(CR61=0,0,(CR60*CR61+CR62*CR63*6)/CR61)</f>
        <v>0</v>
      </c>
      <c r="CS59" s="1428">
        <f>IF(CS61=0,0,(CS60*CS61+CS62*CS63*6)/CS61)</f>
        <v>0</v>
      </c>
      <c r="CT59" s="996">
        <f>IF(CR59=0,0,(CS59-CR59)/CR59*100)</f>
        <v>0</v>
      </c>
      <c r="CU59" s="1428">
        <f>IF(CU61=0,0,(CU60*CU61+CU62*CU63*6)/CU61)</f>
        <v>0</v>
      </c>
      <c r="CV59" s="1428">
        <f>IF(CV61=0,0,(CV60*CV61+CV62*CV63*6)/CV61)</f>
        <v>0</v>
      </c>
      <c r="CW59" s="996">
        <f>IF(CU59=0,0,(CV59-CU59)/CU59*100)</f>
        <v>0</v>
      </c>
      <c r="CX59" s="1428">
        <f>IF(CX61=0,0,(CX60*CX61+CX62*CX63*6)/CX61)</f>
        <v>0</v>
      </c>
      <c r="CY59" s="1428">
        <f>IF(CY61=0,0,(CY60*CY61+CY62*CY63*6)/CY61)</f>
        <v>0</v>
      </c>
      <c r="CZ59" s="996">
        <f>IF(CX59=0,0,(CY59-CX59)/CX59*100)</f>
        <v>0</v>
      </c>
      <c r="DA59" s="1428">
        <f>IF(DA61=0,0,(DA60*DA61+DA62*DA63*6)/DA61)</f>
        <v>0</v>
      </c>
      <c r="DB59" s="1428">
        <f>IF(DB61=0,0,(DB60*DB61+DB62*DB63*6)/DB61)</f>
        <v>0</v>
      </c>
      <c r="DC59" s="996">
        <f>IF(DA59=0,0,(DB59-DA59)/DA59*100)</f>
        <v>0</v>
      </c>
      <c r="DD59" s="1428">
        <f>IF(DD61=0,0,(DD60*DD61+DD62*DD63*6)/DD61)</f>
        <v>0</v>
      </c>
      <c r="DE59" s="1428">
        <f>IF(DE61=0,0,(DE60*DE61+DE62*DE63*6)/DE61)</f>
        <v>0</v>
      </c>
      <c r="DF59" s="996">
        <f>IF(DD59=0,0,(DE59-DD59)/DD59*100)</f>
        <v>0</v>
      </c>
      <c r="DG59" s="1428">
        <f>IF(DG61=0,0,(DG60*DG61+DG62*DG63*6)/DG61)</f>
        <v>0</v>
      </c>
      <c r="DH59" s="1428">
        <f>IF(DH61=0,0,(DH60*DH61+DH62*DH63*6)/DH61)</f>
        <v>0</v>
      </c>
      <c r="DI59" s="996">
        <f>IF(DG59=0,0,(DH59-DG59)/DG59*100)</f>
        <v>0</v>
      </c>
      <c r="DJ59" s="1428">
        <f>IF(DJ61=0,0,(DJ60*DJ61+DJ62*DJ63*6)/DJ61)</f>
        <v>0</v>
      </c>
      <c r="DK59" s="1428">
        <f>IF(DK61=0,0,(DK60*DK61+DK62*DK63*6)/DK61)</f>
        <v>0</v>
      </c>
      <c r="DL59" s="996">
        <f>IF(DJ59=0,0,(DK59-DJ59)/DJ59*100)</f>
        <v>0</v>
      </c>
      <c r="DM59" s="1428">
        <f>IF(DM61=0,0,(DM60*DM61+DM62*DM63*6)/DM61)</f>
        <v>0</v>
      </c>
      <c r="DN59" s="1428">
        <f>IF(DN61=0,0,(DN60*DN61+DN62*DN63*6)/DN61)</f>
        <v>0</v>
      </c>
      <c r="DO59" s="996">
        <f>IF(DM59=0,0,(DN59-DM59)/DM59*100)</f>
        <v>0</v>
      </c>
      <c r="DP59" s="1428">
        <f>IF(DP61=0,0,(DP60*DP61+DP62*DP63*6)/DP61)</f>
        <v>0</v>
      </c>
      <c r="DQ59" s="1428">
        <f>IF(DQ61=0,0,(DQ60*DQ61+DQ62*DQ63*6)/DQ61)</f>
        <v>0</v>
      </c>
      <c r="DR59" s="996">
        <f>IF(DP59=0,0,(DQ59-DP59)/DP59*100)</f>
        <v>0</v>
      </c>
      <c r="DS59" s="1428">
        <f>IF(DS61=0,0,(DS60*DS61+DS62*DS63*6)/DS61)</f>
        <v>0</v>
      </c>
      <c r="DT59" s="1428">
        <f>IF(DT61=0,0,(DT60*DT61+DT62*DT63*6)/DT61)</f>
        <v>0</v>
      </c>
      <c r="DU59" s="996">
        <f>IF(DS59=0,0,(DT59-DS59)/DS59*100)</f>
        <v>0</v>
      </c>
      <c r="DV59" s="1428">
        <f>IF(DV61=0,0,(DV60*DV61+DV62*DV63*6)/DV61)</f>
        <v>0</v>
      </c>
      <c r="DW59" s="1428">
        <f>IF(DW61=0,0,(DW60*DW61+DW62*DW63*6)/DW61)</f>
        <v>0</v>
      </c>
      <c r="DX59" s="996">
        <f>IF(DV59=0,0,(DW59-DV59)/DV59*100)</f>
        <v>0</v>
      </c>
      <c r="DY59" s="1428">
        <f>IF(DY61=0,0,(DY60*DY61+DY62*DY63*6)/DY61)</f>
        <v>0</v>
      </c>
      <c r="DZ59" s="1428">
        <f>IF(DZ61=0,0,(DZ60*DZ61+DZ62*DZ63*6)/DZ61)</f>
        <v>0</v>
      </c>
      <c r="EA59" s="996">
        <f>IF(DY59=0,0,(DZ59-DY59)/DY59*100)</f>
        <v>0</v>
      </c>
      <c r="EB59" s="1428">
        <f>IF(EB61=0,0,(EB60*EB61+EB62*EB63*6)/EB61)</f>
        <v>0</v>
      </c>
      <c r="EC59" s="1428">
        <f>IF(EC61=0,0,(EC60*EC61+EC62*EC63*6)/EC61)</f>
        <v>0</v>
      </c>
      <c r="ED59" s="996">
        <f>IF(EB59=0,0,(EC59-EB59)/EB59*100)</f>
        <v>0</v>
      </c>
      <c r="EE59" s="1428">
        <f>IF(EE61=0,0,(EE60*EE61+EE62*EE63*6)/EE61)</f>
        <v>0</v>
      </c>
      <c r="EF59" s="1428">
        <f>IF(EF61=0,0,(EF60*EF61+EF62*EF63*6)/EF61)</f>
        <v>0</v>
      </c>
      <c r="EG59" s="996">
        <f>IF(EE59=0,0,(EF59-EE59)/EE59*100)</f>
        <v>0</v>
      </c>
      <c r="EH59" s="1428">
        <f>IF(EH61=0,0,(EH60*EH61+EH62*EH63*6)/EH61)</f>
        <v>0</v>
      </c>
      <c r="EI59" s="1428">
        <f>IF(EI61=0,0,(EI60*EI61+EI62*EI63*6)/EI61)</f>
        <v>0</v>
      </c>
      <c r="EJ59" s="996">
        <f>IF(EH59=0,0,(EI59-EH59)/EH59*100)</f>
        <v>0</v>
      </c>
      <c r="EK59" s="1428">
        <f>IF(EK61=0,0,(EK60*EK61+EK62*EK63*6)/EK61)</f>
        <v>0</v>
      </c>
      <c r="EL59" s="1428">
        <f>IF(EL61=0,0,(EL60*EL61+EL62*EL63*6)/EL61)</f>
        <v>0</v>
      </c>
      <c r="EM59" s="996">
        <f>IF(EK59=0,0,(EL59-EK59)/EK59*100)</f>
        <v>0</v>
      </c>
      <c r="EN59" s="1428">
        <f>IF(EN61=0,0,(EN60*EN61+EN62*EN63*6)/EN61)</f>
        <v>0</v>
      </c>
      <c r="EO59" s="1428">
        <f>IF(EO61=0,0,(EO60*EO61+EO62*EO63*6)/EO61)</f>
        <v>0</v>
      </c>
      <c r="EP59" s="996">
        <f>IF(EN59=0,0,(EO59-EN59)/EN59*100)</f>
        <v>0</v>
      </c>
      <c r="EQ59" s="1428">
        <f>IF(EQ61=0,0,(EQ60*EQ61+EQ62*EQ63*6)/EQ61)</f>
        <v>0</v>
      </c>
      <c r="ER59" s="1428">
        <f>IF(ER61=0,0,(ER60*ER61+ER62*ER63*6)/ER61)</f>
        <v>0</v>
      </c>
      <c r="ES59" s="996">
        <f>IF(EQ59=0,0,(ER59-EQ59)/EQ59*100)</f>
        <v>0</v>
      </c>
      <c r="ET59" s="1428">
        <f>IF(ET61=0,0,(ET60*ET61+ET62*ET63*6)/ET61)</f>
        <v>0</v>
      </c>
      <c r="EU59" s="1428">
        <f>IF(EU61=0,0,(EU60*EU61+EU62*EU63*6)/EU61)</f>
        <v>0</v>
      </c>
      <c r="EV59" s="996">
        <f>IF(ET59=0,0,(EU59-ET59)/ET59*100)</f>
        <v>0</v>
      </c>
      <c r="EW59" s="1428">
        <f>IF(EW61=0,0,(EW60*EW61+EW62*EW63*6)/EW61)</f>
        <v>0</v>
      </c>
      <c r="EX59" s="1428">
        <f>IF(EX61=0,0,(EX60*EX61+EX62*EX63*6)/EX61)</f>
        <v>0</v>
      </c>
      <c r="EY59" s="996">
        <f>IF(EW59=0,0,(EX59-EW59)/EW59*100)</f>
        <v>0</v>
      </c>
      <c r="EZ59" s="1428">
        <f>IF(EZ61=0,0,(EZ60*EZ61+EZ62*EZ63*6)/EZ61)</f>
        <v>0</v>
      </c>
      <c r="FA59" s="1428">
        <f>IF(FA61=0,0,(FA60*FA61+FA62*FA63*6)/FA61)</f>
        <v>0</v>
      </c>
      <c r="FB59" s="996">
        <f>IF(EZ59=0,0,(FA59-EZ59)/EZ59*100)</f>
        <v>0</v>
      </c>
      <c r="FC59" s="1428">
        <f>IF(FC61=0,0,(FC60*FC61+FC62*FC63*6)/FC61)</f>
        <v>0</v>
      </c>
      <c r="FD59" s="1428">
        <f>IF(FD61=0,0,(FD60*FD61+FD62*FD63*6)/FD61)</f>
        <v>0</v>
      </c>
      <c r="FE59" s="996">
        <f>IF(FC59=0,0,(FD59-FC59)/FC59*100)</f>
        <v>0</v>
      </c>
      <c r="FF59" s="1428">
        <f>IF(FF61=0,0,(FF60*FF61+FF62*FF63*6)/FF61)</f>
        <v>0</v>
      </c>
      <c r="FG59" s="1428">
        <f>IF(FG61=0,0,(FG60*FG61+FG62*FG63*6)/FG61)</f>
        <v>0</v>
      </c>
      <c r="FH59" s="996">
        <f>IF(FF59=0,0,(FG59-FF59)/FF59*100)</f>
        <v>0</v>
      </c>
      <c r="FI59" s="1428">
        <f>IF(FI61=0,0,(FI60*FI61+FI62*FI63*6)/FI61)</f>
        <v>0</v>
      </c>
      <c r="FJ59" s="1428">
        <f>IF(FJ61=0,0,(FJ60*FJ61+FJ62*FJ63*6)/FJ61)</f>
        <v>0</v>
      </c>
      <c r="FK59" s="996">
        <f>IF(FI59=0,0,(FJ59-FI59)/FI59*100)</f>
        <v>0</v>
      </c>
      <c r="FL59" s="1428">
        <f>IF(FL61=0,0,(FL60*FL61+FL62*FL63*6)/FL61)</f>
        <v>0</v>
      </c>
      <c r="FM59" s="1428">
        <f>IF(FM61=0,0,(FM60*FM61+FM62*FM63*6)/FM61)</f>
        <v>0</v>
      </c>
      <c r="FN59" s="996">
        <f>IF(FL59=0,0,(FM59-FL59)/FL59*100)</f>
        <v>0</v>
      </c>
      <c r="FO59" s="1428">
        <f>IF(FO61=0,0,(FO60*FO61+FO62*FO63*6)/FO61)</f>
        <v>0</v>
      </c>
      <c r="FP59" s="1428">
        <f>IF(FP61=0,0,(FP60*FP61+FP62*FP63*6)/FP61)</f>
        <v>0</v>
      </c>
      <c r="FQ59" s="996">
        <f>IF(FO59=0,0,(FP59-FO59)/FO59*100)</f>
        <v>0</v>
      </c>
      <c r="FR59" s="1428">
        <f>IF(FR61=0,0,(FR60*FR61+FR62*FR63*6)/FR61)</f>
        <v>0</v>
      </c>
      <c r="FS59" s="1428">
        <f>IF(FS61=0,0,(FS60*FS61+FS62*FS63*6)/FS61)</f>
        <v>0</v>
      </c>
      <c r="FT59" s="996">
        <f>IF(FR59=0,0,(FS59-FR59)/FR59*100)</f>
        <v>0</v>
      </c>
      <c r="FU59" s="1428">
        <f>IF(FU61=0,0,(FU60*FU61+FU62*FU63*6)/FU61)</f>
        <v>0</v>
      </c>
      <c r="FV59" s="1428">
        <f>IF(FV61=0,0,(FV60*FV61+FV62*FV63*6)/FV61)</f>
        <v>0</v>
      </c>
      <c r="FW59" s="996">
        <f>IF(FU59=0,0,(FV59-FU59)/FU59*100)</f>
        <v>0</v>
      </c>
      <c r="FZ59" s="957" t="s">
        <v>1508</v>
      </c>
    </row>
    <row r="60" spans="1:182" ht="14.65" hidden="1" customHeight="1">
      <c r="A60" s="409"/>
      <c r="B60" s="830" t="b" cm="1">
        <f t="array" ref="B60">B59</f>
        <v>0</v>
      </c>
      <c r="C60" s="409"/>
      <c r="D60" s="409"/>
      <c r="E60" s="754">
        <v>15</v>
      </c>
      <c r="F60" s="3" cm="1">
        <f t="array" aca="1" ref="F60" ca="1">OFFSET(E60,-1,1)</f>
        <v>0</v>
      </c>
      <c r="G60" s="409"/>
      <c r="H60" s="409" t="s">
        <v>1416</v>
      </c>
      <c r="I60" s="409" t="s">
        <v>1467</v>
      </c>
      <c r="J60" s="409"/>
      <c r="K60" s="409"/>
      <c r="L60" s="409"/>
      <c r="M60" s="409"/>
      <c r="N60" s="409"/>
      <c r="O60" s="409"/>
      <c r="P60" s="409"/>
      <c r="Q60" s="409"/>
      <c r="R60" s="409"/>
      <c r="S60" s="409"/>
      <c r="T60" s="381" t="b" cm="1">
        <f t="array" aca="1" ref="T60" ca="1">T59</f>
        <v>0</v>
      </c>
      <c r="U60" s="409"/>
      <c r="V60" s="409"/>
      <c r="W60" s="409"/>
      <c r="X60" s="1787"/>
      <c r="Y60" s="409"/>
      <c r="Z60" s="1734"/>
      <c r="AA60" s="409"/>
      <c r="AB60" s="994" t="str">
        <f>"ставка платы за "&amp;IF(Q29="Водоснабжение","потребление 1 куб.м холодной воды","объем принятых сточных вод")</f>
        <v>ставка платы за объем принятых сточных вод</v>
      </c>
      <c r="AC60" s="778" t="s">
        <v>1454</v>
      </c>
      <c r="AD60" s="1428"/>
      <c r="AE60" s="1428"/>
      <c r="AF60" s="996">
        <f>IF(AD60=0,0,(AE60-AD60)/AD60*100)</f>
        <v>0</v>
      </c>
      <c r="AG60" s="1428"/>
      <c r="AH60" s="1428"/>
      <c r="AI60" s="996">
        <f>IF(AG60=0,0,(AH60-AG60)/AG60*100)</f>
        <v>0</v>
      </c>
      <c r="AJ60" s="1428"/>
      <c r="AK60" s="1428"/>
      <c r="AL60" s="996">
        <f>IF(AJ60=0,0,(AK60-AJ60)/AJ60*100)</f>
        <v>0</v>
      </c>
      <c r="AM60" s="1428"/>
      <c r="AN60" s="1428"/>
      <c r="AO60" s="996">
        <f>IF(AM60=0,0,(AN60-AM60)/AM60*100)</f>
        <v>0</v>
      </c>
      <c r="AP60" s="1428"/>
      <c r="AQ60" s="1428"/>
      <c r="AR60" s="996">
        <f>IF(AP60=0,0,(AQ60-AP60)/AP60*100)</f>
        <v>0</v>
      </c>
      <c r="AS60" s="1428"/>
      <c r="AT60" s="1428"/>
      <c r="AU60" s="996">
        <f>IF(AS60=0,0,(AT60-AS60)/AS60*100)</f>
        <v>0</v>
      </c>
      <c r="AV60" s="1428"/>
      <c r="AW60" s="1428"/>
      <c r="AX60" s="996">
        <f>IF(AV60=0,0,(AW60-AV60)/AV60*100)</f>
        <v>0</v>
      </c>
      <c r="AY60" s="1428"/>
      <c r="AZ60" s="1428"/>
      <c r="BA60" s="996">
        <f>IF(AY60=0,0,(AZ60-AY60)/AY60*100)</f>
        <v>0</v>
      </c>
      <c r="BB60" s="1428"/>
      <c r="BC60" s="1428"/>
      <c r="BD60" s="996">
        <f>IF(BB60=0,0,(BC60-BB60)/BB60*100)</f>
        <v>0</v>
      </c>
      <c r="BE60" s="1428"/>
      <c r="BF60" s="1428"/>
      <c r="BG60" s="996">
        <f>IF(BE60=0,0,(BF60-BE60)/BE60*100)</f>
        <v>0</v>
      </c>
      <c r="BH60" s="1428"/>
      <c r="BI60" s="1428"/>
      <c r="BJ60" s="996">
        <f>IF(BH60=0,0,(BI60-BH60)/BH60*100)</f>
        <v>0</v>
      </c>
      <c r="BK60" s="1428"/>
      <c r="BL60" s="1428"/>
      <c r="BM60" s="996">
        <f>IF(BK60=0,0,(BL60-BK60)/BK60*100)</f>
        <v>0</v>
      </c>
      <c r="BN60" s="1428"/>
      <c r="BO60" s="1428"/>
      <c r="BP60" s="996">
        <f>IF(BN60=0,0,(BO60-BN60)/BN60*100)</f>
        <v>0</v>
      </c>
      <c r="BQ60" s="1428"/>
      <c r="BR60" s="1428"/>
      <c r="BS60" s="996">
        <f>IF(BQ60=0,0,(BR60-BQ60)/BQ60*100)</f>
        <v>0</v>
      </c>
      <c r="BT60" s="1428"/>
      <c r="BU60" s="1428"/>
      <c r="BV60" s="996">
        <f>IF(BT60=0,0,(BU60-BT60)/BT60*100)</f>
        <v>0</v>
      </c>
      <c r="BW60" s="1428"/>
      <c r="BX60" s="1428"/>
      <c r="BY60" s="996">
        <f>IF(BW60=0,0,(BX60-BW60)/BW60*100)</f>
        <v>0</v>
      </c>
      <c r="BZ60" s="1428"/>
      <c r="CA60" s="1428"/>
      <c r="CB60" s="996">
        <f>IF(BZ60=0,0,(CA60-BZ60)/BZ60*100)</f>
        <v>0</v>
      </c>
      <c r="CC60" s="1428"/>
      <c r="CD60" s="1428"/>
      <c r="CE60" s="996">
        <f>IF(CC60=0,0,(CD60-CC60)/CC60*100)</f>
        <v>0</v>
      </c>
      <c r="CF60" s="1428"/>
      <c r="CG60" s="1428"/>
      <c r="CH60" s="996">
        <f>IF(CF60=0,0,(CG60-CF60)/CF60*100)</f>
        <v>0</v>
      </c>
      <c r="CI60" s="1428"/>
      <c r="CJ60" s="1428"/>
      <c r="CK60" s="996">
        <f>IF(CI60=0,0,(CJ60-CI60)/CI60*100)</f>
        <v>0</v>
      </c>
      <c r="CL60" s="1428"/>
      <c r="CM60" s="1428"/>
      <c r="CN60" s="996">
        <f>IF(CL60=0,0,(CM60-CL60)/CL60*100)</f>
        <v>0</v>
      </c>
      <c r="CO60" s="1428"/>
      <c r="CP60" s="1428"/>
      <c r="CQ60" s="996">
        <f>IF(CO60=0,0,(CP60-CO60)/CO60*100)</f>
        <v>0</v>
      </c>
      <c r="CR60" s="1428"/>
      <c r="CS60" s="1428"/>
      <c r="CT60" s="996">
        <f>IF(CR60=0,0,(CS60-CR60)/CR60*100)</f>
        <v>0</v>
      </c>
      <c r="CU60" s="1428"/>
      <c r="CV60" s="1428"/>
      <c r="CW60" s="996">
        <f>IF(CU60=0,0,(CV60-CU60)/CU60*100)</f>
        <v>0</v>
      </c>
      <c r="CX60" s="1428"/>
      <c r="CY60" s="1428"/>
      <c r="CZ60" s="996">
        <f>IF(CX60=0,0,(CY60-CX60)/CX60*100)</f>
        <v>0</v>
      </c>
      <c r="DA60" s="1428"/>
      <c r="DB60" s="1428"/>
      <c r="DC60" s="996">
        <f>IF(DA60=0,0,(DB60-DA60)/DA60*100)</f>
        <v>0</v>
      </c>
      <c r="DD60" s="1428"/>
      <c r="DE60" s="1428"/>
      <c r="DF60" s="996">
        <f>IF(DD60=0,0,(DE60-DD60)/DD60*100)</f>
        <v>0</v>
      </c>
      <c r="DG60" s="1428"/>
      <c r="DH60" s="1428"/>
      <c r="DI60" s="996">
        <f>IF(DG60=0,0,(DH60-DG60)/DG60*100)</f>
        <v>0</v>
      </c>
      <c r="DJ60" s="1428"/>
      <c r="DK60" s="1428"/>
      <c r="DL60" s="996">
        <f>IF(DJ60=0,0,(DK60-DJ60)/DJ60*100)</f>
        <v>0</v>
      </c>
      <c r="DM60" s="1428"/>
      <c r="DN60" s="1428"/>
      <c r="DO60" s="996">
        <f>IF(DM60=0,0,(DN60-DM60)/DM60*100)</f>
        <v>0</v>
      </c>
      <c r="DP60" s="1428"/>
      <c r="DQ60" s="1428"/>
      <c r="DR60" s="996">
        <f>IF(DP60=0,0,(DQ60-DP60)/DP60*100)</f>
        <v>0</v>
      </c>
      <c r="DS60" s="1428"/>
      <c r="DT60" s="1428"/>
      <c r="DU60" s="996">
        <f>IF(DS60=0,0,(DT60-DS60)/DS60*100)</f>
        <v>0</v>
      </c>
      <c r="DV60" s="1428"/>
      <c r="DW60" s="1428"/>
      <c r="DX60" s="996">
        <f>IF(DV60=0,0,(DW60-DV60)/DV60*100)</f>
        <v>0</v>
      </c>
      <c r="DY60" s="1428"/>
      <c r="DZ60" s="1428"/>
      <c r="EA60" s="996">
        <f>IF(DY60=0,0,(DZ60-DY60)/DY60*100)</f>
        <v>0</v>
      </c>
      <c r="EB60" s="1428"/>
      <c r="EC60" s="1428"/>
      <c r="ED60" s="996">
        <f>IF(EB60=0,0,(EC60-EB60)/EB60*100)</f>
        <v>0</v>
      </c>
      <c r="EE60" s="1428"/>
      <c r="EF60" s="1428"/>
      <c r="EG60" s="996">
        <f>IF(EE60=0,0,(EF60-EE60)/EE60*100)</f>
        <v>0</v>
      </c>
      <c r="EH60" s="1428"/>
      <c r="EI60" s="1428"/>
      <c r="EJ60" s="996">
        <f>IF(EH60=0,0,(EI60-EH60)/EH60*100)</f>
        <v>0</v>
      </c>
      <c r="EK60" s="1428"/>
      <c r="EL60" s="1428"/>
      <c r="EM60" s="996">
        <f>IF(EK60=0,0,(EL60-EK60)/EK60*100)</f>
        <v>0</v>
      </c>
      <c r="EN60" s="1428"/>
      <c r="EO60" s="1428"/>
      <c r="EP60" s="996">
        <f>IF(EN60=0,0,(EO60-EN60)/EN60*100)</f>
        <v>0</v>
      </c>
      <c r="EQ60" s="1428"/>
      <c r="ER60" s="1428"/>
      <c r="ES60" s="996">
        <f>IF(EQ60=0,0,(ER60-EQ60)/EQ60*100)</f>
        <v>0</v>
      </c>
      <c r="ET60" s="1428"/>
      <c r="EU60" s="1428"/>
      <c r="EV60" s="996">
        <f>IF(ET60=0,0,(EU60-ET60)/ET60*100)</f>
        <v>0</v>
      </c>
      <c r="EW60" s="1428"/>
      <c r="EX60" s="1428"/>
      <c r="EY60" s="996">
        <f>IF(EW60=0,0,(EX60-EW60)/EW60*100)</f>
        <v>0</v>
      </c>
      <c r="EZ60" s="1428"/>
      <c r="FA60" s="1428"/>
      <c r="FB60" s="996">
        <f>IF(EZ60=0,0,(FA60-EZ60)/EZ60*100)</f>
        <v>0</v>
      </c>
      <c r="FC60" s="1428"/>
      <c r="FD60" s="1428"/>
      <c r="FE60" s="996">
        <f>IF(FC60=0,0,(FD60-FC60)/FC60*100)</f>
        <v>0</v>
      </c>
      <c r="FF60" s="1428"/>
      <c r="FG60" s="1428"/>
      <c r="FH60" s="996">
        <f>IF(FF60=0,0,(FG60-FF60)/FF60*100)</f>
        <v>0</v>
      </c>
      <c r="FI60" s="1428"/>
      <c r="FJ60" s="1428"/>
      <c r="FK60" s="996">
        <f>IF(FI60=0,0,(FJ60-FI60)/FI60*100)</f>
        <v>0</v>
      </c>
      <c r="FL60" s="1428"/>
      <c r="FM60" s="1428"/>
      <c r="FN60" s="996">
        <f>IF(FL60=0,0,(FM60-FL60)/FL60*100)</f>
        <v>0</v>
      </c>
      <c r="FO60" s="1428"/>
      <c r="FP60" s="1428"/>
      <c r="FQ60" s="996">
        <f>IF(FO60=0,0,(FP60-FO60)/FO60*100)</f>
        <v>0</v>
      </c>
      <c r="FR60" s="1428"/>
      <c r="FS60" s="1428"/>
      <c r="FT60" s="996">
        <f>IF(FR60=0,0,(FS60-FR60)/FR60*100)</f>
        <v>0</v>
      </c>
      <c r="FU60" s="1428"/>
      <c r="FV60" s="1428"/>
      <c r="FW60" s="996">
        <f>IF(FU60=0,0,(FV60-FU60)/FU60*100)</f>
        <v>0</v>
      </c>
      <c r="FZ60" s="957" t="s">
        <v>1509</v>
      </c>
    </row>
    <row r="61" spans="1:182" ht="14.65" hidden="1" customHeight="1">
      <c r="A61" s="409"/>
      <c r="B61" s="830" t="b" cm="1">
        <f t="array" ref="B61">B60</f>
        <v>0</v>
      </c>
      <c r="C61" s="409"/>
      <c r="D61" s="409"/>
      <c r="E61" s="754">
        <v>15</v>
      </c>
      <c r="F61" s="3" cm="1">
        <f t="array" aca="1" ref="F61" ca="1">OFFSET(E61,-1,1)</f>
        <v>0</v>
      </c>
      <c r="G61" s="26" t="s">
        <v>1510</v>
      </c>
      <c r="H61" s="409" t="s">
        <v>1491</v>
      </c>
      <c r="I61" s="409" t="s">
        <v>1467</v>
      </c>
      <c r="J61" s="409"/>
      <c r="K61" s="409"/>
      <c r="L61" s="409"/>
      <c r="M61" s="409"/>
      <c r="N61" s="409"/>
      <c r="O61" s="409"/>
      <c r="P61" s="409"/>
      <c r="Q61" s="409"/>
      <c r="R61" s="409"/>
      <c r="S61" s="409"/>
      <c r="T61" s="381" t="b" cm="1">
        <f t="array" aca="1" ref="T61" ca="1">T60</f>
        <v>0</v>
      </c>
      <c r="U61" s="409"/>
      <c r="V61" s="409"/>
      <c r="W61" s="409"/>
      <c r="X61" s="1787"/>
      <c r="Y61" s="409"/>
      <c r="Z61" s="1734"/>
      <c r="AA61" s="409"/>
      <c r="AB61" s="994" t="str">
        <f>"объём "&amp;IF(Q29="Водоснабжение","потребления холодной воды","водоотведения")</f>
        <v>объём водоотведения</v>
      </c>
      <c r="AC61" s="778" t="s">
        <v>499</v>
      </c>
      <c r="AD61" s="1426">
        <f ca="1">IF(AND(method_reg="Метод индексации",god&lt;&gt;first_year),SUMIFS(INDEX('Калькуляция (МИ корр)'!$AJ$25:$BC$315,,MATCH(AD$8,'Калькуляция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(МИ)'!$AJ$25:$BC$315,,MATCH(AD$8,'Калькуляция (МИ)'!$AJ$8:$BC$8,0)),'Калькуляция (МИ)'!$F$25:$F$315,$F61,'Калькуляция (МИ)'!$G$25:$G$315,$G61))))</f>
        <v>0</v>
      </c>
      <c r="AE61" s="1426">
        <f ca="1">IF(AND(method_reg="Метод индексации",god&lt;&gt;first_year),SUMIFS(INDEX('Калькуляция (МИ корр)'!$AJ$25:$BC$315,,MATCH(AE$8,'Калькуляция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(МИ)'!$AJ$25:$BC$315,,MATCH(AE$8,'Калькуляция (МИ)'!$AJ$8:$BC$8,0)),'Калькуляция (МИ)'!$F$25:$F$315,$F61,'Калькуляция (МИ)'!$G$25:$G$315,$G61))))</f>
        <v>0</v>
      </c>
      <c r="AF61" s="998">
        <f ca="1">IF(AD61=0,0,(AE61-AD61)/AD61*100)</f>
        <v>0</v>
      </c>
      <c r="AG61" s="1426">
        <f ca="1">IF(AND(method_reg="Метод индексации",god&lt;&gt;first_year),SUMIFS(INDEX('Калькуляция (МИ корр)'!$AJ$25:$BC$315,,MATCH(AG$8,'Калькуляция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(МИ)'!$AJ$25:$BC$315,,MATCH(AG$8,'Калькуляция (МИ)'!$AJ$8:$BC$8,0)),'Калькуляция (МИ)'!$F$25:$F$315,$F61,'Калькуляция (МИ)'!$G$25:$G$315,$G61))))</f>
        <v>0</v>
      </c>
      <c r="AH61" s="1426">
        <f ca="1">IF(AND(method_reg="Метод индексации",god&lt;&gt;first_year),SUMIFS(INDEX('Калькуляция (МИ корр)'!$AJ$25:$BC$315,,MATCH(AH$8,'Калькуляция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(МИ)'!$AJ$25:$BC$315,,MATCH(AH$8,'Калькуляция (МИ)'!$AJ$8:$BC$8,0)),'Калькуляция (МИ)'!$F$25:$F$315,$F61,'Калькуляция (МИ)'!$G$25:$G$315,$G61))))</f>
        <v>0</v>
      </c>
      <c r="AI61" s="998">
        <f ca="1">IF(AG61=0,0,(AH61-AG61)/AG61*100)</f>
        <v>0</v>
      </c>
      <c r="AJ61" s="1426">
        <f ca="1">IF(AND(method_reg="Метод индексации",god&lt;&gt;first_year),SUMIFS(INDEX('Калькуляция (МИ корр)'!$AJ$25:$BC$315,,MATCH(AJ$8,'Калькуляция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(МИ)'!$AJ$25:$BC$315,,MATCH(AJ$8,'Калькуляция (МИ)'!$AJ$8:$BC$8,0)),'Калькуляция (МИ)'!$F$25:$F$315,$F61,'Калькуляция (МИ)'!$G$25:$G$315,$G61))))</f>
        <v>0</v>
      </c>
      <c r="AK61" s="1426">
        <f ca="1">IF(AND(method_reg="Метод индексации",god&lt;&gt;first_year),SUMIFS(INDEX('Калькуляция (МИ корр)'!$AJ$25:$BC$315,,MATCH(AK$8,'Калькуляция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(МИ)'!$AJ$25:$BC$315,,MATCH(AK$8,'Калькуляция (МИ)'!$AJ$8:$BC$8,0)),'Калькуляция (МИ)'!$F$25:$F$315,$F61,'Калькуляция (МИ)'!$G$25:$G$315,$G61))))</f>
        <v>0</v>
      </c>
      <c r="AL61" s="998">
        <f ca="1">IF(AJ61=0,0,(AK61-AJ61)/AJ61*100)</f>
        <v>0</v>
      </c>
      <c r="AM61" s="1426">
        <f ca="1">IF(AND(method_reg="Метод индексации",god&lt;&gt;first_year),SUMIFS(INDEX('Калькуляция (МИ корр)'!$AJ$25:$BC$315,,MATCH(AM$8,'Калькуляция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(МИ)'!$AJ$25:$BC$315,,MATCH(AM$8,'Калькуляция (МИ)'!$AJ$8:$BC$8,0)),'Калькуляция (МИ)'!$F$25:$F$315,$F61,'Калькуляция (МИ)'!$G$25:$G$315,$G61))))</f>
        <v>0</v>
      </c>
      <c r="AN61" s="1426">
        <f ca="1">IF(AND(method_reg="Метод индексации",god&lt;&gt;first_year),SUMIFS(INDEX('Калькуляция (МИ корр)'!$AJ$25:$BC$315,,MATCH(AN$8,'Калькуляция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(МИ)'!$AJ$25:$BC$315,,MATCH(AN$8,'Калькуляция (МИ)'!$AJ$8:$BC$8,0)),'Калькуляция (МИ)'!$F$25:$F$315,$F61,'Калькуляция (МИ)'!$G$25:$G$315,$G61))))</f>
        <v>0</v>
      </c>
      <c r="AO61" s="998">
        <f ca="1">IF(AM61=0,0,(AN61-AM61)/AM61*100)</f>
        <v>0</v>
      </c>
      <c r="AP61" s="1426">
        <f ca="1">IF(AND(method_reg="Метод индексации",god&lt;&gt;first_year),SUMIFS(INDEX('Калькуляция (МИ корр)'!$AJ$25:$BC$315,,MATCH(AP$8,'Калькуляция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(МИ)'!$AJ$25:$BC$315,,MATCH(AP$8,'Калькуляция (МИ)'!$AJ$8:$BC$8,0)),'Калькуляция (МИ)'!$F$25:$F$315,$F61,'Калькуляция (МИ)'!$G$25:$G$315,$G61))))</f>
        <v>0</v>
      </c>
      <c r="AQ61" s="1426">
        <f ca="1">IF(AND(method_reg="Метод индексации",god&lt;&gt;first_year),SUMIFS(INDEX('Калькуляция (МИ корр)'!$AJ$25:$BC$315,,MATCH(AQ$8,'Калькуляция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(МИ)'!$AJ$25:$BC$315,,MATCH(AQ$8,'Калькуляция (МИ)'!$AJ$8:$BC$8,0)),'Калькуляция (МИ)'!$F$25:$F$315,$F61,'Калькуляция (МИ)'!$G$25:$G$315,$G61))))</f>
        <v>0</v>
      </c>
      <c r="AR61" s="998">
        <f ca="1">IF(AP61=0,0,(AQ61-AP61)/AP61*100)</f>
        <v>0</v>
      </c>
      <c r="AS61" s="1426">
        <f ca="1">IF(AND(method_reg="Метод индексации",god&lt;&gt;first_year),SUMIFS(INDEX('Калькуляция (МИ корр)'!$AJ$25:$BC$315,,MATCH(AS$8,'Калькуляция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(МИ)'!$AJ$25:$BC$315,,MATCH(AS$8,'Калькуляция (МИ)'!$AJ$8:$BC$8,0)),'Калькуляция (МИ)'!$F$25:$F$315,$F61,'Калькуляция (МИ)'!$G$25:$G$315,$G61))))</f>
        <v>0</v>
      </c>
      <c r="AT61" s="1426">
        <f ca="1">IF(AND(method_reg="Метод индексации",god&lt;&gt;first_year),SUMIFS(INDEX('Калькуляция (МИ корр)'!$AJ$25:$BC$315,,MATCH(AT$8,'Калькуляция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(МИ)'!$AJ$25:$BC$315,,MATCH(AT$8,'Калькуляция (МИ)'!$AJ$8:$BC$8,0)),'Калькуляция (МИ)'!$F$25:$F$315,$F61,'Калькуляция (МИ)'!$G$25:$G$315,$G61))))</f>
        <v>0</v>
      </c>
      <c r="AU61" s="998">
        <f ca="1">IF(AS61=0,0,(AT61-AS61)/AS61*100)</f>
        <v>0</v>
      </c>
      <c r="AV61" s="1426">
        <f ca="1">IF(AND(method_reg="Метод индексации",god&lt;&gt;first_year),SUMIFS(INDEX('Калькуляция (МИ корр)'!$AJ$25:$BC$315,,MATCH(AV$8,'Калькуляция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(МИ)'!$AJ$25:$BC$315,,MATCH(AV$8,'Калькуляция (МИ)'!$AJ$8:$BC$8,0)),'Калькуляция (МИ)'!$F$25:$F$315,$F61,'Калькуляция (МИ)'!$G$25:$G$315,$G61))))</f>
        <v>0</v>
      </c>
      <c r="AW61" s="1426">
        <f ca="1">IF(AND(method_reg="Метод индексации",god&lt;&gt;first_year),SUMIFS(INDEX('Калькуляция (МИ корр)'!$AJ$25:$BC$315,,MATCH(AW$8,'Калькуляция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(МИ)'!$AJ$25:$BC$315,,MATCH(AW$8,'Калькуляция (МИ)'!$AJ$8:$BC$8,0)),'Калькуляция (МИ)'!$F$25:$F$315,$F61,'Калькуляция (МИ)'!$G$25:$G$315,$G61))))</f>
        <v>0</v>
      </c>
      <c r="AX61" s="998">
        <f ca="1">IF(AV61=0,0,(AW61-AV61)/AV61*100)</f>
        <v>0</v>
      </c>
      <c r="AY61" s="1426">
        <f ca="1">IF(AND(method_reg="Метод индексации",god&lt;&gt;first_year),SUMIFS(INDEX('Калькуляция (МИ корр)'!$AJ$25:$BC$315,,MATCH(AY$8,'Калькуляция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(МИ)'!$AJ$25:$BC$315,,MATCH(AY$8,'Калькуляция (МИ)'!$AJ$8:$BC$8,0)),'Калькуляция (МИ)'!$F$25:$F$315,$F61,'Калькуляция (МИ)'!$G$25:$G$315,$G61))))</f>
        <v>0</v>
      </c>
      <c r="AZ61" s="1426">
        <f ca="1">IF(AND(method_reg="Метод индексации",god&lt;&gt;first_year),SUMIFS(INDEX('Калькуляция (МИ корр)'!$AJ$25:$BC$315,,MATCH(AZ$8,'Калькуляция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(МИ)'!$AJ$25:$BC$315,,MATCH(AZ$8,'Калькуляция (МИ)'!$AJ$8:$BC$8,0)),'Калькуляция (МИ)'!$F$25:$F$315,$F61,'Калькуляция (МИ)'!$G$25:$G$315,$G61))))</f>
        <v>0</v>
      </c>
      <c r="BA61" s="998">
        <f ca="1">IF(AY61=0,0,(AZ61-AY61)/AY61*100)</f>
        <v>0</v>
      </c>
      <c r="BB61" s="1426">
        <f ca="1">IF(AND(method_reg="Метод индексации",god&lt;&gt;first_year),SUMIFS(INDEX('Калькуляция (МИ корр)'!$AJ$25:$BC$315,,MATCH(BB$8,'Калькуляция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(МИ)'!$AJ$25:$BC$315,,MATCH(BB$8,'Калькуляция (МИ)'!$AJ$8:$BC$8,0)),'Калькуляция (МИ)'!$F$25:$F$315,$F61,'Калькуляция (МИ)'!$G$25:$G$315,$G61))))</f>
        <v>0</v>
      </c>
      <c r="BC61" s="1426">
        <f ca="1">IF(AND(method_reg="Метод индексации",god&lt;&gt;first_year),SUMIFS(INDEX('Калькуляция (МИ корр)'!$AJ$25:$BC$315,,MATCH(BC$8,'Калькуляция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(МИ)'!$AJ$25:$BC$315,,MATCH(BC$8,'Калькуляция (МИ)'!$AJ$8:$BC$8,0)),'Калькуляция (МИ)'!$F$25:$F$315,$F61,'Калькуляция (МИ)'!$G$25:$G$315,$G61))))</f>
        <v>0</v>
      </c>
      <c r="BD61" s="998">
        <f ca="1">IF(BB61=0,0,(BC61-BB61)/BB61*100)</f>
        <v>0</v>
      </c>
      <c r="BE61" s="1426">
        <f ca="1">IF(AND(method_reg="Метод индексации",god&lt;&gt;first_year),SUMIFS(INDEX('Калькуляция (МИ корр)'!$AJ$25:$BC$315,,MATCH(BE$8,'Калькуляция (МИ корр)'!$AJ$8:$BC$8,0)),'Калькуляция (МИ корр)'!$F$25:$F$315,$F61,'Калькуляция (МИ корр)'!$G$25:$G$315,$G61),IF(method_reg="Метод экономически обоснованных расходов",SUMIFS('Калькуляция (МЭОР)'!$AJ$25:$AJ$199,'Калькуляция (МЭОР)'!$F$25:$F$199,$F61,'Калькуляция (МЭОР)'!$G$25:$G$199,$G61),IF(method_reg="Метод сравнения аналогов",SUMIFS('Калькуляция (МСА)'!$AE$25:$AE$65,'Калькуляция (МСА)'!$F$25:$F$65,$F61,'Калькуляция (МСА)'!$G$25:$G$65,$G61),SUMIFS(INDEX('Калькуляция (МИ)'!$AJ$25:$BC$315,,MATCH(BE$8,'Калькуляция (МИ)'!$AJ$8:$BC$8,0)),'Калькуляция (МИ)'!$F$25:$F$315,$F61,'Калькуляция (МИ)'!$G$25:$G$315,$G61))))</f>
        <v>0</v>
      </c>
      <c r="BF61" s="1426">
        <f ca="1">IF(AND(method_reg="Метод индексации",god&lt;&gt;first_year),SUMIFS(INDEX('Калькуляция (МИ корр)'!$AJ$25:$BC$315,,MATCH(BF$8,'Калькуляция (МИ корр)'!$AJ$8:$BC$8,0)),'Калькуляция (МИ корр)'!$F$25:$F$315,$F61,'Калькуляция (МИ корр)'!$G$25:$G$315,$G61),IF(method_reg="Метод экономически обоснованных расходов",SUMIFS('Калькуляция (МЭОР)'!$AK$25:$AK$199,'Калькуляция (МЭОР)'!$F$25:$F$199,$F61,'Калькуляция (МЭОР)'!$G$25:$G$199,$G61),IF(method_reg="Метод сравнения аналогов",SUMIFS('Калькуляция (МСА)'!$AF$25:$AF$65,'Калькуляция (МСА)'!$F$25:$F$65,$F61,'Калькуляция (МСА)'!$G$25:$G$65,$G61),SUMIFS(INDEX('Калькуляция (МИ)'!$AJ$25:$BC$315,,MATCH(BF$8,'Калькуляция (МИ)'!$AJ$8:$BC$8,0)),'Калькуляция (МИ)'!$F$25:$F$315,$F61,'Калькуляция (МИ)'!$G$25:$G$315,$G61))))</f>
        <v>0</v>
      </c>
      <c r="BG61" s="998">
        <f ca="1">IF(BE61=0,0,(BF61-BE61)/BE61*100)</f>
        <v>0</v>
      </c>
      <c r="BH61" s="1426"/>
      <c r="BI61" s="1426"/>
      <c r="BJ61" s="998">
        <f>IF(BH61=0,0,(BI61-BH61)/BH61*100)</f>
        <v>0</v>
      </c>
      <c r="BK61" s="1426"/>
      <c r="BL61" s="1426"/>
      <c r="BM61" s="998">
        <f>IF(BK61=0,0,(BL61-BK61)/BK61*100)</f>
        <v>0</v>
      </c>
      <c r="BN61" s="1426"/>
      <c r="BO61" s="1426"/>
      <c r="BP61" s="998">
        <f>IF(BN61=0,0,(BO61-BN61)/BN61*100)</f>
        <v>0</v>
      </c>
      <c r="BQ61" s="1426"/>
      <c r="BR61" s="1426"/>
      <c r="BS61" s="998">
        <f>IF(BQ61=0,0,(BR61-BQ61)/BQ61*100)</f>
        <v>0</v>
      </c>
      <c r="BT61" s="1426"/>
      <c r="BU61" s="1426"/>
      <c r="BV61" s="998">
        <f>IF(BT61=0,0,(BU61-BT61)/BT61*100)</f>
        <v>0</v>
      </c>
      <c r="BW61" s="1426"/>
      <c r="BX61" s="1426"/>
      <c r="BY61" s="998">
        <f>IF(BW61=0,0,(BX61-BW61)/BW61*100)</f>
        <v>0</v>
      </c>
      <c r="BZ61" s="1426"/>
      <c r="CA61" s="1426"/>
      <c r="CB61" s="998">
        <f>IF(BZ61=0,0,(CA61-BZ61)/BZ61*100)</f>
        <v>0</v>
      </c>
      <c r="CC61" s="1426"/>
      <c r="CD61" s="1426"/>
      <c r="CE61" s="998">
        <f>IF(CC61=0,0,(CD61-CC61)/CC61*100)</f>
        <v>0</v>
      </c>
      <c r="CF61" s="1426"/>
      <c r="CG61" s="1426"/>
      <c r="CH61" s="998">
        <f>IF(CF61=0,0,(CG61-CF61)/CF61*100)</f>
        <v>0</v>
      </c>
      <c r="CI61" s="1426"/>
      <c r="CJ61" s="1426"/>
      <c r="CK61" s="998">
        <f>IF(CI61=0,0,(CJ61-CI61)/CI61*100)</f>
        <v>0</v>
      </c>
      <c r="CL61" s="1426"/>
      <c r="CM61" s="1426"/>
      <c r="CN61" s="998">
        <f>IF(CL61=0,0,(CM61-CL61)/CL61*100)</f>
        <v>0</v>
      </c>
      <c r="CO61" s="1426"/>
      <c r="CP61" s="1426"/>
      <c r="CQ61" s="998">
        <f>IF(CO61=0,0,(CP61-CO61)/CO61*100)</f>
        <v>0</v>
      </c>
      <c r="CR61" s="1426"/>
      <c r="CS61" s="1426"/>
      <c r="CT61" s="998">
        <f>IF(CR61=0,0,(CS61-CR61)/CR61*100)</f>
        <v>0</v>
      </c>
      <c r="CU61" s="1426"/>
      <c r="CV61" s="1426"/>
      <c r="CW61" s="998">
        <f>IF(CU61=0,0,(CV61-CU61)/CU61*100)</f>
        <v>0</v>
      </c>
      <c r="CX61" s="1426"/>
      <c r="CY61" s="1426"/>
      <c r="CZ61" s="998">
        <f>IF(CX61=0,0,(CY61-CX61)/CX61*100)</f>
        <v>0</v>
      </c>
      <c r="DA61" s="1426"/>
      <c r="DB61" s="1426"/>
      <c r="DC61" s="998">
        <f>IF(DA61=0,0,(DB61-DA61)/DA61*100)</f>
        <v>0</v>
      </c>
      <c r="DD61" s="1426"/>
      <c r="DE61" s="1426"/>
      <c r="DF61" s="998">
        <f>IF(DD61=0,0,(DE61-DD61)/DD61*100)</f>
        <v>0</v>
      </c>
      <c r="DG61" s="1426"/>
      <c r="DH61" s="1426"/>
      <c r="DI61" s="998">
        <f>IF(DG61=0,0,(DH61-DG61)/DG61*100)</f>
        <v>0</v>
      </c>
      <c r="DJ61" s="1426"/>
      <c r="DK61" s="1426"/>
      <c r="DL61" s="998">
        <f>IF(DJ61=0,0,(DK61-DJ61)/DJ61*100)</f>
        <v>0</v>
      </c>
      <c r="DM61" s="1426"/>
      <c r="DN61" s="1426"/>
      <c r="DO61" s="998">
        <f>IF(DM61=0,0,(DN61-DM61)/DM61*100)</f>
        <v>0</v>
      </c>
      <c r="DP61" s="1426"/>
      <c r="DQ61" s="1426"/>
      <c r="DR61" s="998">
        <f>IF(DP61=0,0,(DQ61-DP61)/DP61*100)</f>
        <v>0</v>
      </c>
      <c r="DS61" s="1426"/>
      <c r="DT61" s="1426"/>
      <c r="DU61" s="998">
        <f>IF(DS61=0,0,(DT61-DS61)/DS61*100)</f>
        <v>0</v>
      </c>
      <c r="DV61" s="1426"/>
      <c r="DW61" s="1426"/>
      <c r="DX61" s="998">
        <f>IF(DV61=0,0,(DW61-DV61)/DV61*100)</f>
        <v>0</v>
      </c>
      <c r="DY61" s="1426"/>
      <c r="DZ61" s="1426"/>
      <c r="EA61" s="998">
        <f>IF(DY61=0,0,(DZ61-DY61)/DY61*100)</f>
        <v>0</v>
      </c>
      <c r="EB61" s="1426"/>
      <c r="EC61" s="1426"/>
      <c r="ED61" s="998">
        <f>IF(EB61=0,0,(EC61-EB61)/EB61*100)</f>
        <v>0</v>
      </c>
      <c r="EE61" s="1426"/>
      <c r="EF61" s="1426"/>
      <c r="EG61" s="998">
        <f>IF(EE61=0,0,(EF61-EE61)/EE61*100)</f>
        <v>0</v>
      </c>
      <c r="EH61" s="1426"/>
      <c r="EI61" s="1426"/>
      <c r="EJ61" s="998">
        <f>IF(EH61=0,0,(EI61-EH61)/EH61*100)</f>
        <v>0</v>
      </c>
      <c r="EK61" s="1426"/>
      <c r="EL61" s="1426"/>
      <c r="EM61" s="998">
        <f>IF(EK61=0,0,(EL61-EK61)/EK61*100)</f>
        <v>0</v>
      </c>
      <c r="EN61" s="1426"/>
      <c r="EO61" s="1426"/>
      <c r="EP61" s="998">
        <f>IF(EN61=0,0,(EO61-EN61)/EN61*100)</f>
        <v>0</v>
      </c>
      <c r="EQ61" s="1426"/>
      <c r="ER61" s="1426"/>
      <c r="ES61" s="998">
        <f>IF(EQ61=0,0,(ER61-EQ61)/EQ61*100)</f>
        <v>0</v>
      </c>
      <c r="ET61" s="1426"/>
      <c r="EU61" s="1426"/>
      <c r="EV61" s="998">
        <f>IF(ET61=0,0,(EU61-ET61)/ET61*100)</f>
        <v>0</v>
      </c>
      <c r="EW61" s="1426"/>
      <c r="EX61" s="1426"/>
      <c r="EY61" s="998">
        <f>IF(EW61=0,0,(EX61-EW61)/EW61*100)</f>
        <v>0</v>
      </c>
      <c r="EZ61" s="1426"/>
      <c r="FA61" s="1426"/>
      <c r="FB61" s="998">
        <f>IF(EZ61=0,0,(FA61-EZ61)/EZ61*100)</f>
        <v>0</v>
      </c>
      <c r="FC61" s="1426"/>
      <c r="FD61" s="1426"/>
      <c r="FE61" s="998">
        <f>IF(FC61=0,0,(FD61-FC61)/FC61*100)</f>
        <v>0</v>
      </c>
      <c r="FF61" s="1426"/>
      <c r="FG61" s="1426"/>
      <c r="FH61" s="998">
        <f>IF(FF61=0,0,(FG61-FF61)/FF61*100)</f>
        <v>0</v>
      </c>
      <c r="FI61" s="1426"/>
      <c r="FJ61" s="1426"/>
      <c r="FK61" s="998">
        <f>IF(FI61=0,0,(FJ61-FI61)/FI61*100)</f>
        <v>0</v>
      </c>
      <c r="FL61" s="1426"/>
      <c r="FM61" s="1426"/>
      <c r="FN61" s="998">
        <f>IF(FL61=0,0,(FM61-FL61)/FL61*100)</f>
        <v>0</v>
      </c>
      <c r="FO61" s="1426"/>
      <c r="FP61" s="1426"/>
      <c r="FQ61" s="998">
        <f>IF(FO61=0,0,(FP61-FO61)/FO61*100)</f>
        <v>0</v>
      </c>
      <c r="FR61" s="1426"/>
      <c r="FS61" s="1426"/>
      <c r="FT61" s="998">
        <f>IF(FR61=0,0,(FS61-FR61)/FR61*100)</f>
        <v>0</v>
      </c>
      <c r="FU61" s="1426"/>
      <c r="FV61" s="1426"/>
      <c r="FW61" s="998">
        <f>IF(FU61=0,0,(FV61-FU61)/FU61*100)</f>
        <v>0</v>
      </c>
      <c r="FZ61" s="957" t="s">
        <v>1511</v>
      </c>
    </row>
    <row r="62" spans="1:182" ht="21.95" hidden="1" customHeight="1">
      <c r="A62" s="409"/>
      <c r="B62" s="830" t="b" cm="1">
        <f t="array" ref="B62">B61</f>
        <v>0</v>
      </c>
      <c r="C62" s="409"/>
      <c r="D62" s="409"/>
      <c r="E62" s="754">
        <v>22.5</v>
      </c>
      <c r="F62" s="3" cm="1">
        <f t="array" aca="1" ref="F62" ca="1">OFFSET(E62,-1,1)</f>
        <v>0</v>
      </c>
      <c r="G62" s="409"/>
      <c r="H62" s="409" t="s">
        <v>1493</v>
      </c>
      <c r="I62" s="409" t="s">
        <v>1467</v>
      </c>
      <c r="J62" s="409"/>
      <c r="K62" s="409"/>
      <c r="L62" s="409"/>
      <c r="M62" s="409"/>
      <c r="N62" s="409"/>
      <c r="O62" s="409"/>
      <c r="P62" s="409"/>
      <c r="Q62" s="409"/>
      <c r="R62" s="409"/>
      <c r="S62" s="409"/>
      <c r="T62" s="381" t="b" cm="1">
        <f t="array" aca="1" ref="T62" ca="1">T61</f>
        <v>0</v>
      </c>
      <c r="U62" s="409"/>
      <c r="V62" s="409"/>
      <c r="W62" s="409"/>
      <c r="X62" s="1787"/>
      <c r="Y62" s="409"/>
      <c r="Z62" s="1734"/>
      <c r="AA62" s="409"/>
      <c r="AB62" s="994"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778" t="s">
        <v>1494</v>
      </c>
      <c r="AD62" s="1428"/>
      <c r="AE62" s="1428"/>
      <c r="AF62" s="996">
        <f>IF(AD62=0,0,(AE62-AD62)/AD62*100)</f>
        <v>0</v>
      </c>
      <c r="AG62" s="1428"/>
      <c r="AH62" s="1428"/>
      <c r="AI62" s="996">
        <f>IF(AG62=0,0,(AH62-AG62)/AG62*100)</f>
        <v>0</v>
      </c>
      <c r="AJ62" s="1428"/>
      <c r="AK62" s="1428"/>
      <c r="AL62" s="996">
        <f>IF(AJ62=0,0,(AK62-AJ62)/AJ62*100)</f>
        <v>0</v>
      </c>
      <c r="AM62" s="1428"/>
      <c r="AN62" s="1428"/>
      <c r="AO62" s="996">
        <f>IF(AM62=0,0,(AN62-AM62)/AM62*100)</f>
        <v>0</v>
      </c>
      <c r="AP62" s="1428"/>
      <c r="AQ62" s="1428"/>
      <c r="AR62" s="996">
        <f>IF(AP62=0,0,(AQ62-AP62)/AP62*100)</f>
        <v>0</v>
      </c>
      <c r="AS62" s="1428"/>
      <c r="AT62" s="1428"/>
      <c r="AU62" s="996">
        <f>IF(AS62=0,0,(AT62-AS62)/AS62*100)</f>
        <v>0</v>
      </c>
      <c r="AV62" s="1428"/>
      <c r="AW62" s="1428"/>
      <c r="AX62" s="996">
        <f>IF(AV62=0,0,(AW62-AV62)/AV62*100)</f>
        <v>0</v>
      </c>
      <c r="AY62" s="1428"/>
      <c r="AZ62" s="1428"/>
      <c r="BA62" s="996">
        <f>IF(AY62=0,0,(AZ62-AY62)/AY62*100)</f>
        <v>0</v>
      </c>
      <c r="BB62" s="1428"/>
      <c r="BC62" s="1428"/>
      <c r="BD62" s="996">
        <f>IF(BB62=0,0,(BC62-BB62)/BB62*100)</f>
        <v>0</v>
      </c>
      <c r="BE62" s="1428"/>
      <c r="BF62" s="1428"/>
      <c r="BG62" s="996">
        <f>IF(BE62=0,0,(BF62-BE62)/BE62*100)</f>
        <v>0</v>
      </c>
      <c r="BH62" s="1428"/>
      <c r="BI62" s="1428"/>
      <c r="BJ62" s="996">
        <f>IF(BH62=0,0,(BI62-BH62)/BH62*100)</f>
        <v>0</v>
      </c>
      <c r="BK62" s="1428"/>
      <c r="BL62" s="1428"/>
      <c r="BM62" s="996">
        <f>IF(BK62=0,0,(BL62-BK62)/BK62*100)</f>
        <v>0</v>
      </c>
      <c r="BN62" s="1428"/>
      <c r="BO62" s="1428"/>
      <c r="BP62" s="996">
        <f>IF(BN62=0,0,(BO62-BN62)/BN62*100)</f>
        <v>0</v>
      </c>
      <c r="BQ62" s="1428"/>
      <c r="BR62" s="1428"/>
      <c r="BS62" s="996">
        <f>IF(BQ62=0,0,(BR62-BQ62)/BQ62*100)</f>
        <v>0</v>
      </c>
      <c r="BT62" s="1428"/>
      <c r="BU62" s="1428"/>
      <c r="BV62" s="996">
        <f>IF(BT62=0,0,(BU62-BT62)/BT62*100)</f>
        <v>0</v>
      </c>
      <c r="BW62" s="1428"/>
      <c r="BX62" s="1428"/>
      <c r="BY62" s="996">
        <f>IF(BW62=0,0,(BX62-BW62)/BW62*100)</f>
        <v>0</v>
      </c>
      <c r="BZ62" s="1428"/>
      <c r="CA62" s="1428"/>
      <c r="CB62" s="996">
        <f>IF(BZ62=0,0,(CA62-BZ62)/BZ62*100)</f>
        <v>0</v>
      </c>
      <c r="CC62" s="1428"/>
      <c r="CD62" s="1428"/>
      <c r="CE62" s="996">
        <f>IF(CC62=0,0,(CD62-CC62)/CC62*100)</f>
        <v>0</v>
      </c>
      <c r="CF62" s="1428"/>
      <c r="CG62" s="1428"/>
      <c r="CH62" s="996">
        <f>IF(CF62=0,0,(CG62-CF62)/CF62*100)</f>
        <v>0</v>
      </c>
      <c r="CI62" s="1428"/>
      <c r="CJ62" s="1428"/>
      <c r="CK62" s="996">
        <f>IF(CI62=0,0,(CJ62-CI62)/CI62*100)</f>
        <v>0</v>
      </c>
      <c r="CL62" s="1428"/>
      <c r="CM62" s="1428"/>
      <c r="CN62" s="996">
        <f>IF(CL62=0,0,(CM62-CL62)/CL62*100)</f>
        <v>0</v>
      </c>
      <c r="CO62" s="1428"/>
      <c r="CP62" s="1428"/>
      <c r="CQ62" s="996">
        <f>IF(CO62=0,0,(CP62-CO62)/CO62*100)</f>
        <v>0</v>
      </c>
      <c r="CR62" s="1428"/>
      <c r="CS62" s="1428"/>
      <c r="CT62" s="996">
        <f>IF(CR62=0,0,(CS62-CR62)/CR62*100)</f>
        <v>0</v>
      </c>
      <c r="CU62" s="1428"/>
      <c r="CV62" s="1428"/>
      <c r="CW62" s="996">
        <f>IF(CU62=0,0,(CV62-CU62)/CU62*100)</f>
        <v>0</v>
      </c>
      <c r="CX62" s="1428"/>
      <c r="CY62" s="1428"/>
      <c r="CZ62" s="996">
        <f>IF(CX62=0,0,(CY62-CX62)/CX62*100)</f>
        <v>0</v>
      </c>
      <c r="DA62" s="1428"/>
      <c r="DB62" s="1428"/>
      <c r="DC62" s="996">
        <f>IF(DA62=0,0,(DB62-DA62)/DA62*100)</f>
        <v>0</v>
      </c>
      <c r="DD62" s="1428"/>
      <c r="DE62" s="1428"/>
      <c r="DF62" s="996">
        <f>IF(DD62=0,0,(DE62-DD62)/DD62*100)</f>
        <v>0</v>
      </c>
      <c r="DG62" s="1428"/>
      <c r="DH62" s="1428"/>
      <c r="DI62" s="996">
        <f>IF(DG62=0,0,(DH62-DG62)/DG62*100)</f>
        <v>0</v>
      </c>
      <c r="DJ62" s="1428"/>
      <c r="DK62" s="1428"/>
      <c r="DL62" s="996">
        <f>IF(DJ62=0,0,(DK62-DJ62)/DJ62*100)</f>
        <v>0</v>
      </c>
      <c r="DM62" s="1428"/>
      <c r="DN62" s="1428"/>
      <c r="DO62" s="996">
        <f>IF(DM62=0,0,(DN62-DM62)/DM62*100)</f>
        <v>0</v>
      </c>
      <c r="DP62" s="1428"/>
      <c r="DQ62" s="1428"/>
      <c r="DR62" s="996">
        <f>IF(DP62=0,0,(DQ62-DP62)/DP62*100)</f>
        <v>0</v>
      </c>
      <c r="DS62" s="1428"/>
      <c r="DT62" s="1428"/>
      <c r="DU62" s="996">
        <f>IF(DS62=0,0,(DT62-DS62)/DS62*100)</f>
        <v>0</v>
      </c>
      <c r="DV62" s="1428"/>
      <c r="DW62" s="1428"/>
      <c r="DX62" s="996">
        <f>IF(DV62=0,0,(DW62-DV62)/DV62*100)</f>
        <v>0</v>
      </c>
      <c r="DY62" s="1428"/>
      <c r="DZ62" s="1428"/>
      <c r="EA62" s="996">
        <f>IF(DY62=0,0,(DZ62-DY62)/DY62*100)</f>
        <v>0</v>
      </c>
      <c r="EB62" s="1428"/>
      <c r="EC62" s="1428"/>
      <c r="ED62" s="996">
        <f>IF(EB62=0,0,(EC62-EB62)/EB62*100)</f>
        <v>0</v>
      </c>
      <c r="EE62" s="1428"/>
      <c r="EF62" s="1428"/>
      <c r="EG62" s="996">
        <f>IF(EE62=0,0,(EF62-EE62)/EE62*100)</f>
        <v>0</v>
      </c>
      <c r="EH62" s="1428"/>
      <c r="EI62" s="1428"/>
      <c r="EJ62" s="996">
        <f>IF(EH62=0,0,(EI62-EH62)/EH62*100)</f>
        <v>0</v>
      </c>
      <c r="EK62" s="1428"/>
      <c r="EL62" s="1428"/>
      <c r="EM62" s="996">
        <f>IF(EK62=0,0,(EL62-EK62)/EK62*100)</f>
        <v>0</v>
      </c>
      <c r="EN62" s="1428"/>
      <c r="EO62" s="1428"/>
      <c r="EP62" s="996">
        <f>IF(EN62=0,0,(EO62-EN62)/EN62*100)</f>
        <v>0</v>
      </c>
      <c r="EQ62" s="1428"/>
      <c r="ER62" s="1428"/>
      <c r="ES62" s="996">
        <f>IF(EQ62=0,0,(ER62-EQ62)/EQ62*100)</f>
        <v>0</v>
      </c>
      <c r="ET62" s="1428"/>
      <c r="EU62" s="1428"/>
      <c r="EV62" s="996">
        <f>IF(ET62=0,0,(EU62-ET62)/ET62*100)</f>
        <v>0</v>
      </c>
      <c r="EW62" s="1428"/>
      <c r="EX62" s="1428"/>
      <c r="EY62" s="996">
        <f>IF(EW62=0,0,(EX62-EW62)/EW62*100)</f>
        <v>0</v>
      </c>
      <c r="EZ62" s="1428"/>
      <c r="FA62" s="1428"/>
      <c r="FB62" s="996">
        <f>IF(EZ62=0,0,(FA62-EZ62)/EZ62*100)</f>
        <v>0</v>
      </c>
      <c r="FC62" s="1428"/>
      <c r="FD62" s="1428"/>
      <c r="FE62" s="996">
        <f>IF(FC62=0,0,(FD62-FC62)/FC62*100)</f>
        <v>0</v>
      </c>
      <c r="FF62" s="1428"/>
      <c r="FG62" s="1428"/>
      <c r="FH62" s="996">
        <f>IF(FF62=0,0,(FG62-FF62)/FF62*100)</f>
        <v>0</v>
      </c>
      <c r="FI62" s="1428"/>
      <c r="FJ62" s="1428"/>
      <c r="FK62" s="996">
        <f>IF(FI62=0,0,(FJ62-FI62)/FI62*100)</f>
        <v>0</v>
      </c>
      <c r="FL62" s="1428"/>
      <c r="FM62" s="1428"/>
      <c r="FN62" s="996">
        <f>IF(FL62=0,0,(FM62-FL62)/FL62*100)</f>
        <v>0</v>
      </c>
      <c r="FO62" s="1428"/>
      <c r="FP62" s="1428"/>
      <c r="FQ62" s="996">
        <f>IF(FO62=0,0,(FP62-FO62)/FO62*100)</f>
        <v>0</v>
      </c>
      <c r="FR62" s="1428"/>
      <c r="FS62" s="1428"/>
      <c r="FT62" s="996">
        <f>IF(FR62=0,0,(FS62-FR62)/FR62*100)</f>
        <v>0</v>
      </c>
      <c r="FU62" s="1428"/>
      <c r="FV62" s="1428"/>
      <c r="FW62" s="996">
        <f>IF(FU62=0,0,(FV62-FU62)/FU62*100)</f>
        <v>0</v>
      </c>
      <c r="FZ62" s="957" t="s">
        <v>1512</v>
      </c>
    </row>
    <row r="63" spans="1:182" ht="14.65" hidden="1" customHeight="1">
      <c r="A63" s="409"/>
      <c r="B63" s="830" t="b" cm="1">
        <f t="array" ref="B63">B62</f>
        <v>0</v>
      </c>
      <c r="C63" s="409"/>
      <c r="D63" s="409"/>
      <c r="E63" s="754">
        <v>15</v>
      </c>
      <c r="F63" s="3" cm="1">
        <f t="array" aca="1" ref="F63" ca="1">OFFSET(E63,-1,1)</f>
        <v>0</v>
      </c>
      <c r="G63" s="409"/>
      <c r="H63" s="409" t="s">
        <v>1496</v>
      </c>
      <c r="I63" s="409" t="s">
        <v>1467</v>
      </c>
      <c r="J63" s="409"/>
      <c r="K63" s="409"/>
      <c r="L63" s="409"/>
      <c r="M63" s="409"/>
      <c r="N63" s="409"/>
      <c r="O63" s="409"/>
      <c r="P63" s="409"/>
      <c r="Q63" s="409"/>
      <c r="R63" s="409"/>
      <c r="S63" s="409"/>
      <c r="T63" s="381" t="b" cm="1">
        <f t="array" aca="1" ref="T63" ca="1">T62</f>
        <v>0</v>
      </c>
      <c r="U63" s="409"/>
      <c r="V63" s="409"/>
      <c r="W63" s="409"/>
      <c r="X63" s="1787"/>
      <c r="Y63" s="409"/>
      <c r="Z63" s="1734"/>
      <c r="AA63" s="409"/>
      <c r="AB63" s="994" t="s">
        <v>1497</v>
      </c>
      <c r="AC63" s="778" t="s">
        <v>1498</v>
      </c>
      <c r="AD63" s="1428"/>
      <c r="AE63" s="1428"/>
      <c r="AF63" s="996">
        <f>IF(AD63=0,0,(AE63-AD63)/AD63*100)</f>
        <v>0</v>
      </c>
      <c r="AG63" s="1428"/>
      <c r="AH63" s="1428"/>
      <c r="AI63" s="996">
        <f>IF(AG63=0,0,(AH63-AG63)/AG63*100)</f>
        <v>0</v>
      </c>
      <c r="AJ63" s="1428"/>
      <c r="AK63" s="1428"/>
      <c r="AL63" s="996">
        <f>IF(AJ63=0,0,(AK63-AJ63)/AJ63*100)</f>
        <v>0</v>
      </c>
      <c r="AM63" s="1428"/>
      <c r="AN63" s="1428"/>
      <c r="AO63" s="996">
        <f>IF(AM63=0,0,(AN63-AM63)/AM63*100)</f>
        <v>0</v>
      </c>
      <c r="AP63" s="1428"/>
      <c r="AQ63" s="1428"/>
      <c r="AR63" s="996">
        <f>IF(AP63=0,0,(AQ63-AP63)/AP63*100)</f>
        <v>0</v>
      </c>
      <c r="AS63" s="1428"/>
      <c r="AT63" s="1428"/>
      <c r="AU63" s="996">
        <f>IF(AS63=0,0,(AT63-AS63)/AS63*100)</f>
        <v>0</v>
      </c>
      <c r="AV63" s="1428"/>
      <c r="AW63" s="1428"/>
      <c r="AX63" s="996">
        <f>IF(AV63=0,0,(AW63-AV63)/AV63*100)</f>
        <v>0</v>
      </c>
      <c r="AY63" s="1428"/>
      <c r="AZ63" s="1428"/>
      <c r="BA63" s="996">
        <f>IF(AY63=0,0,(AZ63-AY63)/AY63*100)</f>
        <v>0</v>
      </c>
      <c r="BB63" s="1428"/>
      <c r="BC63" s="1428"/>
      <c r="BD63" s="996">
        <f>IF(BB63=0,0,(BC63-BB63)/BB63*100)</f>
        <v>0</v>
      </c>
      <c r="BE63" s="1428"/>
      <c r="BF63" s="1428"/>
      <c r="BG63" s="996">
        <f>IF(BE63=0,0,(BF63-BE63)/BE63*100)</f>
        <v>0</v>
      </c>
      <c r="BH63" s="1428"/>
      <c r="BI63" s="1428"/>
      <c r="BJ63" s="996">
        <f>IF(BH63=0,0,(BI63-BH63)/BH63*100)</f>
        <v>0</v>
      </c>
      <c r="BK63" s="1428"/>
      <c r="BL63" s="1428"/>
      <c r="BM63" s="996">
        <f>IF(BK63=0,0,(BL63-BK63)/BK63*100)</f>
        <v>0</v>
      </c>
      <c r="BN63" s="1428"/>
      <c r="BO63" s="1428"/>
      <c r="BP63" s="996">
        <f>IF(BN63=0,0,(BO63-BN63)/BN63*100)</f>
        <v>0</v>
      </c>
      <c r="BQ63" s="1428"/>
      <c r="BR63" s="1428"/>
      <c r="BS63" s="996">
        <f>IF(BQ63=0,0,(BR63-BQ63)/BQ63*100)</f>
        <v>0</v>
      </c>
      <c r="BT63" s="1428"/>
      <c r="BU63" s="1428"/>
      <c r="BV63" s="996">
        <f>IF(BT63=0,0,(BU63-BT63)/BT63*100)</f>
        <v>0</v>
      </c>
      <c r="BW63" s="1428"/>
      <c r="BX63" s="1428"/>
      <c r="BY63" s="996">
        <f>IF(BW63=0,0,(BX63-BW63)/BW63*100)</f>
        <v>0</v>
      </c>
      <c r="BZ63" s="1428"/>
      <c r="CA63" s="1428"/>
      <c r="CB63" s="996">
        <f>IF(BZ63=0,0,(CA63-BZ63)/BZ63*100)</f>
        <v>0</v>
      </c>
      <c r="CC63" s="1428"/>
      <c r="CD63" s="1428"/>
      <c r="CE63" s="996">
        <f>IF(CC63=0,0,(CD63-CC63)/CC63*100)</f>
        <v>0</v>
      </c>
      <c r="CF63" s="1428"/>
      <c r="CG63" s="1428"/>
      <c r="CH63" s="996">
        <f>IF(CF63=0,0,(CG63-CF63)/CF63*100)</f>
        <v>0</v>
      </c>
      <c r="CI63" s="1428"/>
      <c r="CJ63" s="1428"/>
      <c r="CK63" s="996">
        <f>IF(CI63=0,0,(CJ63-CI63)/CI63*100)</f>
        <v>0</v>
      </c>
      <c r="CL63" s="1428"/>
      <c r="CM63" s="1428"/>
      <c r="CN63" s="996">
        <f>IF(CL63=0,0,(CM63-CL63)/CL63*100)</f>
        <v>0</v>
      </c>
      <c r="CO63" s="1428"/>
      <c r="CP63" s="1428"/>
      <c r="CQ63" s="996">
        <f>IF(CO63=0,0,(CP63-CO63)/CO63*100)</f>
        <v>0</v>
      </c>
      <c r="CR63" s="1428"/>
      <c r="CS63" s="1428"/>
      <c r="CT63" s="996">
        <f>IF(CR63=0,0,(CS63-CR63)/CR63*100)</f>
        <v>0</v>
      </c>
      <c r="CU63" s="1428"/>
      <c r="CV63" s="1428"/>
      <c r="CW63" s="996">
        <f>IF(CU63=0,0,(CV63-CU63)/CU63*100)</f>
        <v>0</v>
      </c>
      <c r="CX63" s="1428"/>
      <c r="CY63" s="1428"/>
      <c r="CZ63" s="996">
        <f>IF(CX63=0,0,(CY63-CX63)/CX63*100)</f>
        <v>0</v>
      </c>
      <c r="DA63" s="1428"/>
      <c r="DB63" s="1428"/>
      <c r="DC63" s="996">
        <f>IF(DA63=0,0,(DB63-DA63)/DA63*100)</f>
        <v>0</v>
      </c>
      <c r="DD63" s="1428"/>
      <c r="DE63" s="1428"/>
      <c r="DF63" s="996">
        <f>IF(DD63=0,0,(DE63-DD63)/DD63*100)</f>
        <v>0</v>
      </c>
      <c r="DG63" s="1428"/>
      <c r="DH63" s="1428"/>
      <c r="DI63" s="996">
        <f>IF(DG63=0,0,(DH63-DG63)/DG63*100)</f>
        <v>0</v>
      </c>
      <c r="DJ63" s="1428"/>
      <c r="DK63" s="1428"/>
      <c r="DL63" s="996">
        <f>IF(DJ63=0,0,(DK63-DJ63)/DJ63*100)</f>
        <v>0</v>
      </c>
      <c r="DM63" s="1428"/>
      <c r="DN63" s="1428"/>
      <c r="DO63" s="996">
        <f>IF(DM63=0,0,(DN63-DM63)/DM63*100)</f>
        <v>0</v>
      </c>
      <c r="DP63" s="1428"/>
      <c r="DQ63" s="1428"/>
      <c r="DR63" s="996">
        <f>IF(DP63=0,0,(DQ63-DP63)/DP63*100)</f>
        <v>0</v>
      </c>
      <c r="DS63" s="1428"/>
      <c r="DT63" s="1428"/>
      <c r="DU63" s="996">
        <f>IF(DS63=0,0,(DT63-DS63)/DS63*100)</f>
        <v>0</v>
      </c>
      <c r="DV63" s="1428"/>
      <c r="DW63" s="1428"/>
      <c r="DX63" s="996">
        <f>IF(DV63=0,0,(DW63-DV63)/DV63*100)</f>
        <v>0</v>
      </c>
      <c r="DY63" s="1428"/>
      <c r="DZ63" s="1428"/>
      <c r="EA63" s="996">
        <f>IF(DY63=0,0,(DZ63-DY63)/DY63*100)</f>
        <v>0</v>
      </c>
      <c r="EB63" s="1428"/>
      <c r="EC63" s="1428"/>
      <c r="ED63" s="996">
        <f>IF(EB63=0,0,(EC63-EB63)/EB63*100)</f>
        <v>0</v>
      </c>
      <c r="EE63" s="1428"/>
      <c r="EF63" s="1428"/>
      <c r="EG63" s="996">
        <f>IF(EE63=0,0,(EF63-EE63)/EE63*100)</f>
        <v>0</v>
      </c>
      <c r="EH63" s="1428"/>
      <c r="EI63" s="1428"/>
      <c r="EJ63" s="996">
        <f>IF(EH63=0,0,(EI63-EH63)/EH63*100)</f>
        <v>0</v>
      </c>
      <c r="EK63" s="1428"/>
      <c r="EL63" s="1428"/>
      <c r="EM63" s="996">
        <f>IF(EK63=0,0,(EL63-EK63)/EK63*100)</f>
        <v>0</v>
      </c>
      <c r="EN63" s="1428"/>
      <c r="EO63" s="1428"/>
      <c r="EP63" s="996">
        <f>IF(EN63=0,0,(EO63-EN63)/EN63*100)</f>
        <v>0</v>
      </c>
      <c r="EQ63" s="1428"/>
      <c r="ER63" s="1428"/>
      <c r="ES63" s="996">
        <f>IF(EQ63=0,0,(ER63-EQ63)/EQ63*100)</f>
        <v>0</v>
      </c>
      <c r="ET63" s="1428"/>
      <c r="EU63" s="1428"/>
      <c r="EV63" s="996">
        <f>IF(ET63=0,0,(EU63-ET63)/ET63*100)</f>
        <v>0</v>
      </c>
      <c r="EW63" s="1428"/>
      <c r="EX63" s="1428"/>
      <c r="EY63" s="996">
        <f>IF(EW63=0,0,(EX63-EW63)/EW63*100)</f>
        <v>0</v>
      </c>
      <c r="EZ63" s="1428"/>
      <c r="FA63" s="1428"/>
      <c r="FB63" s="996">
        <f>IF(EZ63=0,0,(FA63-EZ63)/EZ63*100)</f>
        <v>0</v>
      </c>
      <c r="FC63" s="1428"/>
      <c r="FD63" s="1428"/>
      <c r="FE63" s="996">
        <f>IF(FC63=0,0,(FD63-FC63)/FC63*100)</f>
        <v>0</v>
      </c>
      <c r="FF63" s="1428"/>
      <c r="FG63" s="1428"/>
      <c r="FH63" s="996">
        <f>IF(FF63=0,0,(FG63-FF63)/FF63*100)</f>
        <v>0</v>
      </c>
      <c r="FI63" s="1428"/>
      <c r="FJ63" s="1428"/>
      <c r="FK63" s="996">
        <f>IF(FI63=0,0,(FJ63-FI63)/FI63*100)</f>
        <v>0</v>
      </c>
      <c r="FL63" s="1428"/>
      <c r="FM63" s="1428"/>
      <c r="FN63" s="996">
        <f>IF(FL63=0,0,(FM63-FL63)/FL63*100)</f>
        <v>0</v>
      </c>
      <c r="FO63" s="1428"/>
      <c r="FP63" s="1428"/>
      <c r="FQ63" s="996">
        <f>IF(FO63=0,0,(FP63-FO63)/FO63*100)</f>
        <v>0</v>
      </c>
      <c r="FR63" s="1428"/>
      <c r="FS63" s="1428"/>
      <c r="FT63" s="996">
        <f>IF(FR63=0,0,(FS63-FR63)/FR63*100)</f>
        <v>0</v>
      </c>
      <c r="FU63" s="1428"/>
      <c r="FV63" s="1428"/>
      <c r="FW63" s="996">
        <f>IF(FU63=0,0,(FV63-FU63)/FU63*100)</f>
        <v>0</v>
      </c>
      <c r="FZ63" s="957" t="s">
        <v>1513</v>
      </c>
    </row>
    <row r="64" spans="1:182" ht="23.85" hidden="1" customHeight="1">
      <c r="A64" s="409"/>
      <c r="B64" s="830" t="b" cm="1">
        <f t="array" ref="B64">B63</f>
        <v>0</v>
      </c>
      <c r="C64" s="409"/>
      <c r="D64" s="409"/>
      <c r="E64" s="754">
        <v>24.5</v>
      </c>
      <c r="F64" s="3" cm="1">
        <f t="array" aca="1" ref="F64" ca="1">OFFSET(E64,-1,1)</f>
        <v>0</v>
      </c>
      <c r="G64" s="409"/>
      <c r="H64" s="409"/>
      <c r="I64" s="409"/>
      <c r="J64" s="409"/>
      <c r="K64" s="409"/>
      <c r="L64" s="409"/>
      <c r="M64" s="409"/>
      <c r="N64" s="409"/>
      <c r="O64" s="409"/>
      <c r="P64" s="409"/>
      <c r="Q64" s="409"/>
      <c r="R64" s="409"/>
      <c r="S64" s="409"/>
      <c r="T64" s="381" t="b" cm="1">
        <f t="array" aca="1" ref="T64" ca="1">T63</f>
        <v>0</v>
      </c>
      <c r="U64" s="409"/>
      <c r="V64" s="409"/>
      <c r="W64" s="409"/>
      <c r="X64" s="1787"/>
      <c r="Y64" s="409"/>
      <c r="Z64" s="1734"/>
      <c r="AA64" s="409"/>
      <c r="AB64" s="209" t="s">
        <v>1514</v>
      </c>
      <c r="AC64" s="810"/>
      <c r="AD64" s="1003"/>
      <c r="AE64" s="1003"/>
      <c r="AF64" s="1003"/>
      <c r="AG64" s="1003"/>
      <c r="AH64" s="1003"/>
      <c r="AI64" s="1003"/>
      <c r="AJ64" s="1003"/>
      <c r="AK64" s="1003"/>
      <c r="AL64" s="1003"/>
      <c r="AM64" s="1003"/>
      <c r="AN64" s="1003"/>
      <c r="AO64" s="1003"/>
      <c r="AP64" s="1003"/>
      <c r="AQ64" s="1003"/>
      <c r="AR64" s="1003"/>
      <c r="AS64" s="1003"/>
      <c r="AT64" s="1003"/>
      <c r="AU64" s="1003"/>
      <c r="AV64" s="1003"/>
      <c r="AW64" s="1003"/>
      <c r="AX64" s="1003"/>
      <c r="AY64" s="1003"/>
      <c r="AZ64" s="1003"/>
      <c r="BA64" s="1003"/>
      <c r="BB64" s="1003"/>
      <c r="BC64" s="1003"/>
      <c r="BD64" s="1003"/>
      <c r="BE64" s="1003"/>
      <c r="BF64" s="1003"/>
      <c r="BG64" s="1003"/>
      <c r="BH64" s="1003"/>
      <c r="BI64" s="1003"/>
      <c r="BJ64" s="1003"/>
      <c r="BK64" s="1003"/>
      <c r="BL64" s="1003"/>
      <c r="BM64" s="1003"/>
      <c r="BN64" s="1003"/>
      <c r="BO64" s="1003"/>
      <c r="BP64" s="1003"/>
      <c r="BQ64" s="1003"/>
      <c r="BR64" s="1003"/>
      <c r="BS64" s="1003"/>
      <c r="BT64" s="1003"/>
      <c r="BU64" s="1003"/>
      <c r="BV64" s="1003"/>
      <c r="BW64" s="1003"/>
      <c r="BX64" s="1003"/>
      <c r="BY64" s="1003"/>
      <c r="BZ64" s="1003"/>
      <c r="CA64" s="1003"/>
      <c r="CB64" s="1003"/>
      <c r="CC64" s="1003"/>
      <c r="CD64" s="1003"/>
      <c r="CE64" s="1003"/>
      <c r="CF64" s="1003"/>
      <c r="CG64" s="1003"/>
      <c r="CH64" s="1003"/>
      <c r="CI64" s="1003"/>
      <c r="CJ64" s="1003"/>
      <c r="CK64" s="1003"/>
      <c r="CL64" s="1003"/>
      <c r="CM64" s="1003"/>
      <c r="CN64" s="1003"/>
      <c r="CO64" s="1003"/>
      <c r="CP64" s="1003"/>
      <c r="CQ64" s="1003"/>
      <c r="CR64" s="1003"/>
      <c r="CS64" s="1003"/>
      <c r="CT64" s="1003"/>
      <c r="CU64" s="1003"/>
      <c r="CV64" s="1003"/>
      <c r="CW64" s="1003"/>
      <c r="CX64" s="1003"/>
      <c r="CY64" s="1003"/>
      <c r="CZ64" s="1003"/>
      <c r="DA64" s="1003"/>
      <c r="DB64" s="1003"/>
      <c r="DC64" s="1003"/>
      <c r="DD64" s="1003"/>
      <c r="DE64" s="1003"/>
      <c r="DF64" s="1003"/>
      <c r="DG64" s="1003"/>
      <c r="DH64" s="1003"/>
      <c r="DI64" s="1003"/>
      <c r="DJ64" s="1003"/>
      <c r="DK64" s="1003"/>
      <c r="DL64" s="1003"/>
      <c r="DM64" s="1003"/>
      <c r="DN64" s="1003"/>
      <c r="DO64" s="1003"/>
      <c r="DP64" s="1003"/>
      <c r="DQ64" s="1003"/>
      <c r="DR64" s="1003"/>
      <c r="DS64" s="1003"/>
      <c r="DT64" s="1003"/>
      <c r="DU64" s="1003"/>
      <c r="DV64" s="1003"/>
      <c r="DW64" s="1003"/>
      <c r="DX64" s="1003"/>
      <c r="DY64" s="1003"/>
      <c r="DZ64" s="1003"/>
      <c r="EA64" s="1003"/>
      <c r="EB64" s="1003"/>
      <c r="EC64" s="1003"/>
      <c r="ED64" s="1003"/>
      <c r="EE64" s="1003"/>
      <c r="EF64" s="1003"/>
      <c r="EG64" s="1003"/>
      <c r="EH64" s="1003"/>
      <c r="EI64" s="1003"/>
      <c r="EJ64" s="1003"/>
      <c r="EK64" s="1003"/>
      <c r="EL64" s="1003"/>
      <c r="EM64" s="1003"/>
      <c r="EN64" s="1003"/>
      <c r="EO64" s="1003"/>
      <c r="EP64" s="1003"/>
      <c r="EQ64" s="1003"/>
      <c r="ER64" s="1003"/>
      <c r="ES64" s="1003"/>
      <c r="ET64" s="1003"/>
      <c r="EU64" s="1003"/>
      <c r="EV64" s="1003"/>
      <c r="EW64" s="1003"/>
      <c r="EX64" s="1003"/>
      <c r="EY64" s="1003"/>
      <c r="EZ64" s="1003"/>
      <c r="FA64" s="1003"/>
      <c r="FB64" s="1003"/>
      <c r="FC64" s="1003"/>
      <c r="FD64" s="1003"/>
      <c r="FE64" s="1003"/>
      <c r="FF64" s="1003"/>
      <c r="FG64" s="1003"/>
      <c r="FH64" s="1003"/>
      <c r="FI64" s="1003"/>
      <c r="FJ64" s="1003"/>
      <c r="FK64" s="1003"/>
      <c r="FL64" s="1003"/>
      <c r="FM64" s="1003"/>
      <c r="FN64" s="1003"/>
      <c r="FO64" s="1003"/>
      <c r="FP64" s="1003"/>
      <c r="FQ64" s="1003"/>
      <c r="FR64" s="1003"/>
      <c r="FS64" s="1003"/>
      <c r="FT64" s="1003"/>
      <c r="FU64" s="1003"/>
      <c r="FV64" s="1003"/>
      <c r="FW64" s="1004"/>
      <c r="FZ64" s="957"/>
    </row>
    <row r="65" spans="1:186" ht="14.65" hidden="1" customHeight="1">
      <c r="A65" s="409"/>
      <c r="B65" s="830" t="b" cm="1">
        <f t="array" ref="B65">B64</f>
        <v>0</v>
      </c>
      <c r="C65" s="409"/>
      <c r="D65" s="409"/>
      <c r="E65" s="754">
        <v>15</v>
      </c>
      <c r="F65" s="3" cm="1">
        <f t="array" aca="1" ref="F65" ca="1">OFFSET(E65,-1,1)</f>
        <v>0</v>
      </c>
      <c r="G65" s="409"/>
      <c r="H65" s="409" t="s">
        <v>1412</v>
      </c>
      <c r="I65" s="409" t="s">
        <v>1471</v>
      </c>
      <c r="J65" s="409"/>
      <c r="K65" s="409"/>
      <c r="L65" s="409"/>
      <c r="M65" s="409"/>
      <c r="N65" s="409"/>
      <c r="O65" s="409"/>
      <c r="P65" s="409"/>
      <c r="Q65" s="409"/>
      <c r="R65" s="409"/>
      <c r="S65" s="409"/>
      <c r="T65" s="381" t="b" cm="1">
        <f t="array" aca="1" ref="T65" ca="1">T64</f>
        <v>0</v>
      </c>
      <c r="U65" s="409"/>
      <c r="V65" s="409"/>
      <c r="W65" s="409"/>
      <c r="X65" s="1787"/>
      <c r="Y65" s="409"/>
      <c r="Z65" s="1734"/>
      <c r="AA65" s="409"/>
      <c r="AB65" s="994" t="s">
        <v>1487</v>
      </c>
      <c r="AC65" s="778" t="s">
        <v>1454</v>
      </c>
      <c r="AD65" s="1428">
        <f ca="1">IF(AD67=0,0,(AD66*AD67+AD68*AD69*IF(god=2026,3,6))/AD67)</f>
        <v>0</v>
      </c>
      <c r="AE65" s="1428">
        <f ca="1">IF(AE67=0,0,(AE66*AE67+AE68*AE69*IF(god=2026,3,6))/AE67)</f>
        <v>0</v>
      </c>
      <c r="AF65" s="996">
        <f ca="1">IF(AD65=0,0,(AE65-AD65)/AD65*100)</f>
        <v>0</v>
      </c>
      <c r="AG65" s="1428">
        <f ca="1">IF(AG67=0,0,(AG66*AG67+AG68*AG69*IF(god=2025,3,6))/AG67)</f>
        <v>0</v>
      </c>
      <c r="AH65" s="1428">
        <f ca="1">IF(AH67=0,0,(AH66*AH67+AH68*AH69*IF(god=2025,3,6))/AH67)</f>
        <v>0</v>
      </c>
      <c r="AI65" s="996">
        <f ca="1">IF(AG65=0,0,(AH65-AG65)/AG65*100)</f>
        <v>0</v>
      </c>
      <c r="AJ65" s="1428">
        <f ca="1">IF(AJ67=0,0,(AJ66*AJ67+AJ68*AJ69*6)/AJ67)</f>
        <v>0</v>
      </c>
      <c r="AK65" s="1428">
        <f ca="1">IF(AK67=0,0,(AK66*AK67+AK68*AK69*6)/AK67)</f>
        <v>0</v>
      </c>
      <c r="AL65" s="996">
        <f ca="1">IF(AJ65=0,0,(AK65-AJ65)/AJ65*100)</f>
        <v>0</v>
      </c>
      <c r="AM65" s="1428">
        <f ca="1">IF(AM67=0,0,(AM66*AM67+AM68*AM69*6)/AM67)</f>
        <v>0</v>
      </c>
      <c r="AN65" s="1428">
        <f ca="1">IF(AN67=0,0,(AN66*AN67+AN68*AN69*6)/AN67)</f>
        <v>0</v>
      </c>
      <c r="AO65" s="996">
        <f ca="1">IF(AM65=0,0,(AN65-AM65)/AM65*100)</f>
        <v>0</v>
      </c>
      <c r="AP65" s="1428">
        <f ca="1">IF(AP67=0,0,(AP66*AP67+AP68*AP69*6)/AP67)</f>
        <v>0</v>
      </c>
      <c r="AQ65" s="1428">
        <f ca="1">IF(AQ67=0,0,(AQ66*AQ67+AQ68*AQ69*6)/AQ67)</f>
        <v>0</v>
      </c>
      <c r="AR65" s="996">
        <f ca="1">IF(AP65=0,0,(AQ65-AP65)/AP65*100)</f>
        <v>0</v>
      </c>
      <c r="AS65" s="1428">
        <f ca="1">IF(AS67=0,0,(AS66*AS67+AS68*AS69*6)/AS67)</f>
        <v>0</v>
      </c>
      <c r="AT65" s="1428">
        <f ca="1">IF(AT67=0,0,(AT66*AT67+AT68*AT69*6)/AT67)</f>
        <v>0</v>
      </c>
      <c r="AU65" s="996">
        <f ca="1">IF(AS65=0,0,(AT65-AS65)/AS65*100)</f>
        <v>0</v>
      </c>
      <c r="AV65" s="1428">
        <f ca="1">IF(AV67=0,0,(AV66*AV67+AV68*AV69*6)/AV67)</f>
        <v>0</v>
      </c>
      <c r="AW65" s="1428">
        <f ca="1">IF(AW67=0,0,(AW66*AW67+AW68*AW69*6)/AW67)</f>
        <v>0</v>
      </c>
      <c r="AX65" s="996">
        <f ca="1">IF(AV65=0,0,(AW65-AV65)/AV65*100)</f>
        <v>0</v>
      </c>
      <c r="AY65" s="1428">
        <f ca="1">IF(AY67=0,0,(AY66*AY67+AY68*AY69*6)/AY67)</f>
        <v>0</v>
      </c>
      <c r="AZ65" s="1428">
        <f ca="1">IF(AZ67=0,0,(AZ66*AZ67+AZ68*AZ69*6)/AZ67)</f>
        <v>0</v>
      </c>
      <c r="BA65" s="996">
        <f ca="1">IF(AY65=0,0,(AZ65-AY65)/AY65*100)</f>
        <v>0</v>
      </c>
      <c r="BB65" s="1428">
        <f ca="1">IF(BB67=0,0,(BB66*BB67+BB68*BB69*6)/BB67)</f>
        <v>0</v>
      </c>
      <c r="BC65" s="1428">
        <f ca="1">IF(BC67=0,0,(BC66*BC67+BC68*BC69*6)/BC67)</f>
        <v>0</v>
      </c>
      <c r="BD65" s="996">
        <f ca="1">IF(BB65=0,0,(BC65-BB65)/BB65*100)</f>
        <v>0</v>
      </c>
      <c r="BE65" s="1428">
        <f ca="1">IF(BE67=0,0,(BE66*BE67+BE68*BE69*6)/BE67)</f>
        <v>0</v>
      </c>
      <c r="BF65" s="1428">
        <f ca="1">IF(BF67=0,0,(BF66*BF67+BF68*BF69*6)/BF67)</f>
        <v>0</v>
      </c>
      <c r="BG65" s="996">
        <f ca="1">IF(BE65=0,0,(BF65-BE65)/BE65*100)</f>
        <v>0</v>
      </c>
      <c r="BH65" s="1428">
        <f>IF(BH67=0,0,(BH66*BH67+BH68*BH69*6)/BH67)</f>
        <v>0</v>
      </c>
      <c r="BI65" s="1428">
        <f>IF(BI67=0,0,(BI66*BI67+BI68*BI69*6)/BI67)</f>
        <v>0</v>
      </c>
      <c r="BJ65" s="996">
        <f>IF(BH65=0,0,(BI65-BH65)/BH65*100)</f>
        <v>0</v>
      </c>
      <c r="BK65" s="1428">
        <f>IF(BK67=0,0,(BK66*BK67+BK68*BK69*6)/BK67)</f>
        <v>0</v>
      </c>
      <c r="BL65" s="1428">
        <f>IF(BL67=0,0,(BL66*BL67+BL68*BL69*6)/BL67)</f>
        <v>0</v>
      </c>
      <c r="BM65" s="996">
        <f>IF(BK65=0,0,(BL65-BK65)/BK65*100)</f>
        <v>0</v>
      </c>
      <c r="BN65" s="1428">
        <f>IF(BN67=0,0,(BN66*BN67+BN68*BN69*6)/BN67)</f>
        <v>0</v>
      </c>
      <c r="BO65" s="1428">
        <f>IF(BO67=0,0,(BO66*BO67+BO68*BO69*6)/BO67)</f>
        <v>0</v>
      </c>
      <c r="BP65" s="996">
        <f>IF(BN65=0,0,(BO65-BN65)/BN65*100)</f>
        <v>0</v>
      </c>
      <c r="BQ65" s="1428">
        <f>IF(BQ67=0,0,(BQ66*BQ67+BQ68*BQ69*6)/BQ67)</f>
        <v>0</v>
      </c>
      <c r="BR65" s="1428">
        <f>IF(BR67=0,0,(BR66*BR67+BR68*BR69*6)/BR67)</f>
        <v>0</v>
      </c>
      <c r="BS65" s="996">
        <f>IF(BQ65=0,0,(BR65-BQ65)/BQ65*100)</f>
        <v>0</v>
      </c>
      <c r="BT65" s="1428">
        <f>IF(BT67=0,0,(BT66*BT67+BT68*BT69*6)/BT67)</f>
        <v>0</v>
      </c>
      <c r="BU65" s="1428">
        <f>IF(BU67=0,0,(BU66*BU67+BU68*BU69*6)/BU67)</f>
        <v>0</v>
      </c>
      <c r="BV65" s="996">
        <f>IF(BT65=0,0,(BU65-BT65)/BT65*100)</f>
        <v>0</v>
      </c>
      <c r="BW65" s="1428">
        <f>IF(BW67=0,0,(BW66*BW67+BW68*BW69*6)/BW67)</f>
        <v>0</v>
      </c>
      <c r="BX65" s="1428">
        <f>IF(BX67=0,0,(BX66*BX67+BX68*BX69*6)/BX67)</f>
        <v>0</v>
      </c>
      <c r="BY65" s="996">
        <f>IF(BW65=0,0,(BX65-BW65)/BW65*100)</f>
        <v>0</v>
      </c>
      <c r="BZ65" s="1428">
        <f>IF(BZ67=0,0,(BZ66*BZ67+BZ68*BZ69*6)/BZ67)</f>
        <v>0</v>
      </c>
      <c r="CA65" s="1428">
        <f>IF(CA67=0,0,(CA66*CA67+CA68*CA69*6)/CA67)</f>
        <v>0</v>
      </c>
      <c r="CB65" s="996">
        <f>IF(BZ65=0,0,(CA65-BZ65)/BZ65*100)</f>
        <v>0</v>
      </c>
      <c r="CC65" s="1428">
        <f>IF(CC67=0,0,(CC66*CC67+CC68*CC69*6)/CC67)</f>
        <v>0</v>
      </c>
      <c r="CD65" s="1428">
        <f>IF(CD67=0,0,(CD66*CD67+CD68*CD69*6)/CD67)</f>
        <v>0</v>
      </c>
      <c r="CE65" s="996">
        <f>IF(CC65=0,0,(CD65-CC65)/CC65*100)</f>
        <v>0</v>
      </c>
      <c r="CF65" s="1428">
        <f>IF(CF67=0,0,(CF66*CF67+CF68*CF69*6)/CF67)</f>
        <v>0</v>
      </c>
      <c r="CG65" s="1428">
        <f>IF(CG67=0,0,(CG66*CG67+CG68*CG69*6)/CG67)</f>
        <v>0</v>
      </c>
      <c r="CH65" s="996">
        <f>IF(CF65=0,0,(CG65-CF65)/CF65*100)</f>
        <v>0</v>
      </c>
      <c r="CI65" s="1428">
        <f>IF(CI67=0,0,(CI66*CI67+CI68*CI69*6)/CI67)</f>
        <v>0</v>
      </c>
      <c r="CJ65" s="1428">
        <f>IF(CJ67=0,0,(CJ66*CJ67+CJ68*CJ69*6)/CJ67)</f>
        <v>0</v>
      </c>
      <c r="CK65" s="996">
        <f>IF(CI65=0,0,(CJ65-CI65)/CI65*100)</f>
        <v>0</v>
      </c>
      <c r="CL65" s="1428">
        <f>IF(CL67=0,0,(CL66*CL67+CL68*CL69*6)/CL67)</f>
        <v>0</v>
      </c>
      <c r="CM65" s="1428">
        <f>IF(CM67=0,0,(CM66*CM67+CM68*CM69*6)/CM67)</f>
        <v>0</v>
      </c>
      <c r="CN65" s="996">
        <f>IF(CL65=0,0,(CM65-CL65)/CL65*100)</f>
        <v>0</v>
      </c>
      <c r="CO65" s="1428">
        <f>IF(CO67=0,0,(CO66*CO67+CO68*CO69*6)/CO67)</f>
        <v>0</v>
      </c>
      <c r="CP65" s="1428">
        <f>IF(CP67=0,0,(CP66*CP67+CP68*CP69*6)/CP67)</f>
        <v>0</v>
      </c>
      <c r="CQ65" s="996">
        <f>IF(CO65=0,0,(CP65-CO65)/CO65*100)</f>
        <v>0</v>
      </c>
      <c r="CR65" s="1428">
        <f>IF(CR67=0,0,(CR66*CR67+CR68*CR69*6)/CR67)</f>
        <v>0</v>
      </c>
      <c r="CS65" s="1428">
        <f>IF(CS67=0,0,(CS66*CS67+CS68*CS69*6)/CS67)</f>
        <v>0</v>
      </c>
      <c r="CT65" s="996">
        <f>IF(CR65=0,0,(CS65-CR65)/CR65*100)</f>
        <v>0</v>
      </c>
      <c r="CU65" s="1428">
        <f>IF(CU67=0,0,(CU66*CU67+CU68*CU69*6)/CU67)</f>
        <v>0</v>
      </c>
      <c r="CV65" s="1428">
        <f>IF(CV67=0,0,(CV66*CV67+CV68*CV69*6)/CV67)</f>
        <v>0</v>
      </c>
      <c r="CW65" s="996">
        <f>IF(CU65=0,0,(CV65-CU65)/CU65*100)</f>
        <v>0</v>
      </c>
      <c r="CX65" s="1428">
        <f>IF(CX67=0,0,(CX66*CX67+CX68*CX69*6)/CX67)</f>
        <v>0</v>
      </c>
      <c r="CY65" s="1428">
        <f>IF(CY67=0,0,(CY66*CY67+CY68*CY69*6)/CY67)</f>
        <v>0</v>
      </c>
      <c r="CZ65" s="996">
        <f>IF(CX65=0,0,(CY65-CX65)/CX65*100)</f>
        <v>0</v>
      </c>
      <c r="DA65" s="1428">
        <f>IF(DA67=0,0,(DA66*DA67+DA68*DA69*6)/DA67)</f>
        <v>0</v>
      </c>
      <c r="DB65" s="1428">
        <f>IF(DB67=0,0,(DB66*DB67+DB68*DB69*6)/DB67)</f>
        <v>0</v>
      </c>
      <c r="DC65" s="996">
        <f>IF(DA65=0,0,(DB65-DA65)/DA65*100)</f>
        <v>0</v>
      </c>
      <c r="DD65" s="1428">
        <f>IF(DD67=0,0,(DD66*DD67+DD68*DD69*6)/DD67)</f>
        <v>0</v>
      </c>
      <c r="DE65" s="1428">
        <f>IF(DE67=0,0,(DE66*DE67+DE68*DE69*6)/DE67)</f>
        <v>0</v>
      </c>
      <c r="DF65" s="996">
        <f>IF(DD65=0,0,(DE65-DD65)/DD65*100)</f>
        <v>0</v>
      </c>
      <c r="DG65" s="1428">
        <f>IF(DG67=0,0,(DG66*DG67+DG68*DG69*6)/DG67)</f>
        <v>0</v>
      </c>
      <c r="DH65" s="1428">
        <f>IF(DH67=0,0,(DH66*DH67+DH68*DH69*6)/DH67)</f>
        <v>0</v>
      </c>
      <c r="DI65" s="996">
        <f>IF(DG65=0,0,(DH65-DG65)/DG65*100)</f>
        <v>0</v>
      </c>
      <c r="DJ65" s="1428">
        <f>IF(DJ67=0,0,(DJ66*DJ67+DJ68*DJ69*6)/DJ67)</f>
        <v>0</v>
      </c>
      <c r="DK65" s="1428">
        <f>IF(DK67=0,0,(DK66*DK67+DK68*DK69*6)/DK67)</f>
        <v>0</v>
      </c>
      <c r="DL65" s="996">
        <f>IF(DJ65=0,0,(DK65-DJ65)/DJ65*100)</f>
        <v>0</v>
      </c>
      <c r="DM65" s="1428">
        <f>IF(DM67=0,0,(DM66*DM67+DM68*DM69*6)/DM67)</f>
        <v>0</v>
      </c>
      <c r="DN65" s="1428">
        <f>IF(DN67=0,0,(DN66*DN67+DN68*DN69*6)/DN67)</f>
        <v>0</v>
      </c>
      <c r="DO65" s="996">
        <f>IF(DM65=0,0,(DN65-DM65)/DM65*100)</f>
        <v>0</v>
      </c>
      <c r="DP65" s="1428">
        <f>IF(DP67=0,0,(DP66*DP67+DP68*DP69*6)/DP67)</f>
        <v>0</v>
      </c>
      <c r="DQ65" s="1428">
        <f>IF(DQ67=0,0,(DQ66*DQ67+DQ68*DQ69*6)/DQ67)</f>
        <v>0</v>
      </c>
      <c r="DR65" s="996">
        <f>IF(DP65=0,0,(DQ65-DP65)/DP65*100)</f>
        <v>0</v>
      </c>
      <c r="DS65" s="1428">
        <f>IF(DS67=0,0,(DS66*DS67+DS68*DS69*6)/DS67)</f>
        <v>0</v>
      </c>
      <c r="DT65" s="1428">
        <f>IF(DT67=0,0,(DT66*DT67+DT68*DT69*6)/DT67)</f>
        <v>0</v>
      </c>
      <c r="DU65" s="996">
        <f>IF(DS65=0,0,(DT65-DS65)/DS65*100)</f>
        <v>0</v>
      </c>
      <c r="DV65" s="1428">
        <f>IF(DV67=0,0,(DV66*DV67+DV68*DV69*6)/DV67)</f>
        <v>0</v>
      </c>
      <c r="DW65" s="1428">
        <f>IF(DW67=0,0,(DW66*DW67+DW68*DW69*6)/DW67)</f>
        <v>0</v>
      </c>
      <c r="DX65" s="996">
        <f>IF(DV65=0,0,(DW65-DV65)/DV65*100)</f>
        <v>0</v>
      </c>
      <c r="DY65" s="1428">
        <f>IF(DY67=0,0,(DY66*DY67+DY68*DY69*6)/DY67)</f>
        <v>0</v>
      </c>
      <c r="DZ65" s="1428">
        <f>IF(DZ67=0,0,(DZ66*DZ67+DZ68*DZ69*6)/DZ67)</f>
        <v>0</v>
      </c>
      <c r="EA65" s="996">
        <f>IF(DY65=0,0,(DZ65-DY65)/DY65*100)</f>
        <v>0</v>
      </c>
      <c r="EB65" s="1428">
        <f>IF(EB67=0,0,(EB66*EB67+EB68*EB69*6)/EB67)</f>
        <v>0</v>
      </c>
      <c r="EC65" s="1428">
        <f>IF(EC67=0,0,(EC66*EC67+EC68*EC69*6)/EC67)</f>
        <v>0</v>
      </c>
      <c r="ED65" s="996">
        <f>IF(EB65=0,0,(EC65-EB65)/EB65*100)</f>
        <v>0</v>
      </c>
      <c r="EE65" s="1428">
        <f>IF(EE67=0,0,(EE66*EE67+EE68*EE69*6)/EE67)</f>
        <v>0</v>
      </c>
      <c r="EF65" s="1428">
        <f>IF(EF67=0,0,(EF66*EF67+EF68*EF69*6)/EF67)</f>
        <v>0</v>
      </c>
      <c r="EG65" s="996">
        <f>IF(EE65=0,0,(EF65-EE65)/EE65*100)</f>
        <v>0</v>
      </c>
      <c r="EH65" s="1428">
        <f>IF(EH67=0,0,(EH66*EH67+EH68*EH69*6)/EH67)</f>
        <v>0</v>
      </c>
      <c r="EI65" s="1428">
        <f>IF(EI67=0,0,(EI66*EI67+EI68*EI69*6)/EI67)</f>
        <v>0</v>
      </c>
      <c r="EJ65" s="996">
        <f>IF(EH65=0,0,(EI65-EH65)/EH65*100)</f>
        <v>0</v>
      </c>
      <c r="EK65" s="1428">
        <f>IF(EK67=0,0,(EK66*EK67+EK68*EK69*6)/EK67)</f>
        <v>0</v>
      </c>
      <c r="EL65" s="1428">
        <f>IF(EL67=0,0,(EL66*EL67+EL68*EL69*6)/EL67)</f>
        <v>0</v>
      </c>
      <c r="EM65" s="996">
        <f>IF(EK65=0,0,(EL65-EK65)/EK65*100)</f>
        <v>0</v>
      </c>
      <c r="EN65" s="1428">
        <f>IF(EN67=0,0,(EN66*EN67+EN68*EN69*6)/EN67)</f>
        <v>0</v>
      </c>
      <c r="EO65" s="1428">
        <f>IF(EO67=0,0,(EO66*EO67+EO68*EO69*6)/EO67)</f>
        <v>0</v>
      </c>
      <c r="EP65" s="996">
        <f>IF(EN65=0,0,(EO65-EN65)/EN65*100)</f>
        <v>0</v>
      </c>
      <c r="EQ65" s="1428">
        <f>IF(EQ67=0,0,(EQ66*EQ67+EQ68*EQ69*6)/EQ67)</f>
        <v>0</v>
      </c>
      <c r="ER65" s="1428">
        <f>IF(ER67=0,0,(ER66*ER67+ER68*ER69*6)/ER67)</f>
        <v>0</v>
      </c>
      <c r="ES65" s="996">
        <f>IF(EQ65=0,0,(ER65-EQ65)/EQ65*100)</f>
        <v>0</v>
      </c>
      <c r="ET65" s="1428">
        <f>IF(ET67=0,0,(ET66*ET67+ET68*ET69*6)/ET67)</f>
        <v>0</v>
      </c>
      <c r="EU65" s="1428">
        <f>IF(EU67=0,0,(EU66*EU67+EU68*EU69*6)/EU67)</f>
        <v>0</v>
      </c>
      <c r="EV65" s="996">
        <f>IF(ET65=0,0,(EU65-ET65)/ET65*100)</f>
        <v>0</v>
      </c>
      <c r="EW65" s="1428">
        <f>IF(EW67=0,0,(EW66*EW67+EW68*EW69*6)/EW67)</f>
        <v>0</v>
      </c>
      <c r="EX65" s="1428">
        <f>IF(EX67=0,0,(EX66*EX67+EX68*EX69*6)/EX67)</f>
        <v>0</v>
      </c>
      <c r="EY65" s="996">
        <f>IF(EW65=0,0,(EX65-EW65)/EW65*100)</f>
        <v>0</v>
      </c>
      <c r="EZ65" s="1428">
        <f>IF(EZ67=0,0,(EZ66*EZ67+EZ68*EZ69*6)/EZ67)</f>
        <v>0</v>
      </c>
      <c r="FA65" s="1428">
        <f>IF(FA67=0,0,(FA66*FA67+FA68*FA69*6)/FA67)</f>
        <v>0</v>
      </c>
      <c r="FB65" s="996">
        <f>IF(EZ65=0,0,(FA65-EZ65)/EZ65*100)</f>
        <v>0</v>
      </c>
      <c r="FC65" s="1428">
        <f>IF(FC67=0,0,(FC66*FC67+FC68*FC69*6)/FC67)</f>
        <v>0</v>
      </c>
      <c r="FD65" s="1428">
        <f>IF(FD67=0,0,(FD66*FD67+FD68*FD69*6)/FD67)</f>
        <v>0</v>
      </c>
      <c r="FE65" s="996">
        <f>IF(FC65=0,0,(FD65-FC65)/FC65*100)</f>
        <v>0</v>
      </c>
      <c r="FF65" s="1428">
        <f>IF(FF67=0,0,(FF66*FF67+FF68*FF69*6)/FF67)</f>
        <v>0</v>
      </c>
      <c r="FG65" s="1428">
        <f>IF(FG67=0,0,(FG66*FG67+FG68*FG69*6)/FG67)</f>
        <v>0</v>
      </c>
      <c r="FH65" s="996">
        <f>IF(FF65=0,0,(FG65-FF65)/FF65*100)</f>
        <v>0</v>
      </c>
      <c r="FI65" s="1428">
        <f>IF(FI67=0,0,(FI66*FI67+FI68*FI69*6)/FI67)</f>
        <v>0</v>
      </c>
      <c r="FJ65" s="1428">
        <f>IF(FJ67=0,0,(FJ66*FJ67+FJ68*FJ69*6)/FJ67)</f>
        <v>0</v>
      </c>
      <c r="FK65" s="996">
        <f>IF(FI65=0,0,(FJ65-FI65)/FI65*100)</f>
        <v>0</v>
      </c>
      <c r="FL65" s="1428">
        <f>IF(FL67=0,0,(FL66*FL67+FL68*FL69*6)/FL67)</f>
        <v>0</v>
      </c>
      <c r="FM65" s="1428">
        <f>IF(FM67=0,0,(FM66*FM67+FM68*FM69*6)/FM67)</f>
        <v>0</v>
      </c>
      <c r="FN65" s="996">
        <f>IF(FL65=0,0,(FM65-FL65)/FL65*100)</f>
        <v>0</v>
      </c>
      <c r="FO65" s="1428">
        <f>IF(FO67=0,0,(FO66*FO67+FO68*FO69*6)/FO67)</f>
        <v>0</v>
      </c>
      <c r="FP65" s="1428">
        <f>IF(FP67=0,0,(FP66*FP67+FP68*FP69*6)/FP67)</f>
        <v>0</v>
      </c>
      <c r="FQ65" s="996">
        <f>IF(FO65=0,0,(FP65-FO65)/FO65*100)</f>
        <v>0</v>
      </c>
      <c r="FR65" s="1428">
        <f>IF(FR67=0,0,(FR66*FR67+FR68*FR69*6)/FR67)</f>
        <v>0</v>
      </c>
      <c r="FS65" s="1428">
        <f>IF(FS67=0,0,(FS66*FS67+FS68*FS69*6)/FS67)</f>
        <v>0</v>
      </c>
      <c r="FT65" s="996">
        <f>IF(FR65=0,0,(FS65-FR65)/FR65*100)</f>
        <v>0</v>
      </c>
      <c r="FU65" s="1428">
        <f>IF(FU67=0,0,(FU66*FU67+FU68*FU69*6)/FU67)</f>
        <v>0</v>
      </c>
      <c r="FV65" s="1428">
        <f>IF(FV67=0,0,(FV66*FV67+FV68*FV69*6)/FV67)</f>
        <v>0</v>
      </c>
      <c r="FW65" s="996">
        <f>IF(FU65=0,0,(FV65-FU65)/FU65*100)</f>
        <v>0</v>
      </c>
      <c r="FZ65" s="957" t="s">
        <v>1515</v>
      </c>
    </row>
    <row r="66" spans="1:186" ht="14.65" hidden="1" customHeight="1">
      <c r="A66" s="409"/>
      <c r="B66" s="830" t="b" cm="1">
        <f t="array" ref="B66">B65</f>
        <v>0</v>
      </c>
      <c r="C66" s="409"/>
      <c r="D66" s="409"/>
      <c r="E66" s="754">
        <v>15</v>
      </c>
      <c r="F66" s="3" cm="1">
        <f t="array" aca="1" ref="F66" ca="1">OFFSET(E66,-1,1)</f>
        <v>0</v>
      </c>
      <c r="G66" s="409"/>
      <c r="H66" s="409" t="s">
        <v>1416</v>
      </c>
      <c r="I66" s="409" t="s">
        <v>1471</v>
      </c>
      <c r="J66" s="409"/>
      <c r="K66" s="409"/>
      <c r="L66" s="409"/>
      <c r="M66" s="409"/>
      <c r="N66" s="409"/>
      <c r="O66" s="409"/>
      <c r="P66" s="409"/>
      <c r="Q66" s="409"/>
      <c r="R66" s="409"/>
      <c r="S66" s="409"/>
      <c r="T66" s="381" t="b" cm="1">
        <f t="array" aca="1" ref="T66" ca="1">T65</f>
        <v>0</v>
      </c>
      <c r="U66" s="409"/>
      <c r="V66" s="409"/>
      <c r="W66" s="409"/>
      <c r="X66" s="1787"/>
      <c r="Y66" s="409"/>
      <c r="Z66" s="1734"/>
      <c r="AA66" s="409"/>
      <c r="AB66" s="811" t="str">
        <f>"ставка платы за "&amp;IF(Q29="Водоснабжение","потребление 1 куб.м холодной воды","объем принятых сточных вод")</f>
        <v>ставка платы за объем принятых сточных вод</v>
      </c>
      <c r="AC66" s="778" t="s">
        <v>1454</v>
      </c>
      <c r="AD66" s="1428"/>
      <c r="AE66" s="1428"/>
      <c r="AF66" s="996">
        <f>IF(AD66=0,0,(AE66-AD66)/AD66*100)</f>
        <v>0</v>
      </c>
      <c r="AG66" s="1428"/>
      <c r="AH66" s="1428"/>
      <c r="AI66" s="996">
        <f>IF(AG66=0,0,(AH66-AG66)/AG66*100)</f>
        <v>0</v>
      </c>
      <c r="AJ66" s="1428"/>
      <c r="AK66" s="1428"/>
      <c r="AL66" s="996">
        <f>IF(AJ66=0,0,(AK66-AJ66)/AJ66*100)</f>
        <v>0</v>
      </c>
      <c r="AM66" s="1428"/>
      <c r="AN66" s="1428"/>
      <c r="AO66" s="996">
        <f>IF(AM66=0,0,(AN66-AM66)/AM66*100)</f>
        <v>0</v>
      </c>
      <c r="AP66" s="1428"/>
      <c r="AQ66" s="1428"/>
      <c r="AR66" s="996">
        <f>IF(AP66=0,0,(AQ66-AP66)/AP66*100)</f>
        <v>0</v>
      </c>
      <c r="AS66" s="1428"/>
      <c r="AT66" s="1428"/>
      <c r="AU66" s="996">
        <f>IF(AS66=0,0,(AT66-AS66)/AS66*100)</f>
        <v>0</v>
      </c>
      <c r="AV66" s="1428"/>
      <c r="AW66" s="1428"/>
      <c r="AX66" s="996">
        <f>IF(AV66=0,0,(AW66-AV66)/AV66*100)</f>
        <v>0</v>
      </c>
      <c r="AY66" s="1428"/>
      <c r="AZ66" s="1428"/>
      <c r="BA66" s="996">
        <f>IF(AY66=0,0,(AZ66-AY66)/AY66*100)</f>
        <v>0</v>
      </c>
      <c r="BB66" s="1428"/>
      <c r="BC66" s="1428"/>
      <c r="BD66" s="996">
        <f>IF(BB66=0,0,(BC66-BB66)/BB66*100)</f>
        <v>0</v>
      </c>
      <c r="BE66" s="1428"/>
      <c r="BF66" s="1428"/>
      <c r="BG66" s="996">
        <f>IF(BE66=0,0,(BF66-BE66)/BE66*100)</f>
        <v>0</v>
      </c>
      <c r="BH66" s="1428"/>
      <c r="BI66" s="1428"/>
      <c r="BJ66" s="996">
        <f>IF(BH66=0,0,(BI66-BH66)/BH66*100)</f>
        <v>0</v>
      </c>
      <c r="BK66" s="1428"/>
      <c r="BL66" s="1428"/>
      <c r="BM66" s="996">
        <f>IF(BK66=0,0,(BL66-BK66)/BK66*100)</f>
        <v>0</v>
      </c>
      <c r="BN66" s="1428"/>
      <c r="BO66" s="1428"/>
      <c r="BP66" s="996">
        <f>IF(BN66=0,0,(BO66-BN66)/BN66*100)</f>
        <v>0</v>
      </c>
      <c r="BQ66" s="1428"/>
      <c r="BR66" s="1428"/>
      <c r="BS66" s="996">
        <f>IF(BQ66=0,0,(BR66-BQ66)/BQ66*100)</f>
        <v>0</v>
      </c>
      <c r="BT66" s="1428"/>
      <c r="BU66" s="1428"/>
      <c r="BV66" s="996">
        <f>IF(BT66=0,0,(BU66-BT66)/BT66*100)</f>
        <v>0</v>
      </c>
      <c r="BW66" s="1428"/>
      <c r="BX66" s="1428"/>
      <c r="BY66" s="996">
        <f>IF(BW66=0,0,(BX66-BW66)/BW66*100)</f>
        <v>0</v>
      </c>
      <c r="BZ66" s="1428"/>
      <c r="CA66" s="1428"/>
      <c r="CB66" s="996">
        <f>IF(BZ66=0,0,(CA66-BZ66)/BZ66*100)</f>
        <v>0</v>
      </c>
      <c r="CC66" s="1428"/>
      <c r="CD66" s="1428"/>
      <c r="CE66" s="996">
        <f>IF(CC66=0,0,(CD66-CC66)/CC66*100)</f>
        <v>0</v>
      </c>
      <c r="CF66" s="1428"/>
      <c r="CG66" s="1428"/>
      <c r="CH66" s="996">
        <f>IF(CF66=0,0,(CG66-CF66)/CF66*100)</f>
        <v>0</v>
      </c>
      <c r="CI66" s="1428"/>
      <c r="CJ66" s="1428"/>
      <c r="CK66" s="996">
        <f>IF(CI66=0,0,(CJ66-CI66)/CI66*100)</f>
        <v>0</v>
      </c>
      <c r="CL66" s="1428"/>
      <c r="CM66" s="1428"/>
      <c r="CN66" s="996">
        <f>IF(CL66=0,0,(CM66-CL66)/CL66*100)</f>
        <v>0</v>
      </c>
      <c r="CO66" s="1428"/>
      <c r="CP66" s="1428"/>
      <c r="CQ66" s="996">
        <f>IF(CO66=0,0,(CP66-CO66)/CO66*100)</f>
        <v>0</v>
      </c>
      <c r="CR66" s="1428"/>
      <c r="CS66" s="1428"/>
      <c r="CT66" s="996">
        <f>IF(CR66=0,0,(CS66-CR66)/CR66*100)</f>
        <v>0</v>
      </c>
      <c r="CU66" s="1428"/>
      <c r="CV66" s="1428"/>
      <c r="CW66" s="996">
        <f>IF(CU66=0,0,(CV66-CU66)/CU66*100)</f>
        <v>0</v>
      </c>
      <c r="CX66" s="1428"/>
      <c r="CY66" s="1428"/>
      <c r="CZ66" s="996">
        <f>IF(CX66=0,0,(CY66-CX66)/CX66*100)</f>
        <v>0</v>
      </c>
      <c r="DA66" s="1428"/>
      <c r="DB66" s="1428"/>
      <c r="DC66" s="996">
        <f>IF(DA66=0,0,(DB66-DA66)/DA66*100)</f>
        <v>0</v>
      </c>
      <c r="DD66" s="1428"/>
      <c r="DE66" s="1428"/>
      <c r="DF66" s="996">
        <f>IF(DD66=0,0,(DE66-DD66)/DD66*100)</f>
        <v>0</v>
      </c>
      <c r="DG66" s="1428"/>
      <c r="DH66" s="1428"/>
      <c r="DI66" s="996">
        <f>IF(DG66=0,0,(DH66-DG66)/DG66*100)</f>
        <v>0</v>
      </c>
      <c r="DJ66" s="1428"/>
      <c r="DK66" s="1428"/>
      <c r="DL66" s="996">
        <f>IF(DJ66=0,0,(DK66-DJ66)/DJ66*100)</f>
        <v>0</v>
      </c>
      <c r="DM66" s="1428"/>
      <c r="DN66" s="1428"/>
      <c r="DO66" s="996">
        <f>IF(DM66=0,0,(DN66-DM66)/DM66*100)</f>
        <v>0</v>
      </c>
      <c r="DP66" s="1428"/>
      <c r="DQ66" s="1428"/>
      <c r="DR66" s="996">
        <f>IF(DP66=0,0,(DQ66-DP66)/DP66*100)</f>
        <v>0</v>
      </c>
      <c r="DS66" s="1428"/>
      <c r="DT66" s="1428"/>
      <c r="DU66" s="996">
        <f>IF(DS66=0,0,(DT66-DS66)/DS66*100)</f>
        <v>0</v>
      </c>
      <c r="DV66" s="1428"/>
      <c r="DW66" s="1428"/>
      <c r="DX66" s="996">
        <f>IF(DV66=0,0,(DW66-DV66)/DV66*100)</f>
        <v>0</v>
      </c>
      <c r="DY66" s="1428"/>
      <c r="DZ66" s="1428"/>
      <c r="EA66" s="996">
        <f>IF(DY66=0,0,(DZ66-DY66)/DY66*100)</f>
        <v>0</v>
      </c>
      <c r="EB66" s="1428"/>
      <c r="EC66" s="1428"/>
      <c r="ED66" s="996">
        <f>IF(EB66=0,0,(EC66-EB66)/EB66*100)</f>
        <v>0</v>
      </c>
      <c r="EE66" s="1428"/>
      <c r="EF66" s="1428"/>
      <c r="EG66" s="996">
        <f>IF(EE66=0,0,(EF66-EE66)/EE66*100)</f>
        <v>0</v>
      </c>
      <c r="EH66" s="1428"/>
      <c r="EI66" s="1428"/>
      <c r="EJ66" s="996">
        <f>IF(EH66=0,0,(EI66-EH66)/EH66*100)</f>
        <v>0</v>
      </c>
      <c r="EK66" s="1428"/>
      <c r="EL66" s="1428"/>
      <c r="EM66" s="996">
        <f>IF(EK66=0,0,(EL66-EK66)/EK66*100)</f>
        <v>0</v>
      </c>
      <c r="EN66" s="1428"/>
      <c r="EO66" s="1428"/>
      <c r="EP66" s="996">
        <f>IF(EN66=0,0,(EO66-EN66)/EN66*100)</f>
        <v>0</v>
      </c>
      <c r="EQ66" s="1428"/>
      <c r="ER66" s="1428"/>
      <c r="ES66" s="996">
        <f>IF(EQ66=0,0,(ER66-EQ66)/EQ66*100)</f>
        <v>0</v>
      </c>
      <c r="ET66" s="1428"/>
      <c r="EU66" s="1428"/>
      <c r="EV66" s="996">
        <f>IF(ET66=0,0,(EU66-ET66)/ET66*100)</f>
        <v>0</v>
      </c>
      <c r="EW66" s="1428"/>
      <c r="EX66" s="1428"/>
      <c r="EY66" s="996">
        <f>IF(EW66=0,0,(EX66-EW66)/EW66*100)</f>
        <v>0</v>
      </c>
      <c r="EZ66" s="1428"/>
      <c r="FA66" s="1428"/>
      <c r="FB66" s="996">
        <f>IF(EZ66=0,0,(FA66-EZ66)/EZ66*100)</f>
        <v>0</v>
      </c>
      <c r="FC66" s="1428"/>
      <c r="FD66" s="1428"/>
      <c r="FE66" s="996">
        <f>IF(FC66=0,0,(FD66-FC66)/FC66*100)</f>
        <v>0</v>
      </c>
      <c r="FF66" s="1428"/>
      <c r="FG66" s="1428"/>
      <c r="FH66" s="996">
        <f>IF(FF66=0,0,(FG66-FF66)/FF66*100)</f>
        <v>0</v>
      </c>
      <c r="FI66" s="1428"/>
      <c r="FJ66" s="1428"/>
      <c r="FK66" s="996">
        <f>IF(FI66=0,0,(FJ66-FI66)/FI66*100)</f>
        <v>0</v>
      </c>
      <c r="FL66" s="1428"/>
      <c r="FM66" s="1428"/>
      <c r="FN66" s="996">
        <f>IF(FL66=0,0,(FM66-FL66)/FL66*100)</f>
        <v>0</v>
      </c>
      <c r="FO66" s="1428"/>
      <c r="FP66" s="1428"/>
      <c r="FQ66" s="996">
        <f>IF(FO66=0,0,(FP66-FO66)/FO66*100)</f>
        <v>0</v>
      </c>
      <c r="FR66" s="1428"/>
      <c r="FS66" s="1428"/>
      <c r="FT66" s="996">
        <f>IF(FR66=0,0,(FS66-FR66)/FR66*100)</f>
        <v>0</v>
      </c>
      <c r="FU66" s="1428"/>
      <c r="FV66" s="1428"/>
      <c r="FW66" s="996">
        <f>IF(FU66=0,0,(FV66-FU66)/FU66*100)</f>
        <v>0</v>
      </c>
      <c r="FZ66" s="957" t="s">
        <v>1516</v>
      </c>
    </row>
    <row r="67" spans="1:186" ht="14.65" hidden="1" customHeight="1">
      <c r="A67" s="409"/>
      <c r="B67" s="830" t="b" cm="1">
        <f t="array" ref="B67">B66</f>
        <v>0</v>
      </c>
      <c r="C67" s="409"/>
      <c r="D67" s="409"/>
      <c r="E67" s="754">
        <v>15</v>
      </c>
      <c r="F67" s="3" cm="1">
        <f t="array" aca="1" ref="F67" ca="1">OFFSET(E67,-1,1)</f>
        <v>0</v>
      </c>
      <c r="G67" s="26" t="s">
        <v>1517</v>
      </c>
      <c r="H67" s="409" t="s">
        <v>1491</v>
      </c>
      <c r="I67" s="409" t="s">
        <v>1471</v>
      </c>
      <c r="J67" s="409"/>
      <c r="K67" s="409"/>
      <c r="L67" s="409"/>
      <c r="M67" s="409"/>
      <c r="N67" s="409"/>
      <c r="O67" s="409"/>
      <c r="P67" s="409"/>
      <c r="Q67" s="409"/>
      <c r="R67" s="409"/>
      <c r="S67" s="409"/>
      <c r="T67" s="381" t="b" cm="1">
        <f t="array" aca="1" ref="T67" ca="1">T66</f>
        <v>0</v>
      </c>
      <c r="U67" s="409"/>
      <c r="V67" s="409"/>
      <c r="W67" s="409"/>
      <c r="X67" s="1787"/>
      <c r="Y67" s="409"/>
      <c r="Z67" s="1734"/>
      <c r="AA67" s="409"/>
      <c r="AB67" s="811" t="str">
        <f>"объём "&amp;IF(Q29="Водоснабжение","потребления холодной воды","водоотведения")</f>
        <v>объём водоотведения</v>
      </c>
      <c r="AC67" s="778" t="s">
        <v>499</v>
      </c>
      <c r="AD67" s="1426">
        <f ca="1">IF(AND(method_reg="Метод индексации",god&lt;&gt;first_year),SUMIFS(INDEX('Калькуляция (МИ корр)'!$AJ$25:$BC$315,,MATCH(AD$8,'Калькуляция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(МИ)'!$AJ$25:$BC$315,,MATCH(AD$8,'Калькуляция (МИ)'!$AJ$8:$BC$8,0)),'Калькуляция (МИ)'!$F$25:$F$315,$F67,'Калькуляция (МИ)'!$G$25:$G$315,$G67))))</f>
        <v>0</v>
      </c>
      <c r="AE67" s="1426">
        <f ca="1">IF(AND(method_reg="Метод индексации",god&lt;&gt;first_year),SUMIFS(INDEX('Калькуляция (МИ корр)'!$AJ$25:$BC$315,,MATCH(AE$8,'Калькуляция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(МИ)'!$AJ$25:$BC$315,,MATCH(AE$8,'Калькуляция (МИ)'!$AJ$8:$BC$8,0)),'Калькуляция (МИ)'!$F$25:$F$315,$F67,'Калькуляция (МИ)'!$G$25:$G$315,$G67))))</f>
        <v>0</v>
      </c>
      <c r="AF67" s="998">
        <f ca="1">IF(AD67=0,0,(AE67-AD67)/AD67*100)</f>
        <v>0</v>
      </c>
      <c r="AG67" s="1426">
        <f ca="1">IF(AND(method_reg="Метод индексации",god&lt;&gt;first_year),SUMIFS(INDEX('Калькуляция (МИ корр)'!$AJ$25:$BC$315,,MATCH(AG$8,'Калькуляция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(МИ)'!$AJ$25:$BC$315,,MATCH(AG$8,'Калькуляция (МИ)'!$AJ$8:$BC$8,0)),'Калькуляция (МИ)'!$F$25:$F$315,$F67,'Калькуляция (МИ)'!$G$25:$G$315,$G67))))</f>
        <v>0</v>
      </c>
      <c r="AH67" s="1426">
        <f ca="1">IF(AND(method_reg="Метод индексации",god&lt;&gt;first_year),SUMIFS(INDEX('Калькуляция (МИ корр)'!$AJ$25:$BC$315,,MATCH(AH$8,'Калькуляция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(МИ)'!$AJ$25:$BC$315,,MATCH(AH$8,'Калькуляция (МИ)'!$AJ$8:$BC$8,0)),'Калькуляция (МИ)'!$F$25:$F$315,$F67,'Калькуляция (МИ)'!$G$25:$G$315,$G67))))</f>
        <v>0</v>
      </c>
      <c r="AI67" s="998">
        <f ca="1">IF(AG67=0,0,(AH67-AG67)/AG67*100)</f>
        <v>0</v>
      </c>
      <c r="AJ67" s="1426">
        <f ca="1">IF(AND(method_reg="Метод индексации",god&lt;&gt;first_year),SUMIFS(INDEX('Калькуляция (МИ корр)'!$AJ$25:$BC$315,,MATCH(AJ$8,'Калькуляция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(МИ)'!$AJ$25:$BC$315,,MATCH(AJ$8,'Калькуляция (МИ)'!$AJ$8:$BC$8,0)),'Калькуляция (МИ)'!$F$25:$F$315,$F67,'Калькуляция (МИ)'!$G$25:$G$315,$G67))))</f>
        <v>0</v>
      </c>
      <c r="AK67" s="1426">
        <f ca="1">IF(AND(method_reg="Метод индексации",god&lt;&gt;first_year),SUMIFS(INDEX('Калькуляция (МИ корр)'!$AJ$25:$BC$315,,MATCH(AK$8,'Калькуляция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(МИ)'!$AJ$25:$BC$315,,MATCH(AK$8,'Калькуляция (МИ)'!$AJ$8:$BC$8,0)),'Калькуляция (МИ)'!$F$25:$F$315,$F67,'Калькуляция (МИ)'!$G$25:$G$315,$G67))))</f>
        <v>0</v>
      </c>
      <c r="AL67" s="998">
        <f ca="1">IF(AJ67=0,0,(AK67-AJ67)/AJ67*100)</f>
        <v>0</v>
      </c>
      <c r="AM67" s="1426">
        <f ca="1">IF(AND(method_reg="Метод индексации",god&lt;&gt;first_year),SUMIFS(INDEX('Калькуляция (МИ корр)'!$AJ$25:$BC$315,,MATCH(AM$8,'Калькуляция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(МИ)'!$AJ$25:$BC$315,,MATCH(AM$8,'Калькуляция (МИ)'!$AJ$8:$BC$8,0)),'Калькуляция (МИ)'!$F$25:$F$315,$F67,'Калькуляция (МИ)'!$G$25:$G$315,$G67))))</f>
        <v>0</v>
      </c>
      <c r="AN67" s="1426">
        <f ca="1">IF(AND(method_reg="Метод индексации",god&lt;&gt;first_year),SUMIFS(INDEX('Калькуляция (МИ корр)'!$AJ$25:$BC$315,,MATCH(AN$8,'Калькуляция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(МИ)'!$AJ$25:$BC$315,,MATCH(AN$8,'Калькуляция (МИ)'!$AJ$8:$BC$8,0)),'Калькуляция (МИ)'!$F$25:$F$315,$F67,'Калькуляция (МИ)'!$G$25:$G$315,$G67))))</f>
        <v>0</v>
      </c>
      <c r="AO67" s="998">
        <f ca="1">IF(AM67=0,0,(AN67-AM67)/AM67*100)</f>
        <v>0</v>
      </c>
      <c r="AP67" s="1426">
        <f ca="1">IF(AND(method_reg="Метод индексации",god&lt;&gt;first_year),SUMIFS(INDEX('Калькуляция (МИ корр)'!$AJ$25:$BC$315,,MATCH(AP$8,'Калькуляция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(МИ)'!$AJ$25:$BC$315,,MATCH(AP$8,'Калькуляция (МИ)'!$AJ$8:$BC$8,0)),'Калькуляция (МИ)'!$F$25:$F$315,$F67,'Калькуляция (МИ)'!$G$25:$G$315,$G67))))</f>
        <v>0</v>
      </c>
      <c r="AQ67" s="1426">
        <f ca="1">IF(AND(method_reg="Метод индексации",god&lt;&gt;first_year),SUMIFS(INDEX('Калькуляция (МИ корр)'!$AJ$25:$BC$315,,MATCH(AQ$8,'Калькуляция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(МИ)'!$AJ$25:$BC$315,,MATCH(AQ$8,'Калькуляция (МИ)'!$AJ$8:$BC$8,0)),'Калькуляция (МИ)'!$F$25:$F$315,$F67,'Калькуляция (МИ)'!$G$25:$G$315,$G67))))</f>
        <v>0</v>
      </c>
      <c r="AR67" s="998">
        <f ca="1">IF(AP67=0,0,(AQ67-AP67)/AP67*100)</f>
        <v>0</v>
      </c>
      <c r="AS67" s="1426">
        <f ca="1">IF(AND(method_reg="Метод индексации",god&lt;&gt;first_year),SUMIFS(INDEX('Калькуляция (МИ корр)'!$AJ$25:$BC$315,,MATCH(AS$8,'Калькуляция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(МИ)'!$AJ$25:$BC$315,,MATCH(AS$8,'Калькуляция (МИ)'!$AJ$8:$BC$8,0)),'Калькуляция (МИ)'!$F$25:$F$315,$F67,'Калькуляция (МИ)'!$G$25:$G$315,$G67))))</f>
        <v>0</v>
      </c>
      <c r="AT67" s="1426">
        <f ca="1">IF(AND(method_reg="Метод индексации",god&lt;&gt;first_year),SUMIFS(INDEX('Калькуляция (МИ корр)'!$AJ$25:$BC$315,,MATCH(AT$8,'Калькуляция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(МИ)'!$AJ$25:$BC$315,,MATCH(AT$8,'Калькуляция (МИ)'!$AJ$8:$BC$8,0)),'Калькуляция (МИ)'!$F$25:$F$315,$F67,'Калькуляция (МИ)'!$G$25:$G$315,$G67))))</f>
        <v>0</v>
      </c>
      <c r="AU67" s="998">
        <f ca="1">IF(AS67=0,0,(AT67-AS67)/AS67*100)</f>
        <v>0</v>
      </c>
      <c r="AV67" s="1426">
        <f ca="1">IF(AND(method_reg="Метод индексации",god&lt;&gt;first_year),SUMIFS(INDEX('Калькуляция (МИ корр)'!$AJ$25:$BC$315,,MATCH(AV$8,'Калькуляция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(МИ)'!$AJ$25:$BC$315,,MATCH(AV$8,'Калькуляция (МИ)'!$AJ$8:$BC$8,0)),'Калькуляция (МИ)'!$F$25:$F$315,$F67,'Калькуляция (МИ)'!$G$25:$G$315,$G67))))</f>
        <v>0</v>
      </c>
      <c r="AW67" s="1426">
        <f ca="1">IF(AND(method_reg="Метод индексации",god&lt;&gt;first_year),SUMIFS(INDEX('Калькуляция (МИ корр)'!$AJ$25:$BC$315,,MATCH(AW$8,'Калькуляция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(МИ)'!$AJ$25:$BC$315,,MATCH(AW$8,'Калькуляция (МИ)'!$AJ$8:$BC$8,0)),'Калькуляция (МИ)'!$F$25:$F$315,$F67,'Калькуляция (МИ)'!$G$25:$G$315,$G67))))</f>
        <v>0</v>
      </c>
      <c r="AX67" s="998">
        <f ca="1">IF(AV67=0,0,(AW67-AV67)/AV67*100)</f>
        <v>0</v>
      </c>
      <c r="AY67" s="1426">
        <f ca="1">IF(AND(method_reg="Метод индексации",god&lt;&gt;first_year),SUMIFS(INDEX('Калькуляция (МИ корр)'!$AJ$25:$BC$315,,MATCH(AY$8,'Калькуляция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(МИ)'!$AJ$25:$BC$315,,MATCH(AY$8,'Калькуляция (МИ)'!$AJ$8:$BC$8,0)),'Калькуляция (МИ)'!$F$25:$F$315,$F67,'Калькуляция (МИ)'!$G$25:$G$315,$G67))))</f>
        <v>0</v>
      </c>
      <c r="AZ67" s="1426">
        <f ca="1">IF(AND(method_reg="Метод индексации",god&lt;&gt;first_year),SUMIFS(INDEX('Калькуляция (МИ корр)'!$AJ$25:$BC$315,,MATCH(AZ$8,'Калькуляция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(МИ)'!$AJ$25:$BC$315,,MATCH(AZ$8,'Калькуляция (МИ)'!$AJ$8:$BC$8,0)),'Калькуляция (МИ)'!$F$25:$F$315,$F67,'Калькуляция (МИ)'!$G$25:$G$315,$G67))))</f>
        <v>0</v>
      </c>
      <c r="BA67" s="998">
        <f ca="1">IF(AY67=0,0,(AZ67-AY67)/AY67*100)</f>
        <v>0</v>
      </c>
      <c r="BB67" s="1426">
        <f ca="1">IF(AND(method_reg="Метод индексации",god&lt;&gt;first_year),SUMIFS(INDEX('Калькуляция (МИ корр)'!$AJ$25:$BC$315,,MATCH(BB$8,'Калькуляция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(МИ)'!$AJ$25:$BC$315,,MATCH(BB$8,'Калькуляция (МИ)'!$AJ$8:$BC$8,0)),'Калькуляция (МИ)'!$F$25:$F$315,$F67,'Калькуляция (МИ)'!$G$25:$G$315,$G67))))</f>
        <v>0</v>
      </c>
      <c r="BC67" s="1426">
        <f ca="1">IF(AND(method_reg="Метод индексации",god&lt;&gt;first_year),SUMIFS(INDEX('Калькуляция (МИ корр)'!$AJ$25:$BC$315,,MATCH(BC$8,'Калькуляция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(МИ)'!$AJ$25:$BC$315,,MATCH(BC$8,'Калькуляция (МИ)'!$AJ$8:$BC$8,0)),'Калькуляция (МИ)'!$F$25:$F$315,$F67,'Калькуляция (МИ)'!$G$25:$G$315,$G67))))</f>
        <v>0</v>
      </c>
      <c r="BD67" s="998">
        <f ca="1">IF(BB67=0,0,(BC67-BB67)/BB67*100)</f>
        <v>0</v>
      </c>
      <c r="BE67" s="1426">
        <f ca="1">IF(AND(method_reg="Метод индексации",god&lt;&gt;first_year),SUMIFS(INDEX('Калькуляция (МИ корр)'!$AJ$25:$BC$315,,MATCH(BE$8,'Калькуляция (МИ корр)'!$AJ$8:$BC$8,0)),'Калькуляция (МИ корр)'!$F$25:$F$315,$F67,'Калькуляция (МИ корр)'!$G$25:$G$315,$G67),IF(method_reg="Метод экономически обоснованных расходов",SUMIFS('Калькуляция (МЭОР)'!$AJ$25:$AJ$199,'Калькуляция (МЭОР)'!$F$25:$F$199,$F67,'Калькуляция (МЭОР)'!$G$25:$G$199,$G67),IF(method_reg="Метод сравнения аналогов",SUMIFS('Калькуляция (МСА)'!$AE$25:$AE$65,'Калькуляция (МСА)'!$F$25:$F$65,$F67,'Калькуляция (МСА)'!$G$25:$G$65,$G67),SUMIFS(INDEX('Калькуляция (МИ)'!$AJ$25:$BC$315,,MATCH(BE$8,'Калькуляция (МИ)'!$AJ$8:$BC$8,0)),'Калькуляция (МИ)'!$F$25:$F$315,$F67,'Калькуляция (МИ)'!$G$25:$G$315,$G67))))</f>
        <v>0</v>
      </c>
      <c r="BF67" s="1426">
        <f ca="1">IF(AND(method_reg="Метод индексации",god&lt;&gt;first_year),SUMIFS(INDEX('Калькуляция (МИ корр)'!$AJ$25:$BC$315,,MATCH(BF$8,'Калькуляция (МИ корр)'!$AJ$8:$BC$8,0)),'Калькуляция (МИ корр)'!$F$25:$F$315,$F67,'Калькуляция (МИ корр)'!$G$25:$G$315,$G67),IF(method_reg="Метод экономически обоснованных расходов",SUMIFS('Калькуляция (МЭОР)'!$AK$25:$AK$199,'Калькуляция (МЭОР)'!$F$25:$F$199,$F67,'Калькуляция (МЭОР)'!$G$25:$G$199,$G67),IF(method_reg="Метод сравнения аналогов",SUMIFS('Калькуляция (МСА)'!$AF$25:$AF$65,'Калькуляция (МСА)'!$F$25:$F$65,$F67,'Калькуляция (МСА)'!$G$25:$G$65,$G67),SUMIFS(INDEX('Калькуляция (МИ)'!$AJ$25:$BC$315,,MATCH(BF$8,'Калькуляция (МИ)'!$AJ$8:$BC$8,0)),'Калькуляция (МИ)'!$F$25:$F$315,$F67,'Калькуляция (МИ)'!$G$25:$G$315,$G67))))</f>
        <v>0</v>
      </c>
      <c r="BG67" s="998">
        <f ca="1">IF(BE67=0,0,(BF67-BE67)/BE67*100)</f>
        <v>0</v>
      </c>
      <c r="BH67" s="1426"/>
      <c r="BI67" s="1426"/>
      <c r="BJ67" s="998">
        <f>IF(BH67=0,0,(BI67-BH67)/BH67*100)</f>
        <v>0</v>
      </c>
      <c r="BK67" s="1426"/>
      <c r="BL67" s="1426"/>
      <c r="BM67" s="998">
        <f>IF(BK67=0,0,(BL67-BK67)/BK67*100)</f>
        <v>0</v>
      </c>
      <c r="BN67" s="1426"/>
      <c r="BO67" s="1426"/>
      <c r="BP67" s="998">
        <f>IF(BN67=0,0,(BO67-BN67)/BN67*100)</f>
        <v>0</v>
      </c>
      <c r="BQ67" s="1426"/>
      <c r="BR67" s="1426"/>
      <c r="BS67" s="998">
        <f>IF(BQ67=0,0,(BR67-BQ67)/BQ67*100)</f>
        <v>0</v>
      </c>
      <c r="BT67" s="1426"/>
      <c r="BU67" s="1426"/>
      <c r="BV67" s="998">
        <f>IF(BT67=0,0,(BU67-BT67)/BT67*100)</f>
        <v>0</v>
      </c>
      <c r="BW67" s="1426"/>
      <c r="BX67" s="1426"/>
      <c r="BY67" s="998">
        <f>IF(BW67=0,0,(BX67-BW67)/BW67*100)</f>
        <v>0</v>
      </c>
      <c r="BZ67" s="1426"/>
      <c r="CA67" s="1426"/>
      <c r="CB67" s="998">
        <f>IF(BZ67=0,0,(CA67-BZ67)/BZ67*100)</f>
        <v>0</v>
      </c>
      <c r="CC67" s="1426"/>
      <c r="CD67" s="1426"/>
      <c r="CE67" s="998">
        <f>IF(CC67=0,0,(CD67-CC67)/CC67*100)</f>
        <v>0</v>
      </c>
      <c r="CF67" s="1426"/>
      <c r="CG67" s="1426"/>
      <c r="CH67" s="998">
        <f>IF(CF67=0,0,(CG67-CF67)/CF67*100)</f>
        <v>0</v>
      </c>
      <c r="CI67" s="1426"/>
      <c r="CJ67" s="1426"/>
      <c r="CK67" s="998">
        <f>IF(CI67=0,0,(CJ67-CI67)/CI67*100)</f>
        <v>0</v>
      </c>
      <c r="CL67" s="1426"/>
      <c r="CM67" s="1426"/>
      <c r="CN67" s="998">
        <f>IF(CL67=0,0,(CM67-CL67)/CL67*100)</f>
        <v>0</v>
      </c>
      <c r="CO67" s="1426"/>
      <c r="CP67" s="1426"/>
      <c r="CQ67" s="998">
        <f>IF(CO67=0,0,(CP67-CO67)/CO67*100)</f>
        <v>0</v>
      </c>
      <c r="CR67" s="1426"/>
      <c r="CS67" s="1426"/>
      <c r="CT67" s="998">
        <f>IF(CR67=0,0,(CS67-CR67)/CR67*100)</f>
        <v>0</v>
      </c>
      <c r="CU67" s="1426"/>
      <c r="CV67" s="1426"/>
      <c r="CW67" s="998">
        <f>IF(CU67=0,0,(CV67-CU67)/CU67*100)</f>
        <v>0</v>
      </c>
      <c r="CX67" s="1426"/>
      <c r="CY67" s="1426"/>
      <c r="CZ67" s="998">
        <f>IF(CX67=0,0,(CY67-CX67)/CX67*100)</f>
        <v>0</v>
      </c>
      <c r="DA67" s="1426"/>
      <c r="DB67" s="1426"/>
      <c r="DC67" s="998">
        <f>IF(DA67=0,0,(DB67-DA67)/DA67*100)</f>
        <v>0</v>
      </c>
      <c r="DD67" s="1426"/>
      <c r="DE67" s="1426"/>
      <c r="DF67" s="998">
        <f>IF(DD67=0,0,(DE67-DD67)/DD67*100)</f>
        <v>0</v>
      </c>
      <c r="DG67" s="1426"/>
      <c r="DH67" s="1426"/>
      <c r="DI67" s="998">
        <f>IF(DG67=0,0,(DH67-DG67)/DG67*100)</f>
        <v>0</v>
      </c>
      <c r="DJ67" s="1426"/>
      <c r="DK67" s="1426"/>
      <c r="DL67" s="998">
        <f>IF(DJ67=0,0,(DK67-DJ67)/DJ67*100)</f>
        <v>0</v>
      </c>
      <c r="DM67" s="1426"/>
      <c r="DN67" s="1426"/>
      <c r="DO67" s="998">
        <f>IF(DM67=0,0,(DN67-DM67)/DM67*100)</f>
        <v>0</v>
      </c>
      <c r="DP67" s="1426"/>
      <c r="DQ67" s="1426"/>
      <c r="DR67" s="998">
        <f>IF(DP67=0,0,(DQ67-DP67)/DP67*100)</f>
        <v>0</v>
      </c>
      <c r="DS67" s="1426"/>
      <c r="DT67" s="1426"/>
      <c r="DU67" s="998">
        <f>IF(DS67=0,0,(DT67-DS67)/DS67*100)</f>
        <v>0</v>
      </c>
      <c r="DV67" s="1426"/>
      <c r="DW67" s="1426"/>
      <c r="DX67" s="998">
        <f>IF(DV67=0,0,(DW67-DV67)/DV67*100)</f>
        <v>0</v>
      </c>
      <c r="DY67" s="1426"/>
      <c r="DZ67" s="1426"/>
      <c r="EA67" s="998">
        <f>IF(DY67=0,0,(DZ67-DY67)/DY67*100)</f>
        <v>0</v>
      </c>
      <c r="EB67" s="1426"/>
      <c r="EC67" s="1426"/>
      <c r="ED67" s="998">
        <f>IF(EB67=0,0,(EC67-EB67)/EB67*100)</f>
        <v>0</v>
      </c>
      <c r="EE67" s="1426"/>
      <c r="EF67" s="1426"/>
      <c r="EG67" s="998">
        <f>IF(EE67=0,0,(EF67-EE67)/EE67*100)</f>
        <v>0</v>
      </c>
      <c r="EH67" s="1426"/>
      <c r="EI67" s="1426"/>
      <c r="EJ67" s="998">
        <f>IF(EH67=0,0,(EI67-EH67)/EH67*100)</f>
        <v>0</v>
      </c>
      <c r="EK67" s="1426"/>
      <c r="EL67" s="1426"/>
      <c r="EM67" s="998">
        <f>IF(EK67=0,0,(EL67-EK67)/EK67*100)</f>
        <v>0</v>
      </c>
      <c r="EN67" s="1426"/>
      <c r="EO67" s="1426"/>
      <c r="EP67" s="998">
        <f>IF(EN67=0,0,(EO67-EN67)/EN67*100)</f>
        <v>0</v>
      </c>
      <c r="EQ67" s="1426"/>
      <c r="ER67" s="1426"/>
      <c r="ES67" s="998">
        <f>IF(EQ67=0,0,(ER67-EQ67)/EQ67*100)</f>
        <v>0</v>
      </c>
      <c r="ET67" s="1426"/>
      <c r="EU67" s="1426"/>
      <c r="EV67" s="998">
        <f>IF(ET67=0,0,(EU67-ET67)/ET67*100)</f>
        <v>0</v>
      </c>
      <c r="EW67" s="1426"/>
      <c r="EX67" s="1426"/>
      <c r="EY67" s="998">
        <f>IF(EW67=0,0,(EX67-EW67)/EW67*100)</f>
        <v>0</v>
      </c>
      <c r="EZ67" s="1426"/>
      <c r="FA67" s="1426"/>
      <c r="FB67" s="998">
        <f>IF(EZ67=0,0,(FA67-EZ67)/EZ67*100)</f>
        <v>0</v>
      </c>
      <c r="FC67" s="1426"/>
      <c r="FD67" s="1426"/>
      <c r="FE67" s="998">
        <f>IF(FC67=0,0,(FD67-FC67)/FC67*100)</f>
        <v>0</v>
      </c>
      <c r="FF67" s="1426"/>
      <c r="FG67" s="1426"/>
      <c r="FH67" s="998">
        <f>IF(FF67=0,0,(FG67-FF67)/FF67*100)</f>
        <v>0</v>
      </c>
      <c r="FI67" s="1426"/>
      <c r="FJ67" s="1426"/>
      <c r="FK67" s="998">
        <f>IF(FI67=0,0,(FJ67-FI67)/FI67*100)</f>
        <v>0</v>
      </c>
      <c r="FL67" s="1426"/>
      <c r="FM67" s="1426"/>
      <c r="FN67" s="998">
        <f>IF(FL67=0,0,(FM67-FL67)/FL67*100)</f>
        <v>0</v>
      </c>
      <c r="FO67" s="1426"/>
      <c r="FP67" s="1426"/>
      <c r="FQ67" s="998">
        <f>IF(FO67=0,0,(FP67-FO67)/FO67*100)</f>
        <v>0</v>
      </c>
      <c r="FR67" s="1426"/>
      <c r="FS67" s="1426"/>
      <c r="FT67" s="998">
        <f>IF(FR67=0,0,(FS67-FR67)/FR67*100)</f>
        <v>0</v>
      </c>
      <c r="FU67" s="1426"/>
      <c r="FV67" s="1426"/>
      <c r="FW67" s="998">
        <f>IF(FU67=0,0,(FV67-FU67)/FU67*100)</f>
        <v>0</v>
      </c>
      <c r="FZ67" s="957" t="s">
        <v>1518</v>
      </c>
    </row>
    <row r="68" spans="1:186" ht="21.95" hidden="1" customHeight="1">
      <c r="A68" s="409"/>
      <c r="B68" s="830" t="b" cm="1">
        <f t="array" ref="B68">B67</f>
        <v>0</v>
      </c>
      <c r="C68" s="409"/>
      <c r="D68" s="409"/>
      <c r="E68" s="754">
        <v>22.5</v>
      </c>
      <c r="F68" s="3" cm="1">
        <f t="array" aca="1" ref="F68" ca="1">OFFSET(E68,-1,1)</f>
        <v>0</v>
      </c>
      <c r="G68" s="409"/>
      <c r="H68" s="409" t="s">
        <v>1493</v>
      </c>
      <c r="I68" s="409" t="s">
        <v>1471</v>
      </c>
      <c r="J68" s="409"/>
      <c r="K68" s="409"/>
      <c r="L68" s="409"/>
      <c r="M68" s="409"/>
      <c r="N68" s="409"/>
      <c r="O68" s="409"/>
      <c r="P68" s="409"/>
      <c r="Q68" s="409"/>
      <c r="R68" s="409"/>
      <c r="S68" s="409"/>
      <c r="T68" s="381" t="b" cm="1">
        <f t="array" aca="1" ref="T68" ca="1">T67</f>
        <v>0</v>
      </c>
      <c r="U68" s="409"/>
      <c r="V68" s="409"/>
      <c r="W68" s="409"/>
      <c r="X68" s="1787"/>
      <c r="Y68" s="409"/>
      <c r="Z68" s="1734"/>
      <c r="AA68" s="409"/>
      <c r="AB68" s="81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778" t="s">
        <v>1494</v>
      </c>
      <c r="AD68" s="1428"/>
      <c r="AE68" s="1428"/>
      <c r="AF68" s="996">
        <f>IF(AD68=0,0,(AE68-AD68)/AD68*100)</f>
        <v>0</v>
      </c>
      <c r="AG68" s="1428"/>
      <c r="AH68" s="1428"/>
      <c r="AI68" s="996">
        <f>IF(AG68=0,0,(AH68-AG68)/AG68*100)</f>
        <v>0</v>
      </c>
      <c r="AJ68" s="1428"/>
      <c r="AK68" s="1428"/>
      <c r="AL68" s="996">
        <f>IF(AJ68=0,0,(AK68-AJ68)/AJ68*100)</f>
        <v>0</v>
      </c>
      <c r="AM68" s="1428"/>
      <c r="AN68" s="1428"/>
      <c r="AO68" s="996">
        <f>IF(AM68=0,0,(AN68-AM68)/AM68*100)</f>
        <v>0</v>
      </c>
      <c r="AP68" s="1428"/>
      <c r="AQ68" s="1428"/>
      <c r="AR68" s="996">
        <f>IF(AP68=0,0,(AQ68-AP68)/AP68*100)</f>
        <v>0</v>
      </c>
      <c r="AS68" s="1428"/>
      <c r="AT68" s="1428"/>
      <c r="AU68" s="996">
        <f>IF(AS68=0,0,(AT68-AS68)/AS68*100)</f>
        <v>0</v>
      </c>
      <c r="AV68" s="1428"/>
      <c r="AW68" s="1428"/>
      <c r="AX68" s="996">
        <f>IF(AV68=0,0,(AW68-AV68)/AV68*100)</f>
        <v>0</v>
      </c>
      <c r="AY68" s="1428"/>
      <c r="AZ68" s="1428"/>
      <c r="BA68" s="996">
        <f>IF(AY68=0,0,(AZ68-AY68)/AY68*100)</f>
        <v>0</v>
      </c>
      <c r="BB68" s="1428"/>
      <c r="BC68" s="1428"/>
      <c r="BD68" s="996">
        <f>IF(BB68=0,0,(BC68-BB68)/BB68*100)</f>
        <v>0</v>
      </c>
      <c r="BE68" s="1428"/>
      <c r="BF68" s="1428"/>
      <c r="BG68" s="996">
        <f>IF(BE68=0,0,(BF68-BE68)/BE68*100)</f>
        <v>0</v>
      </c>
      <c r="BH68" s="1428"/>
      <c r="BI68" s="1428"/>
      <c r="BJ68" s="996">
        <f>IF(BH68=0,0,(BI68-BH68)/BH68*100)</f>
        <v>0</v>
      </c>
      <c r="BK68" s="1428"/>
      <c r="BL68" s="1428"/>
      <c r="BM68" s="996">
        <f>IF(BK68=0,0,(BL68-BK68)/BK68*100)</f>
        <v>0</v>
      </c>
      <c r="BN68" s="1428"/>
      <c r="BO68" s="1428"/>
      <c r="BP68" s="996">
        <f>IF(BN68=0,0,(BO68-BN68)/BN68*100)</f>
        <v>0</v>
      </c>
      <c r="BQ68" s="1428"/>
      <c r="BR68" s="1428"/>
      <c r="BS68" s="996">
        <f>IF(BQ68=0,0,(BR68-BQ68)/BQ68*100)</f>
        <v>0</v>
      </c>
      <c r="BT68" s="1428"/>
      <c r="BU68" s="1428"/>
      <c r="BV68" s="996">
        <f>IF(BT68=0,0,(BU68-BT68)/BT68*100)</f>
        <v>0</v>
      </c>
      <c r="BW68" s="1428"/>
      <c r="BX68" s="1428"/>
      <c r="BY68" s="996">
        <f>IF(BW68=0,0,(BX68-BW68)/BW68*100)</f>
        <v>0</v>
      </c>
      <c r="BZ68" s="1428"/>
      <c r="CA68" s="1428"/>
      <c r="CB68" s="996">
        <f>IF(BZ68=0,0,(CA68-BZ68)/BZ68*100)</f>
        <v>0</v>
      </c>
      <c r="CC68" s="1428"/>
      <c r="CD68" s="1428"/>
      <c r="CE68" s="996">
        <f>IF(CC68=0,0,(CD68-CC68)/CC68*100)</f>
        <v>0</v>
      </c>
      <c r="CF68" s="1428"/>
      <c r="CG68" s="1428"/>
      <c r="CH68" s="996">
        <f>IF(CF68=0,0,(CG68-CF68)/CF68*100)</f>
        <v>0</v>
      </c>
      <c r="CI68" s="1428"/>
      <c r="CJ68" s="1428"/>
      <c r="CK68" s="996">
        <f>IF(CI68=0,0,(CJ68-CI68)/CI68*100)</f>
        <v>0</v>
      </c>
      <c r="CL68" s="1428"/>
      <c r="CM68" s="1428"/>
      <c r="CN68" s="996">
        <f>IF(CL68=0,0,(CM68-CL68)/CL68*100)</f>
        <v>0</v>
      </c>
      <c r="CO68" s="1428"/>
      <c r="CP68" s="1428"/>
      <c r="CQ68" s="996">
        <f>IF(CO68=0,0,(CP68-CO68)/CO68*100)</f>
        <v>0</v>
      </c>
      <c r="CR68" s="1428"/>
      <c r="CS68" s="1428"/>
      <c r="CT68" s="996">
        <f>IF(CR68=0,0,(CS68-CR68)/CR68*100)</f>
        <v>0</v>
      </c>
      <c r="CU68" s="1428"/>
      <c r="CV68" s="1428"/>
      <c r="CW68" s="996">
        <f>IF(CU68=0,0,(CV68-CU68)/CU68*100)</f>
        <v>0</v>
      </c>
      <c r="CX68" s="1428"/>
      <c r="CY68" s="1428"/>
      <c r="CZ68" s="996">
        <f>IF(CX68=0,0,(CY68-CX68)/CX68*100)</f>
        <v>0</v>
      </c>
      <c r="DA68" s="1428"/>
      <c r="DB68" s="1428"/>
      <c r="DC68" s="996">
        <f>IF(DA68=0,0,(DB68-DA68)/DA68*100)</f>
        <v>0</v>
      </c>
      <c r="DD68" s="1428"/>
      <c r="DE68" s="1428"/>
      <c r="DF68" s="996">
        <f>IF(DD68=0,0,(DE68-DD68)/DD68*100)</f>
        <v>0</v>
      </c>
      <c r="DG68" s="1428"/>
      <c r="DH68" s="1428"/>
      <c r="DI68" s="996">
        <f>IF(DG68=0,0,(DH68-DG68)/DG68*100)</f>
        <v>0</v>
      </c>
      <c r="DJ68" s="1428"/>
      <c r="DK68" s="1428"/>
      <c r="DL68" s="996">
        <f>IF(DJ68=0,0,(DK68-DJ68)/DJ68*100)</f>
        <v>0</v>
      </c>
      <c r="DM68" s="1428"/>
      <c r="DN68" s="1428"/>
      <c r="DO68" s="996">
        <f>IF(DM68=0,0,(DN68-DM68)/DM68*100)</f>
        <v>0</v>
      </c>
      <c r="DP68" s="1428"/>
      <c r="DQ68" s="1428"/>
      <c r="DR68" s="996">
        <f>IF(DP68=0,0,(DQ68-DP68)/DP68*100)</f>
        <v>0</v>
      </c>
      <c r="DS68" s="1428"/>
      <c r="DT68" s="1428"/>
      <c r="DU68" s="996">
        <f>IF(DS68=0,0,(DT68-DS68)/DS68*100)</f>
        <v>0</v>
      </c>
      <c r="DV68" s="1428"/>
      <c r="DW68" s="1428"/>
      <c r="DX68" s="996">
        <f>IF(DV68=0,0,(DW68-DV68)/DV68*100)</f>
        <v>0</v>
      </c>
      <c r="DY68" s="1428"/>
      <c r="DZ68" s="1428"/>
      <c r="EA68" s="996">
        <f>IF(DY68=0,0,(DZ68-DY68)/DY68*100)</f>
        <v>0</v>
      </c>
      <c r="EB68" s="1428"/>
      <c r="EC68" s="1428"/>
      <c r="ED68" s="996">
        <f>IF(EB68=0,0,(EC68-EB68)/EB68*100)</f>
        <v>0</v>
      </c>
      <c r="EE68" s="1428"/>
      <c r="EF68" s="1428"/>
      <c r="EG68" s="996">
        <f>IF(EE68=0,0,(EF68-EE68)/EE68*100)</f>
        <v>0</v>
      </c>
      <c r="EH68" s="1428"/>
      <c r="EI68" s="1428"/>
      <c r="EJ68" s="996">
        <f>IF(EH68=0,0,(EI68-EH68)/EH68*100)</f>
        <v>0</v>
      </c>
      <c r="EK68" s="1428"/>
      <c r="EL68" s="1428"/>
      <c r="EM68" s="996">
        <f>IF(EK68=0,0,(EL68-EK68)/EK68*100)</f>
        <v>0</v>
      </c>
      <c r="EN68" s="1428"/>
      <c r="EO68" s="1428"/>
      <c r="EP68" s="996">
        <f>IF(EN68=0,0,(EO68-EN68)/EN68*100)</f>
        <v>0</v>
      </c>
      <c r="EQ68" s="1428"/>
      <c r="ER68" s="1428"/>
      <c r="ES68" s="996">
        <f>IF(EQ68=0,0,(ER68-EQ68)/EQ68*100)</f>
        <v>0</v>
      </c>
      <c r="ET68" s="1428"/>
      <c r="EU68" s="1428"/>
      <c r="EV68" s="996">
        <f>IF(ET68=0,0,(EU68-ET68)/ET68*100)</f>
        <v>0</v>
      </c>
      <c r="EW68" s="1428"/>
      <c r="EX68" s="1428"/>
      <c r="EY68" s="996">
        <f>IF(EW68=0,0,(EX68-EW68)/EW68*100)</f>
        <v>0</v>
      </c>
      <c r="EZ68" s="1428"/>
      <c r="FA68" s="1428"/>
      <c r="FB68" s="996">
        <f>IF(EZ68=0,0,(FA68-EZ68)/EZ68*100)</f>
        <v>0</v>
      </c>
      <c r="FC68" s="1428"/>
      <c r="FD68" s="1428"/>
      <c r="FE68" s="996">
        <f>IF(FC68=0,0,(FD68-FC68)/FC68*100)</f>
        <v>0</v>
      </c>
      <c r="FF68" s="1428"/>
      <c r="FG68" s="1428"/>
      <c r="FH68" s="996">
        <f>IF(FF68=0,0,(FG68-FF68)/FF68*100)</f>
        <v>0</v>
      </c>
      <c r="FI68" s="1428"/>
      <c r="FJ68" s="1428"/>
      <c r="FK68" s="996">
        <f>IF(FI68=0,0,(FJ68-FI68)/FI68*100)</f>
        <v>0</v>
      </c>
      <c r="FL68" s="1428"/>
      <c r="FM68" s="1428"/>
      <c r="FN68" s="996">
        <f>IF(FL68=0,0,(FM68-FL68)/FL68*100)</f>
        <v>0</v>
      </c>
      <c r="FO68" s="1428"/>
      <c r="FP68" s="1428"/>
      <c r="FQ68" s="996">
        <f>IF(FO68=0,0,(FP68-FO68)/FO68*100)</f>
        <v>0</v>
      </c>
      <c r="FR68" s="1428"/>
      <c r="FS68" s="1428"/>
      <c r="FT68" s="996">
        <f>IF(FR68=0,0,(FS68-FR68)/FR68*100)</f>
        <v>0</v>
      </c>
      <c r="FU68" s="1428"/>
      <c r="FV68" s="1428"/>
      <c r="FW68" s="996">
        <f>IF(FU68=0,0,(FV68-FU68)/FU68*100)</f>
        <v>0</v>
      </c>
      <c r="FZ68" s="957" t="s">
        <v>1519</v>
      </c>
    </row>
    <row r="69" spans="1:186" ht="14.65" hidden="1" customHeight="1">
      <c r="A69" s="409"/>
      <c r="B69" s="830" t="b" cm="1">
        <f t="array" ref="B69">B68</f>
        <v>0</v>
      </c>
      <c r="C69" s="409"/>
      <c r="D69" s="409"/>
      <c r="E69" s="754">
        <v>15</v>
      </c>
      <c r="F69" s="3" cm="1">
        <f t="array" aca="1" ref="F69" ca="1">OFFSET(E69,-1,1)</f>
        <v>0</v>
      </c>
      <c r="G69" s="409"/>
      <c r="H69" s="409" t="s">
        <v>1496</v>
      </c>
      <c r="I69" s="409" t="s">
        <v>1471</v>
      </c>
      <c r="J69" s="409"/>
      <c r="K69" s="409"/>
      <c r="L69" s="409"/>
      <c r="M69" s="409"/>
      <c r="N69" s="409"/>
      <c r="O69" s="409"/>
      <c r="P69" s="409"/>
      <c r="Q69" s="409"/>
      <c r="R69" s="409"/>
      <c r="S69" s="409"/>
      <c r="T69" s="381" t="b" cm="1">
        <f t="array" aca="1" ref="T69" ca="1">T68</f>
        <v>0</v>
      </c>
      <c r="U69" s="409"/>
      <c r="V69" s="409"/>
      <c r="W69" s="409"/>
      <c r="X69" s="1787"/>
      <c r="Y69" s="409"/>
      <c r="Z69" s="1734"/>
      <c r="AA69" s="409"/>
      <c r="AB69" s="811" t="s">
        <v>1497</v>
      </c>
      <c r="AC69" s="778" t="s">
        <v>1498</v>
      </c>
      <c r="AD69" s="1428"/>
      <c r="AE69" s="1428"/>
      <c r="AF69" s="996">
        <f>IF(AD69=0,0,(AE69-AD69)/AD69*100)</f>
        <v>0</v>
      </c>
      <c r="AG69" s="1428"/>
      <c r="AH69" s="1428"/>
      <c r="AI69" s="996">
        <f>IF(AG69=0,0,(AH69-AG69)/AG69*100)</f>
        <v>0</v>
      </c>
      <c r="AJ69" s="1428"/>
      <c r="AK69" s="1428"/>
      <c r="AL69" s="996">
        <f>IF(AJ69=0,0,(AK69-AJ69)/AJ69*100)</f>
        <v>0</v>
      </c>
      <c r="AM69" s="1428"/>
      <c r="AN69" s="1428"/>
      <c r="AO69" s="996">
        <f>IF(AM69=0,0,(AN69-AM69)/AM69*100)</f>
        <v>0</v>
      </c>
      <c r="AP69" s="1428"/>
      <c r="AQ69" s="1428"/>
      <c r="AR69" s="996">
        <f>IF(AP69=0,0,(AQ69-AP69)/AP69*100)</f>
        <v>0</v>
      </c>
      <c r="AS69" s="1428"/>
      <c r="AT69" s="1428"/>
      <c r="AU69" s="996">
        <f>IF(AS69=0,0,(AT69-AS69)/AS69*100)</f>
        <v>0</v>
      </c>
      <c r="AV69" s="1428"/>
      <c r="AW69" s="1428"/>
      <c r="AX69" s="996">
        <f>IF(AV69=0,0,(AW69-AV69)/AV69*100)</f>
        <v>0</v>
      </c>
      <c r="AY69" s="1428"/>
      <c r="AZ69" s="1428"/>
      <c r="BA69" s="996">
        <f>IF(AY69=0,0,(AZ69-AY69)/AY69*100)</f>
        <v>0</v>
      </c>
      <c r="BB69" s="1428"/>
      <c r="BC69" s="1428"/>
      <c r="BD69" s="996">
        <f>IF(BB69=0,0,(BC69-BB69)/BB69*100)</f>
        <v>0</v>
      </c>
      <c r="BE69" s="1428"/>
      <c r="BF69" s="1428"/>
      <c r="BG69" s="996">
        <f>IF(BE69=0,0,(BF69-BE69)/BE69*100)</f>
        <v>0</v>
      </c>
      <c r="BH69" s="1428"/>
      <c r="BI69" s="1428"/>
      <c r="BJ69" s="996">
        <f>IF(BH69=0,0,(BI69-BH69)/BH69*100)</f>
        <v>0</v>
      </c>
      <c r="BK69" s="1428"/>
      <c r="BL69" s="1428"/>
      <c r="BM69" s="996">
        <f>IF(BK69=0,0,(BL69-BK69)/BK69*100)</f>
        <v>0</v>
      </c>
      <c r="BN69" s="1428"/>
      <c r="BO69" s="1428"/>
      <c r="BP69" s="996">
        <f>IF(BN69=0,0,(BO69-BN69)/BN69*100)</f>
        <v>0</v>
      </c>
      <c r="BQ69" s="1428"/>
      <c r="BR69" s="1428"/>
      <c r="BS69" s="996">
        <f>IF(BQ69=0,0,(BR69-BQ69)/BQ69*100)</f>
        <v>0</v>
      </c>
      <c r="BT69" s="1428"/>
      <c r="BU69" s="1428"/>
      <c r="BV69" s="996">
        <f>IF(BT69=0,0,(BU69-BT69)/BT69*100)</f>
        <v>0</v>
      </c>
      <c r="BW69" s="1428"/>
      <c r="BX69" s="1428"/>
      <c r="BY69" s="996">
        <f>IF(BW69=0,0,(BX69-BW69)/BW69*100)</f>
        <v>0</v>
      </c>
      <c r="BZ69" s="1428"/>
      <c r="CA69" s="1428"/>
      <c r="CB69" s="996">
        <f>IF(BZ69=0,0,(CA69-BZ69)/BZ69*100)</f>
        <v>0</v>
      </c>
      <c r="CC69" s="1428"/>
      <c r="CD69" s="1428"/>
      <c r="CE69" s="996">
        <f>IF(CC69=0,0,(CD69-CC69)/CC69*100)</f>
        <v>0</v>
      </c>
      <c r="CF69" s="1428"/>
      <c r="CG69" s="1428"/>
      <c r="CH69" s="996">
        <f>IF(CF69=0,0,(CG69-CF69)/CF69*100)</f>
        <v>0</v>
      </c>
      <c r="CI69" s="1428"/>
      <c r="CJ69" s="1428"/>
      <c r="CK69" s="996">
        <f>IF(CI69=0,0,(CJ69-CI69)/CI69*100)</f>
        <v>0</v>
      </c>
      <c r="CL69" s="1428"/>
      <c r="CM69" s="1428"/>
      <c r="CN69" s="996">
        <f>IF(CL69=0,0,(CM69-CL69)/CL69*100)</f>
        <v>0</v>
      </c>
      <c r="CO69" s="1428"/>
      <c r="CP69" s="1428"/>
      <c r="CQ69" s="996">
        <f>IF(CO69=0,0,(CP69-CO69)/CO69*100)</f>
        <v>0</v>
      </c>
      <c r="CR69" s="1428"/>
      <c r="CS69" s="1428"/>
      <c r="CT69" s="996">
        <f>IF(CR69=0,0,(CS69-CR69)/CR69*100)</f>
        <v>0</v>
      </c>
      <c r="CU69" s="1428"/>
      <c r="CV69" s="1428"/>
      <c r="CW69" s="996">
        <f>IF(CU69=0,0,(CV69-CU69)/CU69*100)</f>
        <v>0</v>
      </c>
      <c r="CX69" s="1428"/>
      <c r="CY69" s="1428"/>
      <c r="CZ69" s="996">
        <f>IF(CX69=0,0,(CY69-CX69)/CX69*100)</f>
        <v>0</v>
      </c>
      <c r="DA69" s="1428"/>
      <c r="DB69" s="1428"/>
      <c r="DC69" s="996">
        <f>IF(DA69=0,0,(DB69-DA69)/DA69*100)</f>
        <v>0</v>
      </c>
      <c r="DD69" s="1428"/>
      <c r="DE69" s="1428"/>
      <c r="DF69" s="996">
        <f>IF(DD69=0,0,(DE69-DD69)/DD69*100)</f>
        <v>0</v>
      </c>
      <c r="DG69" s="1428"/>
      <c r="DH69" s="1428"/>
      <c r="DI69" s="996">
        <f>IF(DG69=0,0,(DH69-DG69)/DG69*100)</f>
        <v>0</v>
      </c>
      <c r="DJ69" s="1428"/>
      <c r="DK69" s="1428"/>
      <c r="DL69" s="996">
        <f>IF(DJ69=0,0,(DK69-DJ69)/DJ69*100)</f>
        <v>0</v>
      </c>
      <c r="DM69" s="1428"/>
      <c r="DN69" s="1428"/>
      <c r="DO69" s="996">
        <f>IF(DM69=0,0,(DN69-DM69)/DM69*100)</f>
        <v>0</v>
      </c>
      <c r="DP69" s="1428"/>
      <c r="DQ69" s="1428"/>
      <c r="DR69" s="996">
        <f>IF(DP69=0,0,(DQ69-DP69)/DP69*100)</f>
        <v>0</v>
      </c>
      <c r="DS69" s="1428"/>
      <c r="DT69" s="1428"/>
      <c r="DU69" s="996">
        <f>IF(DS69=0,0,(DT69-DS69)/DS69*100)</f>
        <v>0</v>
      </c>
      <c r="DV69" s="1428"/>
      <c r="DW69" s="1428"/>
      <c r="DX69" s="996">
        <f>IF(DV69=0,0,(DW69-DV69)/DV69*100)</f>
        <v>0</v>
      </c>
      <c r="DY69" s="1428"/>
      <c r="DZ69" s="1428"/>
      <c r="EA69" s="996">
        <f>IF(DY69=0,0,(DZ69-DY69)/DY69*100)</f>
        <v>0</v>
      </c>
      <c r="EB69" s="1428"/>
      <c r="EC69" s="1428"/>
      <c r="ED69" s="996">
        <f>IF(EB69=0,0,(EC69-EB69)/EB69*100)</f>
        <v>0</v>
      </c>
      <c r="EE69" s="1428"/>
      <c r="EF69" s="1428"/>
      <c r="EG69" s="996">
        <f>IF(EE69=0,0,(EF69-EE69)/EE69*100)</f>
        <v>0</v>
      </c>
      <c r="EH69" s="1428"/>
      <c r="EI69" s="1428"/>
      <c r="EJ69" s="996">
        <f>IF(EH69=0,0,(EI69-EH69)/EH69*100)</f>
        <v>0</v>
      </c>
      <c r="EK69" s="1428"/>
      <c r="EL69" s="1428"/>
      <c r="EM69" s="996">
        <f>IF(EK69=0,0,(EL69-EK69)/EK69*100)</f>
        <v>0</v>
      </c>
      <c r="EN69" s="1428"/>
      <c r="EO69" s="1428"/>
      <c r="EP69" s="996">
        <f>IF(EN69=0,0,(EO69-EN69)/EN69*100)</f>
        <v>0</v>
      </c>
      <c r="EQ69" s="1428"/>
      <c r="ER69" s="1428"/>
      <c r="ES69" s="996">
        <f>IF(EQ69=0,0,(ER69-EQ69)/EQ69*100)</f>
        <v>0</v>
      </c>
      <c r="ET69" s="1428"/>
      <c r="EU69" s="1428"/>
      <c r="EV69" s="996">
        <f>IF(ET69=0,0,(EU69-ET69)/ET69*100)</f>
        <v>0</v>
      </c>
      <c r="EW69" s="1428"/>
      <c r="EX69" s="1428"/>
      <c r="EY69" s="996">
        <f>IF(EW69=0,0,(EX69-EW69)/EW69*100)</f>
        <v>0</v>
      </c>
      <c r="EZ69" s="1428"/>
      <c r="FA69" s="1428"/>
      <c r="FB69" s="996">
        <f>IF(EZ69=0,0,(FA69-EZ69)/EZ69*100)</f>
        <v>0</v>
      </c>
      <c r="FC69" s="1428"/>
      <c r="FD69" s="1428"/>
      <c r="FE69" s="996">
        <f>IF(FC69=0,0,(FD69-FC69)/FC69*100)</f>
        <v>0</v>
      </c>
      <c r="FF69" s="1428"/>
      <c r="FG69" s="1428"/>
      <c r="FH69" s="996">
        <f>IF(FF69=0,0,(FG69-FF69)/FF69*100)</f>
        <v>0</v>
      </c>
      <c r="FI69" s="1428"/>
      <c r="FJ69" s="1428"/>
      <c r="FK69" s="996">
        <f>IF(FI69=0,0,(FJ69-FI69)/FI69*100)</f>
        <v>0</v>
      </c>
      <c r="FL69" s="1428"/>
      <c r="FM69" s="1428"/>
      <c r="FN69" s="996">
        <f>IF(FL69=0,0,(FM69-FL69)/FL69*100)</f>
        <v>0</v>
      </c>
      <c r="FO69" s="1428"/>
      <c r="FP69" s="1428"/>
      <c r="FQ69" s="996">
        <f>IF(FO69=0,0,(FP69-FO69)/FO69*100)</f>
        <v>0</v>
      </c>
      <c r="FR69" s="1428"/>
      <c r="FS69" s="1428"/>
      <c r="FT69" s="996">
        <f>IF(FR69=0,0,(FS69-FR69)/FR69*100)</f>
        <v>0</v>
      </c>
      <c r="FU69" s="1428"/>
      <c r="FV69" s="1428"/>
      <c r="FW69" s="996">
        <f>IF(FU69=0,0,(FV69-FU69)/FU69*100)</f>
        <v>0</v>
      </c>
      <c r="FZ69" s="957" t="s">
        <v>1520</v>
      </c>
    </row>
    <row r="70" spans="1:186" ht="18.2" hidden="1" customHeight="1">
      <c r="A70" s="409"/>
      <c r="B70" s="830" t="b" cm="1">
        <f t="array" ref="B70">B69</f>
        <v>0</v>
      </c>
      <c r="C70" s="409"/>
      <c r="D70" s="409"/>
      <c r="E70" s="754">
        <v>18.75</v>
      </c>
      <c r="F70" s="3" cm="1">
        <f t="array" aca="1" ref="F70" ca="1">OFFSET(E70,-1,1)</f>
        <v>0</v>
      </c>
      <c r="G70" s="409"/>
      <c r="H70" s="409"/>
      <c r="I70" s="409"/>
      <c r="J70" s="409"/>
      <c r="K70" s="409"/>
      <c r="L70" s="409"/>
      <c r="M70" s="409"/>
      <c r="N70" s="409"/>
      <c r="O70" s="409"/>
      <c r="P70" s="409"/>
      <c r="Q70" s="409"/>
      <c r="R70" s="409"/>
      <c r="S70" s="409"/>
      <c r="T70" s="381" t="b">
        <f ca="1">AND(F70&gt;0,Y70&gt;0)</f>
        <v>0</v>
      </c>
      <c r="U70" s="409"/>
      <c r="V70" s="409"/>
      <c r="W70" s="409" t="s">
        <v>173</v>
      </c>
      <c r="X70" s="1787"/>
      <c r="Y70" s="1787">
        <v>0</v>
      </c>
      <c r="Z70" s="1734"/>
      <c r="AA70" s="1681" t="s">
        <v>174</v>
      </c>
      <c r="AB70" s="1427"/>
      <c r="AC70" s="779"/>
      <c r="AD70" s="1006"/>
      <c r="AE70" s="1007"/>
      <c r="AF70" s="1007"/>
      <c r="AG70" s="1006"/>
      <c r="AH70" s="1007"/>
      <c r="AI70" s="1007"/>
      <c r="AJ70" s="1006"/>
      <c r="AK70" s="1007"/>
      <c r="AL70" s="1007"/>
      <c r="AM70" s="1006"/>
      <c r="AN70" s="1007"/>
      <c r="AO70" s="1007"/>
      <c r="AP70" s="1006"/>
      <c r="AQ70" s="1007"/>
      <c r="AR70" s="1007"/>
      <c r="AS70" s="1006"/>
      <c r="AT70" s="1007"/>
      <c r="AU70" s="1007"/>
      <c r="AV70" s="1006"/>
      <c r="AW70" s="1007"/>
      <c r="AX70" s="1007"/>
      <c r="AY70" s="1006"/>
      <c r="AZ70" s="1007"/>
      <c r="BA70" s="1007"/>
      <c r="BB70" s="1006"/>
      <c r="BC70" s="1007"/>
      <c r="BD70" s="1007"/>
      <c r="BE70" s="1006"/>
      <c r="BF70" s="1007"/>
      <c r="BG70" s="1007"/>
      <c r="BH70" s="1006"/>
      <c r="BI70" s="1007"/>
      <c r="BJ70" s="1007"/>
      <c r="BK70" s="1006"/>
      <c r="BL70" s="1007"/>
      <c r="BM70" s="1007"/>
      <c r="BN70" s="1006"/>
      <c r="BO70" s="1007"/>
      <c r="BP70" s="1007"/>
      <c r="BQ70" s="1006"/>
      <c r="BR70" s="1007"/>
      <c r="BS70" s="1007"/>
      <c r="BT70" s="1006"/>
      <c r="BU70" s="1007"/>
      <c r="BV70" s="1007"/>
      <c r="BW70" s="1006"/>
      <c r="BX70" s="1007"/>
      <c r="BY70" s="1007"/>
      <c r="BZ70" s="1006"/>
      <c r="CA70" s="1007"/>
      <c r="CB70" s="1007"/>
      <c r="CC70" s="1006"/>
      <c r="CD70" s="1007"/>
      <c r="CE70" s="1007"/>
      <c r="CF70" s="1006"/>
      <c r="CG70" s="1007"/>
      <c r="CH70" s="1007"/>
      <c r="CI70" s="1006"/>
      <c r="CJ70" s="1007"/>
      <c r="CK70" s="1007"/>
      <c r="CL70" s="1006"/>
      <c r="CM70" s="1007"/>
      <c r="CN70" s="1007"/>
      <c r="CO70" s="1006"/>
      <c r="CP70" s="1007"/>
      <c r="CQ70" s="1007"/>
      <c r="CR70" s="1006"/>
      <c r="CS70" s="1007"/>
      <c r="CT70" s="1007"/>
      <c r="CU70" s="1006"/>
      <c r="CV70" s="1007"/>
      <c r="CW70" s="1007"/>
      <c r="CX70" s="1006"/>
      <c r="CY70" s="1007"/>
      <c r="CZ70" s="1007"/>
      <c r="DA70" s="1006"/>
      <c r="DB70" s="1007"/>
      <c r="DC70" s="1007"/>
      <c r="DD70" s="1006"/>
      <c r="DE70" s="1007"/>
      <c r="DF70" s="1007"/>
      <c r="DG70" s="1006"/>
      <c r="DH70" s="1007"/>
      <c r="DI70" s="1007"/>
      <c r="DJ70" s="1006"/>
      <c r="DK70" s="1007"/>
      <c r="DL70" s="1007"/>
      <c r="DM70" s="1006"/>
      <c r="DN70" s="1007"/>
      <c r="DO70" s="1007"/>
      <c r="DP70" s="1006"/>
      <c r="DQ70" s="1007"/>
      <c r="DR70" s="1007"/>
      <c r="DS70" s="1006"/>
      <c r="DT70" s="1007"/>
      <c r="DU70" s="1007"/>
      <c r="DV70" s="1006"/>
      <c r="DW70" s="1007"/>
      <c r="DX70" s="1007"/>
      <c r="DY70" s="1006"/>
      <c r="DZ70" s="1007"/>
      <c r="EA70" s="1007"/>
      <c r="EB70" s="1006"/>
      <c r="EC70" s="1007"/>
      <c r="ED70" s="1007"/>
      <c r="EE70" s="1006"/>
      <c r="EF70" s="1007"/>
      <c r="EG70" s="1007"/>
      <c r="EH70" s="1006"/>
      <c r="EI70" s="1007"/>
      <c r="EJ70" s="1007"/>
      <c r="EK70" s="1006"/>
      <c r="EL70" s="1007"/>
      <c r="EM70" s="1007"/>
      <c r="EN70" s="1006"/>
      <c r="EO70" s="1007"/>
      <c r="EP70" s="1007"/>
      <c r="EQ70" s="1006"/>
      <c r="ER70" s="1007"/>
      <c r="ES70" s="1007"/>
      <c r="ET70" s="1006"/>
      <c r="EU70" s="1007"/>
      <c r="EV70" s="1007"/>
      <c r="EW70" s="1006"/>
      <c r="EX70" s="1007"/>
      <c r="EY70" s="1007"/>
      <c r="EZ70" s="1006"/>
      <c r="FA70" s="1007"/>
      <c r="FB70" s="1007"/>
      <c r="FC70" s="1006"/>
      <c r="FD70" s="1007"/>
      <c r="FE70" s="1007"/>
      <c r="FF70" s="1006"/>
      <c r="FG70" s="1007"/>
      <c r="FH70" s="1007"/>
      <c r="FI70" s="1006"/>
      <c r="FJ70" s="1007"/>
      <c r="FK70" s="1007"/>
      <c r="FL70" s="1006"/>
      <c r="FM70" s="1007"/>
      <c r="FN70" s="1007"/>
      <c r="FO70" s="1006"/>
      <c r="FP70" s="1007"/>
      <c r="FQ70" s="1007"/>
      <c r="FR70" s="1006"/>
      <c r="FS70" s="1007"/>
      <c r="FT70" s="1007"/>
      <c r="FU70" s="1006"/>
      <c r="FV70" s="1007"/>
      <c r="FW70" s="1008"/>
      <c r="FZ70" s="957"/>
      <c r="GD70" s="549" t="b">
        <v>1</v>
      </c>
    </row>
    <row r="71" spans="1:186" ht="14.65" hidden="1" customHeight="1">
      <c r="A71" s="409"/>
      <c r="B71" s="830" t="b" cm="1">
        <f t="array" ref="B71">B70</f>
        <v>0</v>
      </c>
      <c r="C71" s="409"/>
      <c r="D71" s="409"/>
      <c r="E71" s="754">
        <v>15</v>
      </c>
      <c r="F71" s="3" cm="1">
        <f t="array" aca="1" ref="F71" ca="1">OFFSET(E71,-1,1)</f>
        <v>0</v>
      </c>
      <c r="G71" s="409"/>
      <c r="H71" s="409" t="s">
        <v>1412</v>
      </c>
      <c r="I71" s="409" cm="1">
        <f t="array" ref="I71">AB70</f>
        <v>0</v>
      </c>
      <c r="J71" s="409"/>
      <c r="K71" s="409"/>
      <c r="L71" s="409"/>
      <c r="M71" s="409"/>
      <c r="N71" s="409"/>
      <c r="O71" s="409"/>
      <c r="P71" s="409"/>
      <c r="Q71" s="409"/>
      <c r="R71" s="409"/>
      <c r="S71" s="409"/>
      <c r="T71" s="381" t="b" cm="1">
        <f t="array" aca="1" ref="T71" ca="1">T70</f>
        <v>0</v>
      </c>
      <c r="U71" s="409"/>
      <c r="V71" s="409"/>
      <c r="W71" s="409"/>
      <c r="X71" s="1787"/>
      <c r="Y71" s="1787"/>
      <c r="Z71" s="1734"/>
      <c r="AA71" s="1681"/>
      <c r="AB71" s="811" t="s">
        <v>1487</v>
      </c>
      <c r="AC71" s="778" t="s">
        <v>1454</v>
      </c>
      <c r="AD71" s="1428">
        <f>IF(AD73=0,0,(AD72*AD73+AD74*AD75*IF(god=2026,3,6))/AD73)</f>
        <v>0</v>
      </c>
      <c r="AE71" s="1428">
        <f>IF(AE73=0,0,(AE72*AE73+AE74*AE75*IF(god=2026,3,6))/AE73)</f>
        <v>0</v>
      </c>
      <c r="AF71" s="996">
        <f>IF(AD71=0,0,(AE71-AD71)/AD71*100)</f>
        <v>0</v>
      </c>
      <c r="AG71" s="1428">
        <f>IF(AG73=0,0,(AG72*AG73+AG74*AG75*IF(god=2025,3,6))/AG73)</f>
        <v>0</v>
      </c>
      <c r="AH71" s="1428">
        <f>IF(AH73=0,0,(AH72*AH73+AH74*AH75*IF(god=2025,3,6))/AH73)</f>
        <v>0</v>
      </c>
      <c r="AI71" s="996">
        <f>IF(AG71=0,0,(AH71-AG71)/AG71*100)</f>
        <v>0</v>
      </c>
      <c r="AJ71" s="1428">
        <f>IF(AJ73=0,0,(AJ72*AJ73+AJ74*AJ75*6)/AJ73)</f>
        <v>0</v>
      </c>
      <c r="AK71" s="1428">
        <f>IF(AK73=0,0,(AK72*AK73+AK74*AK75*6)/AK73)</f>
        <v>0</v>
      </c>
      <c r="AL71" s="996">
        <f>IF(AJ71=0,0,(AK71-AJ71)/AJ71*100)</f>
        <v>0</v>
      </c>
      <c r="AM71" s="1428">
        <f>IF(AM73=0,0,(AM72*AM73+AM74*AM75*6)/AM73)</f>
        <v>0</v>
      </c>
      <c r="AN71" s="1428">
        <f>IF(AN73=0,0,(AN72*AN73+AN74*AN75*6)/AN73)</f>
        <v>0</v>
      </c>
      <c r="AO71" s="996">
        <f>IF(AM71=0,0,(AN71-AM71)/AM71*100)</f>
        <v>0</v>
      </c>
      <c r="AP71" s="1428">
        <f>IF(AP73=0,0,(AP72*AP73+AP74*AP75*6)/AP73)</f>
        <v>0</v>
      </c>
      <c r="AQ71" s="1428">
        <f>IF(AQ73=0,0,(AQ72*AQ73+AQ74*AQ75*6)/AQ73)</f>
        <v>0</v>
      </c>
      <c r="AR71" s="996">
        <f>IF(AP71=0,0,(AQ71-AP71)/AP71*100)</f>
        <v>0</v>
      </c>
      <c r="AS71" s="1428">
        <f>IF(AS73=0,0,(AS72*AS73+AS74*AS75*6)/AS73)</f>
        <v>0</v>
      </c>
      <c r="AT71" s="1428">
        <f>IF(AT73=0,0,(AT72*AT73+AT74*AT75*6)/AT73)</f>
        <v>0</v>
      </c>
      <c r="AU71" s="996">
        <f>IF(AS71=0,0,(AT71-AS71)/AS71*100)</f>
        <v>0</v>
      </c>
      <c r="AV71" s="1428">
        <f>IF(AV73=0,0,(AV72*AV73+AV74*AV75*6)/AV73)</f>
        <v>0</v>
      </c>
      <c r="AW71" s="1428">
        <f>IF(AW73=0,0,(AW72*AW73+AW74*AW75*6)/AW73)</f>
        <v>0</v>
      </c>
      <c r="AX71" s="996">
        <f>IF(AV71=0,0,(AW71-AV71)/AV71*100)</f>
        <v>0</v>
      </c>
      <c r="AY71" s="1428">
        <f>IF(AY73=0,0,(AY72*AY73+AY74*AY75*6)/AY73)</f>
        <v>0</v>
      </c>
      <c r="AZ71" s="1428">
        <f>IF(AZ73=0,0,(AZ72*AZ73+AZ74*AZ75*6)/AZ73)</f>
        <v>0</v>
      </c>
      <c r="BA71" s="996">
        <f>IF(AY71=0,0,(AZ71-AY71)/AY71*100)</f>
        <v>0</v>
      </c>
      <c r="BB71" s="1428">
        <f>IF(BB73=0,0,(BB72*BB73+BB74*BB75*6)/BB73)</f>
        <v>0</v>
      </c>
      <c r="BC71" s="1428">
        <f>IF(BC73=0,0,(BC72*BC73+BC74*BC75*6)/BC73)</f>
        <v>0</v>
      </c>
      <c r="BD71" s="996">
        <f>IF(BB71=0,0,(BC71-BB71)/BB71*100)</f>
        <v>0</v>
      </c>
      <c r="BE71" s="1428">
        <f>IF(BE73=0,0,(BE72*BE73+BE74*BE75*6)/BE73)</f>
        <v>0</v>
      </c>
      <c r="BF71" s="1428">
        <f>IF(BF73=0,0,(BF72*BF73+BF74*BF75*6)/BF73)</f>
        <v>0</v>
      </c>
      <c r="BG71" s="996">
        <f>IF(BE71=0,0,(BF71-BE71)/BE71*100)</f>
        <v>0</v>
      </c>
      <c r="BH71" s="1428">
        <f>IF(BH73=0,0,(BH72*BH73+BH74*BH75*6)/BH73)</f>
        <v>0</v>
      </c>
      <c r="BI71" s="1428">
        <f>IF(BI73=0,0,(BI72*BI73+BI74*BI75*6)/BI73)</f>
        <v>0</v>
      </c>
      <c r="BJ71" s="996">
        <f>IF(BH71=0,0,(BI71-BH71)/BH71*100)</f>
        <v>0</v>
      </c>
      <c r="BK71" s="1428">
        <f>IF(BK73=0,0,(BK72*BK73+BK74*BK75*6)/BK73)</f>
        <v>0</v>
      </c>
      <c r="BL71" s="1428">
        <f>IF(BL73=0,0,(BL72*BL73+BL74*BL75*6)/BL73)</f>
        <v>0</v>
      </c>
      <c r="BM71" s="996">
        <f>IF(BK71=0,0,(BL71-BK71)/BK71*100)</f>
        <v>0</v>
      </c>
      <c r="BN71" s="1428">
        <f>IF(BN73=0,0,(BN72*BN73+BN74*BN75*6)/BN73)</f>
        <v>0</v>
      </c>
      <c r="BO71" s="1428">
        <f>IF(BO73=0,0,(BO72*BO73+BO74*BO75*6)/BO73)</f>
        <v>0</v>
      </c>
      <c r="BP71" s="996">
        <f>IF(BN71=0,0,(BO71-BN71)/BN71*100)</f>
        <v>0</v>
      </c>
      <c r="BQ71" s="1428">
        <f>IF(BQ73=0,0,(BQ72*BQ73+BQ74*BQ75*6)/BQ73)</f>
        <v>0</v>
      </c>
      <c r="BR71" s="1428">
        <f>IF(BR73=0,0,(BR72*BR73+BR74*BR75*6)/BR73)</f>
        <v>0</v>
      </c>
      <c r="BS71" s="996">
        <f>IF(BQ71=0,0,(BR71-BQ71)/BQ71*100)</f>
        <v>0</v>
      </c>
      <c r="BT71" s="1428">
        <f>IF(BT73=0,0,(BT72*BT73+BT74*BT75*6)/BT73)</f>
        <v>0</v>
      </c>
      <c r="BU71" s="1428">
        <f>IF(BU73=0,0,(BU72*BU73+BU74*BU75*6)/BU73)</f>
        <v>0</v>
      </c>
      <c r="BV71" s="996">
        <f>IF(BT71=0,0,(BU71-BT71)/BT71*100)</f>
        <v>0</v>
      </c>
      <c r="BW71" s="1428">
        <f>IF(BW73=0,0,(BW72*BW73+BW74*BW75*6)/BW73)</f>
        <v>0</v>
      </c>
      <c r="BX71" s="1428">
        <f>IF(BX73=0,0,(BX72*BX73+BX74*BX75*6)/BX73)</f>
        <v>0</v>
      </c>
      <c r="BY71" s="996">
        <f>IF(BW71=0,0,(BX71-BW71)/BW71*100)</f>
        <v>0</v>
      </c>
      <c r="BZ71" s="1428">
        <f>IF(BZ73=0,0,(BZ72*BZ73+BZ74*BZ75*6)/BZ73)</f>
        <v>0</v>
      </c>
      <c r="CA71" s="1428">
        <f>IF(CA73=0,0,(CA72*CA73+CA74*CA75*6)/CA73)</f>
        <v>0</v>
      </c>
      <c r="CB71" s="996">
        <f>IF(BZ71=0,0,(CA71-BZ71)/BZ71*100)</f>
        <v>0</v>
      </c>
      <c r="CC71" s="1428">
        <f>IF(CC73=0,0,(CC72*CC73+CC74*CC75*6)/CC73)</f>
        <v>0</v>
      </c>
      <c r="CD71" s="1428">
        <f>IF(CD73=0,0,(CD72*CD73+CD74*CD75*6)/CD73)</f>
        <v>0</v>
      </c>
      <c r="CE71" s="996">
        <f>IF(CC71=0,0,(CD71-CC71)/CC71*100)</f>
        <v>0</v>
      </c>
      <c r="CF71" s="1428">
        <f>IF(CF73=0,0,(CF72*CF73+CF74*CF75*6)/CF73)</f>
        <v>0</v>
      </c>
      <c r="CG71" s="1428">
        <f>IF(CG73=0,0,(CG72*CG73+CG74*CG75*6)/CG73)</f>
        <v>0</v>
      </c>
      <c r="CH71" s="996">
        <f>IF(CF71=0,0,(CG71-CF71)/CF71*100)</f>
        <v>0</v>
      </c>
      <c r="CI71" s="1428">
        <f>IF(CI73=0,0,(CI72*CI73+CI74*CI75*6)/CI73)</f>
        <v>0</v>
      </c>
      <c r="CJ71" s="1428">
        <f>IF(CJ73=0,0,(CJ72*CJ73+CJ74*CJ75*6)/CJ73)</f>
        <v>0</v>
      </c>
      <c r="CK71" s="996">
        <f>IF(CI71=0,0,(CJ71-CI71)/CI71*100)</f>
        <v>0</v>
      </c>
      <c r="CL71" s="1428">
        <f>IF(CL73=0,0,(CL72*CL73+CL74*CL75*6)/CL73)</f>
        <v>0</v>
      </c>
      <c r="CM71" s="1428">
        <f>IF(CM73=0,0,(CM72*CM73+CM74*CM75*6)/CM73)</f>
        <v>0</v>
      </c>
      <c r="CN71" s="996">
        <f>IF(CL71=0,0,(CM71-CL71)/CL71*100)</f>
        <v>0</v>
      </c>
      <c r="CO71" s="1428">
        <f>IF(CO73=0,0,(CO72*CO73+CO74*CO75*6)/CO73)</f>
        <v>0</v>
      </c>
      <c r="CP71" s="1428">
        <f>IF(CP73=0,0,(CP72*CP73+CP74*CP75*6)/CP73)</f>
        <v>0</v>
      </c>
      <c r="CQ71" s="996">
        <f>IF(CO71=0,0,(CP71-CO71)/CO71*100)</f>
        <v>0</v>
      </c>
      <c r="CR71" s="1428">
        <f>IF(CR73=0,0,(CR72*CR73+CR74*CR75*6)/CR73)</f>
        <v>0</v>
      </c>
      <c r="CS71" s="1428">
        <f>IF(CS73=0,0,(CS72*CS73+CS74*CS75*6)/CS73)</f>
        <v>0</v>
      </c>
      <c r="CT71" s="996">
        <f>IF(CR71=0,0,(CS71-CR71)/CR71*100)</f>
        <v>0</v>
      </c>
      <c r="CU71" s="1428">
        <f>IF(CU73=0,0,(CU72*CU73+CU74*CU75*6)/CU73)</f>
        <v>0</v>
      </c>
      <c r="CV71" s="1428">
        <f>IF(CV73=0,0,(CV72*CV73+CV74*CV75*6)/CV73)</f>
        <v>0</v>
      </c>
      <c r="CW71" s="996">
        <f>IF(CU71=0,0,(CV71-CU71)/CU71*100)</f>
        <v>0</v>
      </c>
      <c r="CX71" s="1428">
        <f>IF(CX73=0,0,(CX72*CX73+CX74*CX75*6)/CX73)</f>
        <v>0</v>
      </c>
      <c r="CY71" s="1428">
        <f>IF(CY73=0,0,(CY72*CY73+CY74*CY75*6)/CY73)</f>
        <v>0</v>
      </c>
      <c r="CZ71" s="996">
        <f>IF(CX71=0,0,(CY71-CX71)/CX71*100)</f>
        <v>0</v>
      </c>
      <c r="DA71" s="1428">
        <f>IF(DA73=0,0,(DA72*DA73+DA74*DA75*6)/DA73)</f>
        <v>0</v>
      </c>
      <c r="DB71" s="1428">
        <f>IF(DB73=0,0,(DB72*DB73+DB74*DB75*6)/DB73)</f>
        <v>0</v>
      </c>
      <c r="DC71" s="996">
        <f>IF(DA71=0,0,(DB71-DA71)/DA71*100)</f>
        <v>0</v>
      </c>
      <c r="DD71" s="1428">
        <f>IF(DD73=0,0,(DD72*DD73+DD74*DD75*6)/DD73)</f>
        <v>0</v>
      </c>
      <c r="DE71" s="1428">
        <f>IF(DE73=0,0,(DE72*DE73+DE74*DE75*6)/DE73)</f>
        <v>0</v>
      </c>
      <c r="DF71" s="996">
        <f>IF(DD71=0,0,(DE71-DD71)/DD71*100)</f>
        <v>0</v>
      </c>
      <c r="DG71" s="1428">
        <f>IF(DG73=0,0,(DG72*DG73+DG74*DG75*6)/DG73)</f>
        <v>0</v>
      </c>
      <c r="DH71" s="1428">
        <f>IF(DH73=0,0,(DH72*DH73+DH74*DH75*6)/DH73)</f>
        <v>0</v>
      </c>
      <c r="DI71" s="996">
        <f>IF(DG71=0,0,(DH71-DG71)/DG71*100)</f>
        <v>0</v>
      </c>
      <c r="DJ71" s="1428">
        <f>IF(DJ73=0,0,(DJ72*DJ73+DJ74*DJ75*6)/DJ73)</f>
        <v>0</v>
      </c>
      <c r="DK71" s="1428">
        <f>IF(DK73=0,0,(DK72*DK73+DK74*DK75*6)/DK73)</f>
        <v>0</v>
      </c>
      <c r="DL71" s="996">
        <f>IF(DJ71=0,0,(DK71-DJ71)/DJ71*100)</f>
        <v>0</v>
      </c>
      <c r="DM71" s="1428">
        <f>IF(DM73=0,0,(DM72*DM73+DM74*DM75*6)/DM73)</f>
        <v>0</v>
      </c>
      <c r="DN71" s="1428">
        <f>IF(DN73=0,0,(DN72*DN73+DN74*DN75*6)/DN73)</f>
        <v>0</v>
      </c>
      <c r="DO71" s="996">
        <f>IF(DM71=0,0,(DN71-DM71)/DM71*100)</f>
        <v>0</v>
      </c>
      <c r="DP71" s="1428">
        <f>IF(DP73=0,0,(DP72*DP73+DP74*DP75*6)/DP73)</f>
        <v>0</v>
      </c>
      <c r="DQ71" s="1428">
        <f>IF(DQ73=0,0,(DQ72*DQ73+DQ74*DQ75*6)/DQ73)</f>
        <v>0</v>
      </c>
      <c r="DR71" s="996">
        <f>IF(DP71=0,0,(DQ71-DP71)/DP71*100)</f>
        <v>0</v>
      </c>
      <c r="DS71" s="1428">
        <f>IF(DS73=0,0,(DS72*DS73+DS74*DS75*6)/DS73)</f>
        <v>0</v>
      </c>
      <c r="DT71" s="1428">
        <f>IF(DT73=0,0,(DT72*DT73+DT74*DT75*6)/DT73)</f>
        <v>0</v>
      </c>
      <c r="DU71" s="996">
        <f>IF(DS71=0,0,(DT71-DS71)/DS71*100)</f>
        <v>0</v>
      </c>
      <c r="DV71" s="1428">
        <f>IF(DV73=0,0,(DV72*DV73+DV74*DV75*6)/DV73)</f>
        <v>0</v>
      </c>
      <c r="DW71" s="1428">
        <f>IF(DW73=0,0,(DW72*DW73+DW74*DW75*6)/DW73)</f>
        <v>0</v>
      </c>
      <c r="DX71" s="996">
        <f>IF(DV71=0,0,(DW71-DV71)/DV71*100)</f>
        <v>0</v>
      </c>
      <c r="DY71" s="1428">
        <f>IF(DY73=0,0,(DY72*DY73+DY74*DY75*6)/DY73)</f>
        <v>0</v>
      </c>
      <c r="DZ71" s="1428">
        <f>IF(DZ73=0,0,(DZ72*DZ73+DZ74*DZ75*6)/DZ73)</f>
        <v>0</v>
      </c>
      <c r="EA71" s="996">
        <f>IF(DY71=0,0,(DZ71-DY71)/DY71*100)</f>
        <v>0</v>
      </c>
      <c r="EB71" s="1428">
        <f>IF(EB73=0,0,(EB72*EB73+EB74*EB75*6)/EB73)</f>
        <v>0</v>
      </c>
      <c r="EC71" s="1428">
        <f>IF(EC73=0,0,(EC72*EC73+EC74*EC75*6)/EC73)</f>
        <v>0</v>
      </c>
      <c r="ED71" s="996">
        <f>IF(EB71=0,0,(EC71-EB71)/EB71*100)</f>
        <v>0</v>
      </c>
      <c r="EE71" s="1428">
        <f>IF(EE73=0,0,(EE72*EE73+EE74*EE75*6)/EE73)</f>
        <v>0</v>
      </c>
      <c r="EF71" s="1428">
        <f>IF(EF73=0,0,(EF72*EF73+EF74*EF75*6)/EF73)</f>
        <v>0</v>
      </c>
      <c r="EG71" s="996">
        <f>IF(EE71=0,0,(EF71-EE71)/EE71*100)</f>
        <v>0</v>
      </c>
      <c r="EH71" s="1428">
        <f>IF(EH73=0,0,(EH72*EH73+EH74*EH75*6)/EH73)</f>
        <v>0</v>
      </c>
      <c r="EI71" s="1428">
        <f>IF(EI73=0,0,(EI72*EI73+EI74*EI75*6)/EI73)</f>
        <v>0</v>
      </c>
      <c r="EJ71" s="996">
        <f>IF(EH71=0,0,(EI71-EH71)/EH71*100)</f>
        <v>0</v>
      </c>
      <c r="EK71" s="1428">
        <f>IF(EK73=0,0,(EK72*EK73+EK74*EK75*6)/EK73)</f>
        <v>0</v>
      </c>
      <c r="EL71" s="1428">
        <f>IF(EL73=0,0,(EL72*EL73+EL74*EL75*6)/EL73)</f>
        <v>0</v>
      </c>
      <c r="EM71" s="996">
        <f>IF(EK71=0,0,(EL71-EK71)/EK71*100)</f>
        <v>0</v>
      </c>
      <c r="EN71" s="1428">
        <f>IF(EN73=0,0,(EN72*EN73+EN74*EN75*6)/EN73)</f>
        <v>0</v>
      </c>
      <c r="EO71" s="1428">
        <f>IF(EO73=0,0,(EO72*EO73+EO74*EO75*6)/EO73)</f>
        <v>0</v>
      </c>
      <c r="EP71" s="996">
        <f>IF(EN71=0,0,(EO71-EN71)/EN71*100)</f>
        <v>0</v>
      </c>
      <c r="EQ71" s="1428">
        <f>IF(EQ73=0,0,(EQ72*EQ73+EQ74*EQ75*6)/EQ73)</f>
        <v>0</v>
      </c>
      <c r="ER71" s="1428">
        <f>IF(ER73=0,0,(ER72*ER73+ER74*ER75*6)/ER73)</f>
        <v>0</v>
      </c>
      <c r="ES71" s="996">
        <f>IF(EQ71=0,0,(ER71-EQ71)/EQ71*100)</f>
        <v>0</v>
      </c>
      <c r="ET71" s="1428">
        <f>IF(ET73=0,0,(ET72*ET73+ET74*ET75*6)/ET73)</f>
        <v>0</v>
      </c>
      <c r="EU71" s="1428">
        <f>IF(EU73=0,0,(EU72*EU73+EU74*EU75*6)/EU73)</f>
        <v>0</v>
      </c>
      <c r="EV71" s="996">
        <f>IF(ET71=0,0,(EU71-ET71)/ET71*100)</f>
        <v>0</v>
      </c>
      <c r="EW71" s="1428">
        <f>IF(EW73=0,0,(EW72*EW73+EW74*EW75*6)/EW73)</f>
        <v>0</v>
      </c>
      <c r="EX71" s="1428">
        <f>IF(EX73=0,0,(EX72*EX73+EX74*EX75*6)/EX73)</f>
        <v>0</v>
      </c>
      <c r="EY71" s="996">
        <f>IF(EW71=0,0,(EX71-EW71)/EW71*100)</f>
        <v>0</v>
      </c>
      <c r="EZ71" s="1428">
        <f>IF(EZ73=0,0,(EZ72*EZ73+EZ74*EZ75*6)/EZ73)</f>
        <v>0</v>
      </c>
      <c r="FA71" s="1428">
        <f>IF(FA73=0,0,(FA72*FA73+FA74*FA75*6)/FA73)</f>
        <v>0</v>
      </c>
      <c r="FB71" s="996">
        <f>IF(EZ71=0,0,(FA71-EZ71)/EZ71*100)</f>
        <v>0</v>
      </c>
      <c r="FC71" s="1428">
        <f>IF(FC73=0,0,(FC72*FC73+FC74*FC75*6)/FC73)</f>
        <v>0</v>
      </c>
      <c r="FD71" s="1428">
        <f>IF(FD73=0,0,(FD72*FD73+FD74*FD75*6)/FD73)</f>
        <v>0</v>
      </c>
      <c r="FE71" s="996">
        <f>IF(FC71=0,0,(FD71-FC71)/FC71*100)</f>
        <v>0</v>
      </c>
      <c r="FF71" s="1428">
        <f>IF(FF73=0,0,(FF72*FF73+FF74*FF75*6)/FF73)</f>
        <v>0</v>
      </c>
      <c r="FG71" s="1428">
        <f>IF(FG73=0,0,(FG72*FG73+FG74*FG75*6)/FG73)</f>
        <v>0</v>
      </c>
      <c r="FH71" s="996">
        <f>IF(FF71=0,0,(FG71-FF71)/FF71*100)</f>
        <v>0</v>
      </c>
      <c r="FI71" s="1428">
        <f>IF(FI73=0,0,(FI72*FI73+FI74*FI75*6)/FI73)</f>
        <v>0</v>
      </c>
      <c r="FJ71" s="1428">
        <f>IF(FJ73=0,0,(FJ72*FJ73+FJ74*FJ75*6)/FJ73)</f>
        <v>0</v>
      </c>
      <c r="FK71" s="996">
        <f>IF(FI71=0,0,(FJ71-FI71)/FI71*100)</f>
        <v>0</v>
      </c>
      <c r="FL71" s="1428">
        <f>IF(FL73=0,0,(FL72*FL73+FL74*FL75*6)/FL73)</f>
        <v>0</v>
      </c>
      <c r="FM71" s="1428">
        <f>IF(FM73=0,0,(FM72*FM73+FM74*FM75*6)/FM73)</f>
        <v>0</v>
      </c>
      <c r="FN71" s="996">
        <f>IF(FL71=0,0,(FM71-FL71)/FL71*100)</f>
        <v>0</v>
      </c>
      <c r="FO71" s="1428">
        <f>IF(FO73=0,0,(FO72*FO73+FO74*FO75*6)/FO73)</f>
        <v>0</v>
      </c>
      <c r="FP71" s="1428">
        <f>IF(FP73=0,0,(FP72*FP73+FP74*FP75*6)/FP73)</f>
        <v>0</v>
      </c>
      <c r="FQ71" s="996">
        <f>IF(FO71=0,0,(FP71-FO71)/FO71*100)</f>
        <v>0</v>
      </c>
      <c r="FR71" s="1428">
        <f>IF(FR73=0,0,(FR72*FR73+FR74*FR75*6)/FR73)</f>
        <v>0</v>
      </c>
      <c r="FS71" s="1428">
        <f>IF(FS73=0,0,(FS72*FS73+FS74*FS75*6)/FS73)</f>
        <v>0</v>
      </c>
      <c r="FT71" s="996">
        <f>IF(FR71=0,0,(FS71-FR71)/FR71*100)</f>
        <v>0</v>
      </c>
      <c r="FU71" s="1428">
        <f>IF(FU73=0,0,(FU72*FU73+FU74*FU75*6)/FU73)</f>
        <v>0</v>
      </c>
      <c r="FV71" s="1428">
        <f>IF(FV73=0,0,(FV72*FV73+FV74*FV75*6)/FV73)</f>
        <v>0</v>
      </c>
      <c r="FW71" s="996">
        <f>IF(FU71=0,0,(FV71-FU71)/FU71*100)</f>
        <v>0</v>
      </c>
      <c r="FZ71" s="957" t="s">
        <v>1521</v>
      </c>
      <c r="GA71" s="917" t="s">
        <v>795</v>
      </c>
      <c r="GB71" s="959" cm="1">
        <f t="array" ref="GB71">AB70</f>
        <v>0</v>
      </c>
    </row>
    <row r="72" spans="1:186" ht="14.65" hidden="1" customHeight="1">
      <c r="A72" s="409"/>
      <c r="B72" s="830" t="b" cm="1">
        <f t="array" ref="B72">B71</f>
        <v>0</v>
      </c>
      <c r="C72" s="409"/>
      <c r="D72" s="409"/>
      <c r="E72" s="754">
        <v>15</v>
      </c>
      <c r="F72" s="3" cm="1">
        <f t="array" aca="1" ref="F72" ca="1">OFFSET(E72,-1,1)</f>
        <v>0</v>
      </c>
      <c r="G72" s="409"/>
      <c r="H72" s="409" t="s">
        <v>1416</v>
      </c>
      <c r="I72" s="409" cm="1">
        <f t="array" ref="I72">I71</f>
        <v>0</v>
      </c>
      <c r="J72" s="409"/>
      <c r="K72" s="409"/>
      <c r="L72" s="409"/>
      <c r="M72" s="409"/>
      <c r="N72" s="409"/>
      <c r="O72" s="409"/>
      <c r="P72" s="409"/>
      <c r="Q72" s="409"/>
      <c r="R72" s="409"/>
      <c r="S72" s="409"/>
      <c r="T72" s="381" t="b" cm="1">
        <f t="array" aca="1" ref="T72" ca="1">T71</f>
        <v>0</v>
      </c>
      <c r="U72" s="409"/>
      <c r="V72" s="409"/>
      <c r="W72" s="409"/>
      <c r="X72" s="1787"/>
      <c r="Y72" s="1787"/>
      <c r="Z72" s="1734"/>
      <c r="AA72" s="1681"/>
      <c r="AB72" s="811" t="str">
        <f>"ставка платы за "&amp;IF(Q29="Водоснабжение","потребление 1 куб.м холодной воды","объем принятых сточных вод")</f>
        <v>ставка платы за объем принятых сточных вод</v>
      </c>
      <c r="AC72" s="778" t="s">
        <v>1454</v>
      </c>
      <c r="AD72" s="1428"/>
      <c r="AE72" s="1428"/>
      <c r="AF72" s="996">
        <f>IF(AD72=0,0,(AE72-AD72)/AD72*100)</f>
        <v>0</v>
      </c>
      <c r="AG72" s="1428"/>
      <c r="AH72" s="1428"/>
      <c r="AI72" s="996">
        <f>IF(AG72=0,0,(AH72-AG72)/AG72*100)</f>
        <v>0</v>
      </c>
      <c r="AJ72" s="1428"/>
      <c r="AK72" s="1428"/>
      <c r="AL72" s="996">
        <f>IF(AJ72=0,0,(AK72-AJ72)/AJ72*100)</f>
        <v>0</v>
      </c>
      <c r="AM72" s="1428"/>
      <c r="AN72" s="1428"/>
      <c r="AO72" s="996">
        <f>IF(AM72=0,0,(AN72-AM72)/AM72*100)</f>
        <v>0</v>
      </c>
      <c r="AP72" s="1428"/>
      <c r="AQ72" s="1428"/>
      <c r="AR72" s="996">
        <f>IF(AP72=0,0,(AQ72-AP72)/AP72*100)</f>
        <v>0</v>
      </c>
      <c r="AS72" s="1428"/>
      <c r="AT72" s="1428"/>
      <c r="AU72" s="996">
        <f>IF(AS72=0,0,(AT72-AS72)/AS72*100)</f>
        <v>0</v>
      </c>
      <c r="AV72" s="1428"/>
      <c r="AW72" s="1428"/>
      <c r="AX72" s="996">
        <f>IF(AV72=0,0,(AW72-AV72)/AV72*100)</f>
        <v>0</v>
      </c>
      <c r="AY72" s="1428"/>
      <c r="AZ72" s="1428"/>
      <c r="BA72" s="996">
        <f>IF(AY72=0,0,(AZ72-AY72)/AY72*100)</f>
        <v>0</v>
      </c>
      <c r="BB72" s="1428"/>
      <c r="BC72" s="1428"/>
      <c r="BD72" s="996">
        <f>IF(BB72=0,0,(BC72-BB72)/BB72*100)</f>
        <v>0</v>
      </c>
      <c r="BE72" s="1428"/>
      <c r="BF72" s="1428"/>
      <c r="BG72" s="996">
        <f>IF(BE72=0,0,(BF72-BE72)/BE72*100)</f>
        <v>0</v>
      </c>
      <c r="BH72" s="1428"/>
      <c r="BI72" s="1428"/>
      <c r="BJ72" s="996">
        <f>IF(BH72=0,0,(BI72-BH72)/BH72*100)</f>
        <v>0</v>
      </c>
      <c r="BK72" s="1428"/>
      <c r="BL72" s="1428"/>
      <c r="BM72" s="996">
        <f>IF(BK72=0,0,(BL72-BK72)/BK72*100)</f>
        <v>0</v>
      </c>
      <c r="BN72" s="1428"/>
      <c r="BO72" s="1428"/>
      <c r="BP72" s="996">
        <f>IF(BN72=0,0,(BO72-BN72)/BN72*100)</f>
        <v>0</v>
      </c>
      <c r="BQ72" s="1428"/>
      <c r="BR72" s="1428"/>
      <c r="BS72" s="996">
        <f>IF(BQ72=0,0,(BR72-BQ72)/BQ72*100)</f>
        <v>0</v>
      </c>
      <c r="BT72" s="1428"/>
      <c r="BU72" s="1428"/>
      <c r="BV72" s="996">
        <f>IF(BT72=0,0,(BU72-BT72)/BT72*100)</f>
        <v>0</v>
      </c>
      <c r="BW72" s="1428"/>
      <c r="BX72" s="1428"/>
      <c r="BY72" s="996">
        <f>IF(BW72=0,0,(BX72-BW72)/BW72*100)</f>
        <v>0</v>
      </c>
      <c r="BZ72" s="1428"/>
      <c r="CA72" s="1428"/>
      <c r="CB72" s="996">
        <f>IF(BZ72=0,0,(CA72-BZ72)/BZ72*100)</f>
        <v>0</v>
      </c>
      <c r="CC72" s="1428"/>
      <c r="CD72" s="1428"/>
      <c r="CE72" s="996">
        <f>IF(CC72=0,0,(CD72-CC72)/CC72*100)</f>
        <v>0</v>
      </c>
      <c r="CF72" s="1428"/>
      <c r="CG72" s="1428"/>
      <c r="CH72" s="996">
        <f>IF(CF72=0,0,(CG72-CF72)/CF72*100)</f>
        <v>0</v>
      </c>
      <c r="CI72" s="1428"/>
      <c r="CJ72" s="1428"/>
      <c r="CK72" s="996">
        <f>IF(CI72=0,0,(CJ72-CI72)/CI72*100)</f>
        <v>0</v>
      </c>
      <c r="CL72" s="1428"/>
      <c r="CM72" s="1428"/>
      <c r="CN72" s="996">
        <f>IF(CL72=0,0,(CM72-CL72)/CL72*100)</f>
        <v>0</v>
      </c>
      <c r="CO72" s="1428"/>
      <c r="CP72" s="1428"/>
      <c r="CQ72" s="996">
        <f>IF(CO72=0,0,(CP72-CO72)/CO72*100)</f>
        <v>0</v>
      </c>
      <c r="CR72" s="1428"/>
      <c r="CS72" s="1428"/>
      <c r="CT72" s="996">
        <f>IF(CR72=0,0,(CS72-CR72)/CR72*100)</f>
        <v>0</v>
      </c>
      <c r="CU72" s="1428"/>
      <c r="CV72" s="1428"/>
      <c r="CW72" s="996">
        <f>IF(CU72=0,0,(CV72-CU72)/CU72*100)</f>
        <v>0</v>
      </c>
      <c r="CX72" s="1428"/>
      <c r="CY72" s="1428"/>
      <c r="CZ72" s="996">
        <f>IF(CX72=0,0,(CY72-CX72)/CX72*100)</f>
        <v>0</v>
      </c>
      <c r="DA72" s="1428"/>
      <c r="DB72" s="1428"/>
      <c r="DC72" s="996">
        <f>IF(DA72=0,0,(DB72-DA72)/DA72*100)</f>
        <v>0</v>
      </c>
      <c r="DD72" s="1428"/>
      <c r="DE72" s="1428"/>
      <c r="DF72" s="996">
        <f>IF(DD72=0,0,(DE72-DD72)/DD72*100)</f>
        <v>0</v>
      </c>
      <c r="DG72" s="1428"/>
      <c r="DH72" s="1428"/>
      <c r="DI72" s="996">
        <f>IF(DG72=0,0,(DH72-DG72)/DG72*100)</f>
        <v>0</v>
      </c>
      <c r="DJ72" s="1428"/>
      <c r="DK72" s="1428"/>
      <c r="DL72" s="996">
        <f>IF(DJ72=0,0,(DK72-DJ72)/DJ72*100)</f>
        <v>0</v>
      </c>
      <c r="DM72" s="1428"/>
      <c r="DN72" s="1428"/>
      <c r="DO72" s="996">
        <f>IF(DM72=0,0,(DN72-DM72)/DM72*100)</f>
        <v>0</v>
      </c>
      <c r="DP72" s="1428"/>
      <c r="DQ72" s="1428"/>
      <c r="DR72" s="996">
        <f>IF(DP72=0,0,(DQ72-DP72)/DP72*100)</f>
        <v>0</v>
      </c>
      <c r="DS72" s="1428"/>
      <c r="DT72" s="1428"/>
      <c r="DU72" s="996">
        <f>IF(DS72=0,0,(DT72-DS72)/DS72*100)</f>
        <v>0</v>
      </c>
      <c r="DV72" s="1428"/>
      <c r="DW72" s="1428"/>
      <c r="DX72" s="996">
        <f>IF(DV72=0,0,(DW72-DV72)/DV72*100)</f>
        <v>0</v>
      </c>
      <c r="DY72" s="1428"/>
      <c r="DZ72" s="1428"/>
      <c r="EA72" s="996">
        <f>IF(DY72=0,0,(DZ72-DY72)/DY72*100)</f>
        <v>0</v>
      </c>
      <c r="EB72" s="1428"/>
      <c r="EC72" s="1428"/>
      <c r="ED72" s="996">
        <f>IF(EB72=0,0,(EC72-EB72)/EB72*100)</f>
        <v>0</v>
      </c>
      <c r="EE72" s="1428"/>
      <c r="EF72" s="1428"/>
      <c r="EG72" s="996">
        <f>IF(EE72=0,0,(EF72-EE72)/EE72*100)</f>
        <v>0</v>
      </c>
      <c r="EH72" s="1428"/>
      <c r="EI72" s="1428"/>
      <c r="EJ72" s="996">
        <f>IF(EH72=0,0,(EI72-EH72)/EH72*100)</f>
        <v>0</v>
      </c>
      <c r="EK72" s="1428"/>
      <c r="EL72" s="1428"/>
      <c r="EM72" s="996">
        <f>IF(EK72=0,0,(EL72-EK72)/EK72*100)</f>
        <v>0</v>
      </c>
      <c r="EN72" s="1428"/>
      <c r="EO72" s="1428"/>
      <c r="EP72" s="996">
        <f>IF(EN72=0,0,(EO72-EN72)/EN72*100)</f>
        <v>0</v>
      </c>
      <c r="EQ72" s="1428"/>
      <c r="ER72" s="1428"/>
      <c r="ES72" s="996">
        <f>IF(EQ72=0,0,(ER72-EQ72)/EQ72*100)</f>
        <v>0</v>
      </c>
      <c r="ET72" s="1428"/>
      <c r="EU72" s="1428"/>
      <c r="EV72" s="996">
        <f>IF(ET72=0,0,(EU72-ET72)/ET72*100)</f>
        <v>0</v>
      </c>
      <c r="EW72" s="1428"/>
      <c r="EX72" s="1428"/>
      <c r="EY72" s="996">
        <f>IF(EW72=0,0,(EX72-EW72)/EW72*100)</f>
        <v>0</v>
      </c>
      <c r="EZ72" s="1428"/>
      <c r="FA72" s="1428"/>
      <c r="FB72" s="996">
        <f>IF(EZ72=0,0,(FA72-EZ72)/EZ72*100)</f>
        <v>0</v>
      </c>
      <c r="FC72" s="1428"/>
      <c r="FD72" s="1428"/>
      <c r="FE72" s="996">
        <f>IF(FC72=0,0,(FD72-FC72)/FC72*100)</f>
        <v>0</v>
      </c>
      <c r="FF72" s="1428"/>
      <c r="FG72" s="1428"/>
      <c r="FH72" s="996">
        <f>IF(FF72=0,0,(FG72-FF72)/FF72*100)</f>
        <v>0</v>
      </c>
      <c r="FI72" s="1428"/>
      <c r="FJ72" s="1428"/>
      <c r="FK72" s="996">
        <f>IF(FI72=0,0,(FJ72-FI72)/FI72*100)</f>
        <v>0</v>
      </c>
      <c r="FL72" s="1428"/>
      <c r="FM72" s="1428"/>
      <c r="FN72" s="996">
        <f>IF(FL72=0,0,(FM72-FL72)/FL72*100)</f>
        <v>0</v>
      </c>
      <c r="FO72" s="1428"/>
      <c r="FP72" s="1428"/>
      <c r="FQ72" s="996">
        <f>IF(FO72=0,0,(FP72-FO72)/FO72*100)</f>
        <v>0</v>
      </c>
      <c r="FR72" s="1428"/>
      <c r="FS72" s="1428"/>
      <c r="FT72" s="996">
        <f>IF(FR72=0,0,(FS72-FR72)/FR72*100)</f>
        <v>0</v>
      </c>
      <c r="FU72" s="1428"/>
      <c r="FV72" s="1428"/>
      <c r="FW72" s="996">
        <f>IF(FU72=0,0,(FV72-FU72)/FU72*100)</f>
        <v>0</v>
      </c>
      <c r="FZ72" s="957" t="s">
        <v>1522</v>
      </c>
      <c r="GA72" s="917" t="s">
        <v>795</v>
      </c>
      <c r="GB72" s="917" cm="1">
        <f t="array" ref="GB72">GB71</f>
        <v>0</v>
      </c>
    </row>
    <row r="73" spans="1:186" ht="14.65" hidden="1" customHeight="1">
      <c r="A73" s="409"/>
      <c r="B73" s="830" t="b" cm="1">
        <f t="array" ref="B73">B72</f>
        <v>0</v>
      </c>
      <c r="C73" s="409"/>
      <c r="D73" s="409"/>
      <c r="E73" s="754">
        <v>15</v>
      </c>
      <c r="F73" s="3" cm="1">
        <f t="array" aca="1" ref="F73" ca="1">OFFSET(E73,-1,1)</f>
        <v>0</v>
      </c>
      <c r="G73" s="409"/>
      <c r="H73" s="409" t="s">
        <v>1491</v>
      </c>
      <c r="I73" s="409" cm="1">
        <f t="array" ref="I73">I72</f>
        <v>0</v>
      </c>
      <c r="J73" s="409"/>
      <c r="K73" s="409"/>
      <c r="L73" s="409"/>
      <c r="M73" s="409"/>
      <c r="N73" s="409"/>
      <c r="O73" s="409"/>
      <c r="P73" s="409"/>
      <c r="Q73" s="409"/>
      <c r="R73" s="409"/>
      <c r="S73" s="409"/>
      <c r="T73" s="381" t="b" cm="1">
        <f t="array" aca="1" ref="T73" ca="1">T72</f>
        <v>0</v>
      </c>
      <c r="U73" s="409"/>
      <c r="V73" s="409"/>
      <c r="W73" s="409"/>
      <c r="X73" s="1787"/>
      <c r="Y73" s="1787"/>
      <c r="Z73" s="1734"/>
      <c r="AA73" s="1681"/>
      <c r="AB73" s="811" t="str">
        <f>"объём "&amp;IF(Q29="Водоснабжение","потребления холодной воды","водоотведения")</f>
        <v>объём водоотведения</v>
      </c>
      <c r="AC73" s="778" t="s">
        <v>499</v>
      </c>
      <c r="AD73" s="1426"/>
      <c r="AE73" s="1426"/>
      <c r="AF73" s="998">
        <f>IF(AD73=0,0,(AE73-AD73)/AD73*100)</f>
        <v>0</v>
      </c>
      <c r="AG73" s="1426"/>
      <c r="AH73" s="1426"/>
      <c r="AI73" s="998">
        <f>IF(AG73=0,0,(AH73-AG73)/AG73*100)</f>
        <v>0</v>
      </c>
      <c r="AJ73" s="1426"/>
      <c r="AK73" s="1426"/>
      <c r="AL73" s="998">
        <f>IF(AJ73=0,0,(AK73-AJ73)/AJ73*100)</f>
        <v>0</v>
      </c>
      <c r="AM73" s="1426"/>
      <c r="AN73" s="1426"/>
      <c r="AO73" s="998">
        <f>IF(AM73=0,0,(AN73-AM73)/AM73*100)</f>
        <v>0</v>
      </c>
      <c r="AP73" s="1426"/>
      <c r="AQ73" s="1426"/>
      <c r="AR73" s="998">
        <f>IF(AP73=0,0,(AQ73-AP73)/AP73*100)</f>
        <v>0</v>
      </c>
      <c r="AS73" s="1426"/>
      <c r="AT73" s="1426"/>
      <c r="AU73" s="998">
        <f>IF(AS73=0,0,(AT73-AS73)/AS73*100)</f>
        <v>0</v>
      </c>
      <c r="AV73" s="1426"/>
      <c r="AW73" s="1426"/>
      <c r="AX73" s="998">
        <f>IF(AV73=0,0,(AW73-AV73)/AV73*100)</f>
        <v>0</v>
      </c>
      <c r="AY73" s="1426"/>
      <c r="AZ73" s="1426"/>
      <c r="BA73" s="998">
        <f>IF(AY73=0,0,(AZ73-AY73)/AY73*100)</f>
        <v>0</v>
      </c>
      <c r="BB73" s="1426"/>
      <c r="BC73" s="1426"/>
      <c r="BD73" s="998">
        <f>IF(BB73=0,0,(BC73-BB73)/BB73*100)</f>
        <v>0</v>
      </c>
      <c r="BE73" s="1426"/>
      <c r="BF73" s="1426"/>
      <c r="BG73" s="998">
        <f>IF(BE73=0,0,(BF73-BE73)/BE73*100)</f>
        <v>0</v>
      </c>
      <c r="BH73" s="1426"/>
      <c r="BI73" s="1426"/>
      <c r="BJ73" s="998">
        <f>IF(BH73=0,0,(BI73-BH73)/BH73*100)</f>
        <v>0</v>
      </c>
      <c r="BK73" s="1426"/>
      <c r="BL73" s="1426"/>
      <c r="BM73" s="998">
        <f>IF(BK73=0,0,(BL73-BK73)/BK73*100)</f>
        <v>0</v>
      </c>
      <c r="BN73" s="1426"/>
      <c r="BO73" s="1426"/>
      <c r="BP73" s="998">
        <f>IF(BN73=0,0,(BO73-BN73)/BN73*100)</f>
        <v>0</v>
      </c>
      <c r="BQ73" s="1426"/>
      <c r="BR73" s="1426"/>
      <c r="BS73" s="998">
        <f>IF(BQ73=0,0,(BR73-BQ73)/BQ73*100)</f>
        <v>0</v>
      </c>
      <c r="BT73" s="1426"/>
      <c r="BU73" s="1426"/>
      <c r="BV73" s="998">
        <f>IF(BT73=0,0,(BU73-BT73)/BT73*100)</f>
        <v>0</v>
      </c>
      <c r="BW73" s="1426"/>
      <c r="BX73" s="1426"/>
      <c r="BY73" s="998">
        <f>IF(BW73=0,0,(BX73-BW73)/BW73*100)</f>
        <v>0</v>
      </c>
      <c r="BZ73" s="1426"/>
      <c r="CA73" s="1426"/>
      <c r="CB73" s="998">
        <f>IF(BZ73=0,0,(CA73-BZ73)/BZ73*100)</f>
        <v>0</v>
      </c>
      <c r="CC73" s="1426"/>
      <c r="CD73" s="1426"/>
      <c r="CE73" s="998">
        <f>IF(CC73=0,0,(CD73-CC73)/CC73*100)</f>
        <v>0</v>
      </c>
      <c r="CF73" s="1426"/>
      <c r="CG73" s="1426"/>
      <c r="CH73" s="998">
        <f>IF(CF73=0,0,(CG73-CF73)/CF73*100)</f>
        <v>0</v>
      </c>
      <c r="CI73" s="1426"/>
      <c r="CJ73" s="1426"/>
      <c r="CK73" s="998">
        <f>IF(CI73=0,0,(CJ73-CI73)/CI73*100)</f>
        <v>0</v>
      </c>
      <c r="CL73" s="1426"/>
      <c r="CM73" s="1426"/>
      <c r="CN73" s="998">
        <f>IF(CL73=0,0,(CM73-CL73)/CL73*100)</f>
        <v>0</v>
      </c>
      <c r="CO73" s="1426"/>
      <c r="CP73" s="1426"/>
      <c r="CQ73" s="998">
        <f>IF(CO73=0,0,(CP73-CO73)/CO73*100)</f>
        <v>0</v>
      </c>
      <c r="CR73" s="1426"/>
      <c r="CS73" s="1426"/>
      <c r="CT73" s="998">
        <f>IF(CR73=0,0,(CS73-CR73)/CR73*100)</f>
        <v>0</v>
      </c>
      <c r="CU73" s="1426"/>
      <c r="CV73" s="1426"/>
      <c r="CW73" s="998">
        <f>IF(CU73=0,0,(CV73-CU73)/CU73*100)</f>
        <v>0</v>
      </c>
      <c r="CX73" s="1426"/>
      <c r="CY73" s="1426"/>
      <c r="CZ73" s="998">
        <f>IF(CX73=0,0,(CY73-CX73)/CX73*100)</f>
        <v>0</v>
      </c>
      <c r="DA73" s="1426"/>
      <c r="DB73" s="1426"/>
      <c r="DC73" s="998">
        <f>IF(DA73=0,0,(DB73-DA73)/DA73*100)</f>
        <v>0</v>
      </c>
      <c r="DD73" s="1426"/>
      <c r="DE73" s="1426"/>
      <c r="DF73" s="998">
        <f>IF(DD73=0,0,(DE73-DD73)/DD73*100)</f>
        <v>0</v>
      </c>
      <c r="DG73" s="1426"/>
      <c r="DH73" s="1426"/>
      <c r="DI73" s="998">
        <f>IF(DG73=0,0,(DH73-DG73)/DG73*100)</f>
        <v>0</v>
      </c>
      <c r="DJ73" s="1426"/>
      <c r="DK73" s="1426"/>
      <c r="DL73" s="998">
        <f>IF(DJ73=0,0,(DK73-DJ73)/DJ73*100)</f>
        <v>0</v>
      </c>
      <c r="DM73" s="1426"/>
      <c r="DN73" s="1426"/>
      <c r="DO73" s="998">
        <f>IF(DM73=0,0,(DN73-DM73)/DM73*100)</f>
        <v>0</v>
      </c>
      <c r="DP73" s="1426"/>
      <c r="DQ73" s="1426"/>
      <c r="DR73" s="998">
        <f>IF(DP73=0,0,(DQ73-DP73)/DP73*100)</f>
        <v>0</v>
      </c>
      <c r="DS73" s="1426"/>
      <c r="DT73" s="1426"/>
      <c r="DU73" s="998">
        <f>IF(DS73=0,0,(DT73-DS73)/DS73*100)</f>
        <v>0</v>
      </c>
      <c r="DV73" s="1426"/>
      <c r="DW73" s="1426"/>
      <c r="DX73" s="998">
        <f>IF(DV73=0,0,(DW73-DV73)/DV73*100)</f>
        <v>0</v>
      </c>
      <c r="DY73" s="1426"/>
      <c r="DZ73" s="1426"/>
      <c r="EA73" s="998">
        <f>IF(DY73=0,0,(DZ73-DY73)/DY73*100)</f>
        <v>0</v>
      </c>
      <c r="EB73" s="1426"/>
      <c r="EC73" s="1426"/>
      <c r="ED73" s="998">
        <f>IF(EB73=0,0,(EC73-EB73)/EB73*100)</f>
        <v>0</v>
      </c>
      <c r="EE73" s="1426"/>
      <c r="EF73" s="1426"/>
      <c r="EG73" s="998">
        <f>IF(EE73=0,0,(EF73-EE73)/EE73*100)</f>
        <v>0</v>
      </c>
      <c r="EH73" s="1426"/>
      <c r="EI73" s="1426"/>
      <c r="EJ73" s="998">
        <f>IF(EH73=0,0,(EI73-EH73)/EH73*100)</f>
        <v>0</v>
      </c>
      <c r="EK73" s="1426"/>
      <c r="EL73" s="1426"/>
      <c r="EM73" s="998">
        <f>IF(EK73=0,0,(EL73-EK73)/EK73*100)</f>
        <v>0</v>
      </c>
      <c r="EN73" s="1426"/>
      <c r="EO73" s="1426"/>
      <c r="EP73" s="998">
        <f>IF(EN73=0,0,(EO73-EN73)/EN73*100)</f>
        <v>0</v>
      </c>
      <c r="EQ73" s="1426"/>
      <c r="ER73" s="1426"/>
      <c r="ES73" s="998">
        <f>IF(EQ73=0,0,(ER73-EQ73)/EQ73*100)</f>
        <v>0</v>
      </c>
      <c r="ET73" s="1426"/>
      <c r="EU73" s="1426"/>
      <c r="EV73" s="998">
        <f>IF(ET73=0,0,(EU73-ET73)/ET73*100)</f>
        <v>0</v>
      </c>
      <c r="EW73" s="1426"/>
      <c r="EX73" s="1426"/>
      <c r="EY73" s="998">
        <f>IF(EW73=0,0,(EX73-EW73)/EW73*100)</f>
        <v>0</v>
      </c>
      <c r="EZ73" s="1426"/>
      <c r="FA73" s="1426"/>
      <c r="FB73" s="998">
        <f>IF(EZ73=0,0,(FA73-EZ73)/EZ73*100)</f>
        <v>0</v>
      </c>
      <c r="FC73" s="1426"/>
      <c r="FD73" s="1426"/>
      <c r="FE73" s="998">
        <f>IF(FC73=0,0,(FD73-FC73)/FC73*100)</f>
        <v>0</v>
      </c>
      <c r="FF73" s="1426"/>
      <c r="FG73" s="1426"/>
      <c r="FH73" s="998">
        <f>IF(FF73=0,0,(FG73-FF73)/FF73*100)</f>
        <v>0</v>
      </c>
      <c r="FI73" s="1426"/>
      <c r="FJ73" s="1426"/>
      <c r="FK73" s="998">
        <f>IF(FI73=0,0,(FJ73-FI73)/FI73*100)</f>
        <v>0</v>
      </c>
      <c r="FL73" s="1426"/>
      <c r="FM73" s="1426"/>
      <c r="FN73" s="998">
        <f>IF(FL73=0,0,(FM73-FL73)/FL73*100)</f>
        <v>0</v>
      </c>
      <c r="FO73" s="1426"/>
      <c r="FP73" s="1426"/>
      <c r="FQ73" s="998">
        <f>IF(FO73=0,0,(FP73-FO73)/FO73*100)</f>
        <v>0</v>
      </c>
      <c r="FR73" s="1426"/>
      <c r="FS73" s="1426"/>
      <c r="FT73" s="998">
        <f>IF(FR73=0,0,(FS73-FR73)/FR73*100)</f>
        <v>0</v>
      </c>
      <c r="FU73" s="1426"/>
      <c r="FV73" s="1426"/>
      <c r="FW73" s="998">
        <f>IF(FU73=0,0,(FV73-FU73)/FU73*100)</f>
        <v>0</v>
      </c>
      <c r="FZ73" s="957" t="s">
        <v>1523</v>
      </c>
      <c r="GA73" s="917" t="s">
        <v>795</v>
      </c>
      <c r="GB73" s="917" cm="1">
        <f t="array" ref="GB73">GB72</f>
        <v>0</v>
      </c>
    </row>
    <row r="74" spans="1:186" ht="21.95" hidden="1" customHeight="1">
      <c r="A74" s="409"/>
      <c r="B74" s="830" t="b" cm="1">
        <f t="array" ref="B74">B73</f>
        <v>0</v>
      </c>
      <c r="C74" s="409"/>
      <c r="D74" s="409"/>
      <c r="E74" s="754">
        <v>22.5</v>
      </c>
      <c r="F74" s="3" cm="1">
        <f t="array" aca="1" ref="F74" ca="1">OFFSET(E74,-1,1)</f>
        <v>0</v>
      </c>
      <c r="G74" s="409"/>
      <c r="H74" s="409" t="s">
        <v>1493</v>
      </c>
      <c r="I74" s="409" cm="1">
        <f t="array" ref="I74">I73</f>
        <v>0</v>
      </c>
      <c r="J74" s="409"/>
      <c r="K74" s="409"/>
      <c r="L74" s="409"/>
      <c r="M74" s="409"/>
      <c r="N74" s="409"/>
      <c r="O74" s="409"/>
      <c r="P74" s="409"/>
      <c r="Q74" s="409"/>
      <c r="R74" s="409"/>
      <c r="S74" s="409"/>
      <c r="T74" s="381" t="b" cm="1">
        <f t="array" aca="1" ref="T74" ca="1">T73</f>
        <v>0</v>
      </c>
      <c r="U74" s="409"/>
      <c r="V74" s="409"/>
      <c r="W74" s="409"/>
      <c r="X74" s="1787"/>
      <c r="Y74" s="1787"/>
      <c r="Z74" s="1734"/>
      <c r="AA74" s="1681"/>
      <c r="AB74" s="811"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778" t="s">
        <v>1494</v>
      </c>
      <c r="AD74" s="1428"/>
      <c r="AE74" s="1428"/>
      <c r="AF74" s="996">
        <f>IF(AD74=0,0,(AE74-AD74)/AD74*100)</f>
        <v>0</v>
      </c>
      <c r="AG74" s="1428"/>
      <c r="AH74" s="1428"/>
      <c r="AI74" s="996">
        <f>IF(AG74=0,0,(AH74-AG74)/AG74*100)</f>
        <v>0</v>
      </c>
      <c r="AJ74" s="1428"/>
      <c r="AK74" s="1428"/>
      <c r="AL74" s="996">
        <f>IF(AJ74=0,0,(AK74-AJ74)/AJ74*100)</f>
        <v>0</v>
      </c>
      <c r="AM74" s="1428"/>
      <c r="AN74" s="1428"/>
      <c r="AO74" s="996">
        <f>IF(AM74=0,0,(AN74-AM74)/AM74*100)</f>
        <v>0</v>
      </c>
      <c r="AP74" s="1428"/>
      <c r="AQ74" s="1428"/>
      <c r="AR74" s="996">
        <f>IF(AP74=0,0,(AQ74-AP74)/AP74*100)</f>
        <v>0</v>
      </c>
      <c r="AS74" s="1428"/>
      <c r="AT74" s="1428"/>
      <c r="AU74" s="996">
        <f>IF(AS74=0,0,(AT74-AS74)/AS74*100)</f>
        <v>0</v>
      </c>
      <c r="AV74" s="1428"/>
      <c r="AW74" s="1428"/>
      <c r="AX74" s="996">
        <f>IF(AV74=0,0,(AW74-AV74)/AV74*100)</f>
        <v>0</v>
      </c>
      <c r="AY74" s="1428"/>
      <c r="AZ74" s="1428"/>
      <c r="BA74" s="996">
        <f>IF(AY74=0,0,(AZ74-AY74)/AY74*100)</f>
        <v>0</v>
      </c>
      <c r="BB74" s="1428"/>
      <c r="BC74" s="1428"/>
      <c r="BD74" s="996">
        <f>IF(BB74=0,0,(BC74-BB74)/BB74*100)</f>
        <v>0</v>
      </c>
      <c r="BE74" s="1428"/>
      <c r="BF74" s="1428"/>
      <c r="BG74" s="996">
        <f>IF(BE74=0,0,(BF74-BE74)/BE74*100)</f>
        <v>0</v>
      </c>
      <c r="BH74" s="1428"/>
      <c r="BI74" s="1428"/>
      <c r="BJ74" s="996">
        <f>IF(BH74=0,0,(BI74-BH74)/BH74*100)</f>
        <v>0</v>
      </c>
      <c r="BK74" s="1428"/>
      <c r="BL74" s="1428"/>
      <c r="BM74" s="996">
        <f>IF(BK74=0,0,(BL74-BK74)/BK74*100)</f>
        <v>0</v>
      </c>
      <c r="BN74" s="1428"/>
      <c r="BO74" s="1428"/>
      <c r="BP74" s="996">
        <f>IF(BN74=0,0,(BO74-BN74)/BN74*100)</f>
        <v>0</v>
      </c>
      <c r="BQ74" s="1428"/>
      <c r="BR74" s="1428"/>
      <c r="BS74" s="996">
        <f>IF(BQ74=0,0,(BR74-BQ74)/BQ74*100)</f>
        <v>0</v>
      </c>
      <c r="BT74" s="1428"/>
      <c r="BU74" s="1428"/>
      <c r="BV74" s="996">
        <f>IF(BT74=0,0,(BU74-BT74)/BT74*100)</f>
        <v>0</v>
      </c>
      <c r="BW74" s="1428"/>
      <c r="BX74" s="1428"/>
      <c r="BY74" s="996">
        <f>IF(BW74=0,0,(BX74-BW74)/BW74*100)</f>
        <v>0</v>
      </c>
      <c r="BZ74" s="1428"/>
      <c r="CA74" s="1428"/>
      <c r="CB74" s="996">
        <f>IF(BZ74=0,0,(CA74-BZ74)/BZ74*100)</f>
        <v>0</v>
      </c>
      <c r="CC74" s="1428"/>
      <c r="CD74" s="1428"/>
      <c r="CE74" s="996">
        <f>IF(CC74=0,0,(CD74-CC74)/CC74*100)</f>
        <v>0</v>
      </c>
      <c r="CF74" s="1428"/>
      <c r="CG74" s="1428"/>
      <c r="CH74" s="996">
        <f>IF(CF74=0,0,(CG74-CF74)/CF74*100)</f>
        <v>0</v>
      </c>
      <c r="CI74" s="1428"/>
      <c r="CJ74" s="1428"/>
      <c r="CK74" s="996">
        <f>IF(CI74=0,0,(CJ74-CI74)/CI74*100)</f>
        <v>0</v>
      </c>
      <c r="CL74" s="1428"/>
      <c r="CM74" s="1428"/>
      <c r="CN74" s="996">
        <f>IF(CL74=0,0,(CM74-CL74)/CL74*100)</f>
        <v>0</v>
      </c>
      <c r="CO74" s="1428"/>
      <c r="CP74" s="1428"/>
      <c r="CQ74" s="996">
        <f>IF(CO74=0,0,(CP74-CO74)/CO74*100)</f>
        <v>0</v>
      </c>
      <c r="CR74" s="1428"/>
      <c r="CS74" s="1428"/>
      <c r="CT74" s="996">
        <f>IF(CR74=0,0,(CS74-CR74)/CR74*100)</f>
        <v>0</v>
      </c>
      <c r="CU74" s="1428"/>
      <c r="CV74" s="1428"/>
      <c r="CW74" s="996">
        <f>IF(CU74=0,0,(CV74-CU74)/CU74*100)</f>
        <v>0</v>
      </c>
      <c r="CX74" s="1428"/>
      <c r="CY74" s="1428"/>
      <c r="CZ74" s="996">
        <f>IF(CX74=0,0,(CY74-CX74)/CX74*100)</f>
        <v>0</v>
      </c>
      <c r="DA74" s="1428"/>
      <c r="DB74" s="1428"/>
      <c r="DC74" s="996">
        <f>IF(DA74=0,0,(DB74-DA74)/DA74*100)</f>
        <v>0</v>
      </c>
      <c r="DD74" s="1428"/>
      <c r="DE74" s="1428"/>
      <c r="DF74" s="996">
        <f>IF(DD74=0,0,(DE74-DD74)/DD74*100)</f>
        <v>0</v>
      </c>
      <c r="DG74" s="1428"/>
      <c r="DH74" s="1428"/>
      <c r="DI74" s="996">
        <f>IF(DG74=0,0,(DH74-DG74)/DG74*100)</f>
        <v>0</v>
      </c>
      <c r="DJ74" s="1428"/>
      <c r="DK74" s="1428"/>
      <c r="DL74" s="996">
        <f>IF(DJ74=0,0,(DK74-DJ74)/DJ74*100)</f>
        <v>0</v>
      </c>
      <c r="DM74" s="1428"/>
      <c r="DN74" s="1428"/>
      <c r="DO74" s="996">
        <f>IF(DM74=0,0,(DN74-DM74)/DM74*100)</f>
        <v>0</v>
      </c>
      <c r="DP74" s="1428"/>
      <c r="DQ74" s="1428"/>
      <c r="DR74" s="996">
        <f>IF(DP74=0,0,(DQ74-DP74)/DP74*100)</f>
        <v>0</v>
      </c>
      <c r="DS74" s="1428"/>
      <c r="DT74" s="1428"/>
      <c r="DU74" s="996">
        <f>IF(DS74=0,0,(DT74-DS74)/DS74*100)</f>
        <v>0</v>
      </c>
      <c r="DV74" s="1428"/>
      <c r="DW74" s="1428"/>
      <c r="DX74" s="996">
        <f>IF(DV74=0,0,(DW74-DV74)/DV74*100)</f>
        <v>0</v>
      </c>
      <c r="DY74" s="1428"/>
      <c r="DZ74" s="1428"/>
      <c r="EA74" s="996">
        <f>IF(DY74=0,0,(DZ74-DY74)/DY74*100)</f>
        <v>0</v>
      </c>
      <c r="EB74" s="1428"/>
      <c r="EC74" s="1428"/>
      <c r="ED74" s="996">
        <f>IF(EB74=0,0,(EC74-EB74)/EB74*100)</f>
        <v>0</v>
      </c>
      <c r="EE74" s="1428"/>
      <c r="EF74" s="1428"/>
      <c r="EG74" s="996">
        <f>IF(EE74=0,0,(EF74-EE74)/EE74*100)</f>
        <v>0</v>
      </c>
      <c r="EH74" s="1428"/>
      <c r="EI74" s="1428"/>
      <c r="EJ74" s="996">
        <f>IF(EH74=0,0,(EI74-EH74)/EH74*100)</f>
        <v>0</v>
      </c>
      <c r="EK74" s="1428"/>
      <c r="EL74" s="1428"/>
      <c r="EM74" s="996">
        <f>IF(EK74=0,0,(EL74-EK74)/EK74*100)</f>
        <v>0</v>
      </c>
      <c r="EN74" s="1428"/>
      <c r="EO74" s="1428"/>
      <c r="EP74" s="996">
        <f>IF(EN74=0,0,(EO74-EN74)/EN74*100)</f>
        <v>0</v>
      </c>
      <c r="EQ74" s="1428"/>
      <c r="ER74" s="1428"/>
      <c r="ES74" s="996">
        <f>IF(EQ74=0,0,(ER74-EQ74)/EQ74*100)</f>
        <v>0</v>
      </c>
      <c r="ET74" s="1428"/>
      <c r="EU74" s="1428"/>
      <c r="EV74" s="996">
        <f>IF(ET74=0,0,(EU74-ET74)/ET74*100)</f>
        <v>0</v>
      </c>
      <c r="EW74" s="1428"/>
      <c r="EX74" s="1428"/>
      <c r="EY74" s="996">
        <f>IF(EW74=0,0,(EX74-EW74)/EW74*100)</f>
        <v>0</v>
      </c>
      <c r="EZ74" s="1428"/>
      <c r="FA74" s="1428"/>
      <c r="FB74" s="996">
        <f>IF(EZ74=0,0,(FA74-EZ74)/EZ74*100)</f>
        <v>0</v>
      </c>
      <c r="FC74" s="1428"/>
      <c r="FD74" s="1428"/>
      <c r="FE74" s="996">
        <f>IF(FC74=0,0,(FD74-FC74)/FC74*100)</f>
        <v>0</v>
      </c>
      <c r="FF74" s="1428"/>
      <c r="FG74" s="1428"/>
      <c r="FH74" s="996">
        <f>IF(FF74=0,0,(FG74-FF74)/FF74*100)</f>
        <v>0</v>
      </c>
      <c r="FI74" s="1428"/>
      <c r="FJ74" s="1428"/>
      <c r="FK74" s="996">
        <f>IF(FI74=0,0,(FJ74-FI74)/FI74*100)</f>
        <v>0</v>
      </c>
      <c r="FL74" s="1428"/>
      <c r="FM74" s="1428"/>
      <c r="FN74" s="996">
        <f>IF(FL74=0,0,(FM74-FL74)/FL74*100)</f>
        <v>0</v>
      </c>
      <c r="FO74" s="1428"/>
      <c r="FP74" s="1428"/>
      <c r="FQ74" s="996">
        <f>IF(FO74=0,0,(FP74-FO74)/FO74*100)</f>
        <v>0</v>
      </c>
      <c r="FR74" s="1428"/>
      <c r="FS74" s="1428"/>
      <c r="FT74" s="996">
        <f>IF(FR74=0,0,(FS74-FR74)/FR74*100)</f>
        <v>0</v>
      </c>
      <c r="FU74" s="1428"/>
      <c r="FV74" s="1428"/>
      <c r="FW74" s="996">
        <f>IF(FU74=0,0,(FV74-FU74)/FU74*100)</f>
        <v>0</v>
      </c>
      <c r="FZ74" s="957" t="s">
        <v>1524</v>
      </c>
      <c r="GA74" s="917" t="s">
        <v>795</v>
      </c>
      <c r="GB74" s="917" cm="1">
        <f t="array" ref="GB74">GB73</f>
        <v>0</v>
      </c>
    </row>
    <row r="75" spans="1:186" ht="14.65" hidden="1" customHeight="1">
      <c r="A75" s="409"/>
      <c r="B75" s="830" t="b" cm="1">
        <f t="array" ref="B75">B74</f>
        <v>0</v>
      </c>
      <c r="C75" s="409"/>
      <c r="D75" s="409"/>
      <c r="E75" s="754">
        <v>15</v>
      </c>
      <c r="F75" s="3" cm="1">
        <f t="array" aca="1" ref="F75" ca="1">OFFSET(E75,-1,1)</f>
        <v>0</v>
      </c>
      <c r="G75" s="409"/>
      <c r="H75" s="409" t="s">
        <v>1496</v>
      </c>
      <c r="I75" s="409" cm="1">
        <f t="array" ref="I75">I74</f>
        <v>0</v>
      </c>
      <c r="J75" s="409"/>
      <c r="K75" s="409"/>
      <c r="L75" s="409"/>
      <c r="M75" s="409"/>
      <c r="N75" s="409"/>
      <c r="O75" s="409"/>
      <c r="P75" s="409"/>
      <c r="Q75" s="409"/>
      <c r="R75" s="409"/>
      <c r="S75" s="409"/>
      <c r="T75" s="381" t="b" cm="1">
        <f t="array" aca="1" ref="T75" ca="1">T74</f>
        <v>0</v>
      </c>
      <c r="U75" s="409"/>
      <c r="V75" s="409"/>
      <c r="W75" s="409"/>
      <c r="X75" s="1787"/>
      <c r="Y75" s="1787"/>
      <c r="Z75" s="1734"/>
      <c r="AA75" s="1681"/>
      <c r="AB75" s="811" t="s">
        <v>1497</v>
      </c>
      <c r="AC75" s="778" t="s">
        <v>1498</v>
      </c>
      <c r="AD75" s="1428"/>
      <c r="AE75" s="1428"/>
      <c r="AF75" s="996">
        <f>IF(AD75=0,0,(AE75-AD75)/AD75*100)</f>
        <v>0</v>
      </c>
      <c r="AG75" s="1428"/>
      <c r="AH75" s="1428"/>
      <c r="AI75" s="996">
        <f>IF(AG75=0,0,(AH75-AG75)/AG75*100)</f>
        <v>0</v>
      </c>
      <c r="AJ75" s="1428"/>
      <c r="AK75" s="1428"/>
      <c r="AL75" s="996">
        <f>IF(AJ75=0,0,(AK75-AJ75)/AJ75*100)</f>
        <v>0</v>
      </c>
      <c r="AM75" s="1428"/>
      <c r="AN75" s="1428"/>
      <c r="AO75" s="996">
        <f>IF(AM75=0,0,(AN75-AM75)/AM75*100)</f>
        <v>0</v>
      </c>
      <c r="AP75" s="1428"/>
      <c r="AQ75" s="1428"/>
      <c r="AR75" s="996">
        <f>IF(AP75=0,0,(AQ75-AP75)/AP75*100)</f>
        <v>0</v>
      </c>
      <c r="AS75" s="1428"/>
      <c r="AT75" s="1428"/>
      <c r="AU75" s="996">
        <f>IF(AS75=0,0,(AT75-AS75)/AS75*100)</f>
        <v>0</v>
      </c>
      <c r="AV75" s="1428"/>
      <c r="AW75" s="1428"/>
      <c r="AX75" s="996">
        <f>IF(AV75=0,0,(AW75-AV75)/AV75*100)</f>
        <v>0</v>
      </c>
      <c r="AY75" s="1428"/>
      <c r="AZ75" s="1428"/>
      <c r="BA75" s="996">
        <f>IF(AY75=0,0,(AZ75-AY75)/AY75*100)</f>
        <v>0</v>
      </c>
      <c r="BB75" s="1428"/>
      <c r="BC75" s="1428"/>
      <c r="BD75" s="996">
        <f>IF(BB75=0,0,(BC75-BB75)/BB75*100)</f>
        <v>0</v>
      </c>
      <c r="BE75" s="1428"/>
      <c r="BF75" s="1428"/>
      <c r="BG75" s="996">
        <f>IF(BE75=0,0,(BF75-BE75)/BE75*100)</f>
        <v>0</v>
      </c>
      <c r="BH75" s="1428"/>
      <c r="BI75" s="1428"/>
      <c r="BJ75" s="996">
        <f>IF(BH75=0,0,(BI75-BH75)/BH75*100)</f>
        <v>0</v>
      </c>
      <c r="BK75" s="1428"/>
      <c r="BL75" s="1428"/>
      <c r="BM75" s="996">
        <f>IF(BK75=0,0,(BL75-BK75)/BK75*100)</f>
        <v>0</v>
      </c>
      <c r="BN75" s="1428"/>
      <c r="BO75" s="1428"/>
      <c r="BP75" s="996">
        <f>IF(BN75=0,0,(BO75-BN75)/BN75*100)</f>
        <v>0</v>
      </c>
      <c r="BQ75" s="1428"/>
      <c r="BR75" s="1428"/>
      <c r="BS75" s="996">
        <f>IF(BQ75=0,0,(BR75-BQ75)/BQ75*100)</f>
        <v>0</v>
      </c>
      <c r="BT75" s="1428"/>
      <c r="BU75" s="1428"/>
      <c r="BV75" s="996">
        <f>IF(BT75=0,0,(BU75-BT75)/BT75*100)</f>
        <v>0</v>
      </c>
      <c r="BW75" s="1428"/>
      <c r="BX75" s="1428"/>
      <c r="BY75" s="996">
        <f>IF(BW75=0,0,(BX75-BW75)/BW75*100)</f>
        <v>0</v>
      </c>
      <c r="BZ75" s="1428"/>
      <c r="CA75" s="1428"/>
      <c r="CB75" s="996">
        <f>IF(BZ75=0,0,(CA75-BZ75)/BZ75*100)</f>
        <v>0</v>
      </c>
      <c r="CC75" s="1428"/>
      <c r="CD75" s="1428"/>
      <c r="CE75" s="996">
        <f>IF(CC75=0,0,(CD75-CC75)/CC75*100)</f>
        <v>0</v>
      </c>
      <c r="CF75" s="1428"/>
      <c r="CG75" s="1428"/>
      <c r="CH75" s="996">
        <f>IF(CF75=0,0,(CG75-CF75)/CF75*100)</f>
        <v>0</v>
      </c>
      <c r="CI75" s="1428"/>
      <c r="CJ75" s="1428"/>
      <c r="CK75" s="996">
        <f>IF(CI75=0,0,(CJ75-CI75)/CI75*100)</f>
        <v>0</v>
      </c>
      <c r="CL75" s="1428"/>
      <c r="CM75" s="1428"/>
      <c r="CN75" s="996">
        <f>IF(CL75=0,0,(CM75-CL75)/CL75*100)</f>
        <v>0</v>
      </c>
      <c r="CO75" s="1428"/>
      <c r="CP75" s="1428"/>
      <c r="CQ75" s="996">
        <f>IF(CO75=0,0,(CP75-CO75)/CO75*100)</f>
        <v>0</v>
      </c>
      <c r="CR75" s="1428"/>
      <c r="CS75" s="1428"/>
      <c r="CT75" s="996">
        <f>IF(CR75=0,0,(CS75-CR75)/CR75*100)</f>
        <v>0</v>
      </c>
      <c r="CU75" s="1428"/>
      <c r="CV75" s="1428"/>
      <c r="CW75" s="996">
        <f>IF(CU75=0,0,(CV75-CU75)/CU75*100)</f>
        <v>0</v>
      </c>
      <c r="CX75" s="1428"/>
      <c r="CY75" s="1428"/>
      <c r="CZ75" s="996">
        <f>IF(CX75=0,0,(CY75-CX75)/CX75*100)</f>
        <v>0</v>
      </c>
      <c r="DA75" s="1428"/>
      <c r="DB75" s="1428"/>
      <c r="DC75" s="996">
        <f>IF(DA75=0,0,(DB75-DA75)/DA75*100)</f>
        <v>0</v>
      </c>
      <c r="DD75" s="1428"/>
      <c r="DE75" s="1428"/>
      <c r="DF75" s="996">
        <f>IF(DD75=0,0,(DE75-DD75)/DD75*100)</f>
        <v>0</v>
      </c>
      <c r="DG75" s="1428"/>
      <c r="DH75" s="1428"/>
      <c r="DI75" s="996">
        <f>IF(DG75=0,0,(DH75-DG75)/DG75*100)</f>
        <v>0</v>
      </c>
      <c r="DJ75" s="1428"/>
      <c r="DK75" s="1428"/>
      <c r="DL75" s="996">
        <f>IF(DJ75=0,0,(DK75-DJ75)/DJ75*100)</f>
        <v>0</v>
      </c>
      <c r="DM75" s="1428"/>
      <c r="DN75" s="1428"/>
      <c r="DO75" s="996">
        <f>IF(DM75=0,0,(DN75-DM75)/DM75*100)</f>
        <v>0</v>
      </c>
      <c r="DP75" s="1428"/>
      <c r="DQ75" s="1428"/>
      <c r="DR75" s="996">
        <f>IF(DP75=0,0,(DQ75-DP75)/DP75*100)</f>
        <v>0</v>
      </c>
      <c r="DS75" s="1428"/>
      <c r="DT75" s="1428"/>
      <c r="DU75" s="996">
        <f>IF(DS75=0,0,(DT75-DS75)/DS75*100)</f>
        <v>0</v>
      </c>
      <c r="DV75" s="1428"/>
      <c r="DW75" s="1428"/>
      <c r="DX75" s="996">
        <f>IF(DV75=0,0,(DW75-DV75)/DV75*100)</f>
        <v>0</v>
      </c>
      <c r="DY75" s="1428"/>
      <c r="DZ75" s="1428"/>
      <c r="EA75" s="996">
        <f>IF(DY75=0,0,(DZ75-DY75)/DY75*100)</f>
        <v>0</v>
      </c>
      <c r="EB75" s="1428"/>
      <c r="EC75" s="1428"/>
      <c r="ED75" s="996">
        <f>IF(EB75=0,0,(EC75-EB75)/EB75*100)</f>
        <v>0</v>
      </c>
      <c r="EE75" s="1428"/>
      <c r="EF75" s="1428"/>
      <c r="EG75" s="996">
        <f>IF(EE75=0,0,(EF75-EE75)/EE75*100)</f>
        <v>0</v>
      </c>
      <c r="EH75" s="1428"/>
      <c r="EI75" s="1428"/>
      <c r="EJ75" s="996">
        <f>IF(EH75=0,0,(EI75-EH75)/EH75*100)</f>
        <v>0</v>
      </c>
      <c r="EK75" s="1428"/>
      <c r="EL75" s="1428"/>
      <c r="EM75" s="996">
        <f>IF(EK75=0,0,(EL75-EK75)/EK75*100)</f>
        <v>0</v>
      </c>
      <c r="EN75" s="1428"/>
      <c r="EO75" s="1428"/>
      <c r="EP75" s="996">
        <f>IF(EN75=0,0,(EO75-EN75)/EN75*100)</f>
        <v>0</v>
      </c>
      <c r="EQ75" s="1428"/>
      <c r="ER75" s="1428"/>
      <c r="ES75" s="996">
        <f>IF(EQ75=0,0,(ER75-EQ75)/EQ75*100)</f>
        <v>0</v>
      </c>
      <c r="ET75" s="1428"/>
      <c r="EU75" s="1428"/>
      <c r="EV75" s="996">
        <f>IF(ET75=0,0,(EU75-ET75)/ET75*100)</f>
        <v>0</v>
      </c>
      <c r="EW75" s="1428"/>
      <c r="EX75" s="1428"/>
      <c r="EY75" s="996">
        <f>IF(EW75=0,0,(EX75-EW75)/EW75*100)</f>
        <v>0</v>
      </c>
      <c r="EZ75" s="1428"/>
      <c r="FA75" s="1428"/>
      <c r="FB75" s="996">
        <f>IF(EZ75=0,0,(FA75-EZ75)/EZ75*100)</f>
        <v>0</v>
      </c>
      <c r="FC75" s="1428"/>
      <c r="FD75" s="1428"/>
      <c r="FE75" s="996">
        <f>IF(FC75=0,0,(FD75-FC75)/FC75*100)</f>
        <v>0</v>
      </c>
      <c r="FF75" s="1428"/>
      <c r="FG75" s="1428"/>
      <c r="FH75" s="996">
        <f>IF(FF75=0,0,(FG75-FF75)/FF75*100)</f>
        <v>0</v>
      </c>
      <c r="FI75" s="1428"/>
      <c r="FJ75" s="1428"/>
      <c r="FK75" s="996">
        <f>IF(FI75=0,0,(FJ75-FI75)/FI75*100)</f>
        <v>0</v>
      </c>
      <c r="FL75" s="1428"/>
      <c r="FM75" s="1428"/>
      <c r="FN75" s="996">
        <f>IF(FL75=0,0,(FM75-FL75)/FL75*100)</f>
        <v>0</v>
      </c>
      <c r="FO75" s="1428"/>
      <c r="FP75" s="1428"/>
      <c r="FQ75" s="996">
        <f>IF(FO75=0,0,(FP75-FO75)/FO75*100)</f>
        <v>0</v>
      </c>
      <c r="FR75" s="1428"/>
      <c r="FS75" s="1428"/>
      <c r="FT75" s="996">
        <f>IF(FR75=0,0,(FS75-FR75)/FR75*100)</f>
        <v>0</v>
      </c>
      <c r="FU75" s="1428"/>
      <c r="FV75" s="1428"/>
      <c r="FW75" s="996">
        <f>IF(FU75=0,0,(FV75-FU75)/FU75*100)</f>
        <v>0</v>
      </c>
      <c r="FZ75" s="957" t="s">
        <v>1525</v>
      </c>
      <c r="GA75" s="917" t="s">
        <v>795</v>
      </c>
      <c r="GB75" s="917" cm="1">
        <f t="array" ref="GB75">GB74</f>
        <v>0</v>
      </c>
    </row>
    <row r="76" spans="1:186" ht="14.65" hidden="1" customHeight="1">
      <c r="A76" s="409"/>
      <c r="B76" s="830" t="b" cm="1">
        <f t="array" ref="B76">B75</f>
        <v>0</v>
      </c>
      <c r="C76" s="409"/>
      <c r="D76" s="409"/>
      <c r="E76" s="754">
        <v>15</v>
      </c>
      <c r="F76" s="3" cm="1">
        <f t="array" aca="1" ref="F76" ca="1">OFFSET(E76,-1,1)</f>
        <v>0</v>
      </c>
      <c r="G76" s="409"/>
      <c r="H76" s="409"/>
      <c r="I76" s="17" t="s">
        <v>1526</v>
      </c>
      <c r="J76" s="409"/>
      <c r="K76" s="409"/>
      <c r="L76" s="409"/>
      <c r="M76" s="409"/>
      <c r="N76" s="409"/>
      <c r="O76" s="409"/>
      <c r="P76" s="409"/>
      <c r="Q76" s="409"/>
      <c r="R76" s="409"/>
      <c r="S76" s="409"/>
      <c r="T76" s="381" t="b">
        <f ca="1">F76&gt;0</f>
        <v>0</v>
      </c>
      <c r="U76" s="409"/>
      <c r="W76" s="671" t="s">
        <v>1484</v>
      </c>
      <c r="X76" s="1787"/>
      <c r="Z76" s="1734"/>
      <c r="AB76" s="176" t="s">
        <v>177</v>
      </c>
      <c r="AC76" s="180"/>
      <c r="AD76" s="999"/>
      <c r="AE76" s="999"/>
      <c r="AF76" s="999"/>
      <c r="AG76" s="999"/>
      <c r="AH76" s="999"/>
      <c r="AI76" s="999"/>
      <c r="AJ76" s="999"/>
      <c r="AK76" s="999"/>
      <c r="AL76" s="999"/>
      <c r="AM76" s="999"/>
      <c r="AN76" s="999"/>
      <c r="AO76" s="999"/>
      <c r="AP76" s="999"/>
      <c r="AQ76" s="999"/>
      <c r="AR76" s="999"/>
      <c r="AS76" s="999"/>
      <c r="AT76" s="999"/>
      <c r="AU76" s="999"/>
      <c r="AV76" s="999"/>
      <c r="AW76" s="999"/>
      <c r="AX76" s="999"/>
      <c r="AY76" s="999"/>
      <c r="AZ76" s="999"/>
      <c r="BA76" s="999"/>
      <c r="BB76" s="999"/>
      <c r="BC76" s="999"/>
      <c r="BD76" s="999"/>
      <c r="BE76" s="999"/>
      <c r="BF76" s="999"/>
      <c r="BG76" s="999"/>
      <c r="BH76" s="999"/>
      <c r="BI76" s="999"/>
      <c r="BJ76" s="999"/>
      <c r="BK76" s="999"/>
      <c r="BL76" s="999"/>
      <c r="BM76" s="999"/>
      <c r="BN76" s="999"/>
      <c r="BO76" s="999"/>
      <c r="BP76" s="999"/>
      <c r="BQ76" s="999"/>
      <c r="BR76" s="999"/>
      <c r="BS76" s="999"/>
      <c r="BT76" s="999"/>
      <c r="BU76" s="999"/>
      <c r="BV76" s="999"/>
      <c r="BW76" s="999"/>
      <c r="BX76" s="999"/>
      <c r="BY76" s="999"/>
      <c r="BZ76" s="999"/>
      <c r="CA76" s="999"/>
      <c r="CB76" s="999"/>
      <c r="CC76" s="999"/>
      <c r="CD76" s="999"/>
      <c r="CE76" s="999"/>
      <c r="CF76" s="999"/>
      <c r="CG76" s="999"/>
      <c r="CH76" s="999"/>
      <c r="CI76" s="999"/>
      <c r="CJ76" s="999"/>
      <c r="CK76" s="999"/>
      <c r="CL76" s="999"/>
      <c r="CM76" s="999"/>
      <c r="CN76" s="999"/>
      <c r="CO76" s="999"/>
      <c r="CP76" s="999"/>
      <c r="CQ76" s="999"/>
      <c r="CR76" s="999"/>
      <c r="CS76" s="999"/>
      <c r="CT76" s="999"/>
      <c r="CU76" s="999"/>
      <c r="CV76" s="999"/>
      <c r="CW76" s="999"/>
      <c r="CX76" s="999"/>
      <c r="CY76" s="999"/>
      <c r="CZ76" s="999"/>
      <c r="DA76" s="999"/>
      <c r="DB76" s="999"/>
      <c r="DC76" s="999"/>
      <c r="DD76" s="999"/>
      <c r="DE76" s="999"/>
      <c r="DF76" s="999"/>
      <c r="DG76" s="999"/>
      <c r="DH76" s="999"/>
      <c r="DI76" s="999"/>
      <c r="DJ76" s="999"/>
      <c r="DK76" s="999"/>
      <c r="DL76" s="999"/>
      <c r="DM76" s="999"/>
      <c r="DN76" s="999"/>
      <c r="DO76" s="999"/>
      <c r="DP76" s="999"/>
      <c r="DQ76" s="999"/>
      <c r="DR76" s="999"/>
      <c r="DS76" s="999"/>
      <c r="DT76" s="999"/>
      <c r="DU76" s="999"/>
      <c r="DV76" s="999"/>
      <c r="DW76" s="999"/>
      <c r="DX76" s="999"/>
      <c r="DY76" s="999"/>
      <c r="DZ76" s="999"/>
      <c r="EA76" s="999"/>
      <c r="EB76" s="999"/>
      <c r="EC76" s="999"/>
      <c r="ED76" s="999"/>
      <c r="EE76" s="999"/>
      <c r="EF76" s="999"/>
      <c r="EG76" s="999"/>
      <c r="EH76" s="999"/>
      <c r="EI76" s="999"/>
      <c r="EJ76" s="999"/>
      <c r="EK76" s="999"/>
      <c r="EL76" s="999"/>
      <c r="EM76" s="999"/>
      <c r="EN76" s="999"/>
      <c r="EO76" s="999"/>
      <c r="EP76" s="999"/>
      <c r="EQ76" s="999"/>
      <c r="ER76" s="999"/>
      <c r="ES76" s="999"/>
      <c r="ET76" s="999"/>
      <c r="EU76" s="999"/>
      <c r="EV76" s="999"/>
      <c r="EW76" s="999"/>
      <c r="EX76" s="999"/>
      <c r="EY76" s="999"/>
      <c r="EZ76" s="999"/>
      <c r="FA76" s="999"/>
      <c r="FB76" s="999"/>
      <c r="FC76" s="999"/>
      <c r="FD76" s="999"/>
      <c r="FE76" s="999"/>
      <c r="FF76" s="999"/>
      <c r="FG76" s="999"/>
      <c r="FH76" s="999"/>
      <c r="FI76" s="999"/>
      <c r="FJ76" s="999"/>
      <c r="FK76" s="999"/>
      <c r="FL76" s="999"/>
      <c r="FM76" s="999"/>
      <c r="FN76" s="999"/>
      <c r="FO76" s="999"/>
      <c r="FP76" s="999"/>
      <c r="FQ76" s="999"/>
      <c r="FR76" s="999"/>
      <c r="FS76" s="999"/>
      <c r="FT76" s="999"/>
      <c r="FU76" s="999"/>
      <c r="FV76" s="999"/>
      <c r="FW76" s="1000"/>
      <c r="FZ76" s="957" t="s">
        <v>231</v>
      </c>
      <c r="GC76" s="549" t="s">
        <v>795</v>
      </c>
    </row>
    <row r="77" spans="1:186" s="1327" customFormat="1" ht="11.25" hidden="1" customHeight="1">
      <c r="A77" s="398"/>
      <c r="B77" s="830"/>
      <c r="C77" s="398"/>
      <c r="D77" s="398"/>
      <c r="E77" s="780">
        <v>0</v>
      </c>
      <c r="F77" s="1083" cm="1">
        <f t="array" aca="1" ref="F77" ca="1">OFFSET(E77,-1,1)</f>
        <v>0</v>
      </c>
      <c r="G77" s="398"/>
      <c r="H77" s="398"/>
      <c r="I77" s="398"/>
      <c r="J77" s="398"/>
      <c r="K77" s="398"/>
      <c r="L77" s="398"/>
      <c r="M77" s="398"/>
      <c r="N77" s="398"/>
      <c r="O77" s="398"/>
      <c r="P77" s="398"/>
      <c r="Q77" s="398"/>
      <c r="R77" s="398"/>
      <c r="S77" s="398"/>
      <c r="T77" s="381" t="b">
        <v>0</v>
      </c>
      <c r="U77" s="398"/>
      <c r="V77" s="398"/>
      <c r="W77" s="398"/>
      <c r="X77" s="1787"/>
      <c r="Y77" s="398"/>
      <c r="Z77" s="1734"/>
      <c r="AA77" s="398"/>
      <c r="AB77"/>
      <c r="AC77" s="398"/>
      <c r="AD77" s="1009"/>
      <c r="AE77" s="1009"/>
      <c r="AF77" s="1009"/>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Z77" s="957" t="s">
        <v>231</v>
      </c>
      <c r="GA77" s="921"/>
      <c r="GB77" s="960"/>
      <c r="GC77" s="603"/>
      <c r="GD77" s="603"/>
    </row>
    <row r="78" spans="1:186" s="208" customFormat="1" ht="23.85" hidden="1" customHeight="1">
      <c r="A78" s="806"/>
      <c r="B78" s="830" t="b" cm="1">
        <f t="array" ref="B78">S29</f>
        <v>0</v>
      </c>
      <c r="C78" s="806"/>
      <c r="D78" s="806"/>
      <c r="E78" s="754">
        <v>24.5</v>
      </c>
      <c r="F78" s="3" cm="1">
        <f t="array" aca="1" ref="F78" ca="1">OFFSET(E78,-1,1)</f>
        <v>0</v>
      </c>
      <c r="G78" s="26" t="s">
        <v>1451</v>
      </c>
      <c r="H78" s="409" t="s">
        <v>427</v>
      </c>
      <c r="I78" s="409" t="s">
        <v>1527</v>
      </c>
      <c r="J78" s="806"/>
      <c r="K78" s="806"/>
      <c r="L78" s="806"/>
      <c r="M78" s="806"/>
      <c r="N78" s="806"/>
      <c r="O78" s="806"/>
      <c r="P78" s="806"/>
      <c r="Q78" s="806"/>
      <c r="R78" s="806"/>
      <c r="S78" s="409"/>
      <c r="T78" s="381" t="b" cm="1">
        <f t="array" aca="1" ref="T78" ca="1">T76</f>
        <v>0</v>
      </c>
      <c r="U78" s="806"/>
      <c r="V78" s="806"/>
      <c r="W78" s="806"/>
      <c r="X78" s="1787"/>
      <c r="Y78" s="806"/>
      <c r="Z78" s="1734"/>
      <c r="AA78" s="806"/>
      <c r="AB78" s="137" t="s">
        <v>1528</v>
      </c>
      <c r="AC78" s="152" t="s">
        <v>1454</v>
      </c>
      <c r="AD78" s="1430">
        <f ca="1">IF(AND(method_reg="Метод индексации",god&lt;&gt;first_year),SUMIFS(INDEX('Калькуляция (МИ корр)'!$AJ$25:$BC$315,,MATCH(AD$8,'Калькуляция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(МИ)'!$AJ$25:$BC$315,,MATCH(AD$8,'Калькуляция (МИ)'!$AJ$8:$BC$8,0)),'Калькуляция (МИ)'!$F$25:$F$315,$F78,'Калькуляция (МИ)'!$G$25:$G$315,$G78))))</f>
        <v>0</v>
      </c>
      <c r="AE78" s="1430">
        <f ca="1">IF(AND(method_reg="Метод индексации",god&lt;&gt;first_year),SUMIFS(INDEX('Калькуляция (МИ корр)'!$AJ$25:$BC$315,,MATCH(AE$8,'Калькуляция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(МИ)'!$AJ$25:$BC$315,,MATCH(AE$8,'Калькуляция (МИ)'!$AJ$8:$BC$8,0)),'Калькуляция (МИ)'!$F$25:$F$315,$F78,'Калькуляция (МИ)'!$G$25:$G$315,$G78))))</f>
        <v>0</v>
      </c>
      <c r="AF78" s="212">
        <f ca="1">IF(AD78=0,0,(AE78-AD78)/AD78*100)</f>
        <v>0</v>
      </c>
      <c r="AG78" s="1430">
        <f ca="1">IF(AND(method_reg="Метод индексации",god&lt;&gt;first_year),SUMIFS(INDEX('Калькуляция (МИ корр)'!$AJ$25:$BC$315,,MATCH(AG$8,'Калькуляция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(МИ)'!$AJ$25:$BC$315,,MATCH(AG$8,'Калькуляция (МИ)'!$AJ$8:$BC$8,0)),'Калькуляция (МИ)'!$F$25:$F$315,$F78,'Калькуляция (МИ)'!$G$25:$G$315,$G78))))</f>
        <v>0</v>
      </c>
      <c r="AH78" s="1430">
        <f ca="1">IF(AND(method_reg="Метод индексации",god&lt;&gt;first_year),SUMIFS(INDEX('Калькуляция (МИ корр)'!$AJ$25:$BC$315,,MATCH(AH$8,'Калькуляция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(МИ)'!$AJ$25:$BC$315,,MATCH(AH$8,'Калькуляция (МИ)'!$AJ$8:$BC$8,0)),'Калькуляция (МИ)'!$F$25:$F$315,$F78,'Калькуляция (МИ)'!$G$25:$G$315,$G78))))</f>
        <v>0</v>
      </c>
      <c r="AI78" s="212">
        <f ca="1">IF(AG78=0,0,(AH78-AG78)/AG78*100)</f>
        <v>0</v>
      </c>
      <c r="AJ78" s="1430">
        <f ca="1">IF(AND(method_reg="Метод индексации",god&lt;&gt;first_year),SUMIFS(INDEX('Калькуляция (МИ корр)'!$AJ$25:$BC$315,,MATCH(AJ$8,'Калькуляция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(МИ)'!$AJ$25:$BC$315,,MATCH(AJ$8,'Калькуляция (МИ)'!$AJ$8:$BC$8,0)),'Калькуляция (МИ)'!$F$25:$F$315,$F78,'Калькуляция (МИ)'!$G$25:$G$315,$G78))))</f>
        <v>0</v>
      </c>
      <c r="AK78" s="1430">
        <f ca="1">IF(AND(method_reg="Метод индексации",god&lt;&gt;first_year),SUMIFS(INDEX('Калькуляция (МИ корр)'!$AJ$25:$BC$315,,MATCH(AK$8,'Калькуляция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(МИ)'!$AJ$25:$BC$315,,MATCH(AK$8,'Калькуляция (МИ)'!$AJ$8:$BC$8,0)),'Калькуляция (МИ)'!$F$25:$F$315,$F78,'Калькуляция (МИ)'!$G$25:$G$315,$G78))))</f>
        <v>0</v>
      </c>
      <c r="AL78" s="212">
        <f ca="1">IF(AJ78=0,0,(AK78-AJ78)/AJ78*100)</f>
        <v>0</v>
      </c>
      <c r="AM78" s="1430">
        <f ca="1">IF(AND(method_reg="Метод индексации",god&lt;&gt;first_year),SUMIFS(INDEX('Калькуляция (МИ корр)'!$AJ$25:$BC$315,,MATCH(AM$8,'Калькуляция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(МИ)'!$AJ$25:$BC$315,,MATCH(AM$8,'Калькуляция (МИ)'!$AJ$8:$BC$8,0)),'Калькуляция (МИ)'!$F$25:$F$315,$F78,'Калькуляция (МИ)'!$G$25:$G$315,$G78))))</f>
        <v>0</v>
      </c>
      <c r="AN78" s="1430">
        <f ca="1">IF(AND(method_reg="Метод индексации",god&lt;&gt;first_year),SUMIFS(INDEX('Калькуляция (МИ корр)'!$AJ$25:$BC$315,,MATCH(AN$8,'Калькуляция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(МИ)'!$AJ$25:$BC$315,,MATCH(AN$8,'Калькуляция (МИ)'!$AJ$8:$BC$8,0)),'Калькуляция (МИ)'!$F$25:$F$315,$F78,'Калькуляция (МИ)'!$G$25:$G$315,$G78))))</f>
        <v>0</v>
      </c>
      <c r="AO78" s="212">
        <f ca="1">IF(AM78=0,0,(AN78-AM78)/AM78*100)</f>
        <v>0</v>
      </c>
      <c r="AP78" s="1430">
        <f ca="1">IF(AND(method_reg="Метод индексации",god&lt;&gt;first_year),SUMIFS(INDEX('Калькуляция (МИ корр)'!$AJ$25:$BC$315,,MATCH(AP$8,'Калькуляция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(МИ)'!$AJ$25:$BC$315,,MATCH(AP$8,'Калькуляция (МИ)'!$AJ$8:$BC$8,0)),'Калькуляция (МИ)'!$F$25:$F$315,$F78,'Калькуляция (МИ)'!$G$25:$G$315,$G78))))</f>
        <v>0</v>
      </c>
      <c r="AQ78" s="1430">
        <f ca="1">IF(AND(method_reg="Метод индексации",god&lt;&gt;first_year),SUMIFS(INDEX('Калькуляция (МИ корр)'!$AJ$25:$BC$315,,MATCH(AQ$8,'Калькуляция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(МИ)'!$AJ$25:$BC$315,,MATCH(AQ$8,'Калькуляция (МИ)'!$AJ$8:$BC$8,0)),'Калькуляция (МИ)'!$F$25:$F$315,$F78,'Калькуляция (МИ)'!$G$25:$G$315,$G78))))</f>
        <v>0</v>
      </c>
      <c r="AR78" s="212">
        <f ca="1">IF(AP78=0,0,(AQ78-AP78)/AP78*100)</f>
        <v>0</v>
      </c>
      <c r="AS78" s="1430">
        <f ca="1">IF(AND(method_reg="Метод индексации",god&lt;&gt;first_year),SUMIFS(INDEX('Калькуляция (МИ корр)'!$AJ$25:$BC$315,,MATCH(AS$8,'Калькуляция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(МИ)'!$AJ$25:$BC$315,,MATCH(AS$8,'Калькуляция (МИ)'!$AJ$8:$BC$8,0)),'Калькуляция (МИ)'!$F$25:$F$315,$F78,'Калькуляция (МИ)'!$G$25:$G$315,$G78))))</f>
        <v>0</v>
      </c>
      <c r="AT78" s="1430">
        <f ca="1">IF(AND(method_reg="Метод индексации",god&lt;&gt;first_year),SUMIFS(INDEX('Калькуляция (МИ корр)'!$AJ$25:$BC$315,,MATCH(AT$8,'Калькуляция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(МИ)'!$AJ$25:$BC$315,,MATCH(AT$8,'Калькуляция (МИ)'!$AJ$8:$BC$8,0)),'Калькуляция (МИ)'!$F$25:$F$315,$F78,'Калькуляция (МИ)'!$G$25:$G$315,$G78))))</f>
        <v>0</v>
      </c>
      <c r="AU78" s="212">
        <f ca="1">IF(AS78=0,0,(AT78-AS78)/AS78*100)</f>
        <v>0</v>
      </c>
      <c r="AV78" s="1430">
        <f ca="1">IF(AND(method_reg="Метод индексации",god&lt;&gt;first_year),SUMIFS(INDEX('Калькуляция (МИ корр)'!$AJ$25:$BC$315,,MATCH(AV$8,'Калькуляция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(МИ)'!$AJ$25:$BC$315,,MATCH(AV$8,'Калькуляция (МИ)'!$AJ$8:$BC$8,0)),'Калькуляция (МИ)'!$F$25:$F$315,$F78,'Калькуляция (МИ)'!$G$25:$G$315,$G78))))</f>
        <v>0</v>
      </c>
      <c r="AW78" s="1430">
        <f ca="1">IF(AND(method_reg="Метод индексации",god&lt;&gt;first_year),SUMIFS(INDEX('Калькуляция (МИ корр)'!$AJ$25:$BC$315,,MATCH(AW$8,'Калькуляция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(МИ)'!$AJ$25:$BC$315,,MATCH(AW$8,'Калькуляция (МИ)'!$AJ$8:$BC$8,0)),'Калькуляция (МИ)'!$F$25:$F$315,$F78,'Калькуляция (МИ)'!$G$25:$G$315,$G78))))</f>
        <v>0</v>
      </c>
      <c r="AX78" s="212">
        <f ca="1">IF(AV78=0,0,(AW78-AV78)/AV78*100)</f>
        <v>0</v>
      </c>
      <c r="AY78" s="1430">
        <f ca="1">IF(AND(method_reg="Метод индексации",god&lt;&gt;first_year),SUMIFS(INDEX('Калькуляция (МИ корр)'!$AJ$25:$BC$315,,MATCH(AY$8,'Калькуляция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(МИ)'!$AJ$25:$BC$315,,MATCH(AY$8,'Калькуляция (МИ)'!$AJ$8:$BC$8,0)),'Калькуляция (МИ)'!$F$25:$F$315,$F78,'Калькуляция (МИ)'!$G$25:$G$315,$G78))))</f>
        <v>0</v>
      </c>
      <c r="AZ78" s="1430">
        <f ca="1">IF(AND(method_reg="Метод индексации",god&lt;&gt;first_year),SUMIFS(INDEX('Калькуляция (МИ корр)'!$AJ$25:$BC$315,,MATCH(AZ$8,'Калькуляция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(МИ)'!$AJ$25:$BC$315,,MATCH(AZ$8,'Калькуляция (МИ)'!$AJ$8:$BC$8,0)),'Калькуляция (МИ)'!$F$25:$F$315,$F78,'Калькуляция (МИ)'!$G$25:$G$315,$G78))))</f>
        <v>0</v>
      </c>
      <c r="BA78" s="212">
        <f ca="1">IF(AY78=0,0,(AZ78-AY78)/AY78*100)</f>
        <v>0</v>
      </c>
      <c r="BB78" s="1430">
        <f ca="1">IF(AND(method_reg="Метод индексации",god&lt;&gt;first_year),SUMIFS(INDEX('Калькуляция (МИ корр)'!$AJ$25:$BC$315,,MATCH(BB$8,'Калькуляция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(МИ)'!$AJ$25:$BC$315,,MATCH(BB$8,'Калькуляция (МИ)'!$AJ$8:$BC$8,0)),'Калькуляция (МИ)'!$F$25:$F$315,$F78,'Калькуляция (МИ)'!$G$25:$G$315,$G78))))</f>
        <v>0</v>
      </c>
      <c r="BC78" s="1430">
        <f ca="1">IF(AND(method_reg="Метод индексации",god&lt;&gt;first_year),SUMIFS(INDEX('Калькуляция (МИ корр)'!$AJ$25:$BC$315,,MATCH(BC$8,'Калькуляция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(МИ)'!$AJ$25:$BC$315,,MATCH(BC$8,'Калькуляция (МИ)'!$AJ$8:$BC$8,0)),'Калькуляция (МИ)'!$F$25:$F$315,$F78,'Калькуляция (МИ)'!$G$25:$G$315,$G78))))</f>
        <v>0</v>
      </c>
      <c r="BD78" s="212">
        <f ca="1">IF(BB78=0,0,(BC78-BB78)/BB78*100)</f>
        <v>0</v>
      </c>
      <c r="BE78" s="1430">
        <f ca="1">IF(AND(method_reg="Метод индексации",god&lt;&gt;first_year),SUMIFS(INDEX('Калькуляция (МИ корр)'!$AJ$25:$BC$315,,MATCH(BE$8,'Калькуляция (МИ корр)'!$AJ$8:$BC$8,0)),'Калькуляция (МИ корр)'!$F$25:$F$315,$F78,'Калькуляция (МИ корр)'!$G$25:$G$315,$G78),IF(method_reg="Метод экономически обоснованных расходов",SUMIFS('Калькуляция (МЭОР)'!$AJ$25:$AJ$199,'Калькуляция (МЭОР)'!$F$25:$F$199,$F78,'Калькуляция (МЭОР)'!$G$25:$G$199,$G78),IF(method_reg="Метод сравнения аналогов",SUMIFS('Калькуляция (МСА)'!$AE$25:$AE$65,'Калькуляция (МСА)'!$F$25:$F$65,$F78,'Калькуляция (МСА)'!$G$25:$G$65,$G78),SUMIFS(INDEX('Калькуляция (МИ)'!$AJ$25:$BC$315,,MATCH(BE$8,'Калькуляция (МИ)'!$AJ$8:$BC$8,0)),'Калькуляция (МИ)'!$F$25:$F$315,$F78,'Калькуляция (МИ)'!$G$25:$G$315,$G78))))</f>
        <v>0</v>
      </c>
      <c r="BF78" s="1430">
        <f ca="1">IF(AND(method_reg="Метод индексации",god&lt;&gt;first_year),SUMIFS(INDEX('Калькуляция (МИ корр)'!$AJ$25:$BC$315,,MATCH(BF$8,'Калькуляция (МИ корр)'!$AJ$8:$BC$8,0)),'Калькуляция (МИ корр)'!$F$25:$F$315,$F78,'Калькуляция (МИ корр)'!$G$25:$G$315,$G78),IF(method_reg="Метод экономически обоснованных расходов",SUMIFS('Калькуляция (МЭОР)'!$AK$25:$AK$199,'Калькуляция (МЭОР)'!$F$25:$F$199,$F78,'Калькуляция (МЭОР)'!$G$25:$G$199,$G78),IF(method_reg="Метод сравнения аналогов",SUMIFS('Калькуляция (МСА)'!$AF$25:$AF$65,'Калькуляция (МСА)'!$F$25:$F$65,$F78,'Калькуляция (МСА)'!$G$25:$G$65,$G78),SUMIFS(INDEX('Калькуляция (МИ)'!$AJ$25:$BC$315,,MATCH(BF$8,'Калькуляция (МИ)'!$AJ$8:$BC$8,0)),'Калькуляция (МИ)'!$F$25:$F$315,$F78,'Калькуляция (МИ)'!$G$25:$G$315,$G78))))</f>
        <v>0</v>
      </c>
      <c r="BG78" s="212">
        <f ca="1">IF(BE78=0,0,(BF78-BE78)/BE78*100)</f>
        <v>0</v>
      </c>
      <c r="BH78" s="1430"/>
      <c r="BI78" s="1430"/>
      <c r="BJ78" s="212">
        <f>IF(BH78=0,0,(BI78-BH78)/BH78*100)</f>
        <v>0</v>
      </c>
      <c r="BK78" s="1430"/>
      <c r="BL78" s="1430"/>
      <c r="BM78" s="212">
        <f>IF(BK78=0,0,(BL78-BK78)/BK78*100)</f>
        <v>0</v>
      </c>
      <c r="BN78" s="1430"/>
      <c r="BO78" s="1430"/>
      <c r="BP78" s="212">
        <f>IF(BN78=0,0,(BO78-BN78)/BN78*100)</f>
        <v>0</v>
      </c>
      <c r="BQ78" s="1430"/>
      <c r="BR78" s="1430"/>
      <c r="BS78" s="212">
        <f>IF(BQ78=0,0,(BR78-BQ78)/BQ78*100)</f>
        <v>0</v>
      </c>
      <c r="BT78" s="1430"/>
      <c r="BU78" s="1430"/>
      <c r="BV78" s="212">
        <f>IF(BT78=0,0,(BU78-BT78)/BT78*100)</f>
        <v>0</v>
      </c>
      <c r="BW78" s="1430"/>
      <c r="BX78" s="1430"/>
      <c r="BY78" s="212">
        <f>IF(BW78=0,0,(BX78-BW78)/BW78*100)</f>
        <v>0</v>
      </c>
      <c r="BZ78" s="1430"/>
      <c r="CA78" s="1430"/>
      <c r="CB78" s="212">
        <f>IF(BZ78=0,0,(CA78-BZ78)/BZ78*100)</f>
        <v>0</v>
      </c>
      <c r="CC78" s="1430"/>
      <c r="CD78" s="1430"/>
      <c r="CE78" s="212">
        <f>IF(CC78=0,0,(CD78-CC78)/CC78*100)</f>
        <v>0</v>
      </c>
      <c r="CF78" s="1430"/>
      <c r="CG78" s="1430"/>
      <c r="CH78" s="212">
        <f>IF(CF78=0,0,(CG78-CF78)/CF78*100)</f>
        <v>0</v>
      </c>
      <c r="CI78" s="1430"/>
      <c r="CJ78" s="1430"/>
      <c r="CK78" s="212">
        <f>IF(CI78=0,0,(CJ78-CI78)/CI78*100)</f>
        <v>0</v>
      </c>
      <c r="CL78" s="1430"/>
      <c r="CM78" s="1430"/>
      <c r="CN78" s="212">
        <f>IF(CL78=0,0,(CM78-CL78)/CL78*100)</f>
        <v>0</v>
      </c>
      <c r="CO78" s="1430"/>
      <c r="CP78" s="1430"/>
      <c r="CQ78" s="212">
        <f>IF(CO78=0,0,(CP78-CO78)/CO78*100)</f>
        <v>0</v>
      </c>
      <c r="CR78" s="1430"/>
      <c r="CS78" s="1430"/>
      <c r="CT78" s="212">
        <f>IF(CR78=0,0,(CS78-CR78)/CR78*100)</f>
        <v>0</v>
      </c>
      <c r="CU78" s="1430"/>
      <c r="CV78" s="1430"/>
      <c r="CW78" s="212">
        <f>IF(CU78=0,0,(CV78-CU78)/CU78*100)</f>
        <v>0</v>
      </c>
      <c r="CX78" s="1430"/>
      <c r="CY78" s="1430"/>
      <c r="CZ78" s="212">
        <f>IF(CX78=0,0,(CY78-CX78)/CX78*100)</f>
        <v>0</v>
      </c>
      <c r="DA78" s="1430"/>
      <c r="DB78" s="1430"/>
      <c r="DC78" s="212">
        <f>IF(DA78=0,0,(DB78-DA78)/DA78*100)</f>
        <v>0</v>
      </c>
      <c r="DD78" s="1430"/>
      <c r="DE78" s="1430"/>
      <c r="DF78" s="212">
        <f>IF(DD78=0,0,(DE78-DD78)/DD78*100)</f>
        <v>0</v>
      </c>
      <c r="DG78" s="1430"/>
      <c r="DH78" s="1430"/>
      <c r="DI78" s="212">
        <f>IF(DG78=0,0,(DH78-DG78)/DG78*100)</f>
        <v>0</v>
      </c>
      <c r="DJ78" s="1430"/>
      <c r="DK78" s="1430"/>
      <c r="DL78" s="212">
        <f>IF(DJ78=0,0,(DK78-DJ78)/DJ78*100)</f>
        <v>0</v>
      </c>
      <c r="DM78" s="1430"/>
      <c r="DN78" s="1430"/>
      <c r="DO78" s="212">
        <f>IF(DM78=0,0,(DN78-DM78)/DM78*100)</f>
        <v>0</v>
      </c>
      <c r="DP78" s="1430"/>
      <c r="DQ78" s="1430"/>
      <c r="DR78" s="212">
        <f>IF(DP78=0,0,(DQ78-DP78)/DP78*100)</f>
        <v>0</v>
      </c>
      <c r="DS78" s="1430"/>
      <c r="DT78" s="1430"/>
      <c r="DU78" s="212">
        <f>IF(DS78=0,0,(DT78-DS78)/DS78*100)</f>
        <v>0</v>
      </c>
      <c r="DV78" s="1430"/>
      <c r="DW78" s="1430"/>
      <c r="DX78" s="212">
        <f>IF(DV78=0,0,(DW78-DV78)/DV78*100)</f>
        <v>0</v>
      </c>
      <c r="DY78" s="1430"/>
      <c r="DZ78" s="1430"/>
      <c r="EA78" s="212">
        <f>IF(DY78=0,0,(DZ78-DY78)/DY78*100)</f>
        <v>0</v>
      </c>
      <c r="EB78" s="1430"/>
      <c r="EC78" s="1430"/>
      <c r="ED78" s="212">
        <f>IF(EB78=0,0,(EC78-EB78)/EB78*100)</f>
        <v>0</v>
      </c>
      <c r="EE78" s="1430"/>
      <c r="EF78" s="1430"/>
      <c r="EG78" s="212">
        <f>IF(EE78=0,0,(EF78-EE78)/EE78*100)</f>
        <v>0</v>
      </c>
      <c r="EH78" s="1430"/>
      <c r="EI78" s="1430"/>
      <c r="EJ78" s="212">
        <f>IF(EH78=0,0,(EI78-EH78)/EH78*100)</f>
        <v>0</v>
      </c>
      <c r="EK78" s="1430"/>
      <c r="EL78" s="1430"/>
      <c r="EM78" s="212">
        <f>IF(EK78=0,0,(EL78-EK78)/EK78*100)</f>
        <v>0</v>
      </c>
      <c r="EN78" s="1430"/>
      <c r="EO78" s="1430"/>
      <c r="EP78" s="212">
        <f>IF(EN78=0,0,(EO78-EN78)/EN78*100)</f>
        <v>0</v>
      </c>
      <c r="EQ78" s="1430"/>
      <c r="ER78" s="1430"/>
      <c r="ES78" s="212">
        <f>IF(EQ78=0,0,(ER78-EQ78)/EQ78*100)</f>
        <v>0</v>
      </c>
      <c r="ET78" s="1430"/>
      <c r="EU78" s="1430"/>
      <c r="EV78" s="212">
        <f>IF(ET78=0,0,(EU78-ET78)/ET78*100)</f>
        <v>0</v>
      </c>
      <c r="EW78" s="1430"/>
      <c r="EX78" s="1430"/>
      <c r="EY78" s="212">
        <f>IF(EW78=0,0,(EX78-EW78)/EW78*100)</f>
        <v>0</v>
      </c>
      <c r="EZ78" s="1430"/>
      <c r="FA78" s="1430"/>
      <c r="FB78" s="212">
        <f>IF(EZ78=0,0,(FA78-EZ78)/EZ78*100)</f>
        <v>0</v>
      </c>
      <c r="FC78" s="1430"/>
      <c r="FD78" s="1430"/>
      <c r="FE78" s="212">
        <f>IF(FC78=0,0,(FD78-FC78)/FC78*100)</f>
        <v>0</v>
      </c>
      <c r="FF78" s="1430"/>
      <c r="FG78" s="1430"/>
      <c r="FH78" s="212">
        <f>IF(FF78=0,0,(FG78-FF78)/FF78*100)</f>
        <v>0</v>
      </c>
      <c r="FI78" s="1430"/>
      <c r="FJ78" s="1430"/>
      <c r="FK78" s="212">
        <f>IF(FI78=0,0,(FJ78-FI78)/FI78*100)</f>
        <v>0</v>
      </c>
      <c r="FL78" s="1430"/>
      <c r="FM78" s="1430"/>
      <c r="FN78" s="212">
        <f>IF(FL78=0,0,(FM78-FL78)/FL78*100)</f>
        <v>0</v>
      </c>
      <c r="FO78" s="1430"/>
      <c r="FP78" s="1430"/>
      <c r="FQ78" s="212">
        <f>IF(FO78=0,0,(FP78-FO78)/FO78*100)</f>
        <v>0</v>
      </c>
      <c r="FR78" s="1430"/>
      <c r="FS78" s="1430"/>
      <c r="FT78" s="212">
        <f>IF(FR78=0,0,(FS78-FR78)/FR78*100)</f>
        <v>0</v>
      </c>
      <c r="FU78" s="1430"/>
      <c r="FV78" s="1430"/>
      <c r="FW78" s="212">
        <f>IF(FU78=0,0,(FV78-FU78)/FU78*100)</f>
        <v>0</v>
      </c>
      <c r="FZ78" s="957" t="s">
        <v>1529</v>
      </c>
      <c r="GA78" s="957"/>
      <c r="GB78" s="957"/>
      <c r="GC78" s="958"/>
      <c r="GD78" s="958"/>
    </row>
    <row r="79" spans="1:186" s="208" customFormat="1" ht="23.85" hidden="1" customHeight="1">
      <c r="A79" s="806"/>
      <c r="B79" s="830" t="b" cm="1">
        <f t="array" ref="B79">B78</f>
        <v>0</v>
      </c>
      <c r="C79" s="806"/>
      <c r="D79" s="806"/>
      <c r="E79" s="754">
        <v>24.5</v>
      </c>
      <c r="F79" s="3" cm="1">
        <f t="array" aca="1" ref="F79" ca="1">OFFSET(E79,-1,1)</f>
        <v>0</v>
      </c>
      <c r="G79" s="26" t="s">
        <v>1456</v>
      </c>
      <c r="H79" s="409" t="s">
        <v>427</v>
      </c>
      <c r="I79" s="409" t="s">
        <v>1530</v>
      </c>
      <c r="J79" s="806"/>
      <c r="K79" s="806"/>
      <c r="L79" s="806"/>
      <c r="M79" s="806"/>
      <c r="N79" s="806"/>
      <c r="O79" s="806"/>
      <c r="P79" s="806"/>
      <c r="Q79" s="806"/>
      <c r="R79" s="806"/>
      <c r="S79" s="409"/>
      <c r="T79" s="381" t="b" cm="1">
        <f t="array" aca="1" ref="T79" ca="1">T78</f>
        <v>0</v>
      </c>
      <c r="U79" s="806"/>
      <c r="V79" s="806"/>
      <c r="W79" s="806"/>
      <c r="X79" s="1787"/>
      <c r="Y79" s="806"/>
      <c r="Z79" s="1734"/>
      <c r="AA79" s="806"/>
      <c r="AB79" s="137" t="s">
        <v>1531</v>
      </c>
      <c r="AC79" s="152" t="s">
        <v>1454</v>
      </c>
      <c r="AD79" s="1430">
        <f ca="1">IF(AND(method_reg="Метод индексации",god&lt;&gt;first_year),SUMIFS(INDEX('Калькуляция (МИ корр)'!$AJ$25:$BC$315,,MATCH(AD$8,'Калькуляция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(МИ)'!$AJ$25:$BC$315,,MATCH(AD$8,'Калькуляция (МИ)'!$AJ$8:$BC$8,0)),'Калькуляция (МИ)'!$F$25:$F$315,$F79,'Калькуляция (МИ)'!$G$25:$G$315,$G79))))</f>
        <v>0</v>
      </c>
      <c r="AE79" s="1430">
        <f ca="1">IF(AND(method_reg="Метод индексации",god&lt;&gt;first_year),SUMIFS(INDEX('Калькуляция (МИ корр)'!$AJ$25:$BC$315,,MATCH(AE$8,'Калькуляция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(МИ)'!$AJ$25:$BC$315,,MATCH(AE$8,'Калькуляция (МИ)'!$AJ$8:$BC$8,0)),'Калькуляция (МИ)'!$F$25:$F$315,$F79,'Калькуляция (МИ)'!$G$25:$G$315,$G79))))</f>
        <v>0</v>
      </c>
      <c r="AF79" s="212">
        <f ca="1">IF(AD79=0,0,(AE79-AD79)/AD79*100)</f>
        <v>0</v>
      </c>
      <c r="AG79" s="1430">
        <f ca="1">IF(AND(method_reg="Метод индексации",god&lt;&gt;first_year),SUMIFS(INDEX('Калькуляция (МИ корр)'!$AJ$25:$BC$315,,MATCH(AG$8,'Калькуляция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(МИ)'!$AJ$25:$BC$315,,MATCH(AG$8,'Калькуляция (МИ)'!$AJ$8:$BC$8,0)),'Калькуляция (МИ)'!$F$25:$F$315,$F79,'Калькуляция (МИ)'!$G$25:$G$315,$G79))))</f>
        <v>0</v>
      </c>
      <c r="AH79" s="1430">
        <f ca="1">IF(AND(method_reg="Метод индексации",god&lt;&gt;first_year),SUMIFS(INDEX('Калькуляция (МИ корр)'!$AJ$25:$BC$315,,MATCH(AH$8,'Калькуляция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(МИ)'!$AJ$25:$BC$315,,MATCH(AH$8,'Калькуляция (МИ)'!$AJ$8:$BC$8,0)),'Калькуляция (МИ)'!$F$25:$F$315,$F79,'Калькуляция (МИ)'!$G$25:$G$315,$G79))))</f>
        <v>0</v>
      </c>
      <c r="AI79" s="212">
        <f ca="1">IF(AG79=0,0,(AH79-AG79)/AG79*100)</f>
        <v>0</v>
      </c>
      <c r="AJ79" s="1430">
        <f ca="1">IF(AND(method_reg="Метод индексации",god&lt;&gt;first_year),SUMIFS(INDEX('Калькуляция (МИ корр)'!$AJ$25:$BC$315,,MATCH(AJ$8,'Калькуляция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(МИ)'!$AJ$25:$BC$315,,MATCH(AJ$8,'Калькуляция (МИ)'!$AJ$8:$BC$8,0)),'Калькуляция (МИ)'!$F$25:$F$315,$F79,'Калькуляция (МИ)'!$G$25:$G$315,$G79))))</f>
        <v>0</v>
      </c>
      <c r="AK79" s="1430">
        <f ca="1">IF(AND(method_reg="Метод индексации",god&lt;&gt;first_year),SUMIFS(INDEX('Калькуляция (МИ корр)'!$AJ$25:$BC$315,,MATCH(AK$8,'Калькуляция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(МИ)'!$AJ$25:$BC$315,,MATCH(AK$8,'Калькуляция (МИ)'!$AJ$8:$BC$8,0)),'Калькуляция (МИ)'!$F$25:$F$315,$F79,'Калькуляция (МИ)'!$G$25:$G$315,$G79))))</f>
        <v>0</v>
      </c>
      <c r="AL79" s="212">
        <f ca="1">IF(AJ79=0,0,(AK79-AJ79)/AJ79*100)</f>
        <v>0</v>
      </c>
      <c r="AM79" s="1430">
        <f ca="1">IF(AND(method_reg="Метод индексации",god&lt;&gt;first_year),SUMIFS(INDEX('Калькуляция (МИ корр)'!$AJ$25:$BC$315,,MATCH(AM$8,'Калькуляция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(МИ)'!$AJ$25:$BC$315,,MATCH(AM$8,'Калькуляция (МИ)'!$AJ$8:$BC$8,0)),'Калькуляция (МИ)'!$F$25:$F$315,$F79,'Калькуляция (МИ)'!$G$25:$G$315,$G79))))</f>
        <v>0</v>
      </c>
      <c r="AN79" s="1430">
        <f ca="1">IF(AND(method_reg="Метод индексации",god&lt;&gt;first_year),SUMIFS(INDEX('Калькуляция (МИ корр)'!$AJ$25:$BC$315,,MATCH(AN$8,'Калькуляция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(МИ)'!$AJ$25:$BC$315,,MATCH(AN$8,'Калькуляция (МИ)'!$AJ$8:$BC$8,0)),'Калькуляция (МИ)'!$F$25:$F$315,$F79,'Калькуляция (МИ)'!$G$25:$G$315,$G79))))</f>
        <v>0</v>
      </c>
      <c r="AO79" s="212">
        <f ca="1">IF(AM79=0,0,(AN79-AM79)/AM79*100)</f>
        <v>0</v>
      </c>
      <c r="AP79" s="1430">
        <f ca="1">IF(AND(method_reg="Метод индексации",god&lt;&gt;first_year),SUMIFS(INDEX('Калькуляция (МИ корр)'!$AJ$25:$BC$315,,MATCH(AP$8,'Калькуляция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(МИ)'!$AJ$25:$BC$315,,MATCH(AP$8,'Калькуляция (МИ)'!$AJ$8:$BC$8,0)),'Калькуляция (МИ)'!$F$25:$F$315,$F79,'Калькуляция (МИ)'!$G$25:$G$315,$G79))))</f>
        <v>0</v>
      </c>
      <c r="AQ79" s="1430">
        <f ca="1">IF(AND(method_reg="Метод индексации",god&lt;&gt;first_year),SUMIFS(INDEX('Калькуляция (МИ корр)'!$AJ$25:$BC$315,,MATCH(AQ$8,'Калькуляция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(МИ)'!$AJ$25:$BC$315,,MATCH(AQ$8,'Калькуляция (МИ)'!$AJ$8:$BC$8,0)),'Калькуляция (МИ)'!$F$25:$F$315,$F79,'Калькуляция (МИ)'!$G$25:$G$315,$G79))))</f>
        <v>0</v>
      </c>
      <c r="AR79" s="212">
        <f ca="1">IF(AP79=0,0,(AQ79-AP79)/AP79*100)</f>
        <v>0</v>
      </c>
      <c r="AS79" s="1430">
        <f ca="1">IF(AND(method_reg="Метод индексации",god&lt;&gt;first_year),SUMIFS(INDEX('Калькуляция (МИ корр)'!$AJ$25:$BC$315,,MATCH(AS$8,'Калькуляция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(МИ)'!$AJ$25:$BC$315,,MATCH(AS$8,'Калькуляция (МИ)'!$AJ$8:$BC$8,0)),'Калькуляция (МИ)'!$F$25:$F$315,$F79,'Калькуляция (МИ)'!$G$25:$G$315,$G79))))</f>
        <v>0</v>
      </c>
      <c r="AT79" s="1430">
        <f ca="1">IF(AND(method_reg="Метод индексации",god&lt;&gt;first_year),SUMIFS(INDEX('Калькуляция (МИ корр)'!$AJ$25:$BC$315,,MATCH(AT$8,'Калькуляция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(МИ)'!$AJ$25:$BC$315,,MATCH(AT$8,'Калькуляция (МИ)'!$AJ$8:$BC$8,0)),'Калькуляция (МИ)'!$F$25:$F$315,$F79,'Калькуляция (МИ)'!$G$25:$G$315,$G79))))</f>
        <v>0</v>
      </c>
      <c r="AU79" s="212">
        <f ca="1">IF(AS79=0,0,(AT79-AS79)/AS79*100)</f>
        <v>0</v>
      </c>
      <c r="AV79" s="1430">
        <f ca="1">IF(AND(method_reg="Метод индексации",god&lt;&gt;first_year),SUMIFS(INDEX('Калькуляция (МИ корр)'!$AJ$25:$BC$315,,MATCH(AV$8,'Калькуляция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(МИ)'!$AJ$25:$BC$315,,MATCH(AV$8,'Калькуляция (МИ)'!$AJ$8:$BC$8,0)),'Калькуляция (МИ)'!$F$25:$F$315,$F79,'Калькуляция (МИ)'!$G$25:$G$315,$G79))))</f>
        <v>0</v>
      </c>
      <c r="AW79" s="1430">
        <f ca="1">IF(AND(method_reg="Метод индексации",god&lt;&gt;first_year),SUMIFS(INDEX('Калькуляция (МИ корр)'!$AJ$25:$BC$315,,MATCH(AW$8,'Калькуляция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(МИ)'!$AJ$25:$BC$315,,MATCH(AW$8,'Калькуляция (МИ)'!$AJ$8:$BC$8,0)),'Калькуляция (МИ)'!$F$25:$F$315,$F79,'Калькуляция (МИ)'!$G$25:$G$315,$G79))))</f>
        <v>0</v>
      </c>
      <c r="AX79" s="212">
        <f ca="1">IF(AV79=0,0,(AW79-AV79)/AV79*100)</f>
        <v>0</v>
      </c>
      <c r="AY79" s="1430">
        <f ca="1">IF(AND(method_reg="Метод индексации",god&lt;&gt;first_year),SUMIFS(INDEX('Калькуляция (МИ корр)'!$AJ$25:$BC$315,,MATCH(AY$8,'Калькуляция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(МИ)'!$AJ$25:$BC$315,,MATCH(AY$8,'Калькуляция (МИ)'!$AJ$8:$BC$8,0)),'Калькуляция (МИ)'!$F$25:$F$315,$F79,'Калькуляция (МИ)'!$G$25:$G$315,$G79))))</f>
        <v>0</v>
      </c>
      <c r="AZ79" s="1430">
        <f ca="1">IF(AND(method_reg="Метод индексации",god&lt;&gt;first_year),SUMIFS(INDEX('Калькуляция (МИ корр)'!$AJ$25:$BC$315,,MATCH(AZ$8,'Калькуляция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(МИ)'!$AJ$25:$BC$315,,MATCH(AZ$8,'Калькуляция (МИ)'!$AJ$8:$BC$8,0)),'Калькуляция (МИ)'!$F$25:$F$315,$F79,'Калькуляция (МИ)'!$G$25:$G$315,$G79))))</f>
        <v>0</v>
      </c>
      <c r="BA79" s="212">
        <f ca="1">IF(AY79=0,0,(AZ79-AY79)/AY79*100)</f>
        <v>0</v>
      </c>
      <c r="BB79" s="1430">
        <f ca="1">IF(AND(method_reg="Метод индексации",god&lt;&gt;first_year),SUMIFS(INDEX('Калькуляция (МИ корр)'!$AJ$25:$BC$315,,MATCH(BB$8,'Калькуляция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(МИ)'!$AJ$25:$BC$315,,MATCH(BB$8,'Калькуляция (МИ)'!$AJ$8:$BC$8,0)),'Калькуляция (МИ)'!$F$25:$F$315,$F79,'Калькуляция (МИ)'!$G$25:$G$315,$G79))))</f>
        <v>0</v>
      </c>
      <c r="BC79" s="1430">
        <f ca="1">IF(AND(method_reg="Метод индексации",god&lt;&gt;first_year),SUMIFS(INDEX('Калькуляция (МИ корр)'!$AJ$25:$BC$315,,MATCH(BC$8,'Калькуляция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(МИ)'!$AJ$25:$BC$315,,MATCH(BC$8,'Калькуляция (МИ)'!$AJ$8:$BC$8,0)),'Калькуляция (МИ)'!$F$25:$F$315,$F79,'Калькуляция (МИ)'!$G$25:$G$315,$G79))))</f>
        <v>0</v>
      </c>
      <c r="BD79" s="212">
        <f ca="1">IF(BB79=0,0,(BC79-BB79)/BB79*100)</f>
        <v>0</v>
      </c>
      <c r="BE79" s="1430">
        <f ca="1">IF(AND(method_reg="Метод индексации",god&lt;&gt;first_year),SUMIFS(INDEX('Калькуляция (МИ корр)'!$AJ$25:$BC$315,,MATCH(BE$8,'Калькуляция (МИ корр)'!$AJ$8:$BC$8,0)),'Калькуляция (МИ корр)'!$F$25:$F$315,$F79,'Калькуляция (МИ корр)'!$G$25:$G$315,$G79),IF(method_reg="Метод экономически обоснованных расходов",SUMIFS('Калькуляция (МЭОР)'!$AJ$25:$AJ$199,'Калькуляция (МЭОР)'!$F$25:$F$199,$F79,'Калькуляция (МЭОР)'!$G$25:$G$199,$G79),IF(method_reg="Метод сравнения аналогов",SUMIFS('Калькуляция (МСА)'!$AE$25:$AE$65,'Калькуляция (МСА)'!$F$25:$F$65,$F79,'Калькуляция (МСА)'!$G$25:$G$65,$G79),SUMIFS(INDEX('Калькуляция (МИ)'!$AJ$25:$BC$315,,MATCH(BE$8,'Калькуляция (МИ)'!$AJ$8:$BC$8,0)),'Калькуляция (МИ)'!$F$25:$F$315,$F79,'Калькуляция (МИ)'!$G$25:$G$315,$G79))))</f>
        <v>0</v>
      </c>
      <c r="BF79" s="1430">
        <f ca="1">IF(AND(method_reg="Метод индексации",god&lt;&gt;first_year),SUMIFS(INDEX('Калькуляция (МИ корр)'!$AJ$25:$BC$315,,MATCH(BF$8,'Калькуляция (МИ корр)'!$AJ$8:$BC$8,0)),'Калькуляция (МИ корр)'!$F$25:$F$315,$F79,'Калькуляция (МИ корр)'!$G$25:$G$315,$G79),IF(method_reg="Метод экономически обоснованных расходов",SUMIFS('Калькуляция (МЭОР)'!$AK$25:$AK$199,'Калькуляция (МЭОР)'!$F$25:$F$199,$F79,'Калькуляция (МЭОР)'!$G$25:$G$199,$G79),IF(method_reg="Метод сравнения аналогов",SUMIFS('Калькуляция (МСА)'!$AF$25:$AF$65,'Калькуляция (МСА)'!$F$25:$F$65,$F79,'Калькуляция (МСА)'!$G$25:$G$65,$G79),SUMIFS(INDEX('Калькуляция (МИ)'!$AJ$25:$BC$315,,MATCH(BF$8,'Калькуляция (МИ)'!$AJ$8:$BC$8,0)),'Калькуляция (МИ)'!$F$25:$F$315,$F79,'Калькуляция (МИ)'!$G$25:$G$315,$G79))))</f>
        <v>0</v>
      </c>
      <c r="BG79" s="212">
        <f ca="1">IF(BE79=0,0,(BF79-BE79)/BE79*100)</f>
        <v>0</v>
      </c>
      <c r="BH79" s="1430"/>
      <c r="BI79" s="1430"/>
      <c r="BJ79" s="212">
        <f>IF(BH79=0,0,(BI79-BH79)/BH79*100)</f>
        <v>0</v>
      </c>
      <c r="BK79" s="1430"/>
      <c r="BL79" s="1430"/>
      <c r="BM79" s="212">
        <f>IF(BK79=0,0,(BL79-BK79)/BK79*100)</f>
        <v>0</v>
      </c>
      <c r="BN79" s="1430"/>
      <c r="BO79" s="1430"/>
      <c r="BP79" s="212">
        <f>IF(BN79=0,0,(BO79-BN79)/BN79*100)</f>
        <v>0</v>
      </c>
      <c r="BQ79" s="1430"/>
      <c r="BR79" s="1430"/>
      <c r="BS79" s="212">
        <f>IF(BQ79=0,0,(BR79-BQ79)/BQ79*100)</f>
        <v>0</v>
      </c>
      <c r="BT79" s="1430"/>
      <c r="BU79" s="1430"/>
      <c r="BV79" s="212">
        <f>IF(BT79=0,0,(BU79-BT79)/BT79*100)</f>
        <v>0</v>
      </c>
      <c r="BW79" s="1430"/>
      <c r="BX79" s="1430"/>
      <c r="BY79" s="212">
        <f>IF(BW79=0,0,(BX79-BW79)/BW79*100)</f>
        <v>0</v>
      </c>
      <c r="BZ79" s="1430"/>
      <c r="CA79" s="1430"/>
      <c r="CB79" s="212">
        <f>IF(BZ79=0,0,(CA79-BZ79)/BZ79*100)</f>
        <v>0</v>
      </c>
      <c r="CC79" s="1430"/>
      <c r="CD79" s="1430"/>
      <c r="CE79" s="212">
        <f>IF(CC79=0,0,(CD79-CC79)/CC79*100)</f>
        <v>0</v>
      </c>
      <c r="CF79" s="1430"/>
      <c r="CG79" s="1430"/>
      <c r="CH79" s="212">
        <f>IF(CF79=0,0,(CG79-CF79)/CF79*100)</f>
        <v>0</v>
      </c>
      <c r="CI79" s="1430"/>
      <c r="CJ79" s="1430"/>
      <c r="CK79" s="212">
        <f>IF(CI79=0,0,(CJ79-CI79)/CI79*100)</f>
        <v>0</v>
      </c>
      <c r="CL79" s="1430"/>
      <c r="CM79" s="1430"/>
      <c r="CN79" s="212">
        <f>IF(CL79=0,0,(CM79-CL79)/CL79*100)</f>
        <v>0</v>
      </c>
      <c r="CO79" s="1430"/>
      <c r="CP79" s="1430"/>
      <c r="CQ79" s="212">
        <f>IF(CO79=0,0,(CP79-CO79)/CO79*100)</f>
        <v>0</v>
      </c>
      <c r="CR79" s="1430"/>
      <c r="CS79" s="1430"/>
      <c r="CT79" s="212">
        <f>IF(CR79=0,0,(CS79-CR79)/CR79*100)</f>
        <v>0</v>
      </c>
      <c r="CU79" s="1430"/>
      <c r="CV79" s="1430"/>
      <c r="CW79" s="212">
        <f>IF(CU79=0,0,(CV79-CU79)/CU79*100)</f>
        <v>0</v>
      </c>
      <c r="CX79" s="1430"/>
      <c r="CY79" s="1430"/>
      <c r="CZ79" s="212">
        <f>IF(CX79=0,0,(CY79-CX79)/CX79*100)</f>
        <v>0</v>
      </c>
      <c r="DA79" s="1430"/>
      <c r="DB79" s="1430"/>
      <c r="DC79" s="212">
        <f>IF(DA79=0,0,(DB79-DA79)/DA79*100)</f>
        <v>0</v>
      </c>
      <c r="DD79" s="1430"/>
      <c r="DE79" s="1430"/>
      <c r="DF79" s="212">
        <f>IF(DD79=0,0,(DE79-DD79)/DD79*100)</f>
        <v>0</v>
      </c>
      <c r="DG79" s="1430"/>
      <c r="DH79" s="1430"/>
      <c r="DI79" s="212">
        <f>IF(DG79=0,0,(DH79-DG79)/DG79*100)</f>
        <v>0</v>
      </c>
      <c r="DJ79" s="1430"/>
      <c r="DK79" s="1430"/>
      <c r="DL79" s="212">
        <f>IF(DJ79=0,0,(DK79-DJ79)/DJ79*100)</f>
        <v>0</v>
      </c>
      <c r="DM79" s="1430"/>
      <c r="DN79" s="1430"/>
      <c r="DO79" s="212">
        <f>IF(DM79=0,0,(DN79-DM79)/DM79*100)</f>
        <v>0</v>
      </c>
      <c r="DP79" s="1430"/>
      <c r="DQ79" s="1430"/>
      <c r="DR79" s="212">
        <f>IF(DP79=0,0,(DQ79-DP79)/DP79*100)</f>
        <v>0</v>
      </c>
      <c r="DS79" s="1430"/>
      <c r="DT79" s="1430"/>
      <c r="DU79" s="212">
        <f>IF(DS79=0,0,(DT79-DS79)/DS79*100)</f>
        <v>0</v>
      </c>
      <c r="DV79" s="1430"/>
      <c r="DW79" s="1430"/>
      <c r="DX79" s="212">
        <f>IF(DV79=0,0,(DW79-DV79)/DV79*100)</f>
        <v>0</v>
      </c>
      <c r="DY79" s="1430"/>
      <c r="DZ79" s="1430"/>
      <c r="EA79" s="212">
        <f>IF(DY79=0,0,(DZ79-DY79)/DY79*100)</f>
        <v>0</v>
      </c>
      <c r="EB79" s="1430"/>
      <c r="EC79" s="1430"/>
      <c r="ED79" s="212">
        <f>IF(EB79=0,0,(EC79-EB79)/EB79*100)</f>
        <v>0</v>
      </c>
      <c r="EE79" s="1430"/>
      <c r="EF79" s="1430"/>
      <c r="EG79" s="212">
        <f>IF(EE79=0,0,(EF79-EE79)/EE79*100)</f>
        <v>0</v>
      </c>
      <c r="EH79" s="1430"/>
      <c r="EI79" s="1430"/>
      <c r="EJ79" s="212">
        <f>IF(EH79=0,0,(EI79-EH79)/EH79*100)</f>
        <v>0</v>
      </c>
      <c r="EK79" s="1430"/>
      <c r="EL79" s="1430"/>
      <c r="EM79" s="212">
        <f>IF(EK79=0,0,(EL79-EK79)/EK79*100)</f>
        <v>0</v>
      </c>
      <c r="EN79" s="1430"/>
      <c r="EO79" s="1430"/>
      <c r="EP79" s="212">
        <f>IF(EN79=0,0,(EO79-EN79)/EN79*100)</f>
        <v>0</v>
      </c>
      <c r="EQ79" s="1430"/>
      <c r="ER79" s="1430"/>
      <c r="ES79" s="212">
        <f>IF(EQ79=0,0,(ER79-EQ79)/EQ79*100)</f>
        <v>0</v>
      </c>
      <c r="ET79" s="1430"/>
      <c r="EU79" s="1430"/>
      <c r="EV79" s="212">
        <f>IF(ET79=0,0,(EU79-ET79)/ET79*100)</f>
        <v>0</v>
      </c>
      <c r="EW79" s="1430"/>
      <c r="EX79" s="1430"/>
      <c r="EY79" s="212">
        <f>IF(EW79=0,0,(EX79-EW79)/EW79*100)</f>
        <v>0</v>
      </c>
      <c r="EZ79" s="1430"/>
      <c r="FA79" s="1430"/>
      <c r="FB79" s="212">
        <f>IF(EZ79=0,0,(FA79-EZ79)/EZ79*100)</f>
        <v>0</v>
      </c>
      <c r="FC79" s="1430"/>
      <c r="FD79" s="1430"/>
      <c r="FE79" s="212">
        <f>IF(FC79=0,0,(FD79-FC79)/FC79*100)</f>
        <v>0</v>
      </c>
      <c r="FF79" s="1430"/>
      <c r="FG79" s="1430"/>
      <c r="FH79" s="212">
        <f>IF(FF79=0,0,(FG79-FF79)/FF79*100)</f>
        <v>0</v>
      </c>
      <c r="FI79" s="1430"/>
      <c r="FJ79" s="1430"/>
      <c r="FK79" s="212">
        <f>IF(FI79=0,0,(FJ79-FI79)/FI79*100)</f>
        <v>0</v>
      </c>
      <c r="FL79" s="1430"/>
      <c r="FM79" s="1430"/>
      <c r="FN79" s="212">
        <f>IF(FL79=0,0,(FM79-FL79)/FL79*100)</f>
        <v>0</v>
      </c>
      <c r="FO79" s="1430"/>
      <c r="FP79" s="1430"/>
      <c r="FQ79" s="212">
        <f>IF(FO79=0,0,(FP79-FO79)/FO79*100)</f>
        <v>0</v>
      </c>
      <c r="FR79" s="1430"/>
      <c r="FS79" s="1430"/>
      <c r="FT79" s="212">
        <f>IF(FR79=0,0,(FS79-FR79)/FR79*100)</f>
        <v>0</v>
      </c>
      <c r="FU79" s="1430"/>
      <c r="FV79" s="1430"/>
      <c r="FW79" s="212">
        <f>IF(FU79=0,0,(FV79-FU79)/FU79*100)</f>
        <v>0</v>
      </c>
      <c r="FZ79" s="957" t="s">
        <v>1532</v>
      </c>
      <c r="GA79" s="957"/>
      <c r="GB79" s="957"/>
      <c r="GC79" s="958"/>
      <c r="GD79" s="958"/>
    </row>
    <row r="80" spans="1:186" ht="14.65" hidden="1" customHeight="1">
      <c r="A80" s="409"/>
      <c r="B80" s="830" t="b" cm="1">
        <f t="array" ref="B80">B79</f>
        <v>0</v>
      </c>
      <c r="C80" s="409"/>
      <c r="D80" s="409"/>
      <c r="E80" s="754">
        <v>15</v>
      </c>
      <c r="F80" s="3" cm="1">
        <f t="array" aca="1" ref="F80" ca="1">OFFSET(E80,-1,1)</f>
        <v>0</v>
      </c>
      <c r="G80" s="409"/>
      <c r="H80" s="409" t="s">
        <v>431</v>
      </c>
      <c r="I80" s="409"/>
      <c r="J80" s="409"/>
      <c r="K80" s="409"/>
      <c r="L80" s="409"/>
      <c r="M80" s="409"/>
      <c r="N80" s="409"/>
      <c r="O80" s="409"/>
      <c r="P80" s="409"/>
      <c r="Q80" s="409"/>
      <c r="R80" s="409"/>
      <c r="S80" s="409"/>
      <c r="T80" s="381" t="b" cm="1">
        <f t="array" aca="1" ref="T80" ca="1">T79</f>
        <v>0</v>
      </c>
      <c r="U80" s="409"/>
      <c r="V80" s="409"/>
      <c r="W80" s="409"/>
      <c r="X80" s="1787"/>
      <c r="Y80" s="409"/>
      <c r="Z80" s="1734"/>
      <c r="AA80" s="409"/>
      <c r="AB80" s="991" t="s">
        <v>1533</v>
      </c>
      <c r="AC80" s="680" t="s">
        <v>423</v>
      </c>
      <c r="AD80" s="995">
        <f ca="1">IF(AD78=0,0,AD79/AD78)*100</f>
        <v>0</v>
      </c>
      <c r="AE80" s="995">
        <f ca="1">IF(AE78=0,0,AE79/AE78)*100</f>
        <v>0</v>
      </c>
      <c r="AF80" s="1010"/>
      <c r="AG80" s="995">
        <f ca="1">IF(AG78=0,0,AG79/AG78)*100</f>
        <v>0</v>
      </c>
      <c r="AH80" s="995">
        <f ca="1">IF(AH78=0,0,AH79/AH78)*100</f>
        <v>0</v>
      </c>
      <c r="AI80" s="1010"/>
      <c r="AJ80" s="995">
        <f ca="1">IF(AJ78=0,0,AJ79/AJ78)*100</f>
        <v>0</v>
      </c>
      <c r="AK80" s="995">
        <f ca="1">IF(AK78=0,0,AK79/AK78)*100</f>
        <v>0</v>
      </c>
      <c r="AL80" s="1010"/>
      <c r="AM80" s="995">
        <f ca="1">IF(AM78=0,0,AM79/AM78)*100</f>
        <v>0</v>
      </c>
      <c r="AN80" s="995">
        <f ca="1">IF(AN78=0,0,AN79/AN78)*100</f>
        <v>0</v>
      </c>
      <c r="AO80" s="1010"/>
      <c r="AP80" s="995">
        <f ca="1">IF(AP78=0,0,AP79/AP78)*100</f>
        <v>0</v>
      </c>
      <c r="AQ80" s="995">
        <f ca="1">IF(AQ78=0,0,AQ79/AQ78)*100</f>
        <v>0</v>
      </c>
      <c r="AR80" s="1010"/>
      <c r="AS80" s="995">
        <f ca="1">IF(AS78=0,0,AS79/AS78)*100</f>
        <v>0</v>
      </c>
      <c r="AT80" s="995">
        <f ca="1">IF(AT78=0,0,AT79/AT78)*100</f>
        <v>0</v>
      </c>
      <c r="AU80" s="1010"/>
      <c r="AV80" s="995">
        <f ca="1">IF(AV78=0,0,AV79/AV78)*100</f>
        <v>0</v>
      </c>
      <c r="AW80" s="995">
        <f ca="1">IF(AW78=0,0,AW79/AW78)*100</f>
        <v>0</v>
      </c>
      <c r="AX80" s="1010"/>
      <c r="AY80" s="995">
        <f ca="1">IF(AY78=0,0,AY79/AY78)*100</f>
        <v>0</v>
      </c>
      <c r="AZ80" s="995">
        <f ca="1">IF(AZ78=0,0,AZ79/AZ78)*100</f>
        <v>0</v>
      </c>
      <c r="BA80" s="1010"/>
      <c r="BB80" s="995">
        <f ca="1">IF(BB78=0,0,BB79/BB78)*100</f>
        <v>0</v>
      </c>
      <c r="BC80" s="995">
        <f ca="1">IF(BC78=0,0,BC79/BC78)*100</f>
        <v>0</v>
      </c>
      <c r="BD80" s="1010"/>
      <c r="BE80" s="995">
        <f ca="1">IF(BE78=0,0,BE79/BE78)*100</f>
        <v>0</v>
      </c>
      <c r="BF80" s="995">
        <f ca="1">IF(BF78=0,0,BF79/BF78)*100</f>
        <v>0</v>
      </c>
      <c r="BG80" s="1010"/>
      <c r="BH80" s="995">
        <f>IF(BH78=0,0,BH79/BH78)*100</f>
        <v>0</v>
      </c>
      <c r="BI80" s="995">
        <f>IF(BI78=0,0,BI79/BI78)*100</f>
        <v>0</v>
      </c>
      <c r="BJ80" s="1010"/>
      <c r="BK80" s="995">
        <f>IF(BK78=0,0,BK79/BK78)*100</f>
        <v>0</v>
      </c>
      <c r="BL80" s="995">
        <f>IF(BL78=0,0,BL79/BL78)*100</f>
        <v>0</v>
      </c>
      <c r="BM80" s="1010"/>
      <c r="BN80" s="995">
        <f>IF(BN78=0,0,BN79/BN78)*100</f>
        <v>0</v>
      </c>
      <c r="BO80" s="995">
        <f>IF(BO78=0,0,BO79/BO78)*100</f>
        <v>0</v>
      </c>
      <c r="BP80" s="1010"/>
      <c r="BQ80" s="995">
        <f>IF(BQ78=0,0,BQ79/BQ78)*100</f>
        <v>0</v>
      </c>
      <c r="BR80" s="995">
        <f>IF(BR78=0,0,BR79/BR78)*100</f>
        <v>0</v>
      </c>
      <c r="BS80" s="1010"/>
      <c r="BT80" s="995">
        <f>IF(BT78=0,0,BT79/BT78)*100</f>
        <v>0</v>
      </c>
      <c r="BU80" s="995">
        <f>IF(BU78=0,0,BU79/BU78)*100</f>
        <v>0</v>
      </c>
      <c r="BV80" s="1010"/>
      <c r="BW80" s="995">
        <f>IF(BW78=0,0,BW79/BW78)*100</f>
        <v>0</v>
      </c>
      <c r="BX80" s="995">
        <f>IF(BX78=0,0,BX79/BX78)*100</f>
        <v>0</v>
      </c>
      <c r="BY80" s="1010"/>
      <c r="BZ80" s="995">
        <f>IF(BZ78=0,0,BZ79/BZ78)*100</f>
        <v>0</v>
      </c>
      <c r="CA80" s="995">
        <f>IF(CA78=0,0,CA79/CA78)*100</f>
        <v>0</v>
      </c>
      <c r="CB80" s="1010"/>
      <c r="CC80" s="995">
        <f>IF(CC78=0,0,CC79/CC78)*100</f>
        <v>0</v>
      </c>
      <c r="CD80" s="995">
        <f>IF(CD78=0,0,CD79/CD78)*100</f>
        <v>0</v>
      </c>
      <c r="CE80" s="1010"/>
      <c r="CF80" s="995">
        <f>IF(CF78=0,0,CF79/CF78)*100</f>
        <v>0</v>
      </c>
      <c r="CG80" s="995">
        <f>IF(CG78=0,0,CG79/CG78)*100</f>
        <v>0</v>
      </c>
      <c r="CH80" s="1010"/>
      <c r="CI80" s="995">
        <f>IF(CI78=0,0,CI79/CI78)*100</f>
        <v>0</v>
      </c>
      <c r="CJ80" s="995">
        <f>IF(CJ78=0,0,CJ79/CJ78)*100</f>
        <v>0</v>
      </c>
      <c r="CK80" s="1010"/>
      <c r="CL80" s="995">
        <f>IF(CL78=0,0,CL79/CL78)*100</f>
        <v>0</v>
      </c>
      <c r="CM80" s="995">
        <f>IF(CM78=0,0,CM79/CM78)*100</f>
        <v>0</v>
      </c>
      <c r="CN80" s="1010"/>
      <c r="CO80" s="995">
        <f>IF(CO78=0,0,CO79/CO78)*100</f>
        <v>0</v>
      </c>
      <c r="CP80" s="995">
        <f>IF(CP78=0,0,CP79/CP78)*100</f>
        <v>0</v>
      </c>
      <c r="CQ80" s="1010"/>
      <c r="CR80" s="995">
        <f>IF(CR78=0,0,CR79/CR78)*100</f>
        <v>0</v>
      </c>
      <c r="CS80" s="995">
        <f>IF(CS78=0,0,CS79/CS78)*100</f>
        <v>0</v>
      </c>
      <c r="CT80" s="1010"/>
      <c r="CU80" s="995">
        <f>IF(CU78=0,0,CU79/CU78)*100</f>
        <v>0</v>
      </c>
      <c r="CV80" s="995">
        <f>IF(CV78=0,0,CV79/CV78)*100</f>
        <v>0</v>
      </c>
      <c r="CW80" s="1010"/>
      <c r="CX80" s="995">
        <f>IF(CX78=0,0,CX79/CX78)*100</f>
        <v>0</v>
      </c>
      <c r="CY80" s="995">
        <f>IF(CY78=0,0,CY79/CY78)*100</f>
        <v>0</v>
      </c>
      <c r="CZ80" s="1010"/>
      <c r="DA80" s="995">
        <f>IF(DA78=0,0,DA79/DA78)*100</f>
        <v>0</v>
      </c>
      <c r="DB80" s="995">
        <f>IF(DB78=0,0,DB79/DB78)*100</f>
        <v>0</v>
      </c>
      <c r="DC80" s="1010"/>
      <c r="DD80" s="995">
        <f>IF(DD78=0,0,DD79/DD78)*100</f>
        <v>0</v>
      </c>
      <c r="DE80" s="995">
        <f>IF(DE78=0,0,DE79/DE78)*100</f>
        <v>0</v>
      </c>
      <c r="DF80" s="1010"/>
      <c r="DG80" s="995">
        <f>IF(DG78=0,0,DG79/DG78)*100</f>
        <v>0</v>
      </c>
      <c r="DH80" s="995">
        <f>IF(DH78=0,0,DH79/DH78)*100</f>
        <v>0</v>
      </c>
      <c r="DI80" s="1010"/>
      <c r="DJ80" s="995">
        <f>IF(DJ78=0,0,DJ79/DJ78)*100</f>
        <v>0</v>
      </c>
      <c r="DK80" s="995">
        <f>IF(DK78=0,0,DK79/DK78)*100</f>
        <v>0</v>
      </c>
      <c r="DL80" s="1010"/>
      <c r="DM80" s="995">
        <f>IF(DM78=0,0,DM79/DM78)*100</f>
        <v>0</v>
      </c>
      <c r="DN80" s="995">
        <f>IF(DN78=0,0,DN79/DN78)*100</f>
        <v>0</v>
      </c>
      <c r="DO80" s="1010"/>
      <c r="DP80" s="995">
        <f>IF(DP78=0,0,DP79/DP78)*100</f>
        <v>0</v>
      </c>
      <c r="DQ80" s="995">
        <f>IF(DQ78=0,0,DQ79/DQ78)*100</f>
        <v>0</v>
      </c>
      <c r="DR80" s="1010"/>
      <c r="DS80" s="995">
        <f>IF(DS78=0,0,DS79/DS78)*100</f>
        <v>0</v>
      </c>
      <c r="DT80" s="995">
        <f>IF(DT78=0,0,DT79/DT78)*100</f>
        <v>0</v>
      </c>
      <c r="DU80" s="1010"/>
      <c r="DV80" s="995">
        <f>IF(DV78=0,0,DV79/DV78)*100</f>
        <v>0</v>
      </c>
      <c r="DW80" s="995">
        <f>IF(DW78=0,0,DW79/DW78)*100</f>
        <v>0</v>
      </c>
      <c r="DX80" s="1010"/>
      <c r="DY80" s="995">
        <f>IF(DY78=0,0,DY79/DY78)*100</f>
        <v>0</v>
      </c>
      <c r="DZ80" s="995">
        <f>IF(DZ78=0,0,DZ79/DZ78)*100</f>
        <v>0</v>
      </c>
      <c r="EA80" s="1010"/>
      <c r="EB80" s="995">
        <f>IF(EB78=0,0,EB79/EB78)*100</f>
        <v>0</v>
      </c>
      <c r="EC80" s="995">
        <f>IF(EC78=0,0,EC79/EC78)*100</f>
        <v>0</v>
      </c>
      <c r="ED80" s="1010"/>
      <c r="EE80" s="995">
        <f>IF(EE78=0,0,EE79/EE78)*100</f>
        <v>0</v>
      </c>
      <c r="EF80" s="995">
        <f>IF(EF78=0,0,EF79/EF78)*100</f>
        <v>0</v>
      </c>
      <c r="EG80" s="1010"/>
      <c r="EH80" s="995">
        <f>IF(EH78=0,0,EH79/EH78)*100</f>
        <v>0</v>
      </c>
      <c r="EI80" s="995">
        <f>IF(EI78=0,0,EI79/EI78)*100</f>
        <v>0</v>
      </c>
      <c r="EJ80" s="1010"/>
      <c r="EK80" s="995">
        <f>IF(EK78=0,0,EK79/EK78)*100</f>
        <v>0</v>
      </c>
      <c r="EL80" s="995">
        <f>IF(EL78=0,0,EL79/EL78)*100</f>
        <v>0</v>
      </c>
      <c r="EM80" s="1010"/>
      <c r="EN80" s="995">
        <f>IF(EN78=0,0,EN79/EN78)*100</f>
        <v>0</v>
      </c>
      <c r="EO80" s="995">
        <f>IF(EO78=0,0,EO79/EO78)*100</f>
        <v>0</v>
      </c>
      <c r="EP80" s="1010"/>
      <c r="EQ80" s="995">
        <f>IF(EQ78=0,0,EQ79/EQ78)*100</f>
        <v>0</v>
      </c>
      <c r="ER80" s="995">
        <f>IF(ER78=0,0,ER79/ER78)*100</f>
        <v>0</v>
      </c>
      <c r="ES80" s="1010"/>
      <c r="ET80" s="995">
        <f>IF(ET78=0,0,ET79/ET78)*100</f>
        <v>0</v>
      </c>
      <c r="EU80" s="995">
        <f>IF(EU78=0,0,EU79/EU78)*100</f>
        <v>0</v>
      </c>
      <c r="EV80" s="1010"/>
      <c r="EW80" s="995">
        <f>IF(EW78=0,0,EW79/EW78)*100</f>
        <v>0</v>
      </c>
      <c r="EX80" s="995">
        <f>IF(EX78=0,0,EX79/EX78)*100</f>
        <v>0</v>
      </c>
      <c r="EY80" s="1010"/>
      <c r="EZ80" s="995">
        <f>IF(EZ78=0,0,EZ79/EZ78)*100</f>
        <v>0</v>
      </c>
      <c r="FA80" s="995">
        <f>IF(FA78=0,0,FA79/FA78)*100</f>
        <v>0</v>
      </c>
      <c r="FB80" s="1010"/>
      <c r="FC80" s="995">
        <f>IF(FC78=0,0,FC79/FC78)*100</f>
        <v>0</v>
      </c>
      <c r="FD80" s="995">
        <f>IF(FD78=0,0,FD79/FD78)*100</f>
        <v>0</v>
      </c>
      <c r="FE80" s="1010"/>
      <c r="FF80" s="995">
        <f>IF(FF78=0,0,FF79/FF78)*100</f>
        <v>0</v>
      </c>
      <c r="FG80" s="995">
        <f>IF(FG78=0,0,FG79/FG78)*100</f>
        <v>0</v>
      </c>
      <c r="FH80" s="1010"/>
      <c r="FI80" s="995">
        <f>IF(FI78=0,0,FI79/FI78)*100</f>
        <v>0</v>
      </c>
      <c r="FJ80" s="995">
        <f>IF(FJ78=0,0,FJ79/FJ78)*100</f>
        <v>0</v>
      </c>
      <c r="FK80" s="1010"/>
      <c r="FL80" s="995">
        <f>IF(FL78=0,0,FL79/FL78)*100</f>
        <v>0</v>
      </c>
      <c r="FM80" s="995">
        <f>IF(FM78=0,0,FM79/FM78)*100</f>
        <v>0</v>
      </c>
      <c r="FN80" s="1010"/>
      <c r="FO80" s="995">
        <f>IF(FO78=0,0,FO79/FO78)*100</f>
        <v>0</v>
      </c>
      <c r="FP80" s="995">
        <f>IF(FP78=0,0,FP79/FP78)*100</f>
        <v>0</v>
      </c>
      <c r="FQ80" s="1010"/>
      <c r="FR80" s="995">
        <f>IF(FR78=0,0,FR79/FR78)*100</f>
        <v>0</v>
      </c>
      <c r="FS80" s="995">
        <f>IF(FS78=0,0,FS79/FS78)*100</f>
        <v>0</v>
      </c>
      <c r="FT80" s="1010"/>
      <c r="FU80" s="995">
        <f>IF(FU78=0,0,FU79/FU78)*100</f>
        <v>0</v>
      </c>
      <c r="FV80" s="995">
        <f>IF(FV78=0,0,FV79/FV78)*100</f>
        <v>0</v>
      </c>
      <c r="FW80" s="1011"/>
      <c r="FX80" s="208"/>
      <c r="FZ80" s="957" t="s">
        <v>1534</v>
      </c>
    </row>
    <row r="81" spans="1:186" ht="14.65" hidden="1" customHeight="1">
      <c r="A81" s="409"/>
      <c r="B81" s="830" t="b" cm="1">
        <f t="array" ref="B81">B80</f>
        <v>0</v>
      </c>
      <c r="C81" s="409"/>
      <c r="D81" s="409"/>
      <c r="E81" s="754">
        <v>15</v>
      </c>
      <c r="F81" s="3" cm="1">
        <f t="array" aca="1" ref="F81" ca="1">OFFSET(E81,-1,1)</f>
        <v>0</v>
      </c>
      <c r="G81" s="26" t="s">
        <v>1463</v>
      </c>
      <c r="H81" s="409"/>
      <c r="I81" s="409"/>
      <c r="J81" s="409"/>
      <c r="K81" s="409"/>
      <c r="L81" s="409"/>
      <c r="M81" s="409"/>
      <c r="N81" s="409"/>
      <c r="O81" s="409"/>
      <c r="P81" s="409"/>
      <c r="Q81" s="409"/>
      <c r="R81" s="409"/>
      <c r="S81" s="409"/>
      <c r="T81" s="381" t="b" cm="1">
        <f t="array" aca="1" ref="T81" ca="1">T80</f>
        <v>0</v>
      </c>
      <c r="U81" s="409"/>
      <c r="V81" s="409"/>
      <c r="W81" s="409"/>
      <c r="X81" s="1787"/>
      <c r="Y81" s="409"/>
      <c r="Z81" s="1734"/>
      <c r="AA81" s="409"/>
      <c r="AB81" s="809" t="s">
        <v>1464</v>
      </c>
      <c r="AC81" s="778" t="s">
        <v>499</v>
      </c>
      <c r="AD81" s="1426">
        <f ca="1">IF(AND(method_reg="Метод индексации",god&lt;&gt;first_year),SUMIFS(INDEX('Калькуляция (МИ корр)'!$AJ$25:$BC$315,,MATCH(AD$8,'Калькуляция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(МИ)'!$AJ$25:$BC$315,,MATCH(AD$8,'Калькуляция (МИ)'!$AJ$8:$BC$8,0)),'Калькуляция (МИ)'!$F$25:$F$315,$F81,'Калькуляция (МИ)'!$G$25:$G$315,$G81))))</f>
        <v>0</v>
      </c>
      <c r="AE81" s="1426">
        <f ca="1">IF(AND(method_reg="Метод индексации",god&lt;&gt;first_year),SUMIFS(INDEX('Калькуляция (МИ корр)'!$AJ$25:$BC$315,,MATCH(AE$8,'Калькуляция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(МИ)'!$AJ$25:$BC$315,,MATCH(AE$8,'Калькуляция (МИ)'!$AJ$8:$BC$8,0)),'Калькуляция (МИ)'!$F$25:$F$315,$F81,'Калькуляция (МИ)'!$G$25:$G$315,$G81))))</f>
        <v>0</v>
      </c>
      <c r="AF81" s="998">
        <f ca="1">IF(AD81=0,0,(AE81-AD81)/AD81*100)</f>
        <v>0</v>
      </c>
      <c r="AG81" s="1426">
        <f ca="1">IF(AND(method_reg="Метод индексации",god&lt;&gt;first_year),SUMIFS(INDEX('Калькуляция (МИ корр)'!$AJ$25:$BC$315,,MATCH(AG$8,'Калькуляция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(МИ)'!$AJ$25:$BC$315,,MATCH(AG$8,'Калькуляция (МИ)'!$AJ$8:$BC$8,0)),'Калькуляция (МИ)'!$F$25:$F$315,$F81,'Калькуляция (МИ)'!$G$25:$G$315,$G81))))</f>
        <v>0</v>
      </c>
      <c r="AH81" s="1426">
        <f ca="1">IF(AND(method_reg="Метод индексации",god&lt;&gt;first_year),SUMIFS(INDEX('Калькуляция (МИ корр)'!$AJ$25:$BC$315,,MATCH(AH$8,'Калькуляция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(МИ)'!$AJ$25:$BC$315,,MATCH(AH$8,'Калькуляция (МИ)'!$AJ$8:$BC$8,0)),'Калькуляция (МИ)'!$F$25:$F$315,$F81,'Калькуляция (МИ)'!$G$25:$G$315,$G81))))</f>
        <v>0</v>
      </c>
      <c r="AI81" s="998">
        <f ca="1">IF(AG81=0,0,(AH81-AG81)/AG81*100)</f>
        <v>0</v>
      </c>
      <c r="AJ81" s="1426">
        <f ca="1">IF(AND(method_reg="Метод индексации",god&lt;&gt;first_year),SUMIFS(INDEX('Калькуляция (МИ корр)'!$AJ$25:$BC$315,,MATCH(AJ$8,'Калькуляция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(МИ)'!$AJ$25:$BC$315,,MATCH(AJ$8,'Калькуляция (МИ)'!$AJ$8:$BC$8,0)),'Калькуляция (МИ)'!$F$25:$F$315,$F81,'Калькуляция (МИ)'!$G$25:$G$315,$G81))))</f>
        <v>0</v>
      </c>
      <c r="AK81" s="1426">
        <f ca="1">IF(AND(method_reg="Метод индексации",god&lt;&gt;first_year),SUMIFS(INDEX('Калькуляция (МИ корр)'!$AJ$25:$BC$315,,MATCH(AK$8,'Калькуляция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(МИ)'!$AJ$25:$BC$315,,MATCH(AK$8,'Калькуляция (МИ)'!$AJ$8:$BC$8,0)),'Калькуляция (МИ)'!$F$25:$F$315,$F81,'Калькуляция (МИ)'!$G$25:$G$315,$G81))))</f>
        <v>0</v>
      </c>
      <c r="AL81" s="998">
        <f ca="1">IF(AJ81=0,0,(AK81-AJ81)/AJ81*100)</f>
        <v>0</v>
      </c>
      <c r="AM81" s="1426">
        <f ca="1">IF(AND(method_reg="Метод индексации",god&lt;&gt;first_year),SUMIFS(INDEX('Калькуляция (МИ корр)'!$AJ$25:$BC$315,,MATCH(AM$8,'Калькуляция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(МИ)'!$AJ$25:$BC$315,,MATCH(AM$8,'Калькуляция (МИ)'!$AJ$8:$BC$8,0)),'Калькуляция (МИ)'!$F$25:$F$315,$F81,'Калькуляция (МИ)'!$G$25:$G$315,$G81))))</f>
        <v>0</v>
      </c>
      <c r="AN81" s="1426">
        <f ca="1">IF(AND(method_reg="Метод индексации",god&lt;&gt;first_year),SUMIFS(INDEX('Калькуляция (МИ корр)'!$AJ$25:$BC$315,,MATCH(AN$8,'Калькуляция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(МИ)'!$AJ$25:$BC$315,,MATCH(AN$8,'Калькуляция (МИ)'!$AJ$8:$BC$8,0)),'Калькуляция (МИ)'!$F$25:$F$315,$F81,'Калькуляция (МИ)'!$G$25:$G$315,$G81))))</f>
        <v>0</v>
      </c>
      <c r="AO81" s="998">
        <f ca="1">IF(AM81=0,0,(AN81-AM81)/AM81*100)</f>
        <v>0</v>
      </c>
      <c r="AP81" s="1426">
        <f ca="1">IF(AND(method_reg="Метод индексации",god&lt;&gt;first_year),SUMIFS(INDEX('Калькуляция (МИ корр)'!$AJ$25:$BC$315,,MATCH(AP$8,'Калькуляция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(МИ)'!$AJ$25:$BC$315,,MATCH(AP$8,'Калькуляция (МИ)'!$AJ$8:$BC$8,0)),'Калькуляция (МИ)'!$F$25:$F$315,$F81,'Калькуляция (МИ)'!$G$25:$G$315,$G81))))</f>
        <v>0</v>
      </c>
      <c r="AQ81" s="1426">
        <f ca="1">IF(AND(method_reg="Метод индексации",god&lt;&gt;first_year),SUMIFS(INDEX('Калькуляция (МИ корр)'!$AJ$25:$BC$315,,MATCH(AQ$8,'Калькуляция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(МИ)'!$AJ$25:$BC$315,,MATCH(AQ$8,'Калькуляция (МИ)'!$AJ$8:$BC$8,0)),'Калькуляция (МИ)'!$F$25:$F$315,$F81,'Калькуляция (МИ)'!$G$25:$G$315,$G81))))</f>
        <v>0</v>
      </c>
      <c r="AR81" s="998">
        <f ca="1">IF(AP81=0,0,(AQ81-AP81)/AP81*100)</f>
        <v>0</v>
      </c>
      <c r="AS81" s="1426">
        <f ca="1">IF(AND(method_reg="Метод индексации",god&lt;&gt;first_year),SUMIFS(INDEX('Калькуляция (МИ корр)'!$AJ$25:$BC$315,,MATCH(AS$8,'Калькуляция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(МИ)'!$AJ$25:$BC$315,,MATCH(AS$8,'Калькуляция (МИ)'!$AJ$8:$BC$8,0)),'Калькуляция (МИ)'!$F$25:$F$315,$F81,'Калькуляция (МИ)'!$G$25:$G$315,$G81))))</f>
        <v>0</v>
      </c>
      <c r="AT81" s="1426">
        <f ca="1">IF(AND(method_reg="Метод индексации",god&lt;&gt;first_year),SUMIFS(INDEX('Калькуляция (МИ корр)'!$AJ$25:$BC$315,,MATCH(AT$8,'Калькуляция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(МИ)'!$AJ$25:$BC$315,,MATCH(AT$8,'Калькуляция (МИ)'!$AJ$8:$BC$8,0)),'Калькуляция (МИ)'!$F$25:$F$315,$F81,'Калькуляция (МИ)'!$G$25:$G$315,$G81))))</f>
        <v>0</v>
      </c>
      <c r="AU81" s="998">
        <f ca="1">IF(AS81=0,0,(AT81-AS81)/AS81*100)</f>
        <v>0</v>
      </c>
      <c r="AV81" s="1426">
        <f ca="1">IF(AND(method_reg="Метод индексации",god&lt;&gt;first_year),SUMIFS(INDEX('Калькуляция (МИ корр)'!$AJ$25:$BC$315,,MATCH(AV$8,'Калькуляция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(МИ)'!$AJ$25:$BC$315,,MATCH(AV$8,'Калькуляция (МИ)'!$AJ$8:$BC$8,0)),'Калькуляция (МИ)'!$F$25:$F$315,$F81,'Калькуляция (МИ)'!$G$25:$G$315,$G81))))</f>
        <v>0</v>
      </c>
      <c r="AW81" s="1426">
        <f ca="1">IF(AND(method_reg="Метод индексации",god&lt;&gt;first_year),SUMIFS(INDEX('Калькуляция (МИ корр)'!$AJ$25:$BC$315,,MATCH(AW$8,'Калькуляция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(МИ)'!$AJ$25:$BC$315,,MATCH(AW$8,'Калькуляция (МИ)'!$AJ$8:$BC$8,0)),'Калькуляция (МИ)'!$F$25:$F$315,$F81,'Калькуляция (МИ)'!$G$25:$G$315,$G81))))</f>
        <v>0</v>
      </c>
      <c r="AX81" s="998">
        <f ca="1">IF(AV81=0,0,(AW81-AV81)/AV81*100)</f>
        <v>0</v>
      </c>
      <c r="AY81" s="1426">
        <f ca="1">IF(AND(method_reg="Метод индексации",god&lt;&gt;first_year),SUMIFS(INDEX('Калькуляция (МИ корр)'!$AJ$25:$BC$315,,MATCH(AY$8,'Калькуляция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(МИ)'!$AJ$25:$BC$315,,MATCH(AY$8,'Калькуляция (МИ)'!$AJ$8:$BC$8,0)),'Калькуляция (МИ)'!$F$25:$F$315,$F81,'Калькуляция (МИ)'!$G$25:$G$315,$G81))))</f>
        <v>0</v>
      </c>
      <c r="AZ81" s="1426">
        <f ca="1">IF(AND(method_reg="Метод индексации",god&lt;&gt;first_year),SUMIFS(INDEX('Калькуляция (МИ корр)'!$AJ$25:$BC$315,,MATCH(AZ$8,'Калькуляция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(МИ)'!$AJ$25:$BC$315,,MATCH(AZ$8,'Калькуляция (МИ)'!$AJ$8:$BC$8,0)),'Калькуляция (МИ)'!$F$25:$F$315,$F81,'Калькуляция (МИ)'!$G$25:$G$315,$G81))))</f>
        <v>0</v>
      </c>
      <c r="BA81" s="998">
        <f ca="1">IF(AY81=0,0,(AZ81-AY81)/AY81*100)</f>
        <v>0</v>
      </c>
      <c r="BB81" s="1426">
        <f ca="1">IF(AND(method_reg="Метод индексации",god&lt;&gt;first_year),SUMIFS(INDEX('Калькуляция (МИ корр)'!$AJ$25:$BC$315,,MATCH(BB$8,'Калькуляция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(МИ)'!$AJ$25:$BC$315,,MATCH(BB$8,'Калькуляция (МИ)'!$AJ$8:$BC$8,0)),'Калькуляция (МИ)'!$F$25:$F$315,$F81,'Калькуляция (МИ)'!$G$25:$G$315,$G81))))</f>
        <v>0</v>
      </c>
      <c r="BC81" s="1426">
        <f ca="1">IF(AND(method_reg="Метод индексации",god&lt;&gt;first_year),SUMIFS(INDEX('Калькуляция (МИ корр)'!$AJ$25:$BC$315,,MATCH(BC$8,'Калькуляция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(МИ)'!$AJ$25:$BC$315,,MATCH(BC$8,'Калькуляция (МИ)'!$AJ$8:$BC$8,0)),'Калькуляция (МИ)'!$F$25:$F$315,$F81,'Калькуляция (МИ)'!$G$25:$G$315,$G81))))</f>
        <v>0</v>
      </c>
      <c r="BD81" s="998">
        <f ca="1">IF(BB81=0,0,(BC81-BB81)/BB81*100)</f>
        <v>0</v>
      </c>
      <c r="BE81" s="1426">
        <f ca="1">IF(AND(method_reg="Метод индексации",god&lt;&gt;first_year),SUMIFS(INDEX('Калькуляция (МИ корр)'!$AJ$25:$BC$315,,MATCH(BE$8,'Калькуляция (МИ корр)'!$AJ$8:$BC$8,0)),'Калькуляция (МИ корр)'!$F$25:$F$315,$F81,'Калькуляция (МИ корр)'!$G$25:$G$315,$G81),IF(method_reg="Метод экономически обоснованных расходов",SUMIFS('Калькуляция (МЭОР)'!$AJ$25:$AJ$199,'Калькуляция (МЭОР)'!$F$25:$F$199,$F81,'Калькуляция (МЭОР)'!$G$25:$G$199,$G81),IF(method_reg="Метод сравнения аналогов",SUMIFS('Калькуляция (МСА)'!$AE$25:$AE$65,'Калькуляция (МСА)'!$F$25:$F$65,$F81,'Калькуляция (МСА)'!$G$25:$G$65,$G81),SUMIFS(INDEX('Калькуляция (МИ)'!$AJ$25:$BC$315,,MATCH(BE$8,'Калькуляция (МИ)'!$AJ$8:$BC$8,0)),'Калькуляция (МИ)'!$F$25:$F$315,$F81,'Калькуляция (МИ)'!$G$25:$G$315,$G81))))</f>
        <v>0</v>
      </c>
      <c r="BF81" s="1426">
        <f ca="1">IF(AND(method_reg="Метод индексации",god&lt;&gt;first_year),SUMIFS(INDEX('Калькуляция (МИ корр)'!$AJ$25:$BC$315,,MATCH(BF$8,'Калькуляция (МИ корр)'!$AJ$8:$BC$8,0)),'Калькуляция (МИ корр)'!$F$25:$F$315,$F81,'Калькуляция (МИ корр)'!$G$25:$G$315,$G81),IF(method_reg="Метод экономически обоснованных расходов",SUMIFS('Калькуляция (МЭОР)'!$AK$25:$AK$199,'Калькуляция (МЭОР)'!$F$25:$F$199,$F81,'Калькуляция (МЭОР)'!$G$25:$G$199,$G81),IF(method_reg="Метод сравнения аналогов",SUMIFS('Калькуляция (МСА)'!$AF$25:$AF$65,'Калькуляция (МСА)'!$F$25:$F$65,$F81,'Калькуляция (МСА)'!$G$25:$G$65,$G81),SUMIFS(INDEX('Калькуляция (МИ)'!$AJ$25:$BC$315,,MATCH(BF$8,'Калькуляция (МИ)'!$AJ$8:$BC$8,0)),'Калькуляция (МИ)'!$F$25:$F$315,$F81,'Калькуляция (МИ)'!$G$25:$G$315,$G81))))</f>
        <v>0</v>
      </c>
      <c r="BG81" s="998">
        <f ca="1">IF(BE81=0,0,(BF81-BE81)/BE81*100)</f>
        <v>0</v>
      </c>
      <c r="BH81" s="1426"/>
      <c r="BI81" s="1426"/>
      <c r="BJ81" s="998">
        <f>IF(BH81=0,0,(BI81-BH81)/BH81*100)</f>
        <v>0</v>
      </c>
      <c r="BK81" s="1426"/>
      <c r="BL81" s="1426"/>
      <c r="BM81" s="998">
        <f>IF(BK81=0,0,(BL81-BK81)/BK81*100)</f>
        <v>0</v>
      </c>
      <c r="BN81" s="1426"/>
      <c r="BO81" s="1426"/>
      <c r="BP81" s="998">
        <f>IF(BN81=0,0,(BO81-BN81)/BN81*100)</f>
        <v>0</v>
      </c>
      <c r="BQ81" s="1426"/>
      <c r="BR81" s="1426"/>
      <c r="BS81" s="998">
        <f>IF(BQ81=0,0,(BR81-BQ81)/BQ81*100)</f>
        <v>0</v>
      </c>
      <c r="BT81" s="1426"/>
      <c r="BU81" s="1426"/>
      <c r="BV81" s="998">
        <f>IF(BT81=0,0,(BU81-BT81)/BT81*100)</f>
        <v>0</v>
      </c>
      <c r="BW81" s="1426"/>
      <c r="BX81" s="1426"/>
      <c r="BY81" s="998">
        <f>IF(BW81=0,0,(BX81-BW81)/BW81*100)</f>
        <v>0</v>
      </c>
      <c r="BZ81" s="1426"/>
      <c r="CA81" s="1426"/>
      <c r="CB81" s="998">
        <f>IF(BZ81=0,0,(CA81-BZ81)/BZ81*100)</f>
        <v>0</v>
      </c>
      <c r="CC81" s="1426"/>
      <c r="CD81" s="1426"/>
      <c r="CE81" s="998">
        <f>IF(CC81=0,0,(CD81-CC81)/CC81*100)</f>
        <v>0</v>
      </c>
      <c r="CF81" s="1426"/>
      <c r="CG81" s="1426"/>
      <c r="CH81" s="998">
        <f>IF(CF81=0,0,(CG81-CF81)/CF81*100)</f>
        <v>0</v>
      </c>
      <c r="CI81" s="1426"/>
      <c r="CJ81" s="1426"/>
      <c r="CK81" s="998">
        <f>IF(CI81=0,0,(CJ81-CI81)/CI81*100)</f>
        <v>0</v>
      </c>
      <c r="CL81" s="1426"/>
      <c r="CM81" s="1426"/>
      <c r="CN81" s="998">
        <f>IF(CL81=0,0,(CM81-CL81)/CL81*100)</f>
        <v>0</v>
      </c>
      <c r="CO81" s="1426"/>
      <c r="CP81" s="1426"/>
      <c r="CQ81" s="998">
        <f>IF(CO81=0,0,(CP81-CO81)/CO81*100)</f>
        <v>0</v>
      </c>
      <c r="CR81" s="1426"/>
      <c r="CS81" s="1426"/>
      <c r="CT81" s="998">
        <f>IF(CR81=0,0,(CS81-CR81)/CR81*100)</f>
        <v>0</v>
      </c>
      <c r="CU81" s="1426"/>
      <c r="CV81" s="1426"/>
      <c r="CW81" s="998">
        <f>IF(CU81=0,0,(CV81-CU81)/CU81*100)</f>
        <v>0</v>
      </c>
      <c r="CX81" s="1426"/>
      <c r="CY81" s="1426"/>
      <c r="CZ81" s="998">
        <f>IF(CX81=0,0,(CY81-CX81)/CX81*100)</f>
        <v>0</v>
      </c>
      <c r="DA81" s="1426"/>
      <c r="DB81" s="1426"/>
      <c r="DC81" s="998">
        <f>IF(DA81=0,0,(DB81-DA81)/DA81*100)</f>
        <v>0</v>
      </c>
      <c r="DD81" s="1426"/>
      <c r="DE81" s="1426"/>
      <c r="DF81" s="998">
        <f>IF(DD81=0,0,(DE81-DD81)/DD81*100)</f>
        <v>0</v>
      </c>
      <c r="DG81" s="1426"/>
      <c r="DH81" s="1426"/>
      <c r="DI81" s="998">
        <f>IF(DG81=0,0,(DH81-DG81)/DG81*100)</f>
        <v>0</v>
      </c>
      <c r="DJ81" s="1426"/>
      <c r="DK81" s="1426"/>
      <c r="DL81" s="998">
        <f>IF(DJ81=0,0,(DK81-DJ81)/DJ81*100)</f>
        <v>0</v>
      </c>
      <c r="DM81" s="1426"/>
      <c r="DN81" s="1426"/>
      <c r="DO81" s="998">
        <f>IF(DM81=0,0,(DN81-DM81)/DM81*100)</f>
        <v>0</v>
      </c>
      <c r="DP81" s="1426"/>
      <c r="DQ81" s="1426"/>
      <c r="DR81" s="998">
        <f>IF(DP81=0,0,(DQ81-DP81)/DP81*100)</f>
        <v>0</v>
      </c>
      <c r="DS81" s="1426"/>
      <c r="DT81" s="1426"/>
      <c r="DU81" s="998">
        <f>IF(DS81=0,0,(DT81-DS81)/DS81*100)</f>
        <v>0</v>
      </c>
      <c r="DV81" s="1426"/>
      <c r="DW81" s="1426"/>
      <c r="DX81" s="998">
        <f>IF(DV81=0,0,(DW81-DV81)/DV81*100)</f>
        <v>0</v>
      </c>
      <c r="DY81" s="1426"/>
      <c r="DZ81" s="1426"/>
      <c r="EA81" s="998">
        <f>IF(DY81=0,0,(DZ81-DY81)/DY81*100)</f>
        <v>0</v>
      </c>
      <c r="EB81" s="1426"/>
      <c r="EC81" s="1426"/>
      <c r="ED81" s="998">
        <f>IF(EB81=0,0,(EC81-EB81)/EB81*100)</f>
        <v>0</v>
      </c>
      <c r="EE81" s="1426"/>
      <c r="EF81" s="1426"/>
      <c r="EG81" s="998">
        <f>IF(EE81=0,0,(EF81-EE81)/EE81*100)</f>
        <v>0</v>
      </c>
      <c r="EH81" s="1426"/>
      <c r="EI81" s="1426"/>
      <c r="EJ81" s="998">
        <f>IF(EH81=0,0,(EI81-EH81)/EH81*100)</f>
        <v>0</v>
      </c>
      <c r="EK81" s="1426"/>
      <c r="EL81" s="1426"/>
      <c r="EM81" s="998">
        <f>IF(EK81=0,0,(EL81-EK81)/EK81*100)</f>
        <v>0</v>
      </c>
      <c r="EN81" s="1426"/>
      <c r="EO81" s="1426"/>
      <c r="EP81" s="998">
        <f>IF(EN81=0,0,(EO81-EN81)/EN81*100)</f>
        <v>0</v>
      </c>
      <c r="EQ81" s="1426"/>
      <c r="ER81" s="1426"/>
      <c r="ES81" s="998">
        <f>IF(EQ81=0,0,(ER81-EQ81)/EQ81*100)</f>
        <v>0</v>
      </c>
      <c r="ET81" s="1426"/>
      <c r="EU81" s="1426"/>
      <c r="EV81" s="998">
        <f>IF(ET81=0,0,(EU81-ET81)/ET81*100)</f>
        <v>0</v>
      </c>
      <c r="EW81" s="1426"/>
      <c r="EX81" s="1426"/>
      <c r="EY81" s="998">
        <f>IF(EW81=0,0,(EX81-EW81)/EW81*100)</f>
        <v>0</v>
      </c>
      <c r="EZ81" s="1426"/>
      <c r="FA81" s="1426"/>
      <c r="FB81" s="998">
        <f>IF(EZ81=0,0,(FA81-EZ81)/EZ81*100)</f>
        <v>0</v>
      </c>
      <c r="FC81" s="1426"/>
      <c r="FD81" s="1426"/>
      <c r="FE81" s="998">
        <f>IF(FC81=0,0,(FD81-FC81)/FC81*100)</f>
        <v>0</v>
      </c>
      <c r="FF81" s="1426"/>
      <c r="FG81" s="1426"/>
      <c r="FH81" s="998">
        <f>IF(FF81=0,0,(FG81-FF81)/FF81*100)</f>
        <v>0</v>
      </c>
      <c r="FI81" s="1426"/>
      <c r="FJ81" s="1426"/>
      <c r="FK81" s="998">
        <f>IF(FI81=0,0,(FJ81-FI81)/FI81*100)</f>
        <v>0</v>
      </c>
      <c r="FL81" s="1426"/>
      <c r="FM81" s="1426"/>
      <c r="FN81" s="998">
        <f>IF(FL81=0,0,(FM81-FL81)/FL81*100)</f>
        <v>0</v>
      </c>
      <c r="FO81" s="1426"/>
      <c r="FP81" s="1426"/>
      <c r="FQ81" s="998">
        <f>IF(FO81=0,0,(FP81-FO81)/FO81*100)</f>
        <v>0</v>
      </c>
      <c r="FR81" s="1426"/>
      <c r="FS81" s="1426"/>
      <c r="FT81" s="998">
        <f>IF(FR81=0,0,(FS81-FR81)/FR81*100)</f>
        <v>0</v>
      </c>
      <c r="FU81" s="1426"/>
      <c r="FV81" s="1426"/>
      <c r="FW81" s="998">
        <f>IF(FU81=0,0,(FV81-FU81)/FU81*100)</f>
        <v>0</v>
      </c>
      <c r="FX81" s="208"/>
      <c r="FZ81" s="957" t="s">
        <v>1535</v>
      </c>
    </row>
    <row r="82" spans="1:186" ht="18.2" hidden="1" customHeight="1">
      <c r="A82" s="409"/>
      <c r="B82" s="830" t="b" cm="1">
        <f t="array" ref="B82">B81</f>
        <v>0</v>
      </c>
      <c r="C82" s="409"/>
      <c r="D82" s="409"/>
      <c r="E82" s="754">
        <v>18.75</v>
      </c>
      <c r="F82" s="3" cm="1">
        <f t="array" aca="1" ref="F82" ca="1">OFFSET(E82,-1,1)</f>
        <v>0</v>
      </c>
      <c r="G82" s="409"/>
      <c r="H82" s="409" t="s">
        <v>427</v>
      </c>
      <c r="I82" s="409" cm="1">
        <f t="array" ref="I82">AB82</f>
        <v>0</v>
      </c>
      <c r="J82" s="409"/>
      <c r="K82" s="409"/>
      <c r="L82" s="409"/>
      <c r="M82" s="409"/>
      <c r="N82" s="409"/>
      <c r="O82" s="409"/>
      <c r="P82" s="409"/>
      <c r="Q82" s="409"/>
      <c r="R82" s="409"/>
      <c r="S82" s="409"/>
      <c r="T82" s="381" t="b">
        <f ca="1">AND(F82&gt;0,Y82&gt;0)</f>
        <v>0</v>
      </c>
      <c r="U82" s="409"/>
      <c r="V82" s="409"/>
      <c r="W82" s="409" t="s">
        <v>173</v>
      </c>
      <c r="X82" s="1787"/>
      <c r="Y82" s="409">
        <v>0</v>
      </c>
      <c r="Z82" s="1734"/>
      <c r="AA82" s="579" t="s">
        <v>174</v>
      </c>
      <c r="AB82" s="1431"/>
      <c r="AC82" s="778" t="s">
        <v>1454</v>
      </c>
      <c r="AD82" s="1428"/>
      <c r="AE82" s="1429"/>
      <c r="AF82" s="996">
        <f>IF(AD82=0,0,(AE82-AD82)/AD82*100)</f>
        <v>0</v>
      </c>
      <c r="AG82" s="1429"/>
      <c r="AH82" s="1429"/>
      <c r="AI82" s="996">
        <f>IF(AG82=0,0,(AH82-AG82)/AG82*100)</f>
        <v>0</v>
      </c>
      <c r="AJ82" s="1429"/>
      <c r="AK82" s="1429"/>
      <c r="AL82" s="996">
        <f>IF(AJ82=0,0,(AK82-AJ82)/AJ82*100)</f>
        <v>0</v>
      </c>
      <c r="AM82" s="1429"/>
      <c r="AN82" s="1429"/>
      <c r="AO82" s="996">
        <f>IF(AM82=0,0,(AN82-AM82)/AM82*100)</f>
        <v>0</v>
      </c>
      <c r="AP82" s="1429"/>
      <c r="AQ82" s="1429"/>
      <c r="AR82" s="996">
        <f>IF(AP82=0,0,(AQ82-AP82)/AP82*100)</f>
        <v>0</v>
      </c>
      <c r="AS82" s="1429"/>
      <c r="AT82" s="1429"/>
      <c r="AU82" s="996">
        <f>IF(AS82=0,0,(AT82-AS82)/AS82*100)</f>
        <v>0</v>
      </c>
      <c r="AV82" s="1429"/>
      <c r="AW82" s="1429"/>
      <c r="AX82" s="996">
        <f>IF(AV82=0,0,(AW82-AV82)/AV82*100)</f>
        <v>0</v>
      </c>
      <c r="AY82" s="1429"/>
      <c r="AZ82" s="1429"/>
      <c r="BA82" s="996">
        <f>IF(AY82=0,0,(AZ82-AY82)/AY82*100)</f>
        <v>0</v>
      </c>
      <c r="BB82" s="1429"/>
      <c r="BC82" s="1429"/>
      <c r="BD82" s="996">
        <f>IF(BB82=0,0,(BC82-BB82)/BB82*100)</f>
        <v>0</v>
      </c>
      <c r="BE82" s="1429"/>
      <c r="BF82" s="1429"/>
      <c r="BG82" s="996">
        <f>IF(BE82=0,0,(BF82-BE82)/BE82*100)</f>
        <v>0</v>
      </c>
      <c r="BH82" s="1429"/>
      <c r="BI82" s="1429"/>
      <c r="BJ82" s="996">
        <f>IF(BH82=0,0,(BI82-BH82)/BH82*100)</f>
        <v>0</v>
      </c>
      <c r="BK82" s="1429"/>
      <c r="BL82" s="1429"/>
      <c r="BM82" s="996">
        <f>IF(BK82=0,0,(BL82-BK82)/BK82*100)</f>
        <v>0</v>
      </c>
      <c r="BN82" s="1429"/>
      <c r="BO82" s="1429"/>
      <c r="BP82" s="996">
        <f>IF(BN82=0,0,(BO82-BN82)/BN82*100)</f>
        <v>0</v>
      </c>
      <c r="BQ82" s="1429"/>
      <c r="BR82" s="1429"/>
      <c r="BS82" s="996">
        <f>IF(BQ82=0,0,(BR82-BQ82)/BQ82*100)</f>
        <v>0</v>
      </c>
      <c r="BT82" s="1429"/>
      <c r="BU82" s="1429"/>
      <c r="BV82" s="996">
        <f>IF(BT82=0,0,(BU82-BT82)/BT82*100)</f>
        <v>0</v>
      </c>
      <c r="BW82" s="1429"/>
      <c r="BX82" s="1429"/>
      <c r="BY82" s="996">
        <f>IF(BW82=0,0,(BX82-BW82)/BW82*100)</f>
        <v>0</v>
      </c>
      <c r="BZ82" s="1429"/>
      <c r="CA82" s="1429"/>
      <c r="CB82" s="996">
        <f>IF(BZ82=0,0,(CA82-BZ82)/BZ82*100)</f>
        <v>0</v>
      </c>
      <c r="CC82" s="1429"/>
      <c r="CD82" s="1429"/>
      <c r="CE82" s="996">
        <f>IF(CC82=0,0,(CD82-CC82)/CC82*100)</f>
        <v>0</v>
      </c>
      <c r="CF82" s="1429"/>
      <c r="CG82" s="1429"/>
      <c r="CH82" s="996">
        <f>IF(CF82=0,0,(CG82-CF82)/CF82*100)</f>
        <v>0</v>
      </c>
      <c r="CI82" s="1429"/>
      <c r="CJ82" s="1429"/>
      <c r="CK82" s="996">
        <f>IF(CI82=0,0,(CJ82-CI82)/CI82*100)</f>
        <v>0</v>
      </c>
      <c r="CL82" s="1429"/>
      <c r="CM82" s="1429"/>
      <c r="CN82" s="996">
        <f>IF(CL82=0,0,(CM82-CL82)/CL82*100)</f>
        <v>0</v>
      </c>
      <c r="CO82" s="1429"/>
      <c r="CP82" s="1429"/>
      <c r="CQ82" s="996">
        <f>IF(CO82=0,0,(CP82-CO82)/CO82*100)</f>
        <v>0</v>
      </c>
      <c r="CR82" s="1429"/>
      <c r="CS82" s="1429"/>
      <c r="CT82" s="996">
        <f>IF(CR82=0,0,(CS82-CR82)/CR82*100)</f>
        <v>0</v>
      </c>
      <c r="CU82" s="1429"/>
      <c r="CV82" s="1429"/>
      <c r="CW82" s="996">
        <f>IF(CU82=0,0,(CV82-CU82)/CU82*100)</f>
        <v>0</v>
      </c>
      <c r="CX82" s="1429"/>
      <c r="CY82" s="1429"/>
      <c r="CZ82" s="996">
        <f>IF(CX82=0,0,(CY82-CX82)/CX82*100)</f>
        <v>0</v>
      </c>
      <c r="DA82" s="1429"/>
      <c r="DB82" s="1429"/>
      <c r="DC82" s="996">
        <f>IF(DA82=0,0,(DB82-DA82)/DA82*100)</f>
        <v>0</v>
      </c>
      <c r="DD82" s="1429"/>
      <c r="DE82" s="1429"/>
      <c r="DF82" s="996">
        <f>IF(DD82=0,0,(DE82-DD82)/DD82*100)</f>
        <v>0</v>
      </c>
      <c r="DG82" s="1429"/>
      <c r="DH82" s="1429"/>
      <c r="DI82" s="996">
        <f>IF(DG82=0,0,(DH82-DG82)/DG82*100)</f>
        <v>0</v>
      </c>
      <c r="DJ82" s="1429"/>
      <c r="DK82" s="1429"/>
      <c r="DL82" s="996">
        <f>IF(DJ82=0,0,(DK82-DJ82)/DJ82*100)</f>
        <v>0</v>
      </c>
      <c r="DM82" s="1429"/>
      <c r="DN82" s="1429"/>
      <c r="DO82" s="996">
        <f>IF(DM82=0,0,(DN82-DM82)/DM82*100)</f>
        <v>0</v>
      </c>
      <c r="DP82" s="1429"/>
      <c r="DQ82" s="1429"/>
      <c r="DR82" s="996">
        <f>IF(DP82=0,0,(DQ82-DP82)/DP82*100)</f>
        <v>0</v>
      </c>
      <c r="DS82" s="1429"/>
      <c r="DT82" s="1429"/>
      <c r="DU82" s="996">
        <f>IF(DS82=0,0,(DT82-DS82)/DS82*100)</f>
        <v>0</v>
      </c>
      <c r="DV82" s="1429"/>
      <c r="DW82" s="1429"/>
      <c r="DX82" s="996">
        <f>IF(DV82=0,0,(DW82-DV82)/DV82*100)</f>
        <v>0</v>
      </c>
      <c r="DY82" s="1429"/>
      <c r="DZ82" s="1429"/>
      <c r="EA82" s="996">
        <f>IF(DY82=0,0,(DZ82-DY82)/DY82*100)</f>
        <v>0</v>
      </c>
      <c r="EB82" s="1429"/>
      <c r="EC82" s="1429"/>
      <c r="ED82" s="996">
        <f>IF(EB82=0,0,(EC82-EB82)/EB82*100)</f>
        <v>0</v>
      </c>
      <c r="EE82" s="1429"/>
      <c r="EF82" s="1429"/>
      <c r="EG82" s="996">
        <f>IF(EE82=0,0,(EF82-EE82)/EE82*100)</f>
        <v>0</v>
      </c>
      <c r="EH82" s="1429"/>
      <c r="EI82" s="1429"/>
      <c r="EJ82" s="996">
        <f>IF(EH82=0,0,(EI82-EH82)/EH82*100)</f>
        <v>0</v>
      </c>
      <c r="EK82" s="1429"/>
      <c r="EL82" s="1429"/>
      <c r="EM82" s="996">
        <f>IF(EK82=0,0,(EL82-EK82)/EK82*100)</f>
        <v>0</v>
      </c>
      <c r="EN82" s="1429"/>
      <c r="EO82" s="1429"/>
      <c r="EP82" s="996">
        <f>IF(EN82=0,0,(EO82-EN82)/EN82*100)</f>
        <v>0</v>
      </c>
      <c r="EQ82" s="1429"/>
      <c r="ER82" s="1429"/>
      <c r="ES82" s="996">
        <f>IF(EQ82=0,0,(ER82-EQ82)/EQ82*100)</f>
        <v>0</v>
      </c>
      <c r="ET82" s="1429"/>
      <c r="EU82" s="1429"/>
      <c r="EV82" s="996">
        <f>IF(ET82=0,0,(EU82-ET82)/ET82*100)</f>
        <v>0</v>
      </c>
      <c r="EW82" s="1429"/>
      <c r="EX82" s="1429"/>
      <c r="EY82" s="996">
        <f>IF(EW82=0,0,(EX82-EW82)/EW82*100)</f>
        <v>0</v>
      </c>
      <c r="EZ82" s="1429"/>
      <c r="FA82" s="1429"/>
      <c r="FB82" s="996">
        <f>IF(EZ82=0,0,(FA82-EZ82)/EZ82*100)</f>
        <v>0</v>
      </c>
      <c r="FC82" s="1429"/>
      <c r="FD82" s="1429"/>
      <c r="FE82" s="996">
        <f>IF(FC82=0,0,(FD82-FC82)/FC82*100)</f>
        <v>0</v>
      </c>
      <c r="FF82" s="1429"/>
      <c r="FG82" s="1429"/>
      <c r="FH82" s="996">
        <f>IF(FF82=0,0,(FG82-FF82)/FF82*100)</f>
        <v>0</v>
      </c>
      <c r="FI82" s="1429"/>
      <c r="FJ82" s="1429"/>
      <c r="FK82" s="996">
        <f>IF(FI82=0,0,(FJ82-FI82)/FI82*100)</f>
        <v>0</v>
      </c>
      <c r="FL82" s="1429"/>
      <c r="FM82" s="1429"/>
      <c r="FN82" s="996">
        <f>IF(FL82=0,0,(FM82-FL82)/FL82*100)</f>
        <v>0</v>
      </c>
      <c r="FO82" s="1429"/>
      <c r="FP82" s="1429"/>
      <c r="FQ82" s="996">
        <f>IF(FO82=0,0,(FP82-FO82)/FO82*100)</f>
        <v>0</v>
      </c>
      <c r="FR82" s="1429"/>
      <c r="FS82" s="1429"/>
      <c r="FT82" s="996">
        <f>IF(FR82=0,0,(FS82-FR82)/FR82*100)</f>
        <v>0</v>
      </c>
      <c r="FU82" s="1429"/>
      <c r="FV82" s="1429"/>
      <c r="FW82" s="996">
        <f>IF(FU82=0,0,(FV82-FU82)/FU82*100)</f>
        <v>0</v>
      </c>
      <c r="FX82" s="208"/>
      <c r="FZ82" s="957" t="s">
        <v>1536</v>
      </c>
      <c r="GA82" s="917" t="s">
        <v>1537</v>
      </c>
      <c r="GB82" s="917" cm="1">
        <f t="array" ref="GB82">AB82</f>
        <v>0</v>
      </c>
      <c r="GD82" s="549" t="b">
        <v>1</v>
      </c>
    </row>
    <row r="83" spans="1:186" ht="14.65" hidden="1" customHeight="1">
      <c r="B83" s="830" t="b" cm="1">
        <f t="array" ref="B83">B82</f>
        <v>0</v>
      </c>
      <c r="D83" s="409"/>
      <c r="E83" s="754">
        <v>15</v>
      </c>
      <c r="F83" s="3" cm="1">
        <f t="array" aca="1" ref="F83" ca="1">OFFSET(E83,-1,1)</f>
        <v>0</v>
      </c>
      <c r="G83" s="409"/>
      <c r="I83" s="17" t="s">
        <v>1538</v>
      </c>
      <c r="T83" s="381" t="b">
        <f ca="1">F83&gt;0</f>
        <v>0</v>
      </c>
      <c r="W83" s="671" t="s">
        <v>1484</v>
      </c>
      <c r="X83" s="1787"/>
      <c r="Z83" s="1734"/>
      <c r="AB83" s="176" t="s">
        <v>177</v>
      </c>
      <c r="AC83" s="180"/>
      <c r="AD83" s="178"/>
      <c r="AE83" s="178"/>
      <c r="AF83" s="178"/>
      <c r="AG83" s="178"/>
      <c r="AH83" s="178"/>
      <c r="AI83" s="178"/>
      <c r="AJ83" s="178"/>
      <c r="AK83" s="178"/>
      <c r="AL83" s="178"/>
      <c r="AM83" s="178"/>
      <c r="AN83" s="178"/>
      <c r="AO83" s="178"/>
      <c r="AP83" s="178"/>
      <c r="AQ83" s="178"/>
      <c r="AR83" s="178"/>
      <c r="AS83" s="178"/>
      <c r="AT83" s="178"/>
      <c r="AU83" s="178"/>
      <c r="AV83" s="178"/>
      <c r="AW83" s="178"/>
      <c r="AX83" s="178"/>
      <c r="AY83" s="178"/>
      <c r="AZ83" s="178"/>
      <c r="BA83" s="178"/>
      <c r="BB83" s="178"/>
      <c r="BC83" s="178"/>
      <c r="BD83" s="178"/>
      <c r="BE83" s="178"/>
      <c r="BF83" s="178"/>
      <c r="BG83" s="178"/>
      <c r="BH83" s="178"/>
      <c r="BI83" s="178"/>
      <c r="BJ83" s="178"/>
      <c r="BK83" s="178"/>
      <c r="BL83" s="178"/>
      <c r="BM83" s="178"/>
      <c r="BN83" s="178"/>
      <c r="BO83" s="178"/>
      <c r="BP83" s="178"/>
      <c r="BQ83" s="178"/>
      <c r="BR83" s="178"/>
      <c r="BS83" s="178"/>
      <c r="BT83" s="178"/>
      <c r="BU83" s="178"/>
      <c r="BV83" s="178"/>
      <c r="BW83" s="178"/>
      <c r="BX83" s="178"/>
      <c r="BY83" s="178"/>
      <c r="BZ83" s="178"/>
      <c r="CA83" s="178"/>
      <c r="CB83" s="178"/>
      <c r="CC83" s="178"/>
      <c r="CD83" s="178"/>
      <c r="CE83" s="178"/>
      <c r="CF83" s="178"/>
      <c r="CG83" s="178"/>
      <c r="CH83" s="178"/>
      <c r="CI83" s="178"/>
      <c r="CJ83" s="178"/>
      <c r="CK83" s="178"/>
      <c r="CL83" s="178"/>
      <c r="CM83" s="178"/>
      <c r="CN83" s="178"/>
      <c r="CO83" s="178"/>
      <c r="CP83" s="178"/>
      <c r="CQ83" s="178"/>
      <c r="CR83" s="178"/>
      <c r="CS83" s="178"/>
      <c r="CT83" s="178"/>
      <c r="CU83" s="178"/>
      <c r="CV83" s="178"/>
      <c r="CW83" s="178"/>
      <c r="CX83" s="178"/>
      <c r="CY83" s="178"/>
      <c r="CZ83" s="178"/>
      <c r="DA83" s="178"/>
      <c r="DB83" s="178"/>
      <c r="DC83" s="178"/>
      <c r="DD83" s="178"/>
      <c r="DE83" s="178"/>
      <c r="DF83" s="178"/>
      <c r="DG83" s="178"/>
      <c r="DH83" s="178"/>
      <c r="DI83" s="178"/>
      <c r="DJ83" s="178"/>
      <c r="DK83" s="178"/>
      <c r="DL83" s="178"/>
      <c r="DM83" s="178"/>
      <c r="DN83" s="178"/>
      <c r="DO83" s="178"/>
      <c r="DP83" s="178"/>
      <c r="DQ83" s="178"/>
      <c r="DR83" s="178"/>
      <c r="DS83" s="178"/>
      <c r="DT83" s="178"/>
      <c r="DU83" s="178"/>
      <c r="DV83" s="178"/>
      <c r="DW83" s="178"/>
      <c r="DX83" s="178"/>
      <c r="DY83" s="178"/>
      <c r="DZ83" s="178"/>
      <c r="EA83" s="178"/>
      <c r="EB83" s="178"/>
      <c r="EC83" s="178"/>
      <c r="ED83" s="178"/>
      <c r="EE83" s="178"/>
      <c r="EF83" s="178"/>
      <c r="EG83" s="178"/>
      <c r="EH83" s="178"/>
      <c r="EI83" s="178"/>
      <c r="EJ83" s="178"/>
      <c r="EK83" s="178"/>
      <c r="EL83" s="178"/>
      <c r="EM83" s="178"/>
      <c r="EN83" s="178"/>
      <c r="EO83" s="178"/>
      <c r="EP83" s="178"/>
      <c r="EQ83" s="178"/>
      <c r="ER83" s="178"/>
      <c r="ES83" s="178"/>
      <c r="ET83" s="178"/>
      <c r="EU83" s="178"/>
      <c r="EV83" s="178"/>
      <c r="EW83" s="178"/>
      <c r="EX83" s="178"/>
      <c r="EY83" s="178"/>
      <c r="EZ83" s="178"/>
      <c r="FA83" s="178"/>
      <c r="FB83" s="178"/>
      <c r="FC83" s="178"/>
      <c r="FD83" s="178"/>
      <c r="FE83" s="178"/>
      <c r="FF83" s="178"/>
      <c r="FG83" s="178"/>
      <c r="FH83" s="178"/>
      <c r="FI83" s="178"/>
      <c r="FJ83" s="178"/>
      <c r="FK83" s="178"/>
      <c r="FL83" s="178"/>
      <c r="FM83" s="178"/>
      <c r="FN83" s="178"/>
      <c r="FO83" s="178"/>
      <c r="FP83" s="178"/>
      <c r="FQ83" s="178"/>
      <c r="FR83" s="178"/>
      <c r="FS83" s="178"/>
      <c r="FT83" s="178"/>
      <c r="FU83" s="178"/>
      <c r="FV83" s="178"/>
      <c r="FW83" s="179"/>
      <c r="GC83" s="549" t="s">
        <v>1537</v>
      </c>
    </row>
    <row r="84" spans="1:186" ht="11.25" hidden="1" customHeight="1">
      <c r="A84" s="17"/>
      <c r="B84" s="812"/>
      <c r="C84" s="17"/>
      <c r="D84" s="409"/>
      <c r="E84" s="754">
        <v>11.5</v>
      </c>
      <c r="G84" s="409"/>
      <c r="H84" s="17"/>
      <c r="I84" s="17"/>
      <c r="J84" s="17"/>
      <c r="K84" s="17"/>
      <c r="L84" s="17"/>
      <c r="M84" s="17"/>
      <c r="N84" s="17"/>
      <c r="O84" s="17"/>
      <c r="P84" s="17"/>
      <c r="Q84" s="17"/>
      <c r="R84" s="17"/>
      <c r="S84" s="17"/>
      <c r="T84" s="381" t="b" cm="1">
        <f t="array" aca="1" ref="T84" ca="1">T83</f>
        <v>0</v>
      </c>
      <c r="U84" s="17"/>
      <c r="V84" s="17"/>
      <c r="W84" s="671"/>
      <c r="X84" s="1787"/>
      <c r="Y84" s="17"/>
      <c r="Z84" s="1734"/>
      <c r="AA84" s="17"/>
      <c r="FZ84" s="908"/>
      <c r="GA84" s="908"/>
      <c r="GB84" s="903"/>
      <c r="GC84" s="592"/>
      <c r="GD84" s="592"/>
    </row>
    <row r="85" spans="1:186" s="1327" customFormat="1" ht="14.25" customHeight="1">
      <c r="A85" s="409"/>
      <c r="B85" s="785"/>
      <c r="C85" s="409"/>
      <c r="D85" s="409"/>
      <c r="E85" s="754">
        <v>15</v>
      </c>
      <c r="F85" s="410" t="str" cm="1">
        <f t="array" ref="F85">X85</f>
        <v>1</v>
      </c>
      <c r="G85" s="409" t="str" cm="1">
        <f t="array" ref="G85">INDEX('Общие сведения'!$AK$179:$AK$208,MATCH($X85,'Общие сведения'!$Z$179:$Z$208,0))</f>
        <v>одноставочный</v>
      </c>
      <c r="H85" s="409"/>
      <c r="I85" s="409"/>
      <c r="J85" s="409"/>
      <c r="K85" s="409"/>
      <c r="L85" s="409"/>
      <c r="M85" s="409"/>
      <c r="N85" s="409"/>
      <c r="O85" s="409"/>
      <c r="P85" s="409"/>
      <c r="Q85" s="409" t="str" cm="1">
        <f t="array" ref="Q85">INDEX('Общие сведения'!$AE$179:$AE$208,MATCH($X85,'Общие сведения'!$Z$179:$Z$208,0))</f>
        <v>Водоснабжение</v>
      </c>
      <c r="R85" s="400" t="str" cm="1">
        <f t="array" ref="R85">INDEX('Общие сведения'!$AK$179:$AK$208,MATCH($X85,'Общие сведения'!$Z$179:$Z$208,0))</f>
        <v>одноставочный</v>
      </c>
      <c r="S85" s="409" t="b" cm="1">
        <f t="array" ref="S85">INDEX('Общие сведения'!$AN$179:$AN$208,MATCH($X85,'Общие сведения'!$Z$179:$Z$208,0))</f>
        <v>0</v>
      </c>
      <c r="T85" s="381" t="b">
        <f>X85&gt;0</f>
        <v>1</v>
      </c>
      <c r="U85" s="409"/>
      <c r="V85" s="409" t="str" cm="1">
        <f t="array" ref="V85">'Корректировка НВВ'!$AB$78</f>
        <v>Тариф 1 (Водоснабжение) - тариф на питьевую воду</v>
      </c>
      <c r="W85" s="409"/>
      <c r="X85" s="1787" t="s">
        <v>281</v>
      </c>
      <c r="Y85" s="409"/>
      <c r="Z85" s="1734"/>
      <c r="AA85" s="409"/>
      <c r="AB85" s="1835" t="s">
        <v>21</v>
      </c>
      <c r="AC85" s="1836"/>
      <c r="AD85" s="802" t="str" cm="1">
        <f t="array" ref="AD85">'Корректировка НВВ'!$AB$78</f>
        <v>Тариф 1 (Водоснабжение) - тариф на питьевую воду</v>
      </c>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2"/>
      <c r="BZ85" s="202"/>
      <c r="CA85" s="202"/>
      <c r="CB85" s="202"/>
      <c r="CC85" s="202"/>
      <c r="CD85" s="202"/>
      <c r="CE85" s="202"/>
      <c r="CF85" s="202"/>
      <c r="CG85" s="202"/>
      <c r="CH85" s="202"/>
      <c r="CI85" s="202"/>
      <c r="CJ85" s="202"/>
      <c r="CK85" s="202"/>
      <c r="CL85" s="202"/>
      <c r="CM85" s="202"/>
      <c r="CN85" s="202"/>
      <c r="CO85" s="202"/>
      <c r="CP85" s="202"/>
      <c r="CQ85" s="202"/>
      <c r="CR85" s="202"/>
      <c r="CS85" s="202"/>
      <c r="CT85" s="202"/>
      <c r="CU85" s="202"/>
      <c r="CV85" s="202"/>
      <c r="CW85" s="202"/>
      <c r="CX85" s="202"/>
      <c r="CY85" s="202"/>
      <c r="CZ85" s="202"/>
      <c r="DA85" s="202"/>
      <c r="DB85" s="202"/>
      <c r="DC85" s="202"/>
      <c r="DD85" s="202"/>
      <c r="DE85" s="202"/>
      <c r="DF85" s="202"/>
      <c r="DG85" s="202"/>
      <c r="DH85" s="202"/>
      <c r="DI85" s="202"/>
      <c r="DJ85" s="202"/>
      <c r="DK85" s="202"/>
      <c r="DL85" s="202"/>
      <c r="DM85" s="202"/>
      <c r="DN85" s="202"/>
      <c r="DO85" s="202"/>
      <c r="DP85" s="202"/>
      <c r="DQ85" s="202"/>
      <c r="DR85" s="202"/>
      <c r="DS85" s="202"/>
      <c r="DT85" s="202"/>
      <c r="DU85" s="202"/>
      <c r="DV85" s="202"/>
      <c r="DW85" s="202"/>
      <c r="DX85" s="202"/>
      <c r="DY85" s="202"/>
      <c r="DZ85" s="202"/>
      <c r="EA85" s="202"/>
      <c r="EB85" s="202"/>
      <c r="EC85" s="202"/>
      <c r="ED85" s="202"/>
      <c r="EE85" s="202"/>
      <c r="EF85" s="202"/>
      <c r="EG85" s="202"/>
      <c r="EH85" s="202"/>
      <c r="EI85" s="202"/>
      <c r="EJ85" s="202"/>
      <c r="EK85" s="202"/>
      <c r="EL85" s="202"/>
      <c r="EM85" s="202"/>
      <c r="EN85" s="202"/>
      <c r="EO85" s="202"/>
      <c r="EP85" s="202"/>
      <c r="EQ85" s="202"/>
      <c r="ER85" s="202"/>
      <c r="ES85" s="202"/>
      <c r="ET85" s="202"/>
      <c r="EU85" s="202"/>
      <c r="EV85" s="202"/>
      <c r="EW85" s="202"/>
      <c r="EX85" s="202"/>
      <c r="EY85" s="202"/>
      <c r="EZ85" s="202"/>
      <c r="FA85" s="202"/>
      <c r="FB85" s="202"/>
      <c r="FC85" s="202"/>
      <c r="FD85" s="202"/>
      <c r="FE85" s="202"/>
      <c r="FF85" s="202"/>
      <c r="FG85" s="202"/>
      <c r="FH85" s="202"/>
      <c r="FI85" s="202"/>
      <c r="FJ85" s="202"/>
      <c r="FK85" s="202"/>
      <c r="FL85" s="202"/>
      <c r="FM85" s="202"/>
      <c r="FN85" s="202"/>
      <c r="FO85" s="202"/>
      <c r="FP85" s="202"/>
      <c r="FQ85" s="202"/>
      <c r="FR85" s="202"/>
      <c r="FS85" s="202"/>
      <c r="FT85" s="202"/>
      <c r="FU85" s="202"/>
      <c r="FV85" s="202"/>
      <c r="FW85" s="203"/>
      <c r="FX85" s="1207"/>
      <c r="FY85" s="1207"/>
      <c r="FZ85" s="1209"/>
      <c r="GA85" s="1209"/>
      <c r="GB85" s="1209"/>
      <c r="GC85" s="1208"/>
      <c r="GD85" s="1208"/>
    </row>
    <row r="86" spans="1:186" s="1327" customFormat="1" ht="14.25" customHeight="1">
      <c r="A86" s="409"/>
      <c r="B86" s="785"/>
      <c r="C86" s="409"/>
      <c r="D86" s="409"/>
      <c r="E86" s="754">
        <v>15</v>
      </c>
      <c r="F86" s="3" t="str" cm="1">
        <f t="array" aca="1" ref="F86" ca="1">OFFSET(E86,-1,1)</f>
        <v>1</v>
      </c>
      <c r="G86" s="409"/>
      <c r="H86" s="409"/>
      <c r="I86" s="409"/>
      <c r="J86" s="409"/>
      <c r="K86" s="409"/>
      <c r="L86" s="409"/>
      <c r="M86" s="409"/>
      <c r="N86" s="409"/>
      <c r="O86" s="409"/>
      <c r="P86" s="409"/>
      <c r="Q86" s="409"/>
      <c r="R86" s="400"/>
      <c r="S86" s="400"/>
      <c r="T86" s="381" t="b" cm="1">
        <f t="array" ref="T86">T85</f>
        <v>1</v>
      </c>
      <c r="U86" s="409"/>
      <c r="V86" s="409"/>
      <c r="W86" s="409"/>
      <c r="X86" s="1787"/>
      <c r="Y86" s="409"/>
      <c r="Z86" s="1734"/>
      <c r="AA86" s="409"/>
      <c r="AB86" s="1690" t="str">
        <f>"Вид "&amp;IF(ISERROR(SEARCH("Водоснабжение",AD85)),"сточных вод","воды")</f>
        <v>Вид воды</v>
      </c>
      <c r="AC86" s="1692"/>
      <c r="AD86" s="802" t="str" cm="1">
        <f t="array" ref="AD86">INDEX('Общие сведения'!$AH$179:$AH$208,MATCH($X85,'Общие сведения'!$Z$179:$Z$208,0))</f>
        <v>питьевая вода</v>
      </c>
      <c r="AE86" s="204"/>
      <c r="AF86" s="204"/>
      <c r="AG86" s="204"/>
      <c r="AH86" s="204"/>
      <c r="AI86" s="204"/>
      <c r="AJ86" s="204"/>
      <c r="AK86" s="204"/>
      <c r="AL86" s="204"/>
      <c r="AM86" s="204"/>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4"/>
      <c r="BR86" s="204"/>
      <c r="BS86" s="204"/>
      <c r="BT86" s="204"/>
      <c r="BU86" s="204"/>
      <c r="BV86" s="204"/>
      <c r="BW86" s="204"/>
      <c r="BX86" s="204"/>
      <c r="BY86" s="204"/>
      <c r="BZ86" s="204"/>
      <c r="CA86" s="204"/>
      <c r="CB86" s="204"/>
      <c r="CC86" s="204"/>
      <c r="CD86" s="204"/>
      <c r="CE86" s="204"/>
      <c r="CF86" s="204"/>
      <c r="CG86" s="204"/>
      <c r="CH86" s="204"/>
      <c r="CI86" s="204"/>
      <c r="CJ86" s="204"/>
      <c r="CK86" s="204"/>
      <c r="CL86" s="204"/>
      <c r="CM86" s="204"/>
      <c r="CN86" s="204"/>
      <c r="CO86" s="204"/>
      <c r="CP86" s="204"/>
      <c r="CQ86" s="204"/>
      <c r="CR86" s="204"/>
      <c r="CS86" s="204"/>
      <c r="CT86" s="204"/>
      <c r="CU86" s="204"/>
      <c r="CV86" s="204"/>
      <c r="CW86" s="204"/>
      <c r="CX86" s="204"/>
      <c r="CY86" s="204"/>
      <c r="CZ86" s="204"/>
      <c r="DA86" s="204"/>
      <c r="DB86" s="204"/>
      <c r="DC86" s="204"/>
      <c r="DD86" s="204"/>
      <c r="DE86" s="204"/>
      <c r="DF86" s="204"/>
      <c r="DG86" s="204"/>
      <c r="DH86" s="204"/>
      <c r="DI86" s="204"/>
      <c r="DJ86" s="204"/>
      <c r="DK86" s="204"/>
      <c r="DL86" s="204"/>
      <c r="DM86" s="204"/>
      <c r="DN86" s="204"/>
      <c r="DO86" s="204"/>
      <c r="DP86" s="204"/>
      <c r="DQ86" s="204"/>
      <c r="DR86" s="204"/>
      <c r="DS86" s="204"/>
      <c r="DT86" s="204"/>
      <c r="DU86" s="204"/>
      <c r="DV86" s="204"/>
      <c r="DW86" s="204"/>
      <c r="DX86" s="204"/>
      <c r="DY86" s="204"/>
      <c r="DZ86" s="204"/>
      <c r="EA86" s="204"/>
      <c r="EB86" s="204"/>
      <c r="EC86" s="204"/>
      <c r="ED86" s="204"/>
      <c r="EE86" s="204"/>
      <c r="EF86" s="204"/>
      <c r="EG86" s="204"/>
      <c r="EH86" s="204"/>
      <c r="EI86" s="204"/>
      <c r="EJ86" s="204"/>
      <c r="EK86" s="204"/>
      <c r="EL86" s="204"/>
      <c r="EM86" s="204"/>
      <c r="EN86" s="204"/>
      <c r="EO86" s="204"/>
      <c r="EP86" s="204"/>
      <c r="EQ86" s="204"/>
      <c r="ER86" s="204"/>
      <c r="ES86" s="204"/>
      <c r="ET86" s="204"/>
      <c r="EU86" s="204"/>
      <c r="EV86" s="204"/>
      <c r="EW86" s="204"/>
      <c r="EX86" s="204"/>
      <c r="EY86" s="204"/>
      <c r="EZ86" s="204"/>
      <c r="FA86" s="204"/>
      <c r="FB86" s="204"/>
      <c r="FC86" s="204"/>
      <c r="FD86" s="204"/>
      <c r="FE86" s="204"/>
      <c r="FF86" s="204"/>
      <c r="FG86" s="204"/>
      <c r="FH86" s="204"/>
      <c r="FI86" s="204"/>
      <c r="FJ86" s="204"/>
      <c r="FK86" s="204"/>
      <c r="FL86" s="204"/>
      <c r="FM86" s="204"/>
      <c r="FN86" s="204"/>
      <c r="FO86" s="204"/>
      <c r="FP86" s="204"/>
      <c r="FQ86" s="204"/>
      <c r="FR86" s="204"/>
      <c r="FS86" s="204"/>
      <c r="FT86" s="204"/>
      <c r="FU86" s="204"/>
      <c r="FV86" s="204"/>
      <c r="FW86" s="205"/>
      <c r="FX86" s="1207"/>
      <c r="FY86" s="1207"/>
      <c r="FZ86" s="1209"/>
      <c r="GA86" s="1209"/>
      <c r="GB86" s="1209"/>
      <c r="GC86" s="1208"/>
      <c r="GD86" s="1208"/>
    </row>
    <row r="87" spans="1:186" s="1327" customFormat="1" ht="14.25" customHeight="1">
      <c r="A87" s="409"/>
      <c r="B87" s="785"/>
      <c r="C87" s="409"/>
      <c r="D87" s="409"/>
      <c r="E87" s="754">
        <v>15</v>
      </c>
      <c r="F87" s="3" t="str" cm="1">
        <f t="array" aca="1" ref="F87" ca="1">OFFSET(E87,-1,1)</f>
        <v>1</v>
      </c>
      <c r="G87" s="409"/>
      <c r="H87" s="409"/>
      <c r="I87" s="409"/>
      <c r="J87" s="409"/>
      <c r="K87" s="409"/>
      <c r="L87" s="409"/>
      <c r="M87" s="409"/>
      <c r="N87" s="409"/>
      <c r="O87" s="409"/>
      <c r="P87" s="409"/>
      <c r="Q87" s="409"/>
      <c r="R87" s="400"/>
      <c r="S87" s="400"/>
      <c r="T87" s="381" t="b" cm="1">
        <f t="array" ref="T87">T86</f>
        <v>1</v>
      </c>
      <c r="U87" s="409"/>
      <c r="V87" s="409"/>
      <c r="W87" s="409"/>
      <c r="X87" s="1787"/>
      <c r="Y87" s="409"/>
      <c r="Z87" s="1734"/>
      <c r="AA87" s="409"/>
      <c r="AB87" s="1690" t="s">
        <v>1448</v>
      </c>
      <c r="AC87" s="1692"/>
      <c r="AD87" s="802" t="str" cm="1">
        <f t="array" ref="AD87">INDEX('Общие сведения'!$AI$179:$AI$208,MATCH($X85,'Общие сведения'!$Z$179:$Z$208,0))</f>
        <v>тариф на питьевую воду</v>
      </c>
      <c r="AE87" s="204"/>
      <c r="AF87" s="204"/>
      <c r="AG87" s="204"/>
      <c r="AH87" s="204"/>
      <c r="AI87" s="204"/>
      <c r="AJ87" s="204"/>
      <c r="AK87" s="204"/>
      <c r="AL87" s="204"/>
      <c r="AM87" s="204"/>
      <c r="AN87" s="204"/>
      <c r="AO87" s="204"/>
      <c r="AP87" s="204"/>
      <c r="AQ87" s="204"/>
      <c r="AR87" s="204"/>
      <c r="AS87" s="204"/>
      <c r="AT87" s="204"/>
      <c r="AU87" s="204"/>
      <c r="AV87" s="204"/>
      <c r="AW87" s="204"/>
      <c r="AX87" s="204"/>
      <c r="AY87" s="204"/>
      <c r="AZ87" s="204"/>
      <c r="BA87" s="204"/>
      <c r="BB87" s="204"/>
      <c r="BC87" s="204"/>
      <c r="BD87" s="204"/>
      <c r="BE87" s="204"/>
      <c r="BF87" s="204"/>
      <c r="BG87" s="204"/>
      <c r="BH87" s="204"/>
      <c r="BI87" s="204"/>
      <c r="BJ87" s="204"/>
      <c r="BK87" s="204"/>
      <c r="BL87" s="204"/>
      <c r="BM87" s="204"/>
      <c r="BN87" s="204"/>
      <c r="BO87" s="204"/>
      <c r="BP87" s="204"/>
      <c r="BQ87" s="204"/>
      <c r="BR87" s="204"/>
      <c r="BS87" s="204"/>
      <c r="BT87" s="204"/>
      <c r="BU87" s="204"/>
      <c r="BV87" s="204"/>
      <c r="BW87" s="204"/>
      <c r="BX87" s="204"/>
      <c r="BY87" s="204"/>
      <c r="BZ87" s="204"/>
      <c r="CA87" s="204"/>
      <c r="CB87" s="204"/>
      <c r="CC87" s="204"/>
      <c r="CD87" s="204"/>
      <c r="CE87" s="204"/>
      <c r="CF87" s="204"/>
      <c r="CG87" s="204"/>
      <c r="CH87" s="204"/>
      <c r="CI87" s="204"/>
      <c r="CJ87" s="204"/>
      <c r="CK87" s="204"/>
      <c r="CL87" s="204"/>
      <c r="CM87" s="204"/>
      <c r="CN87" s="204"/>
      <c r="CO87" s="204"/>
      <c r="CP87" s="204"/>
      <c r="CQ87" s="204"/>
      <c r="CR87" s="204"/>
      <c r="CS87" s="204"/>
      <c r="CT87" s="204"/>
      <c r="CU87" s="204"/>
      <c r="CV87" s="204"/>
      <c r="CW87" s="204"/>
      <c r="CX87" s="204"/>
      <c r="CY87" s="204"/>
      <c r="CZ87" s="204"/>
      <c r="DA87" s="204"/>
      <c r="DB87" s="204"/>
      <c r="DC87" s="204"/>
      <c r="DD87" s="204"/>
      <c r="DE87" s="204"/>
      <c r="DF87" s="204"/>
      <c r="DG87" s="204"/>
      <c r="DH87" s="204"/>
      <c r="DI87" s="204"/>
      <c r="DJ87" s="204"/>
      <c r="DK87" s="204"/>
      <c r="DL87" s="204"/>
      <c r="DM87" s="204"/>
      <c r="DN87" s="204"/>
      <c r="DO87" s="204"/>
      <c r="DP87" s="204"/>
      <c r="DQ87" s="204"/>
      <c r="DR87" s="204"/>
      <c r="DS87" s="204"/>
      <c r="DT87" s="204"/>
      <c r="DU87" s="204"/>
      <c r="DV87" s="204"/>
      <c r="DW87" s="204"/>
      <c r="DX87" s="204"/>
      <c r="DY87" s="204"/>
      <c r="DZ87" s="204"/>
      <c r="EA87" s="204"/>
      <c r="EB87" s="204"/>
      <c r="EC87" s="204"/>
      <c r="ED87" s="204"/>
      <c r="EE87" s="204"/>
      <c r="EF87" s="204"/>
      <c r="EG87" s="204"/>
      <c r="EH87" s="204"/>
      <c r="EI87" s="204"/>
      <c r="EJ87" s="204"/>
      <c r="EK87" s="204"/>
      <c r="EL87" s="204"/>
      <c r="EM87" s="204"/>
      <c r="EN87" s="204"/>
      <c r="EO87" s="204"/>
      <c r="EP87" s="204"/>
      <c r="EQ87" s="204"/>
      <c r="ER87" s="204"/>
      <c r="ES87" s="204"/>
      <c r="ET87" s="204"/>
      <c r="EU87" s="204"/>
      <c r="EV87" s="204"/>
      <c r="EW87" s="204"/>
      <c r="EX87" s="204"/>
      <c r="EY87" s="204"/>
      <c r="EZ87" s="204"/>
      <c r="FA87" s="204"/>
      <c r="FB87" s="204"/>
      <c r="FC87" s="204"/>
      <c r="FD87" s="204"/>
      <c r="FE87" s="204"/>
      <c r="FF87" s="204"/>
      <c r="FG87" s="204"/>
      <c r="FH87" s="204"/>
      <c r="FI87" s="204"/>
      <c r="FJ87" s="204"/>
      <c r="FK87" s="204"/>
      <c r="FL87" s="204"/>
      <c r="FM87" s="204"/>
      <c r="FN87" s="204"/>
      <c r="FO87" s="204"/>
      <c r="FP87" s="204"/>
      <c r="FQ87" s="204"/>
      <c r="FR87" s="204"/>
      <c r="FS87" s="204"/>
      <c r="FT87" s="204"/>
      <c r="FU87" s="204"/>
      <c r="FV87" s="204"/>
      <c r="FW87" s="205"/>
      <c r="FX87" s="1207"/>
      <c r="FY87" s="1207"/>
      <c r="FZ87" s="1209"/>
      <c r="GA87" s="1209"/>
      <c r="GB87" s="1209"/>
      <c r="GC87" s="1208"/>
      <c r="GD87" s="1208"/>
    </row>
    <row r="88" spans="1:186" s="1327" customFormat="1" ht="14.25" customHeight="1">
      <c r="A88" s="409"/>
      <c r="B88" s="785"/>
      <c r="C88" s="409"/>
      <c r="D88" s="409"/>
      <c r="E88" s="754">
        <v>15</v>
      </c>
      <c r="F88" s="3" t="str" cm="1">
        <f t="array" aca="1" ref="F88" ca="1">OFFSET(E88,-1,1)</f>
        <v>1</v>
      </c>
      <c r="G88" s="409"/>
      <c r="H88" s="409"/>
      <c r="I88" s="409"/>
      <c r="J88" s="409"/>
      <c r="K88" s="409"/>
      <c r="L88" s="409"/>
      <c r="M88" s="409"/>
      <c r="N88" s="409"/>
      <c r="O88" s="409"/>
      <c r="P88" s="409"/>
      <c r="Q88" s="833"/>
      <c r="R88" s="409"/>
      <c r="S88" s="400"/>
      <c r="T88" s="381" t="b" cm="1">
        <f t="array" ref="T88">T87</f>
        <v>1</v>
      </c>
      <c r="U88" s="409"/>
      <c r="V88" s="409"/>
      <c r="W88" s="409"/>
      <c r="X88" s="1787"/>
      <c r="Y88" s="409"/>
      <c r="Z88" s="1734"/>
      <c r="AA88" s="409"/>
      <c r="AB88" s="1690" t="s">
        <v>1449</v>
      </c>
      <c r="AC88" s="1692"/>
      <c r="AD88" s="802" cm="1">
        <f t="array" ref="AD88">INDEX('Общие сведения'!$AJ$179:$AJ$208,MATCH($X85,'Общие сведения'!$Z$179:$Z$208,0))</f>
        <v>0</v>
      </c>
      <c r="AE88" s="204"/>
      <c r="AF88" s="204"/>
      <c r="AG88" s="204"/>
      <c r="AH88" s="204"/>
      <c r="AI88" s="204"/>
      <c r="AJ88" s="204"/>
      <c r="AK88" s="204"/>
      <c r="AL88" s="204"/>
      <c r="AM88" s="204"/>
      <c r="AN88" s="204"/>
      <c r="AO88" s="204"/>
      <c r="AP88" s="204"/>
      <c r="AQ88" s="204"/>
      <c r="AR88" s="204"/>
      <c r="AS88" s="204"/>
      <c r="AT88" s="204"/>
      <c r="AU88" s="204"/>
      <c r="AV88" s="204"/>
      <c r="AW88" s="204"/>
      <c r="AX88" s="204"/>
      <c r="AY88" s="204"/>
      <c r="AZ88" s="204"/>
      <c r="BA88" s="204"/>
      <c r="BB88" s="204"/>
      <c r="BC88" s="204"/>
      <c r="BD88" s="204"/>
      <c r="BE88" s="204"/>
      <c r="BF88" s="204"/>
      <c r="BG88" s="204"/>
      <c r="BH88" s="204"/>
      <c r="BI88" s="204"/>
      <c r="BJ88" s="204"/>
      <c r="BK88" s="204"/>
      <c r="BL88" s="204"/>
      <c r="BM88" s="204"/>
      <c r="BN88" s="204"/>
      <c r="BO88" s="204"/>
      <c r="BP88" s="204"/>
      <c r="BQ88" s="204"/>
      <c r="BR88" s="204"/>
      <c r="BS88" s="204"/>
      <c r="BT88" s="204"/>
      <c r="BU88" s="204"/>
      <c r="BV88" s="204"/>
      <c r="BW88" s="204"/>
      <c r="BX88" s="204"/>
      <c r="BY88" s="204"/>
      <c r="BZ88" s="204"/>
      <c r="CA88" s="204"/>
      <c r="CB88" s="204"/>
      <c r="CC88" s="204"/>
      <c r="CD88" s="204"/>
      <c r="CE88" s="204"/>
      <c r="CF88" s="204"/>
      <c r="CG88" s="204"/>
      <c r="CH88" s="204"/>
      <c r="CI88" s="204"/>
      <c r="CJ88" s="204"/>
      <c r="CK88" s="204"/>
      <c r="CL88" s="204"/>
      <c r="CM88" s="204"/>
      <c r="CN88" s="204"/>
      <c r="CO88" s="204"/>
      <c r="CP88" s="204"/>
      <c r="CQ88" s="204"/>
      <c r="CR88" s="204"/>
      <c r="CS88" s="204"/>
      <c r="CT88" s="204"/>
      <c r="CU88" s="204"/>
      <c r="CV88" s="204"/>
      <c r="CW88" s="204"/>
      <c r="CX88" s="204"/>
      <c r="CY88" s="204"/>
      <c r="CZ88" s="204"/>
      <c r="DA88" s="204"/>
      <c r="DB88" s="204"/>
      <c r="DC88" s="204"/>
      <c r="DD88" s="204"/>
      <c r="DE88" s="204"/>
      <c r="DF88" s="204"/>
      <c r="DG88" s="204"/>
      <c r="DH88" s="204"/>
      <c r="DI88" s="204"/>
      <c r="DJ88" s="204"/>
      <c r="DK88" s="204"/>
      <c r="DL88" s="204"/>
      <c r="DM88" s="204"/>
      <c r="DN88" s="204"/>
      <c r="DO88" s="204"/>
      <c r="DP88" s="204"/>
      <c r="DQ88" s="204"/>
      <c r="DR88" s="204"/>
      <c r="DS88" s="204"/>
      <c r="DT88" s="204"/>
      <c r="DU88" s="204"/>
      <c r="DV88" s="204"/>
      <c r="DW88" s="204"/>
      <c r="DX88" s="204"/>
      <c r="DY88" s="204"/>
      <c r="DZ88" s="204"/>
      <c r="EA88" s="204"/>
      <c r="EB88" s="204"/>
      <c r="EC88" s="204"/>
      <c r="ED88" s="204"/>
      <c r="EE88" s="204"/>
      <c r="EF88" s="204"/>
      <c r="EG88" s="204"/>
      <c r="EH88" s="204"/>
      <c r="EI88" s="204"/>
      <c r="EJ88" s="204"/>
      <c r="EK88" s="204"/>
      <c r="EL88" s="204"/>
      <c r="EM88" s="204"/>
      <c r="EN88" s="204"/>
      <c r="EO88" s="204"/>
      <c r="EP88" s="204"/>
      <c r="EQ88" s="204"/>
      <c r="ER88" s="204"/>
      <c r="ES88" s="204"/>
      <c r="ET88" s="204"/>
      <c r="EU88" s="204"/>
      <c r="EV88" s="204"/>
      <c r="EW88" s="204"/>
      <c r="EX88" s="204"/>
      <c r="EY88" s="204"/>
      <c r="EZ88" s="204"/>
      <c r="FA88" s="204"/>
      <c r="FB88" s="204"/>
      <c r="FC88" s="204"/>
      <c r="FD88" s="204"/>
      <c r="FE88" s="204"/>
      <c r="FF88" s="204"/>
      <c r="FG88" s="204"/>
      <c r="FH88" s="204"/>
      <c r="FI88" s="204"/>
      <c r="FJ88" s="204"/>
      <c r="FK88" s="204"/>
      <c r="FL88" s="204"/>
      <c r="FM88" s="204"/>
      <c r="FN88" s="204"/>
      <c r="FO88" s="204"/>
      <c r="FP88" s="204"/>
      <c r="FQ88" s="204"/>
      <c r="FR88" s="204"/>
      <c r="FS88" s="204"/>
      <c r="FT88" s="204"/>
      <c r="FU88" s="204"/>
      <c r="FV88" s="204"/>
      <c r="FW88" s="205"/>
      <c r="FX88" s="1207"/>
      <c r="FY88" s="1207"/>
      <c r="FZ88" s="1209"/>
      <c r="GA88" s="1209"/>
      <c r="GB88" s="1209"/>
      <c r="GC88" s="1208"/>
      <c r="GD88" s="1208"/>
    </row>
    <row r="89" spans="1:186" s="1327" customFormat="1" ht="14.25" customHeight="1">
      <c r="A89" s="409"/>
      <c r="B89" s="830" t="b">
        <f>AND(R85="одноставочный",NOT(S85))</f>
        <v>1</v>
      </c>
      <c r="C89" s="409"/>
      <c r="D89" s="409"/>
      <c r="E89" s="754">
        <v>15</v>
      </c>
      <c r="F89" s="3" t="str" cm="1">
        <f t="array" aca="1" ref="F89" ca="1">OFFSET(E89,-1,1)</f>
        <v>1</v>
      </c>
      <c r="G89" s="409"/>
      <c r="H89" s="409"/>
      <c r="I89" s="409"/>
      <c r="J89" s="409"/>
      <c r="K89" s="409"/>
      <c r="L89" s="409"/>
      <c r="M89" s="409"/>
      <c r="N89" s="409"/>
      <c r="O89" s="409"/>
      <c r="P89" s="409"/>
      <c r="Q89" s="409"/>
      <c r="R89" s="409"/>
      <c r="S89" s="409"/>
      <c r="T89" s="381" t="b" cm="1">
        <f t="array" ref="T89">T88</f>
        <v>1</v>
      </c>
      <c r="U89" s="409"/>
      <c r="V89" s="409"/>
      <c r="W89" s="409"/>
      <c r="X89" s="1787"/>
      <c r="Y89" s="409"/>
      <c r="Z89" s="1734"/>
      <c r="AA89" s="409"/>
      <c r="AB89" s="803" t="s">
        <v>1450</v>
      </c>
      <c r="AC89" s="804"/>
      <c r="AD89" s="805"/>
      <c r="AE89" s="805"/>
      <c r="AF89" s="805"/>
      <c r="AG89" s="805"/>
      <c r="AH89" s="805"/>
      <c r="AI89" s="805"/>
      <c r="AJ89" s="805"/>
      <c r="AK89" s="805"/>
      <c r="AL89" s="805"/>
      <c r="AM89" s="805"/>
      <c r="AN89" s="805"/>
      <c r="AO89" s="805"/>
      <c r="AP89" s="805"/>
      <c r="AQ89" s="805"/>
      <c r="AR89" s="805"/>
      <c r="AS89" s="805"/>
      <c r="AT89" s="805"/>
      <c r="AU89" s="805"/>
      <c r="AV89" s="805"/>
      <c r="AW89" s="805"/>
      <c r="AX89" s="805"/>
      <c r="AY89" s="805"/>
      <c r="AZ89" s="805"/>
      <c r="BA89" s="805"/>
      <c r="BB89" s="805"/>
      <c r="BC89" s="805"/>
      <c r="BD89" s="805"/>
      <c r="BE89" s="805"/>
      <c r="BF89" s="805"/>
      <c r="BG89" s="805"/>
      <c r="BH89" s="805"/>
      <c r="BI89" s="805"/>
      <c r="BJ89" s="813"/>
      <c r="BK89" s="805"/>
      <c r="BL89" s="805"/>
      <c r="BM89" s="813"/>
      <c r="BN89" s="805"/>
      <c r="BO89" s="805"/>
      <c r="BP89" s="813"/>
      <c r="BQ89" s="805"/>
      <c r="BR89" s="805"/>
      <c r="BS89" s="813"/>
      <c r="BT89" s="805"/>
      <c r="BU89" s="805"/>
      <c r="BV89" s="813"/>
      <c r="BW89" s="805"/>
      <c r="BX89" s="805"/>
      <c r="BY89" s="813"/>
      <c r="BZ89" s="805"/>
      <c r="CA89" s="805"/>
      <c r="CB89" s="813"/>
      <c r="CC89" s="805"/>
      <c r="CD89" s="805"/>
      <c r="CE89" s="813"/>
      <c r="CF89" s="805"/>
      <c r="CG89" s="805"/>
      <c r="CH89" s="813"/>
      <c r="CI89" s="805"/>
      <c r="CJ89" s="805"/>
      <c r="CK89" s="813"/>
      <c r="CL89" s="805"/>
      <c r="CM89" s="805"/>
      <c r="CN89" s="813"/>
      <c r="CO89" s="805"/>
      <c r="CP89" s="805"/>
      <c r="CQ89" s="813"/>
      <c r="CR89" s="805"/>
      <c r="CS89" s="805"/>
      <c r="CT89" s="813"/>
      <c r="CU89" s="805"/>
      <c r="CV89" s="805"/>
      <c r="CW89" s="813"/>
      <c r="CX89" s="805"/>
      <c r="CY89" s="805"/>
      <c r="CZ89" s="813"/>
      <c r="DA89" s="805"/>
      <c r="DB89" s="805"/>
      <c r="DC89" s="813"/>
      <c r="DD89" s="805"/>
      <c r="DE89" s="805"/>
      <c r="DF89" s="207"/>
      <c r="DG89" s="206"/>
      <c r="DH89" s="206"/>
      <c r="DI89" s="207"/>
      <c r="DJ89" s="206"/>
      <c r="DK89" s="206"/>
      <c r="DL89" s="207"/>
      <c r="DM89" s="206"/>
      <c r="DN89" s="206"/>
      <c r="DO89" s="207"/>
      <c r="DP89" s="206"/>
      <c r="DQ89" s="206"/>
      <c r="DR89" s="207"/>
      <c r="DS89" s="206"/>
      <c r="DT89" s="206"/>
      <c r="DU89" s="207"/>
      <c r="DV89" s="206"/>
      <c r="DW89" s="206"/>
      <c r="DX89" s="207"/>
      <c r="DY89" s="206"/>
      <c r="DZ89" s="206"/>
      <c r="EA89" s="207"/>
      <c r="EB89" s="206"/>
      <c r="EC89" s="206"/>
      <c r="ED89" s="207"/>
      <c r="EE89" s="206"/>
      <c r="EF89" s="206"/>
      <c r="EG89" s="207"/>
      <c r="EH89" s="206"/>
      <c r="EI89" s="206"/>
      <c r="EJ89" s="207"/>
      <c r="EK89" s="206"/>
      <c r="EL89" s="206"/>
      <c r="EM89" s="207"/>
      <c r="EN89" s="206"/>
      <c r="EO89" s="206"/>
      <c r="EP89" s="207"/>
      <c r="EQ89" s="206"/>
      <c r="ER89" s="206"/>
      <c r="ES89" s="207"/>
      <c r="ET89" s="206"/>
      <c r="EU89" s="206"/>
      <c r="EV89" s="207"/>
      <c r="EW89" s="206"/>
      <c r="EX89" s="206"/>
      <c r="EY89" s="207"/>
      <c r="EZ89" s="206"/>
      <c r="FA89" s="206"/>
      <c r="FB89" s="207"/>
      <c r="FC89" s="206"/>
      <c r="FD89" s="206"/>
      <c r="FE89" s="207"/>
      <c r="FF89" s="206"/>
      <c r="FG89" s="206"/>
      <c r="FH89" s="207"/>
      <c r="FI89" s="206"/>
      <c r="FJ89" s="206"/>
      <c r="FK89" s="207"/>
      <c r="FL89" s="206"/>
      <c r="FM89" s="206"/>
      <c r="FN89" s="207"/>
      <c r="FO89" s="206"/>
      <c r="FP89" s="206"/>
      <c r="FQ89" s="207"/>
      <c r="FR89" s="206"/>
      <c r="FS89" s="206"/>
      <c r="FT89" s="207"/>
      <c r="FU89" s="206"/>
      <c r="FV89" s="206"/>
      <c r="FW89" s="207"/>
      <c r="FX89" s="1207"/>
      <c r="FY89" s="1207"/>
      <c r="FZ89" s="1209"/>
      <c r="GA89" s="1209"/>
      <c r="GB89" s="1209"/>
      <c r="GC89" s="1208"/>
      <c r="GD89" s="1208"/>
    </row>
    <row r="90" spans="1:186" s="1432" customFormat="1" ht="23.25" customHeight="1">
      <c r="A90" s="806"/>
      <c r="B90" s="830" t="b" cm="1">
        <f t="array" ref="B90">B89</f>
        <v>1</v>
      </c>
      <c r="C90" s="806"/>
      <c r="D90" s="806"/>
      <c r="E90" s="807">
        <v>24.5</v>
      </c>
      <c r="F90" s="3" t="str" cm="1">
        <f t="array" aca="1" ref="F90" ca="1">OFFSET(E90,-1,1)</f>
        <v>1</v>
      </c>
      <c r="G90" s="409" t="s">
        <v>1451</v>
      </c>
      <c r="H90" s="409" t="s">
        <v>427</v>
      </c>
      <c r="I90" s="409" t="s">
        <v>1452</v>
      </c>
      <c r="J90" s="806"/>
      <c r="K90" s="806"/>
      <c r="L90" s="409"/>
      <c r="M90" s="806"/>
      <c r="N90" s="806"/>
      <c r="O90" s="806"/>
      <c r="P90" s="806"/>
      <c r="Q90" s="806"/>
      <c r="R90" s="806"/>
      <c r="S90" s="409"/>
      <c r="T90" s="381" t="b" cm="1">
        <f t="array" ref="T90">T89</f>
        <v>1</v>
      </c>
      <c r="U90" s="806"/>
      <c r="V90" s="806"/>
      <c r="W90" s="806"/>
      <c r="X90" s="1787"/>
      <c r="Y90" s="806"/>
      <c r="Z90" s="1734"/>
      <c r="AA90" s="806"/>
      <c r="AB90" s="209" t="s">
        <v>1453</v>
      </c>
      <c r="AC90" s="210" t="s">
        <v>1454</v>
      </c>
      <c r="AD90" s="808">
        <f ca="1">IF(AND(method_reg="Метод индексации",god&lt;&gt;first_year),SUMIFS(INDEX('Калькуляция (МИ корр)'!$AJ$25:$BC$315,,MATCH(AD$8,'Калькуляция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(МИ)'!$AJ$25:$BC$315,,MATCH(AD$8,'Калькуляция (МИ)'!$AJ$8:$BC$8,0)),'Калькуляция (МИ)'!$F$25:$F$315,$F90,'Калькуляция (МИ)'!$G$25:$G$315,$G90))))</f>
        <v>586.24</v>
      </c>
      <c r="AE90" s="808">
        <f ca="1">IF(AND(method_reg="Метод индексации",god&lt;&gt;first_year),SUMIFS(INDEX('Калькуляция (МИ корр)'!$AJ$25:$BC$315,,MATCH(AE$8,'Калькуляция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(МИ)'!$AJ$25:$BC$315,,MATCH(AE$8,'Калькуляция (МИ)'!$AJ$8:$BC$8,0)),'Калькуляция (МИ)'!$F$25:$F$315,$F90,'Калькуляция (МИ)'!$G$25:$G$315,$G90))))</f>
        <v>569.44000000000005</v>
      </c>
      <c r="AF90" s="212">
        <f ca="1">IF(AD90=0,0,(AE90-AD90)/AD90*100)</f>
        <v>-2.8657205240174592</v>
      </c>
      <c r="AG90" s="808">
        <f ca="1">IF(AND(method_reg="Метод индексации",god&lt;&gt;first_year),SUMIFS(INDEX('Калькуляция (МИ корр)'!$AJ$25:$BC$315,,MATCH(AG$8,'Калькуляция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(МИ)'!$AJ$25:$BC$315,,MATCH(AG$8,'Калькуляция (МИ)'!$AJ$8:$BC$8,0)),'Калькуляция (МИ)'!$F$25:$F$315,$F90,'Калькуляция (МИ)'!$G$25:$G$315,$G90))))</f>
        <v>586.24</v>
      </c>
      <c r="AH90" s="808">
        <f ca="1">IF(AND(method_reg="Метод индексации",god&lt;&gt;first_year),SUMIFS(INDEX('Калькуляция (МИ корр)'!$AJ$25:$BC$315,,MATCH(AH$8,'Калькуляция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(МИ)'!$AJ$25:$BC$315,,MATCH(AH$8,'Калькуляция (МИ)'!$AJ$8:$BC$8,0)),'Калькуляция (МИ)'!$F$25:$F$315,$F90,'Калькуляция (МИ)'!$G$25:$G$315,$G90))))</f>
        <v>569.44000000000005</v>
      </c>
      <c r="AI90" s="212">
        <f ca="1">IF(AG90=0,0,(AH90-AG90)/AG90*100)</f>
        <v>-2.8657205240174592</v>
      </c>
      <c r="AJ90" s="808">
        <f ca="1">IF(AND(method_reg="Метод индексации",god&lt;&gt;first_year),SUMIFS(INDEX('Калькуляция (МИ корр)'!$AJ$25:$BC$315,,MATCH(AJ$8,'Калькуляция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(МИ)'!$AJ$25:$BC$315,,MATCH(AJ$8,'Калькуляция (МИ)'!$AJ$8:$BC$8,0)),'Калькуляция (МИ)'!$F$25:$F$315,$F90,'Калькуляция (МИ)'!$G$25:$G$315,$G90))))</f>
        <v>586.24</v>
      </c>
      <c r="AK90" s="808">
        <f ca="1">IF(AND(method_reg="Метод индексации",god&lt;&gt;first_year),SUMIFS(INDEX('Калькуляция (МИ корр)'!$AJ$25:$BC$315,,MATCH(AK$8,'Калькуляция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(МИ)'!$AJ$25:$BC$315,,MATCH(AK$8,'Калькуляция (МИ)'!$AJ$8:$BC$8,0)),'Калькуляция (МИ)'!$F$25:$F$315,$F90,'Калькуляция (МИ)'!$G$25:$G$315,$G90))))</f>
        <v>569.44000000000005</v>
      </c>
      <c r="AL90" s="212">
        <f ca="1">IF(AJ90=0,0,(AK90-AJ90)/AJ90*100)</f>
        <v>-2.8657205240174592</v>
      </c>
      <c r="AM90" s="808">
        <f ca="1">IF(AND(method_reg="Метод индексации",god&lt;&gt;first_year),SUMIFS(INDEX('Калькуляция (МИ корр)'!$AJ$25:$BC$315,,MATCH(AM$8,'Калькуляция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(МИ)'!$AJ$25:$BC$315,,MATCH(AM$8,'Калькуляция (МИ)'!$AJ$8:$BC$8,0)),'Калькуляция (МИ)'!$F$25:$F$315,$F90,'Калькуляция (МИ)'!$G$25:$G$315,$G90))))</f>
        <v>586.24</v>
      </c>
      <c r="AN90" s="808">
        <f ca="1">IF(AND(method_reg="Метод индексации",god&lt;&gt;first_year),SUMIFS(INDEX('Калькуляция (МИ корр)'!$AJ$25:$BC$315,,MATCH(AN$8,'Калькуляция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(МИ)'!$AJ$25:$BC$315,,MATCH(AN$8,'Калькуляция (МИ)'!$AJ$8:$BC$8,0)),'Калькуляция (МИ)'!$F$25:$F$315,$F90,'Калькуляция (МИ)'!$G$25:$G$315,$G90))))</f>
        <v>569.44000000000005</v>
      </c>
      <c r="AO90" s="212">
        <f ca="1">IF(AM90=0,0,(AN90-AM90)/AM90*100)</f>
        <v>-2.8657205240174592</v>
      </c>
      <c r="AP90" s="808">
        <f ca="1">IF(AND(method_reg="Метод индексации",god&lt;&gt;first_year),SUMIFS(INDEX('Калькуляция (МИ корр)'!$AJ$25:$BC$315,,MATCH(AP$8,'Калькуляция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(МИ)'!$AJ$25:$BC$315,,MATCH(AP$8,'Калькуляция (МИ)'!$AJ$8:$BC$8,0)),'Калькуляция (МИ)'!$F$25:$F$315,$F90,'Калькуляция (МИ)'!$G$25:$G$315,$G90))))</f>
        <v>586.24</v>
      </c>
      <c r="AQ90" s="808">
        <f ca="1">IF(AND(method_reg="Метод индексации",god&lt;&gt;first_year),SUMIFS(INDEX('Калькуляция (МИ корр)'!$AJ$25:$BC$315,,MATCH(AQ$8,'Калькуляция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(МИ)'!$AJ$25:$BC$315,,MATCH(AQ$8,'Калькуляция (МИ)'!$AJ$8:$BC$8,0)),'Калькуляция (МИ)'!$F$25:$F$315,$F90,'Калькуляция (МИ)'!$G$25:$G$315,$G90))))</f>
        <v>569.44000000000005</v>
      </c>
      <c r="AR90" s="212">
        <f ca="1">IF(AP90=0,0,(AQ90-AP90)/AP90*100)</f>
        <v>-2.8657205240174592</v>
      </c>
      <c r="AS90" s="808">
        <f ca="1">IF(AND(method_reg="Метод индексации",god&lt;&gt;first_year),SUMIFS(INDEX('Калькуляция (МИ корр)'!$AJ$25:$BC$315,,MATCH(AS$8,'Калькуляция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(МИ)'!$AJ$25:$BC$315,,MATCH(AS$8,'Калькуляция (МИ)'!$AJ$8:$BC$8,0)),'Калькуляция (МИ)'!$F$25:$F$315,$F90,'Калькуляция (МИ)'!$G$25:$G$315,$G90))))</f>
        <v>586.24</v>
      </c>
      <c r="AT90" s="808">
        <f ca="1">IF(AND(method_reg="Метод индексации",god&lt;&gt;first_year),SUMIFS(INDEX('Калькуляция (МИ корр)'!$AJ$25:$BC$315,,MATCH(AT$8,'Калькуляция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(МИ)'!$AJ$25:$BC$315,,MATCH(AT$8,'Калькуляция (МИ)'!$AJ$8:$BC$8,0)),'Калькуляция (МИ)'!$F$25:$F$315,$F90,'Калькуляция (МИ)'!$G$25:$G$315,$G90))))</f>
        <v>569.44000000000005</v>
      </c>
      <c r="AU90" s="212">
        <f ca="1">IF(AS90=0,0,(AT90-AS90)/AS90*100)</f>
        <v>-2.8657205240174592</v>
      </c>
      <c r="AV90" s="808">
        <f ca="1">IF(AND(method_reg="Метод индексации",god&lt;&gt;first_year),SUMIFS(INDEX('Калькуляция (МИ корр)'!$AJ$25:$BC$315,,MATCH(AV$8,'Калькуляция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(МИ)'!$AJ$25:$BC$315,,MATCH(AV$8,'Калькуляция (МИ)'!$AJ$8:$BC$8,0)),'Калькуляция (МИ)'!$F$25:$F$315,$F90,'Калькуляция (МИ)'!$G$25:$G$315,$G90))))</f>
        <v>586.24</v>
      </c>
      <c r="AW90" s="808">
        <f ca="1">IF(AND(method_reg="Метод индексации",god&lt;&gt;first_year),SUMIFS(INDEX('Калькуляция (МИ корр)'!$AJ$25:$BC$315,,MATCH(AW$8,'Калькуляция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(МИ)'!$AJ$25:$BC$315,,MATCH(AW$8,'Калькуляция (МИ)'!$AJ$8:$BC$8,0)),'Калькуляция (МИ)'!$F$25:$F$315,$F90,'Калькуляция (МИ)'!$G$25:$G$315,$G90))))</f>
        <v>569.44000000000005</v>
      </c>
      <c r="AX90" s="212">
        <f ca="1">IF(AV90=0,0,(AW90-AV90)/AV90*100)</f>
        <v>-2.8657205240174592</v>
      </c>
      <c r="AY90" s="808">
        <f ca="1">IF(AND(method_reg="Метод индексации",god&lt;&gt;first_year),SUMIFS(INDEX('Калькуляция (МИ корр)'!$AJ$25:$BC$315,,MATCH(AY$8,'Калькуляция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(МИ)'!$AJ$25:$BC$315,,MATCH(AY$8,'Калькуляция (МИ)'!$AJ$8:$BC$8,0)),'Калькуляция (МИ)'!$F$25:$F$315,$F90,'Калькуляция (МИ)'!$G$25:$G$315,$G90))))</f>
        <v>586.24</v>
      </c>
      <c r="AZ90" s="808">
        <f ca="1">IF(AND(method_reg="Метод индексации",god&lt;&gt;first_year),SUMIFS(INDEX('Калькуляция (МИ корр)'!$AJ$25:$BC$315,,MATCH(AZ$8,'Калькуляция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(МИ)'!$AJ$25:$BC$315,,MATCH(AZ$8,'Калькуляция (МИ)'!$AJ$8:$BC$8,0)),'Калькуляция (МИ)'!$F$25:$F$315,$F90,'Калькуляция (МИ)'!$G$25:$G$315,$G90))))</f>
        <v>569.44000000000005</v>
      </c>
      <c r="BA90" s="212">
        <f ca="1">IF(AY90=0,0,(AZ90-AY90)/AY90*100)</f>
        <v>-2.8657205240174592</v>
      </c>
      <c r="BB90" s="808">
        <f ca="1">IF(AND(method_reg="Метод индексации",god&lt;&gt;first_year),SUMIFS(INDEX('Калькуляция (МИ корр)'!$AJ$25:$BC$315,,MATCH(BB$8,'Калькуляция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(МИ)'!$AJ$25:$BC$315,,MATCH(BB$8,'Калькуляция (МИ)'!$AJ$8:$BC$8,0)),'Калькуляция (МИ)'!$F$25:$F$315,$F90,'Калькуляция (МИ)'!$G$25:$G$315,$G90))))</f>
        <v>586.24</v>
      </c>
      <c r="BC90" s="808">
        <f ca="1">IF(AND(method_reg="Метод индексации",god&lt;&gt;first_year),SUMIFS(INDEX('Калькуляция (МИ корр)'!$AJ$25:$BC$315,,MATCH(BC$8,'Калькуляция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(МИ)'!$AJ$25:$BC$315,,MATCH(BC$8,'Калькуляция (МИ)'!$AJ$8:$BC$8,0)),'Калькуляция (МИ)'!$F$25:$F$315,$F90,'Калькуляция (МИ)'!$G$25:$G$315,$G90))))</f>
        <v>569.44000000000005</v>
      </c>
      <c r="BD90" s="212">
        <f ca="1">IF(BB90=0,0,(BC90-BB90)/BB90*100)</f>
        <v>-2.8657205240174592</v>
      </c>
      <c r="BE90" s="808">
        <f ca="1">IF(AND(method_reg="Метод индексации",god&lt;&gt;first_year),SUMIFS(INDEX('Калькуляция (МИ корр)'!$AJ$25:$BC$315,,MATCH(BE$8,'Калькуляция (МИ корр)'!$AJ$8:$BC$8,0)),'Калькуляция (МИ корр)'!$F$25:$F$315,$F90,'Калькуляция (МИ корр)'!$G$25:$G$315,$G90),IF(method_reg="Метод экономически обоснованных расходов",SUMIFS('Калькуляция (МЭОР)'!$AJ$25:$AJ$199,'Калькуляция (МЭОР)'!$F$25:$F$199,$F90,'Калькуляция (МЭОР)'!$G$25:$G$199,$G90),IF(method_reg="Метод сравнения аналогов",SUMIFS('Калькуляция (МСА)'!$AE$25:$AE$65,'Калькуляция (МСА)'!$F$25:$F$65,$F90,'Калькуляция (МСА)'!$G$25:$G$65,$G90),SUMIFS(INDEX('Калькуляция (МИ)'!$AJ$25:$BC$315,,MATCH(BE$8,'Калькуляция (МИ)'!$AJ$8:$BC$8,0)),'Калькуляция (МИ)'!$F$25:$F$315,$F90,'Калькуляция (МИ)'!$G$25:$G$315,$G90))))</f>
        <v>586.24</v>
      </c>
      <c r="BF90" s="808">
        <f ca="1">IF(AND(method_reg="Метод индексации",god&lt;&gt;first_year),SUMIFS(INDEX('Калькуляция (МИ корр)'!$AJ$25:$BC$315,,MATCH(BF$8,'Калькуляция (МИ корр)'!$AJ$8:$BC$8,0)),'Калькуляция (МИ корр)'!$F$25:$F$315,$F90,'Калькуляция (МИ корр)'!$G$25:$G$315,$G90),IF(method_reg="Метод экономически обоснованных расходов",SUMIFS('Калькуляция (МЭОР)'!$AK$25:$AK$199,'Калькуляция (МЭОР)'!$F$25:$F$199,$F90,'Калькуляция (МЭОР)'!$G$25:$G$199,$G90),IF(method_reg="Метод сравнения аналогов",SUMIFS('Калькуляция (МСА)'!$AF$25:$AF$65,'Калькуляция (МСА)'!$F$25:$F$65,$F90,'Калькуляция (МСА)'!$G$25:$G$65,$G90),SUMIFS(INDEX('Калькуляция (МИ)'!$AJ$25:$BC$315,,MATCH(BF$8,'Калькуляция (МИ)'!$AJ$8:$BC$8,0)),'Калькуляция (МИ)'!$F$25:$F$315,$F90,'Калькуляция (МИ)'!$G$25:$G$315,$G90))))</f>
        <v>569.44000000000005</v>
      </c>
      <c r="BG90" s="212">
        <f ca="1">IF(BE90=0,0,(BF90-BE90)/BE90*100)</f>
        <v>-2.8657205240174592</v>
      </c>
      <c r="BH90" s="808"/>
      <c r="BI90" s="808"/>
      <c r="BJ90" s="212">
        <f>IF(BH90=0,0,(BI90-BH90)/BH90*100)</f>
        <v>0</v>
      </c>
      <c r="BK90" s="808"/>
      <c r="BL90" s="808"/>
      <c r="BM90" s="212">
        <f>IF(BK90=0,0,(BL90-BK90)/BK90*100)</f>
        <v>0</v>
      </c>
      <c r="BN90" s="808"/>
      <c r="BO90" s="808"/>
      <c r="BP90" s="212">
        <f>IF(BN90=0,0,(BO90-BN90)/BN90*100)</f>
        <v>0</v>
      </c>
      <c r="BQ90" s="808"/>
      <c r="BR90" s="808"/>
      <c r="BS90" s="212">
        <f>IF(BQ90=0,0,(BR90-BQ90)/BQ90*100)</f>
        <v>0</v>
      </c>
      <c r="BT90" s="808"/>
      <c r="BU90" s="808"/>
      <c r="BV90" s="212">
        <f>IF(BT90=0,0,(BU90-BT90)/BT90*100)</f>
        <v>0</v>
      </c>
      <c r="BW90" s="808"/>
      <c r="BX90" s="808"/>
      <c r="BY90" s="212">
        <f>IF(BW90=0,0,(BX90-BW90)/BW90*100)</f>
        <v>0</v>
      </c>
      <c r="BZ90" s="808"/>
      <c r="CA90" s="808"/>
      <c r="CB90" s="212">
        <f>IF(BZ90=0,0,(CA90-BZ90)/BZ90*100)</f>
        <v>0</v>
      </c>
      <c r="CC90" s="808"/>
      <c r="CD90" s="808"/>
      <c r="CE90" s="212">
        <f>IF(CC90=0,0,(CD90-CC90)/CC90*100)</f>
        <v>0</v>
      </c>
      <c r="CF90" s="808"/>
      <c r="CG90" s="808"/>
      <c r="CH90" s="212">
        <f>IF(CF90=0,0,(CG90-CF90)/CF90*100)</f>
        <v>0</v>
      </c>
      <c r="CI90" s="808"/>
      <c r="CJ90" s="808"/>
      <c r="CK90" s="212">
        <f>IF(CI90=0,0,(CJ90-CI90)/CI90*100)</f>
        <v>0</v>
      </c>
      <c r="CL90" s="808"/>
      <c r="CM90" s="808"/>
      <c r="CN90" s="212">
        <f>IF(CL90=0,0,(CM90-CL90)/CL90*100)</f>
        <v>0</v>
      </c>
      <c r="CO90" s="808"/>
      <c r="CP90" s="808"/>
      <c r="CQ90" s="212">
        <f>IF(CO90=0,0,(CP90-CO90)/CO90*100)</f>
        <v>0</v>
      </c>
      <c r="CR90" s="808"/>
      <c r="CS90" s="808"/>
      <c r="CT90" s="212">
        <f>IF(CR90=0,0,(CS90-CR90)/CR90*100)</f>
        <v>0</v>
      </c>
      <c r="CU90" s="808"/>
      <c r="CV90" s="808"/>
      <c r="CW90" s="212">
        <f>IF(CU90=0,0,(CV90-CU90)/CU90*100)</f>
        <v>0</v>
      </c>
      <c r="CX90" s="808"/>
      <c r="CY90" s="808"/>
      <c r="CZ90" s="212">
        <f>IF(CX90=0,0,(CY90-CX90)/CX90*100)</f>
        <v>0</v>
      </c>
      <c r="DA90" s="808"/>
      <c r="DB90" s="808"/>
      <c r="DC90" s="212">
        <f>IF(DA90=0,0,(DB90-DA90)/DA90*100)</f>
        <v>0</v>
      </c>
      <c r="DD90" s="808"/>
      <c r="DE90" s="808"/>
      <c r="DF90" s="212">
        <f>IF(DD90=0,0,(DE90-DD90)/DD90*100)</f>
        <v>0</v>
      </c>
      <c r="DG90" s="211"/>
      <c r="DH90" s="211"/>
      <c r="DI90" s="212">
        <f>IF(DG90=0,0,(DH90-DG90)/DG90*100)</f>
        <v>0</v>
      </c>
      <c r="DJ90" s="211"/>
      <c r="DK90" s="211"/>
      <c r="DL90" s="212">
        <f>IF(DJ90=0,0,(DK90-DJ90)/DJ90*100)</f>
        <v>0</v>
      </c>
      <c r="DM90" s="211"/>
      <c r="DN90" s="211"/>
      <c r="DO90" s="212">
        <f>IF(DM90=0,0,(DN90-DM90)/DM90*100)</f>
        <v>0</v>
      </c>
      <c r="DP90" s="211"/>
      <c r="DQ90" s="211"/>
      <c r="DR90" s="212">
        <f>IF(DP90=0,0,(DQ90-DP90)/DP90*100)</f>
        <v>0</v>
      </c>
      <c r="DS90" s="211"/>
      <c r="DT90" s="211"/>
      <c r="DU90" s="212">
        <f>IF(DS90=0,0,(DT90-DS90)/DS90*100)</f>
        <v>0</v>
      </c>
      <c r="DV90" s="211"/>
      <c r="DW90" s="211"/>
      <c r="DX90" s="212">
        <f>IF(DV90=0,0,(DW90-DV90)/DV90*100)</f>
        <v>0</v>
      </c>
      <c r="DY90" s="211"/>
      <c r="DZ90" s="211"/>
      <c r="EA90" s="212">
        <f>IF(DY90=0,0,(DZ90-DY90)/DY90*100)</f>
        <v>0</v>
      </c>
      <c r="EB90" s="211"/>
      <c r="EC90" s="211"/>
      <c r="ED90" s="212">
        <f>IF(EB90=0,0,(EC90-EB90)/EB90*100)</f>
        <v>0</v>
      </c>
      <c r="EE90" s="211"/>
      <c r="EF90" s="211"/>
      <c r="EG90" s="212">
        <f>IF(EE90=0,0,(EF90-EE90)/EE90*100)</f>
        <v>0</v>
      </c>
      <c r="EH90" s="211"/>
      <c r="EI90" s="211"/>
      <c r="EJ90" s="212">
        <f>IF(EH90=0,0,(EI90-EH90)/EH90*100)</f>
        <v>0</v>
      </c>
      <c r="EK90" s="211"/>
      <c r="EL90" s="211"/>
      <c r="EM90" s="212">
        <f>IF(EK90=0,0,(EL90-EK90)/EK90*100)</f>
        <v>0</v>
      </c>
      <c r="EN90" s="211"/>
      <c r="EO90" s="211"/>
      <c r="EP90" s="212">
        <f>IF(EN90=0,0,(EO90-EN90)/EN90*100)</f>
        <v>0</v>
      </c>
      <c r="EQ90" s="211"/>
      <c r="ER90" s="211"/>
      <c r="ES90" s="212">
        <f>IF(EQ90=0,0,(ER90-EQ90)/EQ90*100)</f>
        <v>0</v>
      </c>
      <c r="ET90" s="211"/>
      <c r="EU90" s="211"/>
      <c r="EV90" s="212">
        <f>IF(ET90=0,0,(EU90-ET90)/ET90*100)</f>
        <v>0</v>
      </c>
      <c r="EW90" s="211"/>
      <c r="EX90" s="211"/>
      <c r="EY90" s="212">
        <f>IF(EW90=0,0,(EX90-EW90)/EW90*100)</f>
        <v>0</v>
      </c>
      <c r="EZ90" s="211"/>
      <c r="FA90" s="211"/>
      <c r="FB90" s="212">
        <f>IF(EZ90=0,0,(FA90-EZ90)/EZ90*100)</f>
        <v>0</v>
      </c>
      <c r="FC90" s="211"/>
      <c r="FD90" s="211"/>
      <c r="FE90" s="212">
        <f>IF(FC90=0,0,(FD90-FC90)/FC90*100)</f>
        <v>0</v>
      </c>
      <c r="FF90" s="211"/>
      <c r="FG90" s="211"/>
      <c r="FH90" s="212">
        <f>IF(FF90=0,0,(FG90-FF90)/FF90*100)</f>
        <v>0</v>
      </c>
      <c r="FI90" s="211"/>
      <c r="FJ90" s="211"/>
      <c r="FK90" s="212">
        <f>IF(FI90=0,0,(FJ90-FI90)/FI90*100)</f>
        <v>0</v>
      </c>
      <c r="FL90" s="211"/>
      <c r="FM90" s="211"/>
      <c r="FN90" s="212">
        <f>IF(FL90=0,0,(FM90-FL90)/FL90*100)</f>
        <v>0</v>
      </c>
      <c r="FO90" s="211"/>
      <c r="FP90" s="211"/>
      <c r="FQ90" s="212">
        <f>IF(FO90=0,0,(FP90-FO90)/FO90*100)</f>
        <v>0</v>
      </c>
      <c r="FR90" s="211"/>
      <c r="FS90" s="211"/>
      <c r="FT90" s="212">
        <f>IF(FR90=0,0,(FS90-FR90)/FR90*100)</f>
        <v>0</v>
      </c>
      <c r="FU90" s="211"/>
      <c r="FV90" s="211"/>
      <c r="FW90" s="212">
        <f>IF(FU90=0,0,(FV90-FU90)/FU90*100)</f>
        <v>0</v>
      </c>
      <c r="FX90" s="208"/>
      <c r="FY90" s="208"/>
      <c r="FZ90" s="957" t="s">
        <v>1455</v>
      </c>
      <c r="GA90" s="957"/>
      <c r="GB90" s="957"/>
      <c r="GC90" s="958"/>
      <c r="GD90" s="958"/>
    </row>
    <row r="91" spans="1:186" s="1433" customFormat="1" ht="23.25" customHeight="1">
      <c r="A91" s="806"/>
      <c r="B91" s="830" t="b" cm="1">
        <f t="array" ref="B91">B90</f>
        <v>1</v>
      </c>
      <c r="C91" s="806"/>
      <c r="D91" s="806"/>
      <c r="E91" s="807">
        <v>24.5</v>
      </c>
      <c r="F91" s="3" t="str" cm="1">
        <f t="array" aca="1" ref="F91" ca="1">OFFSET(E91,-1,1)</f>
        <v>1</v>
      </c>
      <c r="G91" s="409" t="s">
        <v>1456</v>
      </c>
      <c r="H91" s="409" t="s">
        <v>427</v>
      </c>
      <c r="I91" s="409" t="s">
        <v>1457</v>
      </c>
      <c r="J91" s="806"/>
      <c r="K91" s="806"/>
      <c r="L91" s="409"/>
      <c r="M91" s="806"/>
      <c r="N91" s="806"/>
      <c r="O91" s="806"/>
      <c r="P91" s="806"/>
      <c r="Q91" s="806"/>
      <c r="R91" s="806"/>
      <c r="S91" s="409"/>
      <c r="T91" s="381" t="b" cm="1">
        <f t="array" ref="T91">T90</f>
        <v>1</v>
      </c>
      <c r="U91" s="806"/>
      <c r="V91" s="806"/>
      <c r="W91" s="806"/>
      <c r="X91" s="1787"/>
      <c r="Y91" s="806"/>
      <c r="Z91" s="1734"/>
      <c r="AA91" s="806"/>
      <c r="AB91" s="209" t="s">
        <v>1458</v>
      </c>
      <c r="AC91" s="210" t="s">
        <v>1454</v>
      </c>
      <c r="AD91" s="808">
        <f ca="1">IF(AND(method_reg="Метод индексации",god&lt;&gt;first_year),SUMIFS(INDEX('Калькуляция (МИ корр)'!$AJ$25:$BC$315,,MATCH(AD$8,'Калькуляция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(МИ)'!$AJ$25:$BC$315,,MATCH(AD$8,'Калькуляция (МИ)'!$AJ$8:$BC$8,0)),'Калькуляция (МИ)'!$F$25:$F$315,$F91,'Калькуляция (МИ)'!$G$25:$G$315,$G91))))</f>
        <v>586.24</v>
      </c>
      <c r="AE91" s="808">
        <f ca="1">IF(AND(method_reg="Метод индексации",god&lt;&gt;first_year),SUMIFS(INDEX('Калькуляция (МИ корр)'!$AJ$25:$BC$315,,MATCH(AE$8,'Калькуляция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(МИ)'!$AJ$25:$BC$315,,MATCH(AE$8,'Калькуляция (МИ)'!$AJ$8:$BC$8,0)),'Калькуляция (МИ)'!$F$25:$F$315,$F91,'Калькуляция (МИ)'!$G$25:$G$315,$G91))))</f>
        <v>636.62</v>
      </c>
      <c r="AF91" s="212">
        <f ca="1">IF(AD91=0,0,(AE91-AD91)/AD91*100)</f>
        <v>8.5937499999999982</v>
      </c>
      <c r="AG91" s="808">
        <f ca="1">IF(AND(method_reg="Метод индексации",god&lt;&gt;first_year),SUMIFS(INDEX('Калькуляция (МИ корр)'!$AJ$25:$BC$315,,MATCH(AG$8,'Калькуляция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(МИ)'!$AJ$25:$BC$315,,MATCH(AG$8,'Калькуляция (МИ)'!$AJ$8:$BC$8,0)),'Калькуляция (МИ)'!$F$25:$F$315,$F91,'Калькуляция (МИ)'!$G$25:$G$315,$G91))))</f>
        <v>586.24</v>
      </c>
      <c r="AH91" s="808">
        <f ca="1">IF(AND(method_reg="Метод индексации",god&lt;&gt;first_year),SUMIFS(INDEX('Калькуляция (МИ корр)'!$AJ$25:$BC$315,,MATCH(AH$8,'Калькуляция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(МИ)'!$AJ$25:$BC$315,,MATCH(AH$8,'Калькуляция (МИ)'!$AJ$8:$BC$8,0)),'Калькуляция (МИ)'!$F$25:$F$315,$F91,'Калькуляция (МИ)'!$G$25:$G$315,$G91))))</f>
        <v>636.62</v>
      </c>
      <c r="AI91" s="212">
        <f ca="1">IF(AG91=0,0,(AH91-AG91)/AG91*100)</f>
        <v>8.5937499999999982</v>
      </c>
      <c r="AJ91" s="808">
        <f ca="1">IF(AND(method_reg="Метод индексации",god&lt;&gt;first_year),SUMIFS(INDEX('Калькуляция (МИ корр)'!$AJ$25:$BC$315,,MATCH(AJ$8,'Калькуляция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(МИ)'!$AJ$25:$BC$315,,MATCH(AJ$8,'Калькуляция (МИ)'!$AJ$8:$BC$8,0)),'Калькуляция (МИ)'!$F$25:$F$315,$F91,'Калькуляция (МИ)'!$G$25:$G$315,$G91))))</f>
        <v>586.24</v>
      </c>
      <c r="AK91" s="808">
        <f ca="1">IF(AND(method_reg="Метод индексации",god&lt;&gt;first_year),SUMIFS(INDEX('Калькуляция (МИ корр)'!$AJ$25:$BC$315,,MATCH(AK$8,'Калькуляция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(МИ)'!$AJ$25:$BC$315,,MATCH(AK$8,'Калькуляция (МИ)'!$AJ$8:$BC$8,0)),'Калькуляция (МИ)'!$F$25:$F$315,$F91,'Калькуляция (МИ)'!$G$25:$G$315,$G91))))</f>
        <v>636.62</v>
      </c>
      <c r="AL91" s="212">
        <f ca="1">IF(AJ91=0,0,(AK91-AJ91)/AJ91*100)</f>
        <v>8.5937499999999982</v>
      </c>
      <c r="AM91" s="808">
        <f ca="1">IF(AND(method_reg="Метод индексации",god&lt;&gt;first_year),SUMIFS(INDEX('Калькуляция (МИ корр)'!$AJ$25:$BC$315,,MATCH(AM$8,'Калькуляция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(МИ)'!$AJ$25:$BC$315,,MATCH(AM$8,'Калькуляция (МИ)'!$AJ$8:$BC$8,0)),'Калькуляция (МИ)'!$F$25:$F$315,$F91,'Калькуляция (МИ)'!$G$25:$G$315,$G91))))</f>
        <v>586.24</v>
      </c>
      <c r="AN91" s="808">
        <f ca="1">IF(AND(method_reg="Метод индексации",god&lt;&gt;first_year),SUMIFS(INDEX('Калькуляция (МИ корр)'!$AJ$25:$BC$315,,MATCH(AN$8,'Калькуляция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(МИ)'!$AJ$25:$BC$315,,MATCH(AN$8,'Калькуляция (МИ)'!$AJ$8:$BC$8,0)),'Калькуляция (МИ)'!$F$25:$F$315,$F91,'Калькуляция (МИ)'!$G$25:$G$315,$G91))))</f>
        <v>636.62</v>
      </c>
      <c r="AO91" s="212">
        <f ca="1">IF(AM91=0,0,(AN91-AM91)/AM91*100)</f>
        <v>8.5937499999999982</v>
      </c>
      <c r="AP91" s="808">
        <f ca="1">IF(AND(method_reg="Метод индексации",god&lt;&gt;first_year),SUMIFS(INDEX('Калькуляция (МИ корр)'!$AJ$25:$BC$315,,MATCH(AP$8,'Калькуляция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(МИ)'!$AJ$25:$BC$315,,MATCH(AP$8,'Калькуляция (МИ)'!$AJ$8:$BC$8,0)),'Калькуляция (МИ)'!$F$25:$F$315,$F91,'Калькуляция (МИ)'!$G$25:$G$315,$G91))))</f>
        <v>586.24</v>
      </c>
      <c r="AQ91" s="808">
        <f ca="1">IF(AND(method_reg="Метод индексации",god&lt;&gt;first_year),SUMIFS(INDEX('Калькуляция (МИ корр)'!$AJ$25:$BC$315,,MATCH(AQ$8,'Калькуляция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(МИ)'!$AJ$25:$BC$315,,MATCH(AQ$8,'Калькуляция (МИ)'!$AJ$8:$BC$8,0)),'Калькуляция (МИ)'!$F$25:$F$315,$F91,'Калькуляция (МИ)'!$G$25:$G$315,$G91))))</f>
        <v>636.62</v>
      </c>
      <c r="AR91" s="212">
        <f ca="1">IF(AP91=0,0,(AQ91-AP91)/AP91*100)</f>
        <v>8.5937499999999982</v>
      </c>
      <c r="AS91" s="808">
        <f ca="1">IF(AND(method_reg="Метод индексации",god&lt;&gt;first_year),SUMIFS(INDEX('Калькуляция (МИ корр)'!$AJ$25:$BC$315,,MATCH(AS$8,'Калькуляция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(МИ)'!$AJ$25:$BC$315,,MATCH(AS$8,'Калькуляция (МИ)'!$AJ$8:$BC$8,0)),'Калькуляция (МИ)'!$F$25:$F$315,$F91,'Калькуляция (МИ)'!$G$25:$G$315,$G91))))</f>
        <v>586.24</v>
      </c>
      <c r="AT91" s="808">
        <f ca="1">IF(AND(method_reg="Метод индексации",god&lt;&gt;first_year),SUMIFS(INDEX('Калькуляция (МИ корр)'!$AJ$25:$BC$315,,MATCH(AT$8,'Калькуляция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(МИ)'!$AJ$25:$BC$315,,MATCH(AT$8,'Калькуляция (МИ)'!$AJ$8:$BC$8,0)),'Калькуляция (МИ)'!$F$25:$F$315,$F91,'Калькуляция (МИ)'!$G$25:$G$315,$G91))))</f>
        <v>636.62</v>
      </c>
      <c r="AU91" s="212">
        <f ca="1">IF(AS91=0,0,(AT91-AS91)/AS91*100)</f>
        <v>8.5937499999999982</v>
      </c>
      <c r="AV91" s="808">
        <f ca="1">IF(AND(method_reg="Метод индексации",god&lt;&gt;first_year),SUMIFS(INDEX('Калькуляция (МИ корр)'!$AJ$25:$BC$315,,MATCH(AV$8,'Калькуляция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(МИ)'!$AJ$25:$BC$315,,MATCH(AV$8,'Калькуляция (МИ)'!$AJ$8:$BC$8,0)),'Калькуляция (МИ)'!$F$25:$F$315,$F91,'Калькуляция (МИ)'!$G$25:$G$315,$G91))))</f>
        <v>586.24</v>
      </c>
      <c r="AW91" s="808">
        <f ca="1">IF(AND(method_reg="Метод индексации",god&lt;&gt;first_year),SUMIFS(INDEX('Калькуляция (МИ корр)'!$AJ$25:$BC$315,,MATCH(AW$8,'Калькуляция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(МИ)'!$AJ$25:$BC$315,,MATCH(AW$8,'Калькуляция (МИ)'!$AJ$8:$BC$8,0)),'Калькуляция (МИ)'!$F$25:$F$315,$F91,'Калькуляция (МИ)'!$G$25:$G$315,$G91))))</f>
        <v>636.62</v>
      </c>
      <c r="AX91" s="212">
        <f ca="1">IF(AV91=0,0,(AW91-AV91)/AV91*100)</f>
        <v>8.5937499999999982</v>
      </c>
      <c r="AY91" s="808">
        <f ca="1">IF(AND(method_reg="Метод индексации",god&lt;&gt;first_year),SUMIFS(INDEX('Калькуляция (МИ корр)'!$AJ$25:$BC$315,,MATCH(AY$8,'Калькуляция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(МИ)'!$AJ$25:$BC$315,,MATCH(AY$8,'Калькуляция (МИ)'!$AJ$8:$BC$8,0)),'Калькуляция (МИ)'!$F$25:$F$315,$F91,'Калькуляция (МИ)'!$G$25:$G$315,$G91))))</f>
        <v>586.24</v>
      </c>
      <c r="AZ91" s="808">
        <f ca="1">IF(AND(method_reg="Метод индексации",god&lt;&gt;first_year),SUMIFS(INDEX('Калькуляция (МИ корр)'!$AJ$25:$BC$315,,MATCH(AZ$8,'Калькуляция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(МИ)'!$AJ$25:$BC$315,,MATCH(AZ$8,'Калькуляция (МИ)'!$AJ$8:$BC$8,0)),'Калькуляция (МИ)'!$F$25:$F$315,$F91,'Калькуляция (МИ)'!$G$25:$G$315,$G91))))</f>
        <v>636.62</v>
      </c>
      <c r="BA91" s="212">
        <f ca="1">IF(AY91=0,0,(AZ91-AY91)/AY91*100)</f>
        <v>8.5937499999999982</v>
      </c>
      <c r="BB91" s="808">
        <f ca="1">IF(AND(method_reg="Метод индексации",god&lt;&gt;first_year),SUMIFS(INDEX('Калькуляция (МИ корр)'!$AJ$25:$BC$315,,MATCH(BB$8,'Калькуляция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(МИ)'!$AJ$25:$BC$315,,MATCH(BB$8,'Калькуляция (МИ)'!$AJ$8:$BC$8,0)),'Калькуляция (МИ)'!$F$25:$F$315,$F91,'Калькуляция (МИ)'!$G$25:$G$315,$G91))))</f>
        <v>586.24</v>
      </c>
      <c r="BC91" s="808">
        <f ca="1">IF(AND(method_reg="Метод индексации",god&lt;&gt;first_year),SUMIFS(INDEX('Калькуляция (МИ корр)'!$AJ$25:$BC$315,,MATCH(BC$8,'Калькуляция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(МИ)'!$AJ$25:$BC$315,,MATCH(BC$8,'Калькуляция (МИ)'!$AJ$8:$BC$8,0)),'Калькуляция (МИ)'!$F$25:$F$315,$F91,'Калькуляция (МИ)'!$G$25:$G$315,$G91))))</f>
        <v>636.62</v>
      </c>
      <c r="BD91" s="212">
        <f ca="1">IF(BB91=0,0,(BC91-BB91)/BB91*100)</f>
        <v>8.5937499999999982</v>
      </c>
      <c r="BE91" s="808">
        <f ca="1">IF(AND(method_reg="Метод индексации",god&lt;&gt;first_year),SUMIFS(INDEX('Калькуляция (МИ корр)'!$AJ$25:$BC$315,,MATCH(BE$8,'Калькуляция (МИ корр)'!$AJ$8:$BC$8,0)),'Калькуляция (МИ корр)'!$F$25:$F$315,$F91,'Калькуляция (МИ корр)'!$G$25:$G$315,$G91),IF(method_reg="Метод экономически обоснованных расходов",SUMIFS('Калькуляция (МЭОР)'!$AJ$25:$AJ$199,'Калькуляция (МЭОР)'!$F$25:$F$199,$F91,'Калькуляция (МЭОР)'!$G$25:$G$199,$G91),IF(method_reg="Метод сравнения аналогов",SUMIFS('Калькуляция (МСА)'!$AE$25:$AE$65,'Калькуляция (МСА)'!$F$25:$F$65,$F91,'Калькуляция (МСА)'!$G$25:$G$65,$G91),SUMIFS(INDEX('Калькуляция (МИ)'!$AJ$25:$BC$315,,MATCH(BE$8,'Калькуляция (МИ)'!$AJ$8:$BC$8,0)),'Калькуляция (МИ)'!$F$25:$F$315,$F91,'Калькуляция (МИ)'!$G$25:$G$315,$G91))))</f>
        <v>586.24</v>
      </c>
      <c r="BF91" s="808">
        <f ca="1">IF(AND(method_reg="Метод индексации",god&lt;&gt;first_year),SUMIFS(INDEX('Калькуляция (МИ корр)'!$AJ$25:$BC$315,,MATCH(BF$8,'Калькуляция (МИ корр)'!$AJ$8:$BC$8,0)),'Калькуляция (МИ корр)'!$F$25:$F$315,$F91,'Калькуляция (МИ корр)'!$G$25:$G$315,$G91),IF(method_reg="Метод экономически обоснованных расходов",SUMIFS('Калькуляция (МЭОР)'!$AK$25:$AK$199,'Калькуляция (МЭОР)'!$F$25:$F$199,$F91,'Калькуляция (МЭОР)'!$G$25:$G$199,$G91),IF(method_reg="Метод сравнения аналогов",SUMIFS('Калькуляция (МСА)'!$AF$25:$AF$65,'Калькуляция (МСА)'!$F$25:$F$65,$F91,'Калькуляция (МСА)'!$G$25:$G$65,$G91),SUMIFS(INDEX('Калькуляция (МИ)'!$AJ$25:$BC$315,,MATCH(BF$8,'Калькуляция (МИ)'!$AJ$8:$BC$8,0)),'Калькуляция (МИ)'!$F$25:$F$315,$F91,'Калькуляция (МИ)'!$G$25:$G$315,$G91))))</f>
        <v>636.62</v>
      </c>
      <c r="BG91" s="212">
        <f ca="1">IF(BE91=0,0,(BF91-BE91)/BE91*100)</f>
        <v>8.5937499999999982</v>
      </c>
      <c r="BH91" s="808"/>
      <c r="BI91" s="808"/>
      <c r="BJ91" s="212">
        <f>IF(BH91=0,0,(BI91-BH91)/BH91*100)</f>
        <v>0</v>
      </c>
      <c r="BK91" s="808"/>
      <c r="BL91" s="808"/>
      <c r="BM91" s="212">
        <f>IF(BK91=0,0,(BL91-BK91)/BK91*100)</f>
        <v>0</v>
      </c>
      <c r="BN91" s="808"/>
      <c r="BO91" s="808"/>
      <c r="BP91" s="212">
        <f>IF(BN91=0,0,(BO91-BN91)/BN91*100)</f>
        <v>0</v>
      </c>
      <c r="BQ91" s="808"/>
      <c r="BR91" s="808"/>
      <c r="BS91" s="212">
        <f>IF(BQ91=0,0,(BR91-BQ91)/BQ91*100)</f>
        <v>0</v>
      </c>
      <c r="BT91" s="808"/>
      <c r="BU91" s="808"/>
      <c r="BV91" s="212">
        <f>IF(BT91=0,0,(BU91-BT91)/BT91*100)</f>
        <v>0</v>
      </c>
      <c r="BW91" s="808"/>
      <c r="BX91" s="808"/>
      <c r="BY91" s="212">
        <f>IF(BW91=0,0,(BX91-BW91)/BW91*100)</f>
        <v>0</v>
      </c>
      <c r="BZ91" s="808"/>
      <c r="CA91" s="808"/>
      <c r="CB91" s="212">
        <f>IF(BZ91=0,0,(CA91-BZ91)/BZ91*100)</f>
        <v>0</v>
      </c>
      <c r="CC91" s="808"/>
      <c r="CD91" s="808"/>
      <c r="CE91" s="212">
        <f>IF(CC91=0,0,(CD91-CC91)/CC91*100)</f>
        <v>0</v>
      </c>
      <c r="CF91" s="808"/>
      <c r="CG91" s="808"/>
      <c r="CH91" s="212">
        <f>IF(CF91=0,0,(CG91-CF91)/CF91*100)</f>
        <v>0</v>
      </c>
      <c r="CI91" s="808"/>
      <c r="CJ91" s="808"/>
      <c r="CK91" s="212">
        <f>IF(CI91=0,0,(CJ91-CI91)/CI91*100)</f>
        <v>0</v>
      </c>
      <c r="CL91" s="808"/>
      <c r="CM91" s="808"/>
      <c r="CN91" s="212">
        <f>IF(CL91=0,0,(CM91-CL91)/CL91*100)</f>
        <v>0</v>
      </c>
      <c r="CO91" s="808"/>
      <c r="CP91" s="808"/>
      <c r="CQ91" s="212">
        <f>IF(CO91=0,0,(CP91-CO91)/CO91*100)</f>
        <v>0</v>
      </c>
      <c r="CR91" s="808"/>
      <c r="CS91" s="808"/>
      <c r="CT91" s="212">
        <f>IF(CR91=0,0,(CS91-CR91)/CR91*100)</f>
        <v>0</v>
      </c>
      <c r="CU91" s="808"/>
      <c r="CV91" s="808"/>
      <c r="CW91" s="212">
        <f>IF(CU91=0,0,(CV91-CU91)/CU91*100)</f>
        <v>0</v>
      </c>
      <c r="CX91" s="808"/>
      <c r="CY91" s="808"/>
      <c r="CZ91" s="212">
        <f>IF(CX91=0,0,(CY91-CX91)/CX91*100)</f>
        <v>0</v>
      </c>
      <c r="DA91" s="808"/>
      <c r="DB91" s="808"/>
      <c r="DC91" s="212">
        <f>IF(DA91=0,0,(DB91-DA91)/DA91*100)</f>
        <v>0</v>
      </c>
      <c r="DD91" s="808"/>
      <c r="DE91" s="808"/>
      <c r="DF91" s="212">
        <f>IF(DD91=0,0,(DE91-DD91)/DD91*100)</f>
        <v>0</v>
      </c>
      <c r="DG91" s="211"/>
      <c r="DH91" s="211"/>
      <c r="DI91" s="212">
        <f>IF(DG91=0,0,(DH91-DG91)/DG91*100)</f>
        <v>0</v>
      </c>
      <c r="DJ91" s="211"/>
      <c r="DK91" s="211"/>
      <c r="DL91" s="212">
        <f>IF(DJ91=0,0,(DK91-DJ91)/DJ91*100)</f>
        <v>0</v>
      </c>
      <c r="DM91" s="211"/>
      <c r="DN91" s="211"/>
      <c r="DO91" s="212">
        <f>IF(DM91=0,0,(DN91-DM91)/DM91*100)</f>
        <v>0</v>
      </c>
      <c r="DP91" s="211"/>
      <c r="DQ91" s="211"/>
      <c r="DR91" s="212">
        <f>IF(DP91=0,0,(DQ91-DP91)/DP91*100)</f>
        <v>0</v>
      </c>
      <c r="DS91" s="211"/>
      <c r="DT91" s="211"/>
      <c r="DU91" s="212">
        <f>IF(DS91=0,0,(DT91-DS91)/DS91*100)</f>
        <v>0</v>
      </c>
      <c r="DV91" s="211"/>
      <c r="DW91" s="211"/>
      <c r="DX91" s="212">
        <f>IF(DV91=0,0,(DW91-DV91)/DV91*100)</f>
        <v>0</v>
      </c>
      <c r="DY91" s="211"/>
      <c r="DZ91" s="211"/>
      <c r="EA91" s="212">
        <f>IF(DY91=0,0,(DZ91-DY91)/DY91*100)</f>
        <v>0</v>
      </c>
      <c r="EB91" s="211"/>
      <c r="EC91" s="211"/>
      <c r="ED91" s="212">
        <f>IF(EB91=0,0,(EC91-EB91)/EB91*100)</f>
        <v>0</v>
      </c>
      <c r="EE91" s="211"/>
      <c r="EF91" s="211"/>
      <c r="EG91" s="212">
        <f>IF(EE91=0,0,(EF91-EE91)/EE91*100)</f>
        <v>0</v>
      </c>
      <c r="EH91" s="211"/>
      <c r="EI91" s="211"/>
      <c r="EJ91" s="212">
        <f>IF(EH91=0,0,(EI91-EH91)/EH91*100)</f>
        <v>0</v>
      </c>
      <c r="EK91" s="211"/>
      <c r="EL91" s="211"/>
      <c r="EM91" s="212">
        <f>IF(EK91=0,0,(EL91-EK91)/EK91*100)</f>
        <v>0</v>
      </c>
      <c r="EN91" s="211"/>
      <c r="EO91" s="211"/>
      <c r="EP91" s="212">
        <f>IF(EN91=0,0,(EO91-EN91)/EN91*100)</f>
        <v>0</v>
      </c>
      <c r="EQ91" s="211"/>
      <c r="ER91" s="211"/>
      <c r="ES91" s="212">
        <f>IF(EQ91=0,0,(ER91-EQ91)/EQ91*100)</f>
        <v>0</v>
      </c>
      <c r="ET91" s="211"/>
      <c r="EU91" s="211"/>
      <c r="EV91" s="212">
        <f>IF(ET91=0,0,(EU91-ET91)/ET91*100)</f>
        <v>0</v>
      </c>
      <c r="EW91" s="211"/>
      <c r="EX91" s="211"/>
      <c r="EY91" s="212">
        <f>IF(EW91=0,0,(EX91-EW91)/EW91*100)</f>
        <v>0</v>
      </c>
      <c r="EZ91" s="211"/>
      <c r="FA91" s="211"/>
      <c r="FB91" s="212">
        <f>IF(EZ91=0,0,(FA91-EZ91)/EZ91*100)</f>
        <v>0</v>
      </c>
      <c r="FC91" s="211"/>
      <c r="FD91" s="211"/>
      <c r="FE91" s="212">
        <f>IF(FC91=0,0,(FD91-FC91)/FC91*100)</f>
        <v>0</v>
      </c>
      <c r="FF91" s="211"/>
      <c r="FG91" s="211"/>
      <c r="FH91" s="212">
        <f>IF(FF91=0,0,(FG91-FF91)/FF91*100)</f>
        <v>0</v>
      </c>
      <c r="FI91" s="211"/>
      <c r="FJ91" s="211"/>
      <c r="FK91" s="212">
        <f>IF(FI91=0,0,(FJ91-FI91)/FI91*100)</f>
        <v>0</v>
      </c>
      <c r="FL91" s="211"/>
      <c r="FM91" s="211"/>
      <c r="FN91" s="212">
        <f>IF(FL91=0,0,(FM91-FL91)/FL91*100)</f>
        <v>0</v>
      </c>
      <c r="FO91" s="211"/>
      <c r="FP91" s="211"/>
      <c r="FQ91" s="212">
        <f>IF(FO91=0,0,(FP91-FO91)/FO91*100)</f>
        <v>0</v>
      </c>
      <c r="FR91" s="211"/>
      <c r="FS91" s="211"/>
      <c r="FT91" s="212">
        <f>IF(FR91=0,0,(FS91-FR91)/FR91*100)</f>
        <v>0</v>
      </c>
      <c r="FU91" s="211"/>
      <c r="FV91" s="211"/>
      <c r="FW91" s="212">
        <f>IF(FU91=0,0,(FV91-FU91)/FU91*100)</f>
        <v>0</v>
      </c>
      <c r="FX91" s="208"/>
      <c r="FY91" s="208"/>
      <c r="FZ91" s="957" t="s">
        <v>1459</v>
      </c>
      <c r="GA91" s="957"/>
      <c r="GB91" s="957"/>
      <c r="GC91" s="958"/>
      <c r="GD91" s="958"/>
    </row>
    <row r="92" spans="1:186" s="1327" customFormat="1" ht="14.25" customHeight="1">
      <c r="A92" s="409"/>
      <c r="B92" s="830" t="b" cm="1">
        <f t="array" ref="B92">B91</f>
        <v>1</v>
      </c>
      <c r="C92" s="409"/>
      <c r="D92" s="409"/>
      <c r="E92" s="754">
        <v>15</v>
      </c>
      <c r="F92" s="3" t="str" cm="1">
        <f t="array" aca="1" ref="F92" ca="1">OFFSET(E92,-1,1)</f>
        <v>1</v>
      </c>
      <c r="G92" s="409"/>
      <c r="H92" s="409" t="s">
        <v>431</v>
      </c>
      <c r="I92" s="409" t="s">
        <v>1460</v>
      </c>
      <c r="J92" s="409"/>
      <c r="K92" s="409"/>
      <c r="L92" s="409"/>
      <c r="M92" s="409"/>
      <c r="N92" s="409"/>
      <c r="O92" s="409"/>
      <c r="P92" s="409"/>
      <c r="Q92" s="409"/>
      <c r="R92" s="409"/>
      <c r="S92" s="409"/>
      <c r="T92" s="381" t="b" cm="1">
        <f t="array" ref="T92">T91</f>
        <v>1</v>
      </c>
      <c r="U92" s="409"/>
      <c r="V92" s="409"/>
      <c r="W92" s="409"/>
      <c r="X92" s="1787"/>
      <c r="Y92" s="409"/>
      <c r="Z92" s="1734"/>
      <c r="AA92" s="409"/>
      <c r="AB92" s="992" t="s">
        <v>1461</v>
      </c>
      <c r="AC92" s="778" t="s">
        <v>423</v>
      </c>
      <c r="AD92" s="995">
        <f ca="1">IF(AD90=0,0,AD91/AD90)*100</f>
        <v>100</v>
      </c>
      <c r="AE92" s="995">
        <f ca="1">IF(AE90=0,0,AE91/AE90)*100</f>
        <v>111.79755549311604</v>
      </c>
      <c r="AF92" s="996"/>
      <c r="AG92" s="995">
        <f ca="1">IF(AG90=0,0,AG91/AG90)*100</f>
        <v>100</v>
      </c>
      <c r="AH92" s="995">
        <f ca="1">IF(AH90=0,0,AH91/AH90)*100</f>
        <v>111.79755549311604</v>
      </c>
      <c r="AI92" s="996"/>
      <c r="AJ92" s="995">
        <f ca="1">IF(AJ90=0,0,AJ91/AJ90)*100</f>
        <v>100</v>
      </c>
      <c r="AK92" s="995">
        <f ca="1">IF(AK90=0,0,AK91/AK90)*100</f>
        <v>111.79755549311604</v>
      </c>
      <c r="AL92" s="996"/>
      <c r="AM92" s="995">
        <f ca="1">IF(AM90=0,0,AM91/AM90)*100</f>
        <v>100</v>
      </c>
      <c r="AN92" s="995">
        <f ca="1">IF(AN90=0,0,AN91/AN90)*100</f>
        <v>111.79755549311604</v>
      </c>
      <c r="AO92" s="996"/>
      <c r="AP92" s="995">
        <f ca="1">IF(AP90=0,0,AP91/AP90)*100</f>
        <v>100</v>
      </c>
      <c r="AQ92" s="995">
        <f ca="1">IF(AQ90=0,0,AQ91/AQ90)*100</f>
        <v>111.79755549311604</v>
      </c>
      <c r="AR92" s="996"/>
      <c r="AS92" s="995">
        <f ca="1">IF(AS90=0,0,AS91/AS90)*100</f>
        <v>100</v>
      </c>
      <c r="AT92" s="995">
        <f ca="1">IF(AT90=0,0,AT91/AT90)*100</f>
        <v>111.79755549311604</v>
      </c>
      <c r="AU92" s="996"/>
      <c r="AV92" s="995">
        <f ca="1">IF(AV90=0,0,AV91/AV90)*100</f>
        <v>100</v>
      </c>
      <c r="AW92" s="995">
        <f ca="1">IF(AW90=0,0,AW91/AW90)*100</f>
        <v>111.79755549311604</v>
      </c>
      <c r="AX92" s="996"/>
      <c r="AY92" s="995">
        <f ca="1">IF(AY90=0,0,AY91/AY90)*100</f>
        <v>100</v>
      </c>
      <c r="AZ92" s="995">
        <f ca="1">IF(AZ90=0,0,AZ91/AZ90)*100</f>
        <v>111.79755549311604</v>
      </c>
      <c r="BA92" s="996"/>
      <c r="BB92" s="995">
        <f ca="1">IF(BB90=0,0,BB91/BB90)*100</f>
        <v>100</v>
      </c>
      <c r="BC92" s="995">
        <f ca="1">IF(BC90=0,0,BC91/BC90)*100</f>
        <v>111.79755549311604</v>
      </c>
      <c r="BD92" s="996"/>
      <c r="BE92" s="995">
        <f ca="1">IF(BE90=0,0,BE91/BE90)*100</f>
        <v>100</v>
      </c>
      <c r="BF92" s="995">
        <f ca="1">IF(BF90=0,0,BF91/BF90)*100</f>
        <v>111.79755549311604</v>
      </c>
      <c r="BG92" s="996"/>
      <c r="BH92" s="995">
        <f>IF(BH90=0,0,BH91/BH90)*100</f>
        <v>0</v>
      </c>
      <c r="BI92" s="995">
        <f>IF(BI90=0,0,BI91/BI90)*100</f>
        <v>0</v>
      </c>
      <c r="BJ92" s="996"/>
      <c r="BK92" s="995">
        <f>IF(BK90=0,0,BK91/BK90)*100</f>
        <v>0</v>
      </c>
      <c r="BL92" s="995">
        <f>IF(BL90=0,0,BL91/BL90)*100</f>
        <v>0</v>
      </c>
      <c r="BM92" s="996"/>
      <c r="BN92" s="995">
        <f>IF(BN90=0,0,BN91/BN90)*100</f>
        <v>0</v>
      </c>
      <c r="BO92" s="995">
        <f>IF(BO90=0,0,BO91/BO90)*100</f>
        <v>0</v>
      </c>
      <c r="BP92" s="996"/>
      <c r="BQ92" s="995">
        <f>IF(BQ90=0,0,BQ91/BQ90)*100</f>
        <v>0</v>
      </c>
      <c r="BR92" s="995">
        <f>IF(BR90=0,0,BR91/BR90)*100</f>
        <v>0</v>
      </c>
      <c r="BS92" s="996"/>
      <c r="BT92" s="995">
        <f>IF(BT90=0,0,BT91/BT90)*100</f>
        <v>0</v>
      </c>
      <c r="BU92" s="995">
        <f>IF(BU90=0,0,BU91/BU90)*100</f>
        <v>0</v>
      </c>
      <c r="BV92" s="996"/>
      <c r="BW92" s="995">
        <f>IF(BW90=0,0,BW91/BW90)*100</f>
        <v>0</v>
      </c>
      <c r="BX92" s="995">
        <f>IF(BX90=0,0,BX91/BX90)*100</f>
        <v>0</v>
      </c>
      <c r="BY92" s="996"/>
      <c r="BZ92" s="995">
        <f>IF(BZ90=0,0,BZ91/BZ90)*100</f>
        <v>0</v>
      </c>
      <c r="CA92" s="995">
        <f>IF(CA90=0,0,CA91/CA90)*100</f>
        <v>0</v>
      </c>
      <c r="CB92" s="996"/>
      <c r="CC92" s="995">
        <f>IF(CC90=0,0,CC91/CC90)*100</f>
        <v>0</v>
      </c>
      <c r="CD92" s="995">
        <f>IF(CD90=0,0,CD91/CD90)*100</f>
        <v>0</v>
      </c>
      <c r="CE92" s="996"/>
      <c r="CF92" s="995">
        <f>IF(CF90=0,0,CF91/CF90)*100</f>
        <v>0</v>
      </c>
      <c r="CG92" s="995">
        <f>IF(CG90=0,0,CG91/CG90)*100</f>
        <v>0</v>
      </c>
      <c r="CH92" s="996"/>
      <c r="CI92" s="995">
        <f>IF(CI90=0,0,CI91/CI90)*100</f>
        <v>0</v>
      </c>
      <c r="CJ92" s="995">
        <f>IF(CJ90=0,0,CJ91/CJ90)*100</f>
        <v>0</v>
      </c>
      <c r="CK92" s="996"/>
      <c r="CL92" s="995">
        <f>IF(CL90=0,0,CL91/CL90)*100</f>
        <v>0</v>
      </c>
      <c r="CM92" s="995">
        <f>IF(CM90=0,0,CM91/CM90)*100</f>
        <v>0</v>
      </c>
      <c r="CN92" s="996"/>
      <c r="CO92" s="995">
        <f>IF(CO90=0,0,CO91/CO90)*100</f>
        <v>0</v>
      </c>
      <c r="CP92" s="995">
        <f>IF(CP90=0,0,CP91/CP90)*100</f>
        <v>0</v>
      </c>
      <c r="CQ92" s="996"/>
      <c r="CR92" s="995">
        <f>IF(CR90=0,0,CR91/CR90)*100</f>
        <v>0</v>
      </c>
      <c r="CS92" s="995">
        <f>IF(CS90=0,0,CS91/CS90)*100</f>
        <v>0</v>
      </c>
      <c r="CT92" s="996"/>
      <c r="CU92" s="995">
        <f>IF(CU90=0,0,CU91/CU90)*100</f>
        <v>0</v>
      </c>
      <c r="CV92" s="995">
        <f>IF(CV90=0,0,CV91/CV90)*100</f>
        <v>0</v>
      </c>
      <c r="CW92" s="996"/>
      <c r="CX92" s="995">
        <f>IF(CX90=0,0,CX91/CX90)*100</f>
        <v>0</v>
      </c>
      <c r="CY92" s="995">
        <f>IF(CY90=0,0,CY91/CY90)*100</f>
        <v>0</v>
      </c>
      <c r="CZ92" s="996"/>
      <c r="DA92" s="995">
        <f>IF(DA90=0,0,DA91/DA90)*100</f>
        <v>0</v>
      </c>
      <c r="DB92" s="995">
        <f>IF(DB90=0,0,DB91/DB90)*100</f>
        <v>0</v>
      </c>
      <c r="DC92" s="996"/>
      <c r="DD92" s="995">
        <f>IF(DD90=0,0,DD91/DD90)*100</f>
        <v>0</v>
      </c>
      <c r="DE92" s="995">
        <f>IF(DE90=0,0,DE91/DE90)*100</f>
        <v>0</v>
      </c>
      <c r="DF92" s="996"/>
      <c r="DG92" s="995">
        <f>IF(DG90=0,0,DG91/DG90)*100</f>
        <v>0</v>
      </c>
      <c r="DH92" s="995">
        <f>IF(DH90=0,0,DH91/DH90)*100</f>
        <v>0</v>
      </c>
      <c r="DI92" s="996"/>
      <c r="DJ92" s="995">
        <f>IF(DJ90=0,0,DJ91/DJ90)*100</f>
        <v>0</v>
      </c>
      <c r="DK92" s="995">
        <f>IF(DK90=0,0,DK91/DK90)*100</f>
        <v>0</v>
      </c>
      <c r="DL92" s="996"/>
      <c r="DM92" s="995">
        <f>IF(DM90=0,0,DM91/DM90)*100</f>
        <v>0</v>
      </c>
      <c r="DN92" s="995">
        <f>IF(DN90=0,0,DN91/DN90)*100</f>
        <v>0</v>
      </c>
      <c r="DO92" s="996"/>
      <c r="DP92" s="995">
        <f>IF(DP90=0,0,DP91/DP90)*100</f>
        <v>0</v>
      </c>
      <c r="DQ92" s="995">
        <f>IF(DQ90=0,0,DQ91/DQ90)*100</f>
        <v>0</v>
      </c>
      <c r="DR92" s="996"/>
      <c r="DS92" s="995">
        <f>IF(DS90=0,0,DS91/DS90)*100</f>
        <v>0</v>
      </c>
      <c r="DT92" s="995">
        <f>IF(DT90=0,0,DT91/DT90)*100</f>
        <v>0</v>
      </c>
      <c r="DU92" s="996"/>
      <c r="DV92" s="995">
        <f>IF(DV90=0,0,DV91/DV90)*100</f>
        <v>0</v>
      </c>
      <c r="DW92" s="995">
        <f>IF(DW90=0,0,DW91/DW90)*100</f>
        <v>0</v>
      </c>
      <c r="DX92" s="996"/>
      <c r="DY92" s="995">
        <f>IF(DY90=0,0,DY91/DY90)*100</f>
        <v>0</v>
      </c>
      <c r="DZ92" s="995">
        <f>IF(DZ90=0,0,DZ91/DZ90)*100</f>
        <v>0</v>
      </c>
      <c r="EA92" s="996"/>
      <c r="EB92" s="995">
        <f>IF(EB90=0,0,EB91/EB90)*100</f>
        <v>0</v>
      </c>
      <c r="EC92" s="995">
        <f>IF(EC90=0,0,EC91/EC90)*100</f>
        <v>0</v>
      </c>
      <c r="ED92" s="996"/>
      <c r="EE92" s="995">
        <f>IF(EE90=0,0,EE91/EE90)*100</f>
        <v>0</v>
      </c>
      <c r="EF92" s="995">
        <f>IF(EF90=0,0,EF91/EF90)*100</f>
        <v>0</v>
      </c>
      <c r="EG92" s="996"/>
      <c r="EH92" s="995">
        <f>IF(EH90=0,0,EH91/EH90)*100</f>
        <v>0</v>
      </c>
      <c r="EI92" s="995">
        <f>IF(EI90=0,0,EI91/EI90)*100</f>
        <v>0</v>
      </c>
      <c r="EJ92" s="996"/>
      <c r="EK92" s="995">
        <f>IF(EK90=0,0,EK91/EK90)*100</f>
        <v>0</v>
      </c>
      <c r="EL92" s="995">
        <f>IF(EL90=0,0,EL91/EL90)*100</f>
        <v>0</v>
      </c>
      <c r="EM92" s="996"/>
      <c r="EN92" s="995">
        <f>IF(EN90=0,0,EN91/EN90)*100</f>
        <v>0</v>
      </c>
      <c r="EO92" s="995">
        <f>IF(EO90=0,0,EO91/EO90)*100</f>
        <v>0</v>
      </c>
      <c r="EP92" s="996"/>
      <c r="EQ92" s="995">
        <f>IF(EQ90=0,0,EQ91/EQ90)*100</f>
        <v>0</v>
      </c>
      <c r="ER92" s="995">
        <f>IF(ER90=0,0,ER91/ER90)*100</f>
        <v>0</v>
      </c>
      <c r="ES92" s="996"/>
      <c r="ET92" s="995">
        <f>IF(ET90=0,0,ET91/ET90)*100</f>
        <v>0</v>
      </c>
      <c r="EU92" s="995">
        <f>IF(EU90=0,0,EU91/EU90)*100</f>
        <v>0</v>
      </c>
      <c r="EV92" s="996"/>
      <c r="EW92" s="995">
        <f>IF(EW90=0,0,EW91/EW90)*100</f>
        <v>0</v>
      </c>
      <c r="EX92" s="995">
        <f>IF(EX90=0,0,EX91/EX90)*100</f>
        <v>0</v>
      </c>
      <c r="EY92" s="996"/>
      <c r="EZ92" s="995">
        <f>IF(EZ90=0,0,EZ91/EZ90)*100</f>
        <v>0</v>
      </c>
      <c r="FA92" s="995">
        <f>IF(FA90=0,0,FA91/FA90)*100</f>
        <v>0</v>
      </c>
      <c r="FB92" s="996"/>
      <c r="FC92" s="995">
        <f>IF(FC90=0,0,FC91/FC90)*100</f>
        <v>0</v>
      </c>
      <c r="FD92" s="995">
        <f>IF(FD90=0,0,FD91/FD90)*100</f>
        <v>0</v>
      </c>
      <c r="FE92" s="996"/>
      <c r="FF92" s="995">
        <f>IF(FF90=0,0,FF91/FF90)*100</f>
        <v>0</v>
      </c>
      <c r="FG92" s="995">
        <f>IF(FG90=0,0,FG91/FG90)*100</f>
        <v>0</v>
      </c>
      <c r="FH92" s="996"/>
      <c r="FI92" s="995">
        <f>IF(FI90=0,0,FI91/FI90)*100</f>
        <v>0</v>
      </c>
      <c r="FJ92" s="995">
        <f>IF(FJ90=0,0,FJ91/FJ90)*100</f>
        <v>0</v>
      </c>
      <c r="FK92" s="996"/>
      <c r="FL92" s="995">
        <f>IF(FL90=0,0,FL91/FL90)*100</f>
        <v>0</v>
      </c>
      <c r="FM92" s="995">
        <f>IF(FM90=0,0,FM91/FM90)*100</f>
        <v>0</v>
      </c>
      <c r="FN92" s="996"/>
      <c r="FO92" s="995">
        <f>IF(FO90=0,0,FO91/FO90)*100</f>
        <v>0</v>
      </c>
      <c r="FP92" s="995">
        <f>IF(FP90=0,0,FP91/FP90)*100</f>
        <v>0</v>
      </c>
      <c r="FQ92" s="996"/>
      <c r="FR92" s="995">
        <f>IF(FR90=0,0,FR91/FR90)*100</f>
        <v>0</v>
      </c>
      <c r="FS92" s="995">
        <f>IF(FS90=0,0,FS91/FS90)*100</f>
        <v>0</v>
      </c>
      <c r="FT92" s="996"/>
      <c r="FU92" s="995">
        <f>IF(FU90=0,0,FU91/FU90)*100</f>
        <v>0</v>
      </c>
      <c r="FV92" s="995">
        <f>IF(FV90=0,0,FV91/FV90)*100</f>
        <v>0</v>
      </c>
      <c r="FW92" s="996"/>
      <c r="FX92" s="208"/>
      <c r="FY92" s="1207"/>
      <c r="FZ92" s="957" t="s">
        <v>1462</v>
      </c>
      <c r="GA92" s="1209"/>
      <c r="GB92" s="1209"/>
      <c r="GC92" s="1208"/>
      <c r="GD92" s="1208"/>
    </row>
    <row r="93" spans="1:186" s="1327" customFormat="1" ht="14.25" customHeight="1">
      <c r="A93" s="409"/>
      <c r="B93" s="830" t="b" cm="1">
        <f t="array" ref="B93">B92</f>
        <v>1</v>
      </c>
      <c r="C93" s="409"/>
      <c r="D93" s="409"/>
      <c r="E93" s="754">
        <v>15</v>
      </c>
      <c r="F93" s="3" t="str" cm="1">
        <f t="array" aca="1" ref="F93" ca="1">OFFSET(E93,-1,1)</f>
        <v>1</v>
      </c>
      <c r="G93" s="26" t="s">
        <v>1463</v>
      </c>
      <c r="H93" s="409" t="s">
        <v>434</v>
      </c>
      <c r="I93" s="409" t="s">
        <v>1460</v>
      </c>
      <c r="J93" s="409"/>
      <c r="K93" s="409"/>
      <c r="L93" s="409"/>
      <c r="M93" s="409"/>
      <c r="N93" s="409"/>
      <c r="O93" s="409"/>
      <c r="P93" s="409"/>
      <c r="Q93" s="409"/>
      <c r="R93" s="409"/>
      <c r="S93" s="409"/>
      <c r="T93" s="381" t="b" cm="1">
        <f t="array" ref="T93">T92</f>
        <v>1</v>
      </c>
      <c r="U93" s="409"/>
      <c r="V93" s="409"/>
      <c r="W93" s="409"/>
      <c r="X93" s="1787"/>
      <c r="Y93" s="409"/>
      <c r="Z93" s="1734"/>
      <c r="AA93" s="409"/>
      <c r="AB93" s="992" t="s">
        <v>1464</v>
      </c>
      <c r="AC93" s="778" t="s">
        <v>499</v>
      </c>
      <c r="AD93" s="997">
        <f ca="1">IF(AND(method_reg="Метод индексации",god&lt;&gt;first_year),SUMIFS(INDEX('Калькуляция (МИ корр)'!$AJ$25:$BC$315,,MATCH(AD$8,'Калькуляция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(МИ)'!$AJ$25:$BC$315,,MATCH(AD$8,'Калькуляция (МИ)'!$AJ$8:$BC$8,0)),'Калькуляция (МИ)'!$F$25:$F$315,$F93,'Калькуляция (МИ)'!$G$25:$G$315,$G93))))</f>
        <v>2.5756999999999999</v>
      </c>
      <c r="AE93" s="997">
        <f ca="1">IF(AND(method_reg="Метод индексации",god&lt;&gt;first_year),SUMIFS(INDEX('Калькуляция (МИ корр)'!$AJ$25:$BC$315,,MATCH(AE$8,'Калькуляция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(МИ)'!$AJ$25:$BC$315,,MATCH(AE$8,'Калькуляция (МИ)'!$AJ$8:$BC$8,0)),'Калькуляция (МИ)'!$F$25:$F$315,$F93,'Калькуляция (МИ)'!$G$25:$G$315,$G93))))</f>
        <v>2.5756999999999999</v>
      </c>
      <c r="AF93" s="998">
        <f ca="1">IF(AD93=0,0,(AE93-AD93)/AD93*100)</f>
        <v>0</v>
      </c>
      <c r="AG93" s="997">
        <f ca="1">IF(AND(method_reg="Метод индексации",god&lt;&gt;first_year),SUMIFS(INDEX('Калькуляция (МИ корр)'!$AJ$25:$BC$315,,MATCH(AG$8,'Калькуляция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(МИ)'!$AJ$25:$BC$315,,MATCH(AG$8,'Калькуляция (МИ)'!$AJ$8:$BC$8,0)),'Калькуляция (МИ)'!$F$25:$F$315,$F93,'Калькуляция (МИ)'!$G$25:$G$315,$G93))))</f>
        <v>2.5756999999999999</v>
      </c>
      <c r="AH93" s="997">
        <f ca="1">IF(AND(method_reg="Метод индексации",god&lt;&gt;first_year),SUMIFS(INDEX('Калькуляция (МИ корр)'!$AJ$25:$BC$315,,MATCH(AH$8,'Калькуляция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(МИ)'!$AJ$25:$BC$315,,MATCH(AH$8,'Калькуляция (МИ)'!$AJ$8:$BC$8,0)),'Калькуляция (МИ)'!$F$25:$F$315,$F93,'Калькуляция (МИ)'!$G$25:$G$315,$G93))))</f>
        <v>2.5756999999999999</v>
      </c>
      <c r="AI93" s="998">
        <f ca="1">IF(AG93=0,0,(AH93-AG93)/AG93*100)</f>
        <v>0</v>
      </c>
      <c r="AJ93" s="997">
        <f ca="1">IF(AND(method_reg="Метод индексации",god&lt;&gt;first_year),SUMIFS(INDEX('Калькуляция (МИ корр)'!$AJ$25:$BC$315,,MATCH(AJ$8,'Калькуляция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(МИ)'!$AJ$25:$BC$315,,MATCH(AJ$8,'Калькуляция (МИ)'!$AJ$8:$BC$8,0)),'Калькуляция (МИ)'!$F$25:$F$315,$F93,'Калькуляция (МИ)'!$G$25:$G$315,$G93))))</f>
        <v>2.5756999999999999</v>
      </c>
      <c r="AK93" s="997">
        <f ca="1">IF(AND(method_reg="Метод индексации",god&lt;&gt;first_year),SUMIFS(INDEX('Калькуляция (МИ корр)'!$AJ$25:$BC$315,,MATCH(AK$8,'Калькуляция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(МИ)'!$AJ$25:$BC$315,,MATCH(AK$8,'Калькуляция (МИ)'!$AJ$8:$BC$8,0)),'Калькуляция (МИ)'!$F$25:$F$315,$F93,'Калькуляция (МИ)'!$G$25:$G$315,$G93))))</f>
        <v>2.5756999999999999</v>
      </c>
      <c r="AL93" s="998">
        <f ca="1">IF(AJ93=0,0,(AK93-AJ93)/AJ93*100)</f>
        <v>0</v>
      </c>
      <c r="AM93" s="997">
        <f ca="1">IF(AND(method_reg="Метод индексации",god&lt;&gt;first_year),SUMIFS(INDEX('Калькуляция (МИ корр)'!$AJ$25:$BC$315,,MATCH(AM$8,'Калькуляция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(МИ)'!$AJ$25:$BC$315,,MATCH(AM$8,'Калькуляция (МИ)'!$AJ$8:$BC$8,0)),'Калькуляция (МИ)'!$F$25:$F$315,$F93,'Калькуляция (МИ)'!$G$25:$G$315,$G93))))</f>
        <v>2.5756999999999999</v>
      </c>
      <c r="AN93" s="997">
        <f ca="1">IF(AND(method_reg="Метод индексации",god&lt;&gt;first_year),SUMIFS(INDEX('Калькуляция (МИ корр)'!$AJ$25:$BC$315,,MATCH(AN$8,'Калькуляция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(МИ)'!$AJ$25:$BC$315,,MATCH(AN$8,'Калькуляция (МИ)'!$AJ$8:$BC$8,0)),'Калькуляция (МИ)'!$F$25:$F$315,$F93,'Калькуляция (МИ)'!$G$25:$G$315,$G93))))</f>
        <v>2.5756999999999999</v>
      </c>
      <c r="AO93" s="998">
        <f ca="1">IF(AM93=0,0,(AN93-AM93)/AM93*100)</f>
        <v>0</v>
      </c>
      <c r="AP93" s="997">
        <f ca="1">IF(AND(method_reg="Метод индексации",god&lt;&gt;first_year),SUMIFS(INDEX('Калькуляция (МИ корр)'!$AJ$25:$BC$315,,MATCH(AP$8,'Калькуляция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(МИ)'!$AJ$25:$BC$315,,MATCH(AP$8,'Калькуляция (МИ)'!$AJ$8:$BC$8,0)),'Калькуляция (МИ)'!$F$25:$F$315,$F93,'Калькуляция (МИ)'!$G$25:$G$315,$G93))))</f>
        <v>2.5756999999999999</v>
      </c>
      <c r="AQ93" s="997">
        <f ca="1">IF(AND(method_reg="Метод индексации",god&lt;&gt;first_year),SUMIFS(INDEX('Калькуляция (МИ корр)'!$AJ$25:$BC$315,,MATCH(AQ$8,'Калькуляция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(МИ)'!$AJ$25:$BC$315,,MATCH(AQ$8,'Калькуляция (МИ)'!$AJ$8:$BC$8,0)),'Калькуляция (МИ)'!$F$25:$F$315,$F93,'Калькуляция (МИ)'!$G$25:$G$315,$G93))))</f>
        <v>2.5756999999999999</v>
      </c>
      <c r="AR93" s="998">
        <f ca="1">IF(AP93=0,0,(AQ93-AP93)/AP93*100)</f>
        <v>0</v>
      </c>
      <c r="AS93" s="997">
        <f ca="1">IF(AND(method_reg="Метод индексации",god&lt;&gt;first_year),SUMIFS(INDEX('Калькуляция (МИ корр)'!$AJ$25:$BC$315,,MATCH(AS$8,'Калькуляция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(МИ)'!$AJ$25:$BC$315,,MATCH(AS$8,'Калькуляция (МИ)'!$AJ$8:$BC$8,0)),'Калькуляция (МИ)'!$F$25:$F$315,$F93,'Калькуляция (МИ)'!$G$25:$G$315,$G93))))</f>
        <v>2.5756999999999999</v>
      </c>
      <c r="AT93" s="997">
        <f ca="1">IF(AND(method_reg="Метод индексации",god&lt;&gt;first_year),SUMIFS(INDEX('Калькуляция (МИ корр)'!$AJ$25:$BC$315,,MATCH(AT$8,'Калькуляция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(МИ)'!$AJ$25:$BC$315,,MATCH(AT$8,'Калькуляция (МИ)'!$AJ$8:$BC$8,0)),'Калькуляция (МИ)'!$F$25:$F$315,$F93,'Калькуляция (МИ)'!$G$25:$G$315,$G93))))</f>
        <v>2.5756999999999999</v>
      </c>
      <c r="AU93" s="998">
        <f ca="1">IF(AS93=0,0,(AT93-AS93)/AS93*100)</f>
        <v>0</v>
      </c>
      <c r="AV93" s="997">
        <f ca="1">IF(AND(method_reg="Метод индексации",god&lt;&gt;first_year),SUMIFS(INDEX('Калькуляция (МИ корр)'!$AJ$25:$BC$315,,MATCH(AV$8,'Калькуляция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(МИ)'!$AJ$25:$BC$315,,MATCH(AV$8,'Калькуляция (МИ)'!$AJ$8:$BC$8,0)),'Калькуляция (МИ)'!$F$25:$F$315,$F93,'Калькуляция (МИ)'!$G$25:$G$315,$G93))))</f>
        <v>2.5756999999999999</v>
      </c>
      <c r="AW93" s="997">
        <f ca="1">IF(AND(method_reg="Метод индексации",god&lt;&gt;first_year),SUMIFS(INDEX('Калькуляция (МИ корр)'!$AJ$25:$BC$315,,MATCH(AW$8,'Калькуляция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(МИ)'!$AJ$25:$BC$315,,MATCH(AW$8,'Калькуляция (МИ)'!$AJ$8:$BC$8,0)),'Калькуляция (МИ)'!$F$25:$F$315,$F93,'Калькуляция (МИ)'!$G$25:$G$315,$G93))))</f>
        <v>2.5756999999999999</v>
      </c>
      <c r="AX93" s="998">
        <f ca="1">IF(AV93=0,0,(AW93-AV93)/AV93*100)</f>
        <v>0</v>
      </c>
      <c r="AY93" s="997">
        <f ca="1">IF(AND(method_reg="Метод индексации",god&lt;&gt;first_year),SUMIFS(INDEX('Калькуляция (МИ корр)'!$AJ$25:$BC$315,,MATCH(AY$8,'Калькуляция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(МИ)'!$AJ$25:$BC$315,,MATCH(AY$8,'Калькуляция (МИ)'!$AJ$8:$BC$8,0)),'Калькуляция (МИ)'!$F$25:$F$315,$F93,'Калькуляция (МИ)'!$G$25:$G$315,$G93))))</f>
        <v>2.5756999999999999</v>
      </c>
      <c r="AZ93" s="997">
        <f ca="1">IF(AND(method_reg="Метод индексации",god&lt;&gt;first_year),SUMIFS(INDEX('Калькуляция (МИ корр)'!$AJ$25:$BC$315,,MATCH(AZ$8,'Калькуляция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(МИ)'!$AJ$25:$BC$315,,MATCH(AZ$8,'Калькуляция (МИ)'!$AJ$8:$BC$8,0)),'Калькуляция (МИ)'!$F$25:$F$315,$F93,'Калькуляция (МИ)'!$G$25:$G$315,$G93))))</f>
        <v>2.5756999999999999</v>
      </c>
      <c r="BA93" s="998">
        <f ca="1">IF(AY93=0,0,(AZ93-AY93)/AY93*100)</f>
        <v>0</v>
      </c>
      <c r="BB93" s="997">
        <f ca="1">IF(AND(method_reg="Метод индексации",god&lt;&gt;first_year),SUMIFS(INDEX('Калькуляция (МИ корр)'!$AJ$25:$BC$315,,MATCH(BB$8,'Калькуляция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(МИ)'!$AJ$25:$BC$315,,MATCH(BB$8,'Калькуляция (МИ)'!$AJ$8:$BC$8,0)),'Калькуляция (МИ)'!$F$25:$F$315,$F93,'Калькуляция (МИ)'!$G$25:$G$315,$G93))))</f>
        <v>2.5756999999999999</v>
      </c>
      <c r="BC93" s="997">
        <f ca="1">IF(AND(method_reg="Метод индексации",god&lt;&gt;first_year),SUMIFS(INDEX('Калькуляция (МИ корр)'!$AJ$25:$BC$315,,MATCH(BC$8,'Калькуляция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(МИ)'!$AJ$25:$BC$315,,MATCH(BC$8,'Калькуляция (МИ)'!$AJ$8:$BC$8,0)),'Калькуляция (МИ)'!$F$25:$F$315,$F93,'Калькуляция (МИ)'!$G$25:$G$315,$G93))))</f>
        <v>2.5756999999999999</v>
      </c>
      <c r="BD93" s="998">
        <f ca="1">IF(BB93=0,0,(BC93-BB93)/BB93*100)</f>
        <v>0</v>
      </c>
      <c r="BE93" s="997">
        <f ca="1">IF(AND(method_reg="Метод индексации",god&lt;&gt;first_year),SUMIFS(INDEX('Калькуляция (МИ корр)'!$AJ$25:$BC$315,,MATCH(BE$8,'Калькуляция (МИ корр)'!$AJ$8:$BC$8,0)),'Калькуляция (МИ корр)'!$F$25:$F$315,$F93,'Калькуляция (МИ корр)'!$G$25:$G$315,$G93),IF(method_reg="Метод экономически обоснованных расходов",SUMIFS('Калькуляция (МЭОР)'!$AJ$25:$AJ$199,'Калькуляция (МЭОР)'!$F$25:$F$199,$F93,'Калькуляция (МЭОР)'!$G$25:$G$199,$G93),IF(method_reg="Метод сравнения аналогов",SUMIFS('Калькуляция (МСА)'!$AE$25:$AE$65,'Калькуляция (МСА)'!$F$25:$F$65,$F93,'Калькуляция (МСА)'!$G$25:$G$65,$G93),SUMIFS(INDEX('Калькуляция (МИ)'!$AJ$25:$BC$315,,MATCH(BE$8,'Калькуляция (МИ)'!$AJ$8:$BC$8,0)),'Калькуляция (МИ)'!$F$25:$F$315,$F93,'Калькуляция (МИ)'!$G$25:$G$315,$G93))))</f>
        <v>2.5756999999999999</v>
      </c>
      <c r="BF93" s="997">
        <f ca="1">IF(AND(method_reg="Метод индексации",god&lt;&gt;first_year),SUMIFS(INDEX('Калькуляция (МИ корр)'!$AJ$25:$BC$315,,MATCH(BF$8,'Калькуляция (МИ корр)'!$AJ$8:$BC$8,0)),'Калькуляция (МИ корр)'!$F$25:$F$315,$F93,'Калькуляция (МИ корр)'!$G$25:$G$315,$G93),IF(method_reg="Метод экономически обоснованных расходов",SUMIFS('Калькуляция (МЭОР)'!$AK$25:$AK$199,'Калькуляция (МЭОР)'!$F$25:$F$199,$F93,'Калькуляция (МЭОР)'!$G$25:$G$199,$G93),IF(method_reg="Метод сравнения аналогов",SUMIFS('Калькуляция (МСА)'!$AF$25:$AF$65,'Калькуляция (МСА)'!$F$25:$F$65,$F93,'Калькуляция (МСА)'!$G$25:$G$65,$G93),SUMIFS(INDEX('Калькуляция (МИ)'!$AJ$25:$BC$315,,MATCH(BF$8,'Калькуляция (МИ)'!$AJ$8:$BC$8,0)),'Калькуляция (МИ)'!$F$25:$F$315,$F93,'Калькуляция (МИ)'!$G$25:$G$315,$G93))))</f>
        <v>2.5756999999999999</v>
      </c>
      <c r="BG93" s="998">
        <f ca="1">IF(BE93=0,0,(BF93-BE93)/BE93*100)</f>
        <v>0</v>
      </c>
      <c r="BH93" s="997"/>
      <c r="BI93" s="997"/>
      <c r="BJ93" s="998">
        <f>IF(BH93=0,0,(BI93-BH93)/BH93*100)</f>
        <v>0</v>
      </c>
      <c r="BK93" s="997"/>
      <c r="BL93" s="997"/>
      <c r="BM93" s="998">
        <f>IF(BK93=0,0,(BL93-BK93)/BK93*100)</f>
        <v>0</v>
      </c>
      <c r="BN93" s="997"/>
      <c r="BO93" s="997"/>
      <c r="BP93" s="998">
        <f>IF(BN93=0,0,(BO93-BN93)/BN93*100)</f>
        <v>0</v>
      </c>
      <c r="BQ93" s="997"/>
      <c r="BR93" s="997"/>
      <c r="BS93" s="998">
        <f>IF(BQ93=0,0,(BR93-BQ93)/BQ93*100)</f>
        <v>0</v>
      </c>
      <c r="BT93" s="997"/>
      <c r="BU93" s="997"/>
      <c r="BV93" s="998">
        <f>IF(BT93=0,0,(BU93-BT93)/BT93*100)</f>
        <v>0</v>
      </c>
      <c r="BW93" s="997"/>
      <c r="BX93" s="997"/>
      <c r="BY93" s="998">
        <f>IF(BW93=0,0,(BX93-BW93)/BW93*100)</f>
        <v>0</v>
      </c>
      <c r="BZ93" s="997"/>
      <c r="CA93" s="997"/>
      <c r="CB93" s="998">
        <f>IF(BZ93=0,0,(CA93-BZ93)/BZ93*100)</f>
        <v>0</v>
      </c>
      <c r="CC93" s="997"/>
      <c r="CD93" s="997"/>
      <c r="CE93" s="998">
        <f>IF(CC93=0,0,(CD93-CC93)/CC93*100)</f>
        <v>0</v>
      </c>
      <c r="CF93" s="997"/>
      <c r="CG93" s="997"/>
      <c r="CH93" s="998">
        <f>IF(CF93=0,0,(CG93-CF93)/CF93*100)</f>
        <v>0</v>
      </c>
      <c r="CI93" s="997"/>
      <c r="CJ93" s="997"/>
      <c r="CK93" s="998">
        <f>IF(CI93=0,0,(CJ93-CI93)/CI93*100)</f>
        <v>0</v>
      </c>
      <c r="CL93" s="997"/>
      <c r="CM93" s="997"/>
      <c r="CN93" s="998">
        <f>IF(CL93=0,0,(CM93-CL93)/CL93*100)</f>
        <v>0</v>
      </c>
      <c r="CO93" s="997"/>
      <c r="CP93" s="997"/>
      <c r="CQ93" s="998">
        <f>IF(CO93=0,0,(CP93-CO93)/CO93*100)</f>
        <v>0</v>
      </c>
      <c r="CR93" s="997"/>
      <c r="CS93" s="997"/>
      <c r="CT93" s="998">
        <f>IF(CR93=0,0,(CS93-CR93)/CR93*100)</f>
        <v>0</v>
      </c>
      <c r="CU93" s="997"/>
      <c r="CV93" s="997"/>
      <c r="CW93" s="998">
        <f>IF(CU93=0,0,(CV93-CU93)/CU93*100)</f>
        <v>0</v>
      </c>
      <c r="CX93" s="997"/>
      <c r="CY93" s="997"/>
      <c r="CZ93" s="998">
        <f>IF(CX93=0,0,(CY93-CX93)/CX93*100)</f>
        <v>0</v>
      </c>
      <c r="DA93" s="997"/>
      <c r="DB93" s="997"/>
      <c r="DC93" s="998">
        <f>IF(DA93=0,0,(DB93-DA93)/DA93*100)</f>
        <v>0</v>
      </c>
      <c r="DD93" s="997"/>
      <c r="DE93" s="997"/>
      <c r="DF93" s="998">
        <f>IF(DD93=0,0,(DE93-DD93)/DD93*100)</f>
        <v>0</v>
      </c>
      <c r="DG93" s="997"/>
      <c r="DH93" s="997"/>
      <c r="DI93" s="998">
        <f>IF(DG93=0,0,(DH93-DG93)/DG93*100)</f>
        <v>0</v>
      </c>
      <c r="DJ93" s="997"/>
      <c r="DK93" s="997"/>
      <c r="DL93" s="998">
        <f>IF(DJ93=0,0,(DK93-DJ93)/DJ93*100)</f>
        <v>0</v>
      </c>
      <c r="DM93" s="997"/>
      <c r="DN93" s="997"/>
      <c r="DO93" s="998">
        <f>IF(DM93=0,0,(DN93-DM93)/DM93*100)</f>
        <v>0</v>
      </c>
      <c r="DP93" s="997"/>
      <c r="DQ93" s="997"/>
      <c r="DR93" s="998">
        <f>IF(DP93=0,0,(DQ93-DP93)/DP93*100)</f>
        <v>0</v>
      </c>
      <c r="DS93" s="997"/>
      <c r="DT93" s="997"/>
      <c r="DU93" s="998">
        <f>IF(DS93=0,0,(DT93-DS93)/DS93*100)</f>
        <v>0</v>
      </c>
      <c r="DV93" s="997"/>
      <c r="DW93" s="997"/>
      <c r="DX93" s="998">
        <f>IF(DV93=0,0,(DW93-DV93)/DV93*100)</f>
        <v>0</v>
      </c>
      <c r="DY93" s="997"/>
      <c r="DZ93" s="997"/>
      <c r="EA93" s="998">
        <f>IF(DY93=0,0,(DZ93-DY93)/DY93*100)</f>
        <v>0</v>
      </c>
      <c r="EB93" s="997"/>
      <c r="EC93" s="997"/>
      <c r="ED93" s="998">
        <f>IF(EB93=0,0,(EC93-EB93)/EB93*100)</f>
        <v>0</v>
      </c>
      <c r="EE93" s="997"/>
      <c r="EF93" s="997"/>
      <c r="EG93" s="998">
        <f>IF(EE93=0,0,(EF93-EE93)/EE93*100)</f>
        <v>0</v>
      </c>
      <c r="EH93" s="997"/>
      <c r="EI93" s="997"/>
      <c r="EJ93" s="998">
        <f>IF(EH93=0,0,(EI93-EH93)/EH93*100)</f>
        <v>0</v>
      </c>
      <c r="EK93" s="997"/>
      <c r="EL93" s="997"/>
      <c r="EM93" s="998">
        <f>IF(EK93=0,0,(EL93-EK93)/EK93*100)</f>
        <v>0</v>
      </c>
      <c r="EN93" s="997"/>
      <c r="EO93" s="997"/>
      <c r="EP93" s="998">
        <f>IF(EN93=0,0,(EO93-EN93)/EN93*100)</f>
        <v>0</v>
      </c>
      <c r="EQ93" s="997"/>
      <c r="ER93" s="997"/>
      <c r="ES93" s="998">
        <f>IF(EQ93=0,0,(ER93-EQ93)/EQ93*100)</f>
        <v>0</v>
      </c>
      <c r="ET93" s="997"/>
      <c r="EU93" s="997"/>
      <c r="EV93" s="998">
        <f>IF(ET93=0,0,(EU93-ET93)/ET93*100)</f>
        <v>0</v>
      </c>
      <c r="EW93" s="997"/>
      <c r="EX93" s="997"/>
      <c r="EY93" s="998">
        <f>IF(EW93=0,0,(EX93-EW93)/EW93*100)</f>
        <v>0</v>
      </c>
      <c r="EZ93" s="997"/>
      <c r="FA93" s="997"/>
      <c r="FB93" s="998">
        <f>IF(EZ93=0,0,(FA93-EZ93)/EZ93*100)</f>
        <v>0</v>
      </c>
      <c r="FC93" s="997"/>
      <c r="FD93" s="997"/>
      <c r="FE93" s="998">
        <f>IF(FC93=0,0,(FD93-FC93)/FC93*100)</f>
        <v>0</v>
      </c>
      <c r="FF93" s="997"/>
      <c r="FG93" s="997"/>
      <c r="FH93" s="998">
        <f>IF(FF93=0,0,(FG93-FF93)/FF93*100)</f>
        <v>0</v>
      </c>
      <c r="FI93" s="997"/>
      <c r="FJ93" s="997"/>
      <c r="FK93" s="998">
        <f>IF(FI93=0,0,(FJ93-FI93)/FI93*100)</f>
        <v>0</v>
      </c>
      <c r="FL93" s="997"/>
      <c r="FM93" s="997"/>
      <c r="FN93" s="998">
        <f>IF(FL93=0,0,(FM93-FL93)/FL93*100)</f>
        <v>0</v>
      </c>
      <c r="FO93" s="997"/>
      <c r="FP93" s="997"/>
      <c r="FQ93" s="998">
        <f>IF(FO93=0,0,(FP93-FO93)/FO93*100)</f>
        <v>0</v>
      </c>
      <c r="FR93" s="997"/>
      <c r="FS93" s="997"/>
      <c r="FT93" s="998">
        <f>IF(FR93=0,0,(FS93-FR93)/FR93*100)</f>
        <v>0</v>
      </c>
      <c r="FU93" s="997"/>
      <c r="FV93" s="997"/>
      <c r="FW93" s="998">
        <f>IF(FU93=0,0,(FV93-FU93)/FU93*100)</f>
        <v>0</v>
      </c>
      <c r="FX93" s="208"/>
      <c r="FY93" s="1207"/>
      <c r="FZ93" s="957" t="s">
        <v>1465</v>
      </c>
      <c r="GA93" s="1209"/>
      <c r="GB93" s="1209"/>
      <c r="GC93" s="1208"/>
      <c r="GD93" s="1208"/>
    </row>
    <row r="94" spans="1:186" s="1434" customFormat="1" ht="23.25" customHeight="1">
      <c r="A94" s="806"/>
      <c r="B94" s="830" t="b" cm="1">
        <f t="array" ref="B94">B93</f>
        <v>1</v>
      </c>
      <c r="C94" s="806"/>
      <c r="D94" s="806"/>
      <c r="E94" s="807">
        <v>24.5</v>
      </c>
      <c r="F94" s="3" t="str" cm="1">
        <f t="array" aca="1" ref="F94" ca="1">OFFSET(E94,-1,1)</f>
        <v>1</v>
      </c>
      <c r="G94" s="26" t="s">
        <v>1466</v>
      </c>
      <c r="H94" s="409" t="s">
        <v>427</v>
      </c>
      <c r="I94" s="409" t="s">
        <v>1467</v>
      </c>
      <c r="J94" s="806"/>
      <c r="K94" s="806"/>
      <c r="L94" s="409"/>
      <c r="M94" s="806"/>
      <c r="N94" s="806"/>
      <c r="O94" s="806"/>
      <c r="P94" s="806"/>
      <c r="Q94" s="806"/>
      <c r="R94" s="409"/>
      <c r="S94" s="409"/>
      <c r="T94" s="381" t="b" cm="1">
        <f t="array" ref="T94">T93</f>
        <v>1</v>
      </c>
      <c r="U94" s="806"/>
      <c r="V94" s="806"/>
      <c r="W94" s="806"/>
      <c r="X94" s="1787"/>
      <c r="Y94" s="806"/>
      <c r="Z94" s="1734"/>
      <c r="AA94" s="806"/>
      <c r="AB94" s="209" t="s">
        <v>1468</v>
      </c>
      <c r="AC94" s="210" t="s">
        <v>1454</v>
      </c>
      <c r="AD94" s="808">
        <f ca="1">IF(AND(method_reg="Метод индексации",god&lt;&gt;first_year),SUMIFS(INDEX('Калькуляция (МИ корр)'!$AJ$25:$BC$315,,MATCH(AD$8,'Калькуляция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(МИ)'!$AJ$25:$BC$315,,MATCH(AD$8,'Калькуляция (МИ)'!$AJ$8:$BC$8,0)),'Калькуляция (МИ)'!$F$25:$F$315,$F94,'Калькуляция (МИ)'!$G$25:$G$315,$G94))))</f>
        <v>715.21280000000002</v>
      </c>
      <c r="AE94" s="808">
        <f ca="1">IF(AND(method_reg="Метод индексации",god&lt;&gt;first_year),SUMIFS(INDEX('Калькуляция (МИ корр)'!$AJ$25:$BC$315,,MATCH(AE$8,'Калькуляция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(МИ)'!$AJ$25:$BC$315,,MATCH(AE$8,'Калькуляция (МИ)'!$AJ$8:$BC$8,0)),'Калькуляция (МИ)'!$F$25:$F$315,$F94,'Калькуляция (МИ)'!$G$25:$G$315,$G94))))</f>
        <v>694.71680000000003</v>
      </c>
      <c r="AF94" s="212">
        <f ca="1">IF(AD94=0,0,(AE94-AD94)/AD94*100)</f>
        <v>-2.8657205240174646</v>
      </c>
      <c r="AG94" s="808">
        <f ca="1">IF(AND(method_reg="Метод индексации",god&lt;&gt;first_year),SUMIFS(INDEX('Калькуляция (МИ корр)'!$AJ$25:$BC$315,,MATCH(AG$8,'Калькуляция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(МИ)'!$AJ$25:$BC$315,,MATCH(AG$8,'Калькуляция (МИ)'!$AJ$8:$BC$8,0)),'Калькуляция (МИ)'!$F$25:$F$315,$F94,'Калькуляция (МИ)'!$G$25:$G$315,$G94))))</f>
        <v>715.21280000000002</v>
      </c>
      <c r="AH94" s="808">
        <f ca="1">IF(AND(method_reg="Метод индексации",god&lt;&gt;first_year),SUMIFS(INDEX('Калькуляция (МИ корр)'!$AJ$25:$BC$315,,MATCH(AH$8,'Калькуляция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(МИ)'!$AJ$25:$BC$315,,MATCH(AH$8,'Калькуляция (МИ)'!$AJ$8:$BC$8,0)),'Калькуляция (МИ)'!$F$25:$F$315,$F94,'Калькуляция (МИ)'!$G$25:$G$315,$G94))))</f>
        <v>694.71680000000003</v>
      </c>
      <c r="AI94" s="212">
        <f ca="1">IF(AG94=0,0,(AH94-AG94)/AG94*100)</f>
        <v>-2.8657205240174646</v>
      </c>
      <c r="AJ94" s="808">
        <f ca="1">IF(AND(method_reg="Метод индексации",god&lt;&gt;first_year),SUMIFS(INDEX('Калькуляция (МИ корр)'!$AJ$25:$BC$315,,MATCH(AJ$8,'Калькуляция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(МИ)'!$AJ$25:$BC$315,,MATCH(AJ$8,'Калькуляция (МИ)'!$AJ$8:$BC$8,0)),'Калькуляция (МИ)'!$F$25:$F$315,$F94,'Калькуляция (МИ)'!$G$25:$G$315,$G94))))</f>
        <v>715.21280000000002</v>
      </c>
      <c r="AK94" s="808">
        <f ca="1">IF(AND(method_reg="Метод индексации",god&lt;&gt;first_year),SUMIFS(INDEX('Калькуляция (МИ корр)'!$AJ$25:$BC$315,,MATCH(AK$8,'Калькуляция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(МИ)'!$AJ$25:$BC$315,,MATCH(AK$8,'Калькуляция (МИ)'!$AJ$8:$BC$8,0)),'Калькуляция (МИ)'!$F$25:$F$315,$F94,'Калькуляция (МИ)'!$G$25:$G$315,$G94))))</f>
        <v>694.71680000000003</v>
      </c>
      <c r="AL94" s="212">
        <f ca="1">IF(AJ94=0,0,(AK94-AJ94)/AJ94*100)</f>
        <v>-2.8657205240174646</v>
      </c>
      <c r="AM94" s="808">
        <f ca="1">IF(AND(method_reg="Метод индексации",god&lt;&gt;first_year),SUMIFS(INDEX('Калькуляция (МИ корр)'!$AJ$25:$BC$315,,MATCH(AM$8,'Калькуляция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(МИ)'!$AJ$25:$BC$315,,MATCH(AM$8,'Калькуляция (МИ)'!$AJ$8:$BC$8,0)),'Калькуляция (МИ)'!$F$25:$F$315,$F94,'Калькуляция (МИ)'!$G$25:$G$315,$G94))))</f>
        <v>715.21280000000002</v>
      </c>
      <c r="AN94" s="808">
        <f ca="1">IF(AND(method_reg="Метод индексации",god&lt;&gt;first_year),SUMIFS(INDEX('Калькуляция (МИ корр)'!$AJ$25:$BC$315,,MATCH(AN$8,'Калькуляция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(МИ)'!$AJ$25:$BC$315,,MATCH(AN$8,'Калькуляция (МИ)'!$AJ$8:$BC$8,0)),'Калькуляция (МИ)'!$F$25:$F$315,$F94,'Калькуляция (МИ)'!$G$25:$G$315,$G94))))</f>
        <v>694.71680000000003</v>
      </c>
      <c r="AO94" s="212">
        <f ca="1">IF(AM94=0,0,(AN94-AM94)/AM94*100)</f>
        <v>-2.8657205240174646</v>
      </c>
      <c r="AP94" s="808">
        <f ca="1">IF(AND(method_reg="Метод индексации",god&lt;&gt;first_year),SUMIFS(INDEX('Калькуляция (МИ корр)'!$AJ$25:$BC$315,,MATCH(AP$8,'Калькуляция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(МИ)'!$AJ$25:$BC$315,,MATCH(AP$8,'Калькуляция (МИ)'!$AJ$8:$BC$8,0)),'Калькуляция (МИ)'!$F$25:$F$315,$F94,'Калькуляция (МИ)'!$G$25:$G$315,$G94))))</f>
        <v>715.21280000000002</v>
      </c>
      <c r="AQ94" s="808">
        <f ca="1">IF(AND(method_reg="Метод индексации",god&lt;&gt;first_year),SUMIFS(INDEX('Калькуляция (МИ корр)'!$AJ$25:$BC$315,,MATCH(AQ$8,'Калькуляция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(МИ)'!$AJ$25:$BC$315,,MATCH(AQ$8,'Калькуляция (МИ)'!$AJ$8:$BC$8,0)),'Калькуляция (МИ)'!$F$25:$F$315,$F94,'Калькуляция (МИ)'!$G$25:$G$315,$G94))))</f>
        <v>694.71680000000003</v>
      </c>
      <c r="AR94" s="212">
        <f ca="1">IF(AP94=0,0,(AQ94-AP94)/AP94*100)</f>
        <v>-2.8657205240174646</v>
      </c>
      <c r="AS94" s="808">
        <f ca="1">IF(AND(method_reg="Метод индексации",god&lt;&gt;first_year),SUMIFS(INDEX('Калькуляция (МИ корр)'!$AJ$25:$BC$315,,MATCH(AS$8,'Калькуляция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(МИ)'!$AJ$25:$BC$315,,MATCH(AS$8,'Калькуляция (МИ)'!$AJ$8:$BC$8,0)),'Калькуляция (МИ)'!$F$25:$F$315,$F94,'Калькуляция (МИ)'!$G$25:$G$315,$G94))))</f>
        <v>715.21280000000002</v>
      </c>
      <c r="AT94" s="808">
        <f ca="1">IF(AND(method_reg="Метод индексации",god&lt;&gt;first_year),SUMIFS(INDEX('Калькуляция (МИ корр)'!$AJ$25:$BC$315,,MATCH(AT$8,'Калькуляция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(МИ)'!$AJ$25:$BC$315,,MATCH(AT$8,'Калькуляция (МИ)'!$AJ$8:$BC$8,0)),'Калькуляция (МИ)'!$F$25:$F$315,$F94,'Калькуляция (МИ)'!$G$25:$G$315,$G94))))</f>
        <v>694.71680000000003</v>
      </c>
      <c r="AU94" s="212">
        <f ca="1">IF(AS94=0,0,(AT94-AS94)/AS94*100)</f>
        <v>-2.8657205240174646</v>
      </c>
      <c r="AV94" s="808">
        <f ca="1">IF(AND(method_reg="Метод индексации",god&lt;&gt;first_year),SUMIFS(INDEX('Калькуляция (МИ корр)'!$AJ$25:$BC$315,,MATCH(AV$8,'Калькуляция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(МИ)'!$AJ$25:$BC$315,,MATCH(AV$8,'Калькуляция (МИ)'!$AJ$8:$BC$8,0)),'Калькуляция (МИ)'!$F$25:$F$315,$F94,'Калькуляция (МИ)'!$G$25:$G$315,$G94))))</f>
        <v>715.21280000000002</v>
      </c>
      <c r="AW94" s="808">
        <f ca="1">IF(AND(method_reg="Метод индексации",god&lt;&gt;first_year),SUMIFS(INDEX('Калькуляция (МИ корр)'!$AJ$25:$BC$315,,MATCH(AW$8,'Калькуляция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(МИ)'!$AJ$25:$BC$315,,MATCH(AW$8,'Калькуляция (МИ)'!$AJ$8:$BC$8,0)),'Калькуляция (МИ)'!$F$25:$F$315,$F94,'Калькуляция (МИ)'!$G$25:$G$315,$G94))))</f>
        <v>694.71680000000003</v>
      </c>
      <c r="AX94" s="212">
        <f ca="1">IF(AV94=0,0,(AW94-AV94)/AV94*100)</f>
        <v>-2.8657205240174646</v>
      </c>
      <c r="AY94" s="808">
        <f ca="1">IF(AND(method_reg="Метод индексации",god&lt;&gt;first_year),SUMIFS(INDEX('Калькуляция (МИ корр)'!$AJ$25:$BC$315,,MATCH(AY$8,'Калькуляция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(МИ)'!$AJ$25:$BC$315,,MATCH(AY$8,'Калькуляция (МИ)'!$AJ$8:$BC$8,0)),'Калькуляция (МИ)'!$F$25:$F$315,$F94,'Калькуляция (МИ)'!$G$25:$G$315,$G94))))</f>
        <v>715.21280000000002</v>
      </c>
      <c r="AZ94" s="808">
        <f ca="1">IF(AND(method_reg="Метод индексации",god&lt;&gt;first_year),SUMIFS(INDEX('Калькуляция (МИ корр)'!$AJ$25:$BC$315,,MATCH(AZ$8,'Калькуляция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(МИ)'!$AJ$25:$BC$315,,MATCH(AZ$8,'Калькуляция (МИ)'!$AJ$8:$BC$8,0)),'Калькуляция (МИ)'!$F$25:$F$315,$F94,'Калькуляция (МИ)'!$G$25:$G$315,$G94))))</f>
        <v>694.71680000000003</v>
      </c>
      <c r="BA94" s="212">
        <f ca="1">IF(AY94=0,0,(AZ94-AY94)/AY94*100)</f>
        <v>-2.8657205240174646</v>
      </c>
      <c r="BB94" s="808">
        <f ca="1">IF(AND(method_reg="Метод индексации",god&lt;&gt;first_year),SUMIFS(INDEX('Калькуляция (МИ корр)'!$AJ$25:$BC$315,,MATCH(BB$8,'Калькуляция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(МИ)'!$AJ$25:$BC$315,,MATCH(BB$8,'Калькуляция (МИ)'!$AJ$8:$BC$8,0)),'Калькуляция (МИ)'!$F$25:$F$315,$F94,'Калькуляция (МИ)'!$G$25:$G$315,$G94))))</f>
        <v>715.21280000000002</v>
      </c>
      <c r="BC94" s="808">
        <f ca="1">IF(AND(method_reg="Метод индексации",god&lt;&gt;first_year),SUMIFS(INDEX('Калькуляция (МИ корр)'!$AJ$25:$BC$315,,MATCH(BC$8,'Калькуляция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(МИ)'!$AJ$25:$BC$315,,MATCH(BC$8,'Калькуляция (МИ)'!$AJ$8:$BC$8,0)),'Калькуляция (МИ)'!$F$25:$F$315,$F94,'Калькуляция (МИ)'!$G$25:$G$315,$G94))))</f>
        <v>694.71680000000003</v>
      </c>
      <c r="BD94" s="212">
        <f ca="1">IF(BB94=0,0,(BC94-BB94)/BB94*100)</f>
        <v>-2.8657205240174646</v>
      </c>
      <c r="BE94" s="808">
        <f ca="1">IF(AND(method_reg="Метод индексации",god&lt;&gt;first_year),SUMIFS(INDEX('Калькуляция (МИ корр)'!$AJ$25:$BC$315,,MATCH(BE$8,'Калькуляция (МИ корр)'!$AJ$8:$BC$8,0)),'Калькуляция (МИ корр)'!$F$25:$F$315,$F94,'Калькуляция (МИ корр)'!$G$25:$G$315,$G94),IF(method_reg="Метод экономически обоснованных расходов",SUMIFS('Калькуляция (МЭОР)'!$AJ$25:$AJ$199,'Калькуляция (МЭОР)'!$F$25:$F$199,$F94,'Калькуляция (МЭОР)'!$G$25:$G$199,$G94),IF(method_reg="Метод сравнения аналогов",SUMIFS('Калькуляция (МСА)'!$AE$25:$AE$65,'Калькуляция (МСА)'!$F$25:$F$65,$F94,'Калькуляция (МСА)'!$G$25:$G$65,$G94),SUMIFS(INDEX('Калькуляция (МИ)'!$AJ$25:$BC$315,,MATCH(BE$8,'Калькуляция (МИ)'!$AJ$8:$BC$8,0)),'Калькуляция (МИ)'!$F$25:$F$315,$F94,'Калькуляция (МИ)'!$G$25:$G$315,$G94))))</f>
        <v>715.21280000000002</v>
      </c>
      <c r="BF94" s="808">
        <f ca="1">IF(AND(method_reg="Метод индексации",god&lt;&gt;first_year),SUMIFS(INDEX('Калькуляция (МИ корр)'!$AJ$25:$BC$315,,MATCH(BF$8,'Калькуляция (МИ корр)'!$AJ$8:$BC$8,0)),'Калькуляция (МИ корр)'!$F$25:$F$315,$F94,'Калькуляция (МИ корр)'!$G$25:$G$315,$G94),IF(method_reg="Метод экономически обоснованных расходов",SUMIFS('Калькуляция (МЭОР)'!$AK$25:$AK$199,'Калькуляция (МЭОР)'!$F$25:$F$199,$F94,'Калькуляция (МЭОР)'!$G$25:$G$199,$G94),IF(method_reg="Метод сравнения аналогов",SUMIFS('Калькуляция (МСА)'!$AF$25:$AF$65,'Калькуляция (МСА)'!$F$25:$F$65,$F94,'Калькуляция (МСА)'!$G$25:$G$65,$G94),SUMIFS(INDEX('Калькуляция (МИ)'!$AJ$25:$BC$315,,MATCH(BF$8,'Калькуляция (МИ)'!$AJ$8:$BC$8,0)),'Калькуляция (МИ)'!$F$25:$F$315,$F94,'Калькуляция (МИ)'!$G$25:$G$315,$G94))))</f>
        <v>694.71680000000003</v>
      </c>
      <c r="BG94" s="212">
        <f ca="1">IF(BE94=0,0,(BF94-BE94)/BE94*100)</f>
        <v>-2.8657205240174646</v>
      </c>
      <c r="BH94" s="808"/>
      <c r="BI94" s="808"/>
      <c r="BJ94" s="212">
        <f>IF(BH94=0,0,(BI94-BH94)/BH94*100)</f>
        <v>0</v>
      </c>
      <c r="BK94" s="808"/>
      <c r="BL94" s="808"/>
      <c r="BM94" s="212">
        <f>IF(BK94=0,0,(BL94-BK94)/BK94*100)</f>
        <v>0</v>
      </c>
      <c r="BN94" s="808"/>
      <c r="BO94" s="808"/>
      <c r="BP94" s="212">
        <f>IF(BN94=0,0,(BO94-BN94)/BN94*100)</f>
        <v>0</v>
      </c>
      <c r="BQ94" s="808"/>
      <c r="BR94" s="808"/>
      <c r="BS94" s="212">
        <f>IF(BQ94=0,0,(BR94-BQ94)/BQ94*100)</f>
        <v>0</v>
      </c>
      <c r="BT94" s="808"/>
      <c r="BU94" s="808"/>
      <c r="BV94" s="212">
        <f>IF(BT94=0,0,(BU94-BT94)/BT94*100)</f>
        <v>0</v>
      </c>
      <c r="BW94" s="808"/>
      <c r="BX94" s="808"/>
      <c r="BY94" s="212">
        <f>IF(BW94=0,0,(BX94-BW94)/BW94*100)</f>
        <v>0</v>
      </c>
      <c r="BZ94" s="808"/>
      <c r="CA94" s="808"/>
      <c r="CB94" s="212">
        <f>IF(BZ94=0,0,(CA94-BZ94)/BZ94*100)</f>
        <v>0</v>
      </c>
      <c r="CC94" s="808"/>
      <c r="CD94" s="808"/>
      <c r="CE94" s="212">
        <f>IF(CC94=0,0,(CD94-CC94)/CC94*100)</f>
        <v>0</v>
      </c>
      <c r="CF94" s="808"/>
      <c r="CG94" s="808"/>
      <c r="CH94" s="212">
        <f>IF(CF94=0,0,(CG94-CF94)/CF94*100)</f>
        <v>0</v>
      </c>
      <c r="CI94" s="808"/>
      <c r="CJ94" s="808"/>
      <c r="CK94" s="212">
        <f>IF(CI94=0,0,(CJ94-CI94)/CI94*100)</f>
        <v>0</v>
      </c>
      <c r="CL94" s="808"/>
      <c r="CM94" s="808"/>
      <c r="CN94" s="212">
        <f>IF(CL94=0,0,(CM94-CL94)/CL94*100)</f>
        <v>0</v>
      </c>
      <c r="CO94" s="808"/>
      <c r="CP94" s="808"/>
      <c r="CQ94" s="212">
        <f>IF(CO94=0,0,(CP94-CO94)/CO94*100)</f>
        <v>0</v>
      </c>
      <c r="CR94" s="808"/>
      <c r="CS94" s="808"/>
      <c r="CT94" s="212">
        <f>IF(CR94=0,0,(CS94-CR94)/CR94*100)</f>
        <v>0</v>
      </c>
      <c r="CU94" s="808"/>
      <c r="CV94" s="808"/>
      <c r="CW94" s="212">
        <f>IF(CU94=0,0,(CV94-CU94)/CU94*100)</f>
        <v>0</v>
      </c>
      <c r="CX94" s="808"/>
      <c r="CY94" s="808"/>
      <c r="CZ94" s="212">
        <f>IF(CX94=0,0,(CY94-CX94)/CX94*100)</f>
        <v>0</v>
      </c>
      <c r="DA94" s="808"/>
      <c r="DB94" s="808"/>
      <c r="DC94" s="212">
        <f>IF(DA94=0,0,(DB94-DA94)/DA94*100)</f>
        <v>0</v>
      </c>
      <c r="DD94" s="808"/>
      <c r="DE94" s="808"/>
      <c r="DF94" s="212">
        <f>IF(DD94=0,0,(DE94-DD94)/DD94*100)</f>
        <v>0</v>
      </c>
      <c r="DG94" s="808"/>
      <c r="DH94" s="808"/>
      <c r="DI94" s="212">
        <f>IF(DG94=0,0,(DH94-DG94)/DG94*100)</f>
        <v>0</v>
      </c>
      <c r="DJ94" s="808"/>
      <c r="DK94" s="808"/>
      <c r="DL94" s="212">
        <f>IF(DJ94=0,0,(DK94-DJ94)/DJ94*100)</f>
        <v>0</v>
      </c>
      <c r="DM94" s="808"/>
      <c r="DN94" s="808"/>
      <c r="DO94" s="212">
        <f>IF(DM94=0,0,(DN94-DM94)/DM94*100)</f>
        <v>0</v>
      </c>
      <c r="DP94" s="808"/>
      <c r="DQ94" s="808"/>
      <c r="DR94" s="212">
        <f>IF(DP94=0,0,(DQ94-DP94)/DP94*100)</f>
        <v>0</v>
      </c>
      <c r="DS94" s="808"/>
      <c r="DT94" s="808"/>
      <c r="DU94" s="212">
        <f>IF(DS94=0,0,(DT94-DS94)/DS94*100)</f>
        <v>0</v>
      </c>
      <c r="DV94" s="808"/>
      <c r="DW94" s="808"/>
      <c r="DX94" s="212">
        <f>IF(DV94=0,0,(DW94-DV94)/DV94*100)</f>
        <v>0</v>
      </c>
      <c r="DY94" s="808"/>
      <c r="DZ94" s="808"/>
      <c r="EA94" s="212">
        <f>IF(DY94=0,0,(DZ94-DY94)/DY94*100)</f>
        <v>0</v>
      </c>
      <c r="EB94" s="808"/>
      <c r="EC94" s="808"/>
      <c r="ED94" s="212">
        <f>IF(EB94=0,0,(EC94-EB94)/EB94*100)</f>
        <v>0</v>
      </c>
      <c r="EE94" s="808"/>
      <c r="EF94" s="808"/>
      <c r="EG94" s="212">
        <f>IF(EE94=0,0,(EF94-EE94)/EE94*100)</f>
        <v>0</v>
      </c>
      <c r="EH94" s="808"/>
      <c r="EI94" s="808"/>
      <c r="EJ94" s="212">
        <f>IF(EH94=0,0,(EI94-EH94)/EH94*100)</f>
        <v>0</v>
      </c>
      <c r="EK94" s="808"/>
      <c r="EL94" s="808"/>
      <c r="EM94" s="212">
        <f>IF(EK94=0,0,(EL94-EK94)/EK94*100)</f>
        <v>0</v>
      </c>
      <c r="EN94" s="808"/>
      <c r="EO94" s="808"/>
      <c r="EP94" s="212">
        <f>IF(EN94=0,0,(EO94-EN94)/EN94*100)</f>
        <v>0</v>
      </c>
      <c r="EQ94" s="808"/>
      <c r="ER94" s="808"/>
      <c r="ES94" s="212">
        <f>IF(EQ94=0,0,(ER94-EQ94)/EQ94*100)</f>
        <v>0</v>
      </c>
      <c r="ET94" s="808"/>
      <c r="EU94" s="808"/>
      <c r="EV94" s="212">
        <f>IF(ET94=0,0,(EU94-ET94)/ET94*100)</f>
        <v>0</v>
      </c>
      <c r="EW94" s="808"/>
      <c r="EX94" s="808"/>
      <c r="EY94" s="212">
        <f>IF(EW94=0,0,(EX94-EW94)/EW94*100)</f>
        <v>0</v>
      </c>
      <c r="EZ94" s="808"/>
      <c r="FA94" s="808"/>
      <c r="FB94" s="212">
        <f>IF(EZ94=0,0,(FA94-EZ94)/EZ94*100)</f>
        <v>0</v>
      </c>
      <c r="FC94" s="808"/>
      <c r="FD94" s="808"/>
      <c r="FE94" s="212">
        <f>IF(FC94=0,0,(FD94-FC94)/FC94*100)</f>
        <v>0</v>
      </c>
      <c r="FF94" s="808"/>
      <c r="FG94" s="808"/>
      <c r="FH94" s="212">
        <f>IF(FF94=0,0,(FG94-FF94)/FF94*100)</f>
        <v>0</v>
      </c>
      <c r="FI94" s="808"/>
      <c r="FJ94" s="808"/>
      <c r="FK94" s="212">
        <f>IF(FI94=0,0,(FJ94-FI94)/FI94*100)</f>
        <v>0</v>
      </c>
      <c r="FL94" s="808"/>
      <c r="FM94" s="808"/>
      <c r="FN94" s="212">
        <f>IF(FL94=0,0,(FM94-FL94)/FL94*100)</f>
        <v>0</v>
      </c>
      <c r="FO94" s="808"/>
      <c r="FP94" s="808"/>
      <c r="FQ94" s="212">
        <f>IF(FO94=0,0,(FP94-FO94)/FO94*100)</f>
        <v>0</v>
      </c>
      <c r="FR94" s="808"/>
      <c r="FS94" s="808"/>
      <c r="FT94" s="212">
        <f>IF(FR94=0,0,(FS94-FR94)/FR94*100)</f>
        <v>0</v>
      </c>
      <c r="FU94" s="808"/>
      <c r="FV94" s="808"/>
      <c r="FW94" s="212">
        <f>IF(FU94=0,0,(FV94-FU94)/FU94*100)</f>
        <v>0</v>
      </c>
      <c r="FX94" s="208"/>
      <c r="FY94" s="208"/>
      <c r="FZ94" s="957" t="s">
        <v>1469</v>
      </c>
      <c r="GA94" s="957"/>
      <c r="GB94" s="957"/>
      <c r="GC94" s="958"/>
      <c r="GD94" s="958"/>
    </row>
    <row r="95" spans="1:186" s="1435" customFormat="1" ht="23.25" customHeight="1">
      <c r="A95" s="806"/>
      <c r="B95" s="830" t="b" cm="1">
        <f t="array" ref="B95">B94</f>
        <v>1</v>
      </c>
      <c r="C95" s="806"/>
      <c r="D95" s="806"/>
      <c r="E95" s="807">
        <v>24.5</v>
      </c>
      <c r="F95" s="3" t="str" cm="1">
        <f t="array" aca="1" ref="F95" ca="1">OFFSET(E95,-1,1)</f>
        <v>1</v>
      </c>
      <c r="G95" s="26" t="s">
        <v>1470</v>
      </c>
      <c r="H95" s="409" t="s">
        <v>427</v>
      </c>
      <c r="I95" s="409" t="s">
        <v>1471</v>
      </c>
      <c r="J95" s="806"/>
      <c r="K95" s="806"/>
      <c r="L95" s="409"/>
      <c r="M95" s="806"/>
      <c r="N95" s="806"/>
      <c r="O95" s="806"/>
      <c r="P95" s="806"/>
      <c r="Q95" s="806"/>
      <c r="R95" s="409"/>
      <c r="S95" s="409"/>
      <c r="T95" s="381" t="b" cm="1">
        <f t="array" ref="T95">T94</f>
        <v>1</v>
      </c>
      <c r="U95" s="806"/>
      <c r="V95" s="806"/>
      <c r="W95" s="806"/>
      <c r="X95" s="1787"/>
      <c r="Y95" s="806"/>
      <c r="Z95" s="1734"/>
      <c r="AA95" s="806"/>
      <c r="AB95" s="993" t="s">
        <v>1472</v>
      </c>
      <c r="AC95" s="210" t="s">
        <v>1454</v>
      </c>
      <c r="AD95" s="808">
        <f ca="1">IF(AND(method_reg="Метод индексации",god&lt;&gt;first_year),SUMIFS(INDEX('Калькуляция (МИ корр)'!$AJ$25:$BC$315,,MATCH(AD$8,'Калькуляция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(МИ)'!$AJ$25:$BC$315,,MATCH(AD$8,'Калькуляция (МИ)'!$AJ$8:$BC$8,0)),'Калькуляция (МИ)'!$F$25:$F$315,$F95,'Калькуляция (МИ)'!$G$25:$G$315,$G95))))</f>
        <v>715.21280000000002</v>
      </c>
      <c r="AE95" s="808">
        <f ca="1">IF(AND(method_reg="Метод индексации",god&lt;&gt;first_year),SUMIFS(INDEX('Калькуляция (МИ корр)'!$AJ$25:$BC$315,,MATCH(AE$8,'Калькуляция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(МИ)'!$AJ$25:$BC$315,,MATCH(AE$8,'Калькуляция (МИ)'!$AJ$8:$BC$8,0)),'Калькуляция (МИ)'!$F$25:$F$315,$F95,'Калькуляция (МИ)'!$G$25:$G$315,$G95))))</f>
        <v>776.67639999999994</v>
      </c>
      <c r="AF95" s="212">
        <f ca="1">IF(AD95=0,0,(AE95-AD95)/AD95*100)</f>
        <v>8.5937499999999911</v>
      </c>
      <c r="AG95" s="808">
        <f ca="1">IF(AND(method_reg="Метод индексации",god&lt;&gt;first_year),SUMIFS(INDEX('Калькуляция (МИ корр)'!$AJ$25:$BC$315,,MATCH(AG$8,'Калькуляция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(МИ)'!$AJ$25:$BC$315,,MATCH(AG$8,'Калькуляция (МИ)'!$AJ$8:$BC$8,0)),'Калькуляция (МИ)'!$F$25:$F$315,$F95,'Калькуляция (МИ)'!$G$25:$G$315,$G95))))</f>
        <v>715.21280000000002</v>
      </c>
      <c r="AH95" s="808">
        <f ca="1">IF(AND(method_reg="Метод индексации",god&lt;&gt;first_year),SUMIFS(INDEX('Калькуляция (МИ корр)'!$AJ$25:$BC$315,,MATCH(AH$8,'Калькуляция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(МИ)'!$AJ$25:$BC$315,,MATCH(AH$8,'Калькуляция (МИ)'!$AJ$8:$BC$8,0)),'Калькуляция (МИ)'!$F$25:$F$315,$F95,'Калькуляция (МИ)'!$G$25:$G$315,$G95))))</f>
        <v>776.67639999999994</v>
      </c>
      <c r="AI95" s="212">
        <f ca="1">IF(AG95=0,0,(AH95-AG95)/AG95*100)</f>
        <v>8.5937499999999911</v>
      </c>
      <c r="AJ95" s="808">
        <f ca="1">IF(AND(method_reg="Метод индексации",god&lt;&gt;first_year),SUMIFS(INDEX('Калькуляция (МИ корр)'!$AJ$25:$BC$315,,MATCH(AJ$8,'Калькуляция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(МИ)'!$AJ$25:$BC$315,,MATCH(AJ$8,'Калькуляция (МИ)'!$AJ$8:$BC$8,0)),'Калькуляция (МИ)'!$F$25:$F$315,$F95,'Калькуляция (МИ)'!$G$25:$G$315,$G95))))</f>
        <v>715.21280000000002</v>
      </c>
      <c r="AK95" s="808">
        <f ca="1">IF(AND(method_reg="Метод индексации",god&lt;&gt;first_year),SUMIFS(INDEX('Калькуляция (МИ корр)'!$AJ$25:$BC$315,,MATCH(AK$8,'Калькуляция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(МИ)'!$AJ$25:$BC$315,,MATCH(AK$8,'Калькуляция (МИ)'!$AJ$8:$BC$8,0)),'Калькуляция (МИ)'!$F$25:$F$315,$F95,'Калькуляция (МИ)'!$G$25:$G$315,$G95))))</f>
        <v>776.67639999999994</v>
      </c>
      <c r="AL95" s="212">
        <f ca="1">IF(AJ95=0,0,(AK95-AJ95)/AJ95*100)</f>
        <v>8.5937499999999911</v>
      </c>
      <c r="AM95" s="808">
        <f ca="1">IF(AND(method_reg="Метод индексации",god&lt;&gt;first_year),SUMIFS(INDEX('Калькуляция (МИ корр)'!$AJ$25:$BC$315,,MATCH(AM$8,'Калькуляция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(МИ)'!$AJ$25:$BC$315,,MATCH(AM$8,'Калькуляция (МИ)'!$AJ$8:$BC$8,0)),'Калькуляция (МИ)'!$F$25:$F$315,$F95,'Калькуляция (МИ)'!$G$25:$G$315,$G95))))</f>
        <v>715.21280000000002</v>
      </c>
      <c r="AN95" s="808">
        <f ca="1">IF(AND(method_reg="Метод индексации",god&lt;&gt;first_year),SUMIFS(INDEX('Калькуляция (МИ корр)'!$AJ$25:$BC$315,,MATCH(AN$8,'Калькуляция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(МИ)'!$AJ$25:$BC$315,,MATCH(AN$8,'Калькуляция (МИ)'!$AJ$8:$BC$8,0)),'Калькуляция (МИ)'!$F$25:$F$315,$F95,'Калькуляция (МИ)'!$G$25:$G$315,$G95))))</f>
        <v>776.67639999999994</v>
      </c>
      <c r="AO95" s="212">
        <f ca="1">IF(AM95=0,0,(AN95-AM95)/AM95*100)</f>
        <v>8.5937499999999911</v>
      </c>
      <c r="AP95" s="808">
        <f ca="1">IF(AND(method_reg="Метод индексации",god&lt;&gt;first_year),SUMIFS(INDEX('Калькуляция (МИ корр)'!$AJ$25:$BC$315,,MATCH(AP$8,'Калькуляция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(МИ)'!$AJ$25:$BC$315,,MATCH(AP$8,'Калькуляция (МИ)'!$AJ$8:$BC$8,0)),'Калькуляция (МИ)'!$F$25:$F$315,$F95,'Калькуляция (МИ)'!$G$25:$G$315,$G95))))</f>
        <v>715.21280000000002</v>
      </c>
      <c r="AQ95" s="808">
        <f ca="1">IF(AND(method_reg="Метод индексации",god&lt;&gt;first_year),SUMIFS(INDEX('Калькуляция (МИ корр)'!$AJ$25:$BC$315,,MATCH(AQ$8,'Калькуляция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(МИ)'!$AJ$25:$BC$315,,MATCH(AQ$8,'Калькуляция (МИ)'!$AJ$8:$BC$8,0)),'Калькуляция (МИ)'!$F$25:$F$315,$F95,'Калькуляция (МИ)'!$G$25:$G$315,$G95))))</f>
        <v>776.67639999999994</v>
      </c>
      <c r="AR95" s="212">
        <f ca="1">IF(AP95=0,0,(AQ95-AP95)/AP95*100)</f>
        <v>8.5937499999999911</v>
      </c>
      <c r="AS95" s="808">
        <f ca="1">IF(AND(method_reg="Метод индексации",god&lt;&gt;first_year),SUMIFS(INDEX('Калькуляция (МИ корр)'!$AJ$25:$BC$315,,MATCH(AS$8,'Калькуляция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(МИ)'!$AJ$25:$BC$315,,MATCH(AS$8,'Калькуляция (МИ)'!$AJ$8:$BC$8,0)),'Калькуляция (МИ)'!$F$25:$F$315,$F95,'Калькуляция (МИ)'!$G$25:$G$315,$G95))))</f>
        <v>715.21280000000002</v>
      </c>
      <c r="AT95" s="808">
        <f ca="1">IF(AND(method_reg="Метод индексации",god&lt;&gt;first_year),SUMIFS(INDEX('Калькуляция (МИ корр)'!$AJ$25:$BC$315,,MATCH(AT$8,'Калькуляция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(МИ)'!$AJ$25:$BC$315,,MATCH(AT$8,'Калькуляция (МИ)'!$AJ$8:$BC$8,0)),'Калькуляция (МИ)'!$F$25:$F$315,$F95,'Калькуляция (МИ)'!$G$25:$G$315,$G95))))</f>
        <v>776.67639999999994</v>
      </c>
      <c r="AU95" s="212">
        <f ca="1">IF(AS95=0,0,(AT95-AS95)/AS95*100)</f>
        <v>8.5937499999999911</v>
      </c>
      <c r="AV95" s="808">
        <f ca="1">IF(AND(method_reg="Метод индексации",god&lt;&gt;first_year),SUMIFS(INDEX('Калькуляция (МИ корр)'!$AJ$25:$BC$315,,MATCH(AV$8,'Калькуляция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(МИ)'!$AJ$25:$BC$315,,MATCH(AV$8,'Калькуляция (МИ)'!$AJ$8:$BC$8,0)),'Калькуляция (МИ)'!$F$25:$F$315,$F95,'Калькуляция (МИ)'!$G$25:$G$315,$G95))))</f>
        <v>715.21280000000002</v>
      </c>
      <c r="AW95" s="808">
        <f ca="1">IF(AND(method_reg="Метод индексации",god&lt;&gt;first_year),SUMIFS(INDEX('Калькуляция (МИ корр)'!$AJ$25:$BC$315,,MATCH(AW$8,'Калькуляция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(МИ)'!$AJ$25:$BC$315,,MATCH(AW$8,'Калькуляция (МИ)'!$AJ$8:$BC$8,0)),'Калькуляция (МИ)'!$F$25:$F$315,$F95,'Калькуляция (МИ)'!$G$25:$G$315,$G95))))</f>
        <v>776.67639999999994</v>
      </c>
      <c r="AX95" s="212">
        <f ca="1">IF(AV95=0,0,(AW95-AV95)/AV95*100)</f>
        <v>8.5937499999999911</v>
      </c>
      <c r="AY95" s="808">
        <f ca="1">IF(AND(method_reg="Метод индексации",god&lt;&gt;first_year),SUMIFS(INDEX('Калькуляция (МИ корр)'!$AJ$25:$BC$315,,MATCH(AY$8,'Калькуляция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(МИ)'!$AJ$25:$BC$315,,MATCH(AY$8,'Калькуляция (МИ)'!$AJ$8:$BC$8,0)),'Калькуляция (МИ)'!$F$25:$F$315,$F95,'Калькуляция (МИ)'!$G$25:$G$315,$G95))))</f>
        <v>715.21280000000002</v>
      </c>
      <c r="AZ95" s="808">
        <f ca="1">IF(AND(method_reg="Метод индексации",god&lt;&gt;first_year),SUMIFS(INDEX('Калькуляция (МИ корр)'!$AJ$25:$BC$315,,MATCH(AZ$8,'Калькуляция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(МИ)'!$AJ$25:$BC$315,,MATCH(AZ$8,'Калькуляция (МИ)'!$AJ$8:$BC$8,0)),'Калькуляция (МИ)'!$F$25:$F$315,$F95,'Калькуляция (МИ)'!$G$25:$G$315,$G95))))</f>
        <v>776.67639999999994</v>
      </c>
      <c r="BA95" s="212">
        <f ca="1">IF(AY95=0,0,(AZ95-AY95)/AY95*100)</f>
        <v>8.5937499999999911</v>
      </c>
      <c r="BB95" s="808">
        <f ca="1">IF(AND(method_reg="Метод индексации",god&lt;&gt;first_year),SUMIFS(INDEX('Калькуляция (МИ корр)'!$AJ$25:$BC$315,,MATCH(BB$8,'Калькуляция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(МИ)'!$AJ$25:$BC$315,,MATCH(BB$8,'Калькуляция (МИ)'!$AJ$8:$BC$8,0)),'Калькуляция (МИ)'!$F$25:$F$315,$F95,'Калькуляция (МИ)'!$G$25:$G$315,$G95))))</f>
        <v>715.21280000000002</v>
      </c>
      <c r="BC95" s="808">
        <f ca="1">IF(AND(method_reg="Метод индексации",god&lt;&gt;first_year),SUMIFS(INDEX('Калькуляция (МИ корр)'!$AJ$25:$BC$315,,MATCH(BC$8,'Калькуляция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(МИ)'!$AJ$25:$BC$315,,MATCH(BC$8,'Калькуляция (МИ)'!$AJ$8:$BC$8,0)),'Калькуляция (МИ)'!$F$25:$F$315,$F95,'Калькуляция (МИ)'!$G$25:$G$315,$G95))))</f>
        <v>776.67639999999994</v>
      </c>
      <c r="BD95" s="212">
        <f ca="1">IF(BB95=0,0,(BC95-BB95)/BB95*100)</f>
        <v>8.5937499999999911</v>
      </c>
      <c r="BE95" s="808">
        <f ca="1">IF(AND(method_reg="Метод индексации",god&lt;&gt;first_year),SUMIFS(INDEX('Калькуляция (МИ корр)'!$AJ$25:$BC$315,,MATCH(BE$8,'Калькуляция (МИ корр)'!$AJ$8:$BC$8,0)),'Калькуляция (МИ корр)'!$F$25:$F$315,$F95,'Калькуляция (МИ корр)'!$G$25:$G$315,$G95),IF(method_reg="Метод экономически обоснованных расходов",SUMIFS('Калькуляция (МЭОР)'!$AJ$25:$AJ$199,'Калькуляция (МЭОР)'!$F$25:$F$199,$F95,'Калькуляция (МЭОР)'!$G$25:$G$199,$G95),IF(method_reg="Метод сравнения аналогов",SUMIFS('Калькуляция (МСА)'!$AE$25:$AE$65,'Калькуляция (МСА)'!$F$25:$F$65,$F95,'Калькуляция (МСА)'!$G$25:$G$65,$G95),SUMIFS(INDEX('Калькуляция (МИ)'!$AJ$25:$BC$315,,MATCH(BE$8,'Калькуляция (МИ)'!$AJ$8:$BC$8,0)),'Калькуляция (МИ)'!$F$25:$F$315,$F95,'Калькуляция (МИ)'!$G$25:$G$315,$G95))))</f>
        <v>715.21280000000002</v>
      </c>
      <c r="BF95" s="808">
        <f ca="1">IF(AND(method_reg="Метод индексации",god&lt;&gt;first_year),SUMIFS(INDEX('Калькуляция (МИ корр)'!$AJ$25:$BC$315,,MATCH(BF$8,'Калькуляция (МИ корр)'!$AJ$8:$BC$8,0)),'Калькуляция (МИ корр)'!$F$25:$F$315,$F95,'Калькуляция (МИ корр)'!$G$25:$G$315,$G95),IF(method_reg="Метод экономически обоснованных расходов",SUMIFS('Калькуляция (МЭОР)'!$AK$25:$AK$199,'Калькуляция (МЭОР)'!$F$25:$F$199,$F95,'Калькуляция (МЭОР)'!$G$25:$G$199,$G95),IF(method_reg="Метод сравнения аналогов",SUMIFS('Калькуляция (МСА)'!$AF$25:$AF$65,'Калькуляция (МСА)'!$F$25:$F$65,$F95,'Калькуляция (МСА)'!$G$25:$G$65,$G95),SUMIFS(INDEX('Калькуляция (МИ)'!$AJ$25:$BC$315,,MATCH(BF$8,'Калькуляция (МИ)'!$AJ$8:$BC$8,0)),'Калькуляция (МИ)'!$F$25:$F$315,$F95,'Калькуляция (МИ)'!$G$25:$G$315,$G95))))</f>
        <v>776.67639999999994</v>
      </c>
      <c r="BG95" s="212">
        <f ca="1">IF(BE95=0,0,(BF95-BE95)/BE95*100)</f>
        <v>8.5937499999999911</v>
      </c>
      <c r="BH95" s="808"/>
      <c r="BI95" s="808"/>
      <c r="BJ95" s="212">
        <f>IF(BH95=0,0,(BI95-BH95)/BH95*100)</f>
        <v>0</v>
      </c>
      <c r="BK95" s="808"/>
      <c r="BL95" s="808"/>
      <c r="BM95" s="212">
        <f>IF(BK95=0,0,(BL95-BK95)/BK95*100)</f>
        <v>0</v>
      </c>
      <c r="BN95" s="808"/>
      <c r="BO95" s="808"/>
      <c r="BP95" s="212">
        <f>IF(BN95=0,0,(BO95-BN95)/BN95*100)</f>
        <v>0</v>
      </c>
      <c r="BQ95" s="808"/>
      <c r="BR95" s="808"/>
      <c r="BS95" s="212">
        <f>IF(BQ95=0,0,(BR95-BQ95)/BQ95*100)</f>
        <v>0</v>
      </c>
      <c r="BT95" s="808"/>
      <c r="BU95" s="808"/>
      <c r="BV95" s="212">
        <f>IF(BT95=0,0,(BU95-BT95)/BT95*100)</f>
        <v>0</v>
      </c>
      <c r="BW95" s="808"/>
      <c r="BX95" s="808"/>
      <c r="BY95" s="212">
        <f>IF(BW95=0,0,(BX95-BW95)/BW95*100)</f>
        <v>0</v>
      </c>
      <c r="BZ95" s="808"/>
      <c r="CA95" s="808"/>
      <c r="CB95" s="212">
        <f>IF(BZ95=0,0,(CA95-BZ95)/BZ95*100)</f>
        <v>0</v>
      </c>
      <c r="CC95" s="808"/>
      <c r="CD95" s="808"/>
      <c r="CE95" s="212">
        <f>IF(CC95=0,0,(CD95-CC95)/CC95*100)</f>
        <v>0</v>
      </c>
      <c r="CF95" s="808"/>
      <c r="CG95" s="808"/>
      <c r="CH95" s="212">
        <f>IF(CF95=0,0,(CG95-CF95)/CF95*100)</f>
        <v>0</v>
      </c>
      <c r="CI95" s="808"/>
      <c r="CJ95" s="808"/>
      <c r="CK95" s="212">
        <f>IF(CI95=0,0,(CJ95-CI95)/CI95*100)</f>
        <v>0</v>
      </c>
      <c r="CL95" s="808"/>
      <c r="CM95" s="808"/>
      <c r="CN95" s="212">
        <f>IF(CL95=0,0,(CM95-CL95)/CL95*100)</f>
        <v>0</v>
      </c>
      <c r="CO95" s="808"/>
      <c r="CP95" s="808"/>
      <c r="CQ95" s="212">
        <f>IF(CO95=0,0,(CP95-CO95)/CO95*100)</f>
        <v>0</v>
      </c>
      <c r="CR95" s="808"/>
      <c r="CS95" s="808"/>
      <c r="CT95" s="212">
        <f>IF(CR95=0,0,(CS95-CR95)/CR95*100)</f>
        <v>0</v>
      </c>
      <c r="CU95" s="808"/>
      <c r="CV95" s="808"/>
      <c r="CW95" s="212">
        <f>IF(CU95=0,0,(CV95-CU95)/CU95*100)</f>
        <v>0</v>
      </c>
      <c r="CX95" s="808"/>
      <c r="CY95" s="808"/>
      <c r="CZ95" s="212">
        <f>IF(CX95=0,0,(CY95-CX95)/CX95*100)</f>
        <v>0</v>
      </c>
      <c r="DA95" s="808"/>
      <c r="DB95" s="808"/>
      <c r="DC95" s="212">
        <f>IF(DA95=0,0,(DB95-DA95)/DA95*100)</f>
        <v>0</v>
      </c>
      <c r="DD95" s="808"/>
      <c r="DE95" s="808"/>
      <c r="DF95" s="212">
        <f>IF(DD95=0,0,(DE95-DD95)/DD95*100)</f>
        <v>0</v>
      </c>
      <c r="DG95" s="808"/>
      <c r="DH95" s="808"/>
      <c r="DI95" s="212">
        <f>IF(DG95=0,0,(DH95-DG95)/DG95*100)</f>
        <v>0</v>
      </c>
      <c r="DJ95" s="808"/>
      <c r="DK95" s="808"/>
      <c r="DL95" s="212">
        <f>IF(DJ95=0,0,(DK95-DJ95)/DJ95*100)</f>
        <v>0</v>
      </c>
      <c r="DM95" s="808"/>
      <c r="DN95" s="808"/>
      <c r="DO95" s="212">
        <f>IF(DM95=0,0,(DN95-DM95)/DM95*100)</f>
        <v>0</v>
      </c>
      <c r="DP95" s="808"/>
      <c r="DQ95" s="808"/>
      <c r="DR95" s="212">
        <f>IF(DP95=0,0,(DQ95-DP95)/DP95*100)</f>
        <v>0</v>
      </c>
      <c r="DS95" s="808"/>
      <c r="DT95" s="808"/>
      <c r="DU95" s="212">
        <f>IF(DS95=0,0,(DT95-DS95)/DS95*100)</f>
        <v>0</v>
      </c>
      <c r="DV95" s="808"/>
      <c r="DW95" s="808"/>
      <c r="DX95" s="212">
        <f>IF(DV95=0,0,(DW95-DV95)/DV95*100)</f>
        <v>0</v>
      </c>
      <c r="DY95" s="808"/>
      <c r="DZ95" s="808"/>
      <c r="EA95" s="212">
        <f>IF(DY95=0,0,(DZ95-DY95)/DY95*100)</f>
        <v>0</v>
      </c>
      <c r="EB95" s="808"/>
      <c r="EC95" s="808"/>
      <c r="ED95" s="212">
        <f>IF(EB95=0,0,(EC95-EB95)/EB95*100)</f>
        <v>0</v>
      </c>
      <c r="EE95" s="808"/>
      <c r="EF95" s="808"/>
      <c r="EG95" s="212">
        <f>IF(EE95=0,0,(EF95-EE95)/EE95*100)</f>
        <v>0</v>
      </c>
      <c r="EH95" s="808"/>
      <c r="EI95" s="808"/>
      <c r="EJ95" s="212">
        <f>IF(EH95=0,0,(EI95-EH95)/EH95*100)</f>
        <v>0</v>
      </c>
      <c r="EK95" s="808"/>
      <c r="EL95" s="808"/>
      <c r="EM95" s="212">
        <f>IF(EK95=0,0,(EL95-EK95)/EK95*100)</f>
        <v>0</v>
      </c>
      <c r="EN95" s="808"/>
      <c r="EO95" s="808"/>
      <c r="EP95" s="212">
        <f>IF(EN95=0,0,(EO95-EN95)/EN95*100)</f>
        <v>0</v>
      </c>
      <c r="EQ95" s="808"/>
      <c r="ER95" s="808"/>
      <c r="ES95" s="212">
        <f>IF(EQ95=0,0,(ER95-EQ95)/EQ95*100)</f>
        <v>0</v>
      </c>
      <c r="ET95" s="808"/>
      <c r="EU95" s="808"/>
      <c r="EV95" s="212">
        <f>IF(ET95=0,0,(EU95-ET95)/ET95*100)</f>
        <v>0</v>
      </c>
      <c r="EW95" s="808"/>
      <c r="EX95" s="808"/>
      <c r="EY95" s="212">
        <f>IF(EW95=0,0,(EX95-EW95)/EW95*100)</f>
        <v>0</v>
      </c>
      <c r="EZ95" s="808"/>
      <c r="FA95" s="808"/>
      <c r="FB95" s="212">
        <f>IF(EZ95=0,0,(FA95-EZ95)/EZ95*100)</f>
        <v>0</v>
      </c>
      <c r="FC95" s="808"/>
      <c r="FD95" s="808"/>
      <c r="FE95" s="212">
        <f>IF(FC95=0,0,(FD95-FC95)/FC95*100)</f>
        <v>0</v>
      </c>
      <c r="FF95" s="808"/>
      <c r="FG95" s="808"/>
      <c r="FH95" s="212">
        <f>IF(FF95=0,0,(FG95-FF95)/FF95*100)</f>
        <v>0</v>
      </c>
      <c r="FI95" s="808"/>
      <c r="FJ95" s="808"/>
      <c r="FK95" s="212">
        <f>IF(FI95=0,0,(FJ95-FI95)/FI95*100)</f>
        <v>0</v>
      </c>
      <c r="FL95" s="808"/>
      <c r="FM95" s="808"/>
      <c r="FN95" s="212">
        <f>IF(FL95=0,0,(FM95-FL95)/FL95*100)</f>
        <v>0</v>
      </c>
      <c r="FO95" s="808"/>
      <c r="FP95" s="808"/>
      <c r="FQ95" s="212">
        <f>IF(FO95=0,0,(FP95-FO95)/FO95*100)</f>
        <v>0</v>
      </c>
      <c r="FR95" s="808"/>
      <c r="FS95" s="808"/>
      <c r="FT95" s="212">
        <f>IF(FR95=0,0,(FS95-FR95)/FR95*100)</f>
        <v>0</v>
      </c>
      <c r="FU95" s="808"/>
      <c r="FV95" s="808"/>
      <c r="FW95" s="212">
        <f>IF(FU95=0,0,(FV95-FU95)/FU95*100)</f>
        <v>0</v>
      </c>
      <c r="FX95" s="208"/>
      <c r="FY95" s="208"/>
      <c r="FZ95" s="957" t="s">
        <v>1473</v>
      </c>
      <c r="GA95" s="957"/>
      <c r="GB95" s="957"/>
      <c r="GC95" s="958"/>
      <c r="GD95" s="958"/>
    </row>
    <row r="96" spans="1:186" s="1327" customFormat="1" ht="14.25" customHeight="1">
      <c r="A96" s="409"/>
      <c r="B96" s="830" t="b" cm="1">
        <f t="array" ref="B96">B95</f>
        <v>1</v>
      </c>
      <c r="C96" s="409"/>
      <c r="D96" s="409"/>
      <c r="E96" s="754">
        <v>15</v>
      </c>
      <c r="F96" s="3" t="str" cm="1">
        <f t="array" aca="1" ref="F96" ca="1">OFFSET(E96,-1,1)</f>
        <v>1</v>
      </c>
      <c r="G96" s="26"/>
      <c r="H96" s="409" t="s">
        <v>431</v>
      </c>
      <c r="I96" s="409" t="s">
        <v>1474</v>
      </c>
      <c r="J96" s="409"/>
      <c r="K96" s="409"/>
      <c r="L96" s="409"/>
      <c r="M96" s="409"/>
      <c r="N96" s="409"/>
      <c r="O96" s="409"/>
      <c r="P96" s="409"/>
      <c r="Q96" s="806"/>
      <c r="R96" s="409"/>
      <c r="S96" s="409"/>
      <c r="T96" s="381" t="b" cm="1">
        <f t="array" ref="T96">T95</f>
        <v>1</v>
      </c>
      <c r="U96" s="409"/>
      <c r="V96" s="409"/>
      <c r="W96" s="409"/>
      <c r="X96" s="1787"/>
      <c r="Y96" s="409"/>
      <c r="Z96" s="1734"/>
      <c r="AA96" s="409"/>
      <c r="AB96" s="992" t="s">
        <v>1461</v>
      </c>
      <c r="AC96" s="778" t="s">
        <v>423</v>
      </c>
      <c r="AD96" s="995">
        <f ca="1">IF(AD94=0,0,AD95/AD94)*100</f>
        <v>100</v>
      </c>
      <c r="AE96" s="995">
        <f ca="1">IF(AE94=0,0,AE95/AE94)*100</f>
        <v>111.79755549311604</v>
      </c>
      <c r="AF96" s="996"/>
      <c r="AG96" s="995">
        <f ca="1">IF(AG94=0,0,AG95/AG94)*100</f>
        <v>100</v>
      </c>
      <c r="AH96" s="995">
        <f ca="1">IF(AH94=0,0,AH95/AH94)*100</f>
        <v>111.79755549311604</v>
      </c>
      <c r="AI96" s="996"/>
      <c r="AJ96" s="995">
        <f ca="1">IF(AJ94=0,0,AJ95/AJ94)*100</f>
        <v>100</v>
      </c>
      <c r="AK96" s="995">
        <f ca="1">IF(AK94=0,0,AK95/AK94)*100</f>
        <v>111.79755549311604</v>
      </c>
      <c r="AL96" s="996"/>
      <c r="AM96" s="995">
        <f ca="1">IF(AM94=0,0,AM95/AM94)*100</f>
        <v>100</v>
      </c>
      <c r="AN96" s="995">
        <f ca="1">IF(AN94=0,0,AN95/AN94)*100</f>
        <v>111.79755549311604</v>
      </c>
      <c r="AO96" s="996"/>
      <c r="AP96" s="995">
        <f ca="1">IF(AP94=0,0,AP95/AP94)*100</f>
        <v>100</v>
      </c>
      <c r="AQ96" s="995">
        <f ca="1">IF(AQ94=0,0,AQ95/AQ94)*100</f>
        <v>111.79755549311604</v>
      </c>
      <c r="AR96" s="996"/>
      <c r="AS96" s="995">
        <f ca="1">IF(AS94=0,0,AS95/AS94)*100</f>
        <v>100</v>
      </c>
      <c r="AT96" s="995">
        <f ca="1">IF(AT94=0,0,AT95/AT94)*100</f>
        <v>111.79755549311604</v>
      </c>
      <c r="AU96" s="996"/>
      <c r="AV96" s="995">
        <f ca="1">IF(AV94=0,0,AV95/AV94)*100</f>
        <v>100</v>
      </c>
      <c r="AW96" s="995">
        <f ca="1">IF(AW94=0,0,AW95/AW94)*100</f>
        <v>111.79755549311604</v>
      </c>
      <c r="AX96" s="996"/>
      <c r="AY96" s="995">
        <f ca="1">IF(AY94=0,0,AY95/AY94)*100</f>
        <v>100</v>
      </c>
      <c r="AZ96" s="995">
        <f ca="1">IF(AZ94=0,0,AZ95/AZ94)*100</f>
        <v>111.79755549311604</v>
      </c>
      <c r="BA96" s="996"/>
      <c r="BB96" s="995">
        <f ca="1">IF(BB94=0,0,BB95/BB94)*100</f>
        <v>100</v>
      </c>
      <c r="BC96" s="995">
        <f ca="1">IF(BC94=0,0,BC95/BC94)*100</f>
        <v>111.79755549311604</v>
      </c>
      <c r="BD96" s="996"/>
      <c r="BE96" s="995">
        <f ca="1">IF(BE94=0,0,BE95/BE94)*100</f>
        <v>100</v>
      </c>
      <c r="BF96" s="995">
        <f ca="1">IF(BF94=0,0,BF95/BF94)*100</f>
        <v>111.79755549311604</v>
      </c>
      <c r="BG96" s="996"/>
      <c r="BH96" s="995">
        <f>IF(BH94=0,0,BH95/BH94)*100</f>
        <v>0</v>
      </c>
      <c r="BI96" s="995">
        <f>IF(BI94=0,0,BI95/BI94)*100</f>
        <v>0</v>
      </c>
      <c r="BJ96" s="996"/>
      <c r="BK96" s="995">
        <f>IF(BK94=0,0,BK95/BK94)*100</f>
        <v>0</v>
      </c>
      <c r="BL96" s="995">
        <f>IF(BL94=0,0,BL95/BL94)*100</f>
        <v>0</v>
      </c>
      <c r="BM96" s="996"/>
      <c r="BN96" s="995">
        <f>IF(BN94=0,0,BN95/BN94)*100</f>
        <v>0</v>
      </c>
      <c r="BO96" s="995">
        <f>IF(BO94=0,0,BO95/BO94)*100</f>
        <v>0</v>
      </c>
      <c r="BP96" s="996"/>
      <c r="BQ96" s="995">
        <f>IF(BQ94=0,0,BQ95/BQ94)*100</f>
        <v>0</v>
      </c>
      <c r="BR96" s="995">
        <f>IF(BR94=0,0,BR95/BR94)*100</f>
        <v>0</v>
      </c>
      <c r="BS96" s="996"/>
      <c r="BT96" s="995">
        <f>IF(BT94=0,0,BT95/BT94)*100</f>
        <v>0</v>
      </c>
      <c r="BU96" s="995">
        <f>IF(BU94=0,0,BU95/BU94)*100</f>
        <v>0</v>
      </c>
      <c r="BV96" s="996"/>
      <c r="BW96" s="995">
        <f>IF(BW94=0,0,BW95/BW94)*100</f>
        <v>0</v>
      </c>
      <c r="BX96" s="995">
        <f>IF(BX94=0,0,BX95/BX94)*100</f>
        <v>0</v>
      </c>
      <c r="BY96" s="996"/>
      <c r="BZ96" s="995">
        <f>IF(BZ94=0,0,BZ95/BZ94)*100</f>
        <v>0</v>
      </c>
      <c r="CA96" s="995">
        <f>IF(CA94=0,0,CA95/CA94)*100</f>
        <v>0</v>
      </c>
      <c r="CB96" s="996"/>
      <c r="CC96" s="995">
        <f>IF(CC94=0,0,CC95/CC94)*100</f>
        <v>0</v>
      </c>
      <c r="CD96" s="995">
        <f>IF(CD94=0,0,CD95/CD94)*100</f>
        <v>0</v>
      </c>
      <c r="CE96" s="996"/>
      <c r="CF96" s="995">
        <f>IF(CF94=0,0,CF95/CF94)*100</f>
        <v>0</v>
      </c>
      <c r="CG96" s="995">
        <f>IF(CG94=0,0,CG95/CG94)*100</f>
        <v>0</v>
      </c>
      <c r="CH96" s="996"/>
      <c r="CI96" s="995">
        <f>IF(CI94=0,0,CI95/CI94)*100</f>
        <v>0</v>
      </c>
      <c r="CJ96" s="995">
        <f>IF(CJ94=0,0,CJ95/CJ94)*100</f>
        <v>0</v>
      </c>
      <c r="CK96" s="996"/>
      <c r="CL96" s="995">
        <f>IF(CL94=0,0,CL95/CL94)*100</f>
        <v>0</v>
      </c>
      <c r="CM96" s="995">
        <f>IF(CM94=0,0,CM95/CM94)*100</f>
        <v>0</v>
      </c>
      <c r="CN96" s="996"/>
      <c r="CO96" s="995">
        <f>IF(CO94=0,0,CO95/CO94)*100</f>
        <v>0</v>
      </c>
      <c r="CP96" s="995">
        <f>IF(CP94=0,0,CP95/CP94)*100</f>
        <v>0</v>
      </c>
      <c r="CQ96" s="996"/>
      <c r="CR96" s="995">
        <f>IF(CR94=0,0,CR95/CR94)*100</f>
        <v>0</v>
      </c>
      <c r="CS96" s="995">
        <f>IF(CS94=0,0,CS95/CS94)*100</f>
        <v>0</v>
      </c>
      <c r="CT96" s="996"/>
      <c r="CU96" s="995">
        <f>IF(CU94=0,0,CU95/CU94)*100</f>
        <v>0</v>
      </c>
      <c r="CV96" s="995">
        <f>IF(CV94=0,0,CV95/CV94)*100</f>
        <v>0</v>
      </c>
      <c r="CW96" s="996"/>
      <c r="CX96" s="995">
        <f>IF(CX94=0,0,CX95/CX94)*100</f>
        <v>0</v>
      </c>
      <c r="CY96" s="995">
        <f>IF(CY94=0,0,CY95/CY94)*100</f>
        <v>0</v>
      </c>
      <c r="CZ96" s="996"/>
      <c r="DA96" s="995">
        <f>IF(DA94=0,0,DA95/DA94)*100</f>
        <v>0</v>
      </c>
      <c r="DB96" s="995">
        <f>IF(DB94=0,0,DB95/DB94)*100</f>
        <v>0</v>
      </c>
      <c r="DC96" s="996"/>
      <c r="DD96" s="995">
        <f>IF(DD94=0,0,DD95/DD94)*100</f>
        <v>0</v>
      </c>
      <c r="DE96" s="995">
        <f>IF(DE94=0,0,DE95/DE94)*100</f>
        <v>0</v>
      </c>
      <c r="DF96" s="996"/>
      <c r="DG96" s="995">
        <f>IF(DG94=0,0,DG95/DG94)*100</f>
        <v>0</v>
      </c>
      <c r="DH96" s="995">
        <f>IF(DH94=0,0,DH95/DH94)*100</f>
        <v>0</v>
      </c>
      <c r="DI96" s="996"/>
      <c r="DJ96" s="995">
        <f>IF(DJ94=0,0,DJ95/DJ94)*100</f>
        <v>0</v>
      </c>
      <c r="DK96" s="995">
        <f>IF(DK94=0,0,DK95/DK94)*100</f>
        <v>0</v>
      </c>
      <c r="DL96" s="996"/>
      <c r="DM96" s="995">
        <f>IF(DM94=0,0,DM95/DM94)*100</f>
        <v>0</v>
      </c>
      <c r="DN96" s="995">
        <f>IF(DN94=0,0,DN95/DN94)*100</f>
        <v>0</v>
      </c>
      <c r="DO96" s="996"/>
      <c r="DP96" s="995">
        <f>IF(DP94=0,0,DP95/DP94)*100</f>
        <v>0</v>
      </c>
      <c r="DQ96" s="995">
        <f>IF(DQ94=0,0,DQ95/DQ94)*100</f>
        <v>0</v>
      </c>
      <c r="DR96" s="996"/>
      <c r="DS96" s="995">
        <f>IF(DS94=0,0,DS95/DS94)*100</f>
        <v>0</v>
      </c>
      <c r="DT96" s="995">
        <f>IF(DT94=0,0,DT95/DT94)*100</f>
        <v>0</v>
      </c>
      <c r="DU96" s="996"/>
      <c r="DV96" s="995">
        <f>IF(DV94=0,0,DV95/DV94)*100</f>
        <v>0</v>
      </c>
      <c r="DW96" s="995">
        <f>IF(DW94=0,0,DW95/DW94)*100</f>
        <v>0</v>
      </c>
      <c r="DX96" s="996"/>
      <c r="DY96" s="995">
        <f>IF(DY94=0,0,DY95/DY94)*100</f>
        <v>0</v>
      </c>
      <c r="DZ96" s="995">
        <f>IF(DZ94=0,0,DZ95/DZ94)*100</f>
        <v>0</v>
      </c>
      <c r="EA96" s="996"/>
      <c r="EB96" s="995">
        <f>IF(EB94=0,0,EB95/EB94)*100</f>
        <v>0</v>
      </c>
      <c r="EC96" s="995">
        <f>IF(EC94=0,0,EC95/EC94)*100</f>
        <v>0</v>
      </c>
      <c r="ED96" s="996"/>
      <c r="EE96" s="995">
        <f>IF(EE94=0,0,EE95/EE94)*100</f>
        <v>0</v>
      </c>
      <c r="EF96" s="995">
        <f>IF(EF94=0,0,EF95/EF94)*100</f>
        <v>0</v>
      </c>
      <c r="EG96" s="996"/>
      <c r="EH96" s="995">
        <f>IF(EH94=0,0,EH95/EH94)*100</f>
        <v>0</v>
      </c>
      <c r="EI96" s="995">
        <f>IF(EI94=0,0,EI95/EI94)*100</f>
        <v>0</v>
      </c>
      <c r="EJ96" s="996"/>
      <c r="EK96" s="995">
        <f>IF(EK94=0,0,EK95/EK94)*100</f>
        <v>0</v>
      </c>
      <c r="EL96" s="995">
        <f>IF(EL94=0,0,EL95/EL94)*100</f>
        <v>0</v>
      </c>
      <c r="EM96" s="996"/>
      <c r="EN96" s="995">
        <f>IF(EN94=0,0,EN95/EN94)*100</f>
        <v>0</v>
      </c>
      <c r="EO96" s="995">
        <f>IF(EO94=0,0,EO95/EO94)*100</f>
        <v>0</v>
      </c>
      <c r="EP96" s="996"/>
      <c r="EQ96" s="995">
        <f>IF(EQ94=0,0,EQ95/EQ94)*100</f>
        <v>0</v>
      </c>
      <c r="ER96" s="995">
        <f>IF(ER94=0,0,ER95/ER94)*100</f>
        <v>0</v>
      </c>
      <c r="ES96" s="996"/>
      <c r="ET96" s="995">
        <f>IF(ET94=0,0,ET95/ET94)*100</f>
        <v>0</v>
      </c>
      <c r="EU96" s="995">
        <f>IF(EU94=0,0,EU95/EU94)*100</f>
        <v>0</v>
      </c>
      <c r="EV96" s="996"/>
      <c r="EW96" s="995">
        <f>IF(EW94=0,0,EW95/EW94)*100</f>
        <v>0</v>
      </c>
      <c r="EX96" s="995">
        <f>IF(EX94=0,0,EX95/EX94)*100</f>
        <v>0</v>
      </c>
      <c r="EY96" s="996"/>
      <c r="EZ96" s="995">
        <f>IF(EZ94=0,0,EZ95/EZ94)*100</f>
        <v>0</v>
      </c>
      <c r="FA96" s="995">
        <f>IF(FA94=0,0,FA95/FA94)*100</f>
        <v>0</v>
      </c>
      <c r="FB96" s="996"/>
      <c r="FC96" s="995">
        <f>IF(FC94=0,0,FC95/FC94)*100</f>
        <v>0</v>
      </c>
      <c r="FD96" s="995">
        <f>IF(FD94=0,0,FD95/FD94)*100</f>
        <v>0</v>
      </c>
      <c r="FE96" s="996"/>
      <c r="FF96" s="995">
        <f>IF(FF94=0,0,FF95/FF94)*100</f>
        <v>0</v>
      </c>
      <c r="FG96" s="995">
        <f>IF(FG94=0,0,FG95/FG94)*100</f>
        <v>0</v>
      </c>
      <c r="FH96" s="996"/>
      <c r="FI96" s="995">
        <f>IF(FI94=0,0,FI95/FI94)*100</f>
        <v>0</v>
      </c>
      <c r="FJ96" s="995">
        <f>IF(FJ94=0,0,FJ95/FJ94)*100</f>
        <v>0</v>
      </c>
      <c r="FK96" s="996"/>
      <c r="FL96" s="995">
        <f>IF(FL94=0,0,FL95/FL94)*100</f>
        <v>0</v>
      </c>
      <c r="FM96" s="995">
        <f>IF(FM94=0,0,FM95/FM94)*100</f>
        <v>0</v>
      </c>
      <c r="FN96" s="996"/>
      <c r="FO96" s="995">
        <f>IF(FO94=0,0,FO95/FO94)*100</f>
        <v>0</v>
      </c>
      <c r="FP96" s="995">
        <f>IF(FP94=0,0,FP95/FP94)*100</f>
        <v>0</v>
      </c>
      <c r="FQ96" s="996"/>
      <c r="FR96" s="995">
        <f>IF(FR94=0,0,FR95/FR94)*100</f>
        <v>0</v>
      </c>
      <c r="FS96" s="995">
        <f>IF(FS94=0,0,FS95/FS94)*100</f>
        <v>0</v>
      </c>
      <c r="FT96" s="996"/>
      <c r="FU96" s="995">
        <f>IF(FU94=0,0,FU95/FU94)*100</f>
        <v>0</v>
      </c>
      <c r="FV96" s="995">
        <f>IF(FV94=0,0,FV95/FV94)*100</f>
        <v>0</v>
      </c>
      <c r="FW96" s="996"/>
      <c r="FX96" s="208"/>
      <c r="FY96" s="1207"/>
      <c r="FZ96" s="957" t="s">
        <v>1475</v>
      </c>
      <c r="GA96" s="1209"/>
      <c r="GB96" s="1209"/>
      <c r="GC96" s="1208"/>
      <c r="GD96" s="1208"/>
    </row>
    <row r="97" spans="1:186" s="1327" customFormat="1" ht="14.25" customHeight="1">
      <c r="A97" s="409"/>
      <c r="B97" s="830" t="b" cm="1">
        <f t="array" ref="B97">B96</f>
        <v>1</v>
      </c>
      <c r="C97" s="409"/>
      <c r="D97" s="409"/>
      <c r="E97" s="754">
        <v>15</v>
      </c>
      <c r="F97" s="3" t="str" cm="1">
        <f t="array" aca="1" ref="F97" ca="1">OFFSET(E97,-1,1)</f>
        <v>1</v>
      </c>
      <c r="G97" s="26" t="s">
        <v>1476</v>
      </c>
      <c r="H97" s="409" t="s">
        <v>434</v>
      </c>
      <c r="I97" s="409" t="s">
        <v>1474</v>
      </c>
      <c r="J97" s="409"/>
      <c r="K97" s="409"/>
      <c r="L97" s="409"/>
      <c r="M97" s="409"/>
      <c r="N97" s="409"/>
      <c r="O97" s="409"/>
      <c r="P97" s="409"/>
      <c r="Q97" s="806"/>
      <c r="R97" s="409"/>
      <c r="S97" s="409"/>
      <c r="T97" s="381" t="b" cm="1">
        <f t="array" ref="T97">T96</f>
        <v>1</v>
      </c>
      <c r="U97" s="409"/>
      <c r="V97" s="409"/>
      <c r="W97" s="409"/>
      <c r="X97" s="1787"/>
      <c r="Y97" s="409"/>
      <c r="Z97" s="1734"/>
      <c r="AA97" s="409"/>
      <c r="AB97" s="809" t="s">
        <v>1477</v>
      </c>
      <c r="AC97" s="778" t="s">
        <v>499</v>
      </c>
      <c r="AD97" s="997">
        <f ca="1">IF(AND(method_reg="Метод индексации",god&lt;&gt;first_year),SUMIFS(INDEX('Калькуляция (МИ корр)'!$AJ$25:$BC$315,,MATCH(AD$8,'Калькуляция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(МИ)'!$AJ$25:$BC$315,,MATCH(AD$8,'Калькуляция (МИ)'!$AJ$8:$BC$8,0)),'Калькуляция (МИ)'!$F$25:$F$315,$F97,'Калькуляция (МИ)'!$G$25:$G$315,$G97))))</f>
        <v>2.5756999999999999</v>
      </c>
      <c r="AE97" s="997">
        <f ca="1">IF(AND(method_reg="Метод индексации",god&lt;&gt;first_year),SUMIFS(INDEX('Калькуляция (МИ корр)'!$AJ$25:$BC$315,,MATCH(AE$8,'Калькуляция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(МИ)'!$AJ$25:$BC$315,,MATCH(AE$8,'Калькуляция (МИ)'!$AJ$8:$BC$8,0)),'Калькуляция (МИ)'!$F$25:$F$315,$F97,'Калькуляция (МИ)'!$G$25:$G$315,$G97))))</f>
        <v>2.5756999999999999</v>
      </c>
      <c r="AF97" s="998">
        <f ca="1">IF(AD97=0,0,(AE97-AD97)/AD97*100)</f>
        <v>0</v>
      </c>
      <c r="AG97" s="997">
        <f ca="1">IF(AND(method_reg="Метод индексации",god&lt;&gt;first_year),SUMIFS(INDEX('Калькуляция (МИ корр)'!$AJ$25:$BC$315,,MATCH(AG$8,'Калькуляция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(МИ)'!$AJ$25:$BC$315,,MATCH(AG$8,'Калькуляция (МИ)'!$AJ$8:$BC$8,0)),'Калькуляция (МИ)'!$F$25:$F$315,$F97,'Калькуляция (МИ)'!$G$25:$G$315,$G97))))</f>
        <v>2.5756999999999999</v>
      </c>
      <c r="AH97" s="997">
        <f ca="1">IF(AND(method_reg="Метод индексации",god&lt;&gt;first_year),SUMIFS(INDEX('Калькуляция (МИ корр)'!$AJ$25:$BC$315,,MATCH(AH$8,'Калькуляция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(МИ)'!$AJ$25:$BC$315,,MATCH(AH$8,'Калькуляция (МИ)'!$AJ$8:$BC$8,0)),'Калькуляция (МИ)'!$F$25:$F$315,$F97,'Калькуляция (МИ)'!$G$25:$G$315,$G97))))</f>
        <v>2.5756999999999999</v>
      </c>
      <c r="AI97" s="998">
        <f ca="1">IF(AG97=0,0,(AH97-AG97)/AG97*100)</f>
        <v>0</v>
      </c>
      <c r="AJ97" s="997">
        <f ca="1">IF(AND(method_reg="Метод индексации",god&lt;&gt;first_year),SUMIFS(INDEX('Калькуляция (МИ корр)'!$AJ$25:$BC$315,,MATCH(AJ$8,'Калькуляция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(МИ)'!$AJ$25:$BC$315,,MATCH(AJ$8,'Калькуляция (МИ)'!$AJ$8:$BC$8,0)),'Калькуляция (МИ)'!$F$25:$F$315,$F97,'Калькуляция (МИ)'!$G$25:$G$315,$G97))))</f>
        <v>2.5756999999999999</v>
      </c>
      <c r="AK97" s="997">
        <f ca="1">IF(AND(method_reg="Метод индексации",god&lt;&gt;first_year),SUMIFS(INDEX('Калькуляция (МИ корр)'!$AJ$25:$BC$315,,MATCH(AK$8,'Калькуляция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(МИ)'!$AJ$25:$BC$315,,MATCH(AK$8,'Калькуляция (МИ)'!$AJ$8:$BC$8,0)),'Калькуляция (МИ)'!$F$25:$F$315,$F97,'Калькуляция (МИ)'!$G$25:$G$315,$G97))))</f>
        <v>2.5756999999999999</v>
      </c>
      <c r="AL97" s="998">
        <f ca="1">IF(AJ97=0,0,(AK97-AJ97)/AJ97*100)</f>
        <v>0</v>
      </c>
      <c r="AM97" s="997">
        <f ca="1">IF(AND(method_reg="Метод индексации",god&lt;&gt;first_year),SUMIFS(INDEX('Калькуляция (МИ корр)'!$AJ$25:$BC$315,,MATCH(AM$8,'Калькуляция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(МИ)'!$AJ$25:$BC$315,,MATCH(AM$8,'Калькуляция (МИ)'!$AJ$8:$BC$8,0)),'Калькуляция (МИ)'!$F$25:$F$315,$F97,'Калькуляция (МИ)'!$G$25:$G$315,$G97))))</f>
        <v>2.5756999999999999</v>
      </c>
      <c r="AN97" s="997">
        <f ca="1">IF(AND(method_reg="Метод индексации",god&lt;&gt;first_year),SUMIFS(INDEX('Калькуляция (МИ корр)'!$AJ$25:$BC$315,,MATCH(AN$8,'Калькуляция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(МИ)'!$AJ$25:$BC$315,,MATCH(AN$8,'Калькуляция (МИ)'!$AJ$8:$BC$8,0)),'Калькуляция (МИ)'!$F$25:$F$315,$F97,'Калькуляция (МИ)'!$G$25:$G$315,$G97))))</f>
        <v>2.5756999999999999</v>
      </c>
      <c r="AO97" s="998">
        <f ca="1">IF(AM97=0,0,(AN97-AM97)/AM97*100)</f>
        <v>0</v>
      </c>
      <c r="AP97" s="997">
        <f ca="1">IF(AND(method_reg="Метод индексации",god&lt;&gt;first_year),SUMIFS(INDEX('Калькуляция (МИ корр)'!$AJ$25:$BC$315,,MATCH(AP$8,'Калькуляция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(МИ)'!$AJ$25:$BC$315,,MATCH(AP$8,'Калькуляция (МИ)'!$AJ$8:$BC$8,0)),'Калькуляция (МИ)'!$F$25:$F$315,$F97,'Калькуляция (МИ)'!$G$25:$G$315,$G97))))</f>
        <v>2.5756999999999999</v>
      </c>
      <c r="AQ97" s="997">
        <f ca="1">IF(AND(method_reg="Метод индексации",god&lt;&gt;first_year),SUMIFS(INDEX('Калькуляция (МИ корр)'!$AJ$25:$BC$315,,MATCH(AQ$8,'Калькуляция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(МИ)'!$AJ$25:$BC$315,,MATCH(AQ$8,'Калькуляция (МИ)'!$AJ$8:$BC$8,0)),'Калькуляция (МИ)'!$F$25:$F$315,$F97,'Калькуляция (МИ)'!$G$25:$G$315,$G97))))</f>
        <v>2.5756999999999999</v>
      </c>
      <c r="AR97" s="998">
        <f ca="1">IF(AP97=0,0,(AQ97-AP97)/AP97*100)</f>
        <v>0</v>
      </c>
      <c r="AS97" s="997">
        <f ca="1">IF(AND(method_reg="Метод индексации",god&lt;&gt;first_year),SUMIFS(INDEX('Калькуляция (МИ корр)'!$AJ$25:$BC$315,,MATCH(AS$8,'Калькуляция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(МИ)'!$AJ$25:$BC$315,,MATCH(AS$8,'Калькуляция (МИ)'!$AJ$8:$BC$8,0)),'Калькуляция (МИ)'!$F$25:$F$315,$F97,'Калькуляция (МИ)'!$G$25:$G$315,$G97))))</f>
        <v>2.5756999999999999</v>
      </c>
      <c r="AT97" s="997">
        <f ca="1">IF(AND(method_reg="Метод индексации",god&lt;&gt;first_year),SUMIFS(INDEX('Калькуляция (МИ корр)'!$AJ$25:$BC$315,,MATCH(AT$8,'Калькуляция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(МИ)'!$AJ$25:$BC$315,,MATCH(AT$8,'Калькуляция (МИ)'!$AJ$8:$BC$8,0)),'Калькуляция (МИ)'!$F$25:$F$315,$F97,'Калькуляция (МИ)'!$G$25:$G$315,$G97))))</f>
        <v>2.5756999999999999</v>
      </c>
      <c r="AU97" s="998">
        <f ca="1">IF(AS97=0,0,(AT97-AS97)/AS97*100)</f>
        <v>0</v>
      </c>
      <c r="AV97" s="997">
        <f ca="1">IF(AND(method_reg="Метод индексации",god&lt;&gt;first_year),SUMIFS(INDEX('Калькуляция (МИ корр)'!$AJ$25:$BC$315,,MATCH(AV$8,'Калькуляция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(МИ)'!$AJ$25:$BC$315,,MATCH(AV$8,'Калькуляция (МИ)'!$AJ$8:$BC$8,0)),'Калькуляция (МИ)'!$F$25:$F$315,$F97,'Калькуляция (МИ)'!$G$25:$G$315,$G97))))</f>
        <v>2.5756999999999999</v>
      </c>
      <c r="AW97" s="997">
        <f ca="1">IF(AND(method_reg="Метод индексации",god&lt;&gt;first_year),SUMIFS(INDEX('Калькуляция (МИ корр)'!$AJ$25:$BC$315,,MATCH(AW$8,'Калькуляция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(МИ)'!$AJ$25:$BC$315,,MATCH(AW$8,'Калькуляция (МИ)'!$AJ$8:$BC$8,0)),'Калькуляция (МИ)'!$F$25:$F$315,$F97,'Калькуляция (МИ)'!$G$25:$G$315,$G97))))</f>
        <v>2.5756999999999999</v>
      </c>
      <c r="AX97" s="998">
        <f ca="1">IF(AV97=0,0,(AW97-AV97)/AV97*100)</f>
        <v>0</v>
      </c>
      <c r="AY97" s="997">
        <f ca="1">IF(AND(method_reg="Метод индексации",god&lt;&gt;first_year),SUMIFS(INDEX('Калькуляция (МИ корр)'!$AJ$25:$BC$315,,MATCH(AY$8,'Калькуляция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(МИ)'!$AJ$25:$BC$315,,MATCH(AY$8,'Калькуляция (МИ)'!$AJ$8:$BC$8,0)),'Калькуляция (МИ)'!$F$25:$F$315,$F97,'Калькуляция (МИ)'!$G$25:$G$315,$G97))))</f>
        <v>2.5756999999999999</v>
      </c>
      <c r="AZ97" s="997">
        <f ca="1">IF(AND(method_reg="Метод индексации",god&lt;&gt;first_year),SUMIFS(INDEX('Калькуляция (МИ корр)'!$AJ$25:$BC$315,,MATCH(AZ$8,'Калькуляция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(МИ)'!$AJ$25:$BC$315,,MATCH(AZ$8,'Калькуляция (МИ)'!$AJ$8:$BC$8,0)),'Калькуляция (МИ)'!$F$25:$F$315,$F97,'Калькуляция (МИ)'!$G$25:$G$315,$G97))))</f>
        <v>2.5756999999999999</v>
      </c>
      <c r="BA97" s="998">
        <f ca="1">IF(AY97=0,0,(AZ97-AY97)/AY97*100)</f>
        <v>0</v>
      </c>
      <c r="BB97" s="997">
        <f ca="1">IF(AND(method_reg="Метод индексации",god&lt;&gt;first_year),SUMIFS(INDEX('Калькуляция (МИ корр)'!$AJ$25:$BC$315,,MATCH(BB$8,'Калькуляция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(МИ)'!$AJ$25:$BC$315,,MATCH(BB$8,'Калькуляция (МИ)'!$AJ$8:$BC$8,0)),'Калькуляция (МИ)'!$F$25:$F$315,$F97,'Калькуляция (МИ)'!$G$25:$G$315,$G97))))</f>
        <v>2.5756999999999999</v>
      </c>
      <c r="BC97" s="997">
        <f ca="1">IF(AND(method_reg="Метод индексации",god&lt;&gt;first_year),SUMIFS(INDEX('Калькуляция (МИ корр)'!$AJ$25:$BC$315,,MATCH(BC$8,'Калькуляция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(МИ)'!$AJ$25:$BC$315,,MATCH(BC$8,'Калькуляция (МИ)'!$AJ$8:$BC$8,0)),'Калькуляция (МИ)'!$F$25:$F$315,$F97,'Калькуляция (МИ)'!$G$25:$G$315,$G97))))</f>
        <v>2.5756999999999999</v>
      </c>
      <c r="BD97" s="998">
        <f ca="1">IF(BB97=0,0,(BC97-BB97)/BB97*100)</f>
        <v>0</v>
      </c>
      <c r="BE97" s="997">
        <f ca="1">IF(AND(method_reg="Метод индексации",god&lt;&gt;first_year),SUMIFS(INDEX('Калькуляция (МИ корр)'!$AJ$25:$BC$315,,MATCH(BE$8,'Калькуляция (МИ корр)'!$AJ$8:$BC$8,0)),'Калькуляция (МИ корр)'!$F$25:$F$315,$F97,'Калькуляция (МИ корр)'!$G$25:$G$315,$G97),IF(method_reg="Метод экономически обоснованных расходов",SUMIFS('Калькуляция (МЭОР)'!$AJ$25:$AJ$199,'Калькуляция (МЭОР)'!$F$25:$F$199,$F97,'Калькуляция (МЭОР)'!$G$25:$G$199,$G97),IF(method_reg="Метод сравнения аналогов",SUMIFS('Калькуляция (МСА)'!$AE$25:$AE$65,'Калькуляция (МСА)'!$F$25:$F$65,$F97,'Калькуляция (МСА)'!$G$25:$G$65,$G97),SUMIFS(INDEX('Калькуляция (МИ)'!$AJ$25:$BC$315,,MATCH(BE$8,'Калькуляция (МИ)'!$AJ$8:$BC$8,0)),'Калькуляция (МИ)'!$F$25:$F$315,$F97,'Калькуляция (МИ)'!$G$25:$G$315,$G97))))</f>
        <v>2.5756999999999999</v>
      </c>
      <c r="BF97" s="997">
        <f ca="1">IF(AND(method_reg="Метод индексации",god&lt;&gt;first_year),SUMIFS(INDEX('Калькуляция (МИ корр)'!$AJ$25:$BC$315,,MATCH(BF$8,'Калькуляция (МИ корр)'!$AJ$8:$BC$8,0)),'Калькуляция (МИ корр)'!$F$25:$F$315,$F97,'Калькуляция (МИ корр)'!$G$25:$G$315,$G97),IF(method_reg="Метод экономически обоснованных расходов",SUMIFS('Калькуляция (МЭОР)'!$AK$25:$AK$199,'Калькуляция (МЭОР)'!$F$25:$F$199,$F97,'Калькуляция (МЭОР)'!$G$25:$G$199,$G97),IF(method_reg="Метод сравнения аналогов",SUMIFS('Калькуляция (МСА)'!$AF$25:$AF$65,'Калькуляция (МСА)'!$F$25:$F$65,$F97,'Калькуляция (МСА)'!$G$25:$G$65,$G97),SUMIFS(INDEX('Калькуляция (МИ)'!$AJ$25:$BC$315,,MATCH(BF$8,'Калькуляция (МИ)'!$AJ$8:$BC$8,0)),'Калькуляция (МИ)'!$F$25:$F$315,$F97,'Калькуляция (МИ)'!$G$25:$G$315,$G97))))</f>
        <v>2.5756999999999999</v>
      </c>
      <c r="BG97" s="998">
        <f ca="1">IF(BE97=0,0,(BF97-BE97)/BE97*100)</f>
        <v>0</v>
      </c>
      <c r="BH97" s="997"/>
      <c r="BI97" s="997"/>
      <c r="BJ97" s="998">
        <f>IF(BH97=0,0,(BI97-BH97)/BH97*100)</f>
        <v>0</v>
      </c>
      <c r="BK97" s="997"/>
      <c r="BL97" s="997"/>
      <c r="BM97" s="998">
        <f>IF(BK97=0,0,(BL97-BK97)/BK97*100)</f>
        <v>0</v>
      </c>
      <c r="BN97" s="997"/>
      <c r="BO97" s="997"/>
      <c r="BP97" s="998">
        <f>IF(BN97=0,0,(BO97-BN97)/BN97*100)</f>
        <v>0</v>
      </c>
      <c r="BQ97" s="997"/>
      <c r="BR97" s="997"/>
      <c r="BS97" s="998">
        <f>IF(BQ97=0,0,(BR97-BQ97)/BQ97*100)</f>
        <v>0</v>
      </c>
      <c r="BT97" s="997"/>
      <c r="BU97" s="997"/>
      <c r="BV97" s="998">
        <f>IF(BT97=0,0,(BU97-BT97)/BT97*100)</f>
        <v>0</v>
      </c>
      <c r="BW97" s="997"/>
      <c r="BX97" s="997"/>
      <c r="BY97" s="998">
        <f>IF(BW97=0,0,(BX97-BW97)/BW97*100)</f>
        <v>0</v>
      </c>
      <c r="BZ97" s="997"/>
      <c r="CA97" s="997"/>
      <c r="CB97" s="998">
        <f>IF(BZ97=0,0,(CA97-BZ97)/BZ97*100)</f>
        <v>0</v>
      </c>
      <c r="CC97" s="997"/>
      <c r="CD97" s="997"/>
      <c r="CE97" s="998">
        <f>IF(CC97=0,0,(CD97-CC97)/CC97*100)</f>
        <v>0</v>
      </c>
      <c r="CF97" s="997"/>
      <c r="CG97" s="997"/>
      <c r="CH97" s="998">
        <f>IF(CF97=0,0,(CG97-CF97)/CF97*100)</f>
        <v>0</v>
      </c>
      <c r="CI97" s="997"/>
      <c r="CJ97" s="997"/>
      <c r="CK97" s="998">
        <f>IF(CI97=0,0,(CJ97-CI97)/CI97*100)</f>
        <v>0</v>
      </c>
      <c r="CL97" s="997"/>
      <c r="CM97" s="997"/>
      <c r="CN97" s="998">
        <f>IF(CL97=0,0,(CM97-CL97)/CL97*100)</f>
        <v>0</v>
      </c>
      <c r="CO97" s="997"/>
      <c r="CP97" s="997"/>
      <c r="CQ97" s="998">
        <f>IF(CO97=0,0,(CP97-CO97)/CO97*100)</f>
        <v>0</v>
      </c>
      <c r="CR97" s="997"/>
      <c r="CS97" s="997"/>
      <c r="CT97" s="998">
        <f>IF(CR97=0,0,(CS97-CR97)/CR97*100)</f>
        <v>0</v>
      </c>
      <c r="CU97" s="997"/>
      <c r="CV97" s="997"/>
      <c r="CW97" s="998">
        <f>IF(CU97=0,0,(CV97-CU97)/CU97*100)</f>
        <v>0</v>
      </c>
      <c r="CX97" s="997"/>
      <c r="CY97" s="997"/>
      <c r="CZ97" s="998">
        <f>IF(CX97=0,0,(CY97-CX97)/CX97*100)</f>
        <v>0</v>
      </c>
      <c r="DA97" s="997"/>
      <c r="DB97" s="997"/>
      <c r="DC97" s="998">
        <f>IF(DA97=0,0,(DB97-DA97)/DA97*100)</f>
        <v>0</v>
      </c>
      <c r="DD97" s="997"/>
      <c r="DE97" s="997"/>
      <c r="DF97" s="998">
        <f>IF(DD97=0,0,(DE97-DD97)/DD97*100)</f>
        <v>0</v>
      </c>
      <c r="DG97" s="997"/>
      <c r="DH97" s="997"/>
      <c r="DI97" s="998">
        <f>IF(DG97=0,0,(DH97-DG97)/DG97*100)</f>
        <v>0</v>
      </c>
      <c r="DJ97" s="997"/>
      <c r="DK97" s="997"/>
      <c r="DL97" s="998">
        <f>IF(DJ97=0,0,(DK97-DJ97)/DJ97*100)</f>
        <v>0</v>
      </c>
      <c r="DM97" s="997"/>
      <c r="DN97" s="997"/>
      <c r="DO97" s="998">
        <f>IF(DM97=0,0,(DN97-DM97)/DM97*100)</f>
        <v>0</v>
      </c>
      <c r="DP97" s="997"/>
      <c r="DQ97" s="997"/>
      <c r="DR97" s="998">
        <f>IF(DP97=0,0,(DQ97-DP97)/DP97*100)</f>
        <v>0</v>
      </c>
      <c r="DS97" s="997"/>
      <c r="DT97" s="997"/>
      <c r="DU97" s="998">
        <f>IF(DS97=0,0,(DT97-DS97)/DS97*100)</f>
        <v>0</v>
      </c>
      <c r="DV97" s="997"/>
      <c r="DW97" s="997"/>
      <c r="DX97" s="998">
        <f>IF(DV97=0,0,(DW97-DV97)/DV97*100)</f>
        <v>0</v>
      </c>
      <c r="DY97" s="997"/>
      <c r="DZ97" s="997"/>
      <c r="EA97" s="998">
        <f>IF(DY97=0,0,(DZ97-DY97)/DY97*100)</f>
        <v>0</v>
      </c>
      <c r="EB97" s="997"/>
      <c r="EC97" s="997"/>
      <c r="ED97" s="998">
        <f>IF(EB97=0,0,(EC97-EB97)/EB97*100)</f>
        <v>0</v>
      </c>
      <c r="EE97" s="997"/>
      <c r="EF97" s="997"/>
      <c r="EG97" s="998">
        <f>IF(EE97=0,0,(EF97-EE97)/EE97*100)</f>
        <v>0</v>
      </c>
      <c r="EH97" s="997"/>
      <c r="EI97" s="997"/>
      <c r="EJ97" s="998">
        <f>IF(EH97=0,0,(EI97-EH97)/EH97*100)</f>
        <v>0</v>
      </c>
      <c r="EK97" s="997"/>
      <c r="EL97" s="997"/>
      <c r="EM97" s="998">
        <f>IF(EK97=0,0,(EL97-EK97)/EK97*100)</f>
        <v>0</v>
      </c>
      <c r="EN97" s="997"/>
      <c r="EO97" s="997"/>
      <c r="EP97" s="998">
        <f>IF(EN97=0,0,(EO97-EN97)/EN97*100)</f>
        <v>0</v>
      </c>
      <c r="EQ97" s="997"/>
      <c r="ER97" s="997"/>
      <c r="ES97" s="998">
        <f>IF(EQ97=0,0,(ER97-EQ97)/EQ97*100)</f>
        <v>0</v>
      </c>
      <c r="ET97" s="997"/>
      <c r="EU97" s="997"/>
      <c r="EV97" s="998">
        <f>IF(ET97=0,0,(EU97-ET97)/ET97*100)</f>
        <v>0</v>
      </c>
      <c r="EW97" s="997"/>
      <c r="EX97" s="997"/>
      <c r="EY97" s="998">
        <f>IF(EW97=0,0,(EX97-EW97)/EW97*100)</f>
        <v>0</v>
      </c>
      <c r="EZ97" s="997"/>
      <c r="FA97" s="997"/>
      <c r="FB97" s="998">
        <f>IF(EZ97=0,0,(FA97-EZ97)/EZ97*100)</f>
        <v>0</v>
      </c>
      <c r="FC97" s="997"/>
      <c r="FD97" s="997"/>
      <c r="FE97" s="998">
        <f>IF(FC97=0,0,(FD97-FC97)/FC97*100)</f>
        <v>0</v>
      </c>
      <c r="FF97" s="997"/>
      <c r="FG97" s="997"/>
      <c r="FH97" s="998">
        <f>IF(FF97=0,0,(FG97-FF97)/FF97*100)</f>
        <v>0</v>
      </c>
      <c r="FI97" s="997"/>
      <c r="FJ97" s="997"/>
      <c r="FK97" s="998">
        <f>IF(FI97=0,0,(FJ97-FI97)/FI97*100)</f>
        <v>0</v>
      </c>
      <c r="FL97" s="997"/>
      <c r="FM97" s="997"/>
      <c r="FN97" s="998">
        <f>IF(FL97=0,0,(FM97-FL97)/FL97*100)</f>
        <v>0</v>
      </c>
      <c r="FO97" s="997"/>
      <c r="FP97" s="997"/>
      <c r="FQ97" s="998">
        <f>IF(FO97=0,0,(FP97-FO97)/FO97*100)</f>
        <v>0</v>
      </c>
      <c r="FR97" s="997"/>
      <c r="FS97" s="997"/>
      <c r="FT97" s="998">
        <f>IF(FR97=0,0,(FS97-FR97)/FR97*100)</f>
        <v>0</v>
      </c>
      <c r="FU97" s="997"/>
      <c r="FV97" s="997"/>
      <c r="FW97" s="998">
        <f>IF(FU97=0,0,(FV97-FU97)/FU97*100)</f>
        <v>0</v>
      </c>
      <c r="FX97" s="208"/>
      <c r="FY97" s="1207"/>
      <c r="FZ97" s="957" t="s">
        <v>1478</v>
      </c>
      <c r="GA97" s="1209"/>
      <c r="GB97" s="1209"/>
      <c r="GC97" s="1208"/>
      <c r="GD97" s="1208"/>
    </row>
    <row r="98" spans="1:186" s="1327" customFormat="1" ht="18" hidden="1" customHeight="1">
      <c r="A98" s="409"/>
      <c r="B98" s="830" t="b" cm="1">
        <f t="array" ref="B98">B97</f>
        <v>1</v>
      </c>
      <c r="C98" s="409"/>
      <c r="D98" s="409"/>
      <c r="E98" s="754">
        <v>18.75</v>
      </c>
      <c r="F98" s="3" t="str" cm="1">
        <f t="array" aca="1" ref="F98" ca="1">OFFSET(E98,-1,1)</f>
        <v>1</v>
      </c>
      <c r="G98" s="409"/>
      <c r="H98" s="409" t="s">
        <v>427</v>
      </c>
      <c r="I98" s="409" cm="1">
        <f t="array" ref="I98">AB98</f>
        <v>0</v>
      </c>
      <c r="J98" s="409"/>
      <c r="K98" s="409"/>
      <c r="L98" s="409"/>
      <c r="M98" s="409"/>
      <c r="N98" s="409"/>
      <c r="O98" s="409"/>
      <c r="P98" s="409"/>
      <c r="Q98" s="806"/>
      <c r="R98" s="409"/>
      <c r="S98" s="409"/>
      <c r="T98" s="381" t="b">
        <f ca="1">AND(F98&gt;0,Y98&gt;0)</f>
        <v>0</v>
      </c>
      <c r="U98" s="409"/>
      <c r="V98" s="409"/>
      <c r="W98" s="409" t="s">
        <v>173</v>
      </c>
      <c r="X98" s="1787"/>
      <c r="Y98" s="1787">
        <v>0</v>
      </c>
      <c r="Z98" s="1734"/>
      <c r="AA98" s="1681" t="s">
        <v>174</v>
      </c>
      <c r="AB98" s="1427"/>
      <c r="AC98" s="778" t="s">
        <v>1454</v>
      </c>
      <c r="AD98" s="1428"/>
      <c r="AE98" s="1429"/>
      <c r="AF98" s="996">
        <f>IF(AD98=0,0,(AE98-AD98)/AD98*100)</f>
        <v>0</v>
      </c>
      <c r="AG98" s="1428"/>
      <c r="AH98" s="1429"/>
      <c r="AI98" s="996">
        <f>IF(AG98=0,0,(AH98-AG98)/AG98*100)</f>
        <v>0</v>
      </c>
      <c r="AJ98" s="1428"/>
      <c r="AK98" s="1429"/>
      <c r="AL98" s="996">
        <f>IF(AJ98=0,0,(AK98-AJ98)/AJ98*100)</f>
        <v>0</v>
      </c>
      <c r="AM98" s="1428"/>
      <c r="AN98" s="1429"/>
      <c r="AO98" s="996">
        <f>IF(AM98=0,0,(AN98-AM98)/AM98*100)</f>
        <v>0</v>
      </c>
      <c r="AP98" s="1428"/>
      <c r="AQ98" s="1429"/>
      <c r="AR98" s="996">
        <f>IF(AP98=0,0,(AQ98-AP98)/AP98*100)</f>
        <v>0</v>
      </c>
      <c r="AS98" s="1428"/>
      <c r="AT98" s="1429"/>
      <c r="AU98" s="996">
        <f>IF(AS98=0,0,(AT98-AS98)/AS98*100)</f>
        <v>0</v>
      </c>
      <c r="AV98" s="1428"/>
      <c r="AW98" s="1429"/>
      <c r="AX98" s="996">
        <f>IF(AV98=0,0,(AW98-AV98)/AV98*100)</f>
        <v>0</v>
      </c>
      <c r="AY98" s="1428"/>
      <c r="AZ98" s="1429"/>
      <c r="BA98" s="996">
        <f>IF(AY98=0,0,(AZ98-AY98)/AY98*100)</f>
        <v>0</v>
      </c>
      <c r="BB98" s="1428"/>
      <c r="BC98" s="1429"/>
      <c r="BD98" s="996">
        <f>IF(BB98=0,0,(BC98-BB98)/BB98*100)</f>
        <v>0</v>
      </c>
      <c r="BE98" s="1428"/>
      <c r="BF98" s="1429"/>
      <c r="BG98" s="996">
        <f>IF(BE98=0,0,(BF98-BE98)/BE98*100)</f>
        <v>0</v>
      </c>
      <c r="BH98" s="1428"/>
      <c r="BI98" s="1429"/>
      <c r="BJ98" s="996">
        <f>IF(BH98=0,0,(BI98-BH98)/BH98*100)</f>
        <v>0</v>
      </c>
      <c r="BK98" s="1428"/>
      <c r="BL98" s="1429"/>
      <c r="BM98" s="996">
        <f>IF(BK98=0,0,(BL98-BK98)/BK98*100)</f>
        <v>0</v>
      </c>
      <c r="BN98" s="1428"/>
      <c r="BO98" s="1429"/>
      <c r="BP98" s="996">
        <f>IF(BN98=0,0,(BO98-BN98)/BN98*100)</f>
        <v>0</v>
      </c>
      <c r="BQ98" s="1428"/>
      <c r="BR98" s="1429"/>
      <c r="BS98" s="996">
        <f>IF(BQ98=0,0,(BR98-BQ98)/BQ98*100)</f>
        <v>0</v>
      </c>
      <c r="BT98" s="1428"/>
      <c r="BU98" s="1429"/>
      <c r="BV98" s="996">
        <f>IF(BT98=0,0,(BU98-BT98)/BT98*100)</f>
        <v>0</v>
      </c>
      <c r="BW98" s="1428"/>
      <c r="BX98" s="1429"/>
      <c r="BY98" s="996">
        <f>IF(BW98=0,0,(BX98-BW98)/BW98*100)</f>
        <v>0</v>
      </c>
      <c r="BZ98" s="1428"/>
      <c r="CA98" s="1429"/>
      <c r="CB98" s="996">
        <f>IF(BZ98=0,0,(CA98-BZ98)/BZ98*100)</f>
        <v>0</v>
      </c>
      <c r="CC98" s="1428"/>
      <c r="CD98" s="1429"/>
      <c r="CE98" s="996">
        <f>IF(CC98=0,0,(CD98-CC98)/CC98*100)</f>
        <v>0</v>
      </c>
      <c r="CF98" s="1428"/>
      <c r="CG98" s="1429"/>
      <c r="CH98" s="996">
        <f>IF(CF98=0,0,(CG98-CF98)/CF98*100)</f>
        <v>0</v>
      </c>
      <c r="CI98" s="1428"/>
      <c r="CJ98" s="1429"/>
      <c r="CK98" s="996">
        <f>IF(CI98=0,0,(CJ98-CI98)/CI98*100)</f>
        <v>0</v>
      </c>
      <c r="CL98" s="1428"/>
      <c r="CM98" s="1429"/>
      <c r="CN98" s="996">
        <f>IF(CL98=0,0,(CM98-CL98)/CL98*100)</f>
        <v>0</v>
      </c>
      <c r="CO98" s="1428"/>
      <c r="CP98" s="1429"/>
      <c r="CQ98" s="996">
        <f>IF(CO98=0,0,(CP98-CO98)/CO98*100)</f>
        <v>0</v>
      </c>
      <c r="CR98" s="1428"/>
      <c r="CS98" s="1429"/>
      <c r="CT98" s="996">
        <f>IF(CR98=0,0,(CS98-CR98)/CR98*100)</f>
        <v>0</v>
      </c>
      <c r="CU98" s="1428"/>
      <c r="CV98" s="1429"/>
      <c r="CW98" s="996">
        <f>IF(CU98=0,0,(CV98-CU98)/CU98*100)</f>
        <v>0</v>
      </c>
      <c r="CX98" s="1428"/>
      <c r="CY98" s="1429"/>
      <c r="CZ98" s="996">
        <f>IF(CX98=0,0,(CY98-CX98)/CX98*100)</f>
        <v>0</v>
      </c>
      <c r="DA98" s="1428"/>
      <c r="DB98" s="1429"/>
      <c r="DC98" s="996">
        <f>IF(DA98=0,0,(DB98-DA98)/DA98*100)</f>
        <v>0</v>
      </c>
      <c r="DD98" s="1428"/>
      <c r="DE98" s="1429"/>
      <c r="DF98" s="996">
        <f>IF(DD98=0,0,(DE98-DD98)/DD98*100)</f>
        <v>0</v>
      </c>
      <c r="DG98" s="1428"/>
      <c r="DH98" s="1429"/>
      <c r="DI98" s="996">
        <f>IF(DG98=0,0,(DH98-DG98)/DG98*100)</f>
        <v>0</v>
      </c>
      <c r="DJ98" s="1428"/>
      <c r="DK98" s="1429"/>
      <c r="DL98" s="996">
        <f>IF(DJ98=0,0,(DK98-DJ98)/DJ98*100)</f>
        <v>0</v>
      </c>
      <c r="DM98" s="1428"/>
      <c r="DN98" s="1429"/>
      <c r="DO98" s="996">
        <f>IF(DM98=0,0,(DN98-DM98)/DM98*100)</f>
        <v>0</v>
      </c>
      <c r="DP98" s="1428"/>
      <c r="DQ98" s="1429"/>
      <c r="DR98" s="996">
        <f>IF(DP98=0,0,(DQ98-DP98)/DP98*100)</f>
        <v>0</v>
      </c>
      <c r="DS98" s="1428"/>
      <c r="DT98" s="1429"/>
      <c r="DU98" s="996">
        <f>IF(DS98=0,0,(DT98-DS98)/DS98*100)</f>
        <v>0</v>
      </c>
      <c r="DV98" s="1428"/>
      <c r="DW98" s="1429"/>
      <c r="DX98" s="996">
        <f>IF(DV98=0,0,(DW98-DV98)/DV98*100)</f>
        <v>0</v>
      </c>
      <c r="DY98" s="1428"/>
      <c r="DZ98" s="1429"/>
      <c r="EA98" s="996">
        <f>IF(DY98=0,0,(DZ98-DY98)/DY98*100)</f>
        <v>0</v>
      </c>
      <c r="EB98" s="1428"/>
      <c r="EC98" s="1429"/>
      <c r="ED98" s="996">
        <f>IF(EB98=0,0,(EC98-EB98)/EB98*100)</f>
        <v>0</v>
      </c>
      <c r="EE98" s="1428"/>
      <c r="EF98" s="1429"/>
      <c r="EG98" s="996">
        <f>IF(EE98=0,0,(EF98-EE98)/EE98*100)</f>
        <v>0</v>
      </c>
      <c r="EH98" s="1428"/>
      <c r="EI98" s="1429"/>
      <c r="EJ98" s="996">
        <f>IF(EH98=0,0,(EI98-EH98)/EH98*100)</f>
        <v>0</v>
      </c>
      <c r="EK98" s="1428"/>
      <c r="EL98" s="1429"/>
      <c r="EM98" s="996">
        <f>IF(EK98=0,0,(EL98-EK98)/EK98*100)</f>
        <v>0</v>
      </c>
      <c r="EN98" s="1428"/>
      <c r="EO98" s="1429"/>
      <c r="EP98" s="996">
        <f>IF(EN98=0,0,(EO98-EN98)/EN98*100)</f>
        <v>0</v>
      </c>
      <c r="EQ98" s="1428"/>
      <c r="ER98" s="1429"/>
      <c r="ES98" s="996">
        <f>IF(EQ98=0,0,(ER98-EQ98)/EQ98*100)</f>
        <v>0</v>
      </c>
      <c r="ET98" s="1428"/>
      <c r="EU98" s="1429"/>
      <c r="EV98" s="996">
        <f>IF(ET98=0,0,(EU98-ET98)/ET98*100)</f>
        <v>0</v>
      </c>
      <c r="EW98" s="1428"/>
      <c r="EX98" s="1429"/>
      <c r="EY98" s="996">
        <f>IF(EW98=0,0,(EX98-EW98)/EW98*100)</f>
        <v>0</v>
      </c>
      <c r="EZ98" s="1428"/>
      <c r="FA98" s="1429"/>
      <c r="FB98" s="996">
        <f>IF(EZ98=0,0,(FA98-EZ98)/EZ98*100)</f>
        <v>0</v>
      </c>
      <c r="FC98" s="1428"/>
      <c r="FD98" s="1429"/>
      <c r="FE98" s="996">
        <f>IF(FC98=0,0,(FD98-FC98)/FC98*100)</f>
        <v>0</v>
      </c>
      <c r="FF98" s="1428"/>
      <c r="FG98" s="1429"/>
      <c r="FH98" s="996">
        <f>IF(FF98=0,0,(FG98-FF98)/FF98*100)</f>
        <v>0</v>
      </c>
      <c r="FI98" s="1428"/>
      <c r="FJ98" s="1429"/>
      <c r="FK98" s="996">
        <f>IF(FI98=0,0,(FJ98-FI98)/FI98*100)</f>
        <v>0</v>
      </c>
      <c r="FL98" s="1428"/>
      <c r="FM98" s="1429"/>
      <c r="FN98" s="996">
        <f>IF(FL98=0,0,(FM98-FL98)/FL98*100)</f>
        <v>0</v>
      </c>
      <c r="FO98" s="1428"/>
      <c r="FP98" s="1429"/>
      <c r="FQ98" s="996">
        <f>IF(FO98=0,0,(FP98-FO98)/FO98*100)</f>
        <v>0</v>
      </c>
      <c r="FR98" s="1428"/>
      <c r="FS98" s="1429"/>
      <c r="FT98" s="996">
        <f>IF(FR98=0,0,(FS98-FR98)/FR98*100)</f>
        <v>0</v>
      </c>
      <c r="FU98" s="1428"/>
      <c r="FV98" s="1429"/>
      <c r="FW98" s="996">
        <f>IF(FU98=0,0,(FV98-FU98)/FU98*100)</f>
        <v>0</v>
      </c>
      <c r="FX98" s="208"/>
      <c r="FY98" s="1207"/>
      <c r="FZ98" s="957" t="s">
        <v>1479</v>
      </c>
      <c r="GA98" s="917" t="s">
        <v>1480</v>
      </c>
      <c r="GB98" s="917" cm="1">
        <f t="array" ref="GB98">AB98</f>
        <v>0</v>
      </c>
      <c r="GC98" s="1208"/>
      <c r="GD98" s="549" t="b">
        <v>1</v>
      </c>
    </row>
    <row r="99" spans="1:186" s="1327" customFormat="1" ht="14.25" hidden="1" customHeight="1">
      <c r="A99" s="409"/>
      <c r="B99" s="830" t="b" cm="1">
        <f t="array" ref="B99">B98</f>
        <v>1</v>
      </c>
      <c r="C99" s="409"/>
      <c r="D99" s="409"/>
      <c r="E99" s="754">
        <v>15</v>
      </c>
      <c r="F99" s="3" t="str" cm="1">
        <f t="array" aca="1" ref="F99" ca="1">OFFSET(E99,-1,1)</f>
        <v>1</v>
      </c>
      <c r="G99" s="409"/>
      <c r="H99" s="409" t="s">
        <v>434</v>
      </c>
      <c r="I99" s="409" cm="1">
        <f t="array" ref="I99">I98</f>
        <v>0</v>
      </c>
      <c r="J99" s="409"/>
      <c r="K99" s="409"/>
      <c r="L99" s="409"/>
      <c r="M99" s="409"/>
      <c r="N99" s="409"/>
      <c r="O99" s="409"/>
      <c r="P99" s="409"/>
      <c r="Q99" s="806"/>
      <c r="R99" s="409"/>
      <c r="S99" s="409"/>
      <c r="T99" s="381" t="b" cm="1">
        <f t="array" aca="1" ref="T99" ca="1">T98</f>
        <v>0</v>
      </c>
      <c r="U99" s="409"/>
      <c r="V99" s="409"/>
      <c r="W99" s="409"/>
      <c r="X99" s="1787"/>
      <c r="Y99" s="1787"/>
      <c r="Z99" s="1734"/>
      <c r="AA99" s="1681"/>
      <c r="AB99" s="809" t="s">
        <v>1481</v>
      </c>
      <c r="AC99" s="216" t="s">
        <v>499</v>
      </c>
      <c r="AD99" s="1426"/>
      <c r="AE99" s="1426"/>
      <c r="AF99" s="998">
        <f>IF(AD99=0,0,(AE99-AD99)/AD99*100)</f>
        <v>0</v>
      </c>
      <c r="AG99" s="1426"/>
      <c r="AH99" s="1426"/>
      <c r="AI99" s="998">
        <f>IF(AG99=0,0,(AH99-AG99)/AG99*100)</f>
        <v>0</v>
      </c>
      <c r="AJ99" s="1426"/>
      <c r="AK99" s="1426"/>
      <c r="AL99" s="998">
        <f>IF(AJ99=0,0,(AK99-AJ99)/AJ99*100)</f>
        <v>0</v>
      </c>
      <c r="AM99" s="1426"/>
      <c r="AN99" s="1426"/>
      <c r="AO99" s="998">
        <f>IF(AM99=0,0,(AN99-AM99)/AM99*100)</f>
        <v>0</v>
      </c>
      <c r="AP99" s="1426"/>
      <c r="AQ99" s="1426"/>
      <c r="AR99" s="998">
        <f>IF(AP99=0,0,(AQ99-AP99)/AP99*100)</f>
        <v>0</v>
      </c>
      <c r="AS99" s="1426"/>
      <c r="AT99" s="1426"/>
      <c r="AU99" s="998">
        <f>IF(AS99=0,0,(AT99-AS99)/AS99*100)</f>
        <v>0</v>
      </c>
      <c r="AV99" s="1426"/>
      <c r="AW99" s="1426"/>
      <c r="AX99" s="998">
        <f>IF(AV99=0,0,(AW99-AV99)/AV99*100)</f>
        <v>0</v>
      </c>
      <c r="AY99" s="1426"/>
      <c r="AZ99" s="1426"/>
      <c r="BA99" s="998">
        <f>IF(AY99=0,0,(AZ99-AY99)/AY99*100)</f>
        <v>0</v>
      </c>
      <c r="BB99" s="1426"/>
      <c r="BC99" s="1426"/>
      <c r="BD99" s="998">
        <f>IF(BB99=0,0,(BC99-BB99)/BB99*100)</f>
        <v>0</v>
      </c>
      <c r="BE99" s="1426"/>
      <c r="BF99" s="1426"/>
      <c r="BG99" s="998">
        <f>IF(BE99=0,0,(BF99-BE99)/BE99*100)</f>
        <v>0</v>
      </c>
      <c r="BH99" s="1426"/>
      <c r="BI99" s="1426"/>
      <c r="BJ99" s="998">
        <f>IF(BH99=0,0,(BI99-BH99)/BH99*100)</f>
        <v>0</v>
      </c>
      <c r="BK99" s="1426"/>
      <c r="BL99" s="1426"/>
      <c r="BM99" s="998">
        <f>IF(BK99=0,0,(BL99-BK99)/BK99*100)</f>
        <v>0</v>
      </c>
      <c r="BN99" s="1426"/>
      <c r="BO99" s="1426"/>
      <c r="BP99" s="998">
        <f>IF(BN99=0,0,(BO99-BN99)/BN99*100)</f>
        <v>0</v>
      </c>
      <c r="BQ99" s="1426"/>
      <c r="BR99" s="1426"/>
      <c r="BS99" s="998">
        <f>IF(BQ99=0,0,(BR99-BQ99)/BQ99*100)</f>
        <v>0</v>
      </c>
      <c r="BT99" s="1426"/>
      <c r="BU99" s="1426"/>
      <c r="BV99" s="998">
        <f>IF(BT99=0,0,(BU99-BT99)/BT99*100)</f>
        <v>0</v>
      </c>
      <c r="BW99" s="1426"/>
      <c r="BX99" s="1426"/>
      <c r="BY99" s="998">
        <f>IF(BW99=0,0,(BX99-BW99)/BW99*100)</f>
        <v>0</v>
      </c>
      <c r="BZ99" s="1426"/>
      <c r="CA99" s="1426"/>
      <c r="CB99" s="998">
        <f>IF(BZ99=0,0,(CA99-BZ99)/BZ99*100)</f>
        <v>0</v>
      </c>
      <c r="CC99" s="1426"/>
      <c r="CD99" s="1426"/>
      <c r="CE99" s="998">
        <f>IF(CC99=0,0,(CD99-CC99)/CC99*100)</f>
        <v>0</v>
      </c>
      <c r="CF99" s="1426"/>
      <c r="CG99" s="1426"/>
      <c r="CH99" s="998">
        <f>IF(CF99=0,0,(CG99-CF99)/CF99*100)</f>
        <v>0</v>
      </c>
      <c r="CI99" s="1426"/>
      <c r="CJ99" s="1426"/>
      <c r="CK99" s="998">
        <f>IF(CI99=0,0,(CJ99-CI99)/CI99*100)</f>
        <v>0</v>
      </c>
      <c r="CL99" s="1426"/>
      <c r="CM99" s="1426"/>
      <c r="CN99" s="998">
        <f>IF(CL99=0,0,(CM99-CL99)/CL99*100)</f>
        <v>0</v>
      </c>
      <c r="CO99" s="1426"/>
      <c r="CP99" s="1426"/>
      <c r="CQ99" s="998">
        <f>IF(CO99=0,0,(CP99-CO99)/CO99*100)</f>
        <v>0</v>
      </c>
      <c r="CR99" s="1426"/>
      <c r="CS99" s="1426"/>
      <c r="CT99" s="998">
        <f>IF(CR99=0,0,(CS99-CR99)/CR99*100)</f>
        <v>0</v>
      </c>
      <c r="CU99" s="1426"/>
      <c r="CV99" s="1426"/>
      <c r="CW99" s="998">
        <f>IF(CU99=0,0,(CV99-CU99)/CU99*100)</f>
        <v>0</v>
      </c>
      <c r="CX99" s="1426"/>
      <c r="CY99" s="1426"/>
      <c r="CZ99" s="998">
        <f>IF(CX99=0,0,(CY99-CX99)/CX99*100)</f>
        <v>0</v>
      </c>
      <c r="DA99" s="1426"/>
      <c r="DB99" s="1426"/>
      <c r="DC99" s="998">
        <f>IF(DA99=0,0,(DB99-DA99)/DA99*100)</f>
        <v>0</v>
      </c>
      <c r="DD99" s="1426"/>
      <c r="DE99" s="1426"/>
      <c r="DF99" s="998">
        <f>IF(DD99=0,0,(DE99-DD99)/DD99*100)</f>
        <v>0</v>
      </c>
      <c r="DG99" s="1426"/>
      <c r="DH99" s="1426"/>
      <c r="DI99" s="998">
        <f>IF(DG99=0,0,(DH99-DG99)/DG99*100)</f>
        <v>0</v>
      </c>
      <c r="DJ99" s="1426"/>
      <c r="DK99" s="1426"/>
      <c r="DL99" s="998">
        <f>IF(DJ99=0,0,(DK99-DJ99)/DJ99*100)</f>
        <v>0</v>
      </c>
      <c r="DM99" s="1426"/>
      <c r="DN99" s="1426"/>
      <c r="DO99" s="998">
        <f>IF(DM99=0,0,(DN99-DM99)/DM99*100)</f>
        <v>0</v>
      </c>
      <c r="DP99" s="1426"/>
      <c r="DQ99" s="1426"/>
      <c r="DR99" s="998">
        <f>IF(DP99=0,0,(DQ99-DP99)/DP99*100)</f>
        <v>0</v>
      </c>
      <c r="DS99" s="1426"/>
      <c r="DT99" s="1426"/>
      <c r="DU99" s="998">
        <f>IF(DS99=0,0,(DT99-DS99)/DS99*100)</f>
        <v>0</v>
      </c>
      <c r="DV99" s="1426"/>
      <c r="DW99" s="1426"/>
      <c r="DX99" s="998">
        <f>IF(DV99=0,0,(DW99-DV99)/DV99*100)</f>
        <v>0</v>
      </c>
      <c r="DY99" s="1426"/>
      <c r="DZ99" s="1426"/>
      <c r="EA99" s="998">
        <f>IF(DY99=0,0,(DZ99-DY99)/DY99*100)</f>
        <v>0</v>
      </c>
      <c r="EB99" s="1426"/>
      <c r="EC99" s="1426"/>
      <c r="ED99" s="998">
        <f>IF(EB99=0,0,(EC99-EB99)/EB99*100)</f>
        <v>0</v>
      </c>
      <c r="EE99" s="1426"/>
      <c r="EF99" s="1426"/>
      <c r="EG99" s="998">
        <f>IF(EE99=0,0,(EF99-EE99)/EE99*100)</f>
        <v>0</v>
      </c>
      <c r="EH99" s="1426"/>
      <c r="EI99" s="1426"/>
      <c r="EJ99" s="998">
        <f>IF(EH99=0,0,(EI99-EH99)/EH99*100)</f>
        <v>0</v>
      </c>
      <c r="EK99" s="1426"/>
      <c r="EL99" s="1426"/>
      <c r="EM99" s="998">
        <f>IF(EK99=0,0,(EL99-EK99)/EK99*100)</f>
        <v>0</v>
      </c>
      <c r="EN99" s="1426"/>
      <c r="EO99" s="1426"/>
      <c r="EP99" s="998">
        <f>IF(EN99=0,0,(EO99-EN99)/EN99*100)</f>
        <v>0</v>
      </c>
      <c r="EQ99" s="1426"/>
      <c r="ER99" s="1426"/>
      <c r="ES99" s="998">
        <f>IF(EQ99=0,0,(ER99-EQ99)/EQ99*100)</f>
        <v>0</v>
      </c>
      <c r="ET99" s="1426"/>
      <c r="EU99" s="1426"/>
      <c r="EV99" s="998">
        <f>IF(ET99=0,0,(EU99-ET99)/ET99*100)</f>
        <v>0</v>
      </c>
      <c r="EW99" s="1426"/>
      <c r="EX99" s="1426"/>
      <c r="EY99" s="998">
        <f>IF(EW99=0,0,(EX99-EW99)/EW99*100)</f>
        <v>0</v>
      </c>
      <c r="EZ99" s="1426"/>
      <c r="FA99" s="1426"/>
      <c r="FB99" s="998">
        <f>IF(EZ99=0,0,(FA99-EZ99)/EZ99*100)</f>
        <v>0</v>
      </c>
      <c r="FC99" s="1426"/>
      <c r="FD99" s="1426"/>
      <c r="FE99" s="998">
        <f>IF(FC99=0,0,(FD99-FC99)/FC99*100)</f>
        <v>0</v>
      </c>
      <c r="FF99" s="1426"/>
      <c r="FG99" s="1426"/>
      <c r="FH99" s="998">
        <f>IF(FF99=0,0,(FG99-FF99)/FF99*100)</f>
        <v>0</v>
      </c>
      <c r="FI99" s="1426"/>
      <c r="FJ99" s="1426"/>
      <c r="FK99" s="998">
        <f>IF(FI99=0,0,(FJ99-FI99)/FI99*100)</f>
        <v>0</v>
      </c>
      <c r="FL99" s="1426"/>
      <c r="FM99" s="1426"/>
      <c r="FN99" s="998">
        <f>IF(FL99=0,0,(FM99-FL99)/FL99*100)</f>
        <v>0</v>
      </c>
      <c r="FO99" s="1426"/>
      <c r="FP99" s="1426"/>
      <c r="FQ99" s="998">
        <f>IF(FO99=0,0,(FP99-FO99)/FO99*100)</f>
        <v>0</v>
      </c>
      <c r="FR99" s="1426"/>
      <c r="FS99" s="1426"/>
      <c r="FT99" s="998">
        <f>IF(FR99=0,0,(FS99-FR99)/FR99*100)</f>
        <v>0</v>
      </c>
      <c r="FU99" s="1426"/>
      <c r="FV99" s="1426"/>
      <c r="FW99" s="998">
        <f>IF(FU99=0,0,(FV99-FU99)/FU99*100)</f>
        <v>0</v>
      </c>
      <c r="FX99" s="208"/>
      <c r="FY99" s="1207"/>
      <c r="FZ99" s="957" t="s">
        <v>1482</v>
      </c>
      <c r="GA99" s="917" t="s">
        <v>1480</v>
      </c>
      <c r="GB99" s="917" cm="1">
        <f t="array" ref="GB99">GB98</f>
        <v>0</v>
      </c>
      <c r="GC99" s="1208"/>
      <c r="GD99" s="1208"/>
    </row>
    <row r="100" spans="1:186" s="1327" customFormat="1" ht="14.25" customHeight="1">
      <c r="A100" s="409"/>
      <c r="B100" s="830" t="b" cm="1">
        <f t="array" ref="B100">B99</f>
        <v>1</v>
      </c>
      <c r="C100" s="409"/>
      <c r="D100" s="409"/>
      <c r="E100" s="754">
        <v>15</v>
      </c>
      <c r="F100" s="3" t="str" cm="1">
        <f t="array" aca="1" ref="F100" ca="1">OFFSET(E100,-1,1)</f>
        <v>1</v>
      </c>
      <c r="G100" s="409"/>
      <c r="H100" s="409"/>
      <c r="I100" s="17" t="s">
        <v>1483</v>
      </c>
      <c r="J100" s="409"/>
      <c r="K100" s="409"/>
      <c r="L100" s="409"/>
      <c r="M100" s="409"/>
      <c r="N100" s="409"/>
      <c r="O100" s="409"/>
      <c r="P100" s="409"/>
      <c r="Q100" s="409"/>
      <c r="R100" s="4"/>
      <c r="S100" s="409"/>
      <c r="T100" s="381" t="b">
        <f ca="1">F100&gt;0</f>
        <v>1</v>
      </c>
      <c r="U100" s="409"/>
      <c r="V100" s="1207"/>
      <c r="W100" s="671" t="s">
        <v>1484</v>
      </c>
      <c r="X100" s="1787"/>
      <c r="Y100" s="1207"/>
      <c r="Z100" s="1734"/>
      <c r="AA100" s="1207"/>
      <c r="AB100" s="176" t="s">
        <v>177</v>
      </c>
      <c r="AC100" s="180"/>
      <c r="AD100" s="999"/>
      <c r="AE100" s="999"/>
      <c r="AF100" s="999"/>
      <c r="AG100" s="999"/>
      <c r="AH100" s="999"/>
      <c r="AI100" s="999"/>
      <c r="AJ100" s="999"/>
      <c r="AK100" s="999"/>
      <c r="AL100" s="999"/>
      <c r="AM100" s="999"/>
      <c r="AN100" s="999"/>
      <c r="AO100" s="999"/>
      <c r="AP100" s="999"/>
      <c r="AQ100" s="999"/>
      <c r="AR100" s="999"/>
      <c r="AS100" s="999"/>
      <c r="AT100" s="999"/>
      <c r="AU100" s="999"/>
      <c r="AV100" s="999"/>
      <c r="AW100" s="999"/>
      <c r="AX100" s="999"/>
      <c r="AY100" s="999"/>
      <c r="AZ100" s="999"/>
      <c r="BA100" s="999"/>
      <c r="BB100" s="999"/>
      <c r="BC100" s="999"/>
      <c r="BD100" s="999"/>
      <c r="BE100" s="999"/>
      <c r="BF100" s="999"/>
      <c r="BG100" s="999"/>
      <c r="BH100" s="999"/>
      <c r="BI100" s="999"/>
      <c r="BJ100" s="999"/>
      <c r="BK100" s="999"/>
      <c r="BL100" s="999"/>
      <c r="BM100" s="999"/>
      <c r="BN100" s="999"/>
      <c r="BO100" s="999"/>
      <c r="BP100" s="999"/>
      <c r="BQ100" s="999"/>
      <c r="BR100" s="999"/>
      <c r="BS100" s="999"/>
      <c r="BT100" s="999"/>
      <c r="BU100" s="999"/>
      <c r="BV100" s="999"/>
      <c r="BW100" s="999"/>
      <c r="BX100" s="999"/>
      <c r="BY100" s="999"/>
      <c r="BZ100" s="999"/>
      <c r="CA100" s="999"/>
      <c r="CB100" s="999"/>
      <c r="CC100" s="999"/>
      <c r="CD100" s="999"/>
      <c r="CE100" s="999"/>
      <c r="CF100" s="999"/>
      <c r="CG100" s="999"/>
      <c r="CH100" s="999"/>
      <c r="CI100" s="999"/>
      <c r="CJ100" s="999"/>
      <c r="CK100" s="999"/>
      <c r="CL100" s="999"/>
      <c r="CM100" s="999"/>
      <c r="CN100" s="999"/>
      <c r="CO100" s="999"/>
      <c r="CP100" s="999"/>
      <c r="CQ100" s="999"/>
      <c r="CR100" s="999"/>
      <c r="CS100" s="999"/>
      <c r="CT100" s="999"/>
      <c r="CU100" s="999"/>
      <c r="CV100" s="999"/>
      <c r="CW100" s="999"/>
      <c r="CX100" s="999"/>
      <c r="CY100" s="999"/>
      <c r="CZ100" s="999"/>
      <c r="DA100" s="999"/>
      <c r="DB100" s="999"/>
      <c r="DC100" s="999"/>
      <c r="DD100" s="999"/>
      <c r="DE100" s="999"/>
      <c r="DF100" s="999"/>
      <c r="DG100" s="999"/>
      <c r="DH100" s="999"/>
      <c r="DI100" s="999"/>
      <c r="DJ100" s="999"/>
      <c r="DK100" s="999"/>
      <c r="DL100" s="999"/>
      <c r="DM100" s="999"/>
      <c r="DN100" s="999"/>
      <c r="DO100" s="999"/>
      <c r="DP100" s="999"/>
      <c r="DQ100" s="999"/>
      <c r="DR100" s="999"/>
      <c r="DS100" s="999"/>
      <c r="DT100" s="999"/>
      <c r="DU100" s="999"/>
      <c r="DV100" s="999"/>
      <c r="DW100" s="999"/>
      <c r="DX100" s="999"/>
      <c r="DY100" s="999"/>
      <c r="DZ100" s="999"/>
      <c r="EA100" s="999"/>
      <c r="EB100" s="999"/>
      <c r="EC100" s="999"/>
      <c r="ED100" s="999"/>
      <c r="EE100" s="999"/>
      <c r="EF100" s="999"/>
      <c r="EG100" s="999"/>
      <c r="EH100" s="999"/>
      <c r="EI100" s="999"/>
      <c r="EJ100" s="999"/>
      <c r="EK100" s="999"/>
      <c r="EL100" s="999"/>
      <c r="EM100" s="999"/>
      <c r="EN100" s="999"/>
      <c r="EO100" s="999"/>
      <c r="EP100" s="999"/>
      <c r="EQ100" s="999"/>
      <c r="ER100" s="999"/>
      <c r="ES100" s="999"/>
      <c r="ET100" s="999"/>
      <c r="EU100" s="999"/>
      <c r="EV100" s="999"/>
      <c r="EW100" s="999"/>
      <c r="EX100" s="999"/>
      <c r="EY100" s="999"/>
      <c r="EZ100" s="999"/>
      <c r="FA100" s="999"/>
      <c r="FB100" s="999"/>
      <c r="FC100" s="999"/>
      <c r="FD100" s="999"/>
      <c r="FE100" s="999"/>
      <c r="FF100" s="999"/>
      <c r="FG100" s="999"/>
      <c r="FH100" s="999"/>
      <c r="FI100" s="999"/>
      <c r="FJ100" s="999"/>
      <c r="FK100" s="999"/>
      <c r="FL100" s="999"/>
      <c r="FM100" s="999"/>
      <c r="FN100" s="999"/>
      <c r="FO100" s="999"/>
      <c r="FP100" s="999"/>
      <c r="FQ100" s="999"/>
      <c r="FR100" s="999"/>
      <c r="FS100" s="999"/>
      <c r="FT100" s="999"/>
      <c r="FU100" s="999"/>
      <c r="FV100" s="999"/>
      <c r="FW100" s="1000"/>
      <c r="FX100" s="1207"/>
      <c r="FY100" s="1207"/>
      <c r="FZ100" s="957" t="s">
        <v>231</v>
      </c>
      <c r="GA100" s="1209"/>
      <c r="GB100" s="1209"/>
      <c r="GC100" s="549" t="s">
        <v>1480</v>
      </c>
      <c r="GD100" s="1208"/>
    </row>
    <row r="101" spans="1:186" s="1327" customFormat="1" ht="14.25" hidden="1" customHeight="1">
      <c r="A101" s="409"/>
      <c r="B101" s="830" t="b">
        <f>AND(R85="двухставочный",NOT(S85))</f>
        <v>0</v>
      </c>
      <c r="C101" s="409"/>
      <c r="D101" s="409"/>
      <c r="E101" s="754">
        <v>15</v>
      </c>
      <c r="F101" s="3" t="str" cm="1">
        <f t="array" aca="1" ref="F101" ca="1">OFFSET(E101,-1,1)</f>
        <v>1</v>
      </c>
      <c r="G101" s="409"/>
      <c r="H101" s="409"/>
      <c r="I101" s="409"/>
      <c r="J101" s="409"/>
      <c r="K101" s="409"/>
      <c r="L101" s="409"/>
      <c r="M101" s="409"/>
      <c r="N101" s="409"/>
      <c r="O101" s="409"/>
      <c r="P101" s="409"/>
      <c r="Q101" s="409"/>
      <c r="R101" s="4"/>
      <c r="S101" s="409"/>
      <c r="T101" s="381" t="b" cm="1">
        <f t="array" aca="1" ref="T101" ca="1">T100</f>
        <v>1</v>
      </c>
      <c r="U101" s="409"/>
      <c r="V101" s="409"/>
      <c r="W101" s="409"/>
      <c r="X101" s="1787"/>
      <c r="Y101" s="409"/>
      <c r="Z101" s="1734"/>
      <c r="AA101" s="409"/>
      <c r="AB101" s="803" t="s">
        <v>1485</v>
      </c>
      <c r="AC101" s="804"/>
      <c r="AD101" s="1001"/>
      <c r="AE101" s="1001"/>
      <c r="AF101" s="1001"/>
      <c r="AG101" s="1001"/>
      <c r="AH101" s="1001"/>
      <c r="AI101" s="1001"/>
      <c r="AJ101" s="1001"/>
      <c r="AK101" s="1001"/>
      <c r="AL101" s="1001"/>
      <c r="AM101" s="1001"/>
      <c r="AN101" s="1001"/>
      <c r="AO101" s="1001"/>
      <c r="AP101" s="1001"/>
      <c r="AQ101" s="1001"/>
      <c r="AR101" s="1001"/>
      <c r="AS101" s="1001"/>
      <c r="AT101" s="1001"/>
      <c r="AU101" s="1001"/>
      <c r="AV101" s="1001"/>
      <c r="AW101" s="1001"/>
      <c r="AX101" s="1001"/>
      <c r="AY101" s="1001"/>
      <c r="AZ101" s="1001"/>
      <c r="BA101" s="1001"/>
      <c r="BB101" s="1001"/>
      <c r="BC101" s="1001"/>
      <c r="BD101" s="1001"/>
      <c r="BE101" s="1001"/>
      <c r="BF101" s="1001"/>
      <c r="BG101" s="1001"/>
      <c r="BH101" s="1001"/>
      <c r="BI101" s="1001"/>
      <c r="BJ101" s="1001"/>
      <c r="BK101" s="1001"/>
      <c r="BL101" s="1001"/>
      <c r="BM101" s="1001"/>
      <c r="BN101" s="1001"/>
      <c r="BO101" s="1001"/>
      <c r="BP101" s="1001"/>
      <c r="BQ101" s="1001"/>
      <c r="BR101" s="1001"/>
      <c r="BS101" s="1001"/>
      <c r="BT101" s="1001"/>
      <c r="BU101" s="1001"/>
      <c r="BV101" s="1001"/>
      <c r="BW101" s="1001"/>
      <c r="BX101" s="1001"/>
      <c r="BY101" s="1001"/>
      <c r="BZ101" s="1001"/>
      <c r="CA101" s="1001"/>
      <c r="CB101" s="1001"/>
      <c r="CC101" s="1001"/>
      <c r="CD101" s="1001"/>
      <c r="CE101" s="1001"/>
      <c r="CF101" s="1001"/>
      <c r="CG101" s="1001"/>
      <c r="CH101" s="1001"/>
      <c r="CI101" s="1001"/>
      <c r="CJ101" s="1001"/>
      <c r="CK101" s="1001"/>
      <c r="CL101" s="1001"/>
      <c r="CM101" s="1001"/>
      <c r="CN101" s="1001"/>
      <c r="CO101" s="1001"/>
      <c r="CP101" s="1001"/>
      <c r="CQ101" s="1001"/>
      <c r="CR101" s="1001"/>
      <c r="CS101" s="1001"/>
      <c r="CT101" s="1001"/>
      <c r="CU101" s="1001"/>
      <c r="CV101" s="1001"/>
      <c r="CW101" s="1001"/>
      <c r="CX101" s="1001"/>
      <c r="CY101" s="1001"/>
      <c r="CZ101" s="1001"/>
      <c r="DA101" s="1001"/>
      <c r="DB101" s="1001"/>
      <c r="DC101" s="1001"/>
      <c r="DD101" s="1001"/>
      <c r="DE101" s="1001"/>
      <c r="DF101" s="1001"/>
      <c r="DG101" s="1001"/>
      <c r="DH101" s="1001"/>
      <c r="DI101" s="1001"/>
      <c r="DJ101" s="1001"/>
      <c r="DK101" s="1001"/>
      <c r="DL101" s="1001"/>
      <c r="DM101" s="1001"/>
      <c r="DN101" s="1001"/>
      <c r="DO101" s="1001"/>
      <c r="DP101" s="1001"/>
      <c r="DQ101" s="1001"/>
      <c r="DR101" s="1001"/>
      <c r="DS101" s="1001"/>
      <c r="DT101" s="1001"/>
      <c r="DU101" s="1001"/>
      <c r="DV101" s="1001"/>
      <c r="DW101" s="1001"/>
      <c r="DX101" s="1001"/>
      <c r="DY101" s="1001"/>
      <c r="DZ101" s="1001"/>
      <c r="EA101" s="1001"/>
      <c r="EB101" s="1001"/>
      <c r="EC101" s="1001"/>
      <c r="ED101" s="1001"/>
      <c r="EE101" s="1001"/>
      <c r="EF101" s="1001"/>
      <c r="EG101" s="1001"/>
      <c r="EH101" s="1001"/>
      <c r="EI101" s="1001"/>
      <c r="EJ101" s="1001"/>
      <c r="EK101" s="1001"/>
      <c r="EL101" s="1001"/>
      <c r="EM101" s="1001"/>
      <c r="EN101" s="1001"/>
      <c r="EO101" s="1001"/>
      <c r="EP101" s="1001"/>
      <c r="EQ101" s="1001"/>
      <c r="ER101" s="1001"/>
      <c r="ES101" s="1001"/>
      <c r="ET101" s="1001"/>
      <c r="EU101" s="1001"/>
      <c r="EV101" s="1001"/>
      <c r="EW101" s="1001"/>
      <c r="EX101" s="1001"/>
      <c r="EY101" s="1001"/>
      <c r="EZ101" s="1001"/>
      <c r="FA101" s="1001"/>
      <c r="FB101" s="1001"/>
      <c r="FC101" s="1001"/>
      <c r="FD101" s="1001"/>
      <c r="FE101" s="1001"/>
      <c r="FF101" s="1001"/>
      <c r="FG101" s="1001"/>
      <c r="FH101" s="1001"/>
      <c r="FI101" s="1001"/>
      <c r="FJ101" s="1001"/>
      <c r="FK101" s="1001"/>
      <c r="FL101" s="1001"/>
      <c r="FM101" s="1001"/>
      <c r="FN101" s="1001"/>
      <c r="FO101" s="1001"/>
      <c r="FP101" s="1001"/>
      <c r="FQ101" s="1001"/>
      <c r="FR101" s="1001"/>
      <c r="FS101" s="1001"/>
      <c r="FT101" s="1001"/>
      <c r="FU101" s="1001"/>
      <c r="FV101" s="1001"/>
      <c r="FW101" s="1002"/>
      <c r="FX101" s="1207"/>
      <c r="FY101" s="1207"/>
      <c r="FZ101" s="957" t="s">
        <v>231</v>
      </c>
      <c r="GA101" s="1209"/>
      <c r="GB101" s="1209"/>
      <c r="GC101" s="1208"/>
      <c r="GD101" s="1208"/>
    </row>
    <row r="102" spans="1:186" s="1327" customFormat="1" ht="23.25" hidden="1" customHeight="1">
      <c r="A102" s="409"/>
      <c r="B102" s="830" t="b" cm="1">
        <f t="array" ref="B102">B101</f>
        <v>0</v>
      </c>
      <c r="C102" s="409"/>
      <c r="D102" s="409"/>
      <c r="E102" s="754">
        <v>24.5</v>
      </c>
      <c r="F102" s="3" t="str" cm="1">
        <f t="array" aca="1" ref="F102" ca="1">OFFSET(E102,-1,1)</f>
        <v>1</v>
      </c>
      <c r="G102" s="409"/>
      <c r="H102" s="409"/>
      <c r="I102" s="409"/>
      <c r="J102" s="409"/>
      <c r="K102" s="409"/>
      <c r="L102" s="409"/>
      <c r="M102" s="409"/>
      <c r="N102" s="409"/>
      <c r="O102" s="409"/>
      <c r="P102" s="409"/>
      <c r="Q102" s="409"/>
      <c r="R102" s="409"/>
      <c r="S102" s="409"/>
      <c r="T102" s="381" t="b" cm="1">
        <f t="array" aca="1" ref="T102" ca="1">T101</f>
        <v>1</v>
      </c>
      <c r="U102" s="409"/>
      <c r="V102" s="409"/>
      <c r="W102" s="409"/>
      <c r="X102" s="1787"/>
      <c r="Y102" s="409"/>
      <c r="Z102" s="1734"/>
      <c r="AA102" s="409"/>
      <c r="AB102" s="209" t="s">
        <v>1486</v>
      </c>
      <c r="AC102" s="810"/>
      <c r="AD102" s="1003"/>
      <c r="AE102" s="1003"/>
      <c r="AF102" s="1003"/>
      <c r="AG102" s="1003"/>
      <c r="AH102" s="1003"/>
      <c r="AI102" s="1003"/>
      <c r="AJ102" s="1003"/>
      <c r="AK102" s="1003"/>
      <c r="AL102" s="1003"/>
      <c r="AM102" s="1003"/>
      <c r="AN102" s="1003"/>
      <c r="AO102" s="1003"/>
      <c r="AP102" s="1003"/>
      <c r="AQ102" s="1003"/>
      <c r="AR102" s="1003"/>
      <c r="AS102" s="1003"/>
      <c r="AT102" s="1003"/>
      <c r="AU102" s="1003"/>
      <c r="AV102" s="1003"/>
      <c r="AW102" s="1003"/>
      <c r="AX102" s="1003"/>
      <c r="AY102" s="1003"/>
      <c r="AZ102" s="1003"/>
      <c r="BA102" s="1003"/>
      <c r="BB102" s="1003"/>
      <c r="BC102" s="1003"/>
      <c r="BD102" s="1003"/>
      <c r="BE102" s="1003"/>
      <c r="BF102" s="1003"/>
      <c r="BG102" s="1003"/>
      <c r="BH102" s="1003"/>
      <c r="BI102" s="1003"/>
      <c r="BJ102" s="1003"/>
      <c r="BK102" s="1003"/>
      <c r="BL102" s="1003"/>
      <c r="BM102" s="1003"/>
      <c r="BN102" s="1003"/>
      <c r="BO102" s="1003"/>
      <c r="BP102" s="1003"/>
      <c r="BQ102" s="1003"/>
      <c r="BR102" s="1003"/>
      <c r="BS102" s="1003"/>
      <c r="BT102" s="1003"/>
      <c r="BU102" s="1003"/>
      <c r="BV102" s="1003"/>
      <c r="BW102" s="1003"/>
      <c r="BX102" s="1003"/>
      <c r="BY102" s="1003"/>
      <c r="BZ102" s="1003"/>
      <c r="CA102" s="1003"/>
      <c r="CB102" s="1003"/>
      <c r="CC102" s="1003"/>
      <c r="CD102" s="1003"/>
      <c r="CE102" s="1003"/>
      <c r="CF102" s="1003"/>
      <c r="CG102" s="1003"/>
      <c r="CH102" s="1003"/>
      <c r="CI102" s="1003"/>
      <c r="CJ102" s="1003"/>
      <c r="CK102" s="1003"/>
      <c r="CL102" s="1003"/>
      <c r="CM102" s="1003"/>
      <c r="CN102" s="1003"/>
      <c r="CO102" s="1003"/>
      <c r="CP102" s="1003"/>
      <c r="CQ102" s="1003"/>
      <c r="CR102" s="1003"/>
      <c r="CS102" s="1003"/>
      <c r="CT102" s="1003"/>
      <c r="CU102" s="1003"/>
      <c r="CV102" s="1003"/>
      <c r="CW102" s="1003"/>
      <c r="CX102" s="1003"/>
      <c r="CY102" s="1003"/>
      <c r="CZ102" s="1003"/>
      <c r="DA102" s="1003"/>
      <c r="DB102" s="1003"/>
      <c r="DC102" s="1003"/>
      <c r="DD102" s="1003"/>
      <c r="DE102" s="1003"/>
      <c r="DF102" s="1003"/>
      <c r="DG102" s="1003"/>
      <c r="DH102" s="1003"/>
      <c r="DI102" s="1003"/>
      <c r="DJ102" s="1003"/>
      <c r="DK102" s="1003"/>
      <c r="DL102" s="1003"/>
      <c r="DM102" s="1003"/>
      <c r="DN102" s="1003"/>
      <c r="DO102" s="1003"/>
      <c r="DP102" s="1003"/>
      <c r="DQ102" s="1003"/>
      <c r="DR102" s="1003"/>
      <c r="DS102" s="1003"/>
      <c r="DT102" s="1003"/>
      <c r="DU102" s="1003"/>
      <c r="DV102" s="1003"/>
      <c r="DW102" s="1003"/>
      <c r="DX102" s="1003"/>
      <c r="DY102" s="1003"/>
      <c r="DZ102" s="1003"/>
      <c r="EA102" s="1003"/>
      <c r="EB102" s="1003"/>
      <c r="EC102" s="1003"/>
      <c r="ED102" s="1003"/>
      <c r="EE102" s="1003"/>
      <c r="EF102" s="1003"/>
      <c r="EG102" s="1003"/>
      <c r="EH102" s="1003"/>
      <c r="EI102" s="1003"/>
      <c r="EJ102" s="1003"/>
      <c r="EK102" s="1003"/>
      <c r="EL102" s="1003"/>
      <c r="EM102" s="1003"/>
      <c r="EN102" s="1003"/>
      <c r="EO102" s="1003"/>
      <c r="EP102" s="1003"/>
      <c r="EQ102" s="1003"/>
      <c r="ER102" s="1003"/>
      <c r="ES102" s="1003"/>
      <c r="ET102" s="1003"/>
      <c r="EU102" s="1003"/>
      <c r="EV102" s="1003"/>
      <c r="EW102" s="1003"/>
      <c r="EX102" s="1003"/>
      <c r="EY102" s="1003"/>
      <c r="EZ102" s="1003"/>
      <c r="FA102" s="1003"/>
      <c r="FB102" s="1003"/>
      <c r="FC102" s="1003"/>
      <c r="FD102" s="1003"/>
      <c r="FE102" s="1003"/>
      <c r="FF102" s="1003"/>
      <c r="FG102" s="1003"/>
      <c r="FH102" s="1003"/>
      <c r="FI102" s="1003"/>
      <c r="FJ102" s="1003"/>
      <c r="FK102" s="1003"/>
      <c r="FL102" s="1003"/>
      <c r="FM102" s="1003"/>
      <c r="FN102" s="1003"/>
      <c r="FO102" s="1003"/>
      <c r="FP102" s="1003"/>
      <c r="FQ102" s="1003"/>
      <c r="FR102" s="1003"/>
      <c r="FS102" s="1003"/>
      <c r="FT102" s="1003"/>
      <c r="FU102" s="1003"/>
      <c r="FV102" s="1003"/>
      <c r="FW102" s="1004"/>
      <c r="FX102" s="1207"/>
      <c r="FY102" s="1207"/>
      <c r="FZ102" s="957" t="s">
        <v>231</v>
      </c>
      <c r="GA102" s="1209"/>
      <c r="GB102" s="1209"/>
      <c r="GC102" s="1208"/>
      <c r="GD102" s="1208"/>
    </row>
    <row r="103" spans="1:186" s="1327" customFormat="1" ht="14.25" hidden="1" customHeight="1">
      <c r="A103" s="409"/>
      <c r="B103" s="830" t="b" cm="1">
        <f t="array" ref="B103">B102</f>
        <v>0</v>
      </c>
      <c r="C103" s="409"/>
      <c r="D103" s="409"/>
      <c r="E103" s="754">
        <v>15</v>
      </c>
      <c r="F103" s="3" t="str" cm="1">
        <f t="array" aca="1" ref="F103" ca="1">OFFSET(E103,-1,1)</f>
        <v>1</v>
      </c>
      <c r="G103" s="409"/>
      <c r="H103" s="409" t="s">
        <v>1412</v>
      </c>
      <c r="I103" s="409" t="s">
        <v>1452</v>
      </c>
      <c r="J103" s="409"/>
      <c r="K103" s="409"/>
      <c r="L103" s="409"/>
      <c r="M103" s="409"/>
      <c r="N103" s="409"/>
      <c r="O103" s="409"/>
      <c r="P103" s="409"/>
      <c r="Q103" s="409"/>
      <c r="R103" s="409"/>
      <c r="S103" s="409"/>
      <c r="T103" s="381" t="b" cm="1">
        <f t="array" aca="1" ref="T103" ca="1">T102</f>
        <v>1</v>
      </c>
      <c r="U103" s="409"/>
      <c r="V103" s="409"/>
      <c r="W103" s="409"/>
      <c r="X103" s="1787"/>
      <c r="Y103" s="409"/>
      <c r="Z103" s="1734"/>
      <c r="AA103" s="409"/>
      <c r="AB103" s="811" t="s">
        <v>1487</v>
      </c>
      <c r="AC103" s="778" t="s">
        <v>1454</v>
      </c>
      <c r="AD103" s="1428">
        <f ca="1">IF(AD105=0,0,(AD104*AD105+AD106*AD107*IF(god=2026,9,6))/AD105)</f>
        <v>0</v>
      </c>
      <c r="AE103" s="1428">
        <f ca="1">IF(AE105=0,0,(AE104*AE105+AE106*AE107*IF(god=2026,9,6))/AE105)</f>
        <v>0</v>
      </c>
      <c r="AF103" s="996">
        <f ca="1">IF(AD103=0,0,(AE103-AD103)/AD103*100)</f>
        <v>0</v>
      </c>
      <c r="AG103" s="1428">
        <f ca="1">IF(AG105=0,0,(AG104*AG105+AG106*AG107*IF(god=2025,9,6))/AG105)</f>
        <v>0</v>
      </c>
      <c r="AH103" s="1428">
        <f ca="1">IF(AH105=0,0,(AH104*AH105+AH106*AH107*IF(god=2025,9,6))/AH105)</f>
        <v>0</v>
      </c>
      <c r="AI103" s="996">
        <f ca="1">IF(AG103=0,0,(AH103-AG103)/AG103*100)</f>
        <v>0</v>
      </c>
      <c r="AJ103" s="1428">
        <f ca="1">IF(AJ105=0,0,(AJ104*AJ105+AJ106*AJ107*6)/AJ105)</f>
        <v>0</v>
      </c>
      <c r="AK103" s="1428">
        <f ca="1">IF(AK105=0,0,(AK104*AK105+AK106*AK107*6)/AK105)</f>
        <v>0</v>
      </c>
      <c r="AL103" s="996">
        <f ca="1">IF(AJ103=0,0,(AK103-AJ103)/AJ103*100)</f>
        <v>0</v>
      </c>
      <c r="AM103" s="1428">
        <f ca="1">IF(AM105=0,0,(AM104*AM105+AM106*AM107*6)/AM105)</f>
        <v>0</v>
      </c>
      <c r="AN103" s="1428">
        <f ca="1">IF(AN105=0,0,(AN104*AN105+AN106*AN107*6)/AN105)</f>
        <v>0</v>
      </c>
      <c r="AO103" s="996">
        <f ca="1">IF(AM103=0,0,(AN103-AM103)/AM103*100)</f>
        <v>0</v>
      </c>
      <c r="AP103" s="1428">
        <f ca="1">IF(AP105=0,0,(AP104*AP105+AP106*AP107*6)/AP105)</f>
        <v>0</v>
      </c>
      <c r="AQ103" s="1428">
        <f ca="1">IF(AQ105=0,0,(AQ104*AQ105+AQ106*AQ107*6)/AQ105)</f>
        <v>0</v>
      </c>
      <c r="AR103" s="996">
        <f ca="1">IF(AP103=0,0,(AQ103-AP103)/AP103*100)</f>
        <v>0</v>
      </c>
      <c r="AS103" s="1428">
        <f ca="1">IF(AS105=0,0,(AS104*AS105+AS106*AS107*6)/AS105)</f>
        <v>0</v>
      </c>
      <c r="AT103" s="1428">
        <f ca="1">IF(AT105=0,0,(AT104*AT105+AT106*AT107*6)/AT105)</f>
        <v>0</v>
      </c>
      <c r="AU103" s="996">
        <f ca="1">IF(AS103=0,0,(AT103-AS103)/AS103*100)</f>
        <v>0</v>
      </c>
      <c r="AV103" s="1428">
        <f ca="1">IF(AV105=0,0,(AV104*AV105+AV106*AV107*6)/AV105)</f>
        <v>0</v>
      </c>
      <c r="AW103" s="1428">
        <f ca="1">IF(AW105=0,0,(AW104*AW105+AW106*AW107*6)/AW105)</f>
        <v>0</v>
      </c>
      <c r="AX103" s="996">
        <f ca="1">IF(AV103=0,0,(AW103-AV103)/AV103*100)</f>
        <v>0</v>
      </c>
      <c r="AY103" s="1428">
        <f ca="1">IF(AY105=0,0,(AY104*AY105+AY106*AY107*6)/AY105)</f>
        <v>0</v>
      </c>
      <c r="AZ103" s="1428">
        <f ca="1">IF(AZ105=0,0,(AZ104*AZ105+AZ106*AZ107*6)/AZ105)</f>
        <v>0</v>
      </c>
      <c r="BA103" s="996">
        <f ca="1">IF(AY103=0,0,(AZ103-AY103)/AY103*100)</f>
        <v>0</v>
      </c>
      <c r="BB103" s="1428">
        <f ca="1">IF(BB105=0,0,(BB104*BB105+BB106*BB107*6)/BB105)</f>
        <v>0</v>
      </c>
      <c r="BC103" s="1428">
        <f ca="1">IF(BC105=0,0,(BC104*BC105+BC106*BC107*6)/BC105)</f>
        <v>0</v>
      </c>
      <c r="BD103" s="996">
        <f ca="1">IF(BB103=0,0,(BC103-BB103)/BB103*100)</f>
        <v>0</v>
      </c>
      <c r="BE103" s="1428">
        <f ca="1">IF(BE105=0,0,(BE104*BE105+BE106*BE107*6)/BE105)</f>
        <v>0</v>
      </c>
      <c r="BF103" s="1428">
        <f ca="1">IF(BF105=0,0,(BF104*BF105+BF106*BF107*6)/BF105)</f>
        <v>0</v>
      </c>
      <c r="BG103" s="996">
        <f ca="1">IF(BE103=0,0,(BF103-BE103)/BE103*100)</f>
        <v>0</v>
      </c>
      <c r="BH103" s="1428">
        <f>IF(BH105=0,0,(BH104*BH105+BH106*BH107*6)/BH105)</f>
        <v>0</v>
      </c>
      <c r="BI103" s="1428">
        <f>IF(BI105=0,0,(BI104*BI105+BI106*BI107*6)/BI105)</f>
        <v>0</v>
      </c>
      <c r="BJ103" s="996">
        <f>IF(BH103=0,0,(BI103-BH103)/BH103*100)</f>
        <v>0</v>
      </c>
      <c r="BK103" s="1428">
        <f>IF(BK105=0,0,(BK104*BK105+BK106*BK107*6)/BK105)</f>
        <v>0</v>
      </c>
      <c r="BL103" s="1428">
        <f>IF(BL105=0,0,(BL104*BL105+BL106*BL107*6)/BL105)</f>
        <v>0</v>
      </c>
      <c r="BM103" s="996">
        <f>IF(BK103=0,0,(BL103-BK103)/BK103*100)</f>
        <v>0</v>
      </c>
      <c r="BN103" s="1428">
        <f>IF(BN105=0,0,(BN104*BN105+BN106*BN107*6)/BN105)</f>
        <v>0</v>
      </c>
      <c r="BO103" s="1428">
        <f>IF(BO105=0,0,(BO104*BO105+BO106*BO107*6)/BO105)</f>
        <v>0</v>
      </c>
      <c r="BP103" s="996">
        <f>IF(BN103=0,0,(BO103-BN103)/BN103*100)</f>
        <v>0</v>
      </c>
      <c r="BQ103" s="1428">
        <f>IF(BQ105=0,0,(BQ104*BQ105+BQ106*BQ107*6)/BQ105)</f>
        <v>0</v>
      </c>
      <c r="BR103" s="1428">
        <f>IF(BR105=0,0,(BR104*BR105+BR106*BR107*6)/BR105)</f>
        <v>0</v>
      </c>
      <c r="BS103" s="996">
        <f>IF(BQ103=0,0,(BR103-BQ103)/BQ103*100)</f>
        <v>0</v>
      </c>
      <c r="BT103" s="1428">
        <f>IF(BT105=0,0,(BT104*BT105+BT106*BT107*6)/BT105)</f>
        <v>0</v>
      </c>
      <c r="BU103" s="1428">
        <f>IF(BU105=0,0,(BU104*BU105+BU106*BU107*6)/BU105)</f>
        <v>0</v>
      </c>
      <c r="BV103" s="996">
        <f>IF(BT103=0,0,(BU103-BT103)/BT103*100)</f>
        <v>0</v>
      </c>
      <c r="BW103" s="1428">
        <f>IF(BW105=0,0,(BW104*BW105+BW106*BW107*6)/BW105)</f>
        <v>0</v>
      </c>
      <c r="BX103" s="1428">
        <f>IF(BX105=0,0,(BX104*BX105+BX106*BX107*6)/BX105)</f>
        <v>0</v>
      </c>
      <c r="BY103" s="996">
        <f>IF(BW103=0,0,(BX103-BW103)/BW103*100)</f>
        <v>0</v>
      </c>
      <c r="BZ103" s="1428">
        <f>IF(BZ105=0,0,(BZ104*BZ105+BZ106*BZ107*6)/BZ105)</f>
        <v>0</v>
      </c>
      <c r="CA103" s="1428">
        <f>IF(CA105=0,0,(CA104*CA105+CA106*CA107*6)/CA105)</f>
        <v>0</v>
      </c>
      <c r="CB103" s="996">
        <f>IF(BZ103=0,0,(CA103-BZ103)/BZ103*100)</f>
        <v>0</v>
      </c>
      <c r="CC103" s="1428">
        <f>IF(CC105=0,0,(CC104*CC105+CC106*CC107*6)/CC105)</f>
        <v>0</v>
      </c>
      <c r="CD103" s="1428">
        <f>IF(CD105=0,0,(CD104*CD105+CD106*CD107*6)/CD105)</f>
        <v>0</v>
      </c>
      <c r="CE103" s="996">
        <f>IF(CC103=0,0,(CD103-CC103)/CC103*100)</f>
        <v>0</v>
      </c>
      <c r="CF103" s="1428">
        <f>IF(CF105=0,0,(CF104*CF105+CF106*CF107*6)/CF105)</f>
        <v>0</v>
      </c>
      <c r="CG103" s="1428">
        <f>IF(CG105=0,0,(CG104*CG105+CG106*CG107*6)/CG105)</f>
        <v>0</v>
      </c>
      <c r="CH103" s="996">
        <f>IF(CF103=0,0,(CG103-CF103)/CF103*100)</f>
        <v>0</v>
      </c>
      <c r="CI103" s="1428">
        <f>IF(CI105=0,0,(CI104*CI105+CI106*CI107*6)/CI105)</f>
        <v>0</v>
      </c>
      <c r="CJ103" s="1428">
        <f>IF(CJ105=0,0,(CJ104*CJ105+CJ106*CJ107*6)/CJ105)</f>
        <v>0</v>
      </c>
      <c r="CK103" s="996">
        <f>IF(CI103=0,0,(CJ103-CI103)/CI103*100)</f>
        <v>0</v>
      </c>
      <c r="CL103" s="1428">
        <f>IF(CL105=0,0,(CL104*CL105+CL106*CL107*6)/CL105)</f>
        <v>0</v>
      </c>
      <c r="CM103" s="1428">
        <f>IF(CM105=0,0,(CM104*CM105+CM106*CM107*6)/CM105)</f>
        <v>0</v>
      </c>
      <c r="CN103" s="996">
        <f>IF(CL103=0,0,(CM103-CL103)/CL103*100)</f>
        <v>0</v>
      </c>
      <c r="CO103" s="1428">
        <f>IF(CO105=0,0,(CO104*CO105+CO106*CO107*6)/CO105)</f>
        <v>0</v>
      </c>
      <c r="CP103" s="1428">
        <f>IF(CP105=0,0,(CP104*CP105+CP106*CP107*6)/CP105)</f>
        <v>0</v>
      </c>
      <c r="CQ103" s="996">
        <f>IF(CO103=0,0,(CP103-CO103)/CO103*100)</f>
        <v>0</v>
      </c>
      <c r="CR103" s="1428">
        <f>IF(CR105=0,0,(CR104*CR105+CR106*CR107*6)/CR105)</f>
        <v>0</v>
      </c>
      <c r="CS103" s="1428">
        <f>IF(CS105=0,0,(CS104*CS105+CS106*CS107*6)/CS105)</f>
        <v>0</v>
      </c>
      <c r="CT103" s="996">
        <f>IF(CR103=0,0,(CS103-CR103)/CR103*100)</f>
        <v>0</v>
      </c>
      <c r="CU103" s="1428">
        <f>IF(CU105=0,0,(CU104*CU105+CU106*CU107*6)/CU105)</f>
        <v>0</v>
      </c>
      <c r="CV103" s="1428">
        <f>IF(CV105=0,0,(CV104*CV105+CV106*CV107*6)/CV105)</f>
        <v>0</v>
      </c>
      <c r="CW103" s="996">
        <f>IF(CU103=0,0,(CV103-CU103)/CU103*100)</f>
        <v>0</v>
      </c>
      <c r="CX103" s="1428">
        <f>IF(CX105=0,0,(CX104*CX105+CX106*CX107*6)/CX105)</f>
        <v>0</v>
      </c>
      <c r="CY103" s="1428">
        <f>IF(CY105=0,0,(CY104*CY105+CY106*CY107*6)/CY105)</f>
        <v>0</v>
      </c>
      <c r="CZ103" s="996">
        <f>IF(CX103=0,0,(CY103-CX103)/CX103*100)</f>
        <v>0</v>
      </c>
      <c r="DA103" s="1428">
        <f>IF(DA105=0,0,(DA104*DA105+DA106*DA107*6)/DA105)</f>
        <v>0</v>
      </c>
      <c r="DB103" s="1428">
        <f>IF(DB105=0,0,(DB104*DB105+DB106*DB107*6)/DB105)</f>
        <v>0</v>
      </c>
      <c r="DC103" s="996">
        <f>IF(DA103=0,0,(DB103-DA103)/DA103*100)</f>
        <v>0</v>
      </c>
      <c r="DD103" s="1428">
        <f>IF(DD105=0,0,(DD104*DD105+DD106*DD107*6)/DD105)</f>
        <v>0</v>
      </c>
      <c r="DE103" s="1428">
        <f>IF(DE105=0,0,(DE104*DE105+DE106*DE107*6)/DE105)</f>
        <v>0</v>
      </c>
      <c r="DF103" s="996">
        <f>IF(DD103=0,0,(DE103-DD103)/DD103*100)</f>
        <v>0</v>
      </c>
      <c r="DG103" s="1428">
        <f>IF(DG105=0,0,(DG104*DG105+DG106*DG107*6)/DG105)</f>
        <v>0</v>
      </c>
      <c r="DH103" s="1428">
        <f>IF(DH105=0,0,(DH104*DH105+DH106*DH107*6)/DH105)</f>
        <v>0</v>
      </c>
      <c r="DI103" s="996">
        <f>IF(DG103=0,0,(DH103-DG103)/DG103*100)</f>
        <v>0</v>
      </c>
      <c r="DJ103" s="1428">
        <f>IF(DJ105=0,0,(DJ104*DJ105+DJ106*DJ107*6)/DJ105)</f>
        <v>0</v>
      </c>
      <c r="DK103" s="1428">
        <f>IF(DK105=0,0,(DK104*DK105+DK106*DK107*6)/DK105)</f>
        <v>0</v>
      </c>
      <c r="DL103" s="996">
        <f>IF(DJ103=0,0,(DK103-DJ103)/DJ103*100)</f>
        <v>0</v>
      </c>
      <c r="DM103" s="1428">
        <f>IF(DM105=0,0,(DM104*DM105+DM106*DM107*6)/DM105)</f>
        <v>0</v>
      </c>
      <c r="DN103" s="1428">
        <f>IF(DN105=0,0,(DN104*DN105+DN106*DN107*6)/DN105)</f>
        <v>0</v>
      </c>
      <c r="DO103" s="996">
        <f>IF(DM103=0,0,(DN103-DM103)/DM103*100)</f>
        <v>0</v>
      </c>
      <c r="DP103" s="1428">
        <f>IF(DP105=0,0,(DP104*DP105+DP106*DP107*6)/DP105)</f>
        <v>0</v>
      </c>
      <c r="DQ103" s="1428">
        <f>IF(DQ105=0,0,(DQ104*DQ105+DQ106*DQ107*6)/DQ105)</f>
        <v>0</v>
      </c>
      <c r="DR103" s="996">
        <f>IF(DP103=0,0,(DQ103-DP103)/DP103*100)</f>
        <v>0</v>
      </c>
      <c r="DS103" s="1428">
        <f>IF(DS105=0,0,(DS104*DS105+DS106*DS107*6)/DS105)</f>
        <v>0</v>
      </c>
      <c r="DT103" s="1428">
        <f>IF(DT105=0,0,(DT104*DT105+DT106*DT107*6)/DT105)</f>
        <v>0</v>
      </c>
      <c r="DU103" s="996">
        <f>IF(DS103=0,0,(DT103-DS103)/DS103*100)</f>
        <v>0</v>
      </c>
      <c r="DV103" s="1428">
        <f>IF(DV105=0,0,(DV104*DV105+DV106*DV107*6)/DV105)</f>
        <v>0</v>
      </c>
      <c r="DW103" s="1428">
        <f>IF(DW105=0,0,(DW104*DW105+DW106*DW107*6)/DW105)</f>
        <v>0</v>
      </c>
      <c r="DX103" s="996">
        <f>IF(DV103=0,0,(DW103-DV103)/DV103*100)</f>
        <v>0</v>
      </c>
      <c r="DY103" s="1428">
        <f>IF(DY105=0,0,(DY104*DY105+DY106*DY107*6)/DY105)</f>
        <v>0</v>
      </c>
      <c r="DZ103" s="1428">
        <f>IF(DZ105=0,0,(DZ104*DZ105+DZ106*DZ107*6)/DZ105)</f>
        <v>0</v>
      </c>
      <c r="EA103" s="996">
        <f>IF(DY103=0,0,(DZ103-DY103)/DY103*100)</f>
        <v>0</v>
      </c>
      <c r="EB103" s="1428">
        <f>IF(EB105=0,0,(EB104*EB105+EB106*EB107*6)/EB105)</f>
        <v>0</v>
      </c>
      <c r="EC103" s="1428">
        <f>IF(EC105=0,0,(EC104*EC105+EC106*EC107*6)/EC105)</f>
        <v>0</v>
      </c>
      <c r="ED103" s="996">
        <f>IF(EB103=0,0,(EC103-EB103)/EB103*100)</f>
        <v>0</v>
      </c>
      <c r="EE103" s="1428">
        <f>IF(EE105=0,0,(EE104*EE105+EE106*EE107*6)/EE105)</f>
        <v>0</v>
      </c>
      <c r="EF103" s="1428">
        <f>IF(EF105=0,0,(EF104*EF105+EF106*EF107*6)/EF105)</f>
        <v>0</v>
      </c>
      <c r="EG103" s="996">
        <f>IF(EE103=0,0,(EF103-EE103)/EE103*100)</f>
        <v>0</v>
      </c>
      <c r="EH103" s="1428">
        <f>IF(EH105=0,0,(EH104*EH105+EH106*EH107*6)/EH105)</f>
        <v>0</v>
      </c>
      <c r="EI103" s="1428">
        <f>IF(EI105=0,0,(EI104*EI105+EI106*EI107*6)/EI105)</f>
        <v>0</v>
      </c>
      <c r="EJ103" s="996">
        <f>IF(EH103=0,0,(EI103-EH103)/EH103*100)</f>
        <v>0</v>
      </c>
      <c r="EK103" s="1428">
        <f>IF(EK105=0,0,(EK104*EK105+EK106*EK107*6)/EK105)</f>
        <v>0</v>
      </c>
      <c r="EL103" s="1428">
        <f>IF(EL105=0,0,(EL104*EL105+EL106*EL107*6)/EL105)</f>
        <v>0</v>
      </c>
      <c r="EM103" s="996">
        <f>IF(EK103=0,0,(EL103-EK103)/EK103*100)</f>
        <v>0</v>
      </c>
      <c r="EN103" s="1428">
        <f>IF(EN105=0,0,(EN104*EN105+EN106*EN107*6)/EN105)</f>
        <v>0</v>
      </c>
      <c r="EO103" s="1428">
        <f>IF(EO105=0,0,(EO104*EO105+EO106*EO107*6)/EO105)</f>
        <v>0</v>
      </c>
      <c r="EP103" s="996">
        <f>IF(EN103=0,0,(EO103-EN103)/EN103*100)</f>
        <v>0</v>
      </c>
      <c r="EQ103" s="1428">
        <f>IF(EQ105=0,0,(EQ104*EQ105+EQ106*EQ107*6)/EQ105)</f>
        <v>0</v>
      </c>
      <c r="ER103" s="1428">
        <f>IF(ER105=0,0,(ER104*ER105+ER106*ER107*6)/ER105)</f>
        <v>0</v>
      </c>
      <c r="ES103" s="996">
        <f>IF(EQ103=0,0,(ER103-EQ103)/EQ103*100)</f>
        <v>0</v>
      </c>
      <c r="ET103" s="1428">
        <f>IF(ET105=0,0,(ET104*ET105+ET106*ET107*6)/ET105)</f>
        <v>0</v>
      </c>
      <c r="EU103" s="1428">
        <f>IF(EU105=0,0,(EU104*EU105+EU106*EU107*6)/EU105)</f>
        <v>0</v>
      </c>
      <c r="EV103" s="996">
        <f>IF(ET103=0,0,(EU103-ET103)/ET103*100)</f>
        <v>0</v>
      </c>
      <c r="EW103" s="1428">
        <f>IF(EW105=0,0,(EW104*EW105+EW106*EW107*6)/EW105)</f>
        <v>0</v>
      </c>
      <c r="EX103" s="1428">
        <f>IF(EX105=0,0,(EX104*EX105+EX106*EX107*6)/EX105)</f>
        <v>0</v>
      </c>
      <c r="EY103" s="996">
        <f>IF(EW103=0,0,(EX103-EW103)/EW103*100)</f>
        <v>0</v>
      </c>
      <c r="EZ103" s="1428">
        <f>IF(EZ105=0,0,(EZ104*EZ105+EZ106*EZ107*6)/EZ105)</f>
        <v>0</v>
      </c>
      <c r="FA103" s="1428">
        <f>IF(FA105=0,0,(FA104*FA105+FA106*FA107*6)/FA105)</f>
        <v>0</v>
      </c>
      <c r="FB103" s="996">
        <f>IF(EZ103=0,0,(FA103-EZ103)/EZ103*100)</f>
        <v>0</v>
      </c>
      <c r="FC103" s="1428">
        <f>IF(FC105=0,0,(FC104*FC105+FC106*FC107*6)/FC105)</f>
        <v>0</v>
      </c>
      <c r="FD103" s="1428">
        <f>IF(FD105=0,0,(FD104*FD105+FD106*FD107*6)/FD105)</f>
        <v>0</v>
      </c>
      <c r="FE103" s="996">
        <f>IF(FC103=0,0,(FD103-FC103)/FC103*100)</f>
        <v>0</v>
      </c>
      <c r="FF103" s="1428">
        <f>IF(FF105=0,0,(FF104*FF105+FF106*FF107*6)/FF105)</f>
        <v>0</v>
      </c>
      <c r="FG103" s="1428">
        <f>IF(FG105=0,0,(FG104*FG105+FG106*FG107*6)/FG105)</f>
        <v>0</v>
      </c>
      <c r="FH103" s="996">
        <f>IF(FF103=0,0,(FG103-FF103)/FF103*100)</f>
        <v>0</v>
      </c>
      <c r="FI103" s="1428">
        <f>IF(FI105=0,0,(FI104*FI105+FI106*FI107*6)/FI105)</f>
        <v>0</v>
      </c>
      <c r="FJ103" s="1428">
        <f>IF(FJ105=0,0,(FJ104*FJ105+FJ106*FJ107*6)/FJ105)</f>
        <v>0</v>
      </c>
      <c r="FK103" s="996">
        <f>IF(FI103=0,0,(FJ103-FI103)/FI103*100)</f>
        <v>0</v>
      </c>
      <c r="FL103" s="1428">
        <f>IF(FL105=0,0,(FL104*FL105+FL106*FL107*6)/FL105)</f>
        <v>0</v>
      </c>
      <c r="FM103" s="1428">
        <f>IF(FM105=0,0,(FM104*FM105+FM106*FM107*6)/FM105)</f>
        <v>0</v>
      </c>
      <c r="FN103" s="996">
        <f>IF(FL103=0,0,(FM103-FL103)/FL103*100)</f>
        <v>0</v>
      </c>
      <c r="FO103" s="1428">
        <f>IF(FO105=0,0,(FO104*FO105+FO106*FO107*6)/FO105)</f>
        <v>0</v>
      </c>
      <c r="FP103" s="1428">
        <f>IF(FP105=0,0,(FP104*FP105+FP106*FP107*6)/FP105)</f>
        <v>0</v>
      </c>
      <c r="FQ103" s="996">
        <f>IF(FO103=0,0,(FP103-FO103)/FO103*100)</f>
        <v>0</v>
      </c>
      <c r="FR103" s="1428">
        <f>IF(FR105=0,0,(FR104*FR105+FR106*FR107*6)/FR105)</f>
        <v>0</v>
      </c>
      <c r="FS103" s="1428">
        <f>IF(FS105=0,0,(FS104*FS105+FS106*FS107*6)/FS105)</f>
        <v>0</v>
      </c>
      <c r="FT103" s="996">
        <f>IF(FR103=0,0,(FS103-FR103)/FR103*100)</f>
        <v>0</v>
      </c>
      <c r="FU103" s="1428">
        <f>IF(FU105=0,0,(FU104*FU105+FU106*FU107*6)/FU105)</f>
        <v>0</v>
      </c>
      <c r="FV103" s="1428">
        <f>IF(FV105=0,0,(FV104*FV105+FV106*FV107*6)/FV105)</f>
        <v>0</v>
      </c>
      <c r="FW103" s="996">
        <f>IF(FU103=0,0,(FV103-FU103)/FU103*100)</f>
        <v>0</v>
      </c>
      <c r="FX103" s="1207"/>
      <c r="FY103" s="1207"/>
      <c r="FZ103" s="957" t="s">
        <v>1488</v>
      </c>
      <c r="GA103" s="1209"/>
      <c r="GB103" s="1209"/>
      <c r="GC103" s="1208"/>
      <c r="GD103" s="1208"/>
    </row>
    <row r="104" spans="1:186" s="1327" customFormat="1" ht="14.25" hidden="1" customHeight="1">
      <c r="A104" s="409"/>
      <c r="B104" s="830" t="b" cm="1">
        <f t="array" ref="B104">B103</f>
        <v>0</v>
      </c>
      <c r="C104" s="409"/>
      <c r="D104" s="409"/>
      <c r="E104" s="754">
        <v>15</v>
      </c>
      <c r="F104" s="3" t="str" cm="1">
        <f t="array" aca="1" ref="F104" ca="1">OFFSET(E104,-1,1)</f>
        <v>1</v>
      </c>
      <c r="G104" s="409"/>
      <c r="H104" s="409" t="s">
        <v>1416</v>
      </c>
      <c r="I104" s="409" t="s">
        <v>1452</v>
      </c>
      <c r="J104" s="409"/>
      <c r="K104" s="409"/>
      <c r="L104" s="409"/>
      <c r="M104" s="409"/>
      <c r="N104" s="409"/>
      <c r="O104" s="409"/>
      <c r="P104" s="409"/>
      <c r="Q104" s="409"/>
      <c r="R104" s="409"/>
      <c r="S104" s="409"/>
      <c r="T104" s="381" t="b" cm="1">
        <f t="array" aca="1" ref="T104" ca="1">T103</f>
        <v>1</v>
      </c>
      <c r="U104" s="409"/>
      <c r="V104" s="409"/>
      <c r="W104" s="409"/>
      <c r="X104" s="1787"/>
      <c r="Y104" s="409"/>
      <c r="Z104" s="1734"/>
      <c r="AA104" s="409"/>
      <c r="AB104" s="811"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778" t="s">
        <v>1454</v>
      </c>
      <c r="AD104" s="1428"/>
      <c r="AE104" s="1428"/>
      <c r="AF104" s="996">
        <f>IF(AD104=0,0,(AE104-AD104)/AD104*100)</f>
        <v>0</v>
      </c>
      <c r="AG104" s="1428"/>
      <c r="AH104" s="1428"/>
      <c r="AI104" s="996">
        <f>IF(AG104=0,0,(AH104-AG104)/AG104*100)</f>
        <v>0</v>
      </c>
      <c r="AJ104" s="1428"/>
      <c r="AK104" s="1428"/>
      <c r="AL104" s="996">
        <f>IF(AJ104=0,0,(AK104-AJ104)/AJ104*100)</f>
        <v>0</v>
      </c>
      <c r="AM104" s="1428"/>
      <c r="AN104" s="1428"/>
      <c r="AO104" s="996">
        <f>IF(AM104=0,0,(AN104-AM104)/AM104*100)</f>
        <v>0</v>
      </c>
      <c r="AP104" s="1428"/>
      <c r="AQ104" s="1428"/>
      <c r="AR104" s="996">
        <f>IF(AP104=0,0,(AQ104-AP104)/AP104*100)</f>
        <v>0</v>
      </c>
      <c r="AS104" s="1428"/>
      <c r="AT104" s="1428"/>
      <c r="AU104" s="996">
        <f>IF(AS104=0,0,(AT104-AS104)/AS104*100)</f>
        <v>0</v>
      </c>
      <c r="AV104" s="1428"/>
      <c r="AW104" s="1428"/>
      <c r="AX104" s="996">
        <f>IF(AV104=0,0,(AW104-AV104)/AV104*100)</f>
        <v>0</v>
      </c>
      <c r="AY104" s="1428"/>
      <c r="AZ104" s="1428"/>
      <c r="BA104" s="996">
        <f>IF(AY104=0,0,(AZ104-AY104)/AY104*100)</f>
        <v>0</v>
      </c>
      <c r="BB104" s="1428"/>
      <c r="BC104" s="1428"/>
      <c r="BD104" s="996">
        <f>IF(BB104=0,0,(BC104-BB104)/BB104*100)</f>
        <v>0</v>
      </c>
      <c r="BE104" s="1428"/>
      <c r="BF104" s="1428"/>
      <c r="BG104" s="996">
        <f>IF(BE104=0,0,(BF104-BE104)/BE104*100)</f>
        <v>0</v>
      </c>
      <c r="BH104" s="1428"/>
      <c r="BI104" s="1428"/>
      <c r="BJ104" s="996">
        <f>IF(BH104=0,0,(BI104-BH104)/BH104*100)</f>
        <v>0</v>
      </c>
      <c r="BK104" s="1428"/>
      <c r="BL104" s="1428"/>
      <c r="BM104" s="996">
        <f>IF(BK104=0,0,(BL104-BK104)/BK104*100)</f>
        <v>0</v>
      </c>
      <c r="BN104" s="1428"/>
      <c r="BO104" s="1428"/>
      <c r="BP104" s="996">
        <f>IF(BN104=0,0,(BO104-BN104)/BN104*100)</f>
        <v>0</v>
      </c>
      <c r="BQ104" s="1428"/>
      <c r="BR104" s="1428"/>
      <c r="BS104" s="996">
        <f>IF(BQ104=0,0,(BR104-BQ104)/BQ104*100)</f>
        <v>0</v>
      </c>
      <c r="BT104" s="1428"/>
      <c r="BU104" s="1428"/>
      <c r="BV104" s="996">
        <f>IF(BT104=0,0,(BU104-BT104)/BT104*100)</f>
        <v>0</v>
      </c>
      <c r="BW104" s="1428"/>
      <c r="BX104" s="1428"/>
      <c r="BY104" s="996">
        <f>IF(BW104=0,0,(BX104-BW104)/BW104*100)</f>
        <v>0</v>
      </c>
      <c r="BZ104" s="1428"/>
      <c r="CA104" s="1428"/>
      <c r="CB104" s="996">
        <f>IF(BZ104=0,0,(CA104-BZ104)/BZ104*100)</f>
        <v>0</v>
      </c>
      <c r="CC104" s="1428"/>
      <c r="CD104" s="1428"/>
      <c r="CE104" s="996">
        <f>IF(CC104=0,0,(CD104-CC104)/CC104*100)</f>
        <v>0</v>
      </c>
      <c r="CF104" s="1428"/>
      <c r="CG104" s="1428"/>
      <c r="CH104" s="996">
        <f>IF(CF104=0,0,(CG104-CF104)/CF104*100)</f>
        <v>0</v>
      </c>
      <c r="CI104" s="1428"/>
      <c r="CJ104" s="1428"/>
      <c r="CK104" s="996">
        <f>IF(CI104=0,0,(CJ104-CI104)/CI104*100)</f>
        <v>0</v>
      </c>
      <c r="CL104" s="1428"/>
      <c r="CM104" s="1428"/>
      <c r="CN104" s="996">
        <f>IF(CL104=0,0,(CM104-CL104)/CL104*100)</f>
        <v>0</v>
      </c>
      <c r="CO104" s="1428"/>
      <c r="CP104" s="1428"/>
      <c r="CQ104" s="996">
        <f>IF(CO104=0,0,(CP104-CO104)/CO104*100)</f>
        <v>0</v>
      </c>
      <c r="CR104" s="1428"/>
      <c r="CS104" s="1428"/>
      <c r="CT104" s="996">
        <f>IF(CR104=0,0,(CS104-CR104)/CR104*100)</f>
        <v>0</v>
      </c>
      <c r="CU104" s="1428"/>
      <c r="CV104" s="1428"/>
      <c r="CW104" s="996">
        <f>IF(CU104=0,0,(CV104-CU104)/CU104*100)</f>
        <v>0</v>
      </c>
      <c r="CX104" s="1428"/>
      <c r="CY104" s="1428"/>
      <c r="CZ104" s="996">
        <f>IF(CX104=0,0,(CY104-CX104)/CX104*100)</f>
        <v>0</v>
      </c>
      <c r="DA104" s="1428"/>
      <c r="DB104" s="1428"/>
      <c r="DC104" s="996">
        <f>IF(DA104=0,0,(DB104-DA104)/DA104*100)</f>
        <v>0</v>
      </c>
      <c r="DD104" s="1428"/>
      <c r="DE104" s="1428"/>
      <c r="DF104" s="996">
        <f>IF(DD104=0,0,(DE104-DD104)/DD104*100)</f>
        <v>0</v>
      </c>
      <c r="DG104" s="1428"/>
      <c r="DH104" s="1428"/>
      <c r="DI104" s="996">
        <f>IF(DG104=0,0,(DH104-DG104)/DG104*100)</f>
        <v>0</v>
      </c>
      <c r="DJ104" s="1428"/>
      <c r="DK104" s="1428"/>
      <c r="DL104" s="996">
        <f>IF(DJ104=0,0,(DK104-DJ104)/DJ104*100)</f>
        <v>0</v>
      </c>
      <c r="DM104" s="1428"/>
      <c r="DN104" s="1428"/>
      <c r="DO104" s="996">
        <f>IF(DM104=0,0,(DN104-DM104)/DM104*100)</f>
        <v>0</v>
      </c>
      <c r="DP104" s="1428"/>
      <c r="DQ104" s="1428"/>
      <c r="DR104" s="996">
        <f>IF(DP104=0,0,(DQ104-DP104)/DP104*100)</f>
        <v>0</v>
      </c>
      <c r="DS104" s="1428"/>
      <c r="DT104" s="1428"/>
      <c r="DU104" s="996">
        <f>IF(DS104=0,0,(DT104-DS104)/DS104*100)</f>
        <v>0</v>
      </c>
      <c r="DV104" s="1428"/>
      <c r="DW104" s="1428"/>
      <c r="DX104" s="996">
        <f>IF(DV104=0,0,(DW104-DV104)/DV104*100)</f>
        <v>0</v>
      </c>
      <c r="DY104" s="1428"/>
      <c r="DZ104" s="1428"/>
      <c r="EA104" s="996">
        <f>IF(DY104=0,0,(DZ104-DY104)/DY104*100)</f>
        <v>0</v>
      </c>
      <c r="EB104" s="1428"/>
      <c r="EC104" s="1428"/>
      <c r="ED104" s="996">
        <f>IF(EB104=0,0,(EC104-EB104)/EB104*100)</f>
        <v>0</v>
      </c>
      <c r="EE104" s="1428"/>
      <c r="EF104" s="1428"/>
      <c r="EG104" s="996">
        <f>IF(EE104=0,0,(EF104-EE104)/EE104*100)</f>
        <v>0</v>
      </c>
      <c r="EH104" s="1428"/>
      <c r="EI104" s="1428"/>
      <c r="EJ104" s="996">
        <f>IF(EH104=0,0,(EI104-EH104)/EH104*100)</f>
        <v>0</v>
      </c>
      <c r="EK104" s="1428"/>
      <c r="EL104" s="1428"/>
      <c r="EM104" s="996">
        <f>IF(EK104=0,0,(EL104-EK104)/EK104*100)</f>
        <v>0</v>
      </c>
      <c r="EN104" s="1428"/>
      <c r="EO104" s="1428"/>
      <c r="EP104" s="996">
        <f>IF(EN104=0,0,(EO104-EN104)/EN104*100)</f>
        <v>0</v>
      </c>
      <c r="EQ104" s="1428"/>
      <c r="ER104" s="1428"/>
      <c r="ES104" s="996">
        <f>IF(EQ104=0,0,(ER104-EQ104)/EQ104*100)</f>
        <v>0</v>
      </c>
      <c r="ET104" s="1428"/>
      <c r="EU104" s="1428"/>
      <c r="EV104" s="996">
        <f>IF(ET104=0,0,(EU104-ET104)/ET104*100)</f>
        <v>0</v>
      </c>
      <c r="EW104" s="1428"/>
      <c r="EX104" s="1428"/>
      <c r="EY104" s="996">
        <f>IF(EW104=0,0,(EX104-EW104)/EW104*100)</f>
        <v>0</v>
      </c>
      <c r="EZ104" s="1428"/>
      <c r="FA104" s="1428"/>
      <c r="FB104" s="996">
        <f>IF(EZ104=0,0,(FA104-EZ104)/EZ104*100)</f>
        <v>0</v>
      </c>
      <c r="FC104" s="1428"/>
      <c r="FD104" s="1428"/>
      <c r="FE104" s="996">
        <f>IF(FC104=0,0,(FD104-FC104)/FC104*100)</f>
        <v>0</v>
      </c>
      <c r="FF104" s="1428"/>
      <c r="FG104" s="1428"/>
      <c r="FH104" s="996">
        <f>IF(FF104=0,0,(FG104-FF104)/FF104*100)</f>
        <v>0</v>
      </c>
      <c r="FI104" s="1428"/>
      <c r="FJ104" s="1428"/>
      <c r="FK104" s="996">
        <f>IF(FI104=0,0,(FJ104-FI104)/FI104*100)</f>
        <v>0</v>
      </c>
      <c r="FL104" s="1428"/>
      <c r="FM104" s="1428"/>
      <c r="FN104" s="996">
        <f>IF(FL104=0,0,(FM104-FL104)/FL104*100)</f>
        <v>0</v>
      </c>
      <c r="FO104" s="1428"/>
      <c r="FP104" s="1428"/>
      <c r="FQ104" s="996">
        <f>IF(FO104=0,0,(FP104-FO104)/FO104*100)</f>
        <v>0</v>
      </c>
      <c r="FR104" s="1428"/>
      <c r="FS104" s="1428"/>
      <c r="FT104" s="996">
        <f>IF(FR104=0,0,(FS104-FR104)/FR104*100)</f>
        <v>0</v>
      </c>
      <c r="FU104" s="1428"/>
      <c r="FV104" s="1428"/>
      <c r="FW104" s="996">
        <f>IF(FU104=0,0,(FV104-FU104)/FU104*100)</f>
        <v>0</v>
      </c>
      <c r="FX104" s="1207"/>
      <c r="FY104" s="1207"/>
      <c r="FZ104" s="957" t="s">
        <v>1489</v>
      </c>
      <c r="GA104" s="1209"/>
      <c r="GB104" s="1209"/>
      <c r="GC104" s="1208"/>
      <c r="GD104" s="1208"/>
    </row>
    <row r="105" spans="1:186" s="1327" customFormat="1" ht="14.25" hidden="1" customHeight="1">
      <c r="A105" s="409"/>
      <c r="B105" s="830" t="b" cm="1">
        <f t="array" ref="B105">B104</f>
        <v>0</v>
      </c>
      <c r="C105" s="409"/>
      <c r="D105" s="409"/>
      <c r="E105" s="754">
        <v>15</v>
      </c>
      <c r="F105" s="3" t="str" cm="1">
        <f t="array" aca="1" ref="F105" ca="1">OFFSET(E105,-1,1)</f>
        <v>1</v>
      </c>
      <c r="G105" s="26" t="s">
        <v>1490</v>
      </c>
      <c r="H105" s="409" t="s">
        <v>1491</v>
      </c>
      <c r="I105" s="409" t="s">
        <v>1452</v>
      </c>
      <c r="J105" s="409"/>
      <c r="K105" s="409"/>
      <c r="L105" s="409"/>
      <c r="M105" s="409"/>
      <c r="N105" s="409"/>
      <c r="O105" s="409"/>
      <c r="P105" s="409"/>
      <c r="Q105" s="409"/>
      <c r="R105" s="409"/>
      <c r="S105" s="409"/>
      <c r="T105" s="381" t="b" cm="1">
        <f t="array" aca="1" ref="T105" ca="1">T104</f>
        <v>1</v>
      </c>
      <c r="U105" s="409"/>
      <c r="V105" s="409"/>
      <c r="W105" s="409"/>
      <c r="X105" s="1787"/>
      <c r="Y105" s="409"/>
      <c r="Z105" s="1734"/>
      <c r="AA105" s="409"/>
      <c r="AB105" s="811" t="str">
        <f>"объём "&amp;IF(Q85="Водоснабжение","потребления холодной воды","водоотведения")</f>
        <v>объём потребления холодной воды</v>
      </c>
      <c r="AC105" s="778" t="s">
        <v>499</v>
      </c>
      <c r="AD105" s="1426">
        <f ca="1">IF(AND(method_reg="Метод индексации",god&lt;&gt;first_year),SUMIFS(INDEX('Калькуляция (МИ корр)'!$AJ$25:$BC$315,,MATCH(AD$8,'Калькуляция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(МИ)'!$AJ$25:$BC$315,,MATCH(AD$8,'Калькуляция (МИ)'!$AJ$8:$BC$8,0)),'Калькуляция (МИ)'!$F$25:$F$315,$F105,'Калькуляция (МИ)'!$G$25:$G$315,$G105))))</f>
        <v>1.9317749999999998</v>
      </c>
      <c r="AE105" s="1426">
        <f ca="1">IF(AND(method_reg="Метод индексации",god&lt;&gt;first_year),SUMIFS(INDEX('Калькуляция (МИ корр)'!$AJ$25:$BC$315,,MATCH(AE$8,'Калькуляция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(МИ)'!$AJ$25:$BC$315,,MATCH(AE$8,'Калькуляция (МИ)'!$AJ$8:$BC$8,0)),'Калькуляция (МИ)'!$F$25:$F$315,$F105,'Калькуляция (МИ)'!$G$25:$G$315,$G105))))</f>
        <v>1.9317749999999998</v>
      </c>
      <c r="AF105" s="998">
        <f ca="1">IF(AD105=0,0,(AE105-AD105)/AD105*100)</f>
        <v>0</v>
      </c>
      <c r="AG105" s="1426">
        <f ca="1">IF(AND(method_reg="Метод индексации",god&lt;&gt;first_year),SUMIFS(INDEX('Калькуляция (МИ корр)'!$AJ$25:$BC$315,,MATCH(AG$8,'Калькуляция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(МИ)'!$AJ$25:$BC$315,,MATCH(AG$8,'Калькуляция (МИ)'!$AJ$8:$BC$8,0)),'Калькуляция (МИ)'!$F$25:$F$315,$F105,'Калькуляция (МИ)'!$G$25:$G$315,$G105))))</f>
        <v>1.9317749999999998</v>
      </c>
      <c r="AH105" s="1426">
        <f ca="1">IF(AND(method_reg="Метод индексации",god&lt;&gt;first_year),SUMIFS(INDEX('Калькуляция (МИ корр)'!$AJ$25:$BC$315,,MATCH(AH$8,'Калькуляция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(МИ)'!$AJ$25:$BC$315,,MATCH(AH$8,'Калькуляция (МИ)'!$AJ$8:$BC$8,0)),'Калькуляция (МИ)'!$F$25:$F$315,$F105,'Калькуляция (МИ)'!$G$25:$G$315,$G105))))</f>
        <v>1.9317749999999998</v>
      </c>
      <c r="AI105" s="998">
        <f ca="1">IF(AG105=0,0,(AH105-AG105)/AG105*100)</f>
        <v>0</v>
      </c>
      <c r="AJ105" s="1426">
        <f ca="1">IF(AND(method_reg="Метод индексации",god&lt;&gt;first_year),SUMIFS(INDEX('Калькуляция (МИ корр)'!$AJ$25:$BC$315,,MATCH(AJ$8,'Калькуляция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(МИ)'!$AJ$25:$BC$315,,MATCH(AJ$8,'Калькуляция (МИ)'!$AJ$8:$BC$8,0)),'Калькуляция (МИ)'!$F$25:$F$315,$F105,'Калькуляция (МИ)'!$G$25:$G$315,$G105))))</f>
        <v>1.9317749999999998</v>
      </c>
      <c r="AK105" s="1426">
        <f ca="1">IF(AND(method_reg="Метод индексации",god&lt;&gt;first_year),SUMIFS(INDEX('Калькуляция (МИ корр)'!$AJ$25:$BC$315,,MATCH(AK$8,'Калькуляция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(МИ)'!$AJ$25:$BC$315,,MATCH(AK$8,'Калькуляция (МИ)'!$AJ$8:$BC$8,0)),'Калькуляция (МИ)'!$F$25:$F$315,$F105,'Калькуляция (МИ)'!$G$25:$G$315,$G105))))</f>
        <v>1.9317749999999998</v>
      </c>
      <c r="AL105" s="998">
        <f ca="1">IF(AJ105=0,0,(AK105-AJ105)/AJ105*100)</f>
        <v>0</v>
      </c>
      <c r="AM105" s="1426">
        <f ca="1">IF(AND(method_reg="Метод индексации",god&lt;&gt;first_year),SUMIFS(INDEX('Калькуляция (МИ корр)'!$AJ$25:$BC$315,,MATCH(AM$8,'Калькуляция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(МИ)'!$AJ$25:$BC$315,,MATCH(AM$8,'Калькуляция (МИ)'!$AJ$8:$BC$8,0)),'Калькуляция (МИ)'!$F$25:$F$315,$F105,'Калькуляция (МИ)'!$G$25:$G$315,$G105))))</f>
        <v>1.9317749999999998</v>
      </c>
      <c r="AN105" s="1426">
        <f ca="1">IF(AND(method_reg="Метод индексации",god&lt;&gt;first_year),SUMIFS(INDEX('Калькуляция (МИ корр)'!$AJ$25:$BC$315,,MATCH(AN$8,'Калькуляция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(МИ)'!$AJ$25:$BC$315,,MATCH(AN$8,'Калькуляция (МИ)'!$AJ$8:$BC$8,0)),'Калькуляция (МИ)'!$F$25:$F$315,$F105,'Калькуляция (МИ)'!$G$25:$G$315,$G105))))</f>
        <v>1.9317749999999998</v>
      </c>
      <c r="AO105" s="998">
        <f ca="1">IF(AM105=0,0,(AN105-AM105)/AM105*100)</f>
        <v>0</v>
      </c>
      <c r="AP105" s="1426">
        <f ca="1">IF(AND(method_reg="Метод индексации",god&lt;&gt;first_year),SUMIFS(INDEX('Калькуляция (МИ корр)'!$AJ$25:$BC$315,,MATCH(AP$8,'Калькуляция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(МИ)'!$AJ$25:$BC$315,,MATCH(AP$8,'Калькуляция (МИ)'!$AJ$8:$BC$8,0)),'Калькуляция (МИ)'!$F$25:$F$315,$F105,'Калькуляция (МИ)'!$G$25:$G$315,$G105))))</f>
        <v>1.9317749999999998</v>
      </c>
      <c r="AQ105" s="1426">
        <f ca="1">IF(AND(method_reg="Метод индексации",god&lt;&gt;first_year),SUMIFS(INDEX('Калькуляция (МИ корр)'!$AJ$25:$BC$315,,MATCH(AQ$8,'Калькуляция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(МИ)'!$AJ$25:$BC$315,,MATCH(AQ$8,'Калькуляция (МИ)'!$AJ$8:$BC$8,0)),'Калькуляция (МИ)'!$F$25:$F$315,$F105,'Калькуляция (МИ)'!$G$25:$G$315,$G105))))</f>
        <v>1.9317749999999998</v>
      </c>
      <c r="AR105" s="998">
        <f ca="1">IF(AP105=0,0,(AQ105-AP105)/AP105*100)</f>
        <v>0</v>
      </c>
      <c r="AS105" s="1426">
        <f ca="1">IF(AND(method_reg="Метод индексации",god&lt;&gt;first_year),SUMIFS(INDEX('Калькуляция (МИ корр)'!$AJ$25:$BC$315,,MATCH(AS$8,'Калькуляция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(МИ)'!$AJ$25:$BC$315,,MATCH(AS$8,'Калькуляция (МИ)'!$AJ$8:$BC$8,0)),'Калькуляция (МИ)'!$F$25:$F$315,$F105,'Калькуляция (МИ)'!$G$25:$G$315,$G105))))</f>
        <v>1.9317749999999998</v>
      </c>
      <c r="AT105" s="1426">
        <f ca="1">IF(AND(method_reg="Метод индексации",god&lt;&gt;first_year),SUMIFS(INDEX('Калькуляция (МИ корр)'!$AJ$25:$BC$315,,MATCH(AT$8,'Калькуляция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(МИ)'!$AJ$25:$BC$315,,MATCH(AT$8,'Калькуляция (МИ)'!$AJ$8:$BC$8,0)),'Калькуляция (МИ)'!$F$25:$F$315,$F105,'Калькуляция (МИ)'!$G$25:$G$315,$G105))))</f>
        <v>1.9317749999999998</v>
      </c>
      <c r="AU105" s="998">
        <f ca="1">IF(AS105=0,0,(AT105-AS105)/AS105*100)</f>
        <v>0</v>
      </c>
      <c r="AV105" s="1426">
        <f ca="1">IF(AND(method_reg="Метод индексации",god&lt;&gt;first_year),SUMIFS(INDEX('Калькуляция (МИ корр)'!$AJ$25:$BC$315,,MATCH(AV$8,'Калькуляция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(МИ)'!$AJ$25:$BC$315,,MATCH(AV$8,'Калькуляция (МИ)'!$AJ$8:$BC$8,0)),'Калькуляция (МИ)'!$F$25:$F$315,$F105,'Калькуляция (МИ)'!$G$25:$G$315,$G105))))</f>
        <v>1.9317749999999998</v>
      </c>
      <c r="AW105" s="1426">
        <f ca="1">IF(AND(method_reg="Метод индексации",god&lt;&gt;first_year),SUMIFS(INDEX('Калькуляция (МИ корр)'!$AJ$25:$BC$315,,MATCH(AW$8,'Калькуляция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(МИ)'!$AJ$25:$BC$315,,MATCH(AW$8,'Калькуляция (МИ)'!$AJ$8:$BC$8,0)),'Калькуляция (МИ)'!$F$25:$F$315,$F105,'Калькуляция (МИ)'!$G$25:$G$315,$G105))))</f>
        <v>1.9317749999999998</v>
      </c>
      <c r="AX105" s="998">
        <f ca="1">IF(AV105=0,0,(AW105-AV105)/AV105*100)</f>
        <v>0</v>
      </c>
      <c r="AY105" s="1426">
        <f ca="1">IF(AND(method_reg="Метод индексации",god&lt;&gt;first_year),SUMIFS(INDEX('Калькуляция (МИ корр)'!$AJ$25:$BC$315,,MATCH(AY$8,'Калькуляция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(МИ)'!$AJ$25:$BC$315,,MATCH(AY$8,'Калькуляция (МИ)'!$AJ$8:$BC$8,0)),'Калькуляция (МИ)'!$F$25:$F$315,$F105,'Калькуляция (МИ)'!$G$25:$G$315,$G105))))</f>
        <v>1.9317749999999998</v>
      </c>
      <c r="AZ105" s="1426">
        <f ca="1">IF(AND(method_reg="Метод индексации",god&lt;&gt;first_year),SUMIFS(INDEX('Калькуляция (МИ корр)'!$AJ$25:$BC$315,,MATCH(AZ$8,'Калькуляция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(МИ)'!$AJ$25:$BC$315,,MATCH(AZ$8,'Калькуляция (МИ)'!$AJ$8:$BC$8,0)),'Калькуляция (МИ)'!$F$25:$F$315,$F105,'Калькуляция (МИ)'!$G$25:$G$315,$G105))))</f>
        <v>1.9317749999999998</v>
      </c>
      <c r="BA105" s="998">
        <f ca="1">IF(AY105=0,0,(AZ105-AY105)/AY105*100)</f>
        <v>0</v>
      </c>
      <c r="BB105" s="1426">
        <f ca="1">IF(AND(method_reg="Метод индексации",god&lt;&gt;first_year),SUMIFS(INDEX('Калькуляция (МИ корр)'!$AJ$25:$BC$315,,MATCH(BB$8,'Калькуляция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(МИ)'!$AJ$25:$BC$315,,MATCH(BB$8,'Калькуляция (МИ)'!$AJ$8:$BC$8,0)),'Калькуляция (МИ)'!$F$25:$F$315,$F105,'Калькуляция (МИ)'!$G$25:$G$315,$G105))))</f>
        <v>1.9317749999999998</v>
      </c>
      <c r="BC105" s="1426">
        <f ca="1">IF(AND(method_reg="Метод индексации",god&lt;&gt;first_year),SUMIFS(INDEX('Калькуляция (МИ корр)'!$AJ$25:$BC$315,,MATCH(BC$8,'Калькуляция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(МИ)'!$AJ$25:$BC$315,,MATCH(BC$8,'Калькуляция (МИ)'!$AJ$8:$BC$8,0)),'Калькуляция (МИ)'!$F$25:$F$315,$F105,'Калькуляция (МИ)'!$G$25:$G$315,$G105))))</f>
        <v>1.9317749999999998</v>
      </c>
      <c r="BD105" s="998">
        <f ca="1">IF(BB105=0,0,(BC105-BB105)/BB105*100)</f>
        <v>0</v>
      </c>
      <c r="BE105" s="1426">
        <f ca="1">IF(AND(method_reg="Метод индексации",god&lt;&gt;first_year),SUMIFS(INDEX('Калькуляция (МИ корр)'!$AJ$25:$BC$315,,MATCH(BE$8,'Калькуляция (МИ корр)'!$AJ$8:$BC$8,0)),'Калькуляция (МИ корр)'!$F$25:$F$315,$F105,'Калькуляция (МИ корр)'!$G$25:$G$315,$G105),IF(method_reg="Метод экономически обоснованных расходов",SUMIFS('Калькуляция (МЭОР)'!$AJ$25:$AJ$199,'Калькуляция (МЭОР)'!$F$25:$F$199,$F105,'Калькуляция (МЭОР)'!$G$25:$G$199,$G105),IF(method_reg="Метод сравнения аналогов",SUMIFS('Калькуляция (МСА)'!$AE$25:$AE$65,'Калькуляция (МСА)'!$F$25:$F$65,$F105,'Калькуляция (МСА)'!$G$25:$G$65,$G105),SUMIFS(INDEX('Калькуляция (МИ)'!$AJ$25:$BC$315,,MATCH(BE$8,'Калькуляция (МИ)'!$AJ$8:$BC$8,0)),'Калькуляция (МИ)'!$F$25:$F$315,$F105,'Калькуляция (МИ)'!$G$25:$G$315,$G105))))</f>
        <v>1.9317749999999998</v>
      </c>
      <c r="BF105" s="1426">
        <f ca="1">IF(AND(method_reg="Метод индексации",god&lt;&gt;first_year),SUMIFS(INDEX('Калькуляция (МИ корр)'!$AJ$25:$BC$315,,MATCH(BF$8,'Калькуляция (МИ корр)'!$AJ$8:$BC$8,0)),'Калькуляция (МИ корр)'!$F$25:$F$315,$F105,'Калькуляция (МИ корр)'!$G$25:$G$315,$G105),IF(method_reg="Метод экономически обоснованных расходов",SUMIFS('Калькуляция (МЭОР)'!$AK$25:$AK$199,'Калькуляция (МЭОР)'!$F$25:$F$199,$F105,'Калькуляция (МЭОР)'!$G$25:$G$199,$G105),IF(method_reg="Метод сравнения аналогов",SUMIFS('Калькуляция (МСА)'!$AF$25:$AF$65,'Калькуляция (МСА)'!$F$25:$F$65,$F105,'Калькуляция (МСА)'!$G$25:$G$65,$G105),SUMIFS(INDEX('Калькуляция (МИ)'!$AJ$25:$BC$315,,MATCH(BF$8,'Калькуляция (МИ)'!$AJ$8:$BC$8,0)),'Калькуляция (МИ)'!$F$25:$F$315,$F105,'Калькуляция (МИ)'!$G$25:$G$315,$G105))))</f>
        <v>1.9317749999999998</v>
      </c>
      <c r="BG105" s="998">
        <f ca="1">IF(BE105=0,0,(BF105-BE105)/BE105*100)</f>
        <v>0</v>
      </c>
      <c r="BH105" s="1426"/>
      <c r="BI105" s="1426"/>
      <c r="BJ105" s="998">
        <f>IF(BH105=0,0,(BI105-BH105)/BH105*100)</f>
        <v>0</v>
      </c>
      <c r="BK105" s="1426"/>
      <c r="BL105" s="1426"/>
      <c r="BM105" s="998">
        <f>IF(BK105=0,0,(BL105-BK105)/BK105*100)</f>
        <v>0</v>
      </c>
      <c r="BN105" s="1426"/>
      <c r="BO105" s="1426"/>
      <c r="BP105" s="998">
        <f>IF(BN105=0,0,(BO105-BN105)/BN105*100)</f>
        <v>0</v>
      </c>
      <c r="BQ105" s="1426"/>
      <c r="BR105" s="1426"/>
      <c r="BS105" s="998">
        <f>IF(BQ105=0,0,(BR105-BQ105)/BQ105*100)</f>
        <v>0</v>
      </c>
      <c r="BT105" s="1426"/>
      <c r="BU105" s="1426"/>
      <c r="BV105" s="998">
        <f>IF(BT105=0,0,(BU105-BT105)/BT105*100)</f>
        <v>0</v>
      </c>
      <c r="BW105" s="1426"/>
      <c r="BX105" s="1426"/>
      <c r="BY105" s="998">
        <f>IF(BW105=0,0,(BX105-BW105)/BW105*100)</f>
        <v>0</v>
      </c>
      <c r="BZ105" s="1426"/>
      <c r="CA105" s="1426"/>
      <c r="CB105" s="998">
        <f>IF(BZ105=0,0,(CA105-BZ105)/BZ105*100)</f>
        <v>0</v>
      </c>
      <c r="CC105" s="1426"/>
      <c r="CD105" s="1426"/>
      <c r="CE105" s="998">
        <f>IF(CC105=0,0,(CD105-CC105)/CC105*100)</f>
        <v>0</v>
      </c>
      <c r="CF105" s="1426"/>
      <c r="CG105" s="1426"/>
      <c r="CH105" s="998">
        <f>IF(CF105=0,0,(CG105-CF105)/CF105*100)</f>
        <v>0</v>
      </c>
      <c r="CI105" s="1426"/>
      <c r="CJ105" s="1426"/>
      <c r="CK105" s="998">
        <f>IF(CI105=0,0,(CJ105-CI105)/CI105*100)</f>
        <v>0</v>
      </c>
      <c r="CL105" s="1426"/>
      <c r="CM105" s="1426"/>
      <c r="CN105" s="998">
        <f>IF(CL105=0,0,(CM105-CL105)/CL105*100)</f>
        <v>0</v>
      </c>
      <c r="CO105" s="1426"/>
      <c r="CP105" s="1426"/>
      <c r="CQ105" s="998">
        <f>IF(CO105=0,0,(CP105-CO105)/CO105*100)</f>
        <v>0</v>
      </c>
      <c r="CR105" s="1426"/>
      <c r="CS105" s="1426"/>
      <c r="CT105" s="998">
        <f>IF(CR105=0,0,(CS105-CR105)/CR105*100)</f>
        <v>0</v>
      </c>
      <c r="CU105" s="1426"/>
      <c r="CV105" s="1426"/>
      <c r="CW105" s="998">
        <f>IF(CU105=0,0,(CV105-CU105)/CU105*100)</f>
        <v>0</v>
      </c>
      <c r="CX105" s="1426"/>
      <c r="CY105" s="1426"/>
      <c r="CZ105" s="998">
        <f>IF(CX105=0,0,(CY105-CX105)/CX105*100)</f>
        <v>0</v>
      </c>
      <c r="DA105" s="1426"/>
      <c r="DB105" s="1426"/>
      <c r="DC105" s="998">
        <f>IF(DA105=0,0,(DB105-DA105)/DA105*100)</f>
        <v>0</v>
      </c>
      <c r="DD105" s="1426"/>
      <c r="DE105" s="1426"/>
      <c r="DF105" s="998">
        <f>IF(DD105=0,0,(DE105-DD105)/DD105*100)</f>
        <v>0</v>
      </c>
      <c r="DG105" s="1426"/>
      <c r="DH105" s="1426"/>
      <c r="DI105" s="998">
        <f>IF(DG105=0,0,(DH105-DG105)/DG105*100)</f>
        <v>0</v>
      </c>
      <c r="DJ105" s="1426"/>
      <c r="DK105" s="1426"/>
      <c r="DL105" s="998">
        <f>IF(DJ105=0,0,(DK105-DJ105)/DJ105*100)</f>
        <v>0</v>
      </c>
      <c r="DM105" s="1426"/>
      <c r="DN105" s="1426"/>
      <c r="DO105" s="998">
        <f>IF(DM105=0,0,(DN105-DM105)/DM105*100)</f>
        <v>0</v>
      </c>
      <c r="DP105" s="1426"/>
      <c r="DQ105" s="1426"/>
      <c r="DR105" s="998">
        <f>IF(DP105=0,0,(DQ105-DP105)/DP105*100)</f>
        <v>0</v>
      </c>
      <c r="DS105" s="1426"/>
      <c r="DT105" s="1426"/>
      <c r="DU105" s="998">
        <f>IF(DS105=0,0,(DT105-DS105)/DS105*100)</f>
        <v>0</v>
      </c>
      <c r="DV105" s="1426"/>
      <c r="DW105" s="1426"/>
      <c r="DX105" s="998">
        <f>IF(DV105=0,0,(DW105-DV105)/DV105*100)</f>
        <v>0</v>
      </c>
      <c r="DY105" s="1426"/>
      <c r="DZ105" s="1426"/>
      <c r="EA105" s="998">
        <f>IF(DY105=0,0,(DZ105-DY105)/DY105*100)</f>
        <v>0</v>
      </c>
      <c r="EB105" s="1426"/>
      <c r="EC105" s="1426"/>
      <c r="ED105" s="998">
        <f>IF(EB105=0,0,(EC105-EB105)/EB105*100)</f>
        <v>0</v>
      </c>
      <c r="EE105" s="1426"/>
      <c r="EF105" s="1426"/>
      <c r="EG105" s="998">
        <f>IF(EE105=0,0,(EF105-EE105)/EE105*100)</f>
        <v>0</v>
      </c>
      <c r="EH105" s="1426"/>
      <c r="EI105" s="1426"/>
      <c r="EJ105" s="998">
        <f>IF(EH105=0,0,(EI105-EH105)/EH105*100)</f>
        <v>0</v>
      </c>
      <c r="EK105" s="1426"/>
      <c r="EL105" s="1426"/>
      <c r="EM105" s="998">
        <f>IF(EK105=0,0,(EL105-EK105)/EK105*100)</f>
        <v>0</v>
      </c>
      <c r="EN105" s="1426"/>
      <c r="EO105" s="1426"/>
      <c r="EP105" s="998">
        <f>IF(EN105=0,0,(EO105-EN105)/EN105*100)</f>
        <v>0</v>
      </c>
      <c r="EQ105" s="1426"/>
      <c r="ER105" s="1426"/>
      <c r="ES105" s="998">
        <f>IF(EQ105=0,0,(ER105-EQ105)/EQ105*100)</f>
        <v>0</v>
      </c>
      <c r="ET105" s="1426"/>
      <c r="EU105" s="1426"/>
      <c r="EV105" s="998">
        <f>IF(ET105=0,0,(EU105-ET105)/ET105*100)</f>
        <v>0</v>
      </c>
      <c r="EW105" s="1426"/>
      <c r="EX105" s="1426"/>
      <c r="EY105" s="998">
        <f>IF(EW105=0,0,(EX105-EW105)/EW105*100)</f>
        <v>0</v>
      </c>
      <c r="EZ105" s="1426"/>
      <c r="FA105" s="1426"/>
      <c r="FB105" s="998">
        <f>IF(EZ105=0,0,(FA105-EZ105)/EZ105*100)</f>
        <v>0</v>
      </c>
      <c r="FC105" s="1426"/>
      <c r="FD105" s="1426"/>
      <c r="FE105" s="998">
        <f>IF(FC105=0,0,(FD105-FC105)/FC105*100)</f>
        <v>0</v>
      </c>
      <c r="FF105" s="1426"/>
      <c r="FG105" s="1426"/>
      <c r="FH105" s="998">
        <f>IF(FF105=0,0,(FG105-FF105)/FF105*100)</f>
        <v>0</v>
      </c>
      <c r="FI105" s="1426"/>
      <c r="FJ105" s="1426"/>
      <c r="FK105" s="998">
        <f>IF(FI105=0,0,(FJ105-FI105)/FI105*100)</f>
        <v>0</v>
      </c>
      <c r="FL105" s="1426"/>
      <c r="FM105" s="1426"/>
      <c r="FN105" s="998">
        <f>IF(FL105=0,0,(FM105-FL105)/FL105*100)</f>
        <v>0</v>
      </c>
      <c r="FO105" s="1426"/>
      <c r="FP105" s="1426"/>
      <c r="FQ105" s="998">
        <f>IF(FO105=0,0,(FP105-FO105)/FO105*100)</f>
        <v>0</v>
      </c>
      <c r="FR105" s="1426"/>
      <c r="FS105" s="1426"/>
      <c r="FT105" s="998">
        <f>IF(FR105=0,0,(FS105-FR105)/FR105*100)</f>
        <v>0</v>
      </c>
      <c r="FU105" s="1426"/>
      <c r="FV105" s="1426"/>
      <c r="FW105" s="998">
        <f>IF(FU105=0,0,(FV105-FU105)/FU105*100)</f>
        <v>0</v>
      </c>
      <c r="FX105" s="1207"/>
      <c r="FY105" s="1207"/>
      <c r="FZ105" s="957" t="s">
        <v>1492</v>
      </c>
      <c r="GA105" s="1209"/>
      <c r="GB105" s="1209"/>
      <c r="GC105" s="1208"/>
      <c r="GD105" s="1208"/>
    </row>
    <row r="106" spans="1:186" s="1327" customFormat="1" ht="24" hidden="1" customHeight="1">
      <c r="A106" s="409"/>
      <c r="B106" s="830" t="b" cm="1">
        <f t="array" ref="B106">B105</f>
        <v>0</v>
      </c>
      <c r="C106" s="409"/>
      <c r="D106" s="409"/>
      <c r="E106" s="754">
        <v>24.75</v>
      </c>
      <c r="F106" s="3" t="str" cm="1">
        <f t="array" aca="1" ref="F106" ca="1">OFFSET(E106,-1,1)</f>
        <v>1</v>
      </c>
      <c r="G106" s="409"/>
      <c r="H106" s="409" t="s">
        <v>1493</v>
      </c>
      <c r="I106" s="409" t="s">
        <v>1452</v>
      </c>
      <c r="J106" s="409"/>
      <c r="K106" s="409"/>
      <c r="L106" s="409"/>
      <c r="M106" s="409"/>
      <c r="N106" s="409"/>
      <c r="O106" s="409"/>
      <c r="P106" s="409"/>
      <c r="Q106" s="409"/>
      <c r="R106" s="409"/>
      <c r="S106" s="409"/>
      <c r="T106" s="381" t="b" cm="1">
        <f t="array" aca="1" ref="T106" ca="1">T105</f>
        <v>1</v>
      </c>
      <c r="U106" s="409"/>
      <c r="V106" s="409"/>
      <c r="W106" s="409"/>
      <c r="X106" s="1787"/>
      <c r="Y106" s="409"/>
      <c r="Z106" s="1734"/>
      <c r="AA106" s="409"/>
      <c r="AB106" s="811"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778" t="s">
        <v>1494</v>
      </c>
      <c r="AD106" s="1428"/>
      <c r="AE106" s="1428"/>
      <c r="AF106" s="996">
        <f>IF(AD106=0,0,(AE106-AD106)/AD106*100)</f>
        <v>0</v>
      </c>
      <c r="AG106" s="1428"/>
      <c r="AH106" s="1428"/>
      <c r="AI106" s="996">
        <f>IF(AG106=0,0,(AH106-AG106)/AG106*100)</f>
        <v>0</v>
      </c>
      <c r="AJ106" s="1428"/>
      <c r="AK106" s="1428"/>
      <c r="AL106" s="996">
        <f>IF(AJ106=0,0,(AK106-AJ106)/AJ106*100)</f>
        <v>0</v>
      </c>
      <c r="AM106" s="1428"/>
      <c r="AN106" s="1428"/>
      <c r="AO106" s="996">
        <f>IF(AM106=0,0,(AN106-AM106)/AM106*100)</f>
        <v>0</v>
      </c>
      <c r="AP106" s="1428"/>
      <c r="AQ106" s="1428"/>
      <c r="AR106" s="996">
        <f>IF(AP106=0,0,(AQ106-AP106)/AP106*100)</f>
        <v>0</v>
      </c>
      <c r="AS106" s="1428"/>
      <c r="AT106" s="1428"/>
      <c r="AU106" s="996">
        <f>IF(AS106=0,0,(AT106-AS106)/AS106*100)</f>
        <v>0</v>
      </c>
      <c r="AV106" s="1428"/>
      <c r="AW106" s="1428"/>
      <c r="AX106" s="996">
        <f>IF(AV106=0,0,(AW106-AV106)/AV106*100)</f>
        <v>0</v>
      </c>
      <c r="AY106" s="1428"/>
      <c r="AZ106" s="1428"/>
      <c r="BA106" s="996">
        <f>IF(AY106=0,0,(AZ106-AY106)/AY106*100)</f>
        <v>0</v>
      </c>
      <c r="BB106" s="1428"/>
      <c r="BC106" s="1428"/>
      <c r="BD106" s="996">
        <f>IF(BB106=0,0,(BC106-BB106)/BB106*100)</f>
        <v>0</v>
      </c>
      <c r="BE106" s="1428"/>
      <c r="BF106" s="1428"/>
      <c r="BG106" s="996">
        <f>IF(BE106=0,0,(BF106-BE106)/BE106*100)</f>
        <v>0</v>
      </c>
      <c r="BH106" s="1428"/>
      <c r="BI106" s="1428"/>
      <c r="BJ106" s="996">
        <f>IF(BH106=0,0,(BI106-BH106)/BH106*100)</f>
        <v>0</v>
      </c>
      <c r="BK106" s="1428"/>
      <c r="BL106" s="1428"/>
      <c r="BM106" s="996">
        <f>IF(BK106=0,0,(BL106-BK106)/BK106*100)</f>
        <v>0</v>
      </c>
      <c r="BN106" s="1428"/>
      <c r="BO106" s="1428"/>
      <c r="BP106" s="996">
        <f>IF(BN106=0,0,(BO106-BN106)/BN106*100)</f>
        <v>0</v>
      </c>
      <c r="BQ106" s="1428"/>
      <c r="BR106" s="1428"/>
      <c r="BS106" s="996">
        <f>IF(BQ106=0,0,(BR106-BQ106)/BQ106*100)</f>
        <v>0</v>
      </c>
      <c r="BT106" s="1428"/>
      <c r="BU106" s="1428"/>
      <c r="BV106" s="996">
        <f>IF(BT106=0,0,(BU106-BT106)/BT106*100)</f>
        <v>0</v>
      </c>
      <c r="BW106" s="1428"/>
      <c r="BX106" s="1428"/>
      <c r="BY106" s="996">
        <f>IF(BW106=0,0,(BX106-BW106)/BW106*100)</f>
        <v>0</v>
      </c>
      <c r="BZ106" s="1428"/>
      <c r="CA106" s="1428"/>
      <c r="CB106" s="996">
        <f>IF(BZ106=0,0,(CA106-BZ106)/BZ106*100)</f>
        <v>0</v>
      </c>
      <c r="CC106" s="1428"/>
      <c r="CD106" s="1428"/>
      <c r="CE106" s="996">
        <f>IF(CC106=0,0,(CD106-CC106)/CC106*100)</f>
        <v>0</v>
      </c>
      <c r="CF106" s="1428"/>
      <c r="CG106" s="1428"/>
      <c r="CH106" s="996">
        <f>IF(CF106=0,0,(CG106-CF106)/CF106*100)</f>
        <v>0</v>
      </c>
      <c r="CI106" s="1428"/>
      <c r="CJ106" s="1428"/>
      <c r="CK106" s="996">
        <f>IF(CI106=0,0,(CJ106-CI106)/CI106*100)</f>
        <v>0</v>
      </c>
      <c r="CL106" s="1428"/>
      <c r="CM106" s="1428"/>
      <c r="CN106" s="996">
        <f>IF(CL106=0,0,(CM106-CL106)/CL106*100)</f>
        <v>0</v>
      </c>
      <c r="CO106" s="1428"/>
      <c r="CP106" s="1428"/>
      <c r="CQ106" s="996">
        <f>IF(CO106=0,0,(CP106-CO106)/CO106*100)</f>
        <v>0</v>
      </c>
      <c r="CR106" s="1428"/>
      <c r="CS106" s="1428"/>
      <c r="CT106" s="996">
        <f>IF(CR106=0,0,(CS106-CR106)/CR106*100)</f>
        <v>0</v>
      </c>
      <c r="CU106" s="1428"/>
      <c r="CV106" s="1428"/>
      <c r="CW106" s="996">
        <f>IF(CU106=0,0,(CV106-CU106)/CU106*100)</f>
        <v>0</v>
      </c>
      <c r="CX106" s="1428"/>
      <c r="CY106" s="1428"/>
      <c r="CZ106" s="996">
        <f>IF(CX106=0,0,(CY106-CX106)/CX106*100)</f>
        <v>0</v>
      </c>
      <c r="DA106" s="1428"/>
      <c r="DB106" s="1428"/>
      <c r="DC106" s="996">
        <f>IF(DA106=0,0,(DB106-DA106)/DA106*100)</f>
        <v>0</v>
      </c>
      <c r="DD106" s="1428"/>
      <c r="DE106" s="1428"/>
      <c r="DF106" s="996">
        <f>IF(DD106=0,0,(DE106-DD106)/DD106*100)</f>
        <v>0</v>
      </c>
      <c r="DG106" s="1428"/>
      <c r="DH106" s="1428"/>
      <c r="DI106" s="996">
        <f>IF(DG106=0,0,(DH106-DG106)/DG106*100)</f>
        <v>0</v>
      </c>
      <c r="DJ106" s="1428"/>
      <c r="DK106" s="1428"/>
      <c r="DL106" s="996">
        <f>IF(DJ106=0,0,(DK106-DJ106)/DJ106*100)</f>
        <v>0</v>
      </c>
      <c r="DM106" s="1428"/>
      <c r="DN106" s="1428"/>
      <c r="DO106" s="996">
        <f>IF(DM106=0,0,(DN106-DM106)/DM106*100)</f>
        <v>0</v>
      </c>
      <c r="DP106" s="1428"/>
      <c r="DQ106" s="1428"/>
      <c r="DR106" s="996">
        <f>IF(DP106=0,0,(DQ106-DP106)/DP106*100)</f>
        <v>0</v>
      </c>
      <c r="DS106" s="1428"/>
      <c r="DT106" s="1428"/>
      <c r="DU106" s="996">
        <f>IF(DS106=0,0,(DT106-DS106)/DS106*100)</f>
        <v>0</v>
      </c>
      <c r="DV106" s="1428"/>
      <c r="DW106" s="1428"/>
      <c r="DX106" s="996">
        <f>IF(DV106=0,0,(DW106-DV106)/DV106*100)</f>
        <v>0</v>
      </c>
      <c r="DY106" s="1428"/>
      <c r="DZ106" s="1428"/>
      <c r="EA106" s="996">
        <f>IF(DY106=0,0,(DZ106-DY106)/DY106*100)</f>
        <v>0</v>
      </c>
      <c r="EB106" s="1428"/>
      <c r="EC106" s="1428"/>
      <c r="ED106" s="996">
        <f>IF(EB106=0,0,(EC106-EB106)/EB106*100)</f>
        <v>0</v>
      </c>
      <c r="EE106" s="1428"/>
      <c r="EF106" s="1428"/>
      <c r="EG106" s="996">
        <f>IF(EE106=0,0,(EF106-EE106)/EE106*100)</f>
        <v>0</v>
      </c>
      <c r="EH106" s="1428"/>
      <c r="EI106" s="1428"/>
      <c r="EJ106" s="996">
        <f>IF(EH106=0,0,(EI106-EH106)/EH106*100)</f>
        <v>0</v>
      </c>
      <c r="EK106" s="1428"/>
      <c r="EL106" s="1428"/>
      <c r="EM106" s="996">
        <f>IF(EK106=0,0,(EL106-EK106)/EK106*100)</f>
        <v>0</v>
      </c>
      <c r="EN106" s="1428"/>
      <c r="EO106" s="1428"/>
      <c r="EP106" s="996">
        <f>IF(EN106=0,0,(EO106-EN106)/EN106*100)</f>
        <v>0</v>
      </c>
      <c r="EQ106" s="1428"/>
      <c r="ER106" s="1428"/>
      <c r="ES106" s="996">
        <f>IF(EQ106=0,0,(ER106-EQ106)/EQ106*100)</f>
        <v>0</v>
      </c>
      <c r="ET106" s="1428"/>
      <c r="EU106" s="1428"/>
      <c r="EV106" s="996">
        <f>IF(ET106=0,0,(EU106-ET106)/ET106*100)</f>
        <v>0</v>
      </c>
      <c r="EW106" s="1428"/>
      <c r="EX106" s="1428"/>
      <c r="EY106" s="996">
        <f>IF(EW106=0,0,(EX106-EW106)/EW106*100)</f>
        <v>0</v>
      </c>
      <c r="EZ106" s="1428"/>
      <c r="FA106" s="1428"/>
      <c r="FB106" s="996">
        <f>IF(EZ106=0,0,(FA106-EZ106)/EZ106*100)</f>
        <v>0</v>
      </c>
      <c r="FC106" s="1428"/>
      <c r="FD106" s="1428"/>
      <c r="FE106" s="996">
        <f>IF(FC106=0,0,(FD106-FC106)/FC106*100)</f>
        <v>0</v>
      </c>
      <c r="FF106" s="1428"/>
      <c r="FG106" s="1428"/>
      <c r="FH106" s="996">
        <f>IF(FF106=0,0,(FG106-FF106)/FF106*100)</f>
        <v>0</v>
      </c>
      <c r="FI106" s="1428"/>
      <c r="FJ106" s="1428"/>
      <c r="FK106" s="996">
        <f>IF(FI106=0,0,(FJ106-FI106)/FI106*100)</f>
        <v>0</v>
      </c>
      <c r="FL106" s="1428"/>
      <c r="FM106" s="1428"/>
      <c r="FN106" s="996">
        <f>IF(FL106=0,0,(FM106-FL106)/FL106*100)</f>
        <v>0</v>
      </c>
      <c r="FO106" s="1428"/>
      <c r="FP106" s="1428"/>
      <c r="FQ106" s="996">
        <f>IF(FO106=0,0,(FP106-FO106)/FO106*100)</f>
        <v>0</v>
      </c>
      <c r="FR106" s="1428"/>
      <c r="FS106" s="1428"/>
      <c r="FT106" s="996">
        <f>IF(FR106=0,0,(FS106-FR106)/FR106*100)</f>
        <v>0</v>
      </c>
      <c r="FU106" s="1428"/>
      <c r="FV106" s="1428"/>
      <c r="FW106" s="996">
        <f>IF(FU106=0,0,(FV106-FU106)/FU106*100)</f>
        <v>0</v>
      </c>
      <c r="FX106" s="1207"/>
      <c r="FY106" s="1207"/>
      <c r="FZ106" s="957" t="s">
        <v>1495</v>
      </c>
      <c r="GA106" s="1209"/>
      <c r="GB106" s="1209"/>
      <c r="GC106" s="1208"/>
      <c r="GD106" s="1208"/>
    </row>
    <row r="107" spans="1:186" s="1327" customFormat="1" ht="14.25" hidden="1" customHeight="1">
      <c r="A107" s="409"/>
      <c r="B107" s="830" t="b" cm="1">
        <f t="array" ref="B107">B106</f>
        <v>0</v>
      </c>
      <c r="C107" s="409"/>
      <c r="D107" s="409"/>
      <c r="E107" s="754">
        <v>15</v>
      </c>
      <c r="F107" s="3" t="str" cm="1">
        <f t="array" aca="1" ref="F107" ca="1">OFFSET(E107,-1,1)</f>
        <v>1</v>
      </c>
      <c r="G107" s="409"/>
      <c r="H107" s="409" t="s">
        <v>1496</v>
      </c>
      <c r="I107" s="409" t="s">
        <v>1452</v>
      </c>
      <c r="J107" s="409"/>
      <c r="K107" s="409"/>
      <c r="L107" s="409"/>
      <c r="M107" s="409"/>
      <c r="N107" s="409"/>
      <c r="O107" s="409"/>
      <c r="P107" s="409"/>
      <c r="Q107" s="409"/>
      <c r="R107" s="409"/>
      <c r="S107" s="409"/>
      <c r="T107" s="381" t="b" cm="1">
        <f t="array" aca="1" ref="T107" ca="1">T106</f>
        <v>1</v>
      </c>
      <c r="U107" s="409"/>
      <c r="V107" s="409"/>
      <c r="W107" s="409"/>
      <c r="X107" s="1787"/>
      <c r="Y107" s="409"/>
      <c r="Z107" s="1734"/>
      <c r="AA107" s="409"/>
      <c r="AB107" s="811" t="s">
        <v>1497</v>
      </c>
      <c r="AC107" s="778" t="s">
        <v>1498</v>
      </c>
      <c r="AD107" s="1428"/>
      <c r="AE107" s="1428"/>
      <c r="AF107" s="996">
        <f>IF(AD107=0,0,(AE107-AD107)/AD107*100)</f>
        <v>0</v>
      </c>
      <c r="AG107" s="1428"/>
      <c r="AH107" s="1428"/>
      <c r="AI107" s="996">
        <f>IF(AG107=0,0,(AH107-AG107)/AG107*100)</f>
        <v>0</v>
      </c>
      <c r="AJ107" s="1428"/>
      <c r="AK107" s="1428"/>
      <c r="AL107" s="996">
        <f>IF(AJ107=0,0,(AK107-AJ107)/AJ107*100)</f>
        <v>0</v>
      </c>
      <c r="AM107" s="1428"/>
      <c r="AN107" s="1428"/>
      <c r="AO107" s="996">
        <f>IF(AM107=0,0,(AN107-AM107)/AM107*100)</f>
        <v>0</v>
      </c>
      <c r="AP107" s="1428"/>
      <c r="AQ107" s="1428"/>
      <c r="AR107" s="996">
        <f>IF(AP107=0,0,(AQ107-AP107)/AP107*100)</f>
        <v>0</v>
      </c>
      <c r="AS107" s="1428"/>
      <c r="AT107" s="1428"/>
      <c r="AU107" s="996">
        <f>IF(AS107=0,0,(AT107-AS107)/AS107*100)</f>
        <v>0</v>
      </c>
      <c r="AV107" s="1428"/>
      <c r="AW107" s="1428"/>
      <c r="AX107" s="996">
        <f>IF(AV107=0,0,(AW107-AV107)/AV107*100)</f>
        <v>0</v>
      </c>
      <c r="AY107" s="1428"/>
      <c r="AZ107" s="1428"/>
      <c r="BA107" s="996">
        <f>IF(AY107=0,0,(AZ107-AY107)/AY107*100)</f>
        <v>0</v>
      </c>
      <c r="BB107" s="1428"/>
      <c r="BC107" s="1428"/>
      <c r="BD107" s="996">
        <f>IF(BB107=0,0,(BC107-BB107)/BB107*100)</f>
        <v>0</v>
      </c>
      <c r="BE107" s="1428"/>
      <c r="BF107" s="1428"/>
      <c r="BG107" s="996">
        <f>IF(BE107=0,0,(BF107-BE107)/BE107*100)</f>
        <v>0</v>
      </c>
      <c r="BH107" s="1428"/>
      <c r="BI107" s="1428"/>
      <c r="BJ107" s="996">
        <f>IF(BH107=0,0,(BI107-BH107)/BH107*100)</f>
        <v>0</v>
      </c>
      <c r="BK107" s="1428"/>
      <c r="BL107" s="1428"/>
      <c r="BM107" s="996">
        <f>IF(BK107=0,0,(BL107-BK107)/BK107*100)</f>
        <v>0</v>
      </c>
      <c r="BN107" s="1428"/>
      <c r="BO107" s="1428"/>
      <c r="BP107" s="996">
        <f>IF(BN107=0,0,(BO107-BN107)/BN107*100)</f>
        <v>0</v>
      </c>
      <c r="BQ107" s="1428"/>
      <c r="BR107" s="1428"/>
      <c r="BS107" s="996">
        <f>IF(BQ107=0,0,(BR107-BQ107)/BQ107*100)</f>
        <v>0</v>
      </c>
      <c r="BT107" s="1428"/>
      <c r="BU107" s="1428"/>
      <c r="BV107" s="996">
        <f>IF(BT107=0,0,(BU107-BT107)/BT107*100)</f>
        <v>0</v>
      </c>
      <c r="BW107" s="1428"/>
      <c r="BX107" s="1428"/>
      <c r="BY107" s="996">
        <f>IF(BW107=0,0,(BX107-BW107)/BW107*100)</f>
        <v>0</v>
      </c>
      <c r="BZ107" s="1428"/>
      <c r="CA107" s="1428"/>
      <c r="CB107" s="996">
        <f>IF(BZ107=0,0,(CA107-BZ107)/BZ107*100)</f>
        <v>0</v>
      </c>
      <c r="CC107" s="1428"/>
      <c r="CD107" s="1428"/>
      <c r="CE107" s="996">
        <f>IF(CC107=0,0,(CD107-CC107)/CC107*100)</f>
        <v>0</v>
      </c>
      <c r="CF107" s="1428"/>
      <c r="CG107" s="1428"/>
      <c r="CH107" s="996">
        <f>IF(CF107=0,0,(CG107-CF107)/CF107*100)</f>
        <v>0</v>
      </c>
      <c r="CI107" s="1428"/>
      <c r="CJ107" s="1428"/>
      <c r="CK107" s="996">
        <f>IF(CI107=0,0,(CJ107-CI107)/CI107*100)</f>
        <v>0</v>
      </c>
      <c r="CL107" s="1428"/>
      <c r="CM107" s="1428"/>
      <c r="CN107" s="996">
        <f>IF(CL107=0,0,(CM107-CL107)/CL107*100)</f>
        <v>0</v>
      </c>
      <c r="CO107" s="1428"/>
      <c r="CP107" s="1428"/>
      <c r="CQ107" s="996">
        <f>IF(CO107=0,0,(CP107-CO107)/CO107*100)</f>
        <v>0</v>
      </c>
      <c r="CR107" s="1428"/>
      <c r="CS107" s="1428"/>
      <c r="CT107" s="996">
        <f>IF(CR107=0,0,(CS107-CR107)/CR107*100)</f>
        <v>0</v>
      </c>
      <c r="CU107" s="1428"/>
      <c r="CV107" s="1428"/>
      <c r="CW107" s="996">
        <f>IF(CU107=0,0,(CV107-CU107)/CU107*100)</f>
        <v>0</v>
      </c>
      <c r="CX107" s="1428"/>
      <c r="CY107" s="1428"/>
      <c r="CZ107" s="996">
        <f>IF(CX107=0,0,(CY107-CX107)/CX107*100)</f>
        <v>0</v>
      </c>
      <c r="DA107" s="1428"/>
      <c r="DB107" s="1428"/>
      <c r="DC107" s="996">
        <f>IF(DA107=0,0,(DB107-DA107)/DA107*100)</f>
        <v>0</v>
      </c>
      <c r="DD107" s="1428"/>
      <c r="DE107" s="1428"/>
      <c r="DF107" s="996">
        <f>IF(DD107=0,0,(DE107-DD107)/DD107*100)</f>
        <v>0</v>
      </c>
      <c r="DG107" s="1428"/>
      <c r="DH107" s="1428"/>
      <c r="DI107" s="996">
        <f>IF(DG107=0,0,(DH107-DG107)/DG107*100)</f>
        <v>0</v>
      </c>
      <c r="DJ107" s="1428"/>
      <c r="DK107" s="1428"/>
      <c r="DL107" s="996">
        <f>IF(DJ107=0,0,(DK107-DJ107)/DJ107*100)</f>
        <v>0</v>
      </c>
      <c r="DM107" s="1428"/>
      <c r="DN107" s="1428"/>
      <c r="DO107" s="996">
        <f>IF(DM107=0,0,(DN107-DM107)/DM107*100)</f>
        <v>0</v>
      </c>
      <c r="DP107" s="1428"/>
      <c r="DQ107" s="1428"/>
      <c r="DR107" s="996">
        <f>IF(DP107=0,0,(DQ107-DP107)/DP107*100)</f>
        <v>0</v>
      </c>
      <c r="DS107" s="1428"/>
      <c r="DT107" s="1428"/>
      <c r="DU107" s="996">
        <f>IF(DS107=0,0,(DT107-DS107)/DS107*100)</f>
        <v>0</v>
      </c>
      <c r="DV107" s="1428"/>
      <c r="DW107" s="1428"/>
      <c r="DX107" s="996">
        <f>IF(DV107=0,0,(DW107-DV107)/DV107*100)</f>
        <v>0</v>
      </c>
      <c r="DY107" s="1428"/>
      <c r="DZ107" s="1428"/>
      <c r="EA107" s="996">
        <f>IF(DY107=0,0,(DZ107-DY107)/DY107*100)</f>
        <v>0</v>
      </c>
      <c r="EB107" s="1428"/>
      <c r="EC107" s="1428"/>
      <c r="ED107" s="996">
        <f>IF(EB107=0,0,(EC107-EB107)/EB107*100)</f>
        <v>0</v>
      </c>
      <c r="EE107" s="1428"/>
      <c r="EF107" s="1428"/>
      <c r="EG107" s="996">
        <f>IF(EE107=0,0,(EF107-EE107)/EE107*100)</f>
        <v>0</v>
      </c>
      <c r="EH107" s="1428"/>
      <c r="EI107" s="1428"/>
      <c r="EJ107" s="996">
        <f>IF(EH107=0,0,(EI107-EH107)/EH107*100)</f>
        <v>0</v>
      </c>
      <c r="EK107" s="1428"/>
      <c r="EL107" s="1428"/>
      <c r="EM107" s="996">
        <f>IF(EK107=0,0,(EL107-EK107)/EK107*100)</f>
        <v>0</v>
      </c>
      <c r="EN107" s="1428"/>
      <c r="EO107" s="1428"/>
      <c r="EP107" s="996">
        <f>IF(EN107=0,0,(EO107-EN107)/EN107*100)</f>
        <v>0</v>
      </c>
      <c r="EQ107" s="1428"/>
      <c r="ER107" s="1428"/>
      <c r="ES107" s="996">
        <f>IF(EQ107=0,0,(ER107-EQ107)/EQ107*100)</f>
        <v>0</v>
      </c>
      <c r="ET107" s="1428"/>
      <c r="EU107" s="1428"/>
      <c r="EV107" s="996">
        <f>IF(ET107=0,0,(EU107-ET107)/ET107*100)</f>
        <v>0</v>
      </c>
      <c r="EW107" s="1428"/>
      <c r="EX107" s="1428"/>
      <c r="EY107" s="996">
        <f>IF(EW107=0,0,(EX107-EW107)/EW107*100)</f>
        <v>0</v>
      </c>
      <c r="EZ107" s="1428"/>
      <c r="FA107" s="1428"/>
      <c r="FB107" s="996">
        <f>IF(EZ107=0,0,(FA107-EZ107)/EZ107*100)</f>
        <v>0</v>
      </c>
      <c r="FC107" s="1428"/>
      <c r="FD107" s="1428"/>
      <c r="FE107" s="996">
        <f>IF(FC107=0,0,(FD107-FC107)/FC107*100)</f>
        <v>0</v>
      </c>
      <c r="FF107" s="1428"/>
      <c r="FG107" s="1428"/>
      <c r="FH107" s="996">
        <f>IF(FF107=0,0,(FG107-FF107)/FF107*100)</f>
        <v>0</v>
      </c>
      <c r="FI107" s="1428"/>
      <c r="FJ107" s="1428"/>
      <c r="FK107" s="996">
        <f>IF(FI107=0,0,(FJ107-FI107)/FI107*100)</f>
        <v>0</v>
      </c>
      <c r="FL107" s="1428"/>
      <c r="FM107" s="1428"/>
      <c r="FN107" s="996">
        <f>IF(FL107=0,0,(FM107-FL107)/FL107*100)</f>
        <v>0</v>
      </c>
      <c r="FO107" s="1428"/>
      <c r="FP107" s="1428"/>
      <c r="FQ107" s="996">
        <f>IF(FO107=0,0,(FP107-FO107)/FO107*100)</f>
        <v>0</v>
      </c>
      <c r="FR107" s="1428"/>
      <c r="FS107" s="1428"/>
      <c r="FT107" s="996">
        <f>IF(FR107=0,0,(FS107-FR107)/FR107*100)</f>
        <v>0</v>
      </c>
      <c r="FU107" s="1428"/>
      <c r="FV107" s="1428"/>
      <c r="FW107" s="996">
        <f>IF(FU107=0,0,(FV107-FU107)/FU107*100)</f>
        <v>0</v>
      </c>
      <c r="FX107" s="1207"/>
      <c r="FY107" s="1207"/>
      <c r="FZ107" s="957" t="s">
        <v>1499</v>
      </c>
      <c r="GA107" s="1209"/>
      <c r="GB107" s="1209"/>
      <c r="GC107" s="1208"/>
      <c r="GD107" s="1208"/>
    </row>
    <row r="108" spans="1:186" s="1327" customFormat="1" ht="23.25" hidden="1" customHeight="1">
      <c r="A108" s="409"/>
      <c r="B108" s="830" t="b" cm="1">
        <f t="array" ref="B108">B107</f>
        <v>0</v>
      </c>
      <c r="C108" s="409"/>
      <c r="D108" s="409"/>
      <c r="E108" s="754">
        <v>24.5</v>
      </c>
      <c r="F108" s="3" t="str" cm="1">
        <f t="array" aca="1" ref="F108" ca="1">OFFSET(E108,-1,1)</f>
        <v>1</v>
      </c>
      <c r="G108" s="409"/>
      <c r="H108" s="409"/>
      <c r="I108" s="409"/>
      <c r="J108" s="409"/>
      <c r="K108" s="409"/>
      <c r="L108" s="409"/>
      <c r="M108" s="409"/>
      <c r="N108" s="409"/>
      <c r="O108" s="409"/>
      <c r="P108" s="409"/>
      <c r="Q108" s="409"/>
      <c r="R108" s="409"/>
      <c r="S108" s="409"/>
      <c r="T108" s="381" t="b" cm="1">
        <f t="array" aca="1" ref="T108" ca="1">T107</f>
        <v>1</v>
      </c>
      <c r="U108" s="409"/>
      <c r="V108" s="409"/>
      <c r="W108" s="409"/>
      <c r="X108" s="1787"/>
      <c r="Y108" s="409"/>
      <c r="Z108" s="1734"/>
      <c r="AA108" s="409"/>
      <c r="AB108" s="209" t="s">
        <v>1500</v>
      </c>
      <c r="AC108" s="810"/>
      <c r="AD108" s="1003"/>
      <c r="AE108" s="1003"/>
      <c r="AF108" s="1003"/>
      <c r="AG108" s="1003"/>
      <c r="AH108" s="1003"/>
      <c r="AI108" s="1003"/>
      <c r="AJ108" s="1003"/>
      <c r="AK108" s="1003"/>
      <c r="AL108" s="1003"/>
      <c r="AM108" s="1003"/>
      <c r="AN108" s="1003"/>
      <c r="AO108" s="1003"/>
      <c r="AP108" s="1003"/>
      <c r="AQ108" s="1003"/>
      <c r="AR108" s="1003"/>
      <c r="AS108" s="1003"/>
      <c r="AT108" s="1003"/>
      <c r="AU108" s="1003"/>
      <c r="AV108" s="1003"/>
      <c r="AW108" s="1003"/>
      <c r="AX108" s="1003"/>
      <c r="AY108" s="1003"/>
      <c r="AZ108" s="1003"/>
      <c r="BA108" s="1003"/>
      <c r="BB108" s="1003"/>
      <c r="BC108" s="1003"/>
      <c r="BD108" s="1003"/>
      <c r="BE108" s="1003"/>
      <c r="BF108" s="1003"/>
      <c r="BG108" s="1003"/>
      <c r="BH108" s="1003"/>
      <c r="BI108" s="1003"/>
      <c r="BJ108" s="1003"/>
      <c r="BK108" s="1003"/>
      <c r="BL108" s="1003"/>
      <c r="BM108" s="1003"/>
      <c r="BN108" s="1003"/>
      <c r="BO108" s="1003"/>
      <c r="BP108" s="1003"/>
      <c r="BQ108" s="1003"/>
      <c r="BR108" s="1003"/>
      <c r="BS108" s="1003"/>
      <c r="BT108" s="1003"/>
      <c r="BU108" s="1003"/>
      <c r="BV108" s="1003"/>
      <c r="BW108" s="1003"/>
      <c r="BX108" s="1003"/>
      <c r="BY108" s="1003"/>
      <c r="BZ108" s="1003"/>
      <c r="CA108" s="1003"/>
      <c r="CB108" s="1003"/>
      <c r="CC108" s="1003"/>
      <c r="CD108" s="1003"/>
      <c r="CE108" s="1003"/>
      <c r="CF108" s="1003"/>
      <c r="CG108" s="1003"/>
      <c r="CH108" s="1003"/>
      <c r="CI108" s="1003"/>
      <c r="CJ108" s="1003"/>
      <c r="CK108" s="1003"/>
      <c r="CL108" s="1003"/>
      <c r="CM108" s="1003"/>
      <c r="CN108" s="1003"/>
      <c r="CO108" s="1003"/>
      <c r="CP108" s="1003"/>
      <c r="CQ108" s="1003"/>
      <c r="CR108" s="1003"/>
      <c r="CS108" s="1003"/>
      <c r="CT108" s="1003"/>
      <c r="CU108" s="1003"/>
      <c r="CV108" s="1003"/>
      <c r="CW108" s="1003"/>
      <c r="CX108" s="1003"/>
      <c r="CY108" s="1003"/>
      <c r="CZ108" s="1003"/>
      <c r="DA108" s="1003"/>
      <c r="DB108" s="1003"/>
      <c r="DC108" s="1003"/>
      <c r="DD108" s="1003"/>
      <c r="DE108" s="1003"/>
      <c r="DF108" s="1003"/>
      <c r="DG108" s="1003"/>
      <c r="DH108" s="1003"/>
      <c r="DI108" s="1003"/>
      <c r="DJ108" s="1003"/>
      <c r="DK108" s="1003"/>
      <c r="DL108" s="1003"/>
      <c r="DM108" s="1003"/>
      <c r="DN108" s="1003"/>
      <c r="DO108" s="1003"/>
      <c r="DP108" s="1003"/>
      <c r="DQ108" s="1003"/>
      <c r="DR108" s="1003"/>
      <c r="DS108" s="1003"/>
      <c r="DT108" s="1003"/>
      <c r="DU108" s="1003"/>
      <c r="DV108" s="1003"/>
      <c r="DW108" s="1003"/>
      <c r="DX108" s="1003"/>
      <c r="DY108" s="1003"/>
      <c r="DZ108" s="1003"/>
      <c r="EA108" s="1003"/>
      <c r="EB108" s="1003"/>
      <c r="EC108" s="1003"/>
      <c r="ED108" s="1003"/>
      <c r="EE108" s="1003"/>
      <c r="EF108" s="1003"/>
      <c r="EG108" s="1003"/>
      <c r="EH108" s="1003"/>
      <c r="EI108" s="1003"/>
      <c r="EJ108" s="1003"/>
      <c r="EK108" s="1003"/>
      <c r="EL108" s="1003"/>
      <c r="EM108" s="1003"/>
      <c r="EN108" s="1003"/>
      <c r="EO108" s="1003"/>
      <c r="EP108" s="1003"/>
      <c r="EQ108" s="1003"/>
      <c r="ER108" s="1003"/>
      <c r="ES108" s="1003"/>
      <c r="ET108" s="1003"/>
      <c r="EU108" s="1003"/>
      <c r="EV108" s="1003"/>
      <c r="EW108" s="1003"/>
      <c r="EX108" s="1003"/>
      <c r="EY108" s="1003"/>
      <c r="EZ108" s="1003"/>
      <c r="FA108" s="1003"/>
      <c r="FB108" s="1003"/>
      <c r="FC108" s="1003"/>
      <c r="FD108" s="1003"/>
      <c r="FE108" s="1003"/>
      <c r="FF108" s="1003"/>
      <c r="FG108" s="1003"/>
      <c r="FH108" s="1003"/>
      <c r="FI108" s="1003"/>
      <c r="FJ108" s="1003"/>
      <c r="FK108" s="1003"/>
      <c r="FL108" s="1003"/>
      <c r="FM108" s="1003"/>
      <c r="FN108" s="1003"/>
      <c r="FO108" s="1003"/>
      <c r="FP108" s="1003"/>
      <c r="FQ108" s="1003"/>
      <c r="FR108" s="1003"/>
      <c r="FS108" s="1003"/>
      <c r="FT108" s="1003"/>
      <c r="FU108" s="1003"/>
      <c r="FV108" s="1003"/>
      <c r="FW108" s="1004"/>
      <c r="FX108" s="1207"/>
      <c r="FY108" s="1207"/>
      <c r="FZ108" s="957"/>
      <c r="GA108" s="1209"/>
      <c r="GB108" s="1209"/>
      <c r="GC108" s="1208"/>
      <c r="GD108" s="1208"/>
    </row>
    <row r="109" spans="1:186" s="1327" customFormat="1" ht="14.25" hidden="1" customHeight="1">
      <c r="A109" s="409"/>
      <c r="B109" s="830" t="b" cm="1">
        <f t="array" ref="B109">B108</f>
        <v>0</v>
      </c>
      <c r="C109" s="409"/>
      <c r="D109" s="409"/>
      <c r="E109" s="754">
        <v>15</v>
      </c>
      <c r="F109" s="3" t="str" cm="1">
        <f t="array" aca="1" ref="F109" ca="1">OFFSET(E109,-1,1)</f>
        <v>1</v>
      </c>
      <c r="G109" s="409"/>
      <c r="H109" s="409" t="s">
        <v>1412</v>
      </c>
      <c r="I109" s="409" t="s">
        <v>1457</v>
      </c>
      <c r="J109" s="409"/>
      <c r="K109" s="409"/>
      <c r="L109" s="409"/>
      <c r="M109" s="409"/>
      <c r="N109" s="409"/>
      <c r="O109" s="409"/>
      <c r="P109" s="409"/>
      <c r="Q109" s="409"/>
      <c r="R109" s="409"/>
      <c r="S109" s="409"/>
      <c r="T109" s="381" t="b" cm="1">
        <f t="array" aca="1" ref="T109" ca="1">T108</f>
        <v>1</v>
      </c>
      <c r="U109" s="409"/>
      <c r="V109" s="409"/>
      <c r="W109" s="409"/>
      <c r="X109" s="1787"/>
      <c r="Y109" s="409"/>
      <c r="Z109" s="1734"/>
      <c r="AA109" s="409"/>
      <c r="AB109" s="994" t="s">
        <v>1487</v>
      </c>
      <c r="AC109" s="778" t="s">
        <v>1454</v>
      </c>
      <c r="AD109" s="1428">
        <f ca="1">IF(AD111=0,0,(AD110*AD111+AD112*AD113*IF(god=2026,3,6))/AD111)</f>
        <v>0</v>
      </c>
      <c r="AE109" s="1428">
        <f ca="1">IF(AE111=0,0,(AE110*AE111+AE112*AE113*IF(god=2026,3,6))/AE111)</f>
        <v>0</v>
      </c>
      <c r="AF109" s="996">
        <f ca="1">IF(AD109=0,0,(AE109-AD109)/AD109*100)</f>
        <v>0</v>
      </c>
      <c r="AG109" s="1428">
        <f ca="1">IF(AG111=0,0,(AG110*AG111+AG112*AG113*IF(god=2025,3,6))/AG111)</f>
        <v>0</v>
      </c>
      <c r="AH109" s="1428">
        <f ca="1">IF(AH111=0,0,(AH110*AH111+AH112*AH113*IF(god=2025,3,6))/AH111)</f>
        <v>0</v>
      </c>
      <c r="AI109" s="996">
        <f ca="1">IF(AG109=0,0,(AH109-AG109)/AG109*100)</f>
        <v>0</v>
      </c>
      <c r="AJ109" s="1428">
        <f ca="1">IF(AJ111=0,0,(AJ110*AJ111+AJ112*AJ113*6)/AJ111)</f>
        <v>0</v>
      </c>
      <c r="AK109" s="1428">
        <f ca="1">IF(AK111=0,0,(AK110*AK111+AK112*AK113*6)/AK111)</f>
        <v>0</v>
      </c>
      <c r="AL109" s="996">
        <f ca="1">IF(AJ109=0,0,(AK109-AJ109)/AJ109*100)</f>
        <v>0</v>
      </c>
      <c r="AM109" s="1428">
        <f ca="1">IF(AM111=0,0,(AM110*AM111+AM112*AM113*6)/AM111)</f>
        <v>0</v>
      </c>
      <c r="AN109" s="1428">
        <f ca="1">IF(AN111=0,0,(AN110*AN111+AN112*AN113*6)/AN111)</f>
        <v>0</v>
      </c>
      <c r="AO109" s="996">
        <f ca="1">IF(AM109=0,0,(AN109-AM109)/AM109*100)</f>
        <v>0</v>
      </c>
      <c r="AP109" s="1428">
        <f ca="1">IF(AP111=0,0,(AP110*AP111+AP112*AP113*6)/AP111)</f>
        <v>0</v>
      </c>
      <c r="AQ109" s="1428">
        <f ca="1">IF(AQ111=0,0,(AQ110*AQ111+AQ112*AQ113*6)/AQ111)</f>
        <v>0</v>
      </c>
      <c r="AR109" s="996">
        <f ca="1">IF(AP109=0,0,(AQ109-AP109)/AP109*100)</f>
        <v>0</v>
      </c>
      <c r="AS109" s="1428">
        <f ca="1">IF(AS111=0,0,(AS110*AS111+AS112*AS113*6)/AS111)</f>
        <v>0</v>
      </c>
      <c r="AT109" s="1428">
        <f ca="1">IF(AT111=0,0,(AT110*AT111+AT112*AT113*6)/AT111)</f>
        <v>0</v>
      </c>
      <c r="AU109" s="996">
        <f ca="1">IF(AS109=0,0,(AT109-AS109)/AS109*100)</f>
        <v>0</v>
      </c>
      <c r="AV109" s="1428">
        <f ca="1">IF(AV111=0,0,(AV110*AV111+AV112*AV113*6)/AV111)</f>
        <v>0</v>
      </c>
      <c r="AW109" s="1428">
        <f ca="1">IF(AW111=0,0,(AW110*AW111+AW112*AW113*6)/AW111)</f>
        <v>0</v>
      </c>
      <c r="AX109" s="996">
        <f ca="1">IF(AV109=0,0,(AW109-AV109)/AV109*100)</f>
        <v>0</v>
      </c>
      <c r="AY109" s="1428">
        <f ca="1">IF(AY111=0,0,(AY110*AY111+AY112*AY113*6)/AY111)</f>
        <v>0</v>
      </c>
      <c r="AZ109" s="1428">
        <f ca="1">IF(AZ111=0,0,(AZ110*AZ111+AZ112*AZ113*6)/AZ111)</f>
        <v>0</v>
      </c>
      <c r="BA109" s="996">
        <f ca="1">IF(AY109=0,0,(AZ109-AY109)/AY109*100)</f>
        <v>0</v>
      </c>
      <c r="BB109" s="1428">
        <f ca="1">IF(BB111=0,0,(BB110*BB111+BB112*BB113*6)/BB111)</f>
        <v>0</v>
      </c>
      <c r="BC109" s="1428">
        <f ca="1">IF(BC111=0,0,(BC110*BC111+BC112*BC113*6)/BC111)</f>
        <v>0</v>
      </c>
      <c r="BD109" s="996">
        <f ca="1">IF(BB109=0,0,(BC109-BB109)/BB109*100)</f>
        <v>0</v>
      </c>
      <c r="BE109" s="1428">
        <f ca="1">IF(BE111=0,0,(BE110*BE111+BE112*BE113*6)/BE111)</f>
        <v>0</v>
      </c>
      <c r="BF109" s="1428">
        <f ca="1">IF(BF111=0,0,(BF110*BF111+BF112*BF113*6)/BF111)</f>
        <v>0</v>
      </c>
      <c r="BG109" s="996">
        <f ca="1">IF(BE109=0,0,(BF109-BE109)/BE109*100)</f>
        <v>0</v>
      </c>
      <c r="BH109" s="1428">
        <f>IF(BH111=0,0,(BH110*BH111+BH112*BH113*6)/BH111)</f>
        <v>0</v>
      </c>
      <c r="BI109" s="1428">
        <f>IF(BI111=0,0,(BI110*BI111+BI112*BI113*6)/BI111)</f>
        <v>0</v>
      </c>
      <c r="BJ109" s="996">
        <f>IF(BH109=0,0,(BI109-BH109)/BH109*100)</f>
        <v>0</v>
      </c>
      <c r="BK109" s="1428">
        <f>IF(BK111=0,0,(BK110*BK111+BK112*BK113*6)/BK111)</f>
        <v>0</v>
      </c>
      <c r="BL109" s="1428">
        <f>IF(BL111=0,0,(BL110*BL111+BL112*BL113*6)/BL111)</f>
        <v>0</v>
      </c>
      <c r="BM109" s="996">
        <f>IF(BK109=0,0,(BL109-BK109)/BK109*100)</f>
        <v>0</v>
      </c>
      <c r="BN109" s="1428">
        <f>IF(BN111=0,0,(BN110*BN111+BN112*BN113*6)/BN111)</f>
        <v>0</v>
      </c>
      <c r="BO109" s="1428">
        <f>IF(BO111=0,0,(BO110*BO111+BO112*BO113*6)/BO111)</f>
        <v>0</v>
      </c>
      <c r="BP109" s="996">
        <f>IF(BN109=0,0,(BO109-BN109)/BN109*100)</f>
        <v>0</v>
      </c>
      <c r="BQ109" s="1428">
        <f>IF(BQ111=0,0,(BQ110*BQ111+BQ112*BQ113*6)/BQ111)</f>
        <v>0</v>
      </c>
      <c r="BR109" s="1428">
        <f>IF(BR111=0,0,(BR110*BR111+BR112*BR113*6)/BR111)</f>
        <v>0</v>
      </c>
      <c r="BS109" s="996">
        <f>IF(BQ109=0,0,(BR109-BQ109)/BQ109*100)</f>
        <v>0</v>
      </c>
      <c r="BT109" s="1428">
        <f>IF(BT111=0,0,(BT110*BT111+BT112*BT113*6)/BT111)</f>
        <v>0</v>
      </c>
      <c r="BU109" s="1428">
        <f>IF(BU111=0,0,(BU110*BU111+BU112*BU113*6)/BU111)</f>
        <v>0</v>
      </c>
      <c r="BV109" s="996">
        <f>IF(BT109=0,0,(BU109-BT109)/BT109*100)</f>
        <v>0</v>
      </c>
      <c r="BW109" s="1428">
        <f>IF(BW111=0,0,(BW110*BW111+BW112*BW113*6)/BW111)</f>
        <v>0</v>
      </c>
      <c r="BX109" s="1428">
        <f>IF(BX111=0,0,(BX110*BX111+BX112*BX113*6)/BX111)</f>
        <v>0</v>
      </c>
      <c r="BY109" s="996">
        <f>IF(BW109=0,0,(BX109-BW109)/BW109*100)</f>
        <v>0</v>
      </c>
      <c r="BZ109" s="1428">
        <f>IF(BZ111=0,0,(BZ110*BZ111+BZ112*BZ113*6)/BZ111)</f>
        <v>0</v>
      </c>
      <c r="CA109" s="1428">
        <f>IF(CA111=0,0,(CA110*CA111+CA112*CA113*6)/CA111)</f>
        <v>0</v>
      </c>
      <c r="CB109" s="996">
        <f>IF(BZ109=0,0,(CA109-BZ109)/BZ109*100)</f>
        <v>0</v>
      </c>
      <c r="CC109" s="1428">
        <f>IF(CC111=0,0,(CC110*CC111+CC112*CC113*6)/CC111)</f>
        <v>0</v>
      </c>
      <c r="CD109" s="1428">
        <f>IF(CD111=0,0,(CD110*CD111+CD112*CD113*6)/CD111)</f>
        <v>0</v>
      </c>
      <c r="CE109" s="996">
        <f>IF(CC109=0,0,(CD109-CC109)/CC109*100)</f>
        <v>0</v>
      </c>
      <c r="CF109" s="1428">
        <f>IF(CF111=0,0,(CF110*CF111+CF112*CF113*6)/CF111)</f>
        <v>0</v>
      </c>
      <c r="CG109" s="1428">
        <f>IF(CG111=0,0,(CG110*CG111+CG112*CG113*6)/CG111)</f>
        <v>0</v>
      </c>
      <c r="CH109" s="996">
        <f>IF(CF109=0,0,(CG109-CF109)/CF109*100)</f>
        <v>0</v>
      </c>
      <c r="CI109" s="1428">
        <f>IF(CI111=0,0,(CI110*CI111+CI112*CI113*6)/CI111)</f>
        <v>0</v>
      </c>
      <c r="CJ109" s="1428">
        <f>IF(CJ111=0,0,(CJ110*CJ111+CJ112*CJ113*6)/CJ111)</f>
        <v>0</v>
      </c>
      <c r="CK109" s="996">
        <f>IF(CI109=0,0,(CJ109-CI109)/CI109*100)</f>
        <v>0</v>
      </c>
      <c r="CL109" s="1428">
        <f>IF(CL111=0,0,(CL110*CL111+CL112*CL113*6)/CL111)</f>
        <v>0</v>
      </c>
      <c r="CM109" s="1428">
        <f>IF(CM111=0,0,(CM110*CM111+CM112*CM113*6)/CM111)</f>
        <v>0</v>
      </c>
      <c r="CN109" s="996">
        <f>IF(CL109=0,0,(CM109-CL109)/CL109*100)</f>
        <v>0</v>
      </c>
      <c r="CO109" s="1428">
        <f>IF(CO111=0,0,(CO110*CO111+CO112*CO113*6)/CO111)</f>
        <v>0</v>
      </c>
      <c r="CP109" s="1428">
        <f>IF(CP111=0,0,(CP110*CP111+CP112*CP113*6)/CP111)</f>
        <v>0</v>
      </c>
      <c r="CQ109" s="996">
        <f>IF(CO109=0,0,(CP109-CO109)/CO109*100)</f>
        <v>0</v>
      </c>
      <c r="CR109" s="1428">
        <f>IF(CR111=0,0,(CR110*CR111+CR112*CR113*6)/CR111)</f>
        <v>0</v>
      </c>
      <c r="CS109" s="1428">
        <f>IF(CS111=0,0,(CS110*CS111+CS112*CS113*6)/CS111)</f>
        <v>0</v>
      </c>
      <c r="CT109" s="996">
        <f>IF(CR109=0,0,(CS109-CR109)/CR109*100)</f>
        <v>0</v>
      </c>
      <c r="CU109" s="1428">
        <f>IF(CU111=0,0,(CU110*CU111+CU112*CU113*6)/CU111)</f>
        <v>0</v>
      </c>
      <c r="CV109" s="1428">
        <f>IF(CV111=0,0,(CV110*CV111+CV112*CV113*6)/CV111)</f>
        <v>0</v>
      </c>
      <c r="CW109" s="996">
        <f>IF(CU109=0,0,(CV109-CU109)/CU109*100)</f>
        <v>0</v>
      </c>
      <c r="CX109" s="1428">
        <f>IF(CX111=0,0,(CX110*CX111+CX112*CX113*6)/CX111)</f>
        <v>0</v>
      </c>
      <c r="CY109" s="1428">
        <f>IF(CY111=0,0,(CY110*CY111+CY112*CY113*6)/CY111)</f>
        <v>0</v>
      </c>
      <c r="CZ109" s="996">
        <f>IF(CX109=0,0,(CY109-CX109)/CX109*100)</f>
        <v>0</v>
      </c>
      <c r="DA109" s="1428">
        <f>IF(DA111=0,0,(DA110*DA111+DA112*DA113*6)/DA111)</f>
        <v>0</v>
      </c>
      <c r="DB109" s="1428">
        <f>IF(DB111=0,0,(DB110*DB111+DB112*DB113*6)/DB111)</f>
        <v>0</v>
      </c>
      <c r="DC109" s="996">
        <f>IF(DA109=0,0,(DB109-DA109)/DA109*100)</f>
        <v>0</v>
      </c>
      <c r="DD109" s="1428">
        <f>IF(DD111=0,0,(DD110*DD111+DD112*DD113*6)/DD111)</f>
        <v>0</v>
      </c>
      <c r="DE109" s="1428">
        <f>IF(DE111=0,0,(DE110*DE111+DE112*DE113*6)/DE111)</f>
        <v>0</v>
      </c>
      <c r="DF109" s="996">
        <f>IF(DD109=0,0,(DE109-DD109)/DD109*100)</f>
        <v>0</v>
      </c>
      <c r="DG109" s="1428">
        <f>IF(DG111=0,0,(DG110*DG111+DG112*DG113*6)/DG111)</f>
        <v>0</v>
      </c>
      <c r="DH109" s="1428">
        <f>IF(DH111=0,0,(DH110*DH111+DH112*DH113*6)/DH111)</f>
        <v>0</v>
      </c>
      <c r="DI109" s="996">
        <f>IF(DG109=0,0,(DH109-DG109)/DG109*100)</f>
        <v>0</v>
      </c>
      <c r="DJ109" s="1428">
        <f>IF(DJ111=0,0,(DJ110*DJ111+DJ112*DJ113*6)/DJ111)</f>
        <v>0</v>
      </c>
      <c r="DK109" s="1428">
        <f>IF(DK111=0,0,(DK110*DK111+DK112*DK113*6)/DK111)</f>
        <v>0</v>
      </c>
      <c r="DL109" s="996">
        <f>IF(DJ109=0,0,(DK109-DJ109)/DJ109*100)</f>
        <v>0</v>
      </c>
      <c r="DM109" s="1428">
        <f>IF(DM111=0,0,(DM110*DM111+DM112*DM113*6)/DM111)</f>
        <v>0</v>
      </c>
      <c r="DN109" s="1428">
        <f>IF(DN111=0,0,(DN110*DN111+DN112*DN113*6)/DN111)</f>
        <v>0</v>
      </c>
      <c r="DO109" s="996">
        <f>IF(DM109=0,0,(DN109-DM109)/DM109*100)</f>
        <v>0</v>
      </c>
      <c r="DP109" s="1428">
        <f>IF(DP111=0,0,(DP110*DP111+DP112*DP113*6)/DP111)</f>
        <v>0</v>
      </c>
      <c r="DQ109" s="1428">
        <f>IF(DQ111=0,0,(DQ110*DQ111+DQ112*DQ113*6)/DQ111)</f>
        <v>0</v>
      </c>
      <c r="DR109" s="996">
        <f>IF(DP109=0,0,(DQ109-DP109)/DP109*100)</f>
        <v>0</v>
      </c>
      <c r="DS109" s="1428">
        <f>IF(DS111=0,0,(DS110*DS111+DS112*DS113*6)/DS111)</f>
        <v>0</v>
      </c>
      <c r="DT109" s="1428">
        <f>IF(DT111=0,0,(DT110*DT111+DT112*DT113*6)/DT111)</f>
        <v>0</v>
      </c>
      <c r="DU109" s="996">
        <f>IF(DS109=0,0,(DT109-DS109)/DS109*100)</f>
        <v>0</v>
      </c>
      <c r="DV109" s="1428">
        <f>IF(DV111=0,0,(DV110*DV111+DV112*DV113*6)/DV111)</f>
        <v>0</v>
      </c>
      <c r="DW109" s="1428">
        <f>IF(DW111=0,0,(DW110*DW111+DW112*DW113*6)/DW111)</f>
        <v>0</v>
      </c>
      <c r="DX109" s="996">
        <f>IF(DV109=0,0,(DW109-DV109)/DV109*100)</f>
        <v>0</v>
      </c>
      <c r="DY109" s="1428">
        <f>IF(DY111=0,0,(DY110*DY111+DY112*DY113*6)/DY111)</f>
        <v>0</v>
      </c>
      <c r="DZ109" s="1428">
        <f>IF(DZ111=0,0,(DZ110*DZ111+DZ112*DZ113*6)/DZ111)</f>
        <v>0</v>
      </c>
      <c r="EA109" s="996">
        <f>IF(DY109=0,0,(DZ109-DY109)/DY109*100)</f>
        <v>0</v>
      </c>
      <c r="EB109" s="1428">
        <f>IF(EB111=0,0,(EB110*EB111+EB112*EB113*6)/EB111)</f>
        <v>0</v>
      </c>
      <c r="EC109" s="1428">
        <f>IF(EC111=0,0,(EC110*EC111+EC112*EC113*6)/EC111)</f>
        <v>0</v>
      </c>
      <c r="ED109" s="996">
        <f>IF(EB109=0,0,(EC109-EB109)/EB109*100)</f>
        <v>0</v>
      </c>
      <c r="EE109" s="1428">
        <f>IF(EE111=0,0,(EE110*EE111+EE112*EE113*6)/EE111)</f>
        <v>0</v>
      </c>
      <c r="EF109" s="1428">
        <f>IF(EF111=0,0,(EF110*EF111+EF112*EF113*6)/EF111)</f>
        <v>0</v>
      </c>
      <c r="EG109" s="996">
        <f>IF(EE109=0,0,(EF109-EE109)/EE109*100)</f>
        <v>0</v>
      </c>
      <c r="EH109" s="1428">
        <f>IF(EH111=0,0,(EH110*EH111+EH112*EH113*6)/EH111)</f>
        <v>0</v>
      </c>
      <c r="EI109" s="1428">
        <f>IF(EI111=0,0,(EI110*EI111+EI112*EI113*6)/EI111)</f>
        <v>0</v>
      </c>
      <c r="EJ109" s="996">
        <f>IF(EH109=0,0,(EI109-EH109)/EH109*100)</f>
        <v>0</v>
      </c>
      <c r="EK109" s="1428">
        <f>IF(EK111=0,0,(EK110*EK111+EK112*EK113*6)/EK111)</f>
        <v>0</v>
      </c>
      <c r="EL109" s="1428">
        <f>IF(EL111=0,0,(EL110*EL111+EL112*EL113*6)/EL111)</f>
        <v>0</v>
      </c>
      <c r="EM109" s="996">
        <f>IF(EK109=0,0,(EL109-EK109)/EK109*100)</f>
        <v>0</v>
      </c>
      <c r="EN109" s="1428">
        <f>IF(EN111=0,0,(EN110*EN111+EN112*EN113*6)/EN111)</f>
        <v>0</v>
      </c>
      <c r="EO109" s="1428">
        <f>IF(EO111=0,0,(EO110*EO111+EO112*EO113*6)/EO111)</f>
        <v>0</v>
      </c>
      <c r="EP109" s="996">
        <f>IF(EN109=0,0,(EO109-EN109)/EN109*100)</f>
        <v>0</v>
      </c>
      <c r="EQ109" s="1428">
        <f>IF(EQ111=0,0,(EQ110*EQ111+EQ112*EQ113*6)/EQ111)</f>
        <v>0</v>
      </c>
      <c r="ER109" s="1428">
        <f>IF(ER111=0,0,(ER110*ER111+ER112*ER113*6)/ER111)</f>
        <v>0</v>
      </c>
      <c r="ES109" s="996">
        <f>IF(EQ109=0,0,(ER109-EQ109)/EQ109*100)</f>
        <v>0</v>
      </c>
      <c r="ET109" s="1428">
        <f>IF(ET111=0,0,(ET110*ET111+ET112*ET113*6)/ET111)</f>
        <v>0</v>
      </c>
      <c r="EU109" s="1428">
        <f>IF(EU111=0,0,(EU110*EU111+EU112*EU113*6)/EU111)</f>
        <v>0</v>
      </c>
      <c r="EV109" s="996">
        <f>IF(ET109=0,0,(EU109-ET109)/ET109*100)</f>
        <v>0</v>
      </c>
      <c r="EW109" s="1428">
        <f>IF(EW111=0,0,(EW110*EW111+EW112*EW113*6)/EW111)</f>
        <v>0</v>
      </c>
      <c r="EX109" s="1428">
        <f>IF(EX111=0,0,(EX110*EX111+EX112*EX113*6)/EX111)</f>
        <v>0</v>
      </c>
      <c r="EY109" s="996">
        <f>IF(EW109=0,0,(EX109-EW109)/EW109*100)</f>
        <v>0</v>
      </c>
      <c r="EZ109" s="1428">
        <f>IF(EZ111=0,0,(EZ110*EZ111+EZ112*EZ113*6)/EZ111)</f>
        <v>0</v>
      </c>
      <c r="FA109" s="1428">
        <f>IF(FA111=0,0,(FA110*FA111+FA112*FA113*6)/FA111)</f>
        <v>0</v>
      </c>
      <c r="FB109" s="996">
        <f>IF(EZ109=0,0,(FA109-EZ109)/EZ109*100)</f>
        <v>0</v>
      </c>
      <c r="FC109" s="1428">
        <f>IF(FC111=0,0,(FC110*FC111+FC112*FC113*6)/FC111)</f>
        <v>0</v>
      </c>
      <c r="FD109" s="1428">
        <f>IF(FD111=0,0,(FD110*FD111+FD112*FD113*6)/FD111)</f>
        <v>0</v>
      </c>
      <c r="FE109" s="996">
        <f>IF(FC109=0,0,(FD109-FC109)/FC109*100)</f>
        <v>0</v>
      </c>
      <c r="FF109" s="1428">
        <f>IF(FF111=0,0,(FF110*FF111+FF112*FF113*6)/FF111)</f>
        <v>0</v>
      </c>
      <c r="FG109" s="1428">
        <f>IF(FG111=0,0,(FG110*FG111+FG112*FG113*6)/FG111)</f>
        <v>0</v>
      </c>
      <c r="FH109" s="996">
        <f>IF(FF109=0,0,(FG109-FF109)/FF109*100)</f>
        <v>0</v>
      </c>
      <c r="FI109" s="1428">
        <f>IF(FI111=0,0,(FI110*FI111+FI112*FI113*6)/FI111)</f>
        <v>0</v>
      </c>
      <c r="FJ109" s="1428">
        <f>IF(FJ111=0,0,(FJ110*FJ111+FJ112*FJ113*6)/FJ111)</f>
        <v>0</v>
      </c>
      <c r="FK109" s="996">
        <f>IF(FI109=0,0,(FJ109-FI109)/FI109*100)</f>
        <v>0</v>
      </c>
      <c r="FL109" s="1428">
        <f>IF(FL111=0,0,(FL110*FL111+FL112*FL113*6)/FL111)</f>
        <v>0</v>
      </c>
      <c r="FM109" s="1428">
        <f>IF(FM111=0,0,(FM110*FM111+FM112*FM113*6)/FM111)</f>
        <v>0</v>
      </c>
      <c r="FN109" s="996">
        <f>IF(FL109=0,0,(FM109-FL109)/FL109*100)</f>
        <v>0</v>
      </c>
      <c r="FO109" s="1428">
        <f>IF(FO111=0,0,(FO110*FO111+FO112*FO113*6)/FO111)</f>
        <v>0</v>
      </c>
      <c r="FP109" s="1428">
        <f>IF(FP111=0,0,(FP110*FP111+FP112*FP113*6)/FP111)</f>
        <v>0</v>
      </c>
      <c r="FQ109" s="996">
        <f>IF(FO109=0,0,(FP109-FO109)/FO109*100)</f>
        <v>0</v>
      </c>
      <c r="FR109" s="1428">
        <f>IF(FR111=0,0,(FR110*FR111+FR112*FR113*6)/FR111)</f>
        <v>0</v>
      </c>
      <c r="FS109" s="1428">
        <f>IF(FS111=0,0,(FS110*FS111+FS112*FS113*6)/FS111)</f>
        <v>0</v>
      </c>
      <c r="FT109" s="996">
        <f>IF(FR109=0,0,(FS109-FR109)/FR109*100)</f>
        <v>0</v>
      </c>
      <c r="FU109" s="1428">
        <f>IF(FU111=0,0,(FU110*FU111+FU112*FU113*6)/FU111)</f>
        <v>0</v>
      </c>
      <c r="FV109" s="1428">
        <f>IF(FV111=0,0,(FV110*FV111+FV112*FV113*6)/FV111)</f>
        <v>0</v>
      </c>
      <c r="FW109" s="996">
        <f>IF(FU109=0,0,(FV109-FU109)/FU109*100)</f>
        <v>0</v>
      </c>
      <c r="FX109" s="1207"/>
      <c r="FY109" s="1207"/>
      <c r="FZ109" s="957" t="s">
        <v>1501</v>
      </c>
      <c r="GA109" s="1209"/>
      <c r="GB109" s="1209"/>
      <c r="GC109" s="1208"/>
      <c r="GD109" s="1208"/>
    </row>
    <row r="110" spans="1:186" s="1327" customFormat="1" ht="14.25" hidden="1" customHeight="1">
      <c r="A110" s="409"/>
      <c r="B110" s="830" t="b" cm="1">
        <f t="array" ref="B110">B109</f>
        <v>0</v>
      </c>
      <c r="C110" s="409"/>
      <c r="D110" s="409"/>
      <c r="E110" s="754">
        <v>15</v>
      </c>
      <c r="F110" s="3" t="str" cm="1">
        <f t="array" aca="1" ref="F110" ca="1">OFFSET(E110,-1,1)</f>
        <v>1</v>
      </c>
      <c r="G110" s="409"/>
      <c r="H110" s="409" t="s">
        <v>1416</v>
      </c>
      <c r="I110" s="409" t="s">
        <v>1457</v>
      </c>
      <c r="J110" s="409"/>
      <c r="K110" s="409"/>
      <c r="L110" s="409"/>
      <c r="M110" s="409"/>
      <c r="N110" s="409"/>
      <c r="O110" s="409"/>
      <c r="P110" s="409"/>
      <c r="Q110" s="409"/>
      <c r="R110" s="409"/>
      <c r="S110" s="409"/>
      <c r="T110" s="381" t="b" cm="1">
        <f t="array" aca="1" ref="T110" ca="1">T109</f>
        <v>1</v>
      </c>
      <c r="U110" s="409"/>
      <c r="V110" s="409"/>
      <c r="W110" s="409"/>
      <c r="X110" s="1787"/>
      <c r="Y110" s="409"/>
      <c r="Z110" s="1734"/>
      <c r="AA110" s="409"/>
      <c r="AB110" s="994"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778" t="s">
        <v>1454</v>
      </c>
      <c r="AD110" s="1428"/>
      <c r="AE110" s="1428"/>
      <c r="AF110" s="996">
        <f>IF(AD110=0,0,(AE110-AD110)/AD110*100)</f>
        <v>0</v>
      </c>
      <c r="AG110" s="1428"/>
      <c r="AH110" s="1428"/>
      <c r="AI110" s="996">
        <f>IF(AG110=0,0,(AH110-AG110)/AG110*100)</f>
        <v>0</v>
      </c>
      <c r="AJ110" s="1428"/>
      <c r="AK110" s="1428"/>
      <c r="AL110" s="996">
        <f>IF(AJ110=0,0,(AK110-AJ110)/AJ110*100)</f>
        <v>0</v>
      </c>
      <c r="AM110" s="1428"/>
      <c r="AN110" s="1428"/>
      <c r="AO110" s="996">
        <f>IF(AM110=0,0,(AN110-AM110)/AM110*100)</f>
        <v>0</v>
      </c>
      <c r="AP110" s="1428"/>
      <c r="AQ110" s="1428"/>
      <c r="AR110" s="996">
        <f>IF(AP110=0,0,(AQ110-AP110)/AP110*100)</f>
        <v>0</v>
      </c>
      <c r="AS110" s="1428"/>
      <c r="AT110" s="1428"/>
      <c r="AU110" s="996">
        <f>IF(AS110=0,0,(AT110-AS110)/AS110*100)</f>
        <v>0</v>
      </c>
      <c r="AV110" s="1428"/>
      <c r="AW110" s="1428"/>
      <c r="AX110" s="996">
        <f>IF(AV110=0,0,(AW110-AV110)/AV110*100)</f>
        <v>0</v>
      </c>
      <c r="AY110" s="1428"/>
      <c r="AZ110" s="1428"/>
      <c r="BA110" s="996">
        <f>IF(AY110=0,0,(AZ110-AY110)/AY110*100)</f>
        <v>0</v>
      </c>
      <c r="BB110" s="1428"/>
      <c r="BC110" s="1428"/>
      <c r="BD110" s="996">
        <f>IF(BB110=0,0,(BC110-BB110)/BB110*100)</f>
        <v>0</v>
      </c>
      <c r="BE110" s="1428"/>
      <c r="BF110" s="1428"/>
      <c r="BG110" s="996">
        <f>IF(BE110=0,0,(BF110-BE110)/BE110*100)</f>
        <v>0</v>
      </c>
      <c r="BH110" s="1428"/>
      <c r="BI110" s="1428"/>
      <c r="BJ110" s="996">
        <f>IF(BH110=0,0,(BI110-BH110)/BH110*100)</f>
        <v>0</v>
      </c>
      <c r="BK110" s="1428"/>
      <c r="BL110" s="1428"/>
      <c r="BM110" s="996">
        <f>IF(BK110=0,0,(BL110-BK110)/BK110*100)</f>
        <v>0</v>
      </c>
      <c r="BN110" s="1428"/>
      <c r="BO110" s="1428"/>
      <c r="BP110" s="996">
        <f>IF(BN110=0,0,(BO110-BN110)/BN110*100)</f>
        <v>0</v>
      </c>
      <c r="BQ110" s="1428"/>
      <c r="BR110" s="1428"/>
      <c r="BS110" s="996">
        <f>IF(BQ110=0,0,(BR110-BQ110)/BQ110*100)</f>
        <v>0</v>
      </c>
      <c r="BT110" s="1428"/>
      <c r="BU110" s="1428"/>
      <c r="BV110" s="996">
        <f>IF(BT110=0,0,(BU110-BT110)/BT110*100)</f>
        <v>0</v>
      </c>
      <c r="BW110" s="1428"/>
      <c r="BX110" s="1428"/>
      <c r="BY110" s="996">
        <f>IF(BW110=0,0,(BX110-BW110)/BW110*100)</f>
        <v>0</v>
      </c>
      <c r="BZ110" s="1428"/>
      <c r="CA110" s="1428"/>
      <c r="CB110" s="996">
        <f>IF(BZ110=0,0,(CA110-BZ110)/BZ110*100)</f>
        <v>0</v>
      </c>
      <c r="CC110" s="1428"/>
      <c r="CD110" s="1428"/>
      <c r="CE110" s="996">
        <f>IF(CC110=0,0,(CD110-CC110)/CC110*100)</f>
        <v>0</v>
      </c>
      <c r="CF110" s="1428"/>
      <c r="CG110" s="1428"/>
      <c r="CH110" s="996">
        <f>IF(CF110=0,0,(CG110-CF110)/CF110*100)</f>
        <v>0</v>
      </c>
      <c r="CI110" s="1428"/>
      <c r="CJ110" s="1428"/>
      <c r="CK110" s="996">
        <f>IF(CI110=0,0,(CJ110-CI110)/CI110*100)</f>
        <v>0</v>
      </c>
      <c r="CL110" s="1428"/>
      <c r="CM110" s="1428"/>
      <c r="CN110" s="996">
        <f>IF(CL110=0,0,(CM110-CL110)/CL110*100)</f>
        <v>0</v>
      </c>
      <c r="CO110" s="1428"/>
      <c r="CP110" s="1428"/>
      <c r="CQ110" s="996">
        <f>IF(CO110=0,0,(CP110-CO110)/CO110*100)</f>
        <v>0</v>
      </c>
      <c r="CR110" s="1428"/>
      <c r="CS110" s="1428"/>
      <c r="CT110" s="996">
        <f>IF(CR110=0,0,(CS110-CR110)/CR110*100)</f>
        <v>0</v>
      </c>
      <c r="CU110" s="1428"/>
      <c r="CV110" s="1428"/>
      <c r="CW110" s="996">
        <f>IF(CU110=0,0,(CV110-CU110)/CU110*100)</f>
        <v>0</v>
      </c>
      <c r="CX110" s="1428"/>
      <c r="CY110" s="1428"/>
      <c r="CZ110" s="996">
        <f>IF(CX110=0,0,(CY110-CX110)/CX110*100)</f>
        <v>0</v>
      </c>
      <c r="DA110" s="1428"/>
      <c r="DB110" s="1428"/>
      <c r="DC110" s="996">
        <f>IF(DA110=0,0,(DB110-DA110)/DA110*100)</f>
        <v>0</v>
      </c>
      <c r="DD110" s="1428"/>
      <c r="DE110" s="1428"/>
      <c r="DF110" s="996">
        <f>IF(DD110=0,0,(DE110-DD110)/DD110*100)</f>
        <v>0</v>
      </c>
      <c r="DG110" s="1428"/>
      <c r="DH110" s="1428"/>
      <c r="DI110" s="996">
        <f>IF(DG110=0,0,(DH110-DG110)/DG110*100)</f>
        <v>0</v>
      </c>
      <c r="DJ110" s="1428"/>
      <c r="DK110" s="1428"/>
      <c r="DL110" s="996">
        <f>IF(DJ110=0,0,(DK110-DJ110)/DJ110*100)</f>
        <v>0</v>
      </c>
      <c r="DM110" s="1428"/>
      <c r="DN110" s="1428"/>
      <c r="DO110" s="996">
        <f>IF(DM110=0,0,(DN110-DM110)/DM110*100)</f>
        <v>0</v>
      </c>
      <c r="DP110" s="1428"/>
      <c r="DQ110" s="1428"/>
      <c r="DR110" s="996">
        <f>IF(DP110=0,0,(DQ110-DP110)/DP110*100)</f>
        <v>0</v>
      </c>
      <c r="DS110" s="1428"/>
      <c r="DT110" s="1428"/>
      <c r="DU110" s="996">
        <f>IF(DS110=0,0,(DT110-DS110)/DS110*100)</f>
        <v>0</v>
      </c>
      <c r="DV110" s="1428"/>
      <c r="DW110" s="1428"/>
      <c r="DX110" s="996">
        <f>IF(DV110=0,0,(DW110-DV110)/DV110*100)</f>
        <v>0</v>
      </c>
      <c r="DY110" s="1428"/>
      <c r="DZ110" s="1428"/>
      <c r="EA110" s="996">
        <f>IF(DY110=0,0,(DZ110-DY110)/DY110*100)</f>
        <v>0</v>
      </c>
      <c r="EB110" s="1428"/>
      <c r="EC110" s="1428"/>
      <c r="ED110" s="996">
        <f>IF(EB110=0,0,(EC110-EB110)/EB110*100)</f>
        <v>0</v>
      </c>
      <c r="EE110" s="1428"/>
      <c r="EF110" s="1428"/>
      <c r="EG110" s="996">
        <f>IF(EE110=0,0,(EF110-EE110)/EE110*100)</f>
        <v>0</v>
      </c>
      <c r="EH110" s="1428"/>
      <c r="EI110" s="1428"/>
      <c r="EJ110" s="996">
        <f>IF(EH110=0,0,(EI110-EH110)/EH110*100)</f>
        <v>0</v>
      </c>
      <c r="EK110" s="1428"/>
      <c r="EL110" s="1428"/>
      <c r="EM110" s="996">
        <f>IF(EK110=0,0,(EL110-EK110)/EK110*100)</f>
        <v>0</v>
      </c>
      <c r="EN110" s="1428"/>
      <c r="EO110" s="1428"/>
      <c r="EP110" s="996">
        <f>IF(EN110=0,0,(EO110-EN110)/EN110*100)</f>
        <v>0</v>
      </c>
      <c r="EQ110" s="1428"/>
      <c r="ER110" s="1428"/>
      <c r="ES110" s="996">
        <f>IF(EQ110=0,0,(ER110-EQ110)/EQ110*100)</f>
        <v>0</v>
      </c>
      <c r="ET110" s="1428"/>
      <c r="EU110" s="1428"/>
      <c r="EV110" s="996">
        <f>IF(ET110=0,0,(EU110-ET110)/ET110*100)</f>
        <v>0</v>
      </c>
      <c r="EW110" s="1428"/>
      <c r="EX110" s="1428"/>
      <c r="EY110" s="996">
        <f>IF(EW110=0,0,(EX110-EW110)/EW110*100)</f>
        <v>0</v>
      </c>
      <c r="EZ110" s="1428"/>
      <c r="FA110" s="1428"/>
      <c r="FB110" s="996">
        <f>IF(EZ110=0,0,(FA110-EZ110)/EZ110*100)</f>
        <v>0</v>
      </c>
      <c r="FC110" s="1428"/>
      <c r="FD110" s="1428"/>
      <c r="FE110" s="996">
        <f>IF(FC110=0,0,(FD110-FC110)/FC110*100)</f>
        <v>0</v>
      </c>
      <c r="FF110" s="1428"/>
      <c r="FG110" s="1428"/>
      <c r="FH110" s="996">
        <f>IF(FF110=0,0,(FG110-FF110)/FF110*100)</f>
        <v>0</v>
      </c>
      <c r="FI110" s="1428"/>
      <c r="FJ110" s="1428"/>
      <c r="FK110" s="996">
        <f>IF(FI110=0,0,(FJ110-FI110)/FI110*100)</f>
        <v>0</v>
      </c>
      <c r="FL110" s="1428"/>
      <c r="FM110" s="1428"/>
      <c r="FN110" s="996">
        <f>IF(FL110=0,0,(FM110-FL110)/FL110*100)</f>
        <v>0</v>
      </c>
      <c r="FO110" s="1428"/>
      <c r="FP110" s="1428"/>
      <c r="FQ110" s="996">
        <f>IF(FO110=0,0,(FP110-FO110)/FO110*100)</f>
        <v>0</v>
      </c>
      <c r="FR110" s="1428"/>
      <c r="FS110" s="1428"/>
      <c r="FT110" s="996">
        <f>IF(FR110=0,0,(FS110-FR110)/FR110*100)</f>
        <v>0</v>
      </c>
      <c r="FU110" s="1428"/>
      <c r="FV110" s="1428"/>
      <c r="FW110" s="996">
        <f>IF(FU110=0,0,(FV110-FU110)/FU110*100)</f>
        <v>0</v>
      </c>
      <c r="FX110" s="1207"/>
      <c r="FY110" s="1207"/>
      <c r="FZ110" s="957" t="s">
        <v>1502</v>
      </c>
      <c r="GA110" s="1209"/>
      <c r="GB110" s="1209"/>
      <c r="GC110" s="1208"/>
      <c r="GD110" s="1208"/>
    </row>
    <row r="111" spans="1:186" s="1327" customFormat="1" ht="14.25" hidden="1" customHeight="1">
      <c r="A111" s="409"/>
      <c r="B111" s="830" t="b" cm="1">
        <f t="array" ref="B111">B110</f>
        <v>0</v>
      </c>
      <c r="C111" s="409"/>
      <c r="D111" s="409"/>
      <c r="E111" s="754">
        <v>15</v>
      </c>
      <c r="F111" s="3" t="str" cm="1">
        <f t="array" aca="1" ref="F111" ca="1">OFFSET(E111,-1,1)</f>
        <v>1</v>
      </c>
      <c r="G111" s="26" t="s">
        <v>1503</v>
      </c>
      <c r="H111" s="409" t="s">
        <v>1491</v>
      </c>
      <c r="I111" s="409" t="s">
        <v>1457</v>
      </c>
      <c r="J111" s="409"/>
      <c r="K111" s="409"/>
      <c r="L111" s="409"/>
      <c r="M111" s="409"/>
      <c r="N111" s="409"/>
      <c r="O111" s="409"/>
      <c r="P111" s="409"/>
      <c r="Q111" s="409"/>
      <c r="R111" s="409"/>
      <c r="S111" s="409"/>
      <c r="T111" s="381" t="b" cm="1">
        <f t="array" aca="1" ref="T111" ca="1">T110</f>
        <v>1</v>
      </c>
      <c r="U111" s="409"/>
      <c r="V111" s="409"/>
      <c r="W111" s="409"/>
      <c r="X111" s="1787"/>
      <c r="Y111" s="409"/>
      <c r="Z111" s="1734"/>
      <c r="AA111" s="409"/>
      <c r="AB111" s="994" t="str">
        <f>"объём "&amp;IF(Q85="Водоснабжение","потребления холодной воды","водоотведения")</f>
        <v>объём потребления холодной воды</v>
      </c>
      <c r="AC111" s="778" t="s">
        <v>499</v>
      </c>
      <c r="AD111" s="1426">
        <f ca="1">IF(AND(method_reg="Метод индексации",god&lt;&gt;first_year),SUMIFS(INDEX('Калькуляция (МИ корр)'!$AJ$25:$BC$315,,MATCH(AD$8,'Калькуляция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(МИ)'!$AJ$25:$BC$315,,MATCH(AD$8,'Калькуляция (МИ)'!$AJ$8:$BC$8,0)),'Калькуляция (МИ)'!$F$25:$F$315,$F111,'Калькуляция (МИ)'!$G$25:$G$315,$G111))))</f>
        <v>0.64392500000000008</v>
      </c>
      <c r="AE111" s="1426">
        <f ca="1">IF(AND(method_reg="Метод индексации",god&lt;&gt;first_year),SUMIFS(INDEX('Калькуляция (МИ корр)'!$AJ$25:$BC$315,,MATCH(AE$8,'Калькуляция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(МИ)'!$AJ$25:$BC$315,,MATCH(AE$8,'Калькуляция (МИ)'!$AJ$8:$BC$8,0)),'Калькуляция (МИ)'!$F$25:$F$315,$F111,'Калькуляция (МИ)'!$G$25:$G$315,$G111))))</f>
        <v>0.64392500000000008</v>
      </c>
      <c r="AF111" s="998">
        <f ca="1">IF(AD111=0,0,(AE111-AD111)/AD111*100)</f>
        <v>0</v>
      </c>
      <c r="AG111" s="1426">
        <f ca="1">IF(AND(method_reg="Метод индексации",god&lt;&gt;first_year),SUMIFS(INDEX('Калькуляция (МИ корр)'!$AJ$25:$BC$315,,MATCH(AG$8,'Калькуляция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(МИ)'!$AJ$25:$BC$315,,MATCH(AG$8,'Калькуляция (МИ)'!$AJ$8:$BC$8,0)),'Калькуляция (МИ)'!$F$25:$F$315,$F111,'Калькуляция (МИ)'!$G$25:$G$315,$G111))))</f>
        <v>0.64392500000000008</v>
      </c>
      <c r="AH111" s="1426">
        <f ca="1">IF(AND(method_reg="Метод индексации",god&lt;&gt;first_year),SUMIFS(INDEX('Калькуляция (МИ корр)'!$AJ$25:$BC$315,,MATCH(AH$8,'Калькуляция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(МИ)'!$AJ$25:$BC$315,,MATCH(AH$8,'Калькуляция (МИ)'!$AJ$8:$BC$8,0)),'Калькуляция (МИ)'!$F$25:$F$315,$F111,'Калькуляция (МИ)'!$G$25:$G$315,$G111))))</f>
        <v>0.64392500000000008</v>
      </c>
      <c r="AI111" s="998">
        <f ca="1">IF(AG111=0,0,(AH111-AG111)/AG111*100)</f>
        <v>0</v>
      </c>
      <c r="AJ111" s="1426">
        <f ca="1">IF(AND(method_reg="Метод индексации",god&lt;&gt;first_year),SUMIFS(INDEX('Калькуляция (МИ корр)'!$AJ$25:$BC$315,,MATCH(AJ$8,'Калькуляция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(МИ)'!$AJ$25:$BC$315,,MATCH(AJ$8,'Калькуляция (МИ)'!$AJ$8:$BC$8,0)),'Калькуляция (МИ)'!$F$25:$F$315,$F111,'Калькуляция (МИ)'!$G$25:$G$315,$G111))))</f>
        <v>0.64392500000000008</v>
      </c>
      <c r="AK111" s="1426">
        <f ca="1">IF(AND(method_reg="Метод индексации",god&lt;&gt;first_year),SUMIFS(INDEX('Калькуляция (МИ корр)'!$AJ$25:$BC$315,,MATCH(AK$8,'Калькуляция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(МИ)'!$AJ$25:$BC$315,,MATCH(AK$8,'Калькуляция (МИ)'!$AJ$8:$BC$8,0)),'Калькуляция (МИ)'!$F$25:$F$315,$F111,'Калькуляция (МИ)'!$G$25:$G$315,$G111))))</f>
        <v>0.64392500000000008</v>
      </c>
      <c r="AL111" s="998">
        <f ca="1">IF(AJ111=0,0,(AK111-AJ111)/AJ111*100)</f>
        <v>0</v>
      </c>
      <c r="AM111" s="1426">
        <f ca="1">IF(AND(method_reg="Метод индексации",god&lt;&gt;first_year),SUMIFS(INDEX('Калькуляция (МИ корр)'!$AJ$25:$BC$315,,MATCH(AM$8,'Калькуляция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(МИ)'!$AJ$25:$BC$315,,MATCH(AM$8,'Калькуляция (МИ)'!$AJ$8:$BC$8,0)),'Калькуляция (МИ)'!$F$25:$F$315,$F111,'Калькуляция (МИ)'!$G$25:$G$315,$G111))))</f>
        <v>0.64392500000000008</v>
      </c>
      <c r="AN111" s="1426">
        <f ca="1">IF(AND(method_reg="Метод индексации",god&lt;&gt;first_year),SUMIFS(INDEX('Калькуляция (МИ корр)'!$AJ$25:$BC$315,,MATCH(AN$8,'Калькуляция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(МИ)'!$AJ$25:$BC$315,,MATCH(AN$8,'Калькуляция (МИ)'!$AJ$8:$BC$8,0)),'Калькуляция (МИ)'!$F$25:$F$315,$F111,'Калькуляция (МИ)'!$G$25:$G$315,$G111))))</f>
        <v>0.64392500000000008</v>
      </c>
      <c r="AO111" s="998">
        <f ca="1">IF(AM111=0,0,(AN111-AM111)/AM111*100)</f>
        <v>0</v>
      </c>
      <c r="AP111" s="1426">
        <f ca="1">IF(AND(method_reg="Метод индексации",god&lt;&gt;first_year),SUMIFS(INDEX('Калькуляция (МИ корр)'!$AJ$25:$BC$315,,MATCH(AP$8,'Калькуляция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(МИ)'!$AJ$25:$BC$315,,MATCH(AP$8,'Калькуляция (МИ)'!$AJ$8:$BC$8,0)),'Калькуляция (МИ)'!$F$25:$F$315,$F111,'Калькуляция (МИ)'!$G$25:$G$315,$G111))))</f>
        <v>0.64392500000000008</v>
      </c>
      <c r="AQ111" s="1426">
        <f ca="1">IF(AND(method_reg="Метод индексации",god&lt;&gt;first_year),SUMIFS(INDEX('Калькуляция (МИ корр)'!$AJ$25:$BC$315,,MATCH(AQ$8,'Калькуляция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(МИ)'!$AJ$25:$BC$315,,MATCH(AQ$8,'Калькуляция (МИ)'!$AJ$8:$BC$8,0)),'Калькуляция (МИ)'!$F$25:$F$315,$F111,'Калькуляция (МИ)'!$G$25:$G$315,$G111))))</f>
        <v>0.64392500000000008</v>
      </c>
      <c r="AR111" s="998">
        <f ca="1">IF(AP111=0,0,(AQ111-AP111)/AP111*100)</f>
        <v>0</v>
      </c>
      <c r="AS111" s="1426">
        <f ca="1">IF(AND(method_reg="Метод индексации",god&lt;&gt;first_year),SUMIFS(INDEX('Калькуляция (МИ корр)'!$AJ$25:$BC$315,,MATCH(AS$8,'Калькуляция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(МИ)'!$AJ$25:$BC$315,,MATCH(AS$8,'Калькуляция (МИ)'!$AJ$8:$BC$8,0)),'Калькуляция (МИ)'!$F$25:$F$315,$F111,'Калькуляция (МИ)'!$G$25:$G$315,$G111))))</f>
        <v>0.64392500000000008</v>
      </c>
      <c r="AT111" s="1426">
        <f ca="1">IF(AND(method_reg="Метод индексации",god&lt;&gt;first_year),SUMIFS(INDEX('Калькуляция (МИ корр)'!$AJ$25:$BC$315,,MATCH(AT$8,'Калькуляция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(МИ)'!$AJ$25:$BC$315,,MATCH(AT$8,'Калькуляция (МИ)'!$AJ$8:$BC$8,0)),'Калькуляция (МИ)'!$F$25:$F$315,$F111,'Калькуляция (МИ)'!$G$25:$G$315,$G111))))</f>
        <v>0.64392500000000008</v>
      </c>
      <c r="AU111" s="998">
        <f ca="1">IF(AS111=0,0,(AT111-AS111)/AS111*100)</f>
        <v>0</v>
      </c>
      <c r="AV111" s="1426">
        <f ca="1">IF(AND(method_reg="Метод индексации",god&lt;&gt;first_year),SUMIFS(INDEX('Калькуляция (МИ корр)'!$AJ$25:$BC$315,,MATCH(AV$8,'Калькуляция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(МИ)'!$AJ$25:$BC$315,,MATCH(AV$8,'Калькуляция (МИ)'!$AJ$8:$BC$8,0)),'Калькуляция (МИ)'!$F$25:$F$315,$F111,'Калькуляция (МИ)'!$G$25:$G$315,$G111))))</f>
        <v>0.64392500000000008</v>
      </c>
      <c r="AW111" s="1426">
        <f ca="1">IF(AND(method_reg="Метод индексации",god&lt;&gt;first_year),SUMIFS(INDEX('Калькуляция (МИ корр)'!$AJ$25:$BC$315,,MATCH(AW$8,'Калькуляция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(МИ)'!$AJ$25:$BC$315,,MATCH(AW$8,'Калькуляция (МИ)'!$AJ$8:$BC$8,0)),'Калькуляция (МИ)'!$F$25:$F$315,$F111,'Калькуляция (МИ)'!$G$25:$G$315,$G111))))</f>
        <v>0.64392500000000008</v>
      </c>
      <c r="AX111" s="998">
        <f ca="1">IF(AV111=0,0,(AW111-AV111)/AV111*100)</f>
        <v>0</v>
      </c>
      <c r="AY111" s="1426">
        <f ca="1">IF(AND(method_reg="Метод индексации",god&lt;&gt;first_year),SUMIFS(INDEX('Калькуляция (МИ корр)'!$AJ$25:$BC$315,,MATCH(AY$8,'Калькуляция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(МИ)'!$AJ$25:$BC$315,,MATCH(AY$8,'Калькуляция (МИ)'!$AJ$8:$BC$8,0)),'Калькуляция (МИ)'!$F$25:$F$315,$F111,'Калькуляция (МИ)'!$G$25:$G$315,$G111))))</f>
        <v>0.64392500000000008</v>
      </c>
      <c r="AZ111" s="1426">
        <f ca="1">IF(AND(method_reg="Метод индексации",god&lt;&gt;first_year),SUMIFS(INDEX('Калькуляция (МИ корр)'!$AJ$25:$BC$315,,MATCH(AZ$8,'Калькуляция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(МИ)'!$AJ$25:$BC$315,,MATCH(AZ$8,'Калькуляция (МИ)'!$AJ$8:$BC$8,0)),'Калькуляция (МИ)'!$F$25:$F$315,$F111,'Калькуляция (МИ)'!$G$25:$G$315,$G111))))</f>
        <v>0.64392500000000008</v>
      </c>
      <c r="BA111" s="998">
        <f ca="1">IF(AY111=0,0,(AZ111-AY111)/AY111*100)</f>
        <v>0</v>
      </c>
      <c r="BB111" s="1426">
        <f ca="1">IF(AND(method_reg="Метод индексации",god&lt;&gt;first_year),SUMIFS(INDEX('Калькуляция (МИ корр)'!$AJ$25:$BC$315,,MATCH(BB$8,'Калькуляция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(МИ)'!$AJ$25:$BC$315,,MATCH(BB$8,'Калькуляция (МИ)'!$AJ$8:$BC$8,0)),'Калькуляция (МИ)'!$F$25:$F$315,$F111,'Калькуляция (МИ)'!$G$25:$G$315,$G111))))</f>
        <v>0.64392500000000008</v>
      </c>
      <c r="BC111" s="1426">
        <f ca="1">IF(AND(method_reg="Метод индексации",god&lt;&gt;first_year),SUMIFS(INDEX('Калькуляция (МИ корр)'!$AJ$25:$BC$315,,MATCH(BC$8,'Калькуляция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(МИ)'!$AJ$25:$BC$315,,MATCH(BC$8,'Калькуляция (МИ)'!$AJ$8:$BC$8,0)),'Калькуляция (МИ)'!$F$25:$F$315,$F111,'Калькуляция (МИ)'!$G$25:$G$315,$G111))))</f>
        <v>0.64392500000000008</v>
      </c>
      <c r="BD111" s="998">
        <f ca="1">IF(BB111=0,0,(BC111-BB111)/BB111*100)</f>
        <v>0</v>
      </c>
      <c r="BE111" s="1426">
        <f ca="1">IF(AND(method_reg="Метод индексации",god&lt;&gt;first_year),SUMIFS(INDEX('Калькуляция (МИ корр)'!$AJ$25:$BC$315,,MATCH(BE$8,'Калькуляция (МИ корр)'!$AJ$8:$BC$8,0)),'Калькуляция (МИ корр)'!$F$25:$F$315,$F111,'Калькуляция (МИ корр)'!$G$25:$G$315,$G111),IF(method_reg="Метод экономически обоснованных расходов",SUMIFS('Калькуляция (МЭОР)'!$AJ$25:$AJ$199,'Калькуляция (МЭОР)'!$F$25:$F$199,$F111,'Калькуляция (МЭОР)'!$G$25:$G$199,$G111),IF(method_reg="Метод сравнения аналогов",SUMIFS('Калькуляция (МСА)'!$AE$25:$AE$65,'Калькуляция (МСА)'!$F$25:$F$65,$F111,'Калькуляция (МСА)'!$G$25:$G$65,$G111),SUMIFS(INDEX('Калькуляция (МИ)'!$AJ$25:$BC$315,,MATCH(BE$8,'Калькуляция (МИ)'!$AJ$8:$BC$8,0)),'Калькуляция (МИ)'!$F$25:$F$315,$F111,'Калькуляция (МИ)'!$G$25:$G$315,$G111))))</f>
        <v>0.64392500000000008</v>
      </c>
      <c r="BF111" s="1426">
        <f ca="1">IF(AND(method_reg="Метод индексации",god&lt;&gt;first_year),SUMIFS(INDEX('Калькуляция (МИ корр)'!$AJ$25:$BC$315,,MATCH(BF$8,'Калькуляция (МИ корр)'!$AJ$8:$BC$8,0)),'Калькуляция (МИ корр)'!$F$25:$F$315,$F111,'Калькуляция (МИ корр)'!$G$25:$G$315,$G111),IF(method_reg="Метод экономически обоснованных расходов",SUMIFS('Калькуляция (МЭОР)'!$AK$25:$AK$199,'Калькуляция (МЭОР)'!$F$25:$F$199,$F111,'Калькуляция (МЭОР)'!$G$25:$G$199,$G111),IF(method_reg="Метод сравнения аналогов",SUMIFS('Калькуляция (МСА)'!$AF$25:$AF$65,'Калькуляция (МСА)'!$F$25:$F$65,$F111,'Калькуляция (МСА)'!$G$25:$G$65,$G111),SUMIFS(INDEX('Калькуляция (МИ)'!$AJ$25:$BC$315,,MATCH(BF$8,'Калькуляция (МИ)'!$AJ$8:$BC$8,0)),'Калькуляция (МИ)'!$F$25:$F$315,$F111,'Калькуляция (МИ)'!$G$25:$G$315,$G111))))</f>
        <v>0.64392500000000008</v>
      </c>
      <c r="BG111" s="1005">
        <f ca="1">IF(BE111=0,0,(BF111-BE111)/BE111*100)</f>
        <v>0</v>
      </c>
      <c r="BH111" s="1426"/>
      <c r="BI111" s="1426"/>
      <c r="BJ111" s="1005">
        <f>IF(BH111=0,0,(BI111-BH111)/BH111*100)</f>
        <v>0</v>
      </c>
      <c r="BK111" s="1426"/>
      <c r="BL111" s="1426"/>
      <c r="BM111" s="1005">
        <f>IF(BK111=0,0,(BL111-BK111)/BK111*100)</f>
        <v>0</v>
      </c>
      <c r="BN111" s="1426"/>
      <c r="BO111" s="1426"/>
      <c r="BP111" s="1005">
        <f>IF(BN111=0,0,(BO111-BN111)/BN111*100)</f>
        <v>0</v>
      </c>
      <c r="BQ111" s="1426"/>
      <c r="BR111" s="1426"/>
      <c r="BS111" s="1005">
        <f>IF(BQ111=0,0,(BR111-BQ111)/BQ111*100)</f>
        <v>0</v>
      </c>
      <c r="BT111" s="1426"/>
      <c r="BU111" s="1426"/>
      <c r="BV111" s="1005">
        <f>IF(BT111=0,0,(BU111-BT111)/BT111*100)</f>
        <v>0</v>
      </c>
      <c r="BW111" s="1426"/>
      <c r="BX111" s="1426"/>
      <c r="BY111" s="1005">
        <f>IF(BW111=0,0,(BX111-BW111)/BW111*100)</f>
        <v>0</v>
      </c>
      <c r="BZ111" s="1426"/>
      <c r="CA111" s="1426"/>
      <c r="CB111" s="1005">
        <f>IF(BZ111=0,0,(CA111-BZ111)/BZ111*100)</f>
        <v>0</v>
      </c>
      <c r="CC111" s="1426"/>
      <c r="CD111" s="1426"/>
      <c r="CE111" s="1005">
        <f>IF(CC111=0,0,(CD111-CC111)/CC111*100)</f>
        <v>0</v>
      </c>
      <c r="CF111" s="1426"/>
      <c r="CG111" s="1426"/>
      <c r="CH111" s="1005">
        <f>IF(CF111=0,0,(CG111-CF111)/CF111*100)</f>
        <v>0</v>
      </c>
      <c r="CI111" s="1426"/>
      <c r="CJ111" s="1426"/>
      <c r="CK111" s="1005">
        <f>IF(CI111=0,0,(CJ111-CI111)/CI111*100)</f>
        <v>0</v>
      </c>
      <c r="CL111" s="1426"/>
      <c r="CM111" s="1426"/>
      <c r="CN111" s="1005">
        <f>IF(CL111=0,0,(CM111-CL111)/CL111*100)</f>
        <v>0</v>
      </c>
      <c r="CO111" s="1426"/>
      <c r="CP111" s="1426"/>
      <c r="CQ111" s="1005">
        <f>IF(CO111=0,0,(CP111-CO111)/CO111*100)</f>
        <v>0</v>
      </c>
      <c r="CR111" s="1426"/>
      <c r="CS111" s="1426"/>
      <c r="CT111" s="1005">
        <f>IF(CR111=0,0,(CS111-CR111)/CR111*100)</f>
        <v>0</v>
      </c>
      <c r="CU111" s="1426"/>
      <c r="CV111" s="1426"/>
      <c r="CW111" s="1005">
        <f>IF(CU111=0,0,(CV111-CU111)/CU111*100)</f>
        <v>0</v>
      </c>
      <c r="CX111" s="1426"/>
      <c r="CY111" s="1426"/>
      <c r="CZ111" s="1005">
        <f>IF(CX111=0,0,(CY111-CX111)/CX111*100)</f>
        <v>0</v>
      </c>
      <c r="DA111" s="1426"/>
      <c r="DB111" s="1426"/>
      <c r="DC111" s="1005">
        <f>IF(DA111=0,0,(DB111-DA111)/DA111*100)</f>
        <v>0</v>
      </c>
      <c r="DD111" s="1426"/>
      <c r="DE111" s="1426"/>
      <c r="DF111" s="1005">
        <f>IF(DD111=0,0,(DE111-DD111)/DD111*100)</f>
        <v>0</v>
      </c>
      <c r="DG111" s="1426"/>
      <c r="DH111" s="1426"/>
      <c r="DI111" s="1005">
        <f>IF(DG111=0,0,(DH111-DG111)/DG111*100)</f>
        <v>0</v>
      </c>
      <c r="DJ111" s="1426"/>
      <c r="DK111" s="1426"/>
      <c r="DL111" s="1005">
        <f>IF(DJ111=0,0,(DK111-DJ111)/DJ111*100)</f>
        <v>0</v>
      </c>
      <c r="DM111" s="1426"/>
      <c r="DN111" s="1426"/>
      <c r="DO111" s="1005">
        <f>IF(DM111=0,0,(DN111-DM111)/DM111*100)</f>
        <v>0</v>
      </c>
      <c r="DP111" s="1426"/>
      <c r="DQ111" s="1426"/>
      <c r="DR111" s="1005">
        <f>IF(DP111=0,0,(DQ111-DP111)/DP111*100)</f>
        <v>0</v>
      </c>
      <c r="DS111" s="1426"/>
      <c r="DT111" s="1426"/>
      <c r="DU111" s="1005">
        <f>IF(DS111=0,0,(DT111-DS111)/DS111*100)</f>
        <v>0</v>
      </c>
      <c r="DV111" s="1426"/>
      <c r="DW111" s="1426"/>
      <c r="DX111" s="1005">
        <f>IF(DV111=0,0,(DW111-DV111)/DV111*100)</f>
        <v>0</v>
      </c>
      <c r="DY111" s="1426"/>
      <c r="DZ111" s="1426"/>
      <c r="EA111" s="1005">
        <f>IF(DY111=0,0,(DZ111-DY111)/DY111*100)</f>
        <v>0</v>
      </c>
      <c r="EB111" s="1426"/>
      <c r="EC111" s="1426"/>
      <c r="ED111" s="1005">
        <f>IF(EB111=0,0,(EC111-EB111)/EB111*100)</f>
        <v>0</v>
      </c>
      <c r="EE111" s="1426"/>
      <c r="EF111" s="1426"/>
      <c r="EG111" s="1005">
        <f>IF(EE111=0,0,(EF111-EE111)/EE111*100)</f>
        <v>0</v>
      </c>
      <c r="EH111" s="1426"/>
      <c r="EI111" s="1426"/>
      <c r="EJ111" s="1005">
        <f>IF(EH111=0,0,(EI111-EH111)/EH111*100)</f>
        <v>0</v>
      </c>
      <c r="EK111" s="1426"/>
      <c r="EL111" s="1426"/>
      <c r="EM111" s="1005">
        <f>IF(EK111=0,0,(EL111-EK111)/EK111*100)</f>
        <v>0</v>
      </c>
      <c r="EN111" s="1426"/>
      <c r="EO111" s="1426"/>
      <c r="EP111" s="1005">
        <f>IF(EN111=0,0,(EO111-EN111)/EN111*100)</f>
        <v>0</v>
      </c>
      <c r="EQ111" s="1426"/>
      <c r="ER111" s="1426"/>
      <c r="ES111" s="1005">
        <f>IF(EQ111=0,0,(ER111-EQ111)/EQ111*100)</f>
        <v>0</v>
      </c>
      <c r="ET111" s="1426"/>
      <c r="EU111" s="1426"/>
      <c r="EV111" s="1005">
        <f>IF(ET111=0,0,(EU111-ET111)/ET111*100)</f>
        <v>0</v>
      </c>
      <c r="EW111" s="1426"/>
      <c r="EX111" s="1426"/>
      <c r="EY111" s="1005">
        <f>IF(EW111=0,0,(EX111-EW111)/EW111*100)</f>
        <v>0</v>
      </c>
      <c r="EZ111" s="1426"/>
      <c r="FA111" s="1426"/>
      <c r="FB111" s="1005">
        <f>IF(EZ111=0,0,(FA111-EZ111)/EZ111*100)</f>
        <v>0</v>
      </c>
      <c r="FC111" s="1426"/>
      <c r="FD111" s="1426"/>
      <c r="FE111" s="1005">
        <f>IF(FC111=0,0,(FD111-FC111)/FC111*100)</f>
        <v>0</v>
      </c>
      <c r="FF111" s="1426"/>
      <c r="FG111" s="1426"/>
      <c r="FH111" s="1005">
        <f>IF(FF111=0,0,(FG111-FF111)/FF111*100)</f>
        <v>0</v>
      </c>
      <c r="FI111" s="1426"/>
      <c r="FJ111" s="1426"/>
      <c r="FK111" s="1005">
        <f>IF(FI111=0,0,(FJ111-FI111)/FI111*100)</f>
        <v>0</v>
      </c>
      <c r="FL111" s="1426"/>
      <c r="FM111" s="1426"/>
      <c r="FN111" s="1005">
        <f>IF(FL111=0,0,(FM111-FL111)/FL111*100)</f>
        <v>0</v>
      </c>
      <c r="FO111" s="1426"/>
      <c r="FP111" s="1426"/>
      <c r="FQ111" s="1005">
        <f>IF(FO111=0,0,(FP111-FO111)/FO111*100)</f>
        <v>0</v>
      </c>
      <c r="FR111" s="1426"/>
      <c r="FS111" s="1426"/>
      <c r="FT111" s="1005">
        <f>IF(FR111=0,0,(FS111-FR111)/FR111*100)</f>
        <v>0</v>
      </c>
      <c r="FU111" s="1426"/>
      <c r="FV111" s="1426"/>
      <c r="FW111" s="1005">
        <f>IF(FU111=0,0,(FV111-FU111)/FU111*100)</f>
        <v>0</v>
      </c>
      <c r="FX111" s="1207"/>
      <c r="FY111" s="1207"/>
      <c r="FZ111" s="957" t="s">
        <v>1504</v>
      </c>
      <c r="GA111" s="1209"/>
      <c r="GB111" s="1209"/>
      <c r="GC111" s="1208"/>
      <c r="GD111" s="1208"/>
    </row>
    <row r="112" spans="1:186" s="1327" customFormat="1" ht="21.75" hidden="1" customHeight="1">
      <c r="A112" s="409"/>
      <c r="B112" s="830" t="b" cm="1">
        <f t="array" ref="B112">B111</f>
        <v>0</v>
      </c>
      <c r="C112" s="409"/>
      <c r="D112" s="409"/>
      <c r="E112" s="754">
        <v>22.5</v>
      </c>
      <c r="F112" s="3" t="str" cm="1">
        <f t="array" aca="1" ref="F112" ca="1">OFFSET(E112,-1,1)</f>
        <v>1</v>
      </c>
      <c r="G112" s="409"/>
      <c r="H112" s="409" t="s">
        <v>1493</v>
      </c>
      <c r="I112" s="409" t="s">
        <v>1457</v>
      </c>
      <c r="J112" s="409"/>
      <c r="K112" s="409"/>
      <c r="L112" s="409"/>
      <c r="M112" s="409"/>
      <c r="N112" s="409"/>
      <c r="O112" s="409"/>
      <c r="P112" s="409"/>
      <c r="Q112" s="409"/>
      <c r="R112" s="409"/>
      <c r="S112" s="409"/>
      <c r="T112" s="381" t="b" cm="1">
        <f t="array" aca="1" ref="T112" ca="1">T111</f>
        <v>1</v>
      </c>
      <c r="U112" s="409"/>
      <c r="V112" s="409"/>
      <c r="W112" s="409"/>
      <c r="X112" s="1787"/>
      <c r="Y112" s="409"/>
      <c r="Z112" s="1734"/>
      <c r="AA112" s="409"/>
      <c r="AB112" s="994"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778" t="s">
        <v>1494</v>
      </c>
      <c r="AD112" s="1428"/>
      <c r="AE112" s="1428"/>
      <c r="AF112" s="996">
        <f>IF(AD112=0,0,(AE112-AD112)/AD112*100)</f>
        <v>0</v>
      </c>
      <c r="AG112" s="1428"/>
      <c r="AH112" s="1428"/>
      <c r="AI112" s="996">
        <f>IF(AG112=0,0,(AH112-AG112)/AG112*100)</f>
        <v>0</v>
      </c>
      <c r="AJ112" s="1428"/>
      <c r="AK112" s="1428"/>
      <c r="AL112" s="996">
        <f>IF(AJ112=0,0,(AK112-AJ112)/AJ112*100)</f>
        <v>0</v>
      </c>
      <c r="AM112" s="1428"/>
      <c r="AN112" s="1428"/>
      <c r="AO112" s="996">
        <f>IF(AM112=0,0,(AN112-AM112)/AM112*100)</f>
        <v>0</v>
      </c>
      <c r="AP112" s="1428"/>
      <c r="AQ112" s="1428"/>
      <c r="AR112" s="996">
        <f>IF(AP112=0,0,(AQ112-AP112)/AP112*100)</f>
        <v>0</v>
      </c>
      <c r="AS112" s="1428"/>
      <c r="AT112" s="1428"/>
      <c r="AU112" s="996">
        <f>IF(AS112=0,0,(AT112-AS112)/AS112*100)</f>
        <v>0</v>
      </c>
      <c r="AV112" s="1428"/>
      <c r="AW112" s="1428"/>
      <c r="AX112" s="996">
        <f>IF(AV112=0,0,(AW112-AV112)/AV112*100)</f>
        <v>0</v>
      </c>
      <c r="AY112" s="1428"/>
      <c r="AZ112" s="1428"/>
      <c r="BA112" s="996">
        <f>IF(AY112=0,0,(AZ112-AY112)/AY112*100)</f>
        <v>0</v>
      </c>
      <c r="BB112" s="1428"/>
      <c r="BC112" s="1428"/>
      <c r="BD112" s="996">
        <f>IF(BB112=0,0,(BC112-BB112)/BB112*100)</f>
        <v>0</v>
      </c>
      <c r="BE112" s="1428"/>
      <c r="BF112" s="1428"/>
      <c r="BG112" s="996">
        <f>IF(BE112=0,0,(BF112-BE112)/BE112*100)</f>
        <v>0</v>
      </c>
      <c r="BH112" s="1428"/>
      <c r="BI112" s="1428"/>
      <c r="BJ112" s="996">
        <f>IF(BH112=0,0,(BI112-BH112)/BH112*100)</f>
        <v>0</v>
      </c>
      <c r="BK112" s="1428"/>
      <c r="BL112" s="1428"/>
      <c r="BM112" s="996">
        <f>IF(BK112=0,0,(BL112-BK112)/BK112*100)</f>
        <v>0</v>
      </c>
      <c r="BN112" s="1428"/>
      <c r="BO112" s="1428"/>
      <c r="BP112" s="996">
        <f>IF(BN112=0,0,(BO112-BN112)/BN112*100)</f>
        <v>0</v>
      </c>
      <c r="BQ112" s="1428"/>
      <c r="BR112" s="1428"/>
      <c r="BS112" s="996">
        <f>IF(BQ112=0,0,(BR112-BQ112)/BQ112*100)</f>
        <v>0</v>
      </c>
      <c r="BT112" s="1428"/>
      <c r="BU112" s="1428"/>
      <c r="BV112" s="996">
        <f>IF(BT112=0,0,(BU112-BT112)/BT112*100)</f>
        <v>0</v>
      </c>
      <c r="BW112" s="1428"/>
      <c r="BX112" s="1428"/>
      <c r="BY112" s="996">
        <f>IF(BW112=0,0,(BX112-BW112)/BW112*100)</f>
        <v>0</v>
      </c>
      <c r="BZ112" s="1428"/>
      <c r="CA112" s="1428"/>
      <c r="CB112" s="996">
        <f>IF(BZ112=0,0,(CA112-BZ112)/BZ112*100)</f>
        <v>0</v>
      </c>
      <c r="CC112" s="1428"/>
      <c r="CD112" s="1428"/>
      <c r="CE112" s="996">
        <f>IF(CC112=0,0,(CD112-CC112)/CC112*100)</f>
        <v>0</v>
      </c>
      <c r="CF112" s="1428"/>
      <c r="CG112" s="1428"/>
      <c r="CH112" s="996">
        <f>IF(CF112=0,0,(CG112-CF112)/CF112*100)</f>
        <v>0</v>
      </c>
      <c r="CI112" s="1428"/>
      <c r="CJ112" s="1428"/>
      <c r="CK112" s="996">
        <f>IF(CI112=0,0,(CJ112-CI112)/CI112*100)</f>
        <v>0</v>
      </c>
      <c r="CL112" s="1428"/>
      <c r="CM112" s="1428"/>
      <c r="CN112" s="996">
        <f>IF(CL112=0,0,(CM112-CL112)/CL112*100)</f>
        <v>0</v>
      </c>
      <c r="CO112" s="1428"/>
      <c r="CP112" s="1428"/>
      <c r="CQ112" s="996">
        <f>IF(CO112=0,0,(CP112-CO112)/CO112*100)</f>
        <v>0</v>
      </c>
      <c r="CR112" s="1428"/>
      <c r="CS112" s="1428"/>
      <c r="CT112" s="996">
        <f>IF(CR112=0,0,(CS112-CR112)/CR112*100)</f>
        <v>0</v>
      </c>
      <c r="CU112" s="1428"/>
      <c r="CV112" s="1428"/>
      <c r="CW112" s="996">
        <f>IF(CU112=0,0,(CV112-CU112)/CU112*100)</f>
        <v>0</v>
      </c>
      <c r="CX112" s="1428"/>
      <c r="CY112" s="1428"/>
      <c r="CZ112" s="996">
        <f>IF(CX112=0,0,(CY112-CX112)/CX112*100)</f>
        <v>0</v>
      </c>
      <c r="DA112" s="1428"/>
      <c r="DB112" s="1428"/>
      <c r="DC112" s="996">
        <f>IF(DA112=0,0,(DB112-DA112)/DA112*100)</f>
        <v>0</v>
      </c>
      <c r="DD112" s="1428"/>
      <c r="DE112" s="1428"/>
      <c r="DF112" s="996">
        <f>IF(DD112=0,0,(DE112-DD112)/DD112*100)</f>
        <v>0</v>
      </c>
      <c r="DG112" s="1428"/>
      <c r="DH112" s="1428"/>
      <c r="DI112" s="996">
        <f>IF(DG112=0,0,(DH112-DG112)/DG112*100)</f>
        <v>0</v>
      </c>
      <c r="DJ112" s="1428"/>
      <c r="DK112" s="1428"/>
      <c r="DL112" s="996">
        <f>IF(DJ112=0,0,(DK112-DJ112)/DJ112*100)</f>
        <v>0</v>
      </c>
      <c r="DM112" s="1428"/>
      <c r="DN112" s="1428"/>
      <c r="DO112" s="996">
        <f>IF(DM112=0,0,(DN112-DM112)/DM112*100)</f>
        <v>0</v>
      </c>
      <c r="DP112" s="1428"/>
      <c r="DQ112" s="1428"/>
      <c r="DR112" s="996">
        <f>IF(DP112=0,0,(DQ112-DP112)/DP112*100)</f>
        <v>0</v>
      </c>
      <c r="DS112" s="1428"/>
      <c r="DT112" s="1428"/>
      <c r="DU112" s="996">
        <f>IF(DS112=0,0,(DT112-DS112)/DS112*100)</f>
        <v>0</v>
      </c>
      <c r="DV112" s="1428"/>
      <c r="DW112" s="1428"/>
      <c r="DX112" s="996">
        <f>IF(DV112=0,0,(DW112-DV112)/DV112*100)</f>
        <v>0</v>
      </c>
      <c r="DY112" s="1428"/>
      <c r="DZ112" s="1428"/>
      <c r="EA112" s="996">
        <f>IF(DY112=0,0,(DZ112-DY112)/DY112*100)</f>
        <v>0</v>
      </c>
      <c r="EB112" s="1428"/>
      <c r="EC112" s="1428"/>
      <c r="ED112" s="996">
        <f>IF(EB112=0,0,(EC112-EB112)/EB112*100)</f>
        <v>0</v>
      </c>
      <c r="EE112" s="1428"/>
      <c r="EF112" s="1428"/>
      <c r="EG112" s="996">
        <f>IF(EE112=0,0,(EF112-EE112)/EE112*100)</f>
        <v>0</v>
      </c>
      <c r="EH112" s="1428"/>
      <c r="EI112" s="1428"/>
      <c r="EJ112" s="996">
        <f>IF(EH112=0,0,(EI112-EH112)/EH112*100)</f>
        <v>0</v>
      </c>
      <c r="EK112" s="1428"/>
      <c r="EL112" s="1428"/>
      <c r="EM112" s="996">
        <f>IF(EK112=0,0,(EL112-EK112)/EK112*100)</f>
        <v>0</v>
      </c>
      <c r="EN112" s="1428"/>
      <c r="EO112" s="1428"/>
      <c r="EP112" s="996">
        <f>IF(EN112=0,0,(EO112-EN112)/EN112*100)</f>
        <v>0</v>
      </c>
      <c r="EQ112" s="1428"/>
      <c r="ER112" s="1428"/>
      <c r="ES112" s="996">
        <f>IF(EQ112=0,0,(ER112-EQ112)/EQ112*100)</f>
        <v>0</v>
      </c>
      <c r="ET112" s="1428"/>
      <c r="EU112" s="1428"/>
      <c r="EV112" s="996">
        <f>IF(ET112=0,0,(EU112-ET112)/ET112*100)</f>
        <v>0</v>
      </c>
      <c r="EW112" s="1428"/>
      <c r="EX112" s="1428"/>
      <c r="EY112" s="996">
        <f>IF(EW112=0,0,(EX112-EW112)/EW112*100)</f>
        <v>0</v>
      </c>
      <c r="EZ112" s="1428"/>
      <c r="FA112" s="1428"/>
      <c r="FB112" s="996">
        <f>IF(EZ112=0,0,(FA112-EZ112)/EZ112*100)</f>
        <v>0</v>
      </c>
      <c r="FC112" s="1428"/>
      <c r="FD112" s="1428"/>
      <c r="FE112" s="996">
        <f>IF(FC112=0,0,(FD112-FC112)/FC112*100)</f>
        <v>0</v>
      </c>
      <c r="FF112" s="1428"/>
      <c r="FG112" s="1428"/>
      <c r="FH112" s="996">
        <f>IF(FF112=0,0,(FG112-FF112)/FF112*100)</f>
        <v>0</v>
      </c>
      <c r="FI112" s="1428"/>
      <c r="FJ112" s="1428"/>
      <c r="FK112" s="996">
        <f>IF(FI112=0,0,(FJ112-FI112)/FI112*100)</f>
        <v>0</v>
      </c>
      <c r="FL112" s="1428"/>
      <c r="FM112" s="1428"/>
      <c r="FN112" s="996">
        <f>IF(FL112=0,0,(FM112-FL112)/FL112*100)</f>
        <v>0</v>
      </c>
      <c r="FO112" s="1428"/>
      <c r="FP112" s="1428"/>
      <c r="FQ112" s="996">
        <f>IF(FO112=0,0,(FP112-FO112)/FO112*100)</f>
        <v>0</v>
      </c>
      <c r="FR112" s="1428"/>
      <c r="FS112" s="1428"/>
      <c r="FT112" s="996">
        <f>IF(FR112=0,0,(FS112-FR112)/FR112*100)</f>
        <v>0</v>
      </c>
      <c r="FU112" s="1428"/>
      <c r="FV112" s="1428"/>
      <c r="FW112" s="996">
        <f>IF(FU112=0,0,(FV112-FU112)/FU112*100)</f>
        <v>0</v>
      </c>
      <c r="FX112" s="1207"/>
      <c r="FY112" s="1207"/>
      <c r="FZ112" s="957" t="s">
        <v>1505</v>
      </c>
      <c r="GA112" s="1209"/>
      <c r="GB112" s="1209"/>
      <c r="GC112" s="1208"/>
      <c r="GD112" s="1208"/>
    </row>
    <row r="113" spans="1:186" s="1327" customFormat="1" ht="14.25" hidden="1" customHeight="1">
      <c r="A113" s="409"/>
      <c r="B113" s="830" t="b" cm="1">
        <f t="array" ref="B113">B112</f>
        <v>0</v>
      </c>
      <c r="C113" s="409"/>
      <c r="D113" s="409"/>
      <c r="E113" s="754">
        <v>15</v>
      </c>
      <c r="F113" s="3" t="str" cm="1">
        <f t="array" aca="1" ref="F113" ca="1">OFFSET(E113,-1,1)</f>
        <v>1</v>
      </c>
      <c r="G113" s="409"/>
      <c r="H113" s="409" t="s">
        <v>1496</v>
      </c>
      <c r="I113" s="409" t="s">
        <v>1457</v>
      </c>
      <c r="J113" s="409"/>
      <c r="K113" s="409"/>
      <c r="L113" s="409"/>
      <c r="M113" s="409"/>
      <c r="N113" s="409"/>
      <c r="O113" s="409"/>
      <c r="P113" s="409"/>
      <c r="Q113" s="409"/>
      <c r="R113" s="409"/>
      <c r="S113" s="409"/>
      <c r="T113" s="381" t="b" cm="1">
        <f t="array" aca="1" ref="T113" ca="1">T112</f>
        <v>1</v>
      </c>
      <c r="U113" s="409"/>
      <c r="V113" s="409"/>
      <c r="W113" s="409"/>
      <c r="X113" s="1787"/>
      <c r="Y113" s="409"/>
      <c r="Z113" s="1734"/>
      <c r="AA113" s="409"/>
      <c r="AB113" s="994" t="s">
        <v>1497</v>
      </c>
      <c r="AC113" s="778" t="s">
        <v>1498</v>
      </c>
      <c r="AD113" s="1428"/>
      <c r="AE113" s="1428"/>
      <c r="AF113" s="996">
        <f>IF(AD113=0,0,(AE113-AD113)/AD113*100)</f>
        <v>0</v>
      </c>
      <c r="AG113" s="1428"/>
      <c r="AH113" s="1428"/>
      <c r="AI113" s="996">
        <f>IF(AG113=0,0,(AH113-AG113)/AG113*100)</f>
        <v>0</v>
      </c>
      <c r="AJ113" s="1428"/>
      <c r="AK113" s="1428"/>
      <c r="AL113" s="996">
        <f>IF(AJ113=0,0,(AK113-AJ113)/AJ113*100)</f>
        <v>0</v>
      </c>
      <c r="AM113" s="1428"/>
      <c r="AN113" s="1428"/>
      <c r="AO113" s="996">
        <f>IF(AM113=0,0,(AN113-AM113)/AM113*100)</f>
        <v>0</v>
      </c>
      <c r="AP113" s="1428"/>
      <c r="AQ113" s="1428"/>
      <c r="AR113" s="996">
        <f>IF(AP113=0,0,(AQ113-AP113)/AP113*100)</f>
        <v>0</v>
      </c>
      <c r="AS113" s="1428"/>
      <c r="AT113" s="1428"/>
      <c r="AU113" s="996">
        <f>IF(AS113=0,0,(AT113-AS113)/AS113*100)</f>
        <v>0</v>
      </c>
      <c r="AV113" s="1428"/>
      <c r="AW113" s="1428"/>
      <c r="AX113" s="996">
        <f>IF(AV113=0,0,(AW113-AV113)/AV113*100)</f>
        <v>0</v>
      </c>
      <c r="AY113" s="1428"/>
      <c r="AZ113" s="1428"/>
      <c r="BA113" s="996">
        <f>IF(AY113=0,0,(AZ113-AY113)/AY113*100)</f>
        <v>0</v>
      </c>
      <c r="BB113" s="1428"/>
      <c r="BC113" s="1428"/>
      <c r="BD113" s="996">
        <f>IF(BB113=0,0,(BC113-BB113)/BB113*100)</f>
        <v>0</v>
      </c>
      <c r="BE113" s="1428"/>
      <c r="BF113" s="1428"/>
      <c r="BG113" s="996">
        <f>IF(BE113=0,0,(BF113-BE113)/BE113*100)</f>
        <v>0</v>
      </c>
      <c r="BH113" s="1428"/>
      <c r="BI113" s="1428"/>
      <c r="BJ113" s="996">
        <f>IF(BH113=0,0,(BI113-BH113)/BH113*100)</f>
        <v>0</v>
      </c>
      <c r="BK113" s="1428"/>
      <c r="BL113" s="1428"/>
      <c r="BM113" s="996">
        <f>IF(BK113=0,0,(BL113-BK113)/BK113*100)</f>
        <v>0</v>
      </c>
      <c r="BN113" s="1428"/>
      <c r="BO113" s="1428"/>
      <c r="BP113" s="996">
        <f>IF(BN113=0,0,(BO113-BN113)/BN113*100)</f>
        <v>0</v>
      </c>
      <c r="BQ113" s="1428"/>
      <c r="BR113" s="1428"/>
      <c r="BS113" s="996">
        <f>IF(BQ113=0,0,(BR113-BQ113)/BQ113*100)</f>
        <v>0</v>
      </c>
      <c r="BT113" s="1428"/>
      <c r="BU113" s="1428"/>
      <c r="BV113" s="996">
        <f>IF(BT113=0,0,(BU113-BT113)/BT113*100)</f>
        <v>0</v>
      </c>
      <c r="BW113" s="1428"/>
      <c r="BX113" s="1428"/>
      <c r="BY113" s="996">
        <f>IF(BW113=0,0,(BX113-BW113)/BW113*100)</f>
        <v>0</v>
      </c>
      <c r="BZ113" s="1428"/>
      <c r="CA113" s="1428"/>
      <c r="CB113" s="996">
        <f>IF(BZ113=0,0,(CA113-BZ113)/BZ113*100)</f>
        <v>0</v>
      </c>
      <c r="CC113" s="1428"/>
      <c r="CD113" s="1428"/>
      <c r="CE113" s="996">
        <f>IF(CC113=0,0,(CD113-CC113)/CC113*100)</f>
        <v>0</v>
      </c>
      <c r="CF113" s="1428"/>
      <c r="CG113" s="1428"/>
      <c r="CH113" s="996">
        <f>IF(CF113=0,0,(CG113-CF113)/CF113*100)</f>
        <v>0</v>
      </c>
      <c r="CI113" s="1428"/>
      <c r="CJ113" s="1428"/>
      <c r="CK113" s="996">
        <f>IF(CI113=0,0,(CJ113-CI113)/CI113*100)</f>
        <v>0</v>
      </c>
      <c r="CL113" s="1428"/>
      <c r="CM113" s="1428"/>
      <c r="CN113" s="996">
        <f>IF(CL113=0,0,(CM113-CL113)/CL113*100)</f>
        <v>0</v>
      </c>
      <c r="CO113" s="1428"/>
      <c r="CP113" s="1428"/>
      <c r="CQ113" s="996">
        <f>IF(CO113=0,0,(CP113-CO113)/CO113*100)</f>
        <v>0</v>
      </c>
      <c r="CR113" s="1428"/>
      <c r="CS113" s="1428"/>
      <c r="CT113" s="996">
        <f>IF(CR113=0,0,(CS113-CR113)/CR113*100)</f>
        <v>0</v>
      </c>
      <c r="CU113" s="1428"/>
      <c r="CV113" s="1428"/>
      <c r="CW113" s="996">
        <f>IF(CU113=0,0,(CV113-CU113)/CU113*100)</f>
        <v>0</v>
      </c>
      <c r="CX113" s="1428"/>
      <c r="CY113" s="1428"/>
      <c r="CZ113" s="996">
        <f>IF(CX113=0,0,(CY113-CX113)/CX113*100)</f>
        <v>0</v>
      </c>
      <c r="DA113" s="1428"/>
      <c r="DB113" s="1428"/>
      <c r="DC113" s="996">
        <f>IF(DA113=0,0,(DB113-DA113)/DA113*100)</f>
        <v>0</v>
      </c>
      <c r="DD113" s="1428"/>
      <c r="DE113" s="1428"/>
      <c r="DF113" s="996">
        <f>IF(DD113=0,0,(DE113-DD113)/DD113*100)</f>
        <v>0</v>
      </c>
      <c r="DG113" s="1428"/>
      <c r="DH113" s="1428"/>
      <c r="DI113" s="996">
        <f>IF(DG113=0,0,(DH113-DG113)/DG113*100)</f>
        <v>0</v>
      </c>
      <c r="DJ113" s="1428"/>
      <c r="DK113" s="1428"/>
      <c r="DL113" s="996">
        <f>IF(DJ113=0,0,(DK113-DJ113)/DJ113*100)</f>
        <v>0</v>
      </c>
      <c r="DM113" s="1428"/>
      <c r="DN113" s="1428"/>
      <c r="DO113" s="996">
        <f>IF(DM113=0,0,(DN113-DM113)/DM113*100)</f>
        <v>0</v>
      </c>
      <c r="DP113" s="1428"/>
      <c r="DQ113" s="1428"/>
      <c r="DR113" s="996">
        <f>IF(DP113=0,0,(DQ113-DP113)/DP113*100)</f>
        <v>0</v>
      </c>
      <c r="DS113" s="1428"/>
      <c r="DT113" s="1428"/>
      <c r="DU113" s="996">
        <f>IF(DS113=0,0,(DT113-DS113)/DS113*100)</f>
        <v>0</v>
      </c>
      <c r="DV113" s="1428"/>
      <c r="DW113" s="1428"/>
      <c r="DX113" s="996">
        <f>IF(DV113=0,0,(DW113-DV113)/DV113*100)</f>
        <v>0</v>
      </c>
      <c r="DY113" s="1428"/>
      <c r="DZ113" s="1428"/>
      <c r="EA113" s="996">
        <f>IF(DY113=0,0,(DZ113-DY113)/DY113*100)</f>
        <v>0</v>
      </c>
      <c r="EB113" s="1428"/>
      <c r="EC113" s="1428"/>
      <c r="ED113" s="996">
        <f>IF(EB113=0,0,(EC113-EB113)/EB113*100)</f>
        <v>0</v>
      </c>
      <c r="EE113" s="1428"/>
      <c r="EF113" s="1428"/>
      <c r="EG113" s="996">
        <f>IF(EE113=0,0,(EF113-EE113)/EE113*100)</f>
        <v>0</v>
      </c>
      <c r="EH113" s="1428"/>
      <c r="EI113" s="1428"/>
      <c r="EJ113" s="996">
        <f>IF(EH113=0,0,(EI113-EH113)/EH113*100)</f>
        <v>0</v>
      </c>
      <c r="EK113" s="1428"/>
      <c r="EL113" s="1428"/>
      <c r="EM113" s="996">
        <f>IF(EK113=0,0,(EL113-EK113)/EK113*100)</f>
        <v>0</v>
      </c>
      <c r="EN113" s="1428"/>
      <c r="EO113" s="1428"/>
      <c r="EP113" s="996">
        <f>IF(EN113=0,0,(EO113-EN113)/EN113*100)</f>
        <v>0</v>
      </c>
      <c r="EQ113" s="1428"/>
      <c r="ER113" s="1428"/>
      <c r="ES113" s="996">
        <f>IF(EQ113=0,0,(ER113-EQ113)/EQ113*100)</f>
        <v>0</v>
      </c>
      <c r="ET113" s="1428"/>
      <c r="EU113" s="1428"/>
      <c r="EV113" s="996">
        <f>IF(ET113=0,0,(EU113-ET113)/ET113*100)</f>
        <v>0</v>
      </c>
      <c r="EW113" s="1428"/>
      <c r="EX113" s="1428"/>
      <c r="EY113" s="996">
        <f>IF(EW113=0,0,(EX113-EW113)/EW113*100)</f>
        <v>0</v>
      </c>
      <c r="EZ113" s="1428"/>
      <c r="FA113" s="1428"/>
      <c r="FB113" s="996">
        <f>IF(EZ113=0,0,(FA113-EZ113)/EZ113*100)</f>
        <v>0</v>
      </c>
      <c r="FC113" s="1428"/>
      <c r="FD113" s="1428"/>
      <c r="FE113" s="996">
        <f>IF(FC113=0,0,(FD113-FC113)/FC113*100)</f>
        <v>0</v>
      </c>
      <c r="FF113" s="1428"/>
      <c r="FG113" s="1428"/>
      <c r="FH113" s="996">
        <f>IF(FF113=0,0,(FG113-FF113)/FF113*100)</f>
        <v>0</v>
      </c>
      <c r="FI113" s="1428"/>
      <c r="FJ113" s="1428"/>
      <c r="FK113" s="996">
        <f>IF(FI113=0,0,(FJ113-FI113)/FI113*100)</f>
        <v>0</v>
      </c>
      <c r="FL113" s="1428"/>
      <c r="FM113" s="1428"/>
      <c r="FN113" s="996">
        <f>IF(FL113=0,0,(FM113-FL113)/FL113*100)</f>
        <v>0</v>
      </c>
      <c r="FO113" s="1428"/>
      <c r="FP113" s="1428"/>
      <c r="FQ113" s="996">
        <f>IF(FO113=0,0,(FP113-FO113)/FO113*100)</f>
        <v>0</v>
      </c>
      <c r="FR113" s="1428"/>
      <c r="FS113" s="1428"/>
      <c r="FT113" s="996">
        <f>IF(FR113=0,0,(FS113-FR113)/FR113*100)</f>
        <v>0</v>
      </c>
      <c r="FU113" s="1428"/>
      <c r="FV113" s="1428"/>
      <c r="FW113" s="996">
        <f>IF(FU113=0,0,(FV113-FU113)/FU113*100)</f>
        <v>0</v>
      </c>
      <c r="FX113" s="1207"/>
      <c r="FY113" s="1207"/>
      <c r="FZ113" s="957" t="s">
        <v>1506</v>
      </c>
      <c r="GA113" s="1209"/>
      <c r="GB113" s="1209"/>
      <c r="GC113" s="1208"/>
      <c r="GD113" s="1208"/>
    </row>
    <row r="114" spans="1:186" s="1327" customFormat="1" ht="23.25" hidden="1" customHeight="1">
      <c r="A114" s="409"/>
      <c r="B114" s="830" t="b" cm="1">
        <f t="array" ref="B114">B113</f>
        <v>0</v>
      </c>
      <c r="C114" s="409"/>
      <c r="D114" s="409"/>
      <c r="E114" s="754">
        <v>24.5</v>
      </c>
      <c r="F114" s="3" t="str" cm="1">
        <f t="array" aca="1" ref="F114" ca="1">OFFSET(E114,-1,1)</f>
        <v>1</v>
      </c>
      <c r="G114" s="409"/>
      <c r="H114" s="409"/>
      <c r="I114" s="409"/>
      <c r="J114" s="409"/>
      <c r="K114" s="409"/>
      <c r="L114" s="409"/>
      <c r="M114" s="409"/>
      <c r="N114" s="409"/>
      <c r="O114" s="409"/>
      <c r="P114" s="409"/>
      <c r="Q114" s="409"/>
      <c r="R114" s="409"/>
      <c r="S114" s="409"/>
      <c r="T114" s="381" t="b" cm="1">
        <f t="array" aca="1" ref="T114" ca="1">T113</f>
        <v>1</v>
      </c>
      <c r="U114" s="409"/>
      <c r="V114" s="409"/>
      <c r="W114" s="409"/>
      <c r="X114" s="1787"/>
      <c r="Y114" s="409"/>
      <c r="Z114" s="1734"/>
      <c r="AA114" s="409"/>
      <c r="AB114" s="209" t="s">
        <v>1507</v>
      </c>
      <c r="AC114" s="810"/>
      <c r="AD114" s="1003"/>
      <c r="AE114" s="1003"/>
      <c r="AF114" s="1003"/>
      <c r="AG114" s="1003"/>
      <c r="AH114" s="1003"/>
      <c r="AI114" s="1003"/>
      <c r="AJ114" s="1003"/>
      <c r="AK114" s="1003"/>
      <c r="AL114" s="1003"/>
      <c r="AM114" s="1003"/>
      <c r="AN114" s="1003"/>
      <c r="AO114" s="1003"/>
      <c r="AP114" s="1003"/>
      <c r="AQ114" s="1003"/>
      <c r="AR114" s="1003"/>
      <c r="AS114" s="1003"/>
      <c r="AT114" s="1003"/>
      <c r="AU114" s="1003"/>
      <c r="AV114" s="1003"/>
      <c r="AW114" s="1003"/>
      <c r="AX114" s="1003"/>
      <c r="AY114" s="1003"/>
      <c r="AZ114" s="1003"/>
      <c r="BA114" s="1003"/>
      <c r="BB114" s="1003"/>
      <c r="BC114" s="1003"/>
      <c r="BD114" s="1003"/>
      <c r="BE114" s="1003"/>
      <c r="BF114" s="1003"/>
      <c r="BG114" s="1003"/>
      <c r="BH114" s="1003"/>
      <c r="BI114" s="1003"/>
      <c r="BJ114" s="1003"/>
      <c r="BK114" s="1003"/>
      <c r="BL114" s="1003"/>
      <c r="BM114" s="1003"/>
      <c r="BN114" s="1003"/>
      <c r="BO114" s="1003"/>
      <c r="BP114" s="1003"/>
      <c r="BQ114" s="1003"/>
      <c r="BR114" s="1003"/>
      <c r="BS114" s="1003"/>
      <c r="BT114" s="1003"/>
      <c r="BU114" s="1003"/>
      <c r="BV114" s="1003"/>
      <c r="BW114" s="1003"/>
      <c r="BX114" s="1003"/>
      <c r="BY114" s="1003"/>
      <c r="BZ114" s="1003"/>
      <c r="CA114" s="1003"/>
      <c r="CB114" s="1003"/>
      <c r="CC114" s="1003"/>
      <c r="CD114" s="1003"/>
      <c r="CE114" s="1003"/>
      <c r="CF114" s="1003"/>
      <c r="CG114" s="1003"/>
      <c r="CH114" s="1003"/>
      <c r="CI114" s="1003"/>
      <c r="CJ114" s="1003"/>
      <c r="CK114" s="1003"/>
      <c r="CL114" s="1003"/>
      <c r="CM114" s="1003"/>
      <c r="CN114" s="1003"/>
      <c r="CO114" s="1003"/>
      <c r="CP114" s="1003"/>
      <c r="CQ114" s="1003"/>
      <c r="CR114" s="1003"/>
      <c r="CS114" s="1003"/>
      <c r="CT114" s="1003"/>
      <c r="CU114" s="1003"/>
      <c r="CV114" s="1003"/>
      <c r="CW114" s="1003"/>
      <c r="CX114" s="1003"/>
      <c r="CY114" s="1003"/>
      <c r="CZ114" s="1003"/>
      <c r="DA114" s="1003"/>
      <c r="DB114" s="1003"/>
      <c r="DC114" s="1003"/>
      <c r="DD114" s="1003"/>
      <c r="DE114" s="1003"/>
      <c r="DF114" s="1003"/>
      <c r="DG114" s="1003"/>
      <c r="DH114" s="1003"/>
      <c r="DI114" s="1003"/>
      <c r="DJ114" s="1003"/>
      <c r="DK114" s="1003"/>
      <c r="DL114" s="1003"/>
      <c r="DM114" s="1003"/>
      <c r="DN114" s="1003"/>
      <c r="DO114" s="1003"/>
      <c r="DP114" s="1003"/>
      <c r="DQ114" s="1003"/>
      <c r="DR114" s="1003"/>
      <c r="DS114" s="1003"/>
      <c r="DT114" s="1003"/>
      <c r="DU114" s="1003"/>
      <c r="DV114" s="1003"/>
      <c r="DW114" s="1003"/>
      <c r="DX114" s="1003"/>
      <c r="DY114" s="1003"/>
      <c r="DZ114" s="1003"/>
      <c r="EA114" s="1003"/>
      <c r="EB114" s="1003"/>
      <c r="EC114" s="1003"/>
      <c r="ED114" s="1003"/>
      <c r="EE114" s="1003"/>
      <c r="EF114" s="1003"/>
      <c r="EG114" s="1003"/>
      <c r="EH114" s="1003"/>
      <c r="EI114" s="1003"/>
      <c r="EJ114" s="1003"/>
      <c r="EK114" s="1003"/>
      <c r="EL114" s="1003"/>
      <c r="EM114" s="1003"/>
      <c r="EN114" s="1003"/>
      <c r="EO114" s="1003"/>
      <c r="EP114" s="1003"/>
      <c r="EQ114" s="1003"/>
      <c r="ER114" s="1003"/>
      <c r="ES114" s="1003"/>
      <c r="ET114" s="1003"/>
      <c r="EU114" s="1003"/>
      <c r="EV114" s="1003"/>
      <c r="EW114" s="1003"/>
      <c r="EX114" s="1003"/>
      <c r="EY114" s="1003"/>
      <c r="EZ114" s="1003"/>
      <c r="FA114" s="1003"/>
      <c r="FB114" s="1003"/>
      <c r="FC114" s="1003"/>
      <c r="FD114" s="1003"/>
      <c r="FE114" s="1003"/>
      <c r="FF114" s="1003"/>
      <c r="FG114" s="1003"/>
      <c r="FH114" s="1003"/>
      <c r="FI114" s="1003"/>
      <c r="FJ114" s="1003"/>
      <c r="FK114" s="1003"/>
      <c r="FL114" s="1003"/>
      <c r="FM114" s="1003"/>
      <c r="FN114" s="1003"/>
      <c r="FO114" s="1003"/>
      <c r="FP114" s="1003"/>
      <c r="FQ114" s="1003"/>
      <c r="FR114" s="1003"/>
      <c r="FS114" s="1003"/>
      <c r="FT114" s="1003"/>
      <c r="FU114" s="1003"/>
      <c r="FV114" s="1003"/>
      <c r="FW114" s="1004"/>
      <c r="FX114" s="1207"/>
      <c r="FY114" s="1207"/>
      <c r="FZ114" s="957"/>
      <c r="GA114" s="1209"/>
      <c r="GB114" s="1209"/>
      <c r="GC114" s="1208"/>
      <c r="GD114" s="1208"/>
    </row>
    <row r="115" spans="1:186" s="1327" customFormat="1" ht="14.25" hidden="1" customHeight="1">
      <c r="A115" s="409"/>
      <c r="B115" s="830" t="b" cm="1">
        <f t="array" ref="B115">B114</f>
        <v>0</v>
      </c>
      <c r="C115" s="409"/>
      <c r="D115" s="409"/>
      <c r="E115" s="754">
        <v>15</v>
      </c>
      <c r="F115" s="3" t="str" cm="1">
        <f t="array" aca="1" ref="F115" ca="1">OFFSET(E115,-1,1)</f>
        <v>1</v>
      </c>
      <c r="G115" s="409"/>
      <c r="H115" s="409" t="s">
        <v>1412</v>
      </c>
      <c r="I115" s="409" t="s">
        <v>1467</v>
      </c>
      <c r="J115" s="409"/>
      <c r="K115" s="409"/>
      <c r="L115" s="409"/>
      <c r="M115" s="409"/>
      <c r="N115" s="409"/>
      <c r="O115" s="409"/>
      <c r="P115" s="409"/>
      <c r="Q115" s="409"/>
      <c r="R115" s="409"/>
      <c r="S115" s="409"/>
      <c r="T115" s="381" t="b" cm="1">
        <f t="array" aca="1" ref="T115" ca="1">T114</f>
        <v>1</v>
      </c>
      <c r="U115" s="409"/>
      <c r="V115" s="409"/>
      <c r="W115" s="409"/>
      <c r="X115" s="1787"/>
      <c r="Y115" s="409"/>
      <c r="Z115" s="1734"/>
      <c r="AA115" s="409"/>
      <c r="AB115" s="994" t="s">
        <v>1487</v>
      </c>
      <c r="AC115" s="778" t="s">
        <v>1454</v>
      </c>
      <c r="AD115" s="1428">
        <f ca="1">IF(AD117=0,0,(AD116*AD117+AD118*AD119*IF(god=2026,9,6))/AD117)</f>
        <v>0</v>
      </c>
      <c r="AE115" s="1428">
        <f ca="1">IF(AE117=0,0,(AE116*AE117+AE118*AE119*IF(god=2026,9,6))/AE117)</f>
        <v>0</v>
      </c>
      <c r="AF115" s="996">
        <f ca="1">IF(AD115=0,0,(AE115-AD115)/AD115*100)</f>
        <v>0</v>
      </c>
      <c r="AG115" s="1428">
        <f ca="1">IF(AG117=0,0,(AG116*AG117+AG118*AG119*IF(god=2025,9,6))/AG117)</f>
        <v>0</v>
      </c>
      <c r="AH115" s="1428">
        <f ca="1">IF(AH117=0,0,(AH116*AH117+AH118*AH119*IF(god=2025,9,6))/AH117)</f>
        <v>0</v>
      </c>
      <c r="AI115" s="996">
        <f ca="1">IF(AG115=0,0,(AH115-AG115)/AG115*100)</f>
        <v>0</v>
      </c>
      <c r="AJ115" s="1428">
        <f ca="1">IF(AJ117=0,0,(AJ116*AJ117+AJ118*AJ119*6)/AJ117)</f>
        <v>0</v>
      </c>
      <c r="AK115" s="1428">
        <f ca="1">IF(AK117=0,0,(AK116*AK117+AK118*AK119*6)/AK117)</f>
        <v>0</v>
      </c>
      <c r="AL115" s="996">
        <f ca="1">IF(AJ115=0,0,(AK115-AJ115)/AJ115*100)</f>
        <v>0</v>
      </c>
      <c r="AM115" s="1428">
        <f ca="1">IF(AM117=0,0,(AM116*AM117+AM118*AM119*6)/AM117)</f>
        <v>0</v>
      </c>
      <c r="AN115" s="1428">
        <f ca="1">IF(AN117=0,0,(AN116*AN117+AN118*AN119*6)/AN117)</f>
        <v>0</v>
      </c>
      <c r="AO115" s="996">
        <f ca="1">IF(AM115=0,0,(AN115-AM115)/AM115*100)</f>
        <v>0</v>
      </c>
      <c r="AP115" s="1428">
        <f ca="1">IF(AP117=0,0,(AP116*AP117+AP118*AP119*6)/AP117)</f>
        <v>0</v>
      </c>
      <c r="AQ115" s="1428">
        <f ca="1">IF(AQ117=0,0,(AQ116*AQ117+AQ118*AQ119*6)/AQ117)</f>
        <v>0</v>
      </c>
      <c r="AR115" s="996">
        <f ca="1">IF(AP115=0,0,(AQ115-AP115)/AP115*100)</f>
        <v>0</v>
      </c>
      <c r="AS115" s="1428">
        <f ca="1">IF(AS117=0,0,(AS116*AS117+AS118*AS119*6)/AS117)</f>
        <v>0</v>
      </c>
      <c r="AT115" s="1428">
        <f ca="1">IF(AT117=0,0,(AT116*AT117+AT118*AT119*6)/AT117)</f>
        <v>0</v>
      </c>
      <c r="AU115" s="996">
        <f ca="1">IF(AS115=0,0,(AT115-AS115)/AS115*100)</f>
        <v>0</v>
      </c>
      <c r="AV115" s="1428">
        <f ca="1">IF(AV117=0,0,(AV116*AV117+AV118*AV119*6)/AV117)</f>
        <v>0</v>
      </c>
      <c r="AW115" s="1428">
        <f ca="1">IF(AW117=0,0,(AW116*AW117+AW118*AW119*6)/AW117)</f>
        <v>0</v>
      </c>
      <c r="AX115" s="996">
        <f ca="1">IF(AV115=0,0,(AW115-AV115)/AV115*100)</f>
        <v>0</v>
      </c>
      <c r="AY115" s="1428">
        <f ca="1">IF(AY117=0,0,(AY116*AY117+AY118*AY119*6)/AY117)</f>
        <v>0</v>
      </c>
      <c r="AZ115" s="1428">
        <f ca="1">IF(AZ117=0,0,(AZ116*AZ117+AZ118*AZ119*6)/AZ117)</f>
        <v>0</v>
      </c>
      <c r="BA115" s="996">
        <f ca="1">IF(AY115=0,0,(AZ115-AY115)/AY115*100)</f>
        <v>0</v>
      </c>
      <c r="BB115" s="1428">
        <f ca="1">IF(BB117=0,0,(BB116*BB117+BB118*BB119*6)/BB117)</f>
        <v>0</v>
      </c>
      <c r="BC115" s="1428">
        <f ca="1">IF(BC117=0,0,(BC116*BC117+BC118*BC119*6)/BC117)</f>
        <v>0</v>
      </c>
      <c r="BD115" s="996">
        <f ca="1">IF(BB115=0,0,(BC115-BB115)/BB115*100)</f>
        <v>0</v>
      </c>
      <c r="BE115" s="1428">
        <f ca="1">IF(BE117=0,0,(BE116*BE117+BE118*BE119*6)/BE117)</f>
        <v>0</v>
      </c>
      <c r="BF115" s="1428">
        <f ca="1">IF(BF117=0,0,(BF116*BF117+BF118*BF119*6)/BF117)</f>
        <v>0</v>
      </c>
      <c r="BG115" s="996">
        <f ca="1">IF(BE115=0,0,(BF115-BE115)/BE115*100)</f>
        <v>0</v>
      </c>
      <c r="BH115" s="1428">
        <f>IF(BH117=0,0,(BH116*BH117+BH118*BH119*6)/BH117)</f>
        <v>0</v>
      </c>
      <c r="BI115" s="1428">
        <f>IF(BI117=0,0,(BI116*BI117+BI118*BI119*6)/BI117)</f>
        <v>0</v>
      </c>
      <c r="BJ115" s="996">
        <f>IF(BH115=0,0,(BI115-BH115)/BH115*100)</f>
        <v>0</v>
      </c>
      <c r="BK115" s="1428">
        <f>IF(BK117=0,0,(BK116*BK117+BK118*BK119*6)/BK117)</f>
        <v>0</v>
      </c>
      <c r="BL115" s="1428">
        <f>IF(BL117=0,0,(BL116*BL117+BL118*BL119*6)/BL117)</f>
        <v>0</v>
      </c>
      <c r="BM115" s="996">
        <f>IF(BK115=0,0,(BL115-BK115)/BK115*100)</f>
        <v>0</v>
      </c>
      <c r="BN115" s="1428">
        <f>IF(BN117=0,0,(BN116*BN117+BN118*BN119*6)/BN117)</f>
        <v>0</v>
      </c>
      <c r="BO115" s="1428">
        <f>IF(BO117=0,0,(BO116*BO117+BO118*BO119*6)/BO117)</f>
        <v>0</v>
      </c>
      <c r="BP115" s="996">
        <f>IF(BN115=0,0,(BO115-BN115)/BN115*100)</f>
        <v>0</v>
      </c>
      <c r="BQ115" s="1428">
        <f>IF(BQ117=0,0,(BQ116*BQ117+BQ118*BQ119*6)/BQ117)</f>
        <v>0</v>
      </c>
      <c r="BR115" s="1428">
        <f>IF(BR117=0,0,(BR116*BR117+BR118*BR119*6)/BR117)</f>
        <v>0</v>
      </c>
      <c r="BS115" s="996">
        <f>IF(BQ115=0,0,(BR115-BQ115)/BQ115*100)</f>
        <v>0</v>
      </c>
      <c r="BT115" s="1428">
        <f>IF(BT117=0,0,(BT116*BT117+BT118*BT119*6)/BT117)</f>
        <v>0</v>
      </c>
      <c r="BU115" s="1428">
        <f>IF(BU117=0,0,(BU116*BU117+BU118*BU119*6)/BU117)</f>
        <v>0</v>
      </c>
      <c r="BV115" s="996">
        <f>IF(BT115=0,0,(BU115-BT115)/BT115*100)</f>
        <v>0</v>
      </c>
      <c r="BW115" s="1428">
        <f>IF(BW117=0,0,(BW116*BW117+BW118*BW119*6)/BW117)</f>
        <v>0</v>
      </c>
      <c r="BX115" s="1428">
        <f>IF(BX117=0,0,(BX116*BX117+BX118*BX119*6)/BX117)</f>
        <v>0</v>
      </c>
      <c r="BY115" s="996">
        <f>IF(BW115=0,0,(BX115-BW115)/BW115*100)</f>
        <v>0</v>
      </c>
      <c r="BZ115" s="1428">
        <f>IF(BZ117=0,0,(BZ116*BZ117+BZ118*BZ119*6)/BZ117)</f>
        <v>0</v>
      </c>
      <c r="CA115" s="1428">
        <f>IF(CA117=0,0,(CA116*CA117+CA118*CA119*6)/CA117)</f>
        <v>0</v>
      </c>
      <c r="CB115" s="996">
        <f>IF(BZ115=0,0,(CA115-BZ115)/BZ115*100)</f>
        <v>0</v>
      </c>
      <c r="CC115" s="1428">
        <f>IF(CC117=0,0,(CC116*CC117+CC118*CC119*6)/CC117)</f>
        <v>0</v>
      </c>
      <c r="CD115" s="1428">
        <f>IF(CD117=0,0,(CD116*CD117+CD118*CD119*6)/CD117)</f>
        <v>0</v>
      </c>
      <c r="CE115" s="996">
        <f>IF(CC115=0,0,(CD115-CC115)/CC115*100)</f>
        <v>0</v>
      </c>
      <c r="CF115" s="1428">
        <f>IF(CF117=0,0,(CF116*CF117+CF118*CF119*6)/CF117)</f>
        <v>0</v>
      </c>
      <c r="CG115" s="1428">
        <f>IF(CG117=0,0,(CG116*CG117+CG118*CG119*6)/CG117)</f>
        <v>0</v>
      </c>
      <c r="CH115" s="996">
        <f>IF(CF115=0,0,(CG115-CF115)/CF115*100)</f>
        <v>0</v>
      </c>
      <c r="CI115" s="1428">
        <f>IF(CI117=0,0,(CI116*CI117+CI118*CI119*6)/CI117)</f>
        <v>0</v>
      </c>
      <c r="CJ115" s="1428">
        <f>IF(CJ117=0,0,(CJ116*CJ117+CJ118*CJ119*6)/CJ117)</f>
        <v>0</v>
      </c>
      <c r="CK115" s="996">
        <f>IF(CI115=0,0,(CJ115-CI115)/CI115*100)</f>
        <v>0</v>
      </c>
      <c r="CL115" s="1428">
        <f>IF(CL117=0,0,(CL116*CL117+CL118*CL119*6)/CL117)</f>
        <v>0</v>
      </c>
      <c r="CM115" s="1428">
        <f>IF(CM117=0,0,(CM116*CM117+CM118*CM119*6)/CM117)</f>
        <v>0</v>
      </c>
      <c r="CN115" s="996">
        <f>IF(CL115=0,0,(CM115-CL115)/CL115*100)</f>
        <v>0</v>
      </c>
      <c r="CO115" s="1428">
        <f>IF(CO117=0,0,(CO116*CO117+CO118*CO119*6)/CO117)</f>
        <v>0</v>
      </c>
      <c r="CP115" s="1428">
        <f>IF(CP117=0,0,(CP116*CP117+CP118*CP119*6)/CP117)</f>
        <v>0</v>
      </c>
      <c r="CQ115" s="996">
        <f>IF(CO115=0,0,(CP115-CO115)/CO115*100)</f>
        <v>0</v>
      </c>
      <c r="CR115" s="1428">
        <f>IF(CR117=0,0,(CR116*CR117+CR118*CR119*6)/CR117)</f>
        <v>0</v>
      </c>
      <c r="CS115" s="1428">
        <f>IF(CS117=0,0,(CS116*CS117+CS118*CS119*6)/CS117)</f>
        <v>0</v>
      </c>
      <c r="CT115" s="996">
        <f>IF(CR115=0,0,(CS115-CR115)/CR115*100)</f>
        <v>0</v>
      </c>
      <c r="CU115" s="1428">
        <f>IF(CU117=0,0,(CU116*CU117+CU118*CU119*6)/CU117)</f>
        <v>0</v>
      </c>
      <c r="CV115" s="1428">
        <f>IF(CV117=0,0,(CV116*CV117+CV118*CV119*6)/CV117)</f>
        <v>0</v>
      </c>
      <c r="CW115" s="996">
        <f>IF(CU115=0,0,(CV115-CU115)/CU115*100)</f>
        <v>0</v>
      </c>
      <c r="CX115" s="1428">
        <f>IF(CX117=0,0,(CX116*CX117+CX118*CX119*6)/CX117)</f>
        <v>0</v>
      </c>
      <c r="CY115" s="1428">
        <f>IF(CY117=0,0,(CY116*CY117+CY118*CY119*6)/CY117)</f>
        <v>0</v>
      </c>
      <c r="CZ115" s="996">
        <f>IF(CX115=0,0,(CY115-CX115)/CX115*100)</f>
        <v>0</v>
      </c>
      <c r="DA115" s="1428">
        <f>IF(DA117=0,0,(DA116*DA117+DA118*DA119*6)/DA117)</f>
        <v>0</v>
      </c>
      <c r="DB115" s="1428">
        <f>IF(DB117=0,0,(DB116*DB117+DB118*DB119*6)/DB117)</f>
        <v>0</v>
      </c>
      <c r="DC115" s="996">
        <f>IF(DA115=0,0,(DB115-DA115)/DA115*100)</f>
        <v>0</v>
      </c>
      <c r="DD115" s="1428">
        <f>IF(DD117=0,0,(DD116*DD117+DD118*DD119*6)/DD117)</f>
        <v>0</v>
      </c>
      <c r="DE115" s="1428">
        <f>IF(DE117=0,0,(DE116*DE117+DE118*DE119*6)/DE117)</f>
        <v>0</v>
      </c>
      <c r="DF115" s="996">
        <f>IF(DD115=0,0,(DE115-DD115)/DD115*100)</f>
        <v>0</v>
      </c>
      <c r="DG115" s="1428">
        <f>IF(DG117=0,0,(DG116*DG117+DG118*DG119*6)/DG117)</f>
        <v>0</v>
      </c>
      <c r="DH115" s="1428">
        <f>IF(DH117=0,0,(DH116*DH117+DH118*DH119*6)/DH117)</f>
        <v>0</v>
      </c>
      <c r="DI115" s="996">
        <f>IF(DG115=0,0,(DH115-DG115)/DG115*100)</f>
        <v>0</v>
      </c>
      <c r="DJ115" s="1428">
        <f>IF(DJ117=0,0,(DJ116*DJ117+DJ118*DJ119*6)/DJ117)</f>
        <v>0</v>
      </c>
      <c r="DK115" s="1428">
        <f>IF(DK117=0,0,(DK116*DK117+DK118*DK119*6)/DK117)</f>
        <v>0</v>
      </c>
      <c r="DL115" s="996">
        <f>IF(DJ115=0,0,(DK115-DJ115)/DJ115*100)</f>
        <v>0</v>
      </c>
      <c r="DM115" s="1428">
        <f>IF(DM117=0,0,(DM116*DM117+DM118*DM119*6)/DM117)</f>
        <v>0</v>
      </c>
      <c r="DN115" s="1428">
        <f>IF(DN117=0,0,(DN116*DN117+DN118*DN119*6)/DN117)</f>
        <v>0</v>
      </c>
      <c r="DO115" s="996">
        <f>IF(DM115=0,0,(DN115-DM115)/DM115*100)</f>
        <v>0</v>
      </c>
      <c r="DP115" s="1428">
        <f>IF(DP117=0,0,(DP116*DP117+DP118*DP119*6)/DP117)</f>
        <v>0</v>
      </c>
      <c r="DQ115" s="1428">
        <f>IF(DQ117=0,0,(DQ116*DQ117+DQ118*DQ119*6)/DQ117)</f>
        <v>0</v>
      </c>
      <c r="DR115" s="996">
        <f>IF(DP115=0,0,(DQ115-DP115)/DP115*100)</f>
        <v>0</v>
      </c>
      <c r="DS115" s="1428">
        <f>IF(DS117=0,0,(DS116*DS117+DS118*DS119*6)/DS117)</f>
        <v>0</v>
      </c>
      <c r="DT115" s="1428">
        <f>IF(DT117=0,0,(DT116*DT117+DT118*DT119*6)/DT117)</f>
        <v>0</v>
      </c>
      <c r="DU115" s="996">
        <f>IF(DS115=0,0,(DT115-DS115)/DS115*100)</f>
        <v>0</v>
      </c>
      <c r="DV115" s="1428">
        <f>IF(DV117=0,0,(DV116*DV117+DV118*DV119*6)/DV117)</f>
        <v>0</v>
      </c>
      <c r="DW115" s="1428">
        <f>IF(DW117=0,0,(DW116*DW117+DW118*DW119*6)/DW117)</f>
        <v>0</v>
      </c>
      <c r="DX115" s="996">
        <f>IF(DV115=0,0,(DW115-DV115)/DV115*100)</f>
        <v>0</v>
      </c>
      <c r="DY115" s="1428">
        <f>IF(DY117=0,0,(DY116*DY117+DY118*DY119*6)/DY117)</f>
        <v>0</v>
      </c>
      <c r="DZ115" s="1428">
        <f>IF(DZ117=0,0,(DZ116*DZ117+DZ118*DZ119*6)/DZ117)</f>
        <v>0</v>
      </c>
      <c r="EA115" s="996">
        <f>IF(DY115=0,0,(DZ115-DY115)/DY115*100)</f>
        <v>0</v>
      </c>
      <c r="EB115" s="1428">
        <f>IF(EB117=0,0,(EB116*EB117+EB118*EB119*6)/EB117)</f>
        <v>0</v>
      </c>
      <c r="EC115" s="1428">
        <f>IF(EC117=0,0,(EC116*EC117+EC118*EC119*6)/EC117)</f>
        <v>0</v>
      </c>
      <c r="ED115" s="996">
        <f>IF(EB115=0,0,(EC115-EB115)/EB115*100)</f>
        <v>0</v>
      </c>
      <c r="EE115" s="1428">
        <f>IF(EE117=0,0,(EE116*EE117+EE118*EE119*6)/EE117)</f>
        <v>0</v>
      </c>
      <c r="EF115" s="1428">
        <f>IF(EF117=0,0,(EF116*EF117+EF118*EF119*6)/EF117)</f>
        <v>0</v>
      </c>
      <c r="EG115" s="996">
        <f>IF(EE115=0,0,(EF115-EE115)/EE115*100)</f>
        <v>0</v>
      </c>
      <c r="EH115" s="1428">
        <f>IF(EH117=0,0,(EH116*EH117+EH118*EH119*6)/EH117)</f>
        <v>0</v>
      </c>
      <c r="EI115" s="1428">
        <f>IF(EI117=0,0,(EI116*EI117+EI118*EI119*6)/EI117)</f>
        <v>0</v>
      </c>
      <c r="EJ115" s="996">
        <f>IF(EH115=0,0,(EI115-EH115)/EH115*100)</f>
        <v>0</v>
      </c>
      <c r="EK115" s="1428">
        <f>IF(EK117=0,0,(EK116*EK117+EK118*EK119*6)/EK117)</f>
        <v>0</v>
      </c>
      <c r="EL115" s="1428">
        <f>IF(EL117=0,0,(EL116*EL117+EL118*EL119*6)/EL117)</f>
        <v>0</v>
      </c>
      <c r="EM115" s="996">
        <f>IF(EK115=0,0,(EL115-EK115)/EK115*100)</f>
        <v>0</v>
      </c>
      <c r="EN115" s="1428">
        <f>IF(EN117=0,0,(EN116*EN117+EN118*EN119*6)/EN117)</f>
        <v>0</v>
      </c>
      <c r="EO115" s="1428">
        <f>IF(EO117=0,0,(EO116*EO117+EO118*EO119*6)/EO117)</f>
        <v>0</v>
      </c>
      <c r="EP115" s="996">
        <f>IF(EN115=0,0,(EO115-EN115)/EN115*100)</f>
        <v>0</v>
      </c>
      <c r="EQ115" s="1428">
        <f>IF(EQ117=0,0,(EQ116*EQ117+EQ118*EQ119*6)/EQ117)</f>
        <v>0</v>
      </c>
      <c r="ER115" s="1428">
        <f>IF(ER117=0,0,(ER116*ER117+ER118*ER119*6)/ER117)</f>
        <v>0</v>
      </c>
      <c r="ES115" s="996">
        <f>IF(EQ115=0,0,(ER115-EQ115)/EQ115*100)</f>
        <v>0</v>
      </c>
      <c r="ET115" s="1428">
        <f>IF(ET117=0,0,(ET116*ET117+ET118*ET119*6)/ET117)</f>
        <v>0</v>
      </c>
      <c r="EU115" s="1428">
        <f>IF(EU117=0,0,(EU116*EU117+EU118*EU119*6)/EU117)</f>
        <v>0</v>
      </c>
      <c r="EV115" s="996">
        <f>IF(ET115=0,0,(EU115-ET115)/ET115*100)</f>
        <v>0</v>
      </c>
      <c r="EW115" s="1428">
        <f>IF(EW117=0,0,(EW116*EW117+EW118*EW119*6)/EW117)</f>
        <v>0</v>
      </c>
      <c r="EX115" s="1428">
        <f>IF(EX117=0,0,(EX116*EX117+EX118*EX119*6)/EX117)</f>
        <v>0</v>
      </c>
      <c r="EY115" s="996">
        <f>IF(EW115=0,0,(EX115-EW115)/EW115*100)</f>
        <v>0</v>
      </c>
      <c r="EZ115" s="1428">
        <f>IF(EZ117=0,0,(EZ116*EZ117+EZ118*EZ119*6)/EZ117)</f>
        <v>0</v>
      </c>
      <c r="FA115" s="1428">
        <f>IF(FA117=0,0,(FA116*FA117+FA118*FA119*6)/FA117)</f>
        <v>0</v>
      </c>
      <c r="FB115" s="996">
        <f>IF(EZ115=0,0,(FA115-EZ115)/EZ115*100)</f>
        <v>0</v>
      </c>
      <c r="FC115" s="1428">
        <f>IF(FC117=0,0,(FC116*FC117+FC118*FC119*6)/FC117)</f>
        <v>0</v>
      </c>
      <c r="FD115" s="1428">
        <f>IF(FD117=0,0,(FD116*FD117+FD118*FD119*6)/FD117)</f>
        <v>0</v>
      </c>
      <c r="FE115" s="996">
        <f>IF(FC115=0,0,(FD115-FC115)/FC115*100)</f>
        <v>0</v>
      </c>
      <c r="FF115" s="1428">
        <f>IF(FF117=0,0,(FF116*FF117+FF118*FF119*6)/FF117)</f>
        <v>0</v>
      </c>
      <c r="FG115" s="1428">
        <f>IF(FG117=0,0,(FG116*FG117+FG118*FG119*6)/FG117)</f>
        <v>0</v>
      </c>
      <c r="FH115" s="996">
        <f>IF(FF115=0,0,(FG115-FF115)/FF115*100)</f>
        <v>0</v>
      </c>
      <c r="FI115" s="1428">
        <f>IF(FI117=0,0,(FI116*FI117+FI118*FI119*6)/FI117)</f>
        <v>0</v>
      </c>
      <c r="FJ115" s="1428">
        <f>IF(FJ117=0,0,(FJ116*FJ117+FJ118*FJ119*6)/FJ117)</f>
        <v>0</v>
      </c>
      <c r="FK115" s="996">
        <f>IF(FI115=0,0,(FJ115-FI115)/FI115*100)</f>
        <v>0</v>
      </c>
      <c r="FL115" s="1428">
        <f>IF(FL117=0,0,(FL116*FL117+FL118*FL119*6)/FL117)</f>
        <v>0</v>
      </c>
      <c r="FM115" s="1428">
        <f>IF(FM117=0,0,(FM116*FM117+FM118*FM119*6)/FM117)</f>
        <v>0</v>
      </c>
      <c r="FN115" s="996">
        <f>IF(FL115=0,0,(FM115-FL115)/FL115*100)</f>
        <v>0</v>
      </c>
      <c r="FO115" s="1428">
        <f>IF(FO117=0,0,(FO116*FO117+FO118*FO119*6)/FO117)</f>
        <v>0</v>
      </c>
      <c r="FP115" s="1428">
        <f>IF(FP117=0,0,(FP116*FP117+FP118*FP119*6)/FP117)</f>
        <v>0</v>
      </c>
      <c r="FQ115" s="996">
        <f>IF(FO115=0,0,(FP115-FO115)/FO115*100)</f>
        <v>0</v>
      </c>
      <c r="FR115" s="1428">
        <f>IF(FR117=0,0,(FR116*FR117+FR118*FR119*6)/FR117)</f>
        <v>0</v>
      </c>
      <c r="FS115" s="1428">
        <f>IF(FS117=0,0,(FS116*FS117+FS118*FS119*6)/FS117)</f>
        <v>0</v>
      </c>
      <c r="FT115" s="996">
        <f>IF(FR115=0,0,(FS115-FR115)/FR115*100)</f>
        <v>0</v>
      </c>
      <c r="FU115" s="1428">
        <f>IF(FU117=0,0,(FU116*FU117+FU118*FU119*6)/FU117)</f>
        <v>0</v>
      </c>
      <c r="FV115" s="1428">
        <f>IF(FV117=0,0,(FV116*FV117+FV118*FV119*6)/FV117)</f>
        <v>0</v>
      </c>
      <c r="FW115" s="996">
        <f>IF(FU115=0,0,(FV115-FU115)/FU115*100)</f>
        <v>0</v>
      </c>
      <c r="FX115" s="1207"/>
      <c r="FY115" s="1207"/>
      <c r="FZ115" s="957" t="s">
        <v>1508</v>
      </c>
      <c r="GA115" s="1209"/>
      <c r="GB115" s="1209"/>
      <c r="GC115" s="1208"/>
      <c r="GD115" s="1208"/>
    </row>
    <row r="116" spans="1:186" s="1327" customFormat="1" ht="14.25" hidden="1" customHeight="1">
      <c r="A116" s="409"/>
      <c r="B116" s="830" t="b" cm="1">
        <f t="array" ref="B116">B115</f>
        <v>0</v>
      </c>
      <c r="C116" s="409"/>
      <c r="D116" s="409"/>
      <c r="E116" s="754">
        <v>15</v>
      </c>
      <c r="F116" s="3" t="str" cm="1">
        <f t="array" aca="1" ref="F116" ca="1">OFFSET(E116,-1,1)</f>
        <v>1</v>
      </c>
      <c r="G116" s="409"/>
      <c r="H116" s="409" t="s">
        <v>1416</v>
      </c>
      <c r="I116" s="409" t="s">
        <v>1467</v>
      </c>
      <c r="J116" s="409"/>
      <c r="K116" s="409"/>
      <c r="L116" s="409"/>
      <c r="M116" s="409"/>
      <c r="N116" s="409"/>
      <c r="O116" s="409"/>
      <c r="P116" s="409"/>
      <c r="Q116" s="409"/>
      <c r="R116" s="409"/>
      <c r="S116" s="409"/>
      <c r="T116" s="381" t="b" cm="1">
        <f t="array" aca="1" ref="T116" ca="1">T115</f>
        <v>1</v>
      </c>
      <c r="U116" s="409"/>
      <c r="V116" s="409"/>
      <c r="W116" s="409"/>
      <c r="X116" s="1787"/>
      <c r="Y116" s="409"/>
      <c r="Z116" s="1734"/>
      <c r="AA116" s="409"/>
      <c r="AB116" s="994"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778" t="s">
        <v>1454</v>
      </c>
      <c r="AD116" s="1428"/>
      <c r="AE116" s="1428"/>
      <c r="AF116" s="996">
        <f>IF(AD116=0,0,(AE116-AD116)/AD116*100)</f>
        <v>0</v>
      </c>
      <c r="AG116" s="1428"/>
      <c r="AH116" s="1428"/>
      <c r="AI116" s="996">
        <f>IF(AG116=0,0,(AH116-AG116)/AG116*100)</f>
        <v>0</v>
      </c>
      <c r="AJ116" s="1428"/>
      <c r="AK116" s="1428"/>
      <c r="AL116" s="996">
        <f>IF(AJ116=0,0,(AK116-AJ116)/AJ116*100)</f>
        <v>0</v>
      </c>
      <c r="AM116" s="1428"/>
      <c r="AN116" s="1428"/>
      <c r="AO116" s="996">
        <f>IF(AM116=0,0,(AN116-AM116)/AM116*100)</f>
        <v>0</v>
      </c>
      <c r="AP116" s="1428"/>
      <c r="AQ116" s="1428"/>
      <c r="AR116" s="996">
        <f>IF(AP116=0,0,(AQ116-AP116)/AP116*100)</f>
        <v>0</v>
      </c>
      <c r="AS116" s="1428"/>
      <c r="AT116" s="1428"/>
      <c r="AU116" s="996">
        <f>IF(AS116=0,0,(AT116-AS116)/AS116*100)</f>
        <v>0</v>
      </c>
      <c r="AV116" s="1428"/>
      <c r="AW116" s="1428"/>
      <c r="AX116" s="996">
        <f>IF(AV116=0,0,(AW116-AV116)/AV116*100)</f>
        <v>0</v>
      </c>
      <c r="AY116" s="1428"/>
      <c r="AZ116" s="1428"/>
      <c r="BA116" s="996">
        <f>IF(AY116=0,0,(AZ116-AY116)/AY116*100)</f>
        <v>0</v>
      </c>
      <c r="BB116" s="1428"/>
      <c r="BC116" s="1428"/>
      <c r="BD116" s="996">
        <f>IF(BB116=0,0,(BC116-BB116)/BB116*100)</f>
        <v>0</v>
      </c>
      <c r="BE116" s="1428"/>
      <c r="BF116" s="1428"/>
      <c r="BG116" s="996">
        <f>IF(BE116=0,0,(BF116-BE116)/BE116*100)</f>
        <v>0</v>
      </c>
      <c r="BH116" s="1428"/>
      <c r="BI116" s="1428"/>
      <c r="BJ116" s="996">
        <f>IF(BH116=0,0,(BI116-BH116)/BH116*100)</f>
        <v>0</v>
      </c>
      <c r="BK116" s="1428"/>
      <c r="BL116" s="1428"/>
      <c r="BM116" s="996">
        <f>IF(BK116=0,0,(BL116-BK116)/BK116*100)</f>
        <v>0</v>
      </c>
      <c r="BN116" s="1428"/>
      <c r="BO116" s="1428"/>
      <c r="BP116" s="996">
        <f>IF(BN116=0,0,(BO116-BN116)/BN116*100)</f>
        <v>0</v>
      </c>
      <c r="BQ116" s="1428"/>
      <c r="BR116" s="1428"/>
      <c r="BS116" s="996">
        <f>IF(BQ116=0,0,(BR116-BQ116)/BQ116*100)</f>
        <v>0</v>
      </c>
      <c r="BT116" s="1428"/>
      <c r="BU116" s="1428"/>
      <c r="BV116" s="996">
        <f>IF(BT116=0,0,(BU116-BT116)/BT116*100)</f>
        <v>0</v>
      </c>
      <c r="BW116" s="1428"/>
      <c r="BX116" s="1428"/>
      <c r="BY116" s="996">
        <f>IF(BW116=0,0,(BX116-BW116)/BW116*100)</f>
        <v>0</v>
      </c>
      <c r="BZ116" s="1428"/>
      <c r="CA116" s="1428"/>
      <c r="CB116" s="996">
        <f>IF(BZ116=0,0,(CA116-BZ116)/BZ116*100)</f>
        <v>0</v>
      </c>
      <c r="CC116" s="1428"/>
      <c r="CD116" s="1428"/>
      <c r="CE116" s="996">
        <f>IF(CC116=0,0,(CD116-CC116)/CC116*100)</f>
        <v>0</v>
      </c>
      <c r="CF116" s="1428"/>
      <c r="CG116" s="1428"/>
      <c r="CH116" s="996">
        <f>IF(CF116=0,0,(CG116-CF116)/CF116*100)</f>
        <v>0</v>
      </c>
      <c r="CI116" s="1428"/>
      <c r="CJ116" s="1428"/>
      <c r="CK116" s="996">
        <f>IF(CI116=0,0,(CJ116-CI116)/CI116*100)</f>
        <v>0</v>
      </c>
      <c r="CL116" s="1428"/>
      <c r="CM116" s="1428"/>
      <c r="CN116" s="996">
        <f>IF(CL116=0,0,(CM116-CL116)/CL116*100)</f>
        <v>0</v>
      </c>
      <c r="CO116" s="1428"/>
      <c r="CP116" s="1428"/>
      <c r="CQ116" s="996">
        <f>IF(CO116=0,0,(CP116-CO116)/CO116*100)</f>
        <v>0</v>
      </c>
      <c r="CR116" s="1428"/>
      <c r="CS116" s="1428"/>
      <c r="CT116" s="996">
        <f>IF(CR116=0,0,(CS116-CR116)/CR116*100)</f>
        <v>0</v>
      </c>
      <c r="CU116" s="1428"/>
      <c r="CV116" s="1428"/>
      <c r="CW116" s="996">
        <f>IF(CU116=0,0,(CV116-CU116)/CU116*100)</f>
        <v>0</v>
      </c>
      <c r="CX116" s="1428"/>
      <c r="CY116" s="1428"/>
      <c r="CZ116" s="996">
        <f>IF(CX116=0,0,(CY116-CX116)/CX116*100)</f>
        <v>0</v>
      </c>
      <c r="DA116" s="1428"/>
      <c r="DB116" s="1428"/>
      <c r="DC116" s="996">
        <f>IF(DA116=0,0,(DB116-DA116)/DA116*100)</f>
        <v>0</v>
      </c>
      <c r="DD116" s="1428"/>
      <c r="DE116" s="1428"/>
      <c r="DF116" s="996">
        <f>IF(DD116=0,0,(DE116-DD116)/DD116*100)</f>
        <v>0</v>
      </c>
      <c r="DG116" s="1428"/>
      <c r="DH116" s="1428"/>
      <c r="DI116" s="996">
        <f>IF(DG116=0,0,(DH116-DG116)/DG116*100)</f>
        <v>0</v>
      </c>
      <c r="DJ116" s="1428"/>
      <c r="DK116" s="1428"/>
      <c r="DL116" s="996">
        <f>IF(DJ116=0,0,(DK116-DJ116)/DJ116*100)</f>
        <v>0</v>
      </c>
      <c r="DM116" s="1428"/>
      <c r="DN116" s="1428"/>
      <c r="DO116" s="996">
        <f>IF(DM116=0,0,(DN116-DM116)/DM116*100)</f>
        <v>0</v>
      </c>
      <c r="DP116" s="1428"/>
      <c r="DQ116" s="1428"/>
      <c r="DR116" s="996">
        <f>IF(DP116=0,0,(DQ116-DP116)/DP116*100)</f>
        <v>0</v>
      </c>
      <c r="DS116" s="1428"/>
      <c r="DT116" s="1428"/>
      <c r="DU116" s="996">
        <f>IF(DS116=0,0,(DT116-DS116)/DS116*100)</f>
        <v>0</v>
      </c>
      <c r="DV116" s="1428"/>
      <c r="DW116" s="1428"/>
      <c r="DX116" s="996">
        <f>IF(DV116=0,0,(DW116-DV116)/DV116*100)</f>
        <v>0</v>
      </c>
      <c r="DY116" s="1428"/>
      <c r="DZ116" s="1428"/>
      <c r="EA116" s="996">
        <f>IF(DY116=0,0,(DZ116-DY116)/DY116*100)</f>
        <v>0</v>
      </c>
      <c r="EB116" s="1428"/>
      <c r="EC116" s="1428"/>
      <c r="ED116" s="996">
        <f>IF(EB116=0,0,(EC116-EB116)/EB116*100)</f>
        <v>0</v>
      </c>
      <c r="EE116" s="1428"/>
      <c r="EF116" s="1428"/>
      <c r="EG116" s="996">
        <f>IF(EE116=0,0,(EF116-EE116)/EE116*100)</f>
        <v>0</v>
      </c>
      <c r="EH116" s="1428"/>
      <c r="EI116" s="1428"/>
      <c r="EJ116" s="996">
        <f>IF(EH116=0,0,(EI116-EH116)/EH116*100)</f>
        <v>0</v>
      </c>
      <c r="EK116" s="1428"/>
      <c r="EL116" s="1428"/>
      <c r="EM116" s="996">
        <f>IF(EK116=0,0,(EL116-EK116)/EK116*100)</f>
        <v>0</v>
      </c>
      <c r="EN116" s="1428"/>
      <c r="EO116" s="1428"/>
      <c r="EP116" s="996">
        <f>IF(EN116=0,0,(EO116-EN116)/EN116*100)</f>
        <v>0</v>
      </c>
      <c r="EQ116" s="1428"/>
      <c r="ER116" s="1428"/>
      <c r="ES116" s="996">
        <f>IF(EQ116=0,0,(ER116-EQ116)/EQ116*100)</f>
        <v>0</v>
      </c>
      <c r="ET116" s="1428"/>
      <c r="EU116" s="1428"/>
      <c r="EV116" s="996">
        <f>IF(ET116=0,0,(EU116-ET116)/ET116*100)</f>
        <v>0</v>
      </c>
      <c r="EW116" s="1428"/>
      <c r="EX116" s="1428"/>
      <c r="EY116" s="996">
        <f>IF(EW116=0,0,(EX116-EW116)/EW116*100)</f>
        <v>0</v>
      </c>
      <c r="EZ116" s="1428"/>
      <c r="FA116" s="1428"/>
      <c r="FB116" s="996">
        <f>IF(EZ116=0,0,(FA116-EZ116)/EZ116*100)</f>
        <v>0</v>
      </c>
      <c r="FC116" s="1428"/>
      <c r="FD116" s="1428"/>
      <c r="FE116" s="996">
        <f>IF(FC116=0,0,(FD116-FC116)/FC116*100)</f>
        <v>0</v>
      </c>
      <c r="FF116" s="1428"/>
      <c r="FG116" s="1428"/>
      <c r="FH116" s="996">
        <f>IF(FF116=0,0,(FG116-FF116)/FF116*100)</f>
        <v>0</v>
      </c>
      <c r="FI116" s="1428"/>
      <c r="FJ116" s="1428"/>
      <c r="FK116" s="996">
        <f>IF(FI116=0,0,(FJ116-FI116)/FI116*100)</f>
        <v>0</v>
      </c>
      <c r="FL116" s="1428"/>
      <c r="FM116" s="1428"/>
      <c r="FN116" s="996">
        <f>IF(FL116=0,0,(FM116-FL116)/FL116*100)</f>
        <v>0</v>
      </c>
      <c r="FO116" s="1428"/>
      <c r="FP116" s="1428"/>
      <c r="FQ116" s="996">
        <f>IF(FO116=0,0,(FP116-FO116)/FO116*100)</f>
        <v>0</v>
      </c>
      <c r="FR116" s="1428"/>
      <c r="FS116" s="1428"/>
      <c r="FT116" s="996">
        <f>IF(FR116=0,0,(FS116-FR116)/FR116*100)</f>
        <v>0</v>
      </c>
      <c r="FU116" s="1428"/>
      <c r="FV116" s="1428"/>
      <c r="FW116" s="996">
        <f>IF(FU116=0,0,(FV116-FU116)/FU116*100)</f>
        <v>0</v>
      </c>
      <c r="FX116" s="1207"/>
      <c r="FY116" s="1207"/>
      <c r="FZ116" s="957" t="s">
        <v>1509</v>
      </c>
      <c r="GA116" s="1209"/>
      <c r="GB116" s="1209"/>
      <c r="GC116" s="1208"/>
      <c r="GD116" s="1208"/>
    </row>
    <row r="117" spans="1:186" s="1327" customFormat="1" ht="14.25" hidden="1" customHeight="1">
      <c r="A117" s="409"/>
      <c r="B117" s="830" t="b" cm="1">
        <f t="array" ref="B117">B116</f>
        <v>0</v>
      </c>
      <c r="C117" s="409"/>
      <c r="D117" s="409"/>
      <c r="E117" s="754">
        <v>15</v>
      </c>
      <c r="F117" s="3" t="str" cm="1">
        <f t="array" aca="1" ref="F117" ca="1">OFFSET(E117,-1,1)</f>
        <v>1</v>
      </c>
      <c r="G117" s="26" t="s">
        <v>1510</v>
      </c>
      <c r="H117" s="409" t="s">
        <v>1491</v>
      </c>
      <c r="I117" s="409" t="s">
        <v>1467</v>
      </c>
      <c r="J117" s="409"/>
      <c r="K117" s="409"/>
      <c r="L117" s="409"/>
      <c r="M117" s="409"/>
      <c r="N117" s="409"/>
      <c r="O117" s="409"/>
      <c r="P117" s="409"/>
      <c r="Q117" s="409"/>
      <c r="R117" s="409"/>
      <c r="S117" s="409"/>
      <c r="T117" s="381" t="b" cm="1">
        <f t="array" aca="1" ref="T117" ca="1">T116</f>
        <v>1</v>
      </c>
      <c r="U117" s="409"/>
      <c r="V117" s="409"/>
      <c r="W117" s="409"/>
      <c r="X117" s="1787"/>
      <c r="Y117" s="409"/>
      <c r="Z117" s="1734"/>
      <c r="AA117" s="409"/>
      <c r="AB117" s="994" t="str">
        <f>"объём "&amp;IF(Q85="Водоснабжение","потребления холодной воды","водоотведения")</f>
        <v>объём потребления холодной воды</v>
      </c>
      <c r="AC117" s="778" t="s">
        <v>499</v>
      </c>
      <c r="AD117" s="1426">
        <f ca="1">IF(AND(method_reg="Метод индексации",god&lt;&gt;first_year),SUMIFS(INDEX('Калькуляция (МИ корр)'!$AJ$25:$BC$315,,MATCH(AD$8,'Калькуляция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(МИ)'!$AJ$25:$BC$315,,MATCH(AD$8,'Калькуляция (МИ)'!$AJ$8:$BC$8,0)),'Калькуляция (МИ)'!$F$25:$F$315,$F117,'Калькуляция (МИ)'!$G$25:$G$315,$G117))))</f>
        <v>1.9317749999999998</v>
      </c>
      <c r="AE117" s="1426">
        <f ca="1">IF(AND(method_reg="Метод индексации",god&lt;&gt;first_year),SUMIFS(INDEX('Калькуляция (МИ корр)'!$AJ$25:$BC$315,,MATCH(AE$8,'Калькуляция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(МИ)'!$AJ$25:$BC$315,,MATCH(AE$8,'Калькуляция (МИ)'!$AJ$8:$BC$8,0)),'Калькуляция (МИ)'!$F$25:$F$315,$F117,'Калькуляция (МИ)'!$G$25:$G$315,$G117))))</f>
        <v>1.9317749999999998</v>
      </c>
      <c r="AF117" s="998">
        <f ca="1">IF(AD117=0,0,(AE117-AD117)/AD117*100)</f>
        <v>0</v>
      </c>
      <c r="AG117" s="1426">
        <f ca="1">IF(AND(method_reg="Метод индексации",god&lt;&gt;first_year),SUMIFS(INDEX('Калькуляция (МИ корр)'!$AJ$25:$BC$315,,MATCH(AG$8,'Калькуляция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(МИ)'!$AJ$25:$BC$315,,MATCH(AG$8,'Калькуляция (МИ)'!$AJ$8:$BC$8,0)),'Калькуляция (МИ)'!$F$25:$F$315,$F117,'Калькуляция (МИ)'!$G$25:$G$315,$G117))))</f>
        <v>1.9317749999999998</v>
      </c>
      <c r="AH117" s="1426">
        <f ca="1">IF(AND(method_reg="Метод индексации",god&lt;&gt;first_year),SUMIFS(INDEX('Калькуляция (МИ корр)'!$AJ$25:$BC$315,,MATCH(AH$8,'Калькуляция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(МИ)'!$AJ$25:$BC$315,,MATCH(AH$8,'Калькуляция (МИ)'!$AJ$8:$BC$8,0)),'Калькуляция (МИ)'!$F$25:$F$315,$F117,'Калькуляция (МИ)'!$G$25:$G$315,$G117))))</f>
        <v>1.9317749999999998</v>
      </c>
      <c r="AI117" s="998">
        <f ca="1">IF(AG117=0,0,(AH117-AG117)/AG117*100)</f>
        <v>0</v>
      </c>
      <c r="AJ117" s="1426">
        <f ca="1">IF(AND(method_reg="Метод индексации",god&lt;&gt;first_year),SUMIFS(INDEX('Калькуляция (МИ корр)'!$AJ$25:$BC$315,,MATCH(AJ$8,'Калькуляция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(МИ)'!$AJ$25:$BC$315,,MATCH(AJ$8,'Калькуляция (МИ)'!$AJ$8:$BC$8,0)),'Калькуляция (МИ)'!$F$25:$F$315,$F117,'Калькуляция (МИ)'!$G$25:$G$315,$G117))))</f>
        <v>1.9317749999999998</v>
      </c>
      <c r="AK117" s="1426">
        <f ca="1">IF(AND(method_reg="Метод индексации",god&lt;&gt;first_year),SUMIFS(INDEX('Калькуляция (МИ корр)'!$AJ$25:$BC$315,,MATCH(AK$8,'Калькуляция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(МИ)'!$AJ$25:$BC$315,,MATCH(AK$8,'Калькуляция (МИ)'!$AJ$8:$BC$8,0)),'Калькуляция (МИ)'!$F$25:$F$315,$F117,'Калькуляция (МИ)'!$G$25:$G$315,$G117))))</f>
        <v>1.9317749999999998</v>
      </c>
      <c r="AL117" s="998">
        <f ca="1">IF(AJ117=0,0,(AK117-AJ117)/AJ117*100)</f>
        <v>0</v>
      </c>
      <c r="AM117" s="1426">
        <f ca="1">IF(AND(method_reg="Метод индексации",god&lt;&gt;first_year),SUMIFS(INDEX('Калькуляция (МИ корр)'!$AJ$25:$BC$315,,MATCH(AM$8,'Калькуляция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(МИ)'!$AJ$25:$BC$315,,MATCH(AM$8,'Калькуляция (МИ)'!$AJ$8:$BC$8,0)),'Калькуляция (МИ)'!$F$25:$F$315,$F117,'Калькуляция (МИ)'!$G$25:$G$315,$G117))))</f>
        <v>1.9317749999999998</v>
      </c>
      <c r="AN117" s="1426">
        <f ca="1">IF(AND(method_reg="Метод индексации",god&lt;&gt;first_year),SUMIFS(INDEX('Калькуляция (МИ корр)'!$AJ$25:$BC$315,,MATCH(AN$8,'Калькуляция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(МИ)'!$AJ$25:$BC$315,,MATCH(AN$8,'Калькуляция (МИ)'!$AJ$8:$BC$8,0)),'Калькуляция (МИ)'!$F$25:$F$315,$F117,'Калькуляция (МИ)'!$G$25:$G$315,$G117))))</f>
        <v>1.9317749999999998</v>
      </c>
      <c r="AO117" s="998">
        <f ca="1">IF(AM117=0,0,(AN117-AM117)/AM117*100)</f>
        <v>0</v>
      </c>
      <c r="AP117" s="1426">
        <f ca="1">IF(AND(method_reg="Метод индексации",god&lt;&gt;first_year),SUMIFS(INDEX('Калькуляция (МИ корр)'!$AJ$25:$BC$315,,MATCH(AP$8,'Калькуляция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(МИ)'!$AJ$25:$BC$315,,MATCH(AP$8,'Калькуляция (МИ)'!$AJ$8:$BC$8,0)),'Калькуляция (МИ)'!$F$25:$F$315,$F117,'Калькуляция (МИ)'!$G$25:$G$315,$G117))))</f>
        <v>1.9317749999999998</v>
      </c>
      <c r="AQ117" s="1426">
        <f ca="1">IF(AND(method_reg="Метод индексации",god&lt;&gt;first_year),SUMIFS(INDEX('Калькуляция (МИ корр)'!$AJ$25:$BC$315,,MATCH(AQ$8,'Калькуляция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(МИ)'!$AJ$25:$BC$315,,MATCH(AQ$8,'Калькуляция (МИ)'!$AJ$8:$BC$8,0)),'Калькуляция (МИ)'!$F$25:$F$315,$F117,'Калькуляция (МИ)'!$G$25:$G$315,$G117))))</f>
        <v>1.9317749999999998</v>
      </c>
      <c r="AR117" s="998">
        <f ca="1">IF(AP117=0,0,(AQ117-AP117)/AP117*100)</f>
        <v>0</v>
      </c>
      <c r="AS117" s="1426">
        <f ca="1">IF(AND(method_reg="Метод индексации",god&lt;&gt;first_year),SUMIFS(INDEX('Калькуляция (МИ корр)'!$AJ$25:$BC$315,,MATCH(AS$8,'Калькуляция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(МИ)'!$AJ$25:$BC$315,,MATCH(AS$8,'Калькуляция (МИ)'!$AJ$8:$BC$8,0)),'Калькуляция (МИ)'!$F$25:$F$315,$F117,'Калькуляция (МИ)'!$G$25:$G$315,$G117))))</f>
        <v>1.9317749999999998</v>
      </c>
      <c r="AT117" s="1426">
        <f ca="1">IF(AND(method_reg="Метод индексации",god&lt;&gt;first_year),SUMIFS(INDEX('Калькуляция (МИ корр)'!$AJ$25:$BC$315,,MATCH(AT$8,'Калькуляция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(МИ)'!$AJ$25:$BC$315,,MATCH(AT$8,'Калькуляция (МИ)'!$AJ$8:$BC$8,0)),'Калькуляция (МИ)'!$F$25:$F$315,$F117,'Калькуляция (МИ)'!$G$25:$G$315,$G117))))</f>
        <v>1.9317749999999998</v>
      </c>
      <c r="AU117" s="998">
        <f ca="1">IF(AS117=0,0,(AT117-AS117)/AS117*100)</f>
        <v>0</v>
      </c>
      <c r="AV117" s="1426">
        <f ca="1">IF(AND(method_reg="Метод индексации",god&lt;&gt;first_year),SUMIFS(INDEX('Калькуляция (МИ корр)'!$AJ$25:$BC$315,,MATCH(AV$8,'Калькуляция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(МИ)'!$AJ$25:$BC$315,,MATCH(AV$8,'Калькуляция (МИ)'!$AJ$8:$BC$8,0)),'Калькуляция (МИ)'!$F$25:$F$315,$F117,'Калькуляция (МИ)'!$G$25:$G$315,$G117))))</f>
        <v>1.9317749999999998</v>
      </c>
      <c r="AW117" s="1426">
        <f ca="1">IF(AND(method_reg="Метод индексации",god&lt;&gt;first_year),SUMIFS(INDEX('Калькуляция (МИ корр)'!$AJ$25:$BC$315,,MATCH(AW$8,'Калькуляция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(МИ)'!$AJ$25:$BC$315,,MATCH(AW$8,'Калькуляция (МИ)'!$AJ$8:$BC$8,0)),'Калькуляция (МИ)'!$F$25:$F$315,$F117,'Калькуляция (МИ)'!$G$25:$G$315,$G117))))</f>
        <v>1.9317749999999998</v>
      </c>
      <c r="AX117" s="998">
        <f ca="1">IF(AV117=0,0,(AW117-AV117)/AV117*100)</f>
        <v>0</v>
      </c>
      <c r="AY117" s="1426">
        <f ca="1">IF(AND(method_reg="Метод индексации",god&lt;&gt;first_year),SUMIFS(INDEX('Калькуляция (МИ корр)'!$AJ$25:$BC$315,,MATCH(AY$8,'Калькуляция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(МИ)'!$AJ$25:$BC$315,,MATCH(AY$8,'Калькуляция (МИ)'!$AJ$8:$BC$8,0)),'Калькуляция (МИ)'!$F$25:$F$315,$F117,'Калькуляция (МИ)'!$G$25:$G$315,$G117))))</f>
        <v>1.9317749999999998</v>
      </c>
      <c r="AZ117" s="1426">
        <f ca="1">IF(AND(method_reg="Метод индексации",god&lt;&gt;first_year),SUMIFS(INDEX('Калькуляция (МИ корр)'!$AJ$25:$BC$315,,MATCH(AZ$8,'Калькуляция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(МИ)'!$AJ$25:$BC$315,,MATCH(AZ$8,'Калькуляция (МИ)'!$AJ$8:$BC$8,0)),'Калькуляция (МИ)'!$F$25:$F$315,$F117,'Калькуляция (МИ)'!$G$25:$G$315,$G117))))</f>
        <v>1.9317749999999998</v>
      </c>
      <c r="BA117" s="998">
        <f ca="1">IF(AY117=0,0,(AZ117-AY117)/AY117*100)</f>
        <v>0</v>
      </c>
      <c r="BB117" s="1426">
        <f ca="1">IF(AND(method_reg="Метод индексации",god&lt;&gt;first_year),SUMIFS(INDEX('Калькуляция (МИ корр)'!$AJ$25:$BC$315,,MATCH(BB$8,'Калькуляция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(МИ)'!$AJ$25:$BC$315,,MATCH(BB$8,'Калькуляция (МИ)'!$AJ$8:$BC$8,0)),'Калькуляция (МИ)'!$F$25:$F$315,$F117,'Калькуляция (МИ)'!$G$25:$G$315,$G117))))</f>
        <v>1.9317749999999998</v>
      </c>
      <c r="BC117" s="1426">
        <f ca="1">IF(AND(method_reg="Метод индексации",god&lt;&gt;first_year),SUMIFS(INDEX('Калькуляция (МИ корр)'!$AJ$25:$BC$315,,MATCH(BC$8,'Калькуляция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(МИ)'!$AJ$25:$BC$315,,MATCH(BC$8,'Калькуляция (МИ)'!$AJ$8:$BC$8,0)),'Калькуляция (МИ)'!$F$25:$F$315,$F117,'Калькуляция (МИ)'!$G$25:$G$315,$G117))))</f>
        <v>1.9317749999999998</v>
      </c>
      <c r="BD117" s="998">
        <f ca="1">IF(BB117=0,0,(BC117-BB117)/BB117*100)</f>
        <v>0</v>
      </c>
      <c r="BE117" s="1426">
        <f ca="1">IF(AND(method_reg="Метод индексации",god&lt;&gt;first_year),SUMIFS(INDEX('Калькуляция (МИ корр)'!$AJ$25:$BC$315,,MATCH(BE$8,'Калькуляция (МИ корр)'!$AJ$8:$BC$8,0)),'Калькуляция (МИ корр)'!$F$25:$F$315,$F117,'Калькуляция (МИ корр)'!$G$25:$G$315,$G117),IF(method_reg="Метод экономически обоснованных расходов",SUMIFS('Калькуляция (МЭОР)'!$AJ$25:$AJ$199,'Калькуляция (МЭОР)'!$F$25:$F$199,$F117,'Калькуляция (МЭОР)'!$G$25:$G$199,$G117),IF(method_reg="Метод сравнения аналогов",SUMIFS('Калькуляция (МСА)'!$AE$25:$AE$65,'Калькуляция (МСА)'!$F$25:$F$65,$F117,'Калькуляция (МСА)'!$G$25:$G$65,$G117),SUMIFS(INDEX('Калькуляция (МИ)'!$AJ$25:$BC$315,,MATCH(BE$8,'Калькуляция (МИ)'!$AJ$8:$BC$8,0)),'Калькуляция (МИ)'!$F$25:$F$315,$F117,'Калькуляция (МИ)'!$G$25:$G$315,$G117))))</f>
        <v>1.9317749999999998</v>
      </c>
      <c r="BF117" s="1426">
        <f ca="1">IF(AND(method_reg="Метод индексации",god&lt;&gt;first_year),SUMIFS(INDEX('Калькуляция (МИ корр)'!$AJ$25:$BC$315,,MATCH(BF$8,'Калькуляция (МИ корр)'!$AJ$8:$BC$8,0)),'Калькуляция (МИ корр)'!$F$25:$F$315,$F117,'Калькуляция (МИ корр)'!$G$25:$G$315,$G117),IF(method_reg="Метод экономически обоснованных расходов",SUMIFS('Калькуляция (МЭОР)'!$AK$25:$AK$199,'Калькуляция (МЭОР)'!$F$25:$F$199,$F117,'Калькуляция (МЭОР)'!$G$25:$G$199,$G117),IF(method_reg="Метод сравнения аналогов",SUMIFS('Калькуляция (МСА)'!$AF$25:$AF$65,'Калькуляция (МСА)'!$F$25:$F$65,$F117,'Калькуляция (МСА)'!$G$25:$G$65,$G117),SUMIFS(INDEX('Калькуляция (МИ)'!$AJ$25:$BC$315,,MATCH(BF$8,'Калькуляция (МИ)'!$AJ$8:$BC$8,0)),'Калькуляция (МИ)'!$F$25:$F$315,$F117,'Калькуляция (МИ)'!$G$25:$G$315,$G117))))</f>
        <v>1.9317749999999998</v>
      </c>
      <c r="BG117" s="998">
        <f ca="1">IF(BE117=0,0,(BF117-BE117)/BE117*100)</f>
        <v>0</v>
      </c>
      <c r="BH117" s="1426"/>
      <c r="BI117" s="1426"/>
      <c r="BJ117" s="998">
        <f>IF(BH117=0,0,(BI117-BH117)/BH117*100)</f>
        <v>0</v>
      </c>
      <c r="BK117" s="1426"/>
      <c r="BL117" s="1426"/>
      <c r="BM117" s="998">
        <f>IF(BK117=0,0,(BL117-BK117)/BK117*100)</f>
        <v>0</v>
      </c>
      <c r="BN117" s="1426"/>
      <c r="BO117" s="1426"/>
      <c r="BP117" s="998">
        <f>IF(BN117=0,0,(BO117-BN117)/BN117*100)</f>
        <v>0</v>
      </c>
      <c r="BQ117" s="1426"/>
      <c r="BR117" s="1426"/>
      <c r="BS117" s="998">
        <f>IF(BQ117=0,0,(BR117-BQ117)/BQ117*100)</f>
        <v>0</v>
      </c>
      <c r="BT117" s="1426"/>
      <c r="BU117" s="1426"/>
      <c r="BV117" s="998">
        <f>IF(BT117=0,0,(BU117-BT117)/BT117*100)</f>
        <v>0</v>
      </c>
      <c r="BW117" s="1426"/>
      <c r="BX117" s="1426"/>
      <c r="BY117" s="998">
        <f>IF(BW117=0,0,(BX117-BW117)/BW117*100)</f>
        <v>0</v>
      </c>
      <c r="BZ117" s="1426"/>
      <c r="CA117" s="1426"/>
      <c r="CB117" s="998">
        <f>IF(BZ117=0,0,(CA117-BZ117)/BZ117*100)</f>
        <v>0</v>
      </c>
      <c r="CC117" s="1426"/>
      <c r="CD117" s="1426"/>
      <c r="CE117" s="998">
        <f>IF(CC117=0,0,(CD117-CC117)/CC117*100)</f>
        <v>0</v>
      </c>
      <c r="CF117" s="1426"/>
      <c r="CG117" s="1426"/>
      <c r="CH117" s="998">
        <f>IF(CF117=0,0,(CG117-CF117)/CF117*100)</f>
        <v>0</v>
      </c>
      <c r="CI117" s="1426"/>
      <c r="CJ117" s="1426"/>
      <c r="CK117" s="998">
        <f>IF(CI117=0,0,(CJ117-CI117)/CI117*100)</f>
        <v>0</v>
      </c>
      <c r="CL117" s="1426"/>
      <c r="CM117" s="1426"/>
      <c r="CN117" s="998">
        <f>IF(CL117=0,0,(CM117-CL117)/CL117*100)</f>
        <v>0</v>
      </c>
      <c r="CO117" s="1426"/>
      <c r="CP117" s="1426"/>
      <c r="CQ117" s="998">
        <f>IF(CO117=0,0,(CP117-CO117)/CO117*100)</f>
        <v>0</v>
      </c>
      <c r="CR117" s="1426"/>
      <c r="CS117" s="1426"/>
      <c r="CT117" s="998">
        <f>IF(CR117=0,0,(CS117-CR117)/CR117*100)</f>
        <v>0</v>
      </c>
      <c r="CU117" s="1426"/>
      <c r="CV117" s="1426"/>
      <c r="CW117" s="998">
        <f>IF(CU117=0,0,(CV117-CU117)/CU117*100)</f>
        <v>0</v>
      </c>
      <c r="CX117" s="1426"/>
      <c r="CY117" s="1426"/>
      <c r="CZ117" s="998">
        <f>IF(CX117=0,0,(CY117-CX117)/CX117*100)</f>
        <v>0</v>
      </c>
      <c r="DA117" s="1426"/>
      <c r="DB117" s="1426"/>
      <c r="DC117" s="998">
        <f>IF(DA117=0,0,(DB117-DA117)/DA117*100)</f>
        <v>0</v>
      </c>
      <c r="DD117" s="1426"/>
      <c r="DE117" s="1426"/>
      <c r="DF117" s="998">
        <f>IF(DD117=0,0,(DE117-DD117)/DD117*100)</f>
        <v>0</v>
      </c>
      <c r="DG117" s="1426"/>
      <c r="DH117" s="1426"/>
      <c r="DI117" s="998">
        <f>IF(DG117=0,0,(DH117-DG117)/DG117*100)</f>
        <v>0</v>
      </c>
      <c r="DJ117" s="1426"/>
      <c r="DK117" s="1426"/>
      <c r="DL117" s="998">
        <f>IF(DJ117=0,0,(DK117-DJ117)/DJ117*100)</f>
        <v>0</v>
      </c>
      <c r="DM117" s="1426"/>
      <c r="DN117" s="1426"/>
      <c r="DO117" s="998">
        <f>IF(DM117=0,0,(DN117-DM117)/DM117*100)</f>
        <v>0</v>
      </c>
      <c r="DP117" s="1426"/>
      <c r="DQ117" s="1426"/>
      <c r="DR117" s="998">
        <f>IF(DP117=0,0,(DQ117-DP117)/DP117*100)</f>
        <v>0</v>
      </c>
      <c r="DS117" s="1426"/>
      <c r="DT117" s="1426"/>
      <c r="DU117" s="998">
        <f>IF(DS117=0,0,(DT117-DS117)/DS117*100)</f>
        <v>0</v>
      </c>
      <c r="DV117" s="1426"/>
      <c r="DW117" s="1426"/>
      <c r="DX117" s="998">
        <f>IF(DV117=0,0,(DW117-DV117)/DV117*100)</f>
        <v>0</v>
      </c>
      <c r="DY117" s="1426"/>
      <c r="DZ117" s="1426"/>
      <c r="EA117" s="998">
        <f>IF(DY117=0,0,(DZ117-DY117)/DY117*100)</f>
        <v>0</v>
      </c>
      <c r="EB117" s="1426"/>
      <c r="EC117" s="1426"/>
      <c r="ED117" s="998">
        <f>IF(EB117=0,0,(EC117-EB117)/EB117*100)</f>
        <v>0</v>
      </c>
      <c r="EE117" s="1426"/>
      <c r="EF117" s="1426"/>
      <c r="EG117" s="998">
        <f>IF(EE117=0,0,(EF117-EE117)/EE117*100)</f>
        <v>0</v>
      </c>
      <c r="EH117" s="1426"/>
      <c r="EI117" s="1426"/>
      <c r="EJ117" s="998">
        <f>IF(EH117=0,0,(EI117-EH117)/EH117*100)</f>
        <v>0</v>
      </c>
      <c r="EK117" s="1426"/>
      <c r="EL117" s="1426"/>
      <c r="EM117" s="998">
        <f>IF(EK117=0,0,(EL117-EK117)/EK117*100)</f>
        <v>0</v>
      </c>
      <c r="EN117" s="1426"/>
      <c r="EO117" s="1426"/>
      <c r="EP117" s="998">
        <f>IF(EN117=0,0,(EO117-EN117)/EN117*100)</f>
        <v>0</v>
      </c>
      <c r="EQ117" s="1426"/>
      <c r="ER117" s="1426"/>
      <c r="ES117" s="998">
        <f>IF(EQ117=0,0,(ER117-EQ117)/EQ117*100)</f>
        <v>0</v>
      </c>
      <c r="ET117" s="1426"/>
      <c r="EU117" s="1426"/>
      <c r="EV117" s="998">
        <f>IF(ET117=0,0,(EU117-ET117)/ET117*100)</f>
        <v>0</v>
      </c>
      <c r="EW117" s="1426"/>
      <c r="EX117" s="1426"/>
      <c r="EY117" s="998">
        <f>IF(EW117=0,0,(EX117-EW117)/EW117*100)</f>
        <v>0</v>
      </c>
      <c r="EZ117" s="1426"/>
      <c r="FA117" s="1426"/>
      <c r="FB117" s="998">
        <f>IF(EZ117=0,0,(FA117-EZ117)/EZ117*100)</f>
        <v>0</v>
      </c>
      <c r="FC117" s="1426"/>
      <c r="FD117" s="1426"/>
      <c r="FE117" s="998">
        <f>IF(FC117=0,0,(FD117-FC117)/FC117*100)</f>
        <v>0</v>
      </c>
      <c r="FF117" s="1426"/>
      <c r="FG117" s="1426"/>
      <c r="FH117" s="998">
        <f>IF(FF117=0,0,(FG117-FF117)/FF117*100)</f>
        <v>0</v>
      </c>
      <c r="FI117" s="1426"/>
      <c r="FJ117" s="1426"/>
      <c r="FK117" s="998">
        <f>IF(FI117=0,0,(FJ117-FI117)/FI117*100)</f>
        <v>0</v>
      </c>
      <c r="FL117" s="1426"/>
      <c r="FM117" s="1426"/>
      <c r="FN117" s="998">
        <f>IF(FL117=0,0,(FM117-FL117)/FL117*100)</f>
        <v>0</v>
      </c>
      <c r="FO117" s="1426"/>
      <c r="FP117" s="1426"/>
      <c r="FQ117" s="998">
        <f>IF(FO117=0,0,(FP117-FO117)/FO117*100)</f>
        <v>0</v>
      </c>
      <c r="FR117" s="1426"/>
      <c r="FS117" s="1426"/>
      <c r="FT117" s="998">
        <f>IF(FR117=0,0,(FS117-FR117)/FR117*100)</f>
        <v>0</v>
      </c>
      <c r="FU117" s="1426"/>
      <c r="FV117" s="1426"/>
      <c r="FW117" s="998">
        <f>IF(FU117=0,0,(FV117-FU117)/FU117*100)</f>
        <v>0</v>
      </c>
      <c r="FX117" s="1207"/>
      <c r="FY117" s="1207"/>
      <c r="FZ117" s="957" t="s">
        <v>1511</v>
      </c>
      <c r="GA117" s="1209"/>
      <c r="GB117" s="1209"/>
      <c r="GC117" s="1208"/>
      <c r="GD117" s="1208"/>
    </row>
    <row r="118" spans="1:186" s="1327" customFormat="1" ht="21.75" hidden="1" customHeight="1">
      <c r="A118" s="409"/>
      <c r="B118" s="830" t="b" cm="1">
        <f t="array" ref="B118">B117</f>
        <v>0</v>
      </c>
      <c r="C118" s="409"/>
      <c r="D118" s="409"/>
      <c r="E118" s="754">
        <v>22.5</v>
      </c>
      <c r="F118" s="3" t="str" cm="1">
        <f t="array" aca="1" ref="F118" ca="1">OFFSET(E118,-1,1)</f>
        <v>1</v>
      </c>
      <c r="G118" s="409"/>
      <c r="H118" s="409" t="s">
        <v>1493</v>
      </c>
      <c r="I118" s="409" t="s">
        <v>1467</v>
      </c>
      <c r="J118" s="409"/>
      <c r="K118" s="409"/>
      <c r="L118" s="409"/>
      <c r="M118" s="409"/>
      <c r="N118" s="409"/>
      <c r="O118" s="409"/>
      <c r="P118" s="409"/>
      <c r="Q118" s="409"/>
      <c r="R118" s="409"/>
      <c r="S118" s="409"/>
      <c r="T118" s="381" t="b" cm="1">
        <f t="array" aca="1" ref="T118" ca="1">T117</f>
        <v>1</v>
      </c>
      <c r="U118" s="409"/>
      <c r="V118" s="409"/>
      <c r="W118" s="409"/>
      <c r="X118" s="1787"/>
      <c r="Y118" s="409"/>
      <c r="Z118" s="1734"/>
      <c r="AA118" s="409"/>
      <c r="AB118" s="994"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778" t="s">
        <v>1494</v>
      </c>
      <c r="AD118" s="1428"/>
      <c r="AE118" s="1428"/>
      <c r="AF118" s="996">
        <f>IF(AD118=0,0,(AE118-AD118)/AD118*100)</f>
        <v>0</v>
      </c>
      <c r="AG118" s="1428"/>
      <c r="AH118" s="1428"/>
      <c r="AI118" s="996">
        <f>IF(AG118=0,0,(AH118-AG118)/AG118*100)</f>
        <v>0</v>
      </c>
      <c r="AJ118" s="1428"/>
      <c r="AK118" s="1428"/>
      <c r="AL118" s="996">
        <f>IF(AJ118=0,0,(AK118-AJ118)/AJ118*100)</f>
        <v>0</v>
      </c>
      <c r="AM118" s="1428"/>
      <c r="AN118" s="1428"/>
      <c r="AO118" s="996">
        <f>IF(AM118=0,0,(AN118-AM118)/AM118*100)</f>
        <v>0</v>
      </c>
      <c r="AP118" s="1428"/>
      <c r="AQ118" s="1428"/>
      <c r="AR118" s="996">
        <f>IF(AP118=0,0,(AQ118-AP118)/AP118*100)</f>
        <v>0</v>
      </c>
      <c r="AS118" s="1428"/>
      <c r="AT118" s="1428"/>
      <c r="AU118" s="996">
        <f>IF(AS118=0,0,(AT118-AS118)/AS118*100)</f>
        <v>0</v>
      </c>
      <c r="AV118" s="1428"/>
      <c r="AW118" s="1428"/>
      <c r="AX118" s="996">
        <f>IF(AV118=0,0,(AW118-AV118)/AV118*100)</f>
        <v>0</v>
      </c>
      <c r="AY118" s="1428"/>
      <c r="AZ118" s="1428"/>
      <c r="BA118" s="996">
        <f>IF(AY118=0,0,(AZ118-AY118)/AY118*100)</f>
        <v>0</v>
      </c>
      <c r="BB118" s="1428"/>
      <c r="BC118" s="1428"/>
      <c r="BD118" s="996">
        <f>IF(BB118=0,0,(BC118-BB118)/BB118*100)</f>
        <v>0</v>
      </c>
      <c r="BE118" s="1428"/>
      <c r="BF118" s="1428"/>
      <c r="BG118" s="996">
        <f>IF(BE118=0,0,(BF118-BE118)/BE118*100)</f>
        <v>0</v>
      </c>
      <c r="BH118" s="1428"/>
      <c r="BI118" s="1428"/>
      <c r="BJ118" s="996">
        <f>IF(BH118=0,0,(BI118-BH118)/BH118*100)</f>
        <v>0</v>
      </c>
      <c r="BK118" s="1428"/>
      <c r="BL118" s="1428"/>
      <c r="BM118" s="996">
        <f>IF(BK118=0,0,(BL118-BK118)/BK118*100)</f>
        <v>0</v>
      </c>
      <c r="BN118" s="1428"/>
      <c r="BO118" s="1428"/>
      <c r="BP118" s="996">
        <f>IF(BN118=0,0,(BO118-BN118)/BN118*100)</f>
        <v>0</v>
      </c>
      <c r="BQ118" s="1428"/>
      <c r="BR118" s="1428"/>
      <c r="BS118" s="996">
        <f>IF(BQ118=0,0,(BR118-BQ118)/BQ118*100)</f>
        <v>0</v>
      </c>
      <c r="BT118" s="1428"/>
      <c r="BU118" s="1428"/>
      <c r="BV118" s="996">
        <f>IF(BT118=0,0,(BU118-BT118)/BT118*100)</f>
        <v>0</v>
      </c>
      <c r="BW118" s="1428"/>
      <c r="BX118" s="1428"/>
      <c r="BY118" s="996">
        <f>IF(BW118=0,0,(BX118-BW118)/BW118*100)</f>
        <v>0</v>
      </c>
      <c r="BZ118" s="1428"/>
      <c r="CA118" s="1428"/>
      <c r="CB118" s="996">
        <f>IF(BZ118=0,0,(CA118-BZ118)/BZ118*100)</f>
        <v>0</v>
      </c>
      <c r="CC118" s="1428"/>
      <c r="CD118" s="1428"/>
      <c r="CE118" s="996">
        <f>IF(CC118=0,0,(CD118-CC118)/CC118*100)</f>
        <v>0</v>
      </c>
      <c r="CF118" s="1428"/>
      <c r="CG118" s="1428"/>
      <c r="CH118" s="996">
        <f>IF(CF118=0,0,(CG118-CF118)/CF118*100)</f>
        <v>0</v>
      </c>
      <c r="CI118" s="1428"/>
      <c r="CJ118" s="1428"/>
      <c r="CK118" s="996">
        <f>IF(CI118=0,0,(CJ118-CI118)/CI118*100)</f>
        <v>0</v>
      </c>
      <c r="CL118" s="1428"/>
      <c r="CM118" s="1428"/>
      <c r="CN118" s="996">
        <f>IF(CL118=0,0,(CM118-CL118)/CL118*100)</f>
        <v>0</v>
      </c>
      <c r="CO118" s="1428"/>
      <c r="CP118" s="1428"/>
      <c r="CQ118" s="996">
        <f>IF(CO118=0,0,(CP118-CO118)/CO118*100)</f>
        <v>0</v>
      </c>
      <c r="CR118" s="1428"/>
      <c r="CS118" s="1428"/>
      <c r="CT118" s="996">
        <f>IF(CR118=0,0,(CS118-CR118)/CR118*100)</f>
        <v>0</v>
      </c>
      <c r="CU118" s="1428"/>
      <c r="CV118" s="1428"/>
      <c r="CW118" s="996">
        <f>IF(CU118=0,0,(CV118-CU118)/CU118*100)</f>
        <v>0</v>
      </c>
      <c r="CX118" s="1428"/>
      <c r="CY118" s="1428"/>
      <c r="CZ118" s="996">
        <f>IF(CX118=0,0,(CY118-CX118)/CX118*100)</f>
        <v>0</v>
      </c>
      <c r="DA118" s="1428"/>
      <c r="DB118" s="1428"/>
      <c r="DC118" s="996">
        <f>IF(DA118=0,0,(DB118-DA118)/DA118*100)</f>
        <v>0</v>
      </c>
      <c r="DD118" s="1428"/>
      <c r="DE118" s="1428"/>
      <c r="DF118" s="996">
        <f>IF(DD118=0,0,(DE118-DD118)/DD118*100)</f>
        <v>0</v>
      </c>
      <c r="DG118" s="1428"/>
      <c r="DH118" s="1428"/>
      <c r="DI118" s="996">
        <f>IF(DG118=0,0,(DH118-DG118)/DG118*100)</f>
        <v>0</v>
      </c>
      <c r="DJ118" s="1428"/>
      <c r="DK118" s="1428"/>
      <c r="DL118" s="996">
        <f>IF(DJ118=0,0,(DK118-DJ118)/DJ118*100)</f>
        <v>0</v>
      </c>
      <c r="DM118" s="1428"/>
      <c r="DN118" s="1428"/>
      <c r="DO118" s="996">
        <f>IF(DM118=0,0,(DN118-DM118)/DM118*100)</f>
        <v>0</v>
      </c>
      <c r="DP118" s="1428"/>
      <c r="DQ118" s="1428"/>
      <c r="DR118" s="996">
        <f>IF(DP118=0,0,(DQ118-DP118)/DP118*100)</f>
        <v>0</v>
      </c>
      <c r="DS118" s="1428"/>
      <c r="DT118" s="1428"/>
      <c r="DU118" s="996">
        <f>IF(DS118=0,0,(DT118-DS118)/DS118*100)</f>
        <v>0</v>
      </c>
      <c r="DV118" s="1428"/>
      <c r="DW118" s="1428"/>
      <c r="DX118" s="996">
        <f>IF(DV118=0,0,(DW118-DV118)/DV118*100)</f>
        <v>0</v>
      </c>
      <c r="DY118" s="1428"/>
      <c r="DZ118" s="1428"/>
      <c r="EA118" s="996">
        <f>IF(DY118=0,0,(DZ118-DY118)/DY118*100)</f>
        <v>0</v>
      </c>
      <c r="EB118" s="1428"/>
      <c r="EC118" s="1428"/>
      <c r="ED118" s="996">
        <f>IF(EB118=0,0,(EC118-EB118)/EB118*100)</f>
        <v>0</v>
      </c>
      <c r="EE118" s="1428"/>
      <c r="EF118" s="1428"/>
      <c r="EG118" s="996">
        <f>IF(EE118=0,0,(EF118-EE118)/EE118*100)</f>
        <v>0</v>
      </c>
      <c r="EH118" s="1428"/>
      <c r="EI118" s="1428"/>
      <c r="EJ118" s="996">
        <f>IF(EH118=0,0,(EI118-EH118)/EH118*100)</f>
        <v>0</v>
      </c>
      <c r="EK118" s="1428"/>
      <c r="EL118" s="1428"/>
      <c r="EM118" s="996">
        <f>IF(EK118=0,0,(EL118-EK118)/EK118*100)</f>
        <v>0</v>
      </c>
      <c r="EN118" s="1428"/>
      <c r="EO118" s="1428"/>
      <c r="EP118" s="996">
        <f>IF(EN118=0,0,(EO118-EN118)/EN118*100)</f>
        <v>0</v>
      </c>
      <c r="EQ118" s="1428"/>
      <c r="ER118" s="1428"/>
      <c r="ES118" s="996">
        <f>IF(EQ118=0,0,(ER118-EQ118)/EQ118*100)</f>
        <v>0</v>
      </c>
      <c r="ET118" s="1428"/>
      <c r="EU118" s="1428"/>
      <c r="EV118" s="996">
        <f>IF(ET118=0,0,(EU118-ET118)/ET118*100)</f>
        <v>0</v>
      </c>
      <c r="EW118" s="1428"/>
      <c r="EX118" s="1428"/>
      <c r="EY118" s="996">
        <f>IF(EW118=0,0,(EX118-EW118)/EW118*100)</f>
        <v>0</v>
      </c>
      <c r="EZ118" s="1428"/>
      <c r="FA118" s="1428"/>
      <c r="FB118" s="996">
        <f>IF(EZ118=0,0,(FA118-EZ118)/EZ118*100)</f>
        <v>0</v>
      </c>
      <c r="FC118" s="1428"/>
      <c r="FD118" s="1428"/>
      <c r="FE118" s="996">
        <f>IF(FC118=0,0,(FD118-FC118)/FC118*100)</f>
        <v>0</v>
      </c>
      <c r="FF118" s="1428"/>
      <c r="FG118" s="1428"/>
      <c r="FH118" s="996">
        <f>IF(FF118=0,0,(FG118-FF118)/FF118*100)</f>
        <v>0</v>
      </c>
      <c r="FI118" s="1428"/>
      <c r="FJ118" s="1428"/>
      <c r="FK118" s="996">
        <f>IF(FI118=0,0,(FJ118-FI118)/FI118*100)</f>
        <v>0</v>
      </c>
      <c r="FL118" s="1428"/>
      <c r="FM118" s="1428"/>
      <c r="FN118" s="996">
        <f>IF(FL118=0,0,(FM118-FL118)/FL118*100)</f>
        <v>0</v>
      </c>
      <c r="FO118" s="1428"/>
      <c r="FP118" s="1428"/>
      <c r="FQ118" s="996">
        <f>IF(FO118=0,0,(FP118-FO118)/FO118*100)</f>
        <v>0</v>
      </c>
      <c r="FR118" s="1428"/>
      <c r="FS118" s="1428"/>
      <c r="FT118" s="996">
        <f>IF(FR118=0,0,(FS118-FR118)/FR118*100)</f>
        <v>0</v>
      </c>
      <c r="FU118" s="1428"/>
      <c r="FV118" s="1428"/>
      <c r="FW118" s="996">
        <f>IF(FU118=0,0,(FV118-FU118)/FU118*100)</f>
        <v>0</v>
      </c>
      <c r="FX118" s="1207"/>
      <c r="FY118" s="1207"/>
      <c r="FZ118" s="957" t="s">
        <v>1512</v>
      </c>
      <c r="GA118" s="1209"/>
      <c r="GB118" s="1209"/>
      <c r="GC118" s="1208"/>
      <c r="GD118" s="1208"/>
    </row>
    <row r="119" spans="1:186" s="1327" customFormat="1" ht="14.25" hidden="1" customHeight="1">
      <c r="A119" s="409"/>
      <c r="B119" s="830" t="b" cm="1">
        <f t="array" ref="B119">B118</f>
        <v>0</v>
      </c>
      <c r="C119" s="409"/>
      <c r="D119" s="409"/>
      <c r="E119" s="754">
        <v>15</v>
      </c>
      <c r="F119" s="3" t="str" cm="1">
        <f t="array" aca="1" ref="F119" ca="1">OFFSET(E119,-1,1)</f>
        <v>1</v>
      </c>
      <c r="G119" s="409"/>
      <c r="H119" s="409" t="s">
        <v>1496</v>
      </c>
      <c r="I119" s="409" t="s">
        <v>1467</v>
      </c>
      <c r="J119" s="409"/>
      <c r="K119" s="409"/>
      <c r="L119" s="409"/>
      <c r="M119" s="409"/>
      <c r="N119" s="409"/>
      <c r="O119" s="409"/>
      <c r="P119" s="409"/>
      <c r="Q119" s="409"/>
      <c r="R119" s="409"/>
      <c r="S119" s="409"/>
      <c r="T119" s="381" t="b" cm="1">
        <f t="array" aca="1" ref="T119" ca="1">T118</f>
        <v>1</v>
      </c>
      <c r="U119" s="409"/>
      <c r="V119" s="409"/>
      <c r="W119" s="409"/>
      <c r="X119" s="1787"/>
      <c r="Y119" s="409"/>
      <c r="Z119" s="1734"/>
      <c r="AA119" s="409"/>
      <c r="AB119" s="994" t="s">
        <v>1497</v>
      </c>
      <c r="AC119" s="778" t="s">
        <v>1498</v>
      </c>
      <c r="AD119" s="1428"/>
      <c r="AE119" s="1428"/>
      <c r="AF119" s="996">
        <f>IF(AD119=0,0,(AE119-AD119)/AD119*100)</f>
        <v>0</v>
      </c>
      <c r="AG119" s="1428"/>
      <c r="AH119" s="1428"/>
      <c r="AI119" s="996">
        <f>IF(AG119=0,0,(AH119-AG119)/AG119*100)</f>
        <v>0</v>
      </c>
      <c r="AJ119" s="1428"/>
      <c r="AK119" s="1428"/>
      <c r="AL119" s="996">
        <f>IF(AJ119=0,0,(AK119-AJ119)/AJ119*100)</f>
        <v>0</v>
      </c>
      <c r="AM119" s="1428"/>
      <c r="AN119" s="1428"/>
      <c r="AO119" s="996">
        <f>IF(AM119=0,0,(AN119-AM119)/AM119*100)</f>
        <v>0</v>
      </c>
      <c r="AP119" s="1428"/>
      <c r="AQ119" s="1428"/>
      <c r="AR119" s="996">
        <f>IF(AP119=0,0,(AQ119-AP119)/AP119*100)</f>
        <v>0</v>
      </c>
      <c r="AS119" s="1428"/>
      <c r="AT119" s="1428"/>
      <c r="AU119" s="996">
        <f>IF(AS119=0,0,(AT119-AS119)/AS119*100)</f>
        <v>0</v>
      </c>
      <c r="AV119" s="1428"/>
      <c r="AW119" s="1428"/>
      <c r="AX119" s="996">
        <f>IF(AV119=0,0,(AW119-AV119)/AV119*100)</f>
        <v>0</v>
      </c>
      <c r="AY119" s="1428"/>
      <c r="AZ119" s="1428"/>
      <c r="BA119" s="996">
        <f>IF(AY119=0,0,(AZ119-AY119)/AY119*100)</f>
        <v>0</v>
      </c>
      <c r="BB119" s="1428"/>
      <c r="BC119" s="1428"/>
      <c r="BD119" s="996">
        <f>IF(BB119=0,0,(BC119-BB119)/BB119*100)</f>
        <v>0</v>
      </c>
      <c r="BE119" s="1428"/>
      <c r="BF119" s="1428"/>
      <c r="BG119" s="996">
        <f>IF(BE119=0,0,(BF119-BE119)/BE119*100)</f>
        <v>0</v>
      </c>
      <c r="BH119" s="1428"/>
      <c r="BI119" s="1428"/>
      <c r="BJ119" s="996">
        <f>IF(BH119=0,0,(BI119-BH119)/BH119*100)</f>
        <v>0</v>
      </c>
      <c r="BK119" s="1428"/>
      <c r="BL119" s="1428"/>
      <c r="BM119" s="996">
        <f>IF(BK119=0,0,(BL119-BK119)/BK119*100)</f>
        <v>0</v>
      </c>
      <c r="BN119" s="1428"/>
      <c r="BO119" s="1428"/>
      <c r="BP119" s="996">
        <f>IF(BN119=0,0,(BO119-BN119)/BN119*100)</f>
        <v>0</v>
      </c>
      <c r="BQ119" s="1428"/>
      <c r="BR119" s="1428"/>
      <c r="BS119" s="996">
        <f>IF(BQ119=0,0,(BR119-BQ119)/BQ119*100)</f>
        <v>0</v>
      </c>
      <c r="BT119" s="1428"/>
      <c r="BU119" s="1428"/>
      <c r="BV119" s="996">
        <f>IF(BT119=0,0,(BU119-BT119)/BT119*100)</f>
        <v>0</v>
      </c>
      <c r="BW119" s="1428"/>
      <c r="BX119" s="1428"/>
      <c r="BY119" s="996">
        <f>IF(BW119=0,0,(BX119-BW119)/BW119*100)</f>
        <v>0</v>
      </c>
      <c r="BZ119" s="1428"/>
      <c r="CA119" s="1428"/>
      <c r="CB119" s="996">
        <f>IF(BZ119=0,0,(CA119-BZ119)/BZ119*100)</f>
        <v>0</v>
      </c>
      <c r="CC119" s="1428"/>
      <c r="CD119" s="1428"/>
      <c r="CE119" s="996">
        <f>IF(CC119=0,0,(CD119-CC119)/CC119*100)</f>
        <v>0</v>
      </c>
      <c r="CF119" s="1428"/>
      <c r="CG119" s="1428"/>
      <c r="CH119" s="996">
        <f>IF(CF119=0,0,(CG119-CF119)/CF119*100)</f>
        <v>0</v>
      </c>
      <c r="CI119" s="1428"/>
      <c r="CJ119" s="1428"/>
      <c r="CK119" s="996">
        <f>IF(CI119=0,0,(CJ119-CI119)/CI119*100)</f>
        <v>0</v>
      </c>
      <c r="CL119" s="1428"/>
      <c r="CM119" s="1428"/>
      <c r="CN119" s="996">
        <f>IF(CL119=0,0,(CM119-CL119)/CL119*100)</f>
        <v>0</v>
      </c>
      <c r="CO119" s="1428"/>
      <c r="CP119" s="1428"/>
      <c r="CQ119" s="996">
        <f>IF(CO119=0,0,(CP119-CO119)/CO119*100)</f>
        <v>0</v>
      </c>
      <c r="CR119" s="1428"/>
      <c r="CS119" s="1428"/>
      <c r="CT119" s="996">
        <f>IF(CR119=0,0,(CS119-CR119)/CR119*100)</f>
        <v>0</v>
      </c>
      <c r="CU119" s="1428"/>
      <c r="CV119" s="1428"/>
      <c r="CW119" s="996">
        <f>IF(CU119=0,0,(CV119-CU119)/CU119*100)</f>
        <v>0</v>
      </c>
      <c r="CX119" s="1428"/>
      <c r="CY119" s="1428"/>
      <c r="CZ119" s="996">
        <f>IF(CX119=0,0,(CY119-CX119)/CX119*100)</f>
        <v>0</v>
      </c>
      <c r="DA119" s="1428"/>
      <c r="DB119" s="1428"/>
      <c r="DC119" s="996">
        <f>IF(DA119=0,0,(DB119-DA119)/DA119*100)</f>
        <v>0</v>
      </c>
      <c r="DD119" s="1428"/>
      <c r="DE119" s="1428"/>
      <c r="DF119" s="996">
        <f>IF(DD119=0,0,(DE119-DD119)/DD119*100)</f>
        <v>0</v>
      </c>
      <c r="DG119" s="1428"/>
      <c r="DH119" s="1428"/>
      <c r="DI119" s="996">
        <f>IF(DG119=0,0,(DH119-DG119)/DG119*100)</f>
        <v>0</v>
      </c>
      <c r="DJ119" s="1428"/>
      <c r="DK119" s="1428"/>
      <c r="DL119" s="996">
        <f>IF(DJ119=0,0,(DK119-DJ119)/DJ119*100)</f>
        <v>0</v>
      </c>
      <c r="DM119" s="1428"/>
      <c r="DN119" s="1428"/>
      <c r="DO119" s="996">
        <f>IF(DM119=0,0,(DN119-DM119)/DM119*100)</f>
        <v>0</v>
      </c>
      <c r="DP119" s="1428"/>
      <c r="DQ119" s="1428"/>
      <c r="DR119" s="996">
        <f>IF(DP119=0,0,(DQ119-DP119)/DP119*100)</f>
        <v>0</v>
      </c>
      <c r="DS119" s="1428"/>
      <c r="DT119" s="1428"/>
      <c r="DU119" s="996">
        <f>IF(DS119=0,0,(DT119-DS119)/DS119*100)</f>
        <v>0</v>
      </c>
      <c r="DV119" s="1428"/>
      <c r="DW119" s="1428"/>
      <c r="DX119" s="996">
        <f>IF(DV119=0,0,(DW119-DV119)/DV119*100)</f>
        <v>0</v>
      </c>
      <c r="DY119" s="1428"/>
      <c r="DZ119" s="1428"/>
      <c r="EA119" s="996">
        <f>IF(DY119=0,0,(DZ119-DY119)/DY119*100)</f>
        <v>0</v>
      </c>
      <c r="EB119" s="1428"/>
      <c r="EC119" s="1428"/>
      <c r="ED119" s="996">
        <f>IF(EB119=0,0,(EC119-EB119)/EB119*100)</f>
        <v>0</v>
      </c>
      <c r="EE119" s="1428"/>
      <c r="EF119" s="1428"/>
      <c r="EG119" s="996">
        <f>IF(EE119=0,0,(EF119-EE119)/EE119*100)</f>
        <v>0</v>
      </c>
      <c r="EH119" s="1428"/>
      <c r="EI119" s="1428"/>
      <c r="EJ119" s="996">
        <f>IF(EH119=0,0,(EI119-EH119)/EH119*100)</f>
        <v>0</v>
      </c>
      <c r="EK119" s="1428"/>
      <c r="EL119" s="1428"/>
      <c r="EM119" s="996">
        <f>IF(EK119=0,0,(EL119-EK119)/EK119*100)</f>
        <v>0</v>
      </c>
      <c r="EN119" s="1428"/>
      <c r="EO119" s="1428"/>
      <c r="EP119" s="996">
        <f>IF(EN119=0,0,(EO119-EN119)/EN119*100)</f>
        <v>0</v>
      </c>
      <c r="EQ119" s="1428"/>
      <c r="ER119" s="1428"/>
      <c r="ES119" s="996">
        <f>IF(EQ119=0,0,(ER119-EQ119)/EQ119*100)</f>
        <v>0</v>
      </c>
      <c r="ET119" s="1428"/>
      <c r="EU119" s="1428"/>
      <c r="EV119" s="996">
        <f>IF(ET119=0,0,(EU119-ET119)/ET119*100)</f>
        <v>0</v>
      </c>
      <c r="EW119" s="1428"/>
      <c r="EX119" s="1428"/>
      <c r="EY119" s="996">
        <f>IF(EW119=0,0,(EX119-EW119)/EW119*100)</f>
        <v>0</v>
      </c>
      <c r="EZ119" s="1428"/>
      <c r="FA119" s="1428"/>
      <c r="FB119" s="996">
        <f>IF(EZ119=0,0,(FA119-EZ119)/EZ119*100)</f>
        <v>0</v>
      </c>
      <c r="FC119" s="1428"/>
      <c r="FD119" s="1428"/>
      <c r="FE119" s="996">
        <f>IF(FC119=0,0,(FD119-FC119)/FC119*100)</f>
        <v>0</v>
      </c>
      <c r="FF119" s="1428"/>
      <c r="FG119" s="1428"/>
      <c r="FH119" s="996">
        <f>IF(FF119=0,0,(FG119-FF119)/FF119*100)</f>
        <v>0</v>
      </c>
      <c r="FI119" s="1428"/>
      <c r="FJ119" s="1428"/>
      <c r="FK119" s="996">
        <f>IF(FI119=0,0,(FJ119-FI119)/FI119*100)</f>
        <v>0</v>
      </c>
      <c r="FL119" s="1428"/>
      <c r="FM119" s="1428"/>
      <c r="FN119" s="996">
        <f>IF(FL119=0,0,(FM119-FL119)/FL119*100)</f>
        <v>0</v>
      </c>
      <c r="FO119" s="1428"/>
      <c r="FP119" s="1428"/>
      <c r="FQ119" s="996">
        <f>IF(FO119=0,0,(FP119-FO119)/FO119*100)</f>
        <v>0</v>
      </c>
      <c r="FR119" s="1428"/>
      <c r="FS119" s="1428"/>
      <c r="FT119" s="996">
        <f>IF(FR119=0,0,(FS119-FR119)/FR119*100)</f>
        <v>0</v>
      </c>
      <c r="FU119" s="1428"/>
      <c r="FV119" s="1428"/>
      <c r="FW119" s="996">
        <f>IF(FU119=0,0,(FV119-FU119)/FU119*100)</f>
        <v>0</v>
      </c>
      <c r="FX119" s="1207"/>
      <c r="FY119" s="1207"/>
      <c r="FZ119" s="957" t="s">
        <v>1513</v>
      </c>
      <c r="GA119" s="1209"/>
      <c r="GB119" s="1209"/>
      <c r="GC119" s="1208"/>
      <c r="GD119" s="1208"/>
    </row>
    <row r="120" spans="1:186" s="1327" customFormat="1" ht="23.25" hidden="1" customHeight="1">
      <c r="A120" s="409"/>
      <c r="B120" s="830" t="b" cm="1">
        <f t="array" ref="B120">B119</f>
        <v>0</v>
      </c>
      <c r="C120" s="409"/>
      <c r="D120" s="409"/>
      <c r="E120" s="754">
        <v>24.5</v>
      </c>
      <c r="F120" s="3" t="str" cm="1">
        <f t="array" aca="1" ref="F120" ca="1">OFFSET(E120,-1,1)</f>
        <v>1</v>
      </c>
      <c r="G120" s="409"/>
      <c r="H120" s="409"/>
      <c r="I120" s="409"/>
      <c r="J120" s="409"/>
      <c r="K120" s="409"/>
      <c r="L120" s="409"/>
      <c r="M120" s="409"/>
      <c r="N120" s="409"/>
      <c r="O120" s="409"/>
      <c r="P120" s="409"/>
      <c r="Q120" s="409"/>
      <c r="R120" s="409"/>
      <c r="S120" s="409"/>
      <c r="T120" s="381" t="b" cm="1">
        <f t="array" aca="1" ref="T120" ca="1">T119</f>
        <v>1</v>
      </c>
      <c r="U120" s="409"/>
      <c r="V120" s="409"/>
      <c r="W120" s="409"/>
      <c r="X120" s="1787"/>
      <c r="Y120" s="409"/>
      <c r="Z120" s="1734"/>
      <c r="AA120" s="409"/>
      <c r="AB120" s="209" t="s">
        <v>1514</v>
      </c>
      <c r="AC120" s="810"/>
      <c r="AD120" s="1003"/>
      <c r="AE120" s="1003"/>
      <c r="AF120" s="1003"/>
      <c r="AG120" s="1003"/>
      <c r="AH120" s="1003"/>
      <c r="AI120" s="1003"/>
      <c r="AJ120" s="1003"/>
      <c r="AK120" s="1003"/>
      <c r="AL120" s="1003"/>
      <c r="AM120" s="1003"/>
      <c r="AN120" s="1003"/>
      <c r="AO120" s="1003"/>
      <c r="AP120" s="1003"/>
      <c r="AQ120" s="1003"/>
      <c r="AR120" s="1003"/>
      <c r="AS120" s="1003"/>
      <c r="AT120" s="1003"/>
      <c r="AU120" s="1003"/>
      <c r="AV120" s="1003"/>
      <c r="AW120" s="1003"/>
      <c r="AX120" s="1003"/>
      <c r="AY120" s="1003"/>
      <c r="AZ120" s="1003"/>
      <c r="BA120" s="1003"/>
      <c r="BB120" s="1003"/>
      <c r="BC120" s="1003"/>
      <c r="BD120" s="1003"/>
      <c r="BE120" s="1003"/>
      <c r="BF120" s="1003"/>
      <c r="BG120" s="1003"/>
      <c r="BH120" s="1003"/>
      <c r="BI120" s="1003"/>
      <c r="BJ120" s="1003"/>
      <c r="BK120" s="1003"/>
      <c r="BL120" s="1003"/>
      <c r="BM120" s="1003"/>
      <c r="BN120" s="1003"/>
      <c r="BO120" s="1003"/>
      <c r="BP120" s="1003"/>
      <c r="BQ120" s="1003"/>
      <c r="BR120" s="1003"/>
      <c r="BS120" s="1003"/>
      <c r="BT120" s="1003"/>
      <c r="BU120" s="1003"/>
      <c r="BV120" s="1003"/>
      <c r="BW120" s="1003"/>
      <c r="BX120" s="1003"/>
      <c r="BY120" s="1003"/>
      <c r="BZ120" s="1003"/>
      <c r="CA120" s="1003"/>
      <c r="CB120" s="1003"/>
      <c r="CC120" s="1003"/>
      <c r="CD120" s="1003"/>
      <c r="CE120" s="1003"/>
      <c r="CF120" s="1003"/>
      <c r="CG120" s="1003"/>
      <c r="CH120" s="1003"/>
      <c r="CI120" s="1003"/>
      <c r="CJ120" s="1003"/>
      <c r="CK120" s="1003"/>
      <c r="CL120" s="1003"/>
      <c r="CM120" s="1003"/>
      <c r="CN120" s="1003"/>
      <c r="CO120" s="1003"/>
      <c r="CP120" s="1003"/>
      <c r="CQ120" s="1003"/>
      <c r="CR120" s="1003"/>
      <c r="CS120" s="1003"/>
      <c r="CT120" s="1003"/>
      <c r="CU120" s="1003"/>
      <c r="CV120" s="1003"/>
      <c r="CW120" s="1003"/>
      <c r="CX120" s="1003"/>
      <c r="CY120" s="1003"/>
      <c r="CZ120" s="1003"/>
      <c r="DA120" s="1003"/>
      <c r="DB120" s="1003"/>
      <c r="DC120" s="1003"/>
      <c r="DD120" s="1003"/>
      <c r="DE120" s="1003"/>
      <c r="DF120" s="1003"/>
      <c r="DG120" s="1003"/>
      <c r="DH120" s="1003"/>
      <c r="DI120" s="1003"/>
      <c r="DJ120" s="1003"/>
      <c r="DK120" s="1003"/>
      <c r="DL120" s="1003"/>
      <c r="DM120" s="1003"/>
      <c r="DN120" s="1003"/>
      <c r="DO120" s="1003"/>
      <c r="DP120" s="1003"/>
      <c r="DQ120" s="1003"/>
      <c r="DR120" s="1003"/>
      <c r="DS120" s="1003"/>
      <c r="DT120" s="1003"/>
      <c r="DU120" s="1003"/>
      <c r="DV120" s="1003"/>
      <c r="DW120" s="1003"/>
      <c r="DX120" s="1003"/>
      <c r="DY120" s="1003"/>
      <c r="DZ120" s="1003"/>
      <c r="EA120" s="1003"/>
      <c r="EB120" s="1003"/>
      <c r="EC120" s="1003"/>
      <c r="ED120" s="1003"/>
      <c r="EE120" s="1003"/>
      <c r="EF120" s="1003"/>
      <c r="EG120" s="1003"/>
      <c r="EH120" s="1003"/>
      <c r="EI120" s="1003"/>
      <c r="EJ120" s="1003"/>
      <c r="EK120" s="1003"/>
      <c r="EL120" s="1003"/>
      <c r="EM120" s="1003"/>
      <c r="EN120" s="1003"/>
      <c r="EO120" s="1003"/>
      <c r="EP120" s="1003"/>
      <c r="EQ120" s="1003"/>
      <c r="ER120" s="1003"/>
      <c r="ES120" s="1003"/>
      <c r="ET120" s="1003"/>
      <c r="EU120" s="1003"/>
      <c r="EV120" s="1003"/>
      <c r="EW120" s="1003"/>
      <c r="EX120" s="1003"/>
      <c r="EY120" s="1003"/>
      <c r="EZ120" s="1003"/>
      <c r="FA120" s="1003"/>
      <c r="FB120" s="1003"/>
      <c r="FC120" s="1003"/>
      <c r="FD120" s="1003"/>
      <c r="FE120" s="1003"/>
      <c r="FF120" s="1003"/>
      <c r="FG120" s="1003"/>
      <c r="FH120" s="1003"/>
      <c r="FI120" s="1003"/>
      <c r="FJ120" s="1003"/>
      <c r="FK120" s="1003"/>
      <c r="FL120" s="1003"/>
      <c r="FM120" s="1003"/>
      <c r="FN120" s="1003"/>
      <c r="FO120" s="1003"/>
      <c r="FP120" s="1003"/>
      <c r="FQ120" s="1003"/>
      <c r="FR120" s="1003"/>
      <c r="FS120" s="1003"/>
      <c r="FT120" s="1003"/>
      <c r="FU120" s="1003"/>
      <c r="FV120" s="1003"/>
      <c r="FW120" s="1004"/>
      <c r="FX120" s="1207"/>
      <c r="FY120" s="1207"/>
      <c r="FZ120" s="957"/>
      <c r="GA120" s="1209"/>
      <c r="GB120" s="1209"/>
      <c r="GC120" s="1208"/>
      <c r="GD120" s="1208"/>
    </row>
    <row r="121" spans="1:186" s="1327" customFormat="1" ht="14.25" hidden="1" customHeight="1">
      <c r="A121" s="409"/>
      <c r="B121" s="830" t="b" cm="1">
        <f t="array" ref="B121">B120</f>
        <v>0</v>
      </c>
      <c r="C121" s="409"/>
      <c r="D121" s="409"/>
      <c r="E121" s="754">
        <v>15</v>
      </c>
      <c r="F121" s="3" t="str" cm="1">
        <f t="array" aca="1" ref="F121" ca="1">OFFSET(E121,-1,1)</f>
        <v>1</v>
      </c>
      <c r="G121" s="409"/>
      <c r="H121" s="409" t="s">
        <v>1412</v>
      </c>
      <c r="I121" s="409" t="s">
        <v>1471</v>
      </c>
      <c r="J121" s="409"/>
      <c r="K121" s="409"/>
      <c r="L121" s="409"/>
      <c r="M121" s="409"/>
      <c r="N121" s="409"/>
      <c r="O121" s="409"/>
      <c r="P121" s="409"/>
      <c r="Q121" s="409"/>
      <c r="R121" s="409"/>
      <c r="S121" s="409"/>
      <c r="T121" s="381" t="b" cm="1">
        <f t="array" aca="1" ref="T121" ca="1">T120</f>
        <v>1</v>
      </c>
      <c r="U121" s="409"/>
      <c r="V121" s="409"/>
      <c r="W121" s="409"/>
      <c r="X121" s="1787"/>
      <c r="Y121" s="409"/>
      <c r="Z121" s="1734"/>
      <c r="AA121" s="409"/>
      <c r="AB121" s="994" t="s">
        <v>1487</v>
      </c>
      <c r="AC121" s="778" t="s">
        <v>1454</v>
      </c>
      <c r="AD121" s="1428">
        <f ca="1">IF(AD123=0,0,(AD122*AD123+AD124*AD125*IF(god=2026,3,6))/AD123)</f>
        <v>0</v>
      </c>
      <c r="AE121" s="1428">
        <f ca="1">IF(AE123=0,0,(AE122*AE123+AE124*AE125*IF(god=2026,3,6))/AE123)</f>
        <v>0</v>
      </c>
      <c r="AF121" s="996">
        <f ca="1">IF(AD121=0,0,(AE121-AD121)/AD121*100)</f>
        <v>0</v>
      </c>
      <c r="AG121" s="1428">
        <f ca="1">IF(AG123=0,0,(AG122*AG123+AG124*AG125*IF(god=2025,3,6))/AG123)</f>
        <v>0</v>
      </c>
      <c r="AH121" s="1428">
        <f ca="1">IF(AH123=0,0,(AH122*AH123+AH124*AH125*IF(god=2025,3,6))/AH123)</f>
        <v>0</v>
      </c>
      <c r="AI121" s="996">
        <f ca="1">IF(AG121=0,0,(AH121-AG121)/AG121*100)</f>
        <v>0</v>
      </c>
      <c r="AJ121" s="1428">
        <f ca="1">IF(AJ123=0,0,(AJ122*AJ123+AJ124*AJ125*6)/AJ123)</f>
        <v>0</v>
      </c>
      <c r="AK121" s="1428">
        <f ca="1">IF(AK123=0,0,(AK122*AK123+AK124*AK125*6)/AK123)</f>
        <v>0</v>
      </c>
      <c r="AL121" s="996">
        <f ca="1">IF(AJ121=0,0,(AK121-AJ121)/AJ121*100)</f>
        <v>0</v>
      </c>
      <c r="AM121" s="1428">
        <f ca="1">IF(AM123=0,0,(AM122*AM123+AM124*AM125*6)/AM123)</f>
        <v>0</v>
      </c>
      <c r="AN121" s="1428">
        <f ca="1">IF(AN123=0,0,(AN122*AN123+AN124*AN125*6)/AN123)</f>
        <v>0</v>
      </c>
      <c r="AO121" s="996">
        <f ca="1">IF(AM121=0,0,(AN121-AM121)/AM121*100)</f>
        <v>0</v>
      </c>
      <c r="AP121" s="1428">
        <f ca="1">IF(AP123=0,0,(AP122*AP123+AP124*AP125*6)/AP123)</f>
        <v>0</v>
      </c>
      <c r="AQ121" s="1428">
        <f ca="1">IF(AQ123=0,0,(AQ122*AQ123+AQ124*AQ125*6)/AQ123)</f>
        <v>0</v>
      </c>
      <c r="AR121" s="996">
        <f ca="1">IF(AP121=0,0,(AQ121-AP121)/AP121*100)</f>
        <v>0</v>
      </c>
      <c r="AS121" s="1428">
        <f ca="1">IF(AS123=0,0,(AS122*AS123+AS124*AS125*6)/AS123)</f>
        <v>0</v>
      </c>
      <c r="AT121" s="1428">
        <f ca="1">IF(AT123=0,0,(AT122*AT123+AT124*AT125*6)/AT123)</f>
        <v>0</v>
      </c>
      <c r="AU121" s="996">
        <f ca="1">IF(AS121=0,0,(AT121-AS121)/AS121*100)</f>
        <v>0</v>
      </c>
      <c r="AV121" s="1428">
        <f ca="1">IF(AV123=0,0,(AV122*AV123+AV124*AV125*6)/AV123)</f>
        <v>0</v>
      </c>
      <c r="AW121" s="1428">
        <f ca="1">IF(AW123=0,0,(AW122*AW123+AW124*AW125*6)/AW123)</f>
        <v>0</v>
      </c>
      <c r="AX121" s="996">
        <f ca="1">IF(AV121=0,0,(AW121-AV121)/AV121*100)</f>
        <v>0</v>
      </c>
      <c r="AY121" s="1428">
        <f ca="1">IF(AY123=0,0,(AY122*AY123+AY124*AY125*6)/AY123)</f>
        <v>0</v>
      </c>
      <c r="AZ121" s="1428">
        <f ca="1">IF(AZ123=0,0,(AZ122*AZ123+AZ124*AZ125*6)/AZ123)</f>
        <v>0</v>
      </c>
      <c r="BA121" s="996">
        <f ca="1">IF(AY121=0,0,(AZ121-AY121)/AY121*100)</f>
        <v>0</v>
      </c>
      <c r="BB121" s="1428">
        <f ca="1">IF(BB123=0,0,(BB122*BB123+BB124*BB125*6)/BB123)</f>
        <v>0</v>
      </c>
      <c r="BC121" s="1428">
        <f ca="1">IF(BC123=0,0,(BC122*BC123+BC124*BC125*6)/BC123)</f>
        <v>0</v>
      </c>
      <c r="BD121" s="996">
        <f ca="1">IF(BB121=0,0,(BC121-BB121)/BB121*100)</f>
        <v>0</v>
      </c>
      <c r="BE121" s="1428">
        <f ca="1">IF(BE123=0,0,(BE122*BE123+BE124*BE125*6)/BE123)</f>
        <v>0</v>
      </c>
      <c r="BF121" s="1428">
        <f ca="1">IF(BF123=0,0,(BF122*BF123+BF124*BF125*6)/BF123)</f>
        <v>0</v>
      </c>
      <c r="BG121" s="996">
        <f ca="1">IF(BE121=0,0,(BF121-BE121)/BE121*100)</f>
        <v>0</v>
      </c>
      <c r="BH121" s="1428">
        <f>IF(BH123=0,0,(BH122*BH123+BH124*BH125*6)/BH123)</f>
        <v>0</v>
      </c>
      <c r="BI121" s="1428">
        <f>IF(BI123=0,0,(BI122*BI123+BI124*BI125*6)/BI123)</f>
        <v>0</v>
      </c>
      <c r="BJ121" s="996">
        <f>IF(BH121=0,0,(BI121-BH121)/BH121*100)</f>
        <v>0</v>
      </c>
      <c r="BK121" s="1428">
        <f>IF(BK123=0,0,(BK122*BK123+BK124*BK125*6)/BK123)</f>
        <v>0</v>
      </c>
      <c r="BL121" s="1428">
        <f>IF(BL123=0,0,(BL122*BL123+BL124*BL125*6)/BL123)</f>
        <v>0</v>
      </c>
      <c r="BM121" s="996">
        <f>IF(BK121=0,0,(BL121-BK121)/BK121*100)</f>
        <v>0</v>
      </c>
      <c r="BN121" s="1428">
        <f>IF(BN123=0,0,(BN122*BN123+BN124*BN125*6)/BN123)</f>
        <v>0</v>
      </c>
      <c r="BO121" s="1428">
        <f>IF(BO123=0,0,(BO122*BO123+BO124*BO125*6)/BO123)</f>
        <v>0</v>
      </c>
      <c r="BP121" s="996">
        <f>IF(BN121=0,0,(BO121-BN121)/BN121*100)</f>
        <v>0</v>
      </c>
      <c r="BQ121" s="1428">
        <f>IF(BQ123=0,0,(BQ122*BQ123+BQ124*BQ125*6)/BQ123)</f>
        <v>0</v>
      </c>
      <c r="BR121" s="1428">
        <f>IF(BR123=0,0,(BR122*BR123+BR124*BR125*6)/BR123)</f>
        <v>0</v>
      </c>
      <c r="BS121" s="996">
        <f>IF(BQ121=0,0,(BR121-BQ121)/BQ121*100)</f>
        <v>0</v>
      </c>
      <c r="BT121" s="1428">
        <f>IF(BT123=0,0,(BT122*BT123+BT124*BT125*6)/BT123)</f>
        <v>0</v>
      </c>
      <c r="BU121" s="1428">
        <f>IF(BU123=0,0,(BU122*BU123+BU124*BU125*6)/BU123)</f>
        <v>0</v>
      </c>
      <c r="BV121" s="996">
        <f>IF(BT121=0,0,(BU121-BT121)/BT121*100)</f>
        <v>0</v>
      </c>
      <c r="BW121" s="1428">
        <f>IF(BW123=0,0,(BW122*BW123+BW124*BW125*6)/BW123)</f>
        <v>0</v>
      </c>
      <c r="BX121" s="1428">
        <f>IF(BX123=0,0,(BX122*BX123+BX124*BX125*6)/BX123)</f>
        <v>0</v>
      </c>
      <c r="BY121" s="996">
        <f>IF(BW121=0,0,(BX121-BW121)/BW121*100)</f>
        <v>0</v>
      </c>
      <c r="BZ121" s="1428">
        <f>IF(BZ123=0,0,(BZ122*BZ123+BZ124*BZ125*6)/BZ123)</f>
        <v>0</v>
      </c>
      <c r="CA121" s="1428">
        <f>IF(CA123=0,0,(CA122*CA123+CA124*CA125*6)/CA123)</f>
        <v>0</v>
      </c>
      <c r="CB121" s="996">
        <f>IF(BZ121=0,0,(CA121-BZ121)/BZ121*100)</f>
        <v>0</v>
      </c>
      <c r="CC121" s="1428">
        <f>IF(CC123=0,0,(CC122*CC123+CC124*CC125*6)/CC123)</f>
        <v>0</v>
      </c>
      <c r="CD121" s="1428">
        <f>IF(CD123=0,0,(CD122*CD123+CD124*CD125*6)/CD123)</f>
        <v>0</v>
      </c>
      <c r="CE121" s="996">
        <f>IF(CC121=0,0,(CD121-CC121)/CC121*100)</f>
        <v>0</v>
      </c>
      <c r="CF121" s="1428">
        <f>IF(CF123=0,0,(CF122*CF123+CF124*CF125*6)/CF123)</f>
        <v>0</v>
      </c>
      <c r="CG121" s="1428">
        <f>IF(CG123=0,0,(CG122*CG123+CG124*CG125*6)/CG123)</f>
        <v>0</v>
      </c>
      <c r="CH121" s="996">
        <f>IF(CF121=0,0,(CG121-CF121)/CF121*100)</f>
        <v>0</v>
      </c>
      <c r="CI121" s="1428">
        <f>IF(CI123=0,0,(CI122*CI123+CI124*CI125*6)/CI123)</f>
        <v>0</v>
      </c>
      <c r="CJ121" s="1428">
        <f>IF(CJ123=0,0,(CJ122*CJ123+CJ124*CJ125*6)/CJ123)</f>
        <v>0</v>
      </c>
      <c r="CK121" s="996">
        <f>IF(CI121=0,0,(CJ121-CI121)/CI121*100)</f>
        <v>0</v>
      </c>
      <c r="CL121" s="1428">
        <f>IF(CL123=0,0,(CL122*CL123+CL124*CL125*6)/CL123)</f>
        <v>0</v>
      </c>
      <c r="CM121" s="1428">
        <f>IF(CM123=0,0,(CM122*CM123+CM124*CM125*6)/CM123)</f>
        <v>0</v>
      </c>
      <c r="CN121" s="996">
        <f>IF(CL121=0,0,(CM121-CL121)/CL121*100)</f>
        <v>0</v>
      </c>
      <c r="CO121" s="1428">
        <f>IF(CO123=0,0,(CO122*CO123+CO124*CO125*6)/CO123)</f>
        <v>0</v>
      </c>
      <c r="CP121" s="1428">
        <f>IF(CP123=0,0,(CP122*CP123+CP124*CP125*6)/CP123)</f>
        <v>0</v>
      </c>
      <c r="CQ121" s="996">
        <f>IF(CO121=0,0,(CP121-CO121)/CO121*100)</f>
        <v>0</v>
      </c>
      <c r="CR121" s="1428">
        <f>IF(CR123=0,0,(CR122*CR123+CR124*CR125*6)/CR123)</f>
        <v>0</v>
      </c>
      <c r="CS121" s="1428">
        <f>IF(CS123=0,0,(CS122*CS123+CS124*CS125*6)/CS123)</f>
        <v>0</v>
      </c>
      <c r="CT121" s="996">
        <f>IF(CR121=0,0,(CS121-CR121)/CR121*100)</f>
        <v>0</v>
      </c>
      <c r="CU121" s="1428">
        <f>IF(CU123=0,0,(CU122*CU123+CU124*CU125*6)/CU123)</f>
        <v>0</v>
      </c>
      <c r="CV121" s="1428">
        <f>IF(CV123=0,0,(CV122*CV123+CV124*CV125*6)/CV123)</f>
        <v>0</v>
      </c>
      <c r="CW121" s="996">
        <f>IF(CU121=0,0,(CV121-CU121)/CU121*100)</f>
        <v>0</v>
      </c>
      <c r="CX121" s="1428">
        <f>IF(CX123=0,0,(CX122*CX123+CX124*CX125*6)/CX123)</f>
        <v>0</v>
      </c>
      <c r="CY121" s="1428">
        <f>IF(CY123=0,0,(CY122*CY123+CY124*CY125*6)/CY123)</f>
        <v>0</v>
      </c>
      <c r="CZ121" s="996">
        <f>IF(CX121=0,0,(CY121-CX121)/CX121*100)</f>
        <v>0</v>
      </c>
      <c r="DA121" s="1428">
        <f>IF(DA123=0,0,(DA122*DA123+DA124*DA125*6)/DA123)</f>
        <v>0</v>
      </c>
      <c r="DB121" s="1428">
        <f>IF(DB123=0,0,(DB122*DB123+DB124*DB125*6)/DB123)</f>
        <v>0</v>
      </c>
      <c r="DC121" s="996">
        <f>IF(DA121=0,0,(DB121-DA121)/DA121*100)</f>
        <v>0</v>
      </c>
      <c r="DD121" s="1428">
        <f>IF(DD123=0,0,(DD122*DD123+DD124*DD125*6)/DD123)</f>
        <v>0</v>
      </c>
      <c r="DE121" s="1428">
        <f>IF(DE123=0,0,(DE122*DE123+DE124*DE125*6)/DE123)</f>
        <v>0</v>
      </c>
      <c r="DF121" s="996">
        <f>IF(DD121=0,0,(DE121-DD121)/DD121*100)</f>
        <v>0</v>
      </c>
      <c r="DG121" s="1428">
        <f>IF(DG123=0,0,(DG122*DG123+DG124*DG125*6)/DG123)</f>
        <v>0</v>
      </c>
      <c r="DH121" s="1428">
        <f>IF(DH123=0,0,(DH122*DH123+DH124*DH125*6)/DH123)</f>
        <v>0</v>
      </c>
      <c r="DI121" s="996">
        <f>IF(DG121=0,0,(DH121-DG121)/DG121*100)</f>
        <v>0</v>
      </c>
      <c r="DJ121" s="1428">
        <f>IF(DJ123=0,0,(DJ122*DJ123+DJ124*DJ125*6)/DJ123)</f>
        <v>0</v>
      </c>
      <c r="DK121" s="1428">
        <f>IF(DK123=0,0,(DK122*DK123+DK124*DK125*6)/DK123)</f>
        <v>0</v>
      </c>
      <c r="DL121" s="996">
        <f>IF(DJ121=0,0,(DK121-DJ121)/DJ121*100)</f>
        <v>0</v>
      </c>
      <c r="DM121" s="1428">
        <f>IF(DM123=0,0,(DM122*DM123+DM124*DM125*6)/DM123)</f>
        <v>0</v>
      </c>
      <c r="DN121" s="1428">
        <f>IF(DN123=0,0,(DN122*DN123+DN124*DN125*6)/DN123)</f>
        <v>0</v>
      </c>
      <c r="DO121" s="996">
        <f>IF(DM121=0,0,(DN121-DM121)/DM121*100)</f>
        <v>0</v>
      </c>
      <c r="DP121" s="1428">
        <f>IF(DP123=0,0,(DP122*DP123+DP124*DP125*6)/DP123)</f>
        <v>0</v>
      </c>
      <c r="DQ121" s="1428">
        <f>IF(DQ123=0,0,(DQ122*DQ123+DQ124*DQ125*6)/DQ123)</f>
        <v>0</v>
      </c>
      <c r="DR121" s="996">
        <f>IF(DP121=0,0,(DQ121-DP121)/DP121*100)</f>
        <v>0</v>
      </c>
      <c r="DS121" s="1428">
        <f>IF(DS123=0,0,(DS122*DS123+DS124*DS125*6)/DS123)</f>
        <v>0</v>
      </c>
      <c r="DT121" s="1428">
        <f>IF(DT123=0,0,(DT122*DT123+DT124*DT125*6)/DT123)</f>
        <v>0</v>
      </c>
      <c r="DU121" s="996">
        <f>IF(DS121=0,0,(DT121-DS121)/DS121*100)</f>
        <v>0</v>
      </c>
      <c r="DV121" s="1428">
        <f>IF(DV123=0,0,(DV122*DV123+DV124*DV125*6)/DV123)</f>
        <v>0</v>
      </c>
      <c r="DW121" s="1428">
        <f>IF(DW123=0,0,(DW122*DW123+DW124*DW125*6)/DW123)</f>
        <v>0</v>
      </c>
      <c r="DX121" s="996">
        <f>IF(DV121=0,0,(DW121-DV121)/DV121*100)</f>
        <v>0</v>
      </c>
      <c r="DY121" s="1428">
        <f>IF(DY123=0,0,(DY122*DY123+DY124*DY125*6)/DY123)</f>
        <v>0</v>
      </c>
      <c r="DZ121" s="1428">
        <f>IF(DZ123=0,0,(DZ122*DZ123+DZ124*DZ125*6)/DZ123)</f>
        <v>0</v>
      </c>
      <c r="EA121" s="996">
        <f>IF(DY121=0,0,(DZ121-DY121)/DY121*100)</f>
        <v>0</v>
      </c>
      <c r="EB121" s="1428">
        <f>IF(EB123=0,0,(EB122*EB123+EB124*EB125*6)/EB123)</f>
        <v>0</v>
      </c>
      <c r="EC121" s="1428">
        <f>IF(EC123=0,0,(EC122*EC123+EC124*EC125*6)/EC123)</f>
        <v>0</v>
      </c>
      <c r="ED121" s="996">
        <f>IF(EB121=0,0,(EC121-EB121)/EB121*100)</f>
        <v>0</v>
      </c>
      <c r="EE121" s="1428">
        <f>IF(EE123=0,0,(EE122*EE123+EE124*EE125*6)/EE123)</f>
        <v>0</v>
      </c>
      <c r="EF121" s="1428">
        <f>IF(EF123=0,0,(EF122*EF123+EF124*EF125*6)/EF123)</f>
        <v>0</v>
      </c>
      <c r="EG121" s="996">
        <f>IF(EE121=0,0,(EF121-EE121)/EE121*100)</f>
        <v>0</v>
      </c>
      <c r="EH121" s="1428">
        <f>IF(EH123=0,0,(EH122*EH123+EH124*EH125*6)/EH123)</f>
        <v>0</v>
      </c>
      <c r="EI121" s="1428">
        <f>IF(EI123=0,0,(EI122*EI123+EI124*EI125*6)/EI123)</f>
        <v>0</v>
      </c>
      <c r="EJ121" s="996">
        <f>IF(EH121=0,0,(EI121-EH121)/EH121*100)</f>
        <v>0</v>
      </c>
      <c r="EK121" s="1428">
        <f>IF(EK123=0,0,(EK122*EK123+EK124*EK125*6)/EK123)</f>
        <v>0</v>
      </c>
      <c r="EL121" s="1428">
        <f>IF(EL123=0,0,(EL122*EL123+EL124*EL125*6)/EL123)</f>
        <v>0</v>
      </c>
      <c r="EM121" s="996">
        <f>IF(EK121=0,0,(EL121-EK121)/EK121*100)</f>
        <v>0</v>
      </c>
      <c r="EN121" s="1428">
        <f>IF(EN123=0,0,(EN122*EN123+EN124*EN125*6)/EN123)</f>
        <v>0</v>
      </c>
      <c r="EO121" s="1428">
        <f>IF(EO123=0,0,(EO122*EO123+EO124*EO125*6)/EO123)</f>
        <v>0</v>
      </c>
      <c r="EP121" s="996">
        <f>IF(EN121=0,0,(EO121-EN121)/EN121*100)</f>
        <v>0</v>
      </c>
      <c r="EQ121" s="1428">
        <f>IF(EQ123=0,0,(EQ122*EQ123+EQ124*EQ125*6)/EQ123)</f>
        <v>0</v>
      </c>
      <c r="ER121" s="1428">
        <f>IF(ER123=0,0,(ER122*ER123+ER124*ER125*6)/ER123)</f>
        <v>0</v>
      </c>
      <c r="ES121" s="996">
        <f>IF(EQ121=0,0,(ER121-EQ121)/EQ121*100)</f>
        <v>0</v>
      </c>
      <c r="ET121" s="1428">
        <f>IF(ET123=0,0,(ET122*ET123+ET124*ET125*6)/ET123)</f>
        <v>0</v>
      </c>
      <c r="EU121" s="1428">
        <f>IF(EU123=0,0,(EU122*EU123+EU124*EU125*6)/EU123)</f>
        <v>0</v>
      </c>
      <c r="EV121" s="996">
        <f>IF(ET121=0,0,(EU121-ET121)/ET121*100)</f>
        <v>0</v>
      </c>
      <c r="EW121" s="1428">
        <f>IF(EW123=0,0,(EW122*EW123+EW124*EW125*6)/EW123)</f>
        <v>0</v>
      </c>
      <c r="EX121" s="1428">
        <f>IF(EX123=0,0,(EX122*EX123+EX124*EX125*6)/EX123)</f>
        <v>0</v>
      </c>
      <c r="EY121" s="996">
        <f>IF(EW121=0,0,(EX121-EW121)/EW121*100)</f>
        <v>0</v>
      </c>
      <c r="EZ121" s="1428">
        <f>IF(EZ123=0,0,(EZ122*EZ123+EZ124*EZ125*6)/EZ123)</f>
        <v>0</v>
      </c>
      <c r="FA121" s="1428">
        <f>IF(FA123=0,0,(FA122*FA123+FA124*FA125*6)/FA123)</f>
        <v>0</v>
      </c>
      <c r="FB121" s="996">
        <f>IF(EZ121=0,0,(FA121-EZ121)/EZ121*100)</f>
        <v>0</v>
      </c>
      <c r="FC121" s="1428">
        <f>IF(FC123=0,0,(FC122*FC123+FC124*FC125*6)/FC123)</f>
        <v>0</v>
      </c>
      <c r="FD121" s="1428">
        <f>IF(FD123=0,0,(FD122*FD123+FD124*FD125*6)/FD123)</f>
        <v>0</v>
      </c>
      <c r="FE121" s="996">
        <f>IF(FC121=0,0,(FD121-FC121)/FC121*100)</f>
        <v>0</v>
      </c>
      <c r="FF121" s="1428">
        <f>IF(FF123=0,0,(FF122*FF123+FF124*FF125*6)/FF123)</f>
        <v>0</v>
      </c>
      <c r="FG121" s="1428">
        <f>IF(FG123=0,0,(FG122*FG123+FG124*FG125*6)/FG123)</f>
        <v>0</v>
      </c>
      <c r="FH121" s="996">
        <f>IF(FF121=0,0,(FG121-FF121)/FF121*100)</f>
        <v>0</v>
      </c>
      <c r="FI121" s="1428">
        <f>IF(FI123=0,0,(FI122*FI123+FI124*FI125*6)/FI123)</f>
        <v>0</v>
      </c>
      <c r="FJ121" s="1428">
        <f>IF(FJ123=0,0,(FJ122*FJ123+FJ124*FJ125*6)/FJ123)</f>
        <v>0</v>
      </c>
      <c r="FK121" s="996">
        <f>IF(FI121=0,0,(FJ121-FI121)/FI121*100)</f>
        <v>0</v>
      </c>
      <c r="FL121" s="1428">
        <f>IF(FL123=0,0,(FL122*FL123+FL124*FL125*6)/FL123)</f>
        <v>0</v>
      </c>
      <c r="FM121" s="1428">
        <f>IF(FM123=0,0,(FM122*FM123+FM124*FM125*6)/FM123)</f>
        <v>0</v>
      </c>
      <c r="FN121" s="996">
        <f>IF(FL121=0,0,(FM121-FL121)/FL121*100)</f>
        <v>0</v>
      </c>
      <c r="FO121" s="1428">
        <f>IF(FO123=0,0,(FO122*FO123+FO124*FO125*6)/FO123)</f>
        <v>0</v>
      </c>
      <c r="FP121" s="1428">
        <f>IF(FP123=0,0,(FP122*FP123+FP124*FP125*6)/FP123)</f>
        <v>0</v>
      </c>
      <c r="FQ121" s="996">
        <f>IF(FO121=0,0,(FP121-FO121)/FO121*100)</f>
        <v>0</v>
      </c>
      <c r="FR121" s="1428">
        <f>IF(FR123=0,0,(FR122*FR123+FR124*FR125*6)/FR123)</f>
        <v>0</v>
      </c>
      <c r="FS121" s="1428">
        <f>IF(FS123=0,0,(FS122*FS123+FS124*FS125*6)/FS123)</f>
        <v>0</v>
      </c>
      <c r="FT121" s="996">
        <f>IF(FR121=0,0,(FS121-FR121)/FR121*100)</f>
        <v>0</v>
      </c>
      <c r="FU121" s="1428">
        <f>IF(FU123=0,0,(FU122*FU123+FU124*FU125*6)/FU123)</f>
        <v>0</v>
      </c>
      <c r="FV121" s="1428">
        <f>IF(FV123=0,0,(FV122*FV123+FV124*FV125*6)/FV123)</f>
        <v>0</v>
      </c>
      <c r="FW121" s="996">
        <f>IF(FU121=0,0,(FV121-FU121)/FU121*100)</f>
        <v>0</v>
      </c>
      <c r="FX121" s="1207"/>
      <c r="FY121" s="1207"/>
      <c r="FZ121" s="957" t="s">
        <v>1515</v>
      </c>
      <c r="GA121" s="1209"/>
      <c r="GB121" s="1209"/>
      <c r="GC121" s="1208"/>
      <c r="GD121" s="1208"/>
    </row>
    <row r="122" spans="1:186" s="1327" customFormat="1" ht="14.25" hidden="1" customHeight="1">
      <c r="A122" s="409"/>
      <c r="B122" s="830" t="b" cm="1">
        <f t="array" ref="B122">B121</f>
        <v>0</v>
      </c>
      <c r="C122" s="409"/>
      <c r="D122" s="409"/>
      <c r="E122" s="754">
        <v>15</v>
      </c>
      <c r="F122" s="3" t="str" cm="1">
        <f t="array" aca="1" ref="F122" ca="1">OFFSET(E122,-1,1)</f>
        <v>1</v>
      </c>
      <c r="G122" s="409"/>
      <c r="H122" s="409" t="s">
        <v>1416</v>
      </c>
      <c r="I122" s="409" t="s">
        <v>1471</v>
      </c>
      <c r="J122" s="409"/>
      <c r="K122" s="409"/>
      <c r="L122" s="409"/>
      <c r="M122" s="409"/>
      <c r="N122" s="409"/>
      <c r="O122" s="409"/>
      <c r="P122" s="409"/>
      <c r="Q122" s="409"/>
      <c r="R122" s="409"/>
      <c r="S122" s="409"/>
      <c r="T122" s="381" t="b" cm="1">
        <f t="array" aca="1" ref="T122" ca="1">T121</f>
        <v>1</v>
      </c>
      <c r="U122" s="409"/>
      <c r="V122" s="409"/>
      <c r="W122" s="409"/>
      <c r="X122" s="1787"/>
      <c r="Y122" s="409"/>
      <c r="Z122" s="1734"/>
      <c r="AA122" s="409"/>
      <c r="AB122" s="811"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778" t="s">
        <v>1454</v>
      </c>
      <c r="AD122" s="1428"/>
      <c r="AE122" s="1428"/>
      <c r="AF122" s="996">
        <f>IF(AD122=0,0,(AE122-AD122)/AD122*100)</f>
        <v>0</v>
      </c>
      <c r="AG122" s="1428"/>
      <c r="AH122" s="1428"/>
      <c r="AI122" s="996">
        <f>IF(AG122=0,0,(AH122-AG122)/AG122*100)</f>
        <v>0</v>
      </c>
      <c r="AJ122" s="1428"/>
      <c r="AK122" s="1428"/>
      <c r="AL122" s="996">
        <f>IF(AJ122=0,0,(AK122-AJ122)/AJ122*100)</f>
        <v>0</v>
      </c>
      <c r="AM122" s="1428"/>
      <c r="AN122" s="1428"/>
      <c r="AO122" s="996">
        <f>IF(AM122=0,0,(AN122-AM122)/AM122*100)</f>
        <v>0</v>
      </c>
      <c r="AP122" s="1428"/>
      <c r="AQ122" s="1428"/>
      <c r="AR122" s="996">
        <f>IF(AP122=0,0,(AQ122-AP122)/AP122*100)</f>
        <v>0</v>
      </c>
      <c r="AS122" s="1428"/>
      <c r="AT122" s="1428"/>
      <c r="AU122" s="996">
        <f>IF(AS122=0,0,(AT122-AS122)/AS122*100)</f>
        <v>0</v>
      </c>
      <c r="AV122" s="1428"/>
      <c r="AW122" s="1428"/>
      <c r="AX122" s="996">
        <f>IF(AV122=0,0,(AW122-AV122)/AV122*100)</f>
        <v>0</v>
      </c>
      <c r="AY122" s="1428"/>
      <c r="AZ122" s="1428"/>
      <c r="BA122" s="996">
        <f>IF(AY122=0,0,(AZ122-AY122)/AY122*100)</f>
        <v>0</v>
      </c>
      <c r="BB122" s="1428"/>
      <c r="BC122" s="1428"/>
      <c r="BD122" s="996">
        <f>IF(BB122=0,0,(BC122-BB122)/BB122*100)</f>
        <v>0</v>
      </c>
      <c r="BE122" s="1428"/>
      <c r="BF122" s="1428"/>
      <c r="BG122" s="996">
        <f>IF(BE122=0,0,(BF122-BE122)/BE122*100)</f>
        <v>0</v>
      </c>
      <c r="BH122" s="1428"/>
      <c r="BI122" s="1428"/>
      <c r="BJ122" s="996">
        <f>IF(BH122=0,0,(BI122-BH122)/BH122*100)</f>
        <v>0</v>
      </c>
      <c r="BK122" s="1428"/>
      <c r="BL122" s="1428"/>
      <c r="BM122" s="996">
        <f>IF(BK122=0,0,(BL122-BK122)/BK122*100)</f>
        <v>0</v>
      </c>
      <c r="BN122" s="1428"/>
      <c r="BO122" s="1428"/>
      <c r="BP122" s="996">
        <f>IF(BN122=0,0,(BO122-BN122)/BN122*100)</f>
        <v>0</v>
      </c>
      <c r="BQ122" s="1428"/>
      <c r="BR122" s="1428"/>
      <c r="BS122" s="996">
        <f>IF(BQ122=0,0,(BR122-BQ122)/BQ122*100)</f>
        <v>0</v>
      </c>
      <c r="BT122" s="1428"/>
      <c r="BU122" s="1428"/>
      <c r="BV122" s="996">
        <f>IF(BT122=0,0,(BU122-BT122)/BT122*100)</f>
        <v>0</v>
      </c>
      <c r="BW122" s="1428"/>
      <c r="BX122" s="1428"/>
      <c r="BY122" s="996">
        <f>IF(BW122=0,0,(BX122-BW122)/BW122*100)</f>
        <v>0</v>
      </c>
      <c r="BZ122" s="1428"/>
      <c r="CA122" s="1428"/>
      <c r="CB122" s="996">
        <f>IF(BZ122=0,0,(CA122-BZ122)/BZ122*100)</f>
        <v>0</v>
      </c>
      <c r="CC122" s="1428"/>
      <c r="CD122" s="1428"/>
      <c r="CE122" s="996">
        <f>IF(CC122=0,0,(CD122-CC122)/CC122*100)</f>
        <v>0</v>
      </c>
      <c r="CF122" s="1428"/>
      <c r="CG122" s="1428"/>
      <c r="CH122" s="996">
        <f>IF(CF122=0,0,(CG122-CF122)/CF122*100)</f>
        <v>0</v>
      </c>
      <c r="CI122" s="1428"/>
      <c r="CJ122" s="1428"/>
      <c r="CK122" s="996">
        <f>IF(CI122=0,0,(CJ122-CI122)/CI122*100)</f>
        <v>0</v>
      </c>
      <c r="CL122" s="1428"/>
      <c r="CM122" s="1428"/>
      <c r="CN122" s="996">
        <f>IF(CL122=0,0,(CM122-CL122)/CL122*100)</f>
        <v>0</v>
      </c>
      <c r="CO122" s="1428"/>
      <c r="CP122" s="1428"/>
      <c r="CQ122" s="996">
        <f>IF(CO122=0,0,(CP122-CO122)/CO122*100)</f>
        <v>0</v>
      </c>
      <c r="CR122" s="1428"/>
      <c r="CS122" s="1428"/>
      <c r="CT122" s="996">
        <f>IF(CR122=0,0,(CS122-CR122)/CR122*100)</f>
        <v>0</v>
      </c>
      <c r="CU122" s="1428"/>
      <c r="CV122" s="1428"/>
      <c r="CW122" s="996">
        <f>IF(CU122=0,0,(CV122-CU122)/CU122*100)</f>
        <v>0</v>
      </c>
      <c r="CX122" s="1428"/>
      <c r="CY122" s="1428"/>
      <c r="CZ122" s="996">
        <f>IF(CX122=0,0,(CY122-CX122)/CX122*100)</f>
        <v>0</v>
      </c>
      <c r="DA122" s="1428"/>
      <c r="DB122" s="1428"/>
      <c r="DC122" s="996">
        <f>IF(DA122=0,0,(DB122-DA122)/DA122*100)</f>
        <v>0</v>
      </c>
      <c r="DD122" s="1428"/>
      <c r="DE122" s="1428"/>
      <c r="DF122" s="996">
        <f>IF(DD122=0,0,(DE122-DD122)/DD122*100)</f>
        <v>0</v>
      </c>
      <c r="DG122" s="1428"/>
      <c r="DH122" s="1428"/>
      <c r="DI122" s="996">
        <f>IF(DG122=0,0,(DH122-DG122)/DG122*100)</f>
        <v>0</v>
      </c>
      <c r="DJ122" s="1428"/>
      <c r="DK122" s="1428"/>
      <c r="DL122" s="996">
        <f>IF(DJ122=0,0,(DK122-DJ122)/DJ122*100)</f>
        <v>0</v>
      </c>
      <c r="DM122" s="1428"/>
      <c r="DN122" s="1428"/>
      <c r="DO122" s="996">
        <f>IF(DM122=0,0,(DN122-DM122)/DM122*100)</f>
        <v>0</v>
      </c>
      <c r="DP122" s="1428"/>
      <c r="DQ122" s="1428"/>
      <c r="DR122" s="996">
        <f>IF(DP122=0,0,(DQ122-DP122)/DP122*100)</f>
        <v>0</v>
      </c>
      <c r="DS122" s="1428"/>
      <c r="DT122" s="1428"/>
      <c r="DU122" s="996">
        <f>IF(DS122=0,0,(DT122-DS122)/DS122*100)</f>
        <v>0</v>
      </c>
      <c r="DV122" s="1428"/>
      <c r="DW122" s="1428"/>
      <c r="DX122" s="996">
        <f>IF(DV122=0,0,(DW122-DV122)/DV122*100)</f>
        <v>0</v>
      </c>
      <c r="DY122" s="1428"/>
      <c r="DZ122" s="1428"/>
      <c r="EA122" s="996">
        <f>IF(DY122=0,0,(DZ122-DY122)/DY122*100)</f>
        <v>0</v>
      </c>
      <c r="EB122" s="1428"/>
      <c r="EC122" s="1428"/>
      <c r="ED122" s="996">
        <f>IF(EB122=0,0,(EC122-EB122)/EB122*100)</f>
        <v>0</v>
      </c>
      <c r="EE122" s="1428"/>
      <c r="EF122" s="1428"/>
      <c r="EG122" s="996">
        <f>IF(EE122=0,0,(EF122-EE122)/EE122*100)</f>
        <v>0</v>
      </c>
      <c r="EH122" s="1428"/>
      <c r="EI122" s="1428"/>
      <c r="EJ122" s="996">
        <f>IF(EH122=0,0,(EI122-EH122)/EH122*100)</f>
        <v>0</v>
      </c>
      <c r="EK122" s="1428"/>
      <c r="EL122" s="1428"/>
      <c r="EM122" s="996">
        <f>IF(EK122=0,0,(EL122-EK122)/EK122*100)</f>
        <v>0</v>
      </c>
      <c r="EN122" s="1428"/>
      <c r="EO122" s="1428"/>
      <c r="EP122" s="996">
        <f>IF(EN122=0,0,(EO122-EN122)/EN122*100)</f>
        <v>0</v>
      </c>
      <c r="EQ122" s="1428"/>
      <c r="ER122" s="1428"/>
      <c r="ES122" s="996">
        <f>IF(EQ122=0,0,(ER122-EQ122)/EQ122*100)</f>
        <v>0</v>
      </c>
      <c r="ET122" s="1428"/>
      <c r="EU122" s="1428"/>
      <c r="EV122" s="996">
        <f>IF(ET122=0,0,(EU122-ET122)/ET122*100)</f>
        <v>0</v>
      </c>
      <c r="EW122" s="1428"/>
      <c r="EX122" s="1428"/>
      <c r="EY122" s="996">
        <f>IF(EW122=0,0,(EX122-EW122)/EW122*100)</f>
        <v>0</v>
      </c>
      <c r="EZ122" s="1428"/>
      <c r="FA122" s="1428"/>
      <c r="FB122" s="996">
        <f>IF(EZ122=0,0,(FA122-EZ122)/EZ122*100)</f>
        <v>0</v>
      </c>
      <c r="FC122" s="1428"/>
      <c r="FD122" s="1428"/>
      <c r="FE122" s="996">
        <f>IF(FC122=0,0,(FD122-FC122)/FC122*100)</f>
        <v>0</v>
      </c>
      <c r="FF122" s="1428"/>
      <c r="FG122" s="1428"/>
      <c r="FH122" s="996">
        <f>IF(FF122=0,0,(FG122-FF122)/FF122*100)</f>
        <v>0</v>
      </c>
      <c r="FI122" s="1428"/>
      <c r="FJ122" s="1428"/>
      <c r="FK122" s="996">
        <f>IF(FI122=0,0,(FJ122-FI122)/FI122*100)</f>
        <v>0</v>
      </c>
      <c r="FL122" s="1428"/>
      <c r="FM122" s="1428"/>
      <c r="FN122" s="996">
        <f>IF(FL122=0,0,(FM122-FL122)/FL122*100)</f>
        <v>0</v>
      </c>
      <c r="FO122" s="1428"/>
      <c r="FP122" s="1428"/>
      <c r="FQ122" s="996">
        <f>IF(FO122=0,0,(FP122-FO122)/FO122*100)</f>
        <v>0</v>
      </c>
      <c r="FR122" s="1428"/>
      <c r="FS122" s="1428"/>
      <c r="FT122" s="996">
        <f>IF(FR122=0,0,(FS122-FR122)/FR122*100)</f>
        <v>0</v>
      </c>
      <c r="FU122" s="1428"/>
      <c r="FV122" s="1428"/>
      <c r="FW122" s="996">
        <f>IF(FU122=0,0,(FV122-FU122)/FU122*100)</f>
        <v>0</v>
      </c>
      <c r="FX122" s="1207"/>
      <c r="FY122" s="1207"/>
      <c r="FZ122" s="957" t="s">
        <v>1516</v>
      </c>
      <c r="GA122" s="1209"/>
      <c r="GB122" s="1209"/>
      <c r="GC122" s="1208"/>
      <c r="GD122" s="1208"/>
    </row>
    <row r="123" spans="1:186" s="1327" customFormat="1" ht="14.25" hidden="1" customHeight="1">
      <c r="A123" s="409"/>
      <c r="B123" s="830" t="b" cm="1">
        <f t="array" ref="B123">B122</f>
        <v>0</v>
      </c>
      <c r="C123" s="409"/>
      <c r="D123" s="409"/>
      <c r="E123" s="754">
        <v>15</v>
      </c>
      <c r="F123" s="3" t="str" cm="1">
        <f t="array" aca="1" ref="F123" ca="1">OFFSET(E123,-1,1)</f>
        <v>1</v>
      </c>
      <c r="G123" s="26" t="s">
        <v>1517</v>
      </c>
      <c r="H123" s="409" t="s">
        <v>1491</v>
      </c>
      <c r="I123" s="409" t="s">
        <v>1471</v>
      </c>
      <c r="J123" s="409"/>
      <c r="K123" s="409"/>
      <c r="L123" s="409"/>
      <c r="M123" s="409"/>
      <c r="N123" s="409"/>
      <c r="O123" s="409"/>
      <c r="P123" s="409"/>
      <c r="Q123" s="409"/>
      <c r="R123" s="409"/>
      <c r="S123" s="409"/>
      <c r="T123" s="381" t="b" cm="1">
        <f t="array" aca="1" ref="T123" ca="1">T122</f>
        <v>1</v>
      </c>
      <c r="U123" s="409"/>
      <c r="V123" s="409"/>
      <c r="W123" s="409"/>
      <c r="X123" s="1787"/>
      <c r="Y123" s="409"/>
      <c r="Z123" s="1734"/>
      <c r="AA123" s="409"/>
      <c r="AB123" s="811" t="str">
        <f>"объём "&amp;IF(Q85="Водоснабжение","потребления холодной воды","водоотведения")</f>
        <v>объём потребления холодной воды</v>
      </c>
      <c r="AC123" s="778" t="s">
        <v>499</v>
      </c>
      <c r="AD123" s="1426">
        <f ca="1">IF(AND(method_reg="Метод индексации",god&lt;&gt;first_year),SUMIFS(INDEX('Калькуляция (МИ корр)'!$AJ$25:$BC$315,,MATCH(AD$8,'Калькуляция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(МИ)'!$AJ$25:$BC$315,,MATCH(AD$8,'Калькуляция (МИ)'!$AJ$8:$BC$8,0)),'Калькуляция (МИ)'!$F$25:$F$315,$F123,'Калькуляция (МИ)'!$G$25:$G$315,$G123))))</f>
        <v>0.64392500000000008</v>
      </c>
      <c r="AE123" s="1426">
        <f ca="1">IF(AND(method_reg="Метод индексации",god&lt;&gt;first_year),SUMIFS(INDEX('Калькуляция (МИ корр)'!$AJ$25:$BC$315,,MATCH(AE$8,'Калькуляция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(МИ)'!$AJ$25:$BC$315,,MATCH(AE$8,'Калькуляция (МИ)'!$AJ$8:$BC$8,0)),'Калькуляция (МИ)'!$F$25:$F$315,$F123,'Калькуляция (МИ)'!$G$25:$G$315,$G123))))</f>
        <v>0.64392500000000008</v>
      </c>
      <c r="AF123" s="998">
        <f ca="1">IF(AD123=0,0,(AE123-AD123)/AD123*100)</f>
        <v>0</v>
      </c>
      <c r="AG123" s="1426">
        <f ca="1">IF(AND(method_reg="Метод индексации",god&lt;&gt;first_year),SUMIFS(INDEX('Калькуляция (МИ корр)'!$AJ$25:$BC$315,,MATCH(AG$8,'Калькуляция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(МИ)'!$AJ$25:$BC$315,,MATCH(AG$8,'Калькуляция (МИ)'!$AJ$8:$BC$8,0)),'Калькуляция (МИ)'!$F$25:$F$315,$F123,'Калькуляция (МИ)'!$G$25:$G$315,$G123))))</f>
        <v>0.64392500000000008</v>
      </c>
      <c r="AH123" s="1426">
        <f ca="1">IF(AND(method_reg="Метод индексации",god&lt;&gt;first_year),SUMIFS(INDEX('Калькуляция (МИ корр)'!$AJ$25:$BC$315,,MATCH(AH$8,'Калькуляция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(МИ)'!$AJ$25:$BC$315,,MATCH(AH$8,'Калькуляция (МИ)'!$AJ$8:$BC$8,0)),'Калькуляция (МИ)'!$F$25:$F$315,$F123,'Калькуляция (МИ)'!$G$25:$G$315,$G123))))</f>
        <v>0.64392500000000008</v>
      </c>
      <c r="AI123" s="998">
        <f ca="1">IF(AG123=0,0,(AH123-AG123)/AG123*100)</f>
        <v>0</v>
      </c>
      <c r="AJ123" s="1426">
        <f ca="1">IF(AND(method_reg="Метод индексации",god&lt;&gt;first_year),SUMIFS(INDEX('Калькуляция (МИ корр)'!$AJ$25:$BC$315,,MATCH(AJ$8,'Калькуляция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(МИ)'!$AJ$25:$BC$315,,MATCH(AJ$8,'Калькуляция (МИ)'!$AJ$8:$BC$8,0)),'Калькуляция (МИ)'!$F$25:$F$315,$F123,'Калькуляция (МИ)'!$G$25:$G$315,$G123))))</f>
        <v>0.64392500000000008</v>
      </c>
      <c r="AK123" s="1426">
        <f ca="1">IF(AND(method_reg="Метод индексации",god&lt;&gt;first_year),SUMIFS(INDEX('Калькуляция (МИ корр)'!$AJ$25:$BC$315,,MATCH(AK$8,'Калькуляция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(МИ)'!$AJ$25:$BC$315,,MATCH(AK$8,'Калькуляция (МИ)'!$AJ$8:$BC$8,0)),'Калькуляция (МИ)'!$F$25:$F$315,$F123,'Калькуляция (МИ)'!$G$25:$G$315,$G123))))</f>
        <v>0.64392500000000008</v>
      </c>
      <c r="AL123" s="998">
        <f ca="1">IF(AJ123=0,0,(AK123-AJ123)/AJ123*100)</f>
        <v>0</v>
      </c>
      <c r="AM123" s="1426">
        <f ca="1">IF(AND(method_reg="Метод индексации",god&lt;&gt;first_year),SUMIFS(INDEX('Калькуляция (МИ корр)'!$AJ$25:$BC$315,,MATCH(AM$8,'Калькуляция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(МИ)'!$AJ$25:$BC$315,,MATCH(AM$8,'Калькуляция (МИ)'!$AJ$8:$BC$8,0)),'Калькуляция (МИ)'!$F$25:$F$315,$F123,'Калькуляция (МИ)'!$G$25:$G$315,$G123))))</f>
        <v>0.64392500000000008</v>
      </c>
      <c r="AN123" s="1426">
        <f ca="1">IF(AND(method_reg="Метод индексации",god&lt;&gt;first_year),SUMIFS(INDEX('Калькуляция (МИ корр)'!$AJ$25:$BC$315,,MATCH(AN$8,'Калькуляция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(МИ)'!$AJ$25:$BC$315,,MATCH(AN$8,'Калькуляция (МИ)'!$AJ$8:$BC$8,0)),'Калькуляция (МИ)'!$F$25:$F$315,$F123,'Калькуляция (МИ)'!$G$25:$G$315,$G123))))</f>
        <v>0.64392500000000008</v>
      </c>
      <c r="AO123" s="998">
        <f ca="1">IF(AM123=0,0,(AN123-AM123)/AM123*100)</f>
        <v>0</v>
      </c>
      <c r="AP123" s="1426">
        <f ca="1">IF(AND(method_reg="Метод индексации",god&lt;&gt;first_year),SUMIFS(INDEX('Калькуляция (МИ корр)'!$AJ$25:$BC$315,,MATCH(AP$8,'Калькуляция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(МИ)'!$AJ$25:$BC$315,,MATCH(AP$8,'Калькуляция (МИ)'!$AJ$8:$BC$8,0)),'Калькуляция (МИ)'!$F$25:$F$315,$F123,'Калькуляция (МИ)'!$G$25:$G$315,$G123))))</f>
        <v>0.64392500000000008</v>
      </c>
      <c r="AQ123" s="1426">
        <f ca="1">IF(AND(method_reg="Метод индексации",god&lt;&gt;first_year),SUMIFS(INDEX('Калькуляция (МИ корр)'!$AJ$25:$BC$315,,MATCH(AQ$8,'Калькуляция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(МИ)'!$AJ$25:$BC$315,,MATCH(AQ$8,'Калькуляция (МИ)'!$AJ$8:$BC$8,0)),'Калькуляция (МИ)'!$F$25:$F$315,$F123,'Калькуляция (МИ)'!$G$25:$G$315,$G123))))</f>
        <v>0.64392500000000008</v>
      </c>
      <c r="AR123" s="998">
        <f ca="1">IF(AP123=0,0,(AQ123-AP123)/AP123*100)</f>
        <v>0</v>
      </c>
      <c r="AS123" s="1426">
        <f ca="1">IF(AND(method_reg="Метод индексации",god&lt;&gt;first_year),SUMIFS(INDEX('Калькуляция (МИ корр)'!$AJ$25:$BC$315,,MATCH(AS$8,'Калькуляция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(МИ)'!$AJ$25:$BC$315,,MATCH(AS$8,'Калькуляция (МИ)'!$AJ$8:$BC$8,0)),'Калькуляция (МИ)'!$F$25:$F$315,$F123,'Калькуляция (МИ)'!$G$25:$G$315,$G123))))</f>
        <v>0.64392500000000008</v>
      </c>
      <c r="AT123" s="1426">
        <f ca="1">IF(AND(method_reg="Метод индексации",god&lt;&gt;first_year),SUMIFS(INDEX('Калькуляция (МИ корр)'!$AJ$25:$BC$315,,MATCH(AT$8,'Калькуляция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(МИ)'!$AJ$25:$BC$315,,MATCH(AT$8,'Калькуляция (МИ)'!$AJ$8:$BC$8,0)),'Калькуляция (МИ)'!$F$25:$F$315,$F123,'Калькуляция (МИ)'!$G$25:$G$315,$G123))))</f>
        <v>0.64392500000000008</v>
      </c>
      <c r="AU123" s="998">
        <f ca="1">IF(AS123=0,0,(AT123-AS123)/AS123*100)</f>
        <v>0</v>
      </c>
      <c r="AV123" s="1426">
        <f ca="1">IF(AND(method_reg="Метод индексации",god&lt;&gt;first_year),SUMIFS(INDEX('Калькуляция (МИ корр)'!$AJ$25:$BC$315,,MATCH(AV$8,'Калькуляция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(МИ)'!$AJ$25:$BC$315,,MATCH(AV$8,'Калькуляция (МИ)'!$AJ$8:$BC$8,0)),'Калькуляция (МИ)'!$F$25:$F$315,$F123,'Калькуляция (МИ)'!$G$25:$G$315,$G123))))</f>
        <v>0.64392500000000008</v>
      </c>
      <c r="AW123" s="1426">
        <f ca="1">IF(AND(method_reg="Метод индексации",god&lt;&gt;first_year),SUMIFS(INDEX('Калькуляция (МИ корр)'!$AJ$25:$BC$315,,MATCH(AW$8,'Калькуляция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(МИ)'!$AJ$25:$BC$315,,MATCH(AW$8,'Калькуляция (МИ)'!$AJ$8:$BC$8,0)),'Калькуляция (МИ)'!$F$25:$F$315,$F123,'Калькуляция (МИ)'!$G$25:$G$315,$G123))))</f>
        <v>0.64392500000000008</v>
      </c>
      <c r="AX123" s="998">
        <f ca="1">IF(AV123=0,0,(AW123-AV123)/AV123*100)</f>
        <v>0</v>
      </c>
      <c r="AY123" s="1426">
        <f ca="1">IF(AND(method_reg="Метод индексации",god&lt;&gt;first_year),SUMIFS(INDEX('Калькуляция (МИ корр)'!$AJ$25:$BC$315,,MATCH(AY$8,'Калькуляция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(МИ)'!$AJ$25:$BC$315,,MATCH(AY$8,'Калькуляция (МИ)'!$AJ$8:$BC$8,0)),'Калькуляция (МИ)'!$F$25:$F$315,$F123,'Калькуляция (МИ)'!$G$25:$G$315,$G123))))</f>
        <v>0.64392500000000008</v>
      </c>
      <c r="AZ123" s="1426">
        <f ca="1">IF(AND(method_reg="Метод индексации",god&lt;&gt;first_year),SUMIFS(INDEX('Калькуляция (МИ корр)'!$AJ$25:$BC$315,,MATCH(AZ$8,'Калькуляция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(МИ)'!$AJ$25:$BC$315,,MATCH(AZ$8,'Калькуляция (МИ)'!$AJ$8:$BC$8,0)),'Калькуляция (МИ)'!$F$25:$F$315,$F123,'Калькуляция (МИ)'!$G$25:$G$315,$G123))))</f>
        <v>0.64392500000000008</v>
      </c>
      <c r="BA123" s="998">
        <f ca="1">IF(AY123=0,0,(AZ123-AY123)/AY123*100)</f>
        <v>0</v>
      </c>
      <c r="BB123" s="1426">
        <f ca="1">IF(AND(method_reg="Метод индексации",god&lt;&gt;first_year),SUMIFS(INDEX('Калькуляция (МИ корр)'!$AJ$25:$BC$315,,MATCH(BB$8,'Калькуляция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(МИ)'!$AJ$25:$BC$315,,MATCH(BB$8,'Калькуляция (МИ)'!$AJ$8:$BC$8,0)),'Калькуляция (МИ)'!$F$25:$F$315,$F123,'Калькуляция (МИ)'!$G$25:$G$315,$G123))))</f>
        <v>0.64392500000000008</v>
      </c>
      <c r="BC123" s="1426">
        <f ca="1">IF(AND(method_reg="Метод индексации",god&lt;&gt;first_year),SUMIFS(INDEX('Калькуляция (МИ корр)'!$AJ$25:$BC$315,,MATCH(BC$8,'Калькуляция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(МИ)'!$AJ$25:$BC$315,,MATCH(BC$8,'Калькуляция (МИ)'!$AJ$8:$BC$8,0)),'Калькуляция (МИ)'!$F$25:$F$315,$F123,'Калькуляция (МИ)'!$G$25:$G$315,$G123))))</f>
        <v>0.64392500000000008</v>
      </c>
      <c r="BD123" s="998">
        <f ca="1">IF(BB123=0,0,(BC123-BB123)/BB123*100)</f>
        <v>0</v>
      </c>
      <c r="BE123" s="1426">
        <f ca="1">IF(AND(method_reg="Метод индексации",god&lt;&gt;first_year),SUMIFS(INDEX('Калькуляция (МИ корр)'!$AJ$25:$BC$315,,MATCH(BE$8,'Калькуляция (МИ корр)'!$AJ$8:$BC$8,0)),'Калькуляция (МИ корр)'!$F$25:$F$315,$F123,'Калькуляция (МИ корр)'!$G$25:$G$315,$G123),IF(method_reg="Метод экономически обоснованных расходов",SUMIFS('Калькуляция (МЭОР)'!$AJ$25:$AJ$199,'Калькуляция (МЭОР)'!$F$25:$F$199,$F123,'Калькуляция (МЭОР)'!$G$25:$G$199,$G123),IF(method_reg="Метод сравнения аналогов",SUMIFS('Калькуляция (МСА)'!$AE$25:$AE$65,'Калькуляция (МСА)'!$F$25:$F$65,$F123,'Калькуляция (МСА)'!$G$25:$G$65,$G123),SUMIFS(INDEX('Калькуляция (МИ)'!$AJ$25:$BC$315,,MATCH(BE$8,'Калькуляция (МИ)'!$AJ$8:$BC$8,0)),'Калькуляция (МИ)'!$F$25:$F$315,$F123,'Калькуляция (МИ)'!$G$25:$G$315,$G123))))</f>
        <v>0.64392500000000008</v>
      </c>
      <c r="BF123" s="1426">
        <f ca="1">IF(AND(method_reg="Метод индексации",god&lt;&gt;first_year),SUMIFS(INDEX('Калькуляция (МИ корр)'!$AJ$25:$BC$315,,MATCH(BF$8,'Калькуляция (МИ корр)'!$AJ$8:$BC$8,0)),'Калькуляция (МИ корр)'!$F$25:$F$315,$F123,'Калькуляция (МИ корр)'!$G$25:$G$315,$G123),IF(method_reg="Метод экономически обоснованных расходов",SUMIFS('Калькуляция (МЭОР)'!$AK$25:$AK$199,'Калькуляция (МЭОР)'!$F$25:$F$199,$F123,'Калькуляция (МЭОР)'!$G$25:$G$199,$G123),IF(method_reg="Метод сравнения аналогов",SUMIFS('Калькуляция (МСА)'!$AF$25:$AF$65,'Калькуляция (МСА)'!$F$25:$F$65,$F123,'Калькуляция (МСА)'!$G$25:$G$65,$G123),SUMIFS(INDEX('Калькуляция (МИ)'!$AJ$25:$BC$315,,MATCH(BF$8,'Калькуляция (МИ)'!$AJ$8:$BC$8,0)),'Калькуляция (МИ)'!$F$25:$F$315,$F123,'Калькуляция (МИ)'!$G$25:$G$315,$G123))))</f>
        <v>0.64392500000000008</v>
      </c>
      <c r="BG123" s="998">
        <f ca="1">IF(BE123=0,0,(BF123-BE123)/BE123*100)</f>
        <v>0</v>
      </c>
      <c r="BH123" s="1426"/>
      <c r="BI123" s="1426"/>
      <c r="BJ123" s="998">
        <f>IF(BH123=0,0,(BI123-BH123)/BH123*100)</f>
        <v>0</v>
      </c>
      <c r="BK123" s="1426"/>
      <c r="BL123" s="1426"/>
      <c r="BM123" s="998">
        <f>IF(BK123=0,0,(BL123-BK123)/BK123*100)</f>
        <v>0</v>
      </c>
      <c r="BN123" s="1426"/>
      <c r="BO123" s="1426"/>
      <c r="BP123" s="998">
        <f>IF(BN123=0,0,(BO123-BN123)/BN123*100)</f>
        <v>0</v>
      </c>
      <c r="BQ123" s="1426"/>
      <c r="BR123" s="1426"/>
      <c r="BS123" s="998">
        <f>IF(BQ123=0,0,(BR123-BQ123)/BQ123*100)</f>
        <v>0</v>
      </c>
      <c r="BT123" s="1426"/>
      <c r="BU123" s="1426"/>
      <c r="BV123" s="998">
        <f>IF(BT123=0,0,(BU123-BT123)/BT123*100)</f>
        <v>0</v>
      </c>
      <c r="BW123" s="1426"/>
      <c r="BX123" s="1426"/>
      <c r="BY123" s="998">
        <f>IF(BW123=0,0,(BX123-BW123)/BW123*100)</f>
        <v>0</v>
      </c>
      <c r="BZ123" s="1426"/>
      <c r="CA123" s="1426"/>
      <c r="CB123" s="998">
        <f>IF(BZ123=0,0,(CA123-BZ123)/BZ123*100)</f>
        <v>0</v>
      </c>
      <c r="CC123" s="1426"/>
      <c r="CD123" s="1426"/>
      <c r="CE123" s="998">
        <f>IF(CC123=0,0,(CD123-CC123)/CC123*100)</f>
        <v>0</v>
      </c>
      <c r="CF123" s="1426"/>
      <c r="CG123" s="1426"/>
      <c r="CH123" s="998">
        <f>IF(CF123=0,0,(CG123-CF123)/CF123*100)</f>
        <v>0</v>
      </c>
      <c r="CI123" s="1426"/>
      <c r="CJ123" s="1426"/>
      <c r="CK123" s="998">
        <f>IF(CI123=0,0,(CJ123-CI123)/CI123*100)</f>
        <v>0</v>
      </c>
      <c r="CL123" s="1426"/>
      <c r="CM123" s="1426"/>
      <c r="CN123" s="998">
        <f>IF(CL123=0,0,(CM123-CL123)/CL123*100)</f>
        <v>0</v>
      </c>
      <c r="CO123" s="1426"/>
      <c r="CP123" s="1426"/>
      <c r="CQ123" s="998">
        <f>IF(CO123=0,0,(CP123-CO123)/CO123*100)</f>
        <v>0</v>
      </c>
      <c r="CR123" s="1426"/>
      <c r="CS123" s="1426"/>
      <c r="CT123" s="998">
        <f>IF(CR123=0,0,(CS123-CR123)/CR123*100)</f>
        <v>0</v>
      </c>
      <c r="CU123" s="1426"/>
      <c r="CV123" s="1426"/>
      <c r="CW123" s="998">
        <f>IF(CU123=0,0,(CV123-CU123)/CU123*100)</f>
        <v>0</v>
      </c>
      <c r="CX123" s="1426"/>
      <c r="CY123" s="1426"/>
      <c r="CZ123" s="998">
        <f>IF(CX123=0,0,(CY123-CX123)/CX123*100)</f>
        <v>0</v>
      </c>
      <c r="DA123" s="1426"/>
      <c r="DB123" s="1426"/>
      <c r="DC123" s="998">
        <f>IF(DA123=0,0,(DB123-DA123)/DA123*100)</f>
        <v>0</v>
      </c>
      <c r="DD123" s="1426"/>
      <c r="DE123" s="1426"/>
      <c r="DF123" s="998">
        <f>IF(DD123=0,0,(DE123-DD123)/DD123*100)</f>
        <v>0</v>
      </c>
      <c r="DG123" s="1426"/>
      <c r="DH123" s="1426"/>
      <c r="DI123" s="998">
        <f>IF(DG123=0,0,(DH123-DG123)/DG123*100)</f>
        <v>0</v>
      </c>
      <c r="DJ123" s="1426"/>
      <c r="DK123" s="1426"/>
      <c r="DL123" s="998">
        <f>IF(DJ123=0,0,(DK123-DJ123)/DJ123*100)</f>
        <v>0</v>
      </c>
      <c r="DM123" s="1426"/>
      <c r="DN123" s="1426"/>
      <c r="DO123" s="998">
        <f>IF(DM123=0,0,(DN123-DM123)/DM123*100)</f>
        <v>0</v>
      </c>
      <c r="DP123" s="1426"/>
      <c r="DQ123" s="1426"/>
      <c r="DR123" s="998">
        <f>IF(DP123=0,0,(DQ123-DP123)/DP123*100)</f>
        <v>0</v>
      </c>
      <c r="DS123" s="1426"/>
      <c r="DT123" s="1426"/>
      <c r="DU123" s="998">
        <f>IF(DS123=0,0,(DT123-DS123)/DS123*100)</f>
        <v>0</v>
      </c>
      <c r="DV123" s="1426"/>
      <c r="DW123" s="1426"/>
      <c r="DX123" s="998">
        <f>IF(DV123=0,0,(DW123-DV123)/DV123*100)</f>
        <v>0</v>
      </c>
      <c r="DY123" s="1426"/>
      <c r="DZ123" s="1426"/>
      <c r="EA123" s="998">
        <f>IF(DY123=0,0,(DZ123-DY123)/DY123*100)</f>
        <v>0</v>
      </c>
      <c r="EB123" s="1426"/>
      <c r="EC123" s="1426"/>
      <c r="ED123" s="998">
        <f>IF(EB123=0,0,(EC123-EB123)/EB123*100)</f>
        <v>0</v>
      </c>
      <c r="EE123" s="1426"/>
      <c r="EF123" s="1426"/>
      <c r="EG123" s="998">
        <f>IF(EE123=0,0,(EF123-EE123)/EE123*100)</f>
        <v>0</v>
      </c>
      <c r="EH123" s="1426"/>
      <c r="EI123" s="1426"/>
      <c r="EJ123" s="998">
        <f>IF(EH123=0,0,(EI123-EH123)/EH123*100)</f>
        <v>0</v>
      </c>
      <c r="EK123" s="1426"/>
      <c r="EL123" s="1426"/>
      <c r="EM123" s="998">
        <f>IF(EK123=0,0,(EL123-EK123)/EK123*100)</f>
        <v>0</v>
      </c>
      <c r="EN123" s="1426"/>
      <c r="EO123" s="1426"/>
      <c r="EP123" s="998">
        <f>IF(EN123=0,0,(EO123-EN123)/EN123*100)</f>
        <v>0</v>
      </c>
      <c r="EQ123" s="1426"/>
      <c r="ER123" s="1426"/>
      <c r="ES123" s="998">
        <f>IF(EQ123=0,0,(ER123-EQ123)/EQ123*100)</f>
        <v>0</v>
      </c>
      <c r="ET123" s="1426"/>
      <c r="EU123" s="1426"/>
      <c r="EV123" s="998">
        <f>IF(ET123=0,0,(EU123-ET123)/ET123*100)</f>
        <v>0</v>
      </c>
      <c r="EW123" s="1426"/>
      <c r="EX123" s="1426"/>
      <c r="EY123" s="998">
        <f>IF(EW123=0,0,(EX123-EW123)/EW123*100)</f>
        <v>0</v>
      </c>
      <c r="EZ123" s="1426"/>
      <c r="FA123" s="1426"/>
      <c r="FB123" s="998">
        <f>IF(EZ123=0,0,(FA123-EZ123)/EZ123*100)</f>
        <v>0</v>
      </c>
      <c r="FC123" s="1426"/>
      <c r="FD123" s="1426"/>
      <c r="FE123" s="998">
        <f>IF(FC123=0,0,(FD123-FC123)/FC123*100)</f>
        <v>0</v>
      </c>
      <c r="FF123" s="1426"/>
      <c r="FG123" s="1426"/>
      <c r="FH123" s="998">
        <f>IF(FF123=0,0,(FG123-FF123)/FF123*100)</f>
        <v>0</v>
      </c>
      <c r="FI123" s="1426"/>
      <c r="FJ123" s="1426"/>
      <c r="FK123" s="998">
        <f>IF(FI123=0,0,(FJ123-FI123)/FI123*100)</f>
        <v>0</v>
      </c>
      <c r="FL123" s="1426"/>
      <c r="FM123" s="1426"/>
      <c r="FN123" s="998">
        <f>IF(FL123=0,0,(FM123-FL123)/FL123*100)</f>
        <v>0</v>
      </c>
      <c r="FO123" s="1426"/>
      <c r="FP123" s="1426"/>
      <c r="FQ123" s="998">
        <f>IF(FO123=0,0,(FP123-FO123)/FO123*100)</f>
        <v>0</v>
      </c>
      <c r="FR123" s="1426"/>
      <c r="FS123" s="1426"/>
      <c r="FT123" s="998">
        <f>IF(FR123=0,0,(FS123-FR123)/FR123*100)</f>
        <v>0</v>
      </c>
      <c r="FU123" s="1426"/>
      <c r="FV123" s="1426"/>
      <c r="FW123" s="998">
        <f>IF(FU123=0,0,(FV123-FU123)/FU123*100)</f>
        <v>0</v>
      </c>
      <c r="FX123" s="1207"/>
      <c r="FY123" s="1207"/>
      <c r="FZ123" s="957" t="s">
        <v>1518</v>
      </c>
      <c r="GA123" s="1209"/>
      <c r="GB123" s="1209"/>
      <c r="GC123" s="1208"/>
      <c r="GD123" s="1208"/>
    </row>
    <row r="124" spans="1:186" s="1327" customFormat="1" ht="21.75" hidden="1" customHeight="1">
      <c r="A124" s="409"/>
      <c r="B124" s="830" t="b" cm="1">
        <f t="array" ref="B124">B123</f>
        <v>0</v>
      </c>
      <c r="C124" s="409"/>
      <c r="D124" s="409"/>
      <c r="E124" s="754">
        <v>22.5</v>
      </c>
      <c r="F124" s="3" t="str" cm="1">
        <f t="array" aca="1" ref="F124" ca="1">OFFSET(E124,-1,1)</f>
        <v>1</v>
      </c>
      <c r="G124" s="409"/>
      <c r="H124" s="409" t="s">
        <v>1493</v>
      </c>
      <c r="I124" s="409" t="s">
        <v>1471</v>
      </c>
      <c r="J124" s="409"/>
      <c r="K124" s="409"/>
      <c r="L124" s="409"/>
      <c r="M124" s="409"/>
      <c r="N124" s="409"/>
      <c r="O124" s="409"/>
      <c r="P124" s="409"/>
      <c r="Q124" s="409"/>
      <c r="R124" s="409"/>
      <c r="S124" s="409"/>
      <c r="T124" s="381" t="b" cm="1">
        <f t="array" aca="1" ref="T124" ca="1">T123</f>
        <v>1</v>
      </c>
      <c r="U124" s="409"/>
      <c r="V124" s="409"/>
      <c r="W124" s="409"/>
      <c r="X124" s="1787"/>
      <c r="Y124" s="409"/>
      <c r="Z124" s="1734"/>
      <c r="AA124" s="409"/>
      <c r="AB124" s="811"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778" t="s">
        <v>1494</v>
      </c>
      <c r="AD124" s="1428"/>
      <c r="AE124" s="1428"/>
      <c r="AF124" s="996">
        <f>IF(AD124=0,0,(AE124-AD124)/AD124*100)</f>
        <v>0</v>
      </c>
      <c r="AG124" s="1428"/>
      <c r="AH124" s="1428"/>
      <c r="AI124" s="996">
        <f>IF(AG124=0,0,(AH124-AG124)/AG124*100)</f>
        <v>0</v>
      </c>
      <c r="AJ124" s="1428"/>
      <c r="AK124" s="1428"/>
      <c r="AL124" s="996">
        <f>IF(AJ124=0,0,(AK124-AJ124)/AJ124*100)</f>
        <v>0</v>
      </c>
      <c r="AM124" s="1428"/>
      <c r="AN124" s="1428"/>
      <c r="AO124" s="996">
        <f>IF(AM124=0,0,(AN124-AM124)/AM124*100)</f>
        <v>0</v>
      </c>
      <c r="AP124" s="1428"/>
      <c r="AQ124" s="1428"/>
      <c r="AR124" s="996">
        <f>IF(AP124=0,0,(AQ124-AP124)/AP124*100)</f>
        <v>0</v>
      </c>
      <c r="AS124" s="1428"/>
      <c r="AT124" s="1428"/>
      <c r="AU124" s="996">
        <f>IF(AS124=0,0,(AT124-AS124)/AS124*100)</f>
        <v>0</v>
      </c>
      <c r="AV124" s="1428"/>
      <c r="AW124" s="1428"/>
      <c r="AX124" s="996">
        <f>IF(AV124=0,0,(AW124-AV124)/AV124*100)</f>
        <v>0</v>
      </c>
      <c r="AY124" s="1428"/>
      <c r="AZ124" s="1428"/>
      <c r="BA124" s="996">
        <f>IF(AY124=0,0,(AZ124-AY124)/AY124*100)</f>
        <v>0</v>
      </c>
      <c r="BB124" s="1428"/>
      <c r="BC124" s="1428"/>
      <c r="BD124" s="996">
        <f>IF(BB124=0,0,(BC124-BB124)/BB124*100)</f>
        <v>0</v>
      </c>
      <c r="BE124" s="1428"/>
      <c r="BF124" s="1428"/>
      <c r="BG124" s="996">
        <f>IF(BE124=0,0,(BF124-BE124)/BE124*100)</f>
        <v>0</v>
      </c>
      <c r="BH124" s="1428"/>
      <c r="BI124" s="1428"/>
      <c r="BJ124" s="996">
        <f>IF(BH124=0,0,(BI124-BH124)/BH124*100)</f>
        <v>0</v>
      </c>
      <c r="BK124" s="1428"/>
      <c r="BL124" s="1428"/>
      <c r="BM124" s="996">
        <f>IF(BK124=0,0,(BL124-BK124)/BK124*100)</f>
        <v>0</v>
      </c>
      <c r="BN124" s="1428"/>
      <c r="BO124" s="1428"/>
      <c r="BP124" s="996">
        <f>IF(BN124=0,0,(BO124-BN124)/BN124*100)</f>
        <v>0</v>
      </c>
      <c r="BQ124" s="1428"/>
      <c r="BR124" s="1428"/>
      <c r="BS124" s="996">
        <f>IF(BQ124=0,0,(BR124-BQ124)/BQ124*100)</f>
        <v>0</v>
      </c>
      <c r="BT124" s="1428"/>
      <c r="BU124" s="1428"/>
      <c r="BV124" s="996">
        <f>IF(BT124=0,0,(BU124-BT124)/BT124*100)</f>
        <v>0</v>
      </c>
      <c r="BW124" s="1428"/>
      <c r="BX124" s="1428"/>
      <c r="BY124" s="996">
        <f>IF(BW124=0,0,(BX124-BW124)/BW124*100)</f>
        <v>0</v>
      </c>
      <c r="BZ124" s="1428"/>
      <c r="CA124" s="1428"/>
      <c r="CB124" s="996">
        <f>IF(BZ124=0,0,(CA124-BZ124)/BZ124*100)</f>
        <v>0</v>
      </c>
      <c r="CC124" s="1428"/>
      <c r="CD124" s="1428"/>
      <c r="CE124" s="996">
        <f>IF(CC124=0,0,(CD124-CC124)/CC124*100)</f>
        <v>0</v>
      </c>
      <c r="CF124" s="1428"/>
      <c r="CG124" s="1428"/>
      <c r="CH124" s="996">
        <f>IF(CF124=0,0,(CG124-CF124)/CF124*100)</f>
        <v>0</v>
      </c>
      <c r="CI124" s="1428"/>
      <c r="CJ124" s="1428"/>
      <c r="CK124" s="996">
        <f>IF(CI124=0,0,(CJ124-CI124)/CI124*100)</f>
        <v>0</v>
      </c>
      <c r="CL124" s="1428"/>
      <c r="CM124" s="1428"/>
      <c r="CN124" s="996">
        <f>IF(CL124=0,0,(CM124-CL124)/CL124*100)</f>
        <v>0</v>
      </c>
      <c r="CO124" s="1428"/>
      <c r="CP124" s="1428"/>
      <c r="CQ124" s="996">
        <f>IF(CO124=0,0,(CP124-CO124)/CO124*100)</f>
        <v>0</v>
      </c>
      <c r="CR124" s="1428"/>
      <c r="CS124" s="1428"/>
      <c r="CT124" s="996">
        <f>IF(CR124=0,0,(CS124-CR124)/CR124*100)</f>
        <v>0</v>
      </c>
      <c r="CU124" s="1428"/>
      <c r="CV124" s="1428"/>
      <c r="CW124" s="996">
        <f>IF(CU124=0,0,(CV124-CU124)/CU124*100)</f>
        <v>0</v>
      </c>
      <c r="CX124" s="1428"/>
      <c r="CY124" s="1428"/>
      <c r="CZ124" s="996">
        <f>IF(CX124=0,0,(CY124-CX124)/CX124*100)</f>
        <v>0</v>
      </c>
      <c r="DA124" s="1428"/>
      <c r="DB124" s="1428"/>
      <c r="DC124" s="996">
        <f>IF(DA124=0,0,(DB124-DA124)/DA124*100)</f>
        <v>0</v>
      </c>
      <c r="DD124" s="1428"/>
      <c r="DE124" s="1428"/>
      <c r="DF124" s="996">
        <f>IF(DD124=0,0,(DE124-DD124)/DD124*100)</f>
        <v>0</v>
      </c>
      <c r="DG124" s="1428"/>
      <c r="DH124" s="1428"/>
      <c r="DI124" s="996">
        <f>IF(DG124=0,0,(DH124-DG124)/DG124*100)</f>
        <v>0</v>
      </c>
      <c r="DJ124" s="1428"/>
      <c r="DK124" s="1428"/>
      <c r="DL124" s="996">
        <f>IF(DJ124=0,0,(DK124-DJ124)/DJ124*100)</f>
        <v>0</v>
      </c>
      <c r="DM124" s="1428"/>
      <c r="DN124" s="1428"/>
      <c r="DO124" s="996">
        <f>IF(DM124=0,0,(DN124-DM124)/DM124*100)</f>
        <v>0</v>
      </c>
      <c r="DP124" s="1428"/>
      <c r="DQ124" s="1428"/>
      <c r="DR124" s="996">
        <f>IF(DP124=0,0,(DQ124-DP124)/DP124*100)</f>
        <v>0</v>
      </c>
      <c r="DS124" s="1428"/>
      <c r="DT124" s="1428"/>
      <c r="DU124" s="996">
        <f>IF(DS124=0,0,(DT124-DS124)/DS124*100)</f>
        <v>0</v>
      </c>
      <c r="DV124" s="1428"/>
      <c r="DW124" s="1428"/>
      <c r="DX124" s="996">
        <f>IF(DV124=0,0,(DW124-DV124)/DV124*100)</f>
        <v>0</v>
      </c>
      <c r="DY124" s="1428"/>
      <c r="DZ124" s="1428"/>
      <c r="EA124" s="996">
        <f>IF(DY124=0,0,(DZ124-DY124)/DY124*100)</f>
        <v>0</v>
      </c>
      <c r="EB124" s="1428"/>
      <c r="EC124" s="1428"/>
      <c r="ED124" s="996">
        <f>IF(EB124=0,0,(EC124-EB124)/EB124*100)</f>
        <v>0</v>
      </c>
      <c r="EE124" s="1428"/>
      <c r="EF124" s="1428"/>
      <c r="EG124" s="996">
        <f>IF(EE124=0,0,(EF124-EE124)/EE124*100)</f>
        <v>0</v>
      </c>
      <c r="EH124" s="1428"/>
      <c r="EI124" s="1428"/>
      <c r="EJ124" s="996">
        <f>IF(EH124=0,0,(EI124-EH124)/EH124*100)</f>
        <v>0</v>
      </c>
      <c r="EK124" s="1428"/>
      <c r="EL124" s="1428"/>
      <c r="EM124" s="996">
        <f>IF(EK124=0,0,(EL124-EK124)/EK124*100)</f>
        <v>0</v>
      </c>
      <c r="EN124" s="1428"/>
      <c r="EO124" s="1428"/>
      <c r="EP124" s="996">
        <f>IF(EN124=0,0,(EO124-EN124)/EN124*100)</f>
        <v>0</v>
      </c>
      <c r="EQ124" s="1428"/>
      <c r="ER124" s="1428"/>
      <c r="ES124" s="996">
        <f>IF(EQ124=0,0,(ER124-EQ124)/EQ124*100)</f>
        <v>0</v>
      </c>
      <c r="ET124" s="1428"/>
      <c r="EU124" s="1428"/>
      <c r="EV124" s="996">
        <f>IF(ET124=0,0,(EU124-ET124)/ET124*100)</f>
        <v>0</v>
      </c>
      <c r="EW124" s="1428"/>
      <c r="EX124" s="1428"/>
      <c r="EY124" s="996">
        <f>IF(EW124=0,0,(EX124-EW124)/EW124*100)</f>
        <v>0</v>
      </c>
      <c r="EZ124" s="1428"/>
      <c r="FA124" s="1428"/>
      <c r="FB124" s="996">
        <f>IF(EZ124=0,0,(FA124-EZ124)/EZ124*100)</f>
        <v>0</v>
      </c>
      <c r="FC124" s="1428"/>
      <c r="FD124" s="1428"/>
      <c r="FE124" s="996">
        <f>IF(FC124=0,0,(FD124-FC124)/FC124*100)</f>
        <v>0</v>
      </c>
      <c r="FF124" s="1428"/>
      <c r="FG124" s="1428"/>
      <c r="FH124" s="996">
        <f>IF(FF124=0,0,(FG124-FF124)/FF124*100)</f>
        <v>0</v>
      </c>
      <c r="FI124" s="1428"/>
      <c r="FJ124" s="1428"/>
      <c r="FK124" s="996">
        <f>IF(FI124=0,0,(FJ124-FI124)/FI124*100)</f>
        <v>0</v>
      </c>
      <c r="FL124" s="1428"/>
      <c r="FM124" s="1428"/>
      <c r="FN124" s="996">
        <f>IF(FL124=0,0,(FM124-FL124)/FL124*100)</f>
        <v>0</v>
      </c>
      <c r="FO124" s="1428"/>
      <c r="FP124" s="1428"/>
      <c r="FQ124" s="996">
        <f>IF(FO124=0,0,(FP124-FO124)/FO124*100)</f>
        <v>0</v>
      </c>
      <c r="FR124" s="1428"/>
      <c r="FS124" s="1428"/>
      <c r="FT124" s="996">
        <f>IF(FR124=0,0,(FS124-FR124)/FR124*100)</f>
        <v>0</v>
      </c>
      <c r="FU124" s="1428"/>
      <c r="FV124" s="1428"/>
      <c r="FW124" s="996">
        <f>IF(FU124=0,0,(FV124-FU124)/FU124*100)</f>
        <v>0</v>
      </c>
      <c r="FX124" s="1207"/>
      <c r="FY124" s="1207"/>
      <c r="FZ124" s="957" t="s">
        <v>1519</v>
      </c>
      <c r="GA124" s="1209"/>
      <c r="GB124" s="1209"/>
      <c r="GC124" s="1208"/>
      <c r="GD124" s="1208"/>
    </row>
    <row r="125" spans="1:186" s="1327" customFormat="1" ht="14.25" hidden="1" customHeight="1">
      <c r="A125" s="409"/>
      <c r="B125" s="830" t="b" cm="1">
        <f t="array" ref="B125">B124</f>
        <v>0</v>
      </c>
      <c r="C125" s="409"/>
      <c r="D125" s="409"/>
      <c r="E125" s="754">
        <v>15</v>
      </c>
      <c r="F125" s="3" t="str" cm="1">
        <f t="array" aca="1" ref="F125" ca="1">OFFSET(E125,-1,1)</f>
        <v>1</v>
      </c>
      <c r="G125" s="409"/>
      <c r="H125" s="409" t="s">
        <v>1496</v>
      </c>
      <c r="I125" s="409" t="s">
        <v>1471</v>
      </c>
      <c r="J125" s="409"/>
      <c r="K125" s="409"/>
      <c r="L125" s="409"/>
      <c r="M125" s="409"/>
      <c r="N125" s="409"/>
      <c r="O125" s="409"/>
      <c r="P125" s="409"/>
      <c r="Q125" s="409"/>
      <c r="R125" s="409"/>
      <c r="S125" s="409"/>
      <c r="T125" s="381" t="b" cm="1">
        <f t="array" aca="1" ref="T125" ca="1">T124</f>
        <v>1</v>
      </c>
      <c r="U125" s="409"/>
      <c r="V125" s="409"/>
      <c r="W125" s="409"/>
      <c r="X125" s="1787"/>
      <c r="Y125" s="409"/>
      <c r="Z125" s="1734"/>
      <c r="AA125" s="409"/>
      <c r="AB125" s="811" t="s">
        <v>1497</v>
      </c>
      <c r="AC125" s="778" t="s">
        <v>1498</v>
      </c>
      <c r="AD125" s="1428"/>
      <c r="AE125" s="1428"/>
      <c r="AF125" s="996">
        <f>IF(AD125=0,0,(AE125-AD125)/AD125*100)</f>
        <v>0</v>
      </c>
      <c r="AG125" s="1428"/>
      <c r="AH125" s="1428"/>
      <c r="AI125" s="996">
        <f>IF(AG125=0,0,(AH125-AG125)/AG125*100)</f>
        <v>0</v>
      </c>
      <c r="AJ125" s="1428"/>
      <c r="AK125" s="1428"/>
      <c r="AL125" s="996">
        <f>IF(AJ125=0,0,(AK125-AJ125)/AJ125*100)</f>
        <v>0</v>
      </c>
      <c r="AM125" s="1428"/>
      <c r="AN125" s="1428"/>
      <c r="AO125" s="996">
        <f>IF(AM125=0,0,(AN125-AM125)/AM125*100)</f>
        <v>0</v>
      </c>
      <c r="AP125" s="1428"/>
      <c r="AQ125" s="1428"/>
      <c r="AR125" s="996">
        <f>IF(AP125=0,0,(AQ125-AP125)/AP125*100)</f>
        <v>0</v>
      </c>
      <c r="AS125" s="1428"/>
      <c r="AT125" s="1428"/>
      <c r="AU125" s="996">
        <f>IF(AS125=0,0,(AT125-AS125)/AS125*100)</f>
        <v>0</v>
      </c>
      <c r="AV125" s="1428"/>
      <c r="AW125" s="1428"/>
      <c r="AX125" s="996">
        <f>IF(AV125=0,0,(AW125-AV125)/AV125*100)</f>
        <v>0</v>
      </c>
      <c r="AY125" s="1428"/>
      <c r="AZ125" s="1428"/>
      <c r="BA125" s="996">
        <f>IF(AY125=0,0,(AZ125-AY125)/AY125*100)</f>
        <v>0</v>
      </c>
      <c r="BB125" s="1428"/>
      <c r="BC125" s="1428"/>
      <c r="BD125" s="996">
        <f>IF(BB125=0,0,(BC125-BB125)/BB125*100)</f>
        <v>0</v>
      </c>
      <c r="BE125" s="1428"/>
      <c r="BF125" s="1428"/>
      <c r="BG125" s="996">
        <f>IF(BE125=0,0,(BF125-BE125)/BE125*100)</f>
        <v>0</v>
      </c>
      <c r="BH125" s="1428"/>
      <c r="BI125" s="1428"/>
      <c r="BJ125" s="996">
        <f>IF(BH125=0,0,(BI125-BH125)/BH125*100)</f>
        <v>0</v>
      </c>
      <c r="BK125" s="1428"/>
      <c r="BL125" s="1428"/>
      <c r="BM125" s="996">
        <f>IF(BK125=0,0,(BL125-BK125)/BK125*100)</f>
        <v>0</v>
      </c>
      <c r="BN125" s="1428"/>
      <c r="BO125" s="1428"/>
      <c r="BP125" s="996">
        <f>IF(BN125=0,0,(BO125-BN125)/BN125*100)</f>
        <v>0</v>
      </c>
      <c r="BQ125" s="1428"/>
      <c r="BR125" s="1428"/>
      <c r="BS125" s="996">
        <f>IF(BQ125=0,0,(BR125-BQ125)/BQ125*100)</f>
        <v>0</v>
      </c>
      <c r="BT125" s="1428"/>
      <c r="BU125" s="1428"/>
      <c r="BV125" s="996">
        <f>IF(BT125=0,0,(BU125-BT125)/BT125*100)</f>
        <v>0</v>
      </c>
      <c r="BW125" s="1428"/>
      <c r="BX125" s="1428"/>
      <c r="BY125" s="996">
        <f>IF(BW125=0,0,(BX125-BW125)/BW125*100)</f>
        <v>0</v>
      </c>
      <c r="BZ125" s="1428"/>
      <c r="CA125" s="1428"/>
      <c r="CB125" s="996">
        <f>IF(BZ125=0,0,(CA125-BZ125)/BZ125*100)</f>
        <v>0</v>
      </c>
      <c r="CC125" s="1428"/>
      <c r="CD125" s="1428"/>
      <c r="CE125" s="996">
        <f>IF(CC125=0,0,(CD125-CC125)/CC125*100)</f>
        <v>0</v>
      </c>
      <c r="CF125" s="1428"/>
      <c r="CG125" s="1428"/>
      <c r="CH125" s="996">
        <f>IF(CF125=0,0,(CG125-CF125)/CF125*100)</f>
        <v>0</v>
      </c>
      <c r="CI125" s="1428"/>
      <c r="CJ125" s="1428"/>
      <c r="CK125" s="996">
        <f>IF(CI125=0,0,(CJ125-CI125)/CI125*100)</f>
        <v>0</v>
      </c>
      <c r="CL125" s="1428"/>
      <c r="CM125" s="1428"/>
      <c r="CN125" s="996">
        <f>IF(CL125=0,0,(CM125-CL125)/CL125*100)</f>
        <v>0</v>
      </c>
      <c r="CO125" s="1428"/>
      <c r="CP125" s="1428"/>
      <c r="CQ125" s="996">
        <f>IF(CO125=0,0,(CP125-CO125)/CO125*100)</f>
        <v>0</v>
      </c>
      <c r="CR125" s="1428"/>
      <c r="CS125" s="1428"/>
      <c r="CT125" s="996">
        <f>IF(CR125=0,0,(CS125-CR125)/CR125*100)</f>
        <v>0</v>
      </c>
      <c r="CU125" s="1428"/>
      <c r="CV125" s="1428"/>
      <c r="CW125" s="996">
        <f>IF(CU125=0,0,(CV125-CU125)/CU125*100)</f>
        <v>0</v>
      </c>
      <c r="CX125" s="1428"/>
      <c r="CY125" s="1428"/>
      <c r="CZ125" s="996">
        <f>IF(CX125=0,0,(CY125-CX125)/CX125*100)</f>
        <v>0</v>
      </c>
      <c r="DA125" s="1428"/>
      <c r="DB125" s="1428"/>
      <c r="DC125" s="996">
        <f>IF(DA125=0,0,(DB125-DA125)/DA125*100)</f>
        <v>0</v>
      </c>
      <c r="DD125" s="1428"/>
      <c r="DE125" s="1428"/>
      <c r="DF125" s="996">
        <f>IF(DD125=0,0,(DE125-DD125)/DD125*100)</f>
        <v>0</v>
      </c>
      <c r="DG125" s="1428"/>
      <c r="DH125" s="1428"/>
      <c r="DI125" s="996">
        <f>IF(DG125=0,0,(DH125-DG125)/DG125*100)</f>
        <v>0</v>
      </c>
      <c r="DJ125" s="1428"/>
      <c r="DK125" s="1428"/>
      <c r="DL125" s="996">
        <f>IF(DJ125=0,0,(DK125-DJ125)/DJ125*100)</f>
        <v>0</v>
      </c>
      <c r="DM125" s="1428"/>
      <c r="DN125" s="1428"/>
      <c r="DO125" s="996">
        <f>IF(DM125=0,0,(DN125-DM125)/DM125*100)</f>
        <v>0</v>
      </c>
      <c r="DP125" s="1428"/>
      <c r="DQ125" s="1428"/>
      <c r="DR125" s="996">
        <f>IF(DP125=0,0,(DQ125-DP125)/DP125*100)</f>
        <v>0</v>
      </c>
      <c r="DS125" s="1428"/>
      <c r="DT125" s="1428"/>
      <c r="DU125" s="996">
        <f>IF(DS125=0,0,(DT125-DS125)/DS125*100)</f>
        <v>0</v>
      </c>
      <c r="DV125" s="1428"/>
      <c r="DW125" s="1428"/>
      <c r="DX125" s="996">
        <f>IF(DV125=0,0,(DW125-DV125)/DV125*100)</f>
        <v>0</v>
      </c>
      <c r="DY125" s="1428"/>
      <c r="DZ125" s="1428"/>
      <c r="EA125" s="996">
        <f>IF(DY125=0,0,(DZ125-DY125)/DY125*100)</f>
        <v>0</v>
      </c>
      <c r="EB125" s="1428"/>
      <c r="EC125" s="1428"/>
      <c r="ED125" s="996">
        <f>IF(EB125=0,0,(EC125-EB125)/EB125*100)</f>
        <v>0</v>
      </c>
      <c r="EE125" s="1428"/>
      <c r="EF125" s="1428"/>
      <c r="EG125" s="996">
        <f>IF(EE125=0,0,(EF125-EE125)/EE125*100)</f>
        <v>0</v>
      </c>
      <c r="EH125" s="1428"/>
      <c r="EI125" s="1428"/>
      <c r="EJ125" s="996">
        <f>IF(EH125=0,0,(EI125-EH125)/EH125*100)</f>
        <v>0</v>
      </c>
      <c r="EK125" s="1428"/>
      <c r="EL125" s="1428"/>
      <c r="EM125" s="996">
        <f>IF(EK125=0,0,(EL125-EK125)/EK125*100)</f>
        <v>0</v>
      </c>
      <c r="EN125" s="1428"/>
      <c r="EO125" s="1428"/>
      <c r="EP125" s="996">
        <f>IF(EN125=0,0,(EO125-EN125)/EN125*100)</f>
        <v>0</v>
      </c>
      <c r="EQ125" s="1428"/>
      <c r="ER125" s="1428"/>
      <c r="ES125" s="996">
        <f>IF(EQ125=0,0,(ER125-EQ125)/EQ125*100)</f>
        <v>0</v>
      </c>
      <c r="ET125" s="1428"/>
      <c r="EU125" s="1428"/>
      <c r="EV125" s="996">
        <f>IF(ET125=0,0,(EU125-ET125)/ET125*100)</f>
        <v>0</v>
      </c>
      <c r="EW125" s="1428"/>
      <c r="EX125" s="1428"/>
      <c r="EY125" s="996">
        <f>IF(EW125=0,0,(EX125-EW125)/EW125*100)</f>
        <v>0</v>
      </c>
      <c r="EZ125" s="1428"/>
      <c r="FA125" s="1428"/>
      <c r="FB125" s="996">
        <f>IF(EZ125=0,0,(FA125-EZ125)/EZ125*100)</f>
        <v>0</v>
      </c>
      <c r="FC125" s="1428"/>
      <c r="FD125" s="1428"/>
      <c r="FE125" s="996">
        <f>IF(FC125=0,0,(FD125-FC125)/FC125*100)</f>
        <v>0</v>
      </c>
      <c r="FF125" s="1428"/>
      <c r="FG125" s="1428"/>
      <c r="FH125" s="996">
        <f>IF(FF125=0,0,(FG125-FF125)/FF125*100)</f>
        <v>0</v>
      </c>
      <c r="FI125" s="1428"/>
      <c r="FJ125" s="1428"/>
      <c r="FK125" s="996">
        <f>IF(FI125=0,0,(FJ125-FI125)/FI125*100)</f>
        <v>0</v>
      </c>
      <c r="FL125" s="1428"/>
      <c r="FM125" s="1428"/>
      <c r="FN125" s="996">
        <f>IF(FL125=0,0,(FM125-FL125)/FL125*100)</f>
        <v>0</v>
      </c>
      <c r="FO125" s="1428"/>
      <c r="FP125" s="1428"/>
      <c r="FQ125" s="996">
        <f>IF(FO125=0,0,(FP125-FO125)/FO125*100)</f>
        <v>0</v>
      </c>
      <c r="FR125" s="1428"/>
      <c r="FS125" s="1428"/>
      <c r="FT125" s="996">
        <f>IF(FR125=0,0,(FS125-FR125)/FR125*100)</f>
        <v>0</v>
      </c>
      <c r="FU125" s="1428"/>
      <c r="FV125" s="1428"/>
      <c r="FW125" s="996">
        <f>IF(FU125=0,0,(FV125-FU125)/FU125*100)</f>
        <v>0</v>
      </c>
      <c r="FX125" s="1207"/>
      <c r="FY125" s="1207"/>
      <c r="FZ125" s="957" t="s">
        <v>1520</v>
      </c>
      <c r="GA125" s="1209"/>
      <c r="GB125" s="1209"/>
      <c r="GC125" s="1208"/>
      <c r="GD125" s="1208"/>
    </row>
    <row r="126" spans="1:186" s="1327" customFormat="1" ht="18" hidden="1" customHeight="1">
      <c r="A126" s="409"/>
      <c r="B126" s="830" t="b" cm="1">
        <f t="array" ref="B126">B125</f>
        <v>0</v>
      </c>
      <c r="C126" s="409"/>
      <c r="D126" s="409"/>
      <c r="E126" s="754">
        <v>18.75</v>
      </c>
      <c r="F126" s="3" t="str" cm="1">
        <f t="array" aca="1" ref="F126" ca="1">OFFSET(E126,-1,1)</f>
        <v>1</v>
      </c>
      <c r="G126" s="409"/>
      <c r="H126" s="409"/>
      <c r="I126" s="409"/>
      <c r="J126" s="409"/>
      <c r="K126" s="409"/>
      <c r="L126" s="409"/>
      <c r="M126" s="409"/>
      <c r="N126" s="409"/>
      <c r="O126" s="409"/>
      <c r="P126" s="409"/>
      <c r="Q126" s="409"/>
      <c r="R126" s="409"/>
      <c r="S126" s="409"/>
      <c r="T126" s="381" t="b">
        <f ca="1">AND(F126&gt;0,Y126&gt;0)</f>
        <v>0</v>
      </c>
      <c r="U126" s="409"/>
      <c r="V126" s="409"/>
      <c r="W126" s="409" t="s">
        <v>173</v>
      </c>
      <c r="X126" s="1787"/>
      <c r="Y126" s="1787">
        <v>0</v>
      </c>
      <c r="Z126" s="1734"/>
      <c r="AA126" s="1681" t="s">
        <v>174</v>
      </c>
      <c r="AB126" s="1427"/>
      <c r="AC126" s="779"/>
      <c r="AD126" s="1006"/>
      <c r="AE126" s="1007"/>
      <c r="AF126" s="1007"/>
      <c r="AG126" s="1006"/>
      <c r="AH126" s="1007"/>
      <c r="AI126" s="1007"/>
      <c r="AJ126" s="1006"/>
      <c r="AK126" s="1007"/>
      <c r="AL126" s="1007"/>
      <c r="AM126" s="1006"/>
      <c r="AN126" s="1007"/>
      <c r="AO126" s="1007"/>
      <c r="AP126" s="1006"/>
      <c r="AQ126" s="1007"/>
      <c r="AR126" s="1007"/>
      <c r="AS126" s="1006"/>
      <c r="AT126" s="1007"/>
      <c r="AU126" s="1007"/>
      <c r="AV126" s="1006"/>
      <c r="AW126" s="1007"/>
      <c r="AX126" s="1007"/>
      <c r="AY126" s="1006"/>
      <c r="AZ126" s="1007"/>
      <c r="BA126" s="1007"/>
      <c r="BB126" s="1006"/>
      <c r="BC126" s="1007"/>
      <c r="BD126" s="1007"/>
      <c r="BE126" s="1006"/>
      <c r="BF126" s="1007"/>
      <c r="BG126" s="1007"/>
      <c r="BH126" s="1006"/>
      <c r="BI126" s="1007"/>
      <c r="BJ126" s="1007"/>
      <c r="BK126" s="1006"/>
      <c r="BL126" s="1007"/>
      <c r="BM126" s="1007"/>
      <c r="BN126" s="1006"/>
      <c r="BO126" s="1007"/>
      <c r="BP126" s="1007"/>
      <c r="BQ126" s="1006"/>
      <c r="BR126" s="1007"/>
      <c r="BS126" s="1007"/>
      <c r="BT126" s="1006"/>
      <c r="BU126" s="1007"/>
      <c r="BV126" s="1007"/>
      <c r="BW126" s="1006"/>
      <c r="BX126" s="1007"/>
      <c r="BY126" s="1007"/>
      <c r="BZ126" s="1006"/>
      <c r="CA126" s="1007"/>
      <c r="CB126" s="1007"/>
      <c r="CC126" s="1006"/>
      <c r="CD126" s="1007"/>
      <c r="CE126" s="1007"/>
      <c r="CF126" s="1006"/>
      <c r="CG126" s="1007"/>
      <c r="CH126" s="1007"/>
      <c r="CI126" s="1006"/>
      <c r="CJ126" s="1007"/>
      <c r="CK126" s="1007"/>
      <c r="CL126" s="1006"/>
      <c r="CM126" s="1007"/>
      <c r="CN126" s="1007"/>
      <c r="CO126" s="1006"/>
      <c r="CP126" s="1007"/>
      <c r="CQ126" s="1007"/>
      <c r="CR126" s="1006"/>
      <c r="CS126" s="1007"/>
      <c r="CT126" s="1007"/>
      <c r="CU126" s="1006"/>
      <c r="CV126" s="1007"/>
      <c r="CW126" s="1007"/>
      <c r="CX126" s="1006"/>
      <c r="CY126" s="1007"/>
      <c r="CZ126" s="1007"/>
      <c r="DA126" s="1006"/>
      <c r="DB126" s="1007"/>
      <c r="DC126" s="1007"/>
      <c r="DD126" s="1006"/>
      <c r="DE126" s="1007"/>
      <c r="DF126" s="1007"/>
      <c r="DG126" s="1006"/>
      <c r="DH126" s="1007"/>
      <c r="DI126" s="1007"/>
      <c r="DJ126" s="1006"/>
      <c r="DK126" s="1007"/>
      <c r="DL126" s="1007"/>
      <c r="DM126" s="1006"/>
      <c r="DN126" s="1007"/>
      <c r="DO126" s="1007"/>
      <c r="DP126" s="1006"/>
      <c r="DQ126" s="1007"/>
      <c r="DR126" s="1007"/>
      <c r="DS126" s="1006"/>
      <c r="DT126" s="1007"/>
      <c r="DU126" s="1007"/>
      <c r="DV126" s="1006"/>
      <c r="DW126" s="1007"/>
      <c r="DX126" s="1007"/>
      <c r="DY126" s="1006"/>
      <c r="DZ126" s="1007"/>
      <c r="EA126" s="1007"/>
      <c r="EB126" s="1006"/>
      <c r="EC126" s="1007"/>
      <c r="ED126" s="1007"/>
      <c r="EE126" s="1006"/>
      <c r="EF126" s="1007"/>
      <c r="EG126" s="1007"/>
      <c r="EH126" s="1006"/>
      <c r="EI126" s="1007"/>
      <c r="EJ126" s="1007"/>
      <c r="EK126" s="1006"/>
      <c r="EL126" s="1007"/>
      <c r="EM126" s="1007"/>
      <c r="EN126" s="1006"/>
      <c r="EO126" s="1007"/>
      <c r="EP126" s="1007"/>
      <c r="EQ126" s="1006"/>
      <c r="ER126" s="1007"/>
      <c r="ES126" s="1007"/>
      <c r="ET126" s="1006"/>
      <c r="EU126" s="1007"/>
      <c r="EV126" s="1007"/>
      <c r="EW126" s="1006"/>
      <c r="EX126" s="1007"/>
      <c r="EY126" s="1007"/>
      <c r="EZ126" s="1006"/>
      <c r="FA126" s="1007"/>
      <c r="FB126" s="1007"/>
      <c r="FC126" s="1006"/>
      <c r="FD126" s="1007"/>
      <c r="FE126" s="1007"/>
      <c r="FF126" s="1006"/>
      <c r="FG126" s="1007"/>
      <c r="FH126" s="1007"/>
      <c r="FI126" s="1006"/>
      <c r="FJ126" s="1007"/>
      <c r="FK126" s="1007"/>
      <c r="FL126" s="1006"/>
      <c r="FM126" s="1007"/>
      <c r="FN126" s="1007"/>
      <c r="FO126" s="1006"/>
      <c r="FP126" s="1007"/>
      <c r="FQ126" s="1007"/>
      <c r="FR126" s="1006"/>
      <c r="FS126" s="1007"/>
      <c r="FT126" s="1007"/>
      <c r="FU126" s="1006"/>
      <c r="FV126" s="1007"/>
      <c r="FW126" s="1008"/>
      <c r="FX126" s="1207"/>
      <c r="FY126" s="1207"/>
      <c r="FZ126" s="957"/>
      <c r="GA126" s="1209"/>
      <c r="GB126" s="1209"/>
      <c r="GC126" s="1208"/>
      <c r="GD126" s="549" t="b">
        <v>1</v>
      </c>
    </row>
    <row r="127" spans="1:186" s="1327" customFormat="1" ht="14.25" hidden="1" customHeight="1">
      <c r="A127" s="409"/>
      <c r="B127" s="830" t="b" cm="1">
        <f t="array" ref="B127">B126</f>
        <v>0</v>
      </c>
      <c r="C127" s="409"/>
      <c r="D127" s="409"/>
      <c r="E127" s="754">
        <v>15</v>
      </c>
      <c r="F127" s="3" t="str" cm="1">
        <f t="array" aca="1" ref="F127" ca="1">OFFSET(E127,-1,1)</f>
        <v>1</v>
      </c>
      <c r="G127" s="409"/>
      <c r="H127" s="409" t="s">
        <v>1412</v>
      </c>
      <c r="I127" s="409" cm="1">
        <f t="array" ref="I127">AB126</f>
        <v>0</v>
      </c>
      <c r="J127" s="409"/>
      <c r="K127" s="409"/>
      <c r="L127" s="409"/>
      <c r="M127" s="409"/>
      <c r="N127" s="409"/>
      <c r="O127" s="409"/>
      <c r="P127" s="409"/>
      <c r="Q127" s="409"/>
      <c r="R127" s="409"/>
      <c r="S127" s="409"/>
      <c r="T127" s="381" t="b" cm="1">
        <f t="array" aca="1" ref="T127" ca="1">T126</f>
        <v>0</v>
      </c>
      <c r="U127" s="409"/>
      <c r="V127" s="409"/>
      <c r="W127" s="409"/>
      <c r="X127" s="1787"/>
      <c r="Y127" s="1787"/>
      <c r="Z127" s="1734"/>
      <c r="AA127" s="1681"/>
      <c r="AB127" s="811" t="s">
        <v>1487</v>
      </c>
      <c r="AC127" s="778" t="s">
        <v>1454</v>
      </c>
      <c r="AD127" s="1428">
        <f>IF(AD129=0,0,(AD128*AD129+AD130*AD131*IF(god=2026,3,6))/AD129)</f>
        <v>0</v>
      </c>
      <c r="AE127" s="1428">
        <f>IF(AE129=0,0,(AE128*AE129+AE130*AE131*IF(god=2026,3,6))/AE129)</f>
        <v>0</v>
      </c>
      <c r="AF127" s="996">
        <f>IF(AD127=0,0,(AE127-AD127)/AD127*100)</f>
        <v>0</v>
      </c>
      <c r="AG127" s="1428">
        <f>IF(AG129=0,0,(AG128*AG129+AG130*AG131*IF(god=2025,3,6))/AG129)</f>
        <v>0</v>
      </c>
      <c r="AH127" s="1428">
        <f>IF(AH129=0,0,(AH128*AH129+AH130*AH131*IF(god=2025,3,6))/AH129)</f>
        <v>0</v>
      </c>
      <c r="AI127" s="996">
        <f>IF(AG127=0,0,(AH127-AG127)/AG127*100)</f>
        <v>0</v>
      </c>
      <c r="AJ127" s="1428">
        <f>IF(AJ129=0,0,(AJ128*AJ129+AJ130*AJ131*6)/AJ129)</f>
        <v>0</v>
      </c>
      <c r="AK127" s="1428">
        <f>IF(AK129=0,0,(AK128*AK129+AK130*AK131*6)/AK129)</f>
        <v>0</v>
      </c>
      <c r="AL127" s="996">
        <f>IF(AJ127=0,0,(AK127-AJ127)/AJ127*100)</f>
        <v>0</v>
      </c>
      <c r="AM127" s="1428">
        <f>IF(AM129=0,0,(AM128*AM129+AM130*AM131*6)/AM129)</f>
        <v>0</v>
      </c>
      <c r="AN127" s="1428">
        <f>IF(AN129=0,0,(AN128*AN129+AN130*AN131*6)/AN129)</f>
        <v>0</v>
      </c>
      <c r="AO127" s="996">
        <f>IF(AM127=0,0,(AN127-AM127)/AM127*100)</f>
        <v>0</v>
      </c>
      <c r="AP127" s="1428">
        <f>IF(AP129=0,0,(AP128*AP129+AP130*AP131*6)/AP129)</f>
        <v>0</v>
      </c>
      <c r="AQ127" s="1428">
        <f>IF(AQ129=0,0,(AQ128*AQ129+AQ130*AQ131*6)/AQ129)</f>
        <v>0</v>
      </c>
      <c r="AR127" s="996">
        <f>IF(AP127=0,0,(AQ127-AP127)/AP127*100)</f>
        <v>0</v>
      </c>
      <c r="AS127" s="1428">
        <f>IF(AS129=0,0,(AS128*AS129+AS130*AS131*6)/AS129)</f>
        <v>0</v>
      </c>
      <c r="AT127" s="1428">
        <f>IF(AT129=0,0,(AT128*AT129+AT130*AT131*6)/AT129)</f>
        <v>0</v>
      </c>
      <c r="AU127" s="996">
        <f>IF(AS127=0,0,(AT127-AS127)/AS127*100)</f>
        <v>0</v>
      </c>
      <c r="AV127" s="1428">
        <f>IF(AV129=0,0,(AV128*AV129+AV130*AV131*6)/AV129)</f>
        <v>0</v>
      </c>
      <c r="AW127" s="1428">
        <f>IF(AW129=0,0,(AW128*AW129+AW130*AW131*6)/AW129)</f>
        <v>0</v>
      </c>
      <c r="AX127" s="996">
        <f>IF(AV127=0,0,(AW127-AV127)/AV127*100)</f>
        <v>0</v>
      </c>
      <c r="AY127" s="1428">
        <f>IF(AY129=0,0,(AY128*AY129+AY130*AY131*6)/AY129)</f>
        <v>0</v>
      </c>
      <c r="AZ127" s="1428">
        <f>IF(AZ129=0,0,(AZ128*AZ129+AZ130*AZ131*6)/AZ129)</f>
        <v>0</v>
      </c>
      <c r="BA127" s="996">
        <f>IF(AY127=0,0,(AZ127-AY127)/AY127*100)</f>
        <v>0</v>
      </c>
      <c r="BB127" s="1428">
        <f>IF(BB129=0,0,(BB128*BB129+BB130*BB131*6)/BB129)</f>
        <v>0</v>
      </c>
      <c r="BC127" s="1428">
        <f>IF(BC129=0,0,(BC128*BC129+BC130*BC131*6)/BC129)</f>
        <v>0</v>
      </c>
      <c r="BD127" s="996">
        <f>IF(BB127=0,0,(BC127-BB127)/BB127*100)</f>
        <v>0</v>
      </c>
      <c r="BE127" s="1428">
        <f>IF(BE129=0,0,(BE128*BE129+BE130*BE131*6)/BE129)</f>
        <v>0</v>
      </c>
      <c r="BF127" s="1428">
        <f>IF(BF129=0,0,(BF128*BF129+BF130*BF131*6)/BF129)</f>
        <v>0</v>
      </c>
      <c r="BG127" s="996">
        <f>IF(BE127=0,0,(BF127-BE127)/BE127*100)</f>
        <v>0</v>
      </c>
      <c r="BH127" s="1428">
        <f>IF(BH129=0,0,(BH128*BH129+BH130*BH131*6)/BH129)</f>
        <v>0</v>
      </c>
      <c r="BI127" s="1428">
        <f>IF(BI129=0,0,(BI128*BI129+BI130*BI131*6)/BI129)</f>
        <v>0</v>
      </c>
      <c r="BJ127" s="996">
        <f>IF(BH127=0,0,(BI127-BH127)/BH127*100)</f>
        <v>0</v>
      </c>
      <c r="BK127" s="1428">
        <f>IF(BK129=0,0,(BK128*BK129+BK130*BK131*6)/BK129)</f>
        <v>0</v>
      </c>
      <c r="BL127" s="1428">
        <f>IF(BL129=0,0,(BL128*BL129+BL130*BL131*6)/BL129)</f>
        <v>0</v>
      </c>
      <c r="BM127" s="996">
        <f>IF(BK127=0,0,(BL127-BK127)/BK127*100)</f>
        <v>0</v>
      </c>
      <c r="BN127" s="1428">
        <f>IF(BN129=0,0,(BN128*BN129+BN130*BN131*6)/BN129)</f>
        <v>0</v>
      </c>
      <c r="BO127" s="1428">
        <f>IF(BO129=0,0,(BO128*BO129+BO130*BO131*6)/BO129)</f>
        <v>0</v>
      </c>
      <c r="BP127" s="996">
        <f>IF(BN127=0,0,(BO127-BN127)/BN127*100)</f>
        <v>0</v>
      </c>
      <c r="BQ127" s="1428">
        <f>IF(BQ129=0,0,(BQ128*BQ129+BQ130*BQ131*6)/BQ129)</f>
        <v>0</v>
      </c>
      <c r="BR127" s="1428">
        <f>IF(BR129=0,0,(BR128*BR129+BR130*BR131*6)/BR129)</f>
        <v>0</v>
      </c>
      <c r="BS127" s="996">
        <f>IF(BQ127=0,0,(BR127-BQ127)/BQ127*100)</f>
        <v>0</v>
      </c>
      <c r="BT127" s="1428">
        <f>IF(BT129=0,0,(BT128*BT129+BT130*BT131*6)/BT129)</f>
        <v>0</v>
      </c>
      <c r="BU127" s="1428">
        <f>IF(BU129=0,0,(BU128*BU129+BU130*BU131*6)/BU129)</f>
        <v>0</v>
      </c>
      <c r="BV127" s="996">
        <f>IF(BT127=0,0,(BU127-BT127)/BT127*100)</f>
        <v>0</v>
      </c>
      <c r="BW127" s="1428">
        <f>IF(BW129=0,0,(BW128*BW129+BW130*BW131*6)/BW129)</f>
        <v>0</v>
      </c>
      <c r="BX127" s="1428">
        <f>IF(BX129=0,0,(BX128*BX129+BX130*BX131*6)/BX129)</f>
        <v>0</v>
      </c>
      <c r="BY127" s="996">
        <f>IF(BW127=0,0,(BX127-BW127)/BW127*100)</f>
        <v>0</v>
      </c>
      <c r="BZ127" s="1428">
        <f>IF(BZ129=0,0,(BZ128*BZ129+BZ130*BZ131*6)/BZ129)</f>
        <v>0</v>
      </c>
      <c r="CA127" s="1428">
        <f>IF(CA129=0,0,(CA128*CA129+CA130*CA131*6)/CA129)</f>
        <v>0</v>
      </c>
      <c r="CB127" s="996">
        <f>IF(BZ127=0,0,(CA127-BZ127)/BZ127*100)</f>
        <v>0</v>
      </c>
      <c r="CC127" s="1428">
        <f>IF(CC129=0,0,(CC128*CC129+CC130*CC131*6)/CC129)</f>
        <v>0</v>
      </c>
      <c r="CD127" s="1428">
        <f>IF(CD129=0,0,(CD128*CD129+CD130*CD131*6)/CD129)</f>
        <v>0</v>
      </c>
      <c r="CE127" s="996">
        <f>IF(CC127=0,0,(CD127-CC127)/CC127*100)</f>
        <v>0</v>
      </c>
      <c r="CF127" s="1428">
        <f>IF(CF129=0,0,(CF128*CF129+CF130*CF131*6)/CF129)</f>
        <v>0</v>
      </c>
      <c r="CG127" s="1428">
        <f>IF(CG129=0,0,(CG128*CG129+CG130*CG131*6)/CG129)</f>
        <v>0</v>
      </c>
      <c r="CH127" s="996">
        <f>IF(CF127=0,0,(CG127-CF127)/CF127*100)</f>
        <v>0</v>
      </c>
      <c r="CI127" s="1428">
        <f>IF(CI129=0,0,(CI128*CI129+CI130*CI131*6)/CI129)</f>
        <v>0</v>
      </c>
      <c r="CJ127" s="1428">
        <f>IF(CJ129=0,0,(CJ128*CJ129+CJ130*CJ131*6)/CJ129)</f>
        <v>0</v>
      </c>
      <c r="CK127" s="996">
        <f>IF(CI127=0,0,(CJ127-CI127)/CI127*100)</f>
        <v>0</v>
      </c>
      <c r="CL127" s="1428">
        <f>IF(CL129=0,0,(CL128*CL129+CL130*CL131*6)/CL129)</f>
        <v>0</v>
      </c>
      <c r="CM127" s="1428">
        <f>IF(CM129=0,0,(CM128*CM129+CM130*CM131*6)/CM129)</f>
        <v>0</v>
      </c>
      <c r="CN127" s="996">
        <f>IF(CL127=0,0,(CM127-CL127)/CL127*100)</f>
        <v>0</v>
      </c>
      <c r="CO127" s="1428">
        <f>IF(CO129=0,0,(CO128*CO129+CO130*CO131*6)/CO129)</f>
        <v>0</v>
      </c>
      <c r="CP127" s="1428">
        <f>IF(CP129=0,0,(CP128*CP129+CP130*CP131*6)/CP129)</f>
        <v>0</v>
      </c>
      <c r="CQ127" s="996">
        <f>IF(CO127=0,0,(CP127-CO127)/CO127*100)</f>
        <v>0</v>
      </c>
      <c r="CR127" s="1428">
        <f>IF(CR129=0,0,(CR128*CR129+CR130*CR131*6)/CR129)</f>
        <v>0</v>
      </c>
      <c r="CS127" s="1428">
        <f>IF(CS129=0,0,(CS128*CS129+CS130*CS131*6)/CS129)</f>
        <v>0</v>
      </c>
      <c r="CT127" s="996">
        <f>IF(CR127=0,0,(CS127-CR127)/CR127*100)</f>
        <v>0</v>
      </c>
      <c r="CU127" s="1428">
        <f>IF(CU129=0,0,(CU128*CU129+CU130*CU131*6)/CU129)</f>
        <v>0</v>
      </c>
      <c r="CV127" s="1428">
        <f>IF(CV129=0,0,(CV128*CV129+CV130*CV131*6)/CV129)</f>
        <v>0</v>
      </c>
      <c r="CW127" s="996">
        <f>IF(CU127=0,0,(CV127-CU127)/CU127*100)</f>
        <v>0</v>
      </c>
      <c r="CX127" s="1428">
        <f>IF(CX129=0,0,(CX128*CX129+CX130*CX131*6)/CX129)</f>
        <v>0</v>
      </c>
      <c r="CY127" s="1428">
        <f>IF(CY129=0,0,(CY128*CY129+CY130*CY131*6)/CY129)</f>
        <v>0</v>
      </c>
      <c r="CZ127" s="996">
        <f>IF(CX127=0,0,(CY127-CX127)/CX127*100)</f>
        <v>0</v>
      </c>
      <c r="DA127" s="1428">
        <f>IF(DA129=0,0,(DA128*DA129+DA130*DA131*6)/DA129)</f>
        <v>0</v>
      </c>
      <c r="DB127" s="1428">
        <f>IF(DB129=0,0,(DB128*DB129+DB130*DB131*6)/DB129)</f>
        <v>0</v>
      </c>
      <c r="DC127" s="996">
        <f>IF(DA127=0,0,(DB127-DA127)/DA127*100)</f>
        <v>0</v>
      </c>
      <c r="DD127" s="1428">
        <f>IF(DD129=0,0,(DD128*DD129+DD130*DD131*6)/DD129)</f>
        <v>0</v>
      </c>
      <c r="DE127" s="1428">
        <f>IF(DE129=0,0,(DE128*DE129+DE130*DE131*6)/DE129)</f>
        <v>0</v>
      </c>
      <c r="DF127" s="996">
        <f>IF(DD127=0,0,(DE127-DD127)/DD127*100)</f>
        <v>0</v>
      </c>
      <c r="DG127" s="1428">
        <f>IF(DG129=0,0,(DG128*DG129+DG130*DG131*6)/DG129)</f>
        <v>0</v>
      </c>
      <c r="DH127" s="1428">
        <f>IF(DH129=0,0,(DH128*DH129+DH130*DH131*6)/DH129)</f>
        <v>0</v>
      </c>
      <c r="DI127" s="996">
        <f>IF(DG127=0,0,(DH127-DG127)/DG127*100)</f>
        <v>0</v>
      </c>
      <c r="DJ127" s="1428">
        <f>IF(DJ129=0,0,(DJ128*DJ129+DJ130*DJ131*6)/DJ129)</f>
        <v>0</v>
      </c>
      <c r="DK127" s="1428">
        <f>IF(DK129=0,0,(DK128*DK129+DK130*DK131*6)/DK129)</f>
        <v>0</v>
      </c>
      <c r="DL127" s="996">
        <f>IF(DJ127=0,0,(DK127-DJ127)/DJ127*100)</f>
        <v>0</v>
      </c>
      <c r="DM127" s="1428">
        <f>IF(DM129=0,0,(DM128*DM129+DM130*DM131*6)/DM129)</f>
        <v>0</v>
      </c>
      <c r="DN127" s="1428">
        <f>IF(DN129=0,0,(DN128*DN129+DN130*DN131*6)/DN129)</f>
        <v>0</v>
      </c>
      <c r="DO127" s="996">
        <f>IF(DM127=0,0,(DN127-DM127)/DM127*100)</f>
        <v>0</v>
      </c>
      <c r="DP127" s="1428">
        <f>IF(DP129=0,0,(DP128*DP129+DP130*DP131*6)/DP129)</f>
        <v>0</v>
      </c>
      <c r="DQ127" s="1428">
        <f>IF(DQ129=0,0,(DQ128*DQ129+DQ130*DQ131*6)/DQ129)</f>
        <v>0</v>
      </c>
      <c r="DR127" s="996">
        <f>IF(DP127=0,0,(DQ127-DP127)/DP127*100)</f>
        <v>0</v>
      </c>
      <c r="DS127" s="1428">
        <f>IF(DS129=0,0,(DS128*DS129+DS130*DS131*6)/DS129)</f>
        <v>0</v>
      </c>
      <c r="DT127" s="1428">
        <f>IF(DT129=0,0,(DT128*DT129+DT130*DT131*6)/DT129)</f>
        <v>0</v>
      </c>
      <c r="DU127" s="996">
        <f>IF(DS127=0,0,(DT127-DS127)/DS127*100)</f>
        <v>0</v>
      </c>
      <c r="DV127" s="1428">
        <f>IF(DV129=0,0,(DV128*DV129+DV130*DV131*6)/DV129)</f>
        <v>0</v>
      </c>
      <c r="DW127" s="1428">
        <f>IF(DW129=0,0,(DW128*DW129+DW130*DW131*6)/DW129)</f>
        <v>0</v>
      </c>
      <c r="DX127" s="996">
        <f>IF(DV127=0,0,(DW127-DV127)/DV127*100)</f>
        <v>0</v>
      </c>
      <c r="DY127" s="1428">
        <f>IF(DY129=0,0,(DY128*DY129+DY130*DY131*6)/DY129)</f>
        <v>0</v>
      </c>
      <c r="DZ127" s="1428">
        <f>IF(DZ129=0,0,(DZ128*DZ129+DZ130*DZ131*6)/DZ129)</f>
        <v>0</v>
      </c>
      <c r="EA127" s="996">
        <f>IF(DY127=0,0,(DZ127-DY127)/DY127*100)</f>
        <v>0</v>
      </c>
      <c r="EB127" s="1428">
        <f>IF(EB129=0,0,(EB128*EB129+EB130*EB131*6)/EB129)</f>
        <v>0</v>
      </c>
      <c r="EC127" s="1428">
        <f>IF(EC129=0,0,(EC128*EC129+EC130*EC131*6)/EC129)</f>
        <v>0</v>
      </c>
      <c r="ED127" s="996">
        <f>IF(EB127=0,0,(EC127-EB127)/EB127*100)</f>
        <v>0</v>
      </c>
      <c r="EE127" s="1428">
        <f>IF(EE129=0,0,(EE128*EE129+EE130*EE131*6)/EE129)</f>
        <v>0</v>
      </c>
      <c r="EF127" s="1428">
        <f>IF(EF129=0,0,(EF128*EF129+EF130*EF131*6)/EF129)</f>
        <v>0</v>
      </c>
      <c r="EG127" s="996">
        <f>IF(EE127=0,0,(EF127-EE127)/EE127*100)</f>
        <v>0</v>
      </c>
      <c r="EH127" s="1428">
        <f>IF(EH129=0,0,(EH128*EH129+EH130*EH131*6)/EH129)</f>
        <v>0</v>
      </c>
      <c r="EI127" s="1428">
        <f>IF(EI129=0,0,(EI128*EI129+EI130*EI131*6)/EI129)</f>
        <v>0</v>
      </c>
      <c r="EJ127" s="996">
        <f>IF(EH127=0,0,(EI127-EH127)/EH127*100)</f>
        <v>0</v>
      </c>
      <c r="EK127" s="1428">
        <f>IF(EK129=0,0,(EK128*EK129+EK130*EK131*6)/EK129)</f>
        <v>0</v>
      </c>
      <c r="EL127" s="1428">
        <f>IF(EL129=0,0,(EL128*EL129+EL130*EL131*6)/EL129)</f>
        <v>0</v>
      </c>
      <c r="EM127" s="996">
        <f>IF(EK127=0,0,(EL127-EK127)/EK127*100)</f>
        <v>0</v>
      </c>
      <c r="EN127" s="1428">
        <f>IF(EN129=0,0,(EN128*EN129+EN130*EN131*6)/EN129)</f>
        <v>0</v>
      </c>
      <c r="EO127" s="1428">
        <f>IF(EO129=0,0,(EO128*EO129+EO130*EO131*6)/EO129)</f>
        <v>0</v>
      </c>
      <c r="EP127" s="996">
        <f>IF(EN127=0,0,(EO127-EN127)/EN127*100)</f>
        <v>0</v>
      </c>
      <c r="EQ127" s="1428">
        <f>IF(EQ129=0,0,(EQ128*EQ129+EQ130*EQ131*6)/EQ129)</f>
        <v>0</v>
      </c>
      <c r="ER127" s="1428">
        <f>IF(ER129=0,0,(ER128*ER129+ER130*ER131*6)/ER129)</f>
        <v>0</v>
      </c>
      <c r="ES127" s="996">
        <f>IF(EQ127=0,0,(ER127-EQ127)/EQ127*100)</f>
        <v>0</v>
      </c>
      <c r="ET127" s="1428">
        <f>IF(ET129=0,0,(ET128*ET129+ET130*ET131*6)/ET129)</f>
        <v>0</v>
      </c>
      <c r="EU127" s="1428">
        <f>IF(EU129=0,0,(EU128*EU129+EU130*EU131*6)/EU129)</f>
        <v>0</v>
      </c>
      <c r="EV127" s="996">
        <f>IF(ET127=0,0,(EU127-ET127)/ET127*100)</f>
        <v>0</v>
      </c>
      <c r="EW127" s="1428">
        <f>IF(EW129=0,0,(EW128*EW129+EW130*EW131*6)/EW129)</f>
        <v>0</v>
      </c>
      <c r="EX127" s="1428">
        <f>IF(EX129=0,0,(EX128*EX129+EX130*EX131*6)/EX129)</f>
        <v>0</v>
      </c>
      <c r="EY127" s="996">
        <f>IF(EW127=0,0,(EX127-EW127)/EW127*100)</f>
        <v>0</v>
      </c>
      <c r="EZ127" s="1428">
        <f>IF(EZ129=0,0,(EZ128*EZ129+EZ130*EZ131*6)/EZ129)</f>
        <v>0</v>
      </c>
      <c r="FA127" s="1428">
        <f>IF(FA129=0,0,(FA128*FA129+FA130*FA131*6)/FA129)</f>
        <v>0</v>
      </c>
      <c r="FB127" s="996">
        <f>IF(EZ127=0,0,(FA127-EZ127)/EZ127*100)</f>
        <v>0</v>
      </c>
      <c r="FC127" s="1428">
        <f>IF(FC129=0,0,(FC128*FC129+FC130*FC131*6)/FC129)</f>
        <v>0</v>
      </c>
      <c r="FD127" s="1428">
        <f>IF(FD129=0,0,(FD128*FD129+FD130*FD131*6)/FD129)</f>
        <v>0</v>
      </c>
      <c r="FE127" s="996">
        <f>IF(FC127=0,0,(FD127-FC127)/FC127*100)</f>
        <v>0</v>
      </c>
      <c r="FF127" s="1428">
        <f>IF(FF129=0,0,(FF128*FF129+FF130*FF131*6)/FF129)</f>
        <v>0</v>
      </c>
      <c r="FG127" s="1428">
        <f>IF(FG129=0,0,(FG128*FG129+FG130*FG131*6)/FG129)</f>
        <v>0</v>
      </c>
      <c r="FH127" s="996">
        <f>IF(FF127=0,0,(FG127-FF127)/FF127*100)</f>
        <v>0</v>
      </c>
      <c r="FI127" s="1428">
        <f>IF(FI129=0,0,(FI128*FI129+FI130*FI131*6)/FI129)</f>
        <v>0</v>
      </c>
      <c r="FJ127" s="1428">
        <f>IF(FJ129=0,0,(FJ128*FJ129+FJ130*FJ131*6)/FJ129)</f>
        <v>0</v>
      </c>
      <c r="FK127" s="996">
        <f>IF(FI127=0,0,(FJ127-FI127)/FI127*100)</f>
        <v>0</v>
      </c>
      <c r="FL127" s="1428">
        <f>IF(FL129=0,0,(FL128*FL129+FL130*FL131*6)/FL129)</f>
        <v>0</v>
      </c>
      <c r="FM127" s="1428">
        <f>IF(FM129=0,0,(FM128*FM129+FM130*FM131*6)/FM129)</f>
        <v>0</v>
      </c>
      <c r="FN127" s="996">
        <f>IF(FL127=0,0,(FM127-FL127)/FL127*100)</f>
        <v>0</v>
      </c>
      <c r="FO127" s="1428">
        <f>IF(FO129=0,0,(FO128*FO129+FO130*FO131*6)/FO129)</f>
        <v>0</v>
      </c>
      <c r="FP127" s="1428">
        <f>IF(FP129=0,0,(FP128*FP129+FP130*FP131*6)/FP129)</f>
        <v>0</v>
      </c>
      <c r="FQ127" s="996">
        <f>IF(FO127=0,0,(FP127-FO127)/FO127*100)</f>
        <v>0</v>
      </c>
      <c r="FR127" s="1428">
        <f>IF(FR129=0,0,(FR128*FR129+FR130*FR131*6)/FR129)</f>
        <v>0</v>
      </c>
      <c r="FS127" s="1428">
        <f>IF(FS129=0,0,(FS128*FS129+FS130*FS131*6)/FS129)</f>
        <v>0</v>
      </c>
      <c r="FT127" s="996">
        <f>IF(FR127=0,0,(FS127-FR127)/FR127*100)</f>
        <v>0</v>
      </c>
      <c r="FU127" s="1428">
        <f>IF(FU129=0,0,(FU128*FU129+FU130*FU131*6)/FU129)</f>
        <v>0</v>
      </c>
      <c r="FV127" s="1428">
        <f>IF(FV129=0,0,(FV128*FV129+FV130*FV131*6)/FV129)</f>
        <v>0</v>
      </c>
      <c r="FW127" s="996">
        <f>IF(FU127=0,0,(FV127-FU127)/FU127*100)</f>
        <v>0</v>
      </c>
      <c r="FX127" s="1207"/>
      <c r="FY127" s="1207"/>
      <c r="FZ127" s="957" t="s">
        <v>1521</v>
      </c>
      <c r="GA127" s="917" t="s">
        <v>795</v>
      </c>
      <c r="GB127" s="959" cm="1">
        <f t="array" ref="GB127">AB126</f>
        <v>0</v>
      </c>
      <c r="GC127" s="1208"/>
      <c r="GD127" s="1208"/>
    </row>
    <row r="128" spans="1:186" s="1327" customFormat="1" ht="14.25" hidden="1" customHeight="1">
      <c r="A128" s="409"/>
      <c r="B128" s="830" t="b" cm="1">
        <f t="array" ref="B128">B127</f>
        <v>0</v>
      </c>
      <c r="C128" s="409"/>
      <c r="D128" s="409"/>
      <c r="E128" s="754">
        <v>15</v>
      </c>
      <c r="F128" s="3" t="str" cm="1">
        <f t="array" aca="1" ref="F128" ca="1">OFFSET(E128,-1,1)</f>
        <v>1</v>
      </c>
      <c r="G128" s="409"/>
      <c r="H128" s="409" t="s">
        <v>1416</v>
      </c>
      <c r="I128" s="409" cm="1">
        <f t="array" ref="I128">I127</f>
        <v>0</v>
      </c>
      <c r="J128" s="409"/>
      <c r="K128" s="409"/>
      <c r="L128" s="409"/>
      <c r="M128" s="409"/>
      <c r="N128" s="409"/>
      <c r="O128" s="409"/>
      <c r="P128" s="409"/>
      <c r="Q128" s="409"/>
      <c r="R128" s="409"/>
      <c r="S128" s="409"/>
      <c r="T128" s="381" t="b" cm="1">
        <f t="array" aca="1" ref="T128" ca="1">T127</f>
        <v>0</v>
      </c>
      <c r="U128" s="409"/>
      <c r="V128" s="409"/>
      <c r="W128" s="409"/>
      <c r="X128" s="1787"/>
      <c r="Y128" s="1787"/>
      <c r="Z128" s="1734"/>
      <c r="AA128" s="1681"/>
      <c r="AB128" s="811"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778" t="s">
        <v>1454</v>
      </c>
      <c r="AD128" s="1428"/>
      <c r="AE128" s="1428"/>
      <c r="AF128" s="996">
        <f>IF(AD128=0,0,(AE128-AD128)/AD128*100)</f>
        <v>0</v>
      </c>
      <c r="AG128" s="1428"/>
      <c r="AH128" s="1428"/>
      <c r="AI128" s="996">
        <f>IF(AG128=0,0,(AH128-AG128)/AG128*100)</f>
        <v>0</v>
      </c>
      <c r="AJ128" s="1428"/>
      <c r="AK128" s="1428"/>
      <c r="AL128" s="996">
        <f>IF(AJ128=0,0,(AK128-AJ128)/AJ128*100)</f>
        <v>0</v>
      </c>
      <c r="AM128" s="1428"/>
      <c r="AN128" s="1428"/>
      <c r="AO128" s="996">
        <f>IF(AM128=0,0,(AN128-AM128)/AM128*100)</f>
        <v>0</v>
      </c>
      <c r="AP128" s="1428"/>
      <c r="AQ128" s="1428"/>
      <c r="AR128" s="996">
        <f>IF(AP128=0,0,(AQ128-AP128)/AP128*100)</f>
        <v>0</v>
      </c>
      <c r="AS128" s="1428"/>
      <c r="AT128" s="1428"/>
      <c r="AU128" s="996">
        <f>IF(AS128=0,0,(AT128-AS128)/AS128*100)</f>
        <v>0</v>
      </c>
      <c r="AV128" s="1428"/>
      <c r="AW128" s="1428"/>
      <c r="AX128" s="996">
        <f>IF(AV128=0,0,(AW128-AV128)/AV128*100)</f>
        <v>0</v>
      </c>
      <c r="AY128" s="1428"/>
      <c r="AZ128" s="1428"/>
      <c r="BA128" s="996">
        <f>IF(AY128=0,0,(AZ128-AY128)/AY128*100)</f>
        <v>0</v>
      </c>
      <c r="BB128" s="1428"/>
      <c r="BC128" s="1428"/>
      <c r="BD128" s="996">
        <f>IF(BB128=0,0,(BC128-BB128)/BB128*100)</f>
        <v>0</v>
      </c>
      <c r="BE128" s="1428"/>
      <c r="BF128" s="1428"/>
      <c r="BG128" s="996">
        <f>IF(BE128=0,0,(BF128-BE128)/BE128*100)</f>
        <v>0</v>
      </c>
      <c r="BH128" s="1428"/>
      <c r="BI128" s="1428"/>
      <c r="BJ128" s="996">
        <f>IF(BH128=0,0,(BI128-BH128)/BH128*100)</f>
        <v>0</v>
      </c>
      <c r="BK128" s="1428"/>
      <c r="BL128" s="1428"/>
      <c r="BM128" s="996">
        <f>IF(BK128=0,0,(BL128-BK128)/BK128*100)</f>
        <v>0</v>
      </c>
      <c r="BN128" s="1428"/>
      <c r="BO128" s="1428"/>
      <c r="BP128" s="996">
        <f>IF(BN128=0,0,(BO128-BN128)/BN128*100)</f>
        <v>0</v>
      </c>
      <c r="BQ128" s="1428"/>
      <c r="BR128" s="1428"/>
      <c r="BS128" s="996">
        <f>IF(BQ128=0,0,(BR128-BQ128)/BQ128*100)</f>
        <v>0</v>
      </c>
      <c r="BT128" s="1428"/>
      <c r="BU128" s="1428"/>
      <c r="BV128" s="996">
        <f>IF(BT128=0,0,(BU128-BT128)/BT128*100)</f>
        <v>0</v>
      </c>
      <c r="BW128" s="1428"/>
      <c r="BX128" s="1428"/>
      <c r="BY128" s="996">
        <f>IF(BW128=0,0,(BX128-BW128)/BW128*100)</f>
        <v>0</v>
      </c>
      <c r="BZ128" s="1428"/>
      <c r="CA128" s="1428"/>
      <c r="CB128" s="996">
        <f>IF(BZ128=0,0,(CA128-BZ128)/BZ128*100)</f>
        <v>0</v>
      </c>
      <c r="CC128" s="1428"/>
      <c r="CD128" s="1428"/>
      <c r="CE128" s="996">
        <f>IF(CC128=0,0,(CD128-CC128)/CC128*100)</f>
        <v>0</v>
      </c>
      <c r="CF128" s="1428"/>
      <c r="CG128" s="1428"/>
      <c r="CH128" s="996">
        <f>IF(CF128=0,0,(CG128-CF128)/CF128*100)</f>
        <v>0</v>
      </c>
      <c r="CI128" s="1428"/>
      <c r="CJ128" s="1428"/>
      <c r="CK128" s="996">
        <f>IF(CI128=0,0,(CJ128-CI128)/CI128*100)</f>
        <v>0</v>
      </c>
      <c r="CL128" s="1428"/>
      <c r="CM128" s="1428"/>
      <c r="CN128" s="996">
        <f>IF(CL128=0,0,(CM128-CL128)/CL128*100)</f>
        <v>0</v>
      </c>
      <c r="CO128" s="1428"/>
      <c r="CP128" s="1428"/>
      <c r="CQ128" s="996">
        <f>IF(CO128=0,0,(CP128-CO128)/CO128*100)</f>
        <v>0</v>
      </c>
      <c r="CR128" s="1428"/>
      <c r="CS128" s="1428"/>
      <c r="CT128" s="996">
        <f>IF(CR128=0,0,(CS128-CR128)/CR128*100)</f>
        <v>0</v>
      </c>
      <c r="CU128" s="1428"/>
      <c r="CV128" s="1428"/>
      <c r="CW128" s="996">
        <f>IF(CU128=0,0,(CV128-CU128)/CU128*100)</f>
        <v>0</v>
      </c>
      <c r="CX128" s="1428"/>
      <c r="CY128" s="1428"/>
      <c r="CZ128" s="996">
        <f>IF(CX128=0,0,(CY128-CX128)/CX128*100)</f>
        <v>0</v>
      </c>
      <c r="DA128" s="1428"/>
      <c r="DB128" s="1428"/>
      <c r="DC128" s="996">
        <f>IF(DA128=0,0,(DB128-DA128)/DA128*100)</f>
        <v>0</v>
      </c>
      <c r="DD128" s="1428"/>
      <c r="DE128" s="1428"/>
      <c r="DF128" s="996">
        <f>IF(DD128=0,0,(DE128-DD128)/DD128*100)</f>
        <v>0</v>
      </c>
      <c r="DG128" s="1428"/>
      <c r="DH128" s="1428"/>
      <c r="DI128" s="996">
        <f>IF(DG128=0,0,(DH128-DG128)/DG128*100)</f>
        <v>0</v>
      </c>
      <c r="DJ128" s="1428"/>
      <c r="DK128" s="1428"/>
      <c r="DL128" s="996">
        <f>IF(DJ128=0,0,(DK128-DJ128)/DJ128*100)</f>
        <v>0</v>
      </c>
      <c r="DM128" s="1428"/>
      <c r="DN128" s="1428"/>
      <c r="DO128" s="996">
        <f>IF(DM128=0,0,(DN128-DM128)/DM128*100)</f>
        <v>0</v>
      </c>
      <c r="DP128" s="1428"/>
      <c r="DQ128" s="1428"/>
      <c r="DR128" s="996">
        <f>IF(DP128=0,0,(DQ128-DP128)/DP128*100)</f>
        <v>0</v>
      </c>
      <c r="DS128" s="1428"/>
      <c r="DT128" s="1428"/>
      <c r="DU128" s="996">
        <f>IF(DS128=0,0,(DT128-DS128)/DS128*100)</f>
        <v>0</v>
      </c>
      <c r="DV128" s="1428"/>
      <c r="DW128" s="1428"/>
      <c r="DX128" s="996">
        <f>IF(DV128=0,0,(DW128-DV128)/DV128*100)</f>
        <v>0</v>
      </c>
      <c r="DY128" s="1428"/>
      <c r="DZ128" s="1428"/>
      <c r="EA128" s="996">
        <f>IF(DY128=0,0,(DZ128-DY128)/DY128*100)</f>
        <v>0</v>
      </c>
      <c r="EB128" s="1428"/>
      <c r="EC128" s="1428"/>
      <c r="ED128" s="996">
        <f>IF(EB128=0,0,(EC128-EB128)/EB128*100)</f>
        <v>0</v>
      </c>
      <c r="EE128" s="1428"/>
      <c r="EF128" s="1428"/>
      <c r="EG128" s="996">
        <f>IF(EE128=0,0,(EF128-EE128)/EE128*100)</f>
        <v>0</v>
      </c>
      <c r="EH128" s="1428"/>
      <c r="EI128" s="1428"/>
      <c r="EJ128" s="996">
        <f>IF(EH128=0,0,(EI128-EH128)/EH128*100)</f>
        <v>0</v>
      </c>
      <c r="EK128" s="1428"/>
      <c r="EL128" s="1428"/>
      <c r="EM128" s="996">
        <f>IF(EK128=0,0,(EL128-EK128)/EK128*100)</f>
        <v>0</v>
      </c>
      <c r="EN128" s="1428"/>
      <c r="EO128" s="1428"/>
      <c r="EP128" s="996">
        <f>IF(EN128=0,0,(EO128-EN128)/EN128*100)</f>
        <v>0</v>
      </c>
      <c r="EQ128" s="1428"/>
      <c r="ER128" s="1428"/>
      <c r="ES128" s="996">
        <f>IF(EQ128=0,0,(ER128-EQ128)/EQ128*100)</f>
        <v>0</v>
      </c>
      <c r="ET128" s="1428"/>
      <c r="EU128" s="1428"/>
      <c r="EV128" s="996">
        <f>IF(ET128=0,0,(EU128-ET128)/ET128*100)</f>
        <v>0</v>
      </c>
      <c r="EW128" s="1428"/>
      <c r="EX128" s="1428"/>
      <c r="EY128" s="996">
        <f>IF(EW128=0,0,(EX128-EW128)/EW128*100)</f>
        <v>0</v>
      </c>
      <c r="EZ128" s="1428"/>
      <c r="FA128" s="1428"/>
      <c r="FB128" s="996">
        <f>IF(EZ128=0,0,(FA128-EZ128)/EZ128*100)</f>
        <v>0</v>
      </c>
      <c r="FC128" s="1428"/>
      <c r="FD128" s="1428"/>
      <c r="FE128" s="996">
        <f>IF(FC128=0,0,(FD128-FC128)/FC128*100)</f>
        <v>0</v>
      </c>
      <c r="FF128" s="1428"/>
      <c r="FG128" s="1428"/>
      <c r="FH128" s="996">
        <f>IF(FF128=0,0,(FG128-FF128)/FF128*100)</f>
        <v>0</v>
      </c>
      <c r="FI128" s="1428"/>
      <c r="FJ128" s="1428"/>
      <c r="FK128" s="996">
        <f>IF(FI128=0,0,(FJ128-FI128)/FI128*100)</f>
        <v>0</v>
      </c>
      <c r="FL128" s="1428"/>
      <c r="FM128" s="1428"/>
      <c r="FN128" s="996">
        <f>IF(FL128=0,0,(FM128-FL128)/FL128*100)</f>
        <v>0</v>
      </c>
      <c r="FO128" s="1428"/>
      <c r="FP128" s="1428"/>
      <c r="FQ128" s="996">
        <f>IF(FO128=0,0,(FP128-FO128)/FO128*100)</f>
        <v>0</v>
      </c>
      <c r="FR128" s="1428"/>
      <c r="FS128" s="1428"/>
      <c r="FT128" s="996">
        <f>IF(FR128=0,0,(FS128-FR128)/FR128*100)</f>
        <v>0</v>
      </c>
      <c r="FU128" s="1428"/>
      <c r="FV128" s="1428"/>
      <c r="FW128" s="996">
        <f>IF(FU128=0,0,(FV128-FU128)/FU128*100)</f>
        <v>0</v>
      </c>
      <c r="FX128" s="1207"/>
      <c r="FY128" s="1207"/>
      <c r="FZ128" s="957" t="s">
        <v>1522</v>
      </c>
      <c r="GA128" s="917" t="s">
        <v>795</v>
      </c>
      <c r="GB128" s="917" cm="1">
        <f t="array" ref="GB128">GB127</f>
        <v>0</v>
      </c>
      <c r="GC128" s="1208"/>
      <c r="GD128" s="1208"/>
    </row>
    <row r="129" spans="1:186" s="1327" customFormat="1" ht="14.25" hidden="1" customHeight="1">
      <c r="A129" s="409"/>
      <c r="B129" s="830" t="b" cm="1">
        <f t="array" ref="B129">B128</f>
        <v>0</v>
      </c>
      <c r="C129" s="409"/>
      <c r="D129" s="409"/>
      <c r="E129" s="754">
        <v>15</v>
      </c>
      <c r="F129" s="3" t="str" cm="1">
        <f t="array" aca="1" ref="F129" ca="1">OFFSET(E129,-1,1)</f>
        <v>1</v>
      </c>
      <c r="G129" s="409"/>
      <c r="H129" s="409" t="s">
        <v>1491</v>
      </c>
      <c r="I129" s="409" cm="1">
        <f t="array" ref="I129">I128</f>
        <v>0</v>
      </c>
      <c r="J129" s="409"/>
      <c r="K129" s="409"/>
      <c r="L129" s="409"/>
      <c r="M129" s="409"/>
      <c r="N129" s="409"/>
      <c r="O129" s="409"/>
      <c r="P129" s="409"/>
      <c r="Q129" s="409"/>
      <c r="R129" s="409"/>
      <c r="S129" s="409"/>
      <c r="T129" s="381" t="b" cm="1">
        <f t="array" aca="1" ref="T129" ca="1">T128</f>
        <v>0</v>
      </c>
      <c r="U129" s="409"/>
      <c r="V129" s="409"/>
      <c r="W129" s="409"/>
      <c r="X129" s="1787"/>
      <c r="Y129" s="1787"/>
      <c r="Z129" s="1734"/>
      <c r="AA129" s="1681"/>
      <c r="AB129" s="811" t="str">
        <f>"объём "&amp;IF(Q85="Водоснабжение","потребления холодной воды","водоотведения")</f>
        <v>объём потребления холодной воды</v>
      </c>
      <c r="AC129" s="778" t="s">
        <v>499</v>
      </c>
      <c r="AD129" s="1426"/>
      <c r="AE129" s="1426"/>
      <c r="AF129" s="998">
        <f>IF(AD129=0,0,(AE129-AD129)/AD129*100)</f>
        <v>0</v>
      </c>
      <c r="AG129" s="1426"/>
      <c r="AH129" s="1426"/>
      <c r="AI129" s="998">
        <f>IF(AG129=0,0,(AH129-AG129)/AG129*100)</f>
        <v>0</v>
      </c>
      <c r="AJ129" s="1426"/>
      <c r="AK129" s="1426"/>
      <c r="AL129" s="998">
        <f>IF(AJ129=0,0,(AK129-AJ129)/AJ129*100)</f>
        <v>0</v>
      </c>
      <c r="AM129" s="1426"/>
      <c r="AN129" s="1426"/>
      <c r="AO129" s="998">
        <f>IF(AM129=0,0,(AN129-AM129)/AM129*100)</f>
        <v>0</v>
      </c>
      <c r="AP129" s="1426"/>
      <c r="AQ129" s="1426"/>
      <c r="AR129" s="998">
        <f>IF(AP129=0,0,(AQ129-AP129)/AP129*100)</f>
        <v>0</v>
      </c>
      <c r="AS129" s="1426"/>
      <c r="AT129" s="1426"/>
      <c r="AU129" s="998">
        <f>IF(AS129=0,0,(AT129-AS129)/AS129*100)</f>
        <v>0</v>
      </c>
      <c r="AV129" s="1426"/>
      <c r="AW129" s="1426"/>
      <c r="AX129" s="998">
        <f>IF(AV129=0,0,(AW129-AV129)/AV129*100)</f>
        <v>0</v>
      </c>
      <c r="AY129" s="1426"/>
      <c r="AZ129" s="1426"/>
      <c r="BA129" s="998">
        <f>IF(AY129=0,0,(AZ129-AY129)/AY129*100)</f>
        <v>0</v>
      </c>
      <c r="BB129" s="1426"/>
      <c r="BC129" s="1426"/>
      <c r="BD129" s="998">
        <f>IF(BB129=0,0,(BC129-BB129)/BB129*100)</f>
        <v>0</v>
      </c>
      <c r="BE129" s="1426"/>
      <c r="BF129" s="1426"/>
      <c r="BG129" s="998">
        <f>IF(BE129=0,0,(BF129-BE129)/BE129*100)</f>
        <v>0</v>
      </c>
      <c r="BH129" s="1426"/>
      <c r="BI129" s="1426"/>
      <c r="BJ129" s="998">
        <f>IF(BH129=0,0,(BI129-BH129)/BH129*100)</f>
        <v>0</v>
      </c>
      <c r="BK129" s="1426"/>
      <c r="BL129" s="1426"/>
      <c r="BM129" s="998">
        <f>IF(BK129=0,0,(BL129-BK129)/BK129*100)</f>
        <v>0</v>
      </c>
      <c r="BN129" s="1426"/>
      <c r="BO129" s="1426"/>
      <c r="BP129" s="998">
        <f>IF(BN129=0,0,(BO129-BN129)/BN129*100)</f>
        <v>0</v>
      </c>
      <c r="BQ129" s="1426"/>
      <c r="BR129" s="1426"/>
      <c r="BS129" s="998">
        <f>IF(BQ129=0,0,(BR129-BQ129)/BQ129*100)</f>
        <v>0</v>
      </c>
      <c r="BT129" s="1426"/>
      <c r="BU129" s="1426"/>
      <c r="BV129" s="998">
        <f>IF(BT129=0,0,(BU129-BT129)/BT129*100)</f>
        <v>0</v>
      </c>
      <c r="BW129" s="1426"/>
      <c r="BX129" s="1426"/>
      <c r="BY129" s="998">
        <f>IF(BW129=0,0,(BX129-BW129)/BW129*100)</f>
        <v>0</v>
      </c>
      <c r="BZ129" s="1426"/>
      <c r="CA129" s="1426"/>
      <c r="CB129" s="998">
        <f>IF(BZ129=0,0,(CA129-BZ129)/BZ129*100)</f>
        <v>0</v>
      </c>
      <c r="CC129" s="1426"/>
      <c r="CD129" s="1426"/>
      <c r="CE129" s="998">
        <f>IF(CC129=0,0,(CD129-CC129)/CC129*100)</f>
        <v>0</v>
      </c>
      <c r="CF129" s="1426"/>
      <c r="CG129" s="1426"/>
      <c r="CH129" s="998">
        <f>IF(CF129=0,0,(CG129-CF129)/CF129*100)</f>
        <v>0</v>
      </c>
      <c r="CI129" s="1426"/>
      <c r="CJ129" s="1426"/>
      <c r="CK129" s="998">
        <f>IF(CI129=0,0,(CJ129-CI129)/CI129*100)</f>
        <v>0</v>
      </c>
      <c r="CL129" s="1426"/>
      <c r="CM129" s="1426"/>
      <c r="CN129" s="998">
        <f>IF(CL129=0,0,(CM129-CL129)/CL129*100)</f>
        <v>0</v>
      </c>
      <c r="CO129" s="1426"/>
      <c r="CP129" s="1426"/>
      <c r="CQ129" s="998">
        <f>IF(CO129=0,0,(CP129-CO129)/CO129*100)</f>
        <v>0</v>
      </c>
      <c r="CR129" s="1426"/>
      <c r="CS129" s="1426"/>
      <c r="CT129" s="998">
        <f>IF(CR129=0,0,(CS129-CR129)/CR129*100)</f>
        <v>0</v>
      </c>
      <c r="CU129" s="1426"/>
      <c r="CV129" s="1426"/>
      <c r="CW129" s="998">
        <f>IF(CU129=0,0,(CV129-CU129)/CU129*100)</f>
        <v>0</v>
      </c>
      <c r="CX129" s="1426"/>
      <c r="CY129" s="1426"/>
      <c r="CZ129" s="998">
        <f>IF(CX129=0,0,(CY129-CX129)/CX129*100)</f>
        <v>0</v>
      </c>
      <c r="DA129" s="1426"/>
      <c r="DB129" s="1426"/>
      <c r="DC129" s="998">
        <f>IF(DA129=0,0,(DB129-DA129)/DA129*100)</f>
        <v>0</v>
      </c>
      <c r="DD129" s="1426"/>
      <c r="DE129" s="1426"/>
      <c r="DF129" s="998">
        <f>IF(DD129=0,0,(DE129-DD129)/DD129*100)</f>
        <v>0</v>
      </c>
      <c r="DG129" s="1426"/>
      <c r="DH129" s="1426"/>
      <c r="DI129" s="998">
        <f>IF(DG129=0,0,(DH129-DG129)/DG129*100)</f>
        <v>0</v>
      </c>
      <c r="DJ129" s="1426"/>
      <c r="DK129" s="1426"/>
      <c r="DL129" s="998">
        <f>IF(DJ129=0,0,(DK129-DJ129)/DJ129*100)</f>
        <v>0</v>
      </c>
      <c r="DM129" s="1426"/>
      <c r="DN129" s="1426"/>
      <c r="DO129" s="998">
        <f>IF(DM129=0,0,(DN129-DM129)/DM129*100)</f>
        <v>0</v>
      </c>
      <c r="DP129" s="1426"/>
      <c r="DQ129" s="1426"/>
      <c r="DR129" s="998">
        <f>IF(DP129=0,0,(DQ129-DP129)/DP129*100)</f>
        <v>0</v>
      </c>
      <c r="DS129" s="1426"/>
      <c r="DT129" s="1426"/>
      <c r="DU129" s="998">
        <f>IF(DS129=0,0,(DT129-DS129)/DS129*100)</f>
        <v>0</v>
      </c>
      <c r="DV129" s="1426"/>
      <c r="DW129" s="1426"/>
      <c r="DX129" s="998">
        <f>IF(DV129=0,0,(DW129-DV129)/DV129*100)</f>
        <v>0</v>
      </c>
      <c r="DY129" s="1426"/>
      <c r="DZ129" s="1426"/>
      <c r="EA129" s="998">
        <f>IF(DY129=0,0,(DZ129-DY129)/DY129*100)</f>
        <v>0</v>
      </c>
      <c r="EB129" s="1426"/>
      <c r="EC129" s="1426"/>
      <c r="ED129" s="998">
        <f>IF(EB129=0,0,(EC129-EB129)/EB129*100)</f>
        <v>0</v>
      </c>
      <c r="EE129" s="1426"/>
      <c r="EF129" s="1426"/>
      <c r="EG129" s="998">
        <f>IF(EE129=0,0,(EF129-EE129)/EE129*100)</f>
        <v>0</v>
      </c>
      <c r="EH129" s="1426"/>
      <c r="EI129" s="1426"/>
      <c r="EJ129" s="998">
        <f>IF(EH129=0,0,(EI129-EH129)/EH129*100)</f>
        <v>0</v>
      </c>
      <c r="EK129" s="1426"/>
      <c r="EL129" s="1426"/>
      <c r="EM129" s="998">
        <f>IF(EK129=0,0,(EL129-EK129)/EK129*100)</f>
        <v>0</v>
      </c>
      <c r="EN129" s="1426"/>
      <c r="EO129" s="1426"/>
      <c r="EP129" s="998">
        <f>IF(EN129=0,0,(EO129-EN129)/EN129*100)</f>
        <v>0</v>
      </c>
      <c r="EQ129" s="1426"/>
      <c r="ER129" s="1426"/>
      <c r="ES129" s="998">
        <f>IF(EQ129=0,0,(ER129-EQ129)/EQ129*100)</f>
        <v>0</v>
      </c>
      <c r="ET129" s="1426"/>
      <c r="EU129" s="1426"/>
      <c r="EV129" s="998">
        <f>IF(ET129=0,0,(EU129-ET129)/ET129*100)</f>
        <v>0</v>
      </c>
      <c r="EW129" s="1426"/>
      <c r="EX129" s="1426"/>
      <c r="EY129" s="998">
        <f>IF(EW129=0,0,(EX129-EW129)/EW129*100)</f>
        <v>0</v>
      </c>
      <c r="EZ129" s="1426"/>
      <c r="FA129" s="1426"/>
      <c r="FB129" s="998">
        <f>IF(EZ129=0,0,(FA129-EZ129)/EZ129*100)</f>
        <v>0</v>
      </c>
      <c r="FC129" s="1426"/>
      <c r="FD129" s="1426"/>
      <c r="FE129" s="998">
        <f>IF(FC129=0,0,(FD129-FC129)/FC129*100)</f>
        <v>0</v>
      </c>
      <c r="FF129" s="1426"/>
      <c r="FG129" s="1426"/>
      <c r="FH129" s="998">
        <f>IF(FF129=0,0,(FG129-FF129)/FF129*100)</f>
        <v>0</v>
      </c>
      <c r="FI129" s="1426"/>
      <c r="FJ129" s="1426"/>
      <c r="FK129" s="998">
        <f>IF(FI129=0,0,(FJ129-FI129)/FI129*100)</f>
        <v>0</v>
      </c>
      <c r="FL129" s="1426"/>
      <c r="FM129" s="1426"/>
      <c r="FN129" s="998">
        <f>IF(FL129=0,0,(FM129-FL129)/FL129*100)</f>
        <v>0</v>
      </c>
      <c r="FO129" s="1426"/>
      <c r="FP129" s="1426"/>
      <c r="FQ129" s="998">
        <f>IF(FO129=0,0,(FP129-FO129)/FO129*100)</f>
        <v>0</v>
      </c>
      <c r="FR129" s="1426"/>
      <c r="FS129" s="1426"/>
      <c r="FT129" s="998">
        <f>IF(FR129=0,0,(FS129-FR129)/FR129*100)</f>
        <v>0</v>
      </c>
      <c r="FU129" s="1426"/>
      <c r="FV129" s="1426"/>
      <c r="FW129" s="998">
        <f>IF(FU129=0,0,(FV129-FU129)/FU129*100)</f>
        <v>0</v>
      </c>
      <c r="FX129" s="1207"/>
      <c r="FY129" s="1207"/>
      <c r="FZ129" s="957" t="s">
        <v>1523</v>
      </c>
      <c r="GA129" s="917" t="s">
        <v>795</v>
      </c>
      <c r="GB129" s="917" cm="1">
        <f t="array" ref="GB129">GB128</f>
        <v>0</v>
      </c>
      <c r="GC129" s="1208"/>
      <c r="GD129" s="1208"/>
    </row>
    <row r="130" spans="1:186" s="1327" customFormat="1" ht="21.75" hidden="1" customHeight="1">
      <c r="A130" s="409"/>
      <c r="B130" s="830" t="b" cm="1">
        <f t="array" ref="B130">B129</f>
        <v>0</v>
      </c>
      <c r="C130" s="409"/>
      <c r="D130" s="409"/>
      <c r="E130" s="754">
        <v>22.5</v>
      </c>
      <c r="F130" s="3" t="str" cm="1">
        <f t="array" aca="1" ref="F130" ca="1">OFFSET(E130,-1,1)</f>
        <v>1</v>
      </c>
      <c r="G130" s="409"/>
      <c r="H130" s="409" t="s">
        <v>1493</v>
      </c>
      <c r="I130" s="409" cm="1">
        <f t="array" ref="I130">I129</f>
        <v>0</v>
      </c>
      <c r="J130" s="409"/>
      <c r="K130" s="409"/>
      <c r="L130" s="409"/>
      <c r="M130" s="409"/>
      <c r="N130" s="409"/>
      <c r="O130" s="409"/>
      <c r="P130" s="409"/>
      <c r="Q130" s="409"/>
      <c r="R130" s="409"/>
      <c r="S130" s="409"/>
      <c r="T130" s="381" t="b" cm="1">
        <f t="array" aca="1" ref="T130" ca="1">T129</f>
        <v>0</v>
      </c>
      <c r="U130" s="409"/>
      <c r="V130" s="409"/>
      <c r="W130" s="409"/>
      <c r="X130" s="1787"/>
      <c r="Y130" s="1787"/>
      <c r="Z130" s="1734"/>
      <c r="AA130" s="1681"/>
      <c r="AB130" s="811"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778" t="s">
        <v>1494</v>
      </c>
      <c r="AD130" s="1428"/>
      <c r="AE130" s="1428"/>
      <c r="AF130" s="996">
        <f>IF(AD130=0,0,(AE130-AD130)/AD130*100)</f>
        <v>0</v>
      </c>
      <c r="AG130" s="1428"/>
      <c r="AH130" s="1428"/>
      <c r="AI130" s="996">
        <f>IF(AG130=0,0,(AH130-AG130)/AG130*100)</f>
        <v>0</v>
      </c>
      <c r="AJ130" s="1428"/>
      <c r="AK130" s="1428"/>
      <c r="AL130" s="996">
        <f>IF(AJ130=0,0,(AK130-AJ130)/AJ130*100)</f>
        <v>0</v>
      </c>
      <c r="AM130" s="1428"/>
      <c r="AN130" s="1428"/>
      <c r="AO130" s="996">
        <f>IF(AM130=0,0,(AN130-AM130)/AM130*100)</f>
        <v>0</v>
      </c>
      <c r="AP130" s="1428"/>
      <c r="AQ130" s="1428"/>
      <c r="AR130" s="996">
        <f>IF(AP130=0,0,(AQ130-AP130)/AP130*100)</f>
        <v>0</v>
      </c>
      <c r="AS130" s="1428"/>
      <c r="AT130" s="1428"/>
      <c r="AU130" s="996">
        <f>IF(AS130=0,0,(AT130-AS130)/AS130*100)</f>
        <v>0</v>
      </c>
      <c r="AV130" s="1428"/>
      <c r="AW130" s="1428"/>
      <c r="AX130" s="996">
        <f>IF(AV130=0,0,(AW130-AV130)/AV130*100)</f>
        <v>0</v>
      </c>
      <c r="AY130" s="1428"/>
      <c r="AZ130" s="1428"/>
      <c r="BA130" s="996">
        <f>IF(AY130=0,0,(AZ130-AY130)/AY130*100)</f>
        <v>0</v>
      </c>
      <c r="BB130" s="1428"/>
      <c r="BC130" s="1428"/>
      <c r="BD130" s="996">
        <f>IF(BB130=0,0,(BC130-BB130)/BB130*100)</f>
        <v>0</v>
      </c>
      <c r="BE130" s="1428"/>
      <c r="BF130" s="1428"/>
      <c r="BG130" s="996">
        <f>IF(BE130=0,0,(BF130-BE130)/BE130*100)</f>
        <v>0</v>
      </c>
      <c r="BH130" s="1428"/>
      <c r="BI130" s="1428"/>
      <c r="BJ130" s="996">
        <f>IF(BH130=0,0,(BI130-BH130)/BH130*100)</f>
        <v>0</v>
      </c>
      <c r="BK130" s="1428"/>
      <c r="BL130" s="1428"/>
      <c r="BM130" s="996">
        <f>IF(BK130=0,0,(BL130-BK130)/BK130*100)</f>
        <v>0</v>
      </c>
      <c r="BN130" s="1428"/>
      <c r="BO130" s="1428"/>
      <c r="BP130" s="996">
        <f>IF(BN130=0,0,(BO130-BN130)/BN130*100)</f>
        <v>0</v>
      </c>
      <c r="BQ130" s="1428"/>
      <c r="BR130" s="1428"/>
      <c r="BS130" s="996">
        <f>IF(BQ130=0,0,(BR130-BQ130)/BQ130*100)</f>
        <v>0</v>
      </c>
      <c r="BT130" s="1428"/>
      <c r="BU130" s="1428"/>
      <c r="BV130" s="996">
        <f>IF(BT130=0,0,(BU130-BT130)/BT130*100)</f>
        <v>0</v>
      </c>
      <c r="BW130" s="1428"/>
      <c r="BX130" s="1428"/>
      <c r="BY130" s="996">
        <f>IF(BW130=0,0,(BX130-BW130)/BW130*100)</f>
        <v>0</v>
      </c>
      <c r="BZ130" s="1428"/>
      <c r="CA130" s="1428"/>
      <c r="CB130" s="996">
        <f>IF(BZ130=0,0,(CA130-BZ130)/BZ130*100)</f>
        <v>0</v>
      </c>
      <c r="CC130" s="1428"/>
      <c r="CD130" s="1428"/>
      <c r="CE130" s="996">
        <f>IF(CC130=0,0,(CD130-CC130)/CC130*100)</f>
        <v>0</v>
      </c>
      <c r="CF130" s="1428"/>
      <c r="CG130" s="1428"/>
      <c r="CH130" s="996">
        <f>IF(CF130=0,0,(CG130-CF130)/CF130*100)</f>
        <v>0</v>
      </c>
      <c r="CI130" s="1428"/>
      <c r="CJ130" s="1428"/>
      <c r="CK130" s="996">
        <f>IF(CI130=0,0,(CJ130-CI130)/CI130*100)</f>
        <v>0</v>
      </c>
      <c r="CL130" s="1428"/>
      <c r="CM130" s="1428"/>
      <c r="CN130" s="996">
        <f>IF(CL130=0,0,(CM130-CL130)/CL130*100)</f>
        <v>0</v>
      </c>
      <c r="CO130" s="1428"/>
      <c r="CP130" s="1428"/>
      <c r="CQ130" s="996">
        <f>IF(CO130=0,0,(CP130-CO130)/CO130*100)</f>
        <v>0</v>
      </c>
      <c r="CR130" s="1428"/>
      <c r="CS130" s="1428"/>
      <c r="CT130" s="996">
        <f>IF(CR130=0,0,(CS130-CR130)/CR130*100)</f>
        <v>0</v>
      </c>
      <c r="CU130" s="1428"/>
      <c r="CV130" s="1428"/>
      <c r="CW130" s="996">
        <f>IF(CU130=0,0,(CV130-CU130)/CU130*100)</f>
        <v>0</v>
      </c>
      <c r="CX130" s="1428"/>
      <c r="CY130" s="1428"/>
      <c r="CZ130" s="996">
        <f>IF(CX130=0,0,(CY130-CX130)/CX130*100)</f>
        <v>0</v>
      </c>
      <c r="DA130" s="1428"/>
      <c r="DB130" s="1428"/>
      <c r="DC130" s="996">
        <f>IF(DA130=0,0,(DB130-DA130)/DA130*100)</f>
        <v>0</v>
      </c>
      <c r="DD130" s="1428"/>
      <c r="DE130" s="1428"/>
      <c r="DF130" s="996">
        <f>IF(DD130=0,0,(DE130-DD130)/DD130*100)</f>
        <v>0</v>
      </c>
      <c r="DG130" s="1428"/>
      <c r="DH130" s="1428"/>
      <c r="DI130" s="996">
        <f>IF(DG130=0,0,(DH130-DG130)/DG130*100)</f>
        <v>0</v>
      </c>
      <c r="DJ130" s="1428"/>
      <c r="DK130" s="1428"/>
      <c r="DL130" s="996">
        <f>IF(DJ130=0,0,(DK130-DJ130)/DJ130*100)</f>
        <v>0</v>
      </c>
      <c r="DM130" s="1428"/>
      <c r="DN130" s="1428"/>
      <c r="DO130" s="996">
        <f>IF(DM130=0,0,(DN130-DM130)/DM130*100)</f>
        <v>0</v>
      </c>
      <c r="DP130" s="1428"/>
      <c r="DQ130" s="1428"/>
      <c r="DR130" s="996">
        <f>IF(DP130=0,0,(DQ130-DP130)/DP130*100)</f>
        <v>0</v>
      </c>
      <c r="DS130" s="1428"/>
      <c r="DT130" s="1428"/>
      <c r="DU130" s="996">
        <f>IF(DS130=0,0,(DT130-DS130)/DS130*100)</f>
        <v>0</v>
      </c>
      <c r="DV130" s="1428"/>
      <c r="DW130" s="1428"/>
      <c r="DX130" s="996">
        <f>IF(DV130=0,0,(DW130-DV130)/DV130*100)</f>
        <v>0</v>
      </c>
      <c r="DY130" s="1428"/>
      <c r="DZ130" s="1428"/>
      <c r="EA130" s="996">
        <f>IF(DY130=0,0,(DZ130-DY130)/DY130*100)</f>
        <v>0</v>
      </c>
      <c r="EB130" s="1428"/>
      <c r="EC130" s="1428"/>
      <c r="ED130" s="996">
        <f>IF(EB130=0,0,(EC130-EB130)/EB130*100)</f>
        <v>0</v>
      </c>
      <c r="EE130" s="1428"/>
      <c r="EF130" s="1428"/>
      <c r="EG130" s="996">
        <f>IF(EE130=0,0,(EF130-EE130)/EE130*100)</f>
        <v>0</v>
      </c>
      <c r="EH130" s="1428"/>
      <c r="EI130" s="1428"/>
      <c r="EJ130" s="996">
        <f>IF(EH130=0,0,(EI130-EH130)/EH130*100)</f>
        <v>0</v>
      </c>
      <c r="EK130" s="1428"/>
      <c r="EL130" s="1428"/>
      <c r="EM130" s="996">
        <f>IF(EK130=0,0,(EL130-EK130)/EK130*100)</f>
        <v>0</v>
      </c>
      <c r="EN130" s="1428"/>
      <c r="EO130" s="1428"/>
      <c r="EP130" s="996">
        <f>IF(EN130=0,0,(EO130-EN130)/EN130*100)</f>
        <v>0</v>
      </c>
      <c r="EQ130" s="1428"/>
      <c r="ER130" s="1428"/>
      <c r="ES130" s="996">
        <f>IF(EQ130=0,0,(ER130-EQ130)/EQ130*100)</f>
        <v>0</v>
      </c>
      <c r="ET130" s="1428"/>
      <c r="EU130" s="1428"/>
      <c r="EV130" s="996">
        <f>IF(ET130=0,0,(EU130-ET130)/ET130*100)</f>
        <v>0</v>
      </c>
      <c r="EW130" s="1428"/>
      <c r="EX130" s="1428"/>
      <c r="EY130" s="996">
        <f>IF(EW130=0,0,(EX130-EW130)/EW130*100)</f>
        <v>0</v>
      </c>
      <c r="EZ130" s="1428"/>
      <c r="FA130" s="1428"/>
      <c r="FB130" s="996">
        <f>IF(EZ130=0,0,(FA130-EZ130)/EZ130*100)</f>
        <v>0</v>
      </c>
      <c r="FC130" s="1428"/>
      <c r="FD130" s="1428"/>
      <c r="FE130" s="996">
        <f>IF(FC130=0,0,(FD130-FC130)/FC130*100)</f>
        <v>0</v>
      </c>
      <c r="FF130" s="1428"/>
      <c r="FG130" s="1428"/>
      <c r="FH130" s="996">
        <f>IF(FF130=0,0,(FG130-FF130)/FF130*100)</f>
        <v>0</v>
      </c>
      <c r="FI130" s="1428"/>
      <c r="FJ130" s="1428"/>
      <c r="FK130" s="996">
        <f>IF(FI130=0,0,(FJ130-FI130)/FI130*100)</f>
        <v>0</v>
      </c>
      <c r="FL130" s="1428"/>
      <c r="FM130" s="1428"/>
      <c r="FN130" s="996">
        <f>IF(FL130=0,0,(FM130-FL130)/FL130*100)</f>
        <v>0</v>
      </c>
      <c r="FO130" s="1428"/>
      <c r="FP130" s="1428"/>
      <c r="FQ130" s="996">
        <f>IF(FO130=0,0,(FP130-FO130)/FO130*100)</f>
        <v>0</v>
      </c>
      <c r="FR130" s="1428"/>
      <c r="FS130" s="1428"/>
      <c r="FT130" s="996">
        <f>IF(FR130=0,0,(FS130-FR130)/FR130*100)</f>
        <v>0</v>
      </c>
      <c r="FU130" s="1428"/>
      <c r="FV130" s="1428"/>
      <c r="FW130" s="996">
        <f>IF(FU130=0,0,(FV130-FU130)/FU130*100)</f>
        <v>0</v>
      </c>
      <c r="FX130" s="1207"/>
      <c r="FY130" s="1207"/>
      <c r="FZ130" s="957" t="s">
        <v>1524</v>
      </c>
      <c r="GA130" s="917" t="s">
        <v>795</v>
      </c>
      <c r="GB130" s="917" cm="1">
        <f t="array" ref="GB130">GB129</f>
        <v>0</v>
      </c>
      <c r="GC130" s="1208"/>
      <c r="GD130" s="1208"/>
    </row>
    <row r="131" spans="1:186" s="1327" customFormat="1" ht="14.25" hidden="1" customHeight="1">
      <c r="A131" s="409"/>
      <c r="B131" s="830" t="b" cm="1">
        <f t="array" ref="B131">B130</f>
        <v>0</v>
      </c>
      <c r="C131" s="409"/>
      <c r="D131" s="409"/>
      <c r="E131" s="754">
        <v>15</v>
      </c>
      <c r="F131" s="3" t="str" cm="1">
        <f t="array" aca="1" ref="F131" ca="1">OFFSET(E131,-1,1)</f>
        <v>1</v>
      </c>
      <c r="G131" s="409"/>
      <c r="H131" s="409" t="s">
        <v>1496</v>
      </c>
      <c r="I131" s="409" cm="1">
        <f t="array" ref="I131">I130</f>
        <v>0</v>
      </c>
      <c r="J131" s="409"/>
      <c r="K131" s="409"/>
      <c r="L131" s="409"/>
      <c r="M131" s="409"/>
      <c r="N131" s="409"/>
      <c r="O131" s="409"/>
      <c r="P131" s="409"/>
      <c r="Q131" s="409"/>
      <c r="R131" s="409"/>
      <c r="S131" s="409"/>
      <c r="T131" s="381" t="b" cm="1">
        <f t="array" aca="1" ref="T131" ca="1">T130</f>
        <v>0</v>
      </c>
      <c r="U131" s="409"/>
      <c r="V131" s="409"/>
      <c r="W131" s="409"/>
      <c r="X131" s="1787"/>
      <c r="Y131" s="1787"/>
      <c r="Z131" s="1734"/>
      <c r="AA131" s="1681"/>
      <c r="AB131" s="811" t="s">
        <v>1497</v>
      </c>
      <c r="AC131" s="778" t="s">
        <v>1498</v>
      </c>
      <c r="AD131" s="1428"/>
      <c r="AE131" s="1428"/>
      <c r="AF131" s="996">
        <f>IF(AD131=0,0,(AE131-AD131)/AD131*100)</f>
        <v>0</v>
      </c>
      <c r="AG131" s="1428"/>
      <c r="AH131" s="1428"/>
      <c r="AI131" s="996">
        <f>IF(AG131=0,0,(AH131-AG131)/AG131*100)</f>
        <v>0</v>
      </c>
      <c r="AJ131" s="1428"/>
      <c r="AK131" s="1428"/>
      <c r="AL131" s="996">
        <f>IF(AJ131=0,0,(AK131-AJ131)/AJ131*100)</f>
        <v>0</v>
      </c>
      <c r="AM131" s="1428"/>
      <c r="AN131" s="1428"/>
      <c r="AO131" s="996">
        <f>IF(AM131=0,0,(AN131-AM131)/AM131*100)</f>
        <v>0</v>
      </c>
      <c r="AP131" s="1428"/>
      <c r="AQ131" s="1428"/>
      <c r="AR131" s="996">
        <f>IF(AP131=0,0,(AQ131-AP131)/AP131*100)</f>
        <v>0</v>
      </c>
      <c r="AS131" s="1428"/>
      <c r="AT131" s="1428"/>
      <c r="AU131" s="996">
        <f>IF(AS131=0,0,(AT131-AS131)/AS131*100)</f>
        <v>0</v>
      </c>
      <c r="AV131" s="1428"/>
      <c r="AW131" s="1428"/>
      <c r="AX131" s="996">
        <f>IF(AV131=0,0,(AW131-AV131)/AV131*100)</f>
        <v>0</v>
      </c>
      <c r="AY131" s="1428"/>
      <c r="AZ131" s="1428"/>
      <c r="BA131" s="996">
        <f>IF(AY131=0,0,(AZ131-AY131)/AY131*100)</f>
        <v>0</v>
      </c>
      <c r="BB131" s="1428"/>
      <c r="BC131" s="1428"/>
      <c r="BD131" s="996">
        <f>IF(BB131=0,0,(BC131-BB131)/BB131*100)</f>
        <v>0</v>
      </c>
      <c r="BE131" s="1428"/>
      <c r="BF131" s="1428"/>
      <c r="BG131" s="996">
        <f>IF(BE131=0,0,(BF131-BE131)/BE131*100)</f>
        <v>0</v>
      </c>
      <c r="BH131" s="1428"/>
      <c r="BI131" s="1428"/>
      <c r="BJ131" s="996">
        <f>IF(BH131=0,0,(BI131-BH131)/BH131*100)</f>
        <v>0</v>
      </c>
      <c r="BK131" s="1428"/>
      <c r="BL131" s="1428"/>
      <c r="BM131" s="996">
        <f>IF(BK131=0,0,(BL131-BK131)/BK131*100)</f>
        <v>0</v>
      </c>
      <c r="BN131" s="1428"/>
      <c r="BO131" s="1428"/>
      <c r="BP131" s="996">
        <f>IF(BN131=0,0,(BO131-BN131)/BN131*100)</f>
        <v>0</v>
      </c>
      <c r="BQ131" s="1428"/>
      <c r="BR131" s="1428"/>
      <c r="BS131" s="996">
        <f>IF(BQ131=0,0,(BR131-BQ131)/BQ131*100)</f>
        <v>0</v>
      </c>
      <c r="BT131" s="1428"/>
      <c r="BU131" s="1428"/>
      <c r="BV131" s="996">
        <f>IF(BT131=0,0,(BU131-BT131)/BT131*100)</f>
        <v>0</v>
      </c>
      <c r="BW131" s="1428"/>
      <c r="BX131" s="1428"/>
      <c r="BY131" s="996">
        <f>IF(BW131=0,0,(BX131-BW131)/BW131*100)</f>
        <v>0</v>
      </c>
      <c r="BZ131" s="1428"/>
      <c r="CA131" s="1428"/>
      <c r="CB131" s="996">
        <f>IF(BZ131=0,0,(CA131-BZ131)/BZ131*100)</f>
        <v>0</v>
      </c>
      <c r="CC131" s="1428"/>
      <c r="CD131" s="1428"/>
      <c r="CE131" s="996">
        <f>IF(CC131=0,0,(CD131-CC131)/CC131*100)</f>
        <v>0</v>
      </c>
      <c r="CF131" s="1428"/>
      <c r="CG131" s="1428"/>
      <c r="CH131" s="996">
        <f>IF(CF131=0,0,(CG131-CF131)/CF131*100)</f>
        <v>0</v>
      </c>
      <c r="CI131" s="1428"/>
      <c r="CJ131" s="1428"/>
      <c r="CK131" s="996">
        <f>IF(CI131=0,0,(CJ131-CI131)/CI131*100)</f>
        <v>0</v>
      </c>
      <c r="CL131" s="1428"/>
      <c r="CM131" s="1428"/>
      <c r="CN131" s="996">
        <f>IF(CL131=0,0,(CM131-CL131)/CL131*100)</f>
        <v>0</v>
      </c>
      <c r="CO131" s="1428"/>
      <c r="CP131" s="1428"/>
      <c r="CQ131" s="996">
        <f>IF(CO131=0,0,(CP131-CO131)/CO131*100)</f>
        <v>0</v>
      </c>
      <c r="CR131" s="1428"/>
      <c r="CS131" s="1428"/>
      <c r="CT131" s="996">
        <f>IF(CR131=0,0,(CS131-CR131)/CR131*100)</f>
        <v>0</v>
      </c>
      <c r="CU131" s="1428"/>
      <c r="CV131" s="1428"/>
      <c r="CW131" s="996">
        <f>IF(CU131=0,0,(CV131-CU131)/CU131*100)</f>
        <v>0</v>
      </c>
      <c r="CX131" s="1428"/>
      <c r="CY131" s="1428"/>
      <c r="CZ131" s="996">
        <f>IF(CX131=0,0,(CY131-CX131)/CX131*100)</f>
        <v>0</v>
      </c>
      <c r="DA131" s="1428"/>
      <c r="DB131" s="1428"/>
      <c r="DC131" s="996">
        <f>IF(DA131=0,0,(DB131-DA131)/DA131*100)</f>
        <v>0</v>
      </c>
      <c r="DD131" s="1428"/>
      <c r="DE131" s="1428"/>
      <c r="DF131" s="996">
        <f>IF(DD131=0,0,(DE131-DD131)/DD131*100)</f>
        <v>0</v>
      </c>
      <c r="DG131" s="1428"/>
      <c r="DH131" s="1428"/>
      <c r="DI131" s="996">
        <f>IF(DG131=0,0,(DH131-DG131)/DG131*100)</f>
        <v>0</v>
      </c>
      <c r="DJ131" s="1428"/>
      <c r="DK131" s="1428"/>
      <c r="DL131" s="996">
        <f>IF(DJ131=0,0,(DK131-DJ131)/DJ131*100)</f>
        <v>0</v>
      </c>
      <c r="DM131" s="1428"/>
      <c r="DN131" s="1428"/>
      <c r="DO131" s="996">
        <f>IF(DM131=0,0,(DN131-DM131)/DM131*100)</f>
        <v>0</v>
      </c>
      <c r="DP131" s="1428"/>
      <c r="DQ131" s="1428"/>
      <c r="DR131" s="996">
        <f>IF(DP131=0,0,(DQ131-DP131)/DP131*100)</f>
        <v>0</v>
      </c>
      <c r="DS131" s="1428"/>
      <c r="DT131" s="1428"/>
      <c r="DU131" s="996">
        <f>IF(DS131=0,0,(DT131-DS131)/DS131*100)</f>
        <v>0</v>
      </c>
      <c r="DV131" s="1428"/>
      <c r="DW131" s="1428"/>
      <c r="DX131" s="996">
        <f>IF(DV131=0,0,(DW131-DV131)/DV131*100)</f>
        <v>0</v>
      </c>
      <c r="DY131" s="1428"/>
      <c r="DZ131" s="1428"/>
      <c r="EA131" s="996">
        <f>IF(DY131=0,0,(DZ131-DY131)/DY131*100)</f>
        <v>0</v>
      </c>
      <c r="EB131" s="1428"/>
      <c r="EC131" s="1428"/>
      <c r="ED131" s="996">
        <f>IF(EB131=0,0,(EC131-EB131)/EB131*100)</f>
        <v>0</v>
      </c>
      <c r="EE131" s="1428"/>
      <c r="EF131" s="1428"/>
      <c r="EG131" s="996">
        <f>IF(EE131=0,0,(EF131-EE131)/EE131*100)</f>
        <v>0</v>
      </c>
      <c r="EH131" s="1428"/>
      <c r="EI131" s="1428"/>
      <c r="EJ131" s="996">
        <f>IF(EH131=0,0,(EI131-EH131)/EH131*100)</f>
        <v>0</v>
      </c>
      <c r="EK131" s="1428"/>
      <c r="EL131" s="1428"/>
      <c r="EM131" s="996">
        <f>IF(EK131=0,0,(EL131-EK131)/EK131*100)</f>
        <v>0</v>
      </c>
      <c r="EN131" s="1428"/>
      <c r="EO131" s="1428"/>
      <c r="EP131" s="996">
        <f>IF(EN131=0,0,(EO131-EN131)/EN131*100)</f>
        <v>0</v>
      </c>
      <c r="EQ131" s="1428"/>
      <c r="ER131" s="1428"/>
      <c r="ES131" s="996">
        <f>IF(EQ131=0,0,(ER131-EQ131)/EQ131*100)</f>
        <v>0</v>
      </c>
      <c r="ET131" s="1428"/>
      <c r="EU131" s="1428"/>
      <c r="EV131" s="996">
        <f>IF(ET131=0,0,(EU131-ET131)/ET131*100)</f>
        <v>0</v>
      </c>
      <c r="EW131" s="1428"/>
      <c r="EX131" s="1428"/>
      <c r="EY131" s="996">
        <f>IF(EW131=0,0,(EX131-EW131)/EW131*100)</f>
        <v>0</v>
      </c>
      <c r="EZ131" s="1428"/>
      <c r="FA131" s="1428"/>
      <c r="FB131" s="996">
        <f>IF(EZ131=0,0,(FA131-EZ131)/EZ131*100)</f>
        <v>0</v>
      </c>
      <c r="FC131" s="1428"/>
      <c r="FD131" s="1428"/>
      <c r="FE131" s="996">
        <f>IF(FC131=0,0,(FD131-FC131)/FC131*100)</f>
        <v>0</v>
      </c>
      <c r="FF131" s="1428"/>
      <c r="FG131" s="1428"/>
      <c r="FH131" s="996">
        <f>IF(FF131=0,0,(FG131-FF131)/FF131*100)</f>
        <v>0</v>
      </c>
      <c r="FI131" s="1428"/>
      <c r="FJ131" s="1428"/>
      <c r="FK131" s="996">
        <f>IF(FI131=0,0,(FJ131-FI131)/FI131*100)</f>
        <v>0</v>
      </c>
      <c r="FL131" s="1428"/>
      <c r="FM131" s="1428"/>
      <c r="FN131" s="996">
        <f>IF(FL131=0,0,(FM131-FL131)/FL131*100)</f>
        <v>0</v>
      </c>
      <c r="FO131" s="1428"/>
      <c r="FP131" s="1428"/>
      <c r="FQ131" s="996">
        <f>IF(FO131=0,0,(FP131-FO131)/FO131*100)</f>
        <v>0</v>
      </c>
      <c r="FR131" s="1428"/>
      <c r="FS131" s="1428"/>
      <c r="FT131" s="996">
        <f>IF(FR131=0,0,(FS131-FR131)/FR131*100)</f>
        <v>0</v>
      </c>
      <c r="FU131" s="1428"/>
      <c r="FV131" s="1428"/>
      <c r="FW131" s="996">
        <f>IF(FU131=0,0,(FV131-FU131)/FU131*100)</f>
        <v>0</v>
      </c>
      <c r="FX131" s="1207"/>
      <c r="FY131" s="1207"/>
      <c r="FZ131" s="957" t="s">
        <v>1525</v>
      </c>
      <c r="GA131" s="917" t="s">
        <v>795</v>
      </c>
      <c r="GB131" s="917" cm="1">
        <f t="array" ref="GB131">GB130</f>
        <v>0</v>
      </c>
      <c r="GC131" s="1208"/>
      <c r="GD131" s="1208"/>
    </row>
    <row r="132" spans="1:186" s="1327" customFormat="1" ht="14.25" hidden="1" customHeight="1">
      <c r="A132" s="409"/>
      <c r="B132" s="830" t="b" cm="1">
        <f t="array" ref="B132">B131</f>
        <v>0</v>
      </c>
      <c r="C132" s="409"/>
      <c r="D132" s="409"/>
      <c r="E132" s="754">
        <v>15</v>
      </c>
      <c r="F132" s="3" t="str" cm="1">
        <f t="array" aca="1" ref="F132" ca="1">OFFSET(E132,-1,1)</f>
        <v>1</v>
      </c>
      <c r="G132" s="409"/>
      <c r="H132" s="409"/>
      <c r="I132" s="17" t="s">
        <v>1526</v>
      </c>
      <c r="J132" s="409"/>
      <c r="K132" s="409"/>
      <c r="L132" s="409"/>
      <c r="M132" s="409"/>
      <c r="N132" s="409"/>
      <c r="O132" s="409"/>
      <c r="P132" s="409"/>
      <c r="Q132" s="409"/>
      <c r="R132" s="409"/>
      <c r="S132" s="409"/>
      <c r="T132" s="381" t="b">
        <f ca="1">F132&gt;0</f>
        <v>1</v>
      </c>
      <c r="U132" s="409"/>
      <c r="V132" s="1207"/>
      <c r="W132" s="671" t="s">
        <v>1484</v>
      </c>
      <c r="X132" s="1787"/>
      <c r="Y132" s="1207"/>
      <c r="Z132" s="1734"/>
      <c r="AA132" s="1207"/>
      <c r="AB132" s="176" t="s">
        <v>177</v>
      </c>
      <c r="AC132" s="180"/>
      <c r="AD132" s="999"/>
      <c r="AE132" s="999"/>
      <c r="AF132" s="999"/>
      <c r="AG132" s="999"/>
      <c r="AH132" s="999"/>
      <c r="AI132" s="999"/>
      <c r="AJ132" s="999"/>
      <c r="AK132" s="999"/>
      <c r="AL132" s="999"/>
      <c r="AM132" s="999"/>
      <c r="AN132" s="999"/>
      <c r="AO132" s="999"/>
      <c r="AP132" s="999"/>
      <c r="AQ132" s="999"/>
      <c r="AR132" s="999"/>
      <c r="AS132" s="999"/>
      <c r="AT132" s="999"/>
      <c r="AU132" s="999"/>
      <c r="AV132" s="999"/>
      <c r="AW132" s="999"/>
      <c r="AX132" s="999"/>
      <c r="AY132" s="999"/>
      <c r="AZ132" s="999"/>
      <c r="BA132" s="999"/>
      <c r="BB132" s="999"/>
      <c r="BC132" s="999"/>
      <c r="BD132" s="999"/>
      <c r="BE132" s="999"/>
      <c r="BF132" s="999"/>
      <c r="BG132" s="999"/>
      <c r="BH132" s="999"/>
      <c r="BI132" s="999"/>
      <c r="BJ132" s="999"/>
      <c r="BK132" s="999"/>
      <c r="BL132" s="999"/>
      <c r="BM132" s="999"/>
      <c r="BN132" s="999"/>
      <c r="BO132" s="999"/>
      <c r="BP132" s="999"/>
      <c r="BQ132" s="999"/>
      <c r="BR132" s="999"/>
      <c r="BS132" s="999"/>
      <c r="BT132" s="999"/>
      <c r="BU132" s="999"/>
      <c r="BV132" s="999"/>
      <c r="BW132" s="999"/>
      <c r="BX132" s="999"/>
      <c r="BY132" s="999"/>
      <c r="BZ132" s="999"/>
      <c r="CA132" s="999"/>
      <c r="CB132" s="999"/>
      <c r="CC132" s="999"/>
      <c r="CD132" s="999"/>
      <c r="CE132" s="999"/>
      <c r="CF132" s="999"/>
      <c r="CG132" s="999"/>
      <c r="CH132" s="999"/>
      <c r="CI132" s="999"/>
      <c r="CJ132" s="999"/>
      <c r="CK132" s="999"/>
      <c r="CL132" s="999"/>
      <c r="CM132" s="999"/>
      <c r="CN132" s="999"/>
      <c r="CO132" s="999"/>
      <c r="CP132" s="999"/>
      <c r="CQ132" s="999"/>
      <c r="CR132" s="999"/>
      <c r="CS132" s="999"/>
      <c r="CT132" s="999"/>
      <c r="CU132" s="999"/>
      <c r="CV132" s="999"/>
      <c r="CW132" s="999"/>
      <c r="CX132" s="999"/>
      <c r="CY132" s="999"/>
      <c r="CZ132" s="999"/>
      <c r="DA132" s="999"/>
      <c r="DB132" s="999"/>
      <c r="DC132" s="999"/>
      <c r="DD132" s="999"/>
      <c r="DE132" s="999"/>
      <c r="DF132" s="999"/>
      <c r="DG132" s="999"/>
      <c r="DH132" s="999"/>
      <c r="DI132" s="999"/>
      <c r="DJ132" s="999"/>
      <c r="DK132" s="999"/>
      <c r="DL132" s="999"/>
      <c r="DM132" s="999"/>
      <c r="DN132" s="999"/>
      <c r="DO132" s="999"/>
      <c r="DP132" s="999"/>
      <c r="DQ132" s="999"/>
      <c r="DR132" s="999"/>
      <c r="DS132" s="999"/>
      <c r="DT132" s="999"/>
      <c r="DU132" s="999"/>
      <c r="DV132" s="999"/>
      <c r="DW132" s="999"/>
      <c r="DX132" s="999"/>
      <c r="DY132" s="999"/>
      <c r="DZ132" s="999"/>
      <c r="EA132" s="999"/>
      <c r="EB132" s="999"/>
      <c r="EC132" s="999"/>
      <c r="ED132" s="999"/>
      <c r="EE132" s="999"/>
      <c r="EF132" s="999"/>
      <c r="EG132" s="999"/>
      <c r="EH132" s="999"/>
      <c r="EI132" s="999"/>
      <c r="EJ132" s="999"/>
      <c r="EK132" s="999"/>
      <c r="EL132" s="999"/>
      <c r="EM132" s="999"/>
      <c r="EN132" s="999"/>
      <c r="EO132" s="999"/>
      <c r="EP132" s="999"/>
      <c r="EQ132" s="999"/>
      <c r="ER132" s="999"/>
      <c r="ES132" s="999"/>
      <c r="ET132" s="999"/>
      <c r="EU132" s="999"/>
      <c r="EV132" s="999"/>
      <c r="EW132" s="999"/>
      <c r="EX132" s="999"/>
      <c r="EY132" s="999"/>
      <c r="EZ132" s="999"/>
      <c r="FA132" s="999"/>
      <c r="FB132" s="999"/>
      <c r="FC132" s="999"/>
      <c r="FD132" s="999"/>
      <c r="FE132" s="999"/>
      <c r="FF132" s="999"/>
      <c r="FG132" s="999"/>
      <c r="FH132" s="999"/>
      <c r="FI132" s="999"/>
      <c r="FJ132" s="999"/>
      <c r="FK132" s="999"/>
      <c r="FL132" s="999"/>
      <c r="FM132" s="999"/>
      <c r="FN132" s="999"/>
      <c r="FO132" s="999"/>
      <c r="FP132" s="999"/>
      <c r="FQ132" s="999"/>
      <c r="FR132" s="999"/>
      <c r="FS132" s="999"/>
      <c r="FT132" s="999"/>
      <c r="FU132" s="999"/>
      <c r="FV132" s="999"/>
      <c r="FW132" s="1000"/>
      <c r="FX132" s="1207"/>
      <c r="FY132" s="1207"/>
      <c r="FZ132" s="957" t="s">
        <v>231</v>
      </c>
      <c r="GA132" s="1209"/>
      <c r="GB132" s="1209"/>
      <c r="GC132" s="549" t="s">
        <v>795</v>
      </c>
      <c r="GD132" s="1208"/>
    </row>
    <row r="133" spans="1:186" s="1327" customFormat="1" ht="11.25" hidden="1" customHeight="1">
      <c r="A133" s="398"/>
      <c r="B133" s="830"/>
      <c r="C133" s="398"/>
      <c r="D133" s="398"/>
      <c r="E133" s="780">
        <v>0</v>
      </c>
      <c r="F133" s="1083" t="str" cm="1">
        <f t="array" aca="1" ref="F133" ca="1">OFFSET(E133,-1,1)</f>
        <v>1</v>
      </c>
      <c r="G133" s="398"/>
      <c r="H133" s="398"/>
      <c r="I133" s="398"/>
      <c r="J133" s="398"/>
      <c r="K133" s="398"/>
      <c r="L133" s="398"/>
      <c r="M133" s="398"/>
      <c r="N133" s="398"/>
      <c r="O133" s="398"/>
      <c r="P133" s="398"/>
      <c r="Q133" s="398"/>
      <c r="R133" s="398"/>
      <c r="S133" s="398"/>
      <c r="T133" s="381" t="b">
        <v>0</v>
      </c>
      <c r="U133" s="398"/>
      <c r="V133" s="398"/>
      <c r="W133" s="398"/>
      <c r="X133" s="1787"/>
      <c r="Y133" s="398"/>
      <c r="Z133" s="1734"/>
      <c r="AA133" s="398"/>
      <c r="AB133"/>
      <c r="AC133" s="398"/>
      <c r="AD133" s="1009"/>
      <c r="AE133" s="1009"/>
      <c r="AF133" s="1009"/>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Z133" s="957" t="s">
        <v>231</v>
      </c>
      <c r="GA133" s="921"/>
      <c r="GB133" s="960"/>
      <c r="GC133" s="603"/>
      <c r="GD133" s="603"/>
    </row>
    <row r="134" spans="1:186" s="1436" customFormat="1" ht="23.25" hidden="1" customHeight="1">
      <c r="A134" s="806"/>
      <c r="B134" s="830" t="b" cm="1">
        <f t="array" ref="B134">S85</f>
        <v>0</v>
      </c>
      <c r="C134" s="806"/>
      <c r="D134" s="806"/>
      <c r="E134" s="754">
        <v>24.5</v>
      </c>
      <c r="F134" s="3" t="str" cm="1">
        <f t="array" aca="1" ref="F134" ca="1">OFFSET(E134,-1,1)</f>
        <v>1</v>
      </c>
      <c r="G134" s="26" t="s">
        <v>1451</v>
      </c>
      <c r="H134" s="409" t="s">
        <v>427</v>
      </c>
      <c r="I134" s="409" t="s">
        <v>1527</v>
      </c>
      <c r="J134" s="806"/>
      <c r="K134" s="806"/>
      <c r="L134" s="806"/>
      <c r="M134" s="806"/>
      <c r="N134" s="806"/>
      <c r="O134" s="806"/>
      <c r="P134" s="806"/>
      <c r="Q134" s="806"/>
      <c r="R134" s="806"/>
      <c r="S134" s="409"/>
      <c r="T134" s="381" t="b" cm="1">
        <f t="array" aca="1" ref="T134" ca="1">T132</f>
        <v>1</v>
      </c>
      <c r="U134" s="806"/>
      <c r="V134" s="806"/>
      <c r="W134" s="806"/>
      <c r="X134" s="1787"/>
      <c r="Y134" s="806"/>
      <c r="Z134" s="1734"/>
      <c r="AA134" s="806"/>
      <c r="AB134" s="137" t="s">
        <v>1528</v>
      </c>
      <c r="AC134" s="152" t="s">
        <v>1454</v>
      </c>
      <c r="AD134" s="1430">
        <f ca="1">IF(AND(method_reg="Метод индексации",god&lt;&gt;first_year),SUMIFS(INDEX('Калькуляция (МИ корр)'!$AJ$25:$BC$315,,MATCH(AD$8,'Калькуляция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(МИ)'!$AJ$25:$BC$315,,MATCH(AD$8,'Калькуляция (МИ)'!$AJ$8:$BC$8,0)),'Калькуляция (МИ)'!$F$25:$F$315,$F134,'Калькуляция (МИ)'!$G$25:$G$315,$G134))))</f>
        <v>586.24</v>
      </c>
      <c r="AE134" s="1430">
        <f ca="1">IF(AND(method_reg="Метод индексации",god&lt;&gt;first_year),SUMIFS(INDEX('Калькуляция (МИ корр)'!$AJ$25:$BC$315,,MATCH(AE$8,'Калькуляция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(МИ)'!$AJ$25:$BC$315,,MATCH(AE$8,'Калькуляция (МИ)'!$AJ$8:$BC$8,0)),'Калькуляция (МИ)'!$F$25:$F$315,$F134,'Калькуляция (МИ)'!$G$25:$G$315,$G134))))</f>
        <v>569.44000000000005</v>
      </c>
      <c r="AF134" s="212">
        <f ca="1">IF(AD134=0,0,(AE134-AD134)/AD134*100)</f>
        <v>-2.8657205240174592</v>
      </c>
      <c r="AG134" s="1430">
        <f ca="1">IF(AND(method_reg="Метод индексации",god&lt;&gt;first_year),SUMIFS(INDEX('Калькуляция (МИ корр)'!$AJ$25:$BC$315,,MATCH(AG$8,'Калькуляция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(МИ)'!$AJ$25:$BC$315,,MATCH(AG$8,'Калькуляция (МИ)'!$AJ$8:$BC$8,0)),'Калькуляция (МИ)'!$F$25:$F$315,$F134,'Калькуляция (МИ)'!$G$25:$G$315,$G134))))</f>
        <v>586.24</v>
      </c>
      <c r="AH134" s="1430">
        <f ca="1">IF(AND(method_reg="Метод индексации",god&lt;&gt;first_year),SUMIFS(INDEX('Калькуляция (МИ корр)'!$AJ$25:$BC$315,,MATCH(AH$8,'Калькуляция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(МИ)'!$AJ$25:$BC$315,,MATCH(AH$8,'Калькуляция (МИ)'!$AJ$8:$BC$8,0)),'Калькуляция (МИ)'!$F$25:$F$315,$F134,'Калькуляция (МИ)'!$G$25:$G$315,$G134))))</f>
        <v>569.44000000000005</v>
      </c>
      <c r="AI134" s="212">
        <f ca="1">IF(AG134=0,0,(AH134-AG134)/AG134*100)</f>
        <v>-2.8657205240174592</v>
      </c>
      <c r="AJ134" s="1430">
        <f ca="1">IF(AND(method_reg="Метод индексации",god&lt;&gt;first_year),SUMIFS(INDEX('Калькуляция (МИ корр)'!$AJ$25:$BC$315,,MATCH(AJ$8,'Калькуляция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(МИ)'!$AJ$25:$BC$315,,MATCH(AJ$8,'Калькуляция (МИ)'!$AJ$8:$BC$8,0)),'Калькуляция (МИ)'!$F$25:$F$315,$F134,'Калькуляция (МИ)'!$G$25:$G$315,$G134))))</f>
        <v>586.24</v>
      </c>
      <c r="AK134" s="1430">
        <f ca="1">IF(AND(method_reg="Метод индексации",god&lt;&gt;first_year),SUMIFS(INDEX('Калькуляция (МИ корр)'!$AJ$25:$BC$315,,MATCH(AK$8,'Калькуляция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(МИ)'!$AJ$25:$BC$315,,MATCH(AK$8,'Калькуляция (МИ)'!$AJ$8:$BC$8,0)),'Калькуляция (МИ)'!$F$25:$F$315,$F134,'Калькуляция (МИ)'!$G$25:$G$315,$G134))))</f>
        <v>569.44000000000005</v>
      </c>
      <c r="AL134" s="212">
        <f ca="1">IF(AJ134=0,0,(AK134-AJ134)/AJ134*100)</f>
        <v>-2.8657205240174592</v>
      </c>
      <c r="AM134" s="1430">
        <f ca="1">IF(AND(method_reg="Метод индексации",god&lt;&gt;first_year),SUMIFS(INDEX('Калькуляция (МИ корр)'!$AJ$25:$BC$315,,MATCH(AM$8,'Калькуляция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(МИ)'!$AJ$25:$BC$315,,MATCH(AM$8,'Калькуляция (МИ)'!$AJ$8:$BC$8,0)),'Калькуляция (МИ)'!$F$25:$F$315,$F134,'Калькуляция (МИ)'!$G$25:$G$315,$G134))))</f>
        <v>586.24</v>
      </c>
      <c r="AN134" s="1430">
        <f ca="1">IF(AND(method_reg="Метод индексации",god&lt;&gt;first_year),SUMIFS(INDEX('Калькуляция (МИ корр)'!$AJ$25:$BC$315,,MATCH(AN$8,'Калькуляция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(МИ)'!$AJ$25:$BC$315,,MATCH(AN$8,'Калькуляция (МИ)'!$AJ$8:$BC$8,0)),'Калькуляция (МИ)'!$F$25:$F$315,$F134,'Калькуляция (МИ)'!$G$25:$G$315,$G134))))</f>
        <v>569.44000000000005</v>
      </c>
      <c r="AO134" s="212">
        <f ca="1">IF(AM134=0,0,(AN134-AM134)/AM134*100)</f>
        <v>-2.8657205240174592</v>
      </c>
      <c r="AP134" s="1430">
        <f ca="1">IF(AND(method_reg="Метод индексации",god&lt;&gt;first_year),SUMIFS(INDEX('Калькуляция (МИ корр)'!$AJ$25:$BC$315,,MATCH(AP$8,'Калькуляция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(МИ)'!$AJ$25:$BC$315,,MATCH(AP$8,'Калькуляция (МИ)'!$AJ$8:$BC$8,0)),'Калькуляция (МИ)'!$F$25:$F$315,$F134,'Калькуляция (МИ)'!$G$25:$G$315,$G134))))</f>
        <v>586.24</v>
      </c>
      <c r="AQ134" s="1430">
        <f ca="1">IF(AND(method_reg="Метод индексации",god&lt;&gt;first_year),SUMIFS(INDEX('Калькуляция (МИ корр)'!$AJ$25:$BC$315,,MATCH(AQ$8,'Калькуляция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(МИ)'!$AJ$25:$BC$315,,MATCH(AQ$8,'Калькуляция (МИ)'!$AJ$8:$BC$8,0)),'Калькуляция (МИ)'!$F$25:$F$315,$F134,'Калькуляция (МИ)'!$G$25:$G$315,$G134))))</f>
        <v>569.44000000000005</v>
      </c>
      <c r="AR134" s="212">
        <f ca="1">IF(AP134=0,0,(AQ134-AP134)/AP134*100)</f>
        <v>-2.8657205240174592</v>
      </c>
      <c r="AS134" s="1430">
        <f ca="1">IF(AND(method_reg="Метод индексации",god&lt;&gt;first_year),SUMIFS(INDEX('Калькуляция (МИ корр)'!$AJ$25:$BC$315,,MATCH(AS$8,'Калькуляция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(МИ)'!$AJ$25:$BC$315,,MATCH(AS$8,'Калькуляция (МИ)'!$AJ$8:$BC$8,0)),'Калькуляция (МИ)'!$F$25:$F$315,$F134,'Калькуляция (МИ)'!$G$25:$G$315,$G134))))</f>
        <v>586.24</v>
      </c>
      <c r="AT134" s="1430">
        <f ca="1">IF(AND(method_reg="Метод индексации",god&lt;&gt;first_year),SUMIFS(INDEX('Калькуляция (МИ корр)'!$AJ$25:$BC$315,,MATCH(AT$8,'Калькуляция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(МИ)'!$AJ$25:$BC$315,,MATCH(AT$8,'Калькуляция (МИ)'!$AJ$8:$BC$8,0)),'Калькуляция (МИ)'!$F$25:$F$315,$F134,'Калькуляция (МИ)'!$G$25:$G$315,$G134))))</f>
        <v>569.44000000000005</v>
      </c>
      <c r="AU134" s="212">
        <f ca="1">IF(AS134=0,0,(AT134-AS134)/AS134*100)</f>
        <v>-2.8657205240174592</v>
      </c>
      <c r="AV134" s="1430">
        <f ca="1">IF(AND(method_reg="Метод индексации",god&lt;&gt;first_year),SUMIFS(INDEX('Калькуляция (МИ корр)'!$AJ$25:$BC$315,,MATCH(AV$8,'Калькуляция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(МИ)'!$AJ$25:$BC$315,,MATCH(AV$8,'Калькуляция (МИ)'!$AJ$8:$BC$8,0)),'Калькуляция (МИ)'!$F$25:$F$315,$F134,'Калькуляция (МИ)'!$G$25:$G$315,$G134))))</f>
        <v>586.24</v>
      </c>
      <c r="AW134" s="1430">
        <f ca="1">IF(AND(method_reg="Метод индексации",god&lt;&gt;first_year),SUMIFS(INDEX('Калькуляция (МИ корр)'!$AJ$25:$BC$315,,MATCH(AW$8,'Калькуляция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(МИ)'!$AJ$25:$BC$315,,MATCH(AW$8,'Калькуляция (МИ)'!$AJ$8:$BC$8,0)),'Калькуляция (МИ)'!$F$25:$F$315,$F134,'Калькуляция (МИ)'!$G$25:$G$315,$G134))))</f>
        <v>569.44000000000005</v>
      </c>
      <c r="AX134" s="212">
        <f ca="1">IF(AV134=0,0,(AW134-AV134)/AV134*100)</f>
        <v>-2.8657205240174592</v>
      </c>
      <c r="AY134" s="1430">
        <f ca="1">IF(AND(method_reg="Метод индексации",god&lt;&gt;first_year),SUMIFS(INDEX('Калькуляция (МИ корр)'!$AJ$25:$BC$315,,MATCH(AY$8,'Калькуляция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(МИ)'!$AJ$25:$BC$315,,MATCH(AY$8,'Калькуляция (МИ)'!$AJ$8:$BC$8,0)),'Калькуляция (МИ)'!$F$25:$F$315,$F134,'Калькуляция (МИ)'!$G$25:$G$315,$G134))))</f>
        <v>586.24</v>
      </c>
      <c r="AZ134" s="1430">
        <f ca="1">IF(AND(method_reg="Метод индексации",god&lt;&gt;first_year),SUMIFS(INDEX('Калькуляция (МИ корр)'!$AJ$25:$BC$315,,MATCH(AZ$8,'Калькуляция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(МИ)'!$AJ$25:$BC$315,,MATCH(AZ$8,'Калькуляция (МИ)'!$AJ$8:$BC$8,0)),'Калькуляция (МИ)'!$F$25:$F$315,$F134,'Калькуляция (МИ)'!$G$25:$G$315,$G134))))</f>
        <v>569.44000000000005</v>
      </c>
      <c r="BA134" s="212">
        <f ca="1">IF(AY134=0,0,(AZ134-AY134)/AY134*100)</f>
        <v>-2.8657205240174592</v>
      </c>
      <c r="BB134" s="1430">
        <f ca="1">IF(AND(method_reg="Метод индексации",god&lt;&gt;first_year),SUMIFS(INDEX('Калькуляция (МИ корр)'!$AJ$25:$BC$315,,MATCH(BB$8,'Калькуляция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(МИ)'!$AJ$25:$BC$315,,MATCH(BB$8,'Калькуляция (МИ)'!$AJ$8:$BC$8,0)),'Калькуляция (МИ)'!$F$25:$F$315,$F134,'Калькуляция (МИ)'!$G$25:$G$315,$G134))))</f>
        <v>586.24</v>
      </c>
      <c r="BC134" s="1430">
        <f ca="1">IF(AND(method_reg="Метод индексации",god&lt;&gt;first_year),SUMIFS(INDEX('Калькуляция (МИ корр)'!$AJ$25:$BC$315,,MATCH(BC$8,'Калькуляция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(МИ)'!$AJ$25:$BC$315,,MATCH(BC$8,'Калькуляция (МИ)'!$AJ$8:$BC$8,0)),'Калькуляция (МИ)'!$F$25:$F$315,$F134,'Калькуляция (МИ)'!$G$25:$G$315,$G134))))</f>
        <v>569.44000000000005</v>
      </c>
      <c r="BD134" s="212">
        <f ca="1">IF(BB134=0,0,(BC134-BB134)/BB134*100)</f>
        <v>-2.8657205240174592</v>
      </c>
      <c r="BE134" s="1430">
        <f ca="1">IF(AND(method_reg="Метод индексации",god&lt;&gt;first_year),SUMIFS(INDEX('Калькуляция (МИ корр)'!$AJ$25:$BC$315,,MATCH(BE$8,'Калькуляция (МИ корр)'!$AJ$8:$BC$8,0)),'Калькуляция (МИ корр)'!$F$25:$F$315,$F134,'Калькуляция (МИ корр)'!$G$25:$G$315,$G134),IF(method_reg="Метод экономически обоснованных расходов",SUMIFS('Калькуляция (МЭОР)'!$AJ$25:$AJ$199,'Калькуляция (МЭОР)'!$F$25:$F$199,$F134,'Калькуляция (МЭОР)'!$G$25:$G$199,$G134),IF(method_reg="Метод сравнения аналогов",SUMIFS('Калькуляция (МСА)'!$AE$25:$AE$65,'Калькуляция (МСА)'!$F$25:$F$65,$F134,'Калькуляция (МСА)'!$G$25:$G$65,$G134),SUMIFS(INDEX('Калькуляция (МИ)'!$AJ$25:$BC$315,,MATCH(BE$8,'Калькуляция (МИ)'!$AJ$8:$BC$8,0)),'Калькуляция (МИ)'!$F$25:$F$315,$F134,'Калькуляция (МИ)'!$G$25:$G$315,$G134))))</f>
        <v>586.24</v>
      </c>
      <c r="BF134" s="1430">
        <f ca="1">IF(AND(method_reg="Метод индексации",god&lt;&gt;first_year),SUMIFS(INDEX('Калькуляция (МИ корр)'!$AJ$25:$BC$315,,MATCH(BF$8,'Калькуляция (МИ корр)'!$AJ$8:$BC$8,0)),'Калькуляция (МИ корр)'!$F$25:$F$315,$F134,'Калькуляция (МИ корр)'!$G$25:$G$315,$G134),IF(method_reg="Метод экономически обоснованных расходов",SUMIFS('Калькуляция (МЭОР)'!$AK$25:$AK$199,'Калькуляция (МЭОР)'!$F$25:$F$199,$F134,'Калькуляция (МЭОР)'!$G$25:$G$199,$G134),IF(method_reg="Метод сравнения аналогов",SUMIFS('Калькуляция (МСА)'!$AF$25:$AF$65,'Калькуляция (МСА)'!$F$25:$F$65,$F134,'Калькуляция (МСА)'!$G$25:$G$65,$G134),SUMIFS(INDEX('Калькуляция (МИ)'!$AJ$25:$BC$315,,MATCH(BF$8,'Калькуляция (МИ)'!$AJ$8:$BC$8,0)),'Калькуляция (МИ)'!$F$25:$F$315,$F134,'Калькуляция (МИ)'!$G$25:$G$315,$G134))))</f>
        <v>569.44000000000005</v>
      </c>
      <c r="BG134" s="212">
        <f ca="1">IF(BE134=0,0,(BF134-BE134)/BE134*100)</f>
        <v>-2.8657205240174592</v>
      </c>
      <c r="BH134" s="1430"/>
      <c r="BI134" s="1430"/>
      <c r="BJ134" s="212">
        <f>IF(BH134=0,0,(BI134-BH134)/BH134*100)</f>
        <v>0</v>
      </c>
      <c r="BK134" s="1430"/>
      <c r="BL134" s="1430"/>
      <c r="BM134" s="212">
        <f>IF(BK134=0,0,(BL134-BK134)/BK134*100)</f>
        <v>0</v>
      </c>
      <c r="BN134" s="1430"/>
      <c r="BO134" s="1430"/>
      <c r="BP134" s="212">
        <f>IF(BN134=0,0,(BO134-BN134)/BN134*100)</f>
        <v>0</v>
      </c>
      <c r="BQ134" s="1430"/>
      <c r="BR134" s="1430"/>
      <c r="BS134" s="212">
        <f>IF(BQ134=0,0,(BR134-BQ134)/BQ134*100)</f>
        <v>0</v>
      </c>
      <c r="BT134" s="1430"/>
      <c r="BU134" s="1430"/>
      <c r="BV134" s="212">
        <f>IF(BT134=0,0,(BU134-BT134)/BT134*100)</f>
        <v>0</v>
      </c>
      <c r="BW134" s="1430"/>
      <c r="BX134" s="1430"/>
      <c r="BY134" s="212">
        <f>IF(BW134=0,0,(BX134-BW134)/BW134*100)</f>
        <v>0</v>
      </c>
      <c r="BZ134" s="1430"/>
      <c r="CA134" s="1430"/>
      <c r="CB134" s="212">
        <f>IF(BZ134=0,0,(CA134-BZ134)/BZ134*100)</f>
        <v>0</v>
      </c>
      <c r="CC134" s="1430"/>
      <c r="CD134" s="1430"/>
      <c r="CE134" s="212">
        <f>IF(CC134=0,0,(CD134-CC134)/CC134*100)</f>
        <v>0</v>
      </c>
      <c r="CF134" s="1430"/>
      <c r="CG134" s="1430"/>
      <c r="CH134" s="212">
        <f>IF(CF134=0,0,(CG134-CF134)/CF134*100)</f>
        <v>0</v>
      </c>
      <c r="CI134" s="1430"/>
      <c r="CJ134" s="1430"/>
      <c r="CK134" s="212">
        <f>IF(CI134=0,0,(CJ134-CI134)/CI134*100)</f>
        <v>0</v>
      </c>
      <c r="CL134" s="1430"/>
      <c r="CM134" s="1430"/>
      <c r="CN134" s="212">
        <f>IF(CL134=0,0,(CM134-CL134)/CL134*100)</f>
        <v>0</v>
      </c>
      <c r="CO134" s="1430"/>
      <c r="CP134" s="1430"/>
      <c r="CQ134" s="212">
        <f>IF(CO134=0,0,(CP134-CO134)/CO134*100)</f>
        <v>0</v>
      </c>
      <c r="CR134" s="1430"/>
      <c r="CS134" s="1430"/>
      <c r="CT134" s="212">
        <f>IF(CR134=0,0,(CS134-CR134)/CR134*100)</f>
        <v>0</v>
      </c>
      <c r="CU134" s="1430"/>
      <c r="CV134" s="1430"/>
      <c r="CW134" s="212">
        <f>IF(CU134=0,0,(CV134-CU134)/CU134*100)</f>
        <v>0</v>
      </c>
      <c r="CX134" s="1430"/>
      <c r="CY134" s="1430"/>
      <c r="CZ134" s="212">
        <f>IF(CX134=0,0,(CY134-CX134)/CX134*100)</f>
        <v>0</v>
      </c>
      <c r="DA134" s="1430"/>
      <c r="DB134" s="1430"/>
      <c r="DC134" s="212">
        <f>IF(DA134=0,0,(DB134-DA134)/DA134*100)</f>
        <v>0</v>
      </c>
      <c r="DD134" s="1430"/>
      <c r="DE134" s="1430"/>
      <c r="DF134" s="212">
        <f>IF(DD134=0,0,(DE134-DD134)/DD134*100)</f>
        <v>0</v>
      </c>
      <c r="DG134" s="1430"/>
      <c r="DH134" s="1430"/>
      <c r="DI134" s="212">
        <f>IF(DG134=0,0,(DH134-DG134)/DG134*100)</f>
        <v>0</v>
      </c>
      <c r="DJ134" s="1430"/>
      <c r="DK134" s="1430"/>
      <c r="DL134" s="212">
        <f>IF(DJ134=0,0,(DK134-DJ134)/DJ134*100)</f>
        <v>0</v>
      </c>
      <c r="DM134" s="1430"/>
      <c r="DN134" s="1430"/>
      <c r="DO134" s="212">
        <f>IF(DM134=0,0,(DN134-DM134)/DM134*100)</f>
        <v>0</v>
      </c>
      <c r="DP134" s="1430"/>
      <c r="DQ134" s="1430"/>
      <c r="DR134" s="212">
        <f>IF(DP134=0,0,(DQ134-DP134)/DP134*100)</f>
        <v>0</v>
      </c>
      <c r="DS134" s="1430"/>
      <c r="DT134" s="1430"/>
      <c r="DU134" s="212">
        <f>IF(DS134=0,0,(DT134-DS134)/DS134*100)</f>
        <v>0</v>
      </c>
      <c r="DV134" s="1430"/>
      <c r="DW134" s="1430"/>
      <c r="DX134" s="212">
        <f>IF(DV134=0,0,(DW134-DV134)/DV134*100)</f>
        <v>0</v>
      </c>
      <c r="DY134" s="1430"/>
      <c r="DZ134" s="1430"/>
      <c r="EA134" s="212">
        <f>IF(DY134=0,0,(DZ134-DY134)/DY134*100)</f>
        <v>0</v>
      </c>
      <c r="EB134" s="1430"/>
      <c r="EC134" s="1430"/>
      <c r="ED134" s="212">
        <f>IF(EB134=0,0,(EC134-EB134)/EB134*100)</f>
        <v>0</v>
      </c>
      <c r="EE134" s="1430"/>
      <c r="EF134" s="1430"/>
      <c r="EG134" s="212">
        <f>IF(EE134=0,0,(EF134-EE134)/EE134*100)</f>
        <v>0</v>
      </c>
      <c r="EH134" s="1430"/>
      <c r="EI134" s="1430"/>
      <c r="EJ134" s="212">
        <f>IF(EH134=0,0,(EI134-EH134)/EH134*100)</f>
        <v>0</v>
      </c>
      <c r="EK134" s="1430"/>
      <c r="EL134" s="1430"/>
      <c r="EM134" s="212">
        <f>IF(EK134=0,0,(EL134-EK134)/EK134*100)</f>
        <v>0</v>
      </c>
      <c r="EN134" s="1430"/>
      <c r="EO134" s="1430"/>
      <c r="EP134" s="212">
        <f>IF(EN134=0,0,(EO134-EN134)/EN134*100)</f>
        <v>0</v>
      </c>
      <c r="EQ134" s="1430"/>
      <c r="ER134" s="1430"/>
      <c r="ES134" s="212">
        <f>IF(EQ134=0,0,(ER134-EQ134)/EQ134*100)</f>
        <v>0</v>
      </c>
      <c r="ET134" s="1430"/>
      <c r="EU134" s="1430"/>
      <c r="EV134" s="212">
        <f>IF(ET134=0,0,(EU134-ET134)/ET134*100)</f>
        <v>0</v>
      </c>
      <c r="EW134" s="1430"/>
      <c r="EX134" s="1430"/>
      <c r="EY134" s="212">
        <f>IF(EW134=0,0,(EX134-EW134)/EW134*100)</f>
        <v>0</v>
      </c>
      <c r="EZ134" s="1430"/>
      <c r="FA134" s="1430"/>
      <c r="FB134" s="212">
        <f>IF(EZ134=0,0,(FA134-EZ134)/EZ134*100)</f>
        <v>0</v>
      </c>
      <c r="FC134" s="1430"/>
      <c r="FD134" s="1430"/>
      <c r="FE134" s="212">
        <f>IF(FC134=0,0,(FD134-FC134)/FC134*100)</f>
        <v>0</v>
      </c>
      <c r="FF134" s="1430"/>
      <c r="FG134" s="1430"/>
      <c r="FH134" s="212">
        <f>IF(FF134=0,0,(FG134-FF134)/FF134*100)</f>
        <v>0</v>
      </c>
      <c r="FI134" s="1430"/>
      <c r="FJ134" s="1430"/>
      <c r="FK134" s="212">
        <f>IF(FI134=0,0,(FJ134-FI134)/FI134*100)</f>
        <v>0</v>
      </c>
      <c r="FL134" s="1430"/>
      <c r="FM134" s="1430"/>
      <c r="FN134" s="212">
        <f>IF(FL134=0,0,(FM134-FL134)/FL134*100)</f>
        <v>0</v>
      </c>
      <c r="FO134" s="1430"/>
      <c r="FP134" s="1430"/>
      <c r="FQ134" s="212">
        <f>IF(FO134=0,0,(FP134-FO134)/FO134*100)</f>
        <v>0</v>
      </c>
      <c r="FR134" s="1430"/>
      <c r="FS134" s="1430"/>
      <c r="FT134" s="212">
        <f>IF(FR134=0,0,(FS134-FR134)/FR134*100)</f>
        <v>0</v>
      </c>
      <c r="FU134" s="1430"/>
      <c r="FV134" s="1430"/>
      <c r="FW134" s="212">
        <f>IF(FU134=0,0,(FV134-FU134)/FU134*100)</f>
        <v>0</v>
      </c>
      <c r="FX134" s="208"/>
      <c r="FY134" s="208"/>
      <c r="FZ134" s="957" t="s">
        <v>1529</v>
      </c>
      <c r="GA134" s="957"/>
      <c r="GB134" s="957"/>
      <c r="GC134" s="958"/>
      <c r="GD134" s="958"/>
    </row>
    <row r="135" spans="1:186" s="1437" customFormat="1" ht="23.25" hidden="1" customHeight="1">
      <c r="A135" s="806"/>
      <c r="B135" s="830" t="b" cm="1">
        <f t="array" ref="B135">B134</f>
        <v>0</v>
      </c>
      <c r="C135" s="806"/>
      <c r="D135" s="806"/>
      <c r="E135" s="754">
        <v>24.5</v>
      </c>
      <c r="F135" s="3" t="str" cm="1">
        <f t="array" aca="1" ref="F135" ca="1">OFFSET(E135,-1,1)</f>
        <v>1</v>
      </c>
      <c r="G135" s="26" t="s">
        <v>1456</v>
      </c>
      <c r="H135" s="409" t="s">
        <v>427</v>
      </c>
      <c r="I135" s="409" t="s">
        <v>1530</v>
      </c>
      <c r="J135" s="806"/>
      <c r="K135" s="806"/>
      <c r="L135" s="806"/>
      <c r="M135" s="806"/>
      <c r="N135" s="806"/>
      <c r="O135" s="806"/>
      <c r="P135" s="806"/>
      <c r="Q135" s="806"/>
      <c r="R135" s="806"/>
      <c r="S135" s="409"/>
      <c r="T135" s="381" t="b" cm="1">
        <f t="array" aca="1" ref="T135" ca="1">T134</f>
        <v>1</v>
      </c>
      <c r="U135" s="806"/>
      <c r="V135" s="806"/>
      <c r="W135" s="806"/>
      <c r="X135" s="1787"/>
      <c r="Y135" s="806"/>
      <c r="Z135" s="1734"/>
      <c r="AA135" s="806"/>
      <c r="AB135" s="137" t="s">
        <v>1531</v>
      </c>
      <c r="AC135" s="152" t="s">
        <v>1454</v>
      </c>
      <c r="AD135" s="1430">
        <f ca="1">IF(AND(method_reg="Метод индексации",god&lt;&gt;first_year),SUMIFS(INDEX('Калькуляция (МИ корр)'!$AJ$25:$BC$315,,MATCH(AD$8,'Калькуляция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(МИ)'!$AJ$25:$BC$315,,MATCH(AD$8,'Калькуляция (МИ)'!$AJ$8:$BC$8,0)),'Калькуляция (МИ)'!$F$25:$F$315,$F135,'Калькуляция (МИ)'!$G$25:$G$315,$G135))))</f>
        <v>586.24</v>
      </c>
      <c r="AE135" s="1430">
        <f ca="1">IF(AND(method_reg="Метод индексации",god&lt;&gt;first_year),SUMIFS(INDEX('Калькуляция (МИ корр)'!$AJ$25:$BC$315,,MATCH(AE$8,'Калькуляция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(МИ)'!$AJ$25:$BC$315,,MATCH(AE$8,'Калькуляция (МИ)'!$AJ$8:$BC$8,0)),'Калькуляция (МИ)'!$F$25:$F$315,$F135,'Калькуляция (МИ)'!$G$25:$G$315,$G135))))</f>
        <v>636.62</v>
      </c>
      <c r="AF135" s="212">
        <f ca="1">IF(AD135=0,0,(AE135-AD135)/AD135*100)</f>
        <v>8.5937499999999982</v>
      </c>
      <c r="AG135" s="1430">
        <f ca="1">IF(AND(method_reg="Метод индексации",god&lt;&gt;first_year),SUMIFS(INDEX('Калькуляция (МИ корр)'!$AJ$25:$BC$315,,MATCH(AG$8,'Калькуляция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(МИ)'!$AJ$25:$BC$315,,MATCH(AG$8,'Калькуляция (МИ)'!$AJ$8:$BC$8,0)),'Калькуляция (МИ)'!$F$25:$F$315,$F135,'Калькуляция (МИ)'!$G$25:$G$315,$G135))))</f>
        <v>586.24</v>
      </c>
      <c r="AH135" s="1430">
        <f ca="1">IF(AND(method_reg="Метод индексации",god&lt;&gt;first_year),SUMIFS(INDEX('Калькуляция (МИ корр)'!$AJ$25:$BC$315,,MATCH(AH$8,'Калькуляция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(МИ)'!$AJ$25:$BC$315,,MATCH(AH$8,'Калькуляция (МИ)'!$AJ$8:$BC$8,0)),'Калькуляция (МИ)'!$F$25:$F$315,$F135,'Калькуляция (МИ)'!$G$25:$G$315,$G135))))</f>
        <v>636.62</v>
      </c>
      <c r="AI135" s="212">
        <f ca="1">IF(AG135=0,0,(AH135-AG135)/AG135*100)</f>
        <v>8.5937499999999982</v>
      </c>
      <c r="AJ135" s="1430">
        <f ca="1">IF(AND(method_reg="Метод индексации",god&lt;&gt;first_year),SUMIFS(INDEX('Калькуляция (МИ корр)'!$AJ$25:$BC$315,,MATCH(AJ$8,'Калькуляция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(МИ)'!$AJ$25:$BC$315,,MATCH(AJ$8,'Калькуляция (МИ)'!$AJ$8:$BC$8,0)),'Калькуляция (МИ)'!$F$25:$F$315,$F135,'Калькуляция (МИ)'!$G$25:$G$315,$G135))))</f>
        <v>586.24</v>
      </c>
      <c r="AK135" s="1430">
        <f ca="1">IF(AND(method_reg="Метод индексации",god&lt;&gt;first_year),SUMIFS(INDEX('Калькуляция (МИ корр)'!$AJ$25:$BC$315,,MATCH(AK$8,'Калькуляция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(МИ)'!$AJ$25:$BC$315,,MATCH(AK$8,'Калькуляция (МИ)'!$AJ$8:$BC$8,0)),'Калькуляция (МИ)'!$F$25:$F$315,$F135,'Калькуляция (МИ)'!$G$25:$G$315,$G135))))</f>
        <v>636.62</v>
      </c>
      <c r="AL135" s="212">
        <f ca="1">IF(AJ135=0,0,(AK135-AJ135)/AJ135*100)</f>
        <v>8.5937499999999982</v>
      </c>
      <c r="AM135" s="1430">
        <f ca="1">IF(AND(method_reg="Метод индексации",god&lt;&gt;first_year),SUMIFS(INDEX('Калькуляция (МИ корр)'!$AJ$25:$BC$315,,MATCH(AM$8,'Калькуляция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(МИ)'!$AJ$25:$BC$315,,MATCH(AM$8,'Калькуляция (МИ)'!$AJ$8:$BC$8,0)),'Калькуляция (МИ)'!$F$25:$F$315,$F135,'Калькуляция (МИ)'!$G$25:$G$315,$G135))))</f>
        <v>586.24</v>
      </c>
      <c r="AN135" s="1430">
        <f ca="1">IF(AND(method_reg="Метод индексации",god&lt;&gt;first_year),SUMIFS(INDEX('Калькуляция (МИ корр)'!$AJ$25:$BC$315,,MATCH(AN$8,'Калькуляция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(МИ)'!$AJ$25:$BC$315,,MATCH(AN$8,'Калькуляция (МИ)'!$AJ$8:$BC$8,0)),'Калькуляция (МИ)'!$F$25:$F$315,$F135,'Калькуляция (МИ)'!$G$25:$G$315,$G135))))</f>
        <v>636.62</v>
      </c>
      <c r="AO135" s="212">
        <f ca="1">IF(AM135=0,0,(AN135-AM135)/AM135*100)</f>
        <v>8.5937499999999982</v>
      </c>
      <c r="AP135" s="1430">
        <f ca="1">IF(AND(method_reg="Метод индексации",god&lt;&gt;first_year),SUMIFS(INDEX('Калькуляция (МИ корр)'!$AJ$25:$BC$315,,MATCH(AP$8,'Калькуляция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(МИ)'!$AJ$25:$BC$315,,MATCH(AP$8,'Калькуляция (МИ)'!$AJ$8:$BC$8,0)),'Калькуляция (МИ)'!$F$25:$F$315,$F135,'Калькуляция (МИ)'!$G$25:$G$315,$G135))))</f>
        <v>586.24</v>
      </c>
      <c r="AQ135" s="1430">
        <f ca="1">IF(AND(method_reg="Метод индексации",god&lt;&gt;first_year),SUMIFS(INDEX('Калькуляция (МИ корр)'!$AJ$25:$BC$315,,MATCH(AQ$8,'Калькуляция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(МИ)'!$AJ$25:$BC$315,,MATCH(AQ$8,'Калькуляция (МИ)'!$AJ$8:$BC$8,0)),'Калькуляция (МИ)'!$F$25:$F$315,$F135,'Калькуляция (МИ)'!$G$25:$G$315,$G135))))</f>
        <v>636.62</v>
      </c>
      <c r="AR135" s="212">
        <f ca="1">IF(AP135=0,0,(AQ135-AP135)/AP135*100)</f>
        <v>8.5937499999999982</v>
      </c>
      <c r="AS135" s="1430">
        <f ca="1">IF(AND(method_reg="Метод индексации",god&lt;&gt;first_year),SUMIFS(INDEX('Калькуляция (МИ корр)'!$AJ$25:$BC$315,,MATCH(AS$8,'Калькуляция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(МИ)'!$AJ$25:$BC$315,,MATCH(AS$8,'Калькуляция (МИ)'!$AJ$8:$BC$8,0)),'Калькуляция (МИ)'!$F$25:$F$315,$F135,'Калькуляция (МИ)'!$G$25:$G$315,$G135))))</f>
        <v>586.24</v>
      </c>
      <c r="AT135" s="1430">
        <f ca="1">IF(AND(method_reg="Метод индексации",god&lt;&gt;first_year),SUMIFS(INDEX('Калькуляция (МИ корр)'!$AJ$25:$BC$315,,MATCH(AT$8,'Калькуляция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(МИ)'!$AJ$25:$BC$315,,MATCH(AT$8,'Калькуляция (МИ)'!$AJ$8:$BC$8,0)),'Калькуляция (МИ)'!$F$25:$F$315,$F135,'Калькуляция (МИ)'!$G$25:$G$315,$G135))))</f>
        <v>636.62</v>
      </c>
      <c r="AU135" s="212">
        <f ca="1">IF(AS135=0,0,(AT135-AS135)/AS135*100)</f>
        <v>8.5937499999999982</v>
      </c>
      <c r="AV135" s="1430">
        <f ca="1">IF(AND(method_reg="Метод индексации",god&lt;&gt;first_year),SUMIFS(INDEX('Калькуляция (МИ корр)'!$AJ$25:$BC$315,,MATCH(AV$8,'Калькуляция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(МИ)'!$AJ$25:$BC$315,,MATCH(AV$8,'Калькуляция (МИ)'!$AJ$8:$BC$8,0)),'Калькуляция (МИ)'!$F$25:$F$315,$F135,'Калькуляция (МИ)'!$G$25:$G$315,$G135))))</f>
        <v>586.24</v>
      </c>
      <c r="AW135" s="1430">
        <f ca="1">IF(AND(method_reg="Метод индексации",god&lt;&gt;first_year),SUMIFS(INDEX('Калькуляция (МИ корр)'!$AJ$25:$BC$315,,MATCH(AW$8,'Калькуляция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(МИ)'!$AJ$25:$BC$315,,MATCH(AW$8,'Калькуляция (МИ)'!$AJ$8:$BC$8,0)),'Калькуляция (МИ)'!$F$25:$F$315,$F135,'Калькуляция (МИ)'!$G$25:$G$315,$G135))))</f>
        <v>636.62</v>
      </c>
      <c r="AX135" s="212">
        <f ca="1">IF(AV135=0,0,(AW135-AV135)/AV135*100)</f>
        <v>8.5937499999999982</v>
      </c>
      <c r="AY135" s="1430">
        <f ca="1">IF(AND(method_reg="Метод индексации",god&lt;&gt;first_year),SUMIFS(INDEX('Калькуляция (МИ корр)'!$AJ$25:$BC$315,,MATCH(AY$8,'Калькуляция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(МИ)'!$AJ$25:$BC$315,,MATCH(AY$8,'Калькуляция (МИ)'!$AJ$8:$BC$8,0)),'Калькуляция (МИ)'!$F$25:$F$315,$F135,'Калькуляция (МИ)'!$G$25:$G$315,$G135))))</f>
        <v>586.24</v>
      </c>
      <c r="AZ135" s="1430">
        <f ca="1">IF(AND(method_reg="Метод индексации",god&lt;&gt;first_year),SUMIFS(INDEX('Калькуляция (МИ корр)'!$AJ$25:$BC$315,,MATCH(AZ$8,'Калькуляция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(МИ)'!$AJ$25:$BC$315,,MATCH(AZ$8,'Калькуляция (МИ)'!$AJ$8:$BC$8,0)),'Калькуляция (МИ)'!$F$25:$F$315,$F135,'Калькуляция (МИ)'!$G$25:$G$315,$G135))))</f>
        <v>636.62</v>
      </c>
      <c r="BA135" s="212">
        <f ca="1">IF(AY135=0,0,(AZ135-AY135)/AY135*100)</f>
        <v>8.5937499999999982</v>
      </c>
      <c r="BB135" s="1430">
        <f ca="1">IF(AND(method_reg="Метод индексации",god&lt;&gt;first_year),SUMIFS(INDEX('Калькуляция (МИ корр)'!$AJ$25:$BC$315,,MATCH(BB$8,'Калькуляция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(МИ)'!$AJ$25:$BC$315,,MATCH(BB$8,'Калькуляция (МИ)'!$AJ$8:$BC$8,0)),'Калькуляция (МИ)'!$F$25:$F$315,$F135,'Калькуляция (МИ)'!$G$25:$G$315,$G135))))</f>
        <v>586.24</v>
      </c>
      <c r="BC135" s="1430">
        <f ca="1">IF(AND(method_reg="Метод индексации",god&lt;&gt;first_year),SUMIFS(INDEX('Калькуляция (МИ корр)'!$AJ$25:$BC$315,,MATCH(BC$8,'Калькуляция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(МИ)'!$AJ$25:$BC$315,,MATCH(BC$8,'Калькуляция (МИ)'!$AJ$8:$BC$8,0)),'Калькуляция (МИ)'!$F$25:$F$315,$F135,'Калькуляция (МИ)'!$G$25:$G$315,$G135))))</f>
        <v>636.62</v>
      </c>
      <c r="BD135" s="212">
        <f ca="1">IF(BB135=0,0,(BC135-BB135)/BB135*100)</f>
        <v>8.5937499999999982</v>
      </c>
      <c r="BE135" s="1430">
        <f ca="1">IF(AND(method_reg="Метод индексации",god&lt;&gt;first_year),SUMIFS(INDEX('Калькуляция (МИ корр)'!$AJ$25:$BC$315,,MATCH(BE$8,'Калькуляция (МИ корр)'!$AJ$8:$BC$8,0)),'Калькуляция (МИ корр)'!$F$25:$F$315,$F135,'Калькуляция (МИ корр)'!$G$25:$G$315,$G135),IF(method_reg="Метод экономически обоснованных расходов",SUMIFS('Калькуляция (МЭОР)'!$AJ$25:$AJ$199,'Калькуляция (МЭОР)'!$F$25:$F$199,$F135,'Калькуляция (МЭОР)'!$G$25:$G$199,$G135),IF(method_reg="Метод сравнения аналогов",SUMIFS('Калькуляция (МСА)'!$AE$25:$AE$65,'Калькуляция (МСА)'!$F$25:$F$65,$F135,'Калькуляция (МСА)'!$G$25:$G$65,$G135),SUMIFS(INDEX('Калькуляция (МИ)'!$AJ$25:$BC$315,,MATCH(BE$8,'Калькуляция (МИ)'!$AJ$8:$BC$8,0)),'Калькуляция (МИ)'!$F$25:$F$315,$F135,'Калькуляция (МИ)'!$G$25:$G$315,$G135))))</f>
        <v>586.24</v>
      </c>
      <c r="BF135" s="1430">
        <f ca="1">IF(AND(method_reg="Метод индексации",god&lt;&gt;first_year),SUMIFS(INDEX('Калькуляция (МИ корр)'!$AJ$25:$BC$315,,MATCH(BF$8,'Калькуляция (МИ корр)'!$AJ$8:$BC$8,0)),'Калькуляция (МИ корр)'!$F$25:$F$315,$F135,'Калькуляция (МИ корр)'!$G$25:$G$315,$G135),IF(method_reg="Метод экономически обоснованных расходов",SUMIFS('Калькуляция (МЭОР)'!$AK$25:$AK$199,'Калькуляция (МЭОР)'!$F$25:$F$199,$F135,'Калькуляция (МЭОР)'!$G$25:$G$199,$G135),IF(method_reg="Метод сравнения аналогов",SUMIFS('Калькуляция (МСА)'!$AF$25:$AF$65,'Калькуляция (МСА)'!$F$25:$F$65,$F135,'Калькуляция (МСА)'!$G$25:$G$65,$G135),SUMIFS(INDEX('Калькуляция (МИ)'!$AJ$25:$BC$315,,MATCH(BF$8,'Калькуляция (МИ)'!$AJ$8:$BC$8,0)),'Калькуляция (МИ)'!$F$25:$F$315,$F135,'Калькуляция (МИ)'!$G$25:$G$315,$G135))))</f>
        <v>636.62</v>
      </c>
      <c r="BG135" s="212">
        <f ca="1">IF(BE135=0,0,(BF135-BE135)/BE135*100)</f>
        <v>8.5937499999999982</v>
      </c>
      <c r="BH135" s="1430"/>
      <c r="BI135" s="1430"/>
      <c r="BJ135" s="212">
        <f>IF(BH135=0,0,(BI135-BH135)/BH135*100)</f>
        <v>0</v>
      </c>
      <c r="BK135" s="1430"/>
      <c r="BL135" s="1430"/>
      <c r="BM135" s="212">
        <f>IF(BK135=0,0,(BL135-BK135)/BK135*100)</f>
        <v>0</v>
      </c>
      <c r="BN135" s="1430"/>
      <c r="BO135" s="1430"/>
      <c r="BP135" s="212">
        <f>IF(BN135=0,0,(BO135-BN135)/BN135*100)</f>
        <v>0</v>
      </c>
      <c r="BQ135" s="1430"/>
      <c r="BR135" s="1430"/>
      <c r="BS135" s="212">
        <f>IF(BQ135=0,0,(BR135-BQ135)/BQ135*100)</f>
        <v>0</v>
      </c>
      <c r="BT135" s="1430"/>
      <c r="BU135" s="1430"/>
      <c r="BV135" s="212">
        <f>IF(BT135=0,0,(BU135-BT135)/BT135*100)</f>
        <v>0</v>
      </c>
      <c r="BW135" s="1430"/>
      <c r="BX135" s="1430"/>
      <c r="BY135" s="212">
        <f>IF(BW135=0,0,(BX135-BW135)/BW135*100)</f>
        <v>0</v>
      </c>
      <c r="BZ135" s="1430"/>
      <c r="CA135" s="1430"/>
      <c r="CB135" s="212">
        <f>IF(BZ135=0,0,(CA135-BZ135)/BZ135*100)</f>
        <v>0</v>
      </c>
      <c r="CC135" s="1430"/>
      <c r="CD135" s="1430"/>
      <c r="CE135" s="212">
        <f>IF(CC135=0,0,(CD135-CC135)/CC135*100)</f>
        <v>0</v>
      </c>
      <c r="CF135" s="1430"/>
      <c r="CG135" s="1430"/>
      <c r="CH135" s="212">
        <f>IF(CF135=0,0,(CG135-CF135)/CF135*100)</f>
        <v>0</v>
      </c>
      <c r="CI135" s="1430"/>
      <c r="CJ135" s="1430"/>
      <c r="CK135" s="212">
        <f>IF(CI135=0,0,(CJ135-CI135)/CI135*100)</f>
        <v>0</v>
      </c>
      <c r="CL135" s="1430"/>
      <c r="CM135" s="1430"/>
      <c r="CN135" s="212">
        <f>IF(CL135=0,0,(CM135-CL135)/CL135*100)</f>
        <v>0</v>
      </c>
      <c r="CO135" s="1430"/>
      <c r="CP135" s="1430"/>
      <c r="CQ135" s="212">
        <f>IF(CO135=0,0,(CP135-CO135)/CO135*100)</f>
        <v>0</v>
      </c>
      <c r="CR135" s="1430"/>
      <c r="CS135" s="1430"/>
      <c r="CT135" s="212">
        <f>IF(CR135=0,0,(CS135-CR135)/CR135*100)</f>
        <v>0</v>
      </c>
      <c r="CU135" s="1430"/>
      <c r="CV135" s="1430"/>
      <c r="CW135" s="212">
        <f>IF(CU135=0,0,(CV135-CU135)/CU135*100)</f>
        <v>0</v>
      </c>
      <c r="CX135" s="1430"/>
      <c r="CY135" s="1430"/>
      <c r="CZ135" s="212">
        <f>IF(CX135=0,0,(CY135-CX135)/CX135*100)</f>
        <v>0</v>
      </c>
      <c r="DA135" s="1430"/>
      <c r="DB135" s="1430"/>
      <c r="DC135" s="212">
        <f>IF(DA135=0,0,(DB135-DA135)/DA135*100)</f>
        <v>0</v>
      </c>
      <c r="DD135" s="1430"/>
      <c r="DE135" s="1430"/>
      <c r="DF135" s="212">
        <f>IF(DD135=0,0,(DE135-DD135)/DD135*100)</f>
        <v>0</v>
      </c>
      <c r="DG135" s="1430"/>
      <c r="DH135" s="1430"/>
      <c r="DI135" s="212">
        <f>IF(DG135=0,0,(DH135-DG135)/DG135*100)</f>
        <v>0</v>
      </c>
      <c r="DJ135" s="1430"/>
      <c r="DK135" s="1430"/>
      <c r="DL135" s="212">
        <f>IF(DJ135=0,0,(DK135-DJ135)/DJ135*100)</f>
        <v>0</v>
      </c>
      <c r="DM135" s="1430"/>
      <c r="DN135" s="1430"/>
      <c r="DO135" s="212">
        <f>IF(DM135=0,0,(DN135-DM135)/DM135*100)</f>
        <v>0</v>
      </c>
      <c r="DP135" s="1430"/>
      <c r="DQ135" s="1430"/>
      <c r="DR135" s="212">
        <f>IF(DP135=0,0,(DQ135-DP135)/DP135*100)</f>
        <v>0</v>
      </c>
      <c r="DS135" s="1430"/>
      <c r="DT135" s="1430"/>
      <c r="DU135" s="212">
        <f>IF(DS135=0,0,(DT135-DS135)/DS135*100)</f>
        <v>0</v>
      </c>
      <c r="DV135" s="1430"/>
      <c r="DW135" s="1430"/>
      <c r="DX135" s="212">
        <f>IF(DV135=0,0,(DW135-DV135)/DV135*100)</f>
        <v>0</v>
      </c>
      <c r="DY135" s="1430"/>
      <c r="DZ135" s="1430"/>
      <c r="EA135" s="212">
        <f>IF(DY135=0,0,(DZ135-DY135)/DY135*100)</f>
        <v>0</v>
      </c>
      <c r="EB135" s="1430"/>
      <c r="EC135" s="1430"/>
      <c r="ED135" s="212">
        <f>IF(EB135=0,0,(EC135-EB135)/EB135*100)</f>
        <v>0</v>
      </c>
      <c r="EE135" s="1430"/>
      <c r="EF135" s="1430"/>
      <c r="EG135" s="212">
        <f>IF(EE135=0,0,(EF135-EE135)/EE135*100)</f>
        <v>0</v>
      </c>
      <c r="EH135" s="1430"/>
      <c r="EI135" s="1430"/>
      <c r="EJ135" s="212">
        <f>IF(EH135=0,0,(EI135-EH135)/EH135*100)</f>
        <v>0</v>
      </c>
      <c r="EK135" s="1430"/>
      <c r="EL135" s="1430"/>
      <c r="EM135" s="212">
        <f>IF(EK135=0,0,(EL135-EK135)/EK135*100)</f>
        <v>0</v>
      </c>
      <c r="EN135" s="1430"/>
      <c r="EO135" s="1430"/>
      <c r="EP135" s="212">
        <f>IF(EN135=0,0,(EO135-EN135)/EN135*100)</f>
        <v>0</v>
      </c>
      <c r="EQ135" s="1430"/>
      <c r="ER135" s="1430"/>
      <c r="ES135" s="212">
        <f>IF(EQ135=0,0,(ER135-EQ135)/EQ135*100)</f>
        <v>0</v>
      </c>
      <c r="ET135" s="1430"/>
      <c r="EU135" s="1430"/>
      <c r="EV135" s="212">
        <f>IF(ET135=0,0,(EU135-ET135)/ET135*100)</f>
        <v>0</v>
      </c>
      <c r="EW135" s="1430"/>
      <c r="EX135" s="1430"/>
      <c r="EY135" s="212">
        <f>IF(EW135=0,0,(EX135-EW135)/EW135*100)</f>
        <v>0</v>
      </c>
      <c r="EZ135" s="1430"/>
      <c r="FA135" s="1430"/>
      <c r="FB135" s="212">
        <f>IF(EZ135=0,0,(FA135-EZ135)/EZ135*100)</f>
        <v>0</v>
      </c>
      <c r="FC135" s="1430"/>
      <c r="FD135" s="1430"/>
      <c r="FE135" s="212">
        <f>IF(FC135=0,0,(FD135-FC135)/FC135*100)</f>
        <v>0</v>
      </c>
      <c r="FF135" s="1430"/>
      <c r="FG135" s="1430"/>
      <c r="FH135" s="212">
        <f>IF(FF135=0,0,(FG135-FF135)/FF135*100)</f>
        <v>0</v>
      </c>
      <c r="FI135" s="1430"/>
      <c r="FJ135" s="1430"/>
      <c r="FK135" s="212">
        <f>IF(FI135=0,0,(FJ135-FI135)/FI135*100)</f>
        <v>0</v>
      </c>
      <c r="FL135" s="1430"/>
      <c r="FM135" s="1430"/>
      <c r="FN135" s="212">
        <f>IF(FL135=0,0,(FM135-FL135)/FL135*100)</f>
        <v>0</v>
      </c>
      <c r="FO135" s="1430"/>
      <c r="FP135" s="1430"/>
      <c r="FQ135" s="212">
        <f>IF(FO135=0,0,(FP135-FO135)/FO135*100)</f>
        <v>0</v>
      </c>
      <c r="FR135" s="1430"/>
      <c r="FS135" s="1430"/>
      <c r="FT135" s="212">
        <f>IF(FR135=0,0,(FS135-FR135)/FR135*100)</f>
        <v>0</v>
      </c>
      <c r="FU135" s="1430"/>
      <c r="FV135" s="1430"/>
      <c r="FW135" s="212">
        <f>IF(FU135=0,0,(FV135-FU135)/FU135*100)</f>
        <v>0</v>
      </c>
      <c r="FX135" s="208"/>
      <c r="FY135" s="208"/>
      <c r="FZ135" s="957" t="s">
        <v>1532</v>
      </c>
      <c r="GA135" s="957"/>
      <c r="GB135" s="957"/>
      <c r="GC135" s="958"/>
      <c r="GD135" s="958"/>
    </row>
    <row r="136" spans="1:186" s="1327" customFormat="1" ht="14.25" hidden="1" customHeight="1">
      <c r="A136" s="409"/>
      <c r="B136" s="830" t="b" cm="1">
        <f t="array" ref="B136">B135</f>
        <v>0</v>
      </c>
      <c r="C136" s="409"/>
      <c r="D136" s="409"/>
      <c r="E136" s="754">
        <v>15</v>
      </c>
      <c r="F136" s="3" t="str" cm="1">
        <f t="array" aca="1" ref="F136" ca="1">OFFSET(E136,-1,1)</f>
        <v>1</v>
      </c>
      <c r="G136" s="409"/>
      <c r="H136" s="409" t="s">
        <v>431</v>
      </c>
      <c r="I136" s="409"/>
      <c r="J136" s="409"/>
      <c r="K136" s="409"/>
      <c r="L136" s="409"/>
      <c r="M136" s="409"/>
      <c r="N136" s="409"/>
      <c r="O136" s="409"/>
      <c r="P136" s="409"/>
      <c r="Q136" s="409"/>
      <c r="R136" s="409"/>
      <c r="S136" s="409"/>
      <c r="T136" s="381" t="b" cm="1">
        <f t="array" aca="1" ref="T136" ca="1">T135</f>
        <v>1</v>
      </c>
      <c r="U136" s="409"/>
      <c r="V136" s="409"/>
      <c r="W136" s="409"/>
      <c r="X136" s="1787"/>
      <c r="Y136" s="409"/>
      <c r="Z136" s="1734"/>
      <c r="AA136" s="409"/>
      <c r="AB136" s="991" t="s">
        <v>1533</v>
      </c>
      <c r="AC136" s="680" t="s">
        <v>423</v>
      </c>
      <c r="AD136" s="995">
        <f ca="1">IF(AD134=0,0,AD135/AD134)*100</f>
        <v>100</v>
      </c>
      <c r="AE136" s="995">
        <f ca="1">IF(AE134=0,0,AE135/AE134)*100</f>
        <v>111.79755549311604</v>
      </c>
      <c r="AF136" s="1010"/>
      <c r="AG136" s="995">
        <f ca="1">IF(AG134=0,0,AG135/AG134)*100</f>
        <v>100</v>
      </c>
      <c r="AH136" s="995">
        <f ca="1">IF(AH134=0,0,AH135/AH134)*100</f>
        <v>111.79755549311604</v>
      </c>
      <c r="AI136" s="1010"/>
      <c r="AJ136" s="995">
        <f ca="1">IF(AJ134=0,0,AJ135/AJ134)*100</f>
        <v>100</v>
      </c>
      <c r="AK136" s="995">
        <f ca="1">IF(AK134=0,0,AK135/AK134)*100</f>
        <v>111.79755549311604</v>
      </c>
      <c r="AL136" s="1010"/>
      <c r="AM136" s="995">
        <f ca="1">IF(AM134=0,0,AM135/AM134)*100</f>
        <v>100</v>
      </c>
      <c r="AN136" s="995">
        <f ca="1">IF(AN134=0,0,AN135/AN134)*100</f>
        <v>111.79755549311604</v>
      </c>
      <c r="AO136" s="1010"/>
      <c r="AP136" s="995">
        <f ca="1">IF(AP134=0,0,AP135/AP134)*100</f>
        <v>100</v>
      </c>
      <c r="AQ136" s="995">
        <f ca="1">IF(AQ134=0,0,AQ135/AQ134)*100</f>
        <v>111.79755549311604</v>
      </c>
      <c r="AR136" s="1010"/>
      <c r="AS136" s="995">
        <f ca="1">IF(AS134=0,0,AS135/AS134)*100</f>
        <v>100</v>
      </c>
      <c r="AT136" s="995">
        <f ca="1">IF(AT134=0,0,AT135/AT134)*100</f>
        <v>111.79755549311604</v>
      </c>
      <c r="AU136" s="1010"/>
      <c r="AV136" s="995">
        <f ca="1">IF(AV134=0,0,AV135/AV134)*100</f>
        <v>100</v>
      </c>
      <c r="AW136" s="995">
        <f ca="1">IF(AW134=0,0,AW135/AW134)*100</f>
        <v>111.79755549311604</v>
      </c>
      <c r="AX136" s="1010"/>
      <c r="AY136" s="995">
        <f ca="1">IF(AY134=0,0,AY135/AY134)*100</f>
        <v>100</v>
      </c>
      <c r="AZ136" s="995">
        <f ca="1">IF(AZ134=0,0,AZ135/AZ134)*100</f>
        <v>111.79755549311604</v>
      </c>
      <c r="BA136" s="1010"/>
      <c r="BB136" s="995">
        <f ca="1">IF(BB134=0,0,BB135/BB134)*100</f>
        <v>100</v>
      </c>
      <c r="BC136" s="995">
        <f ca="1">IF(BC134=0,0,BC135/BC134)*100</f>
        <v>111.79755549311604</v>
      </c>
      <c r="BD136" s="1010"/>
      <c r="BE136" s="995">
        <f ca="1">IF(BE134=0,0,BE135/BE134)*100</f>
        <v>100</v>
      </c>
      <c r="BF136" s="995">
        <f ca="1">IF(BF134=0,0,BF135/BF134)*100</f>
        <v>111.79755549311604</v>
      </c>
      <c r="BG136" s="1010"/>
      <c r="BH136" s="995">
        <f>IF(BH134=0,0,BH135/BH134)*100</f>
        <v>0</v>
      </c>
      <c r="BI136" s="995">
        <f>IF(BI134=0,0,BI135/BI134)*100</f>
        <v>0</v>
      </c>
      <c r="BJ136" s="1010"/>
      <c r="BK136" s="995">
        <f>IF(BK134=0,0,BK135/BK134)*100</f>
        <v>0</v>
      </c>
      <c r="BL136" s="995">
        <f>IF(BL134=0,0,BL135/BL134)*100</f>
        <v>0</v>
      </c>
      <c r="BM136" s="1010"/>
      <c r="BN136" s="995">
        <f>IF(BN134=0,0,BN135/BN134)*100</f>
        <v>0</v>
      </c>
      <c r="BO136" s="995">
        <f>IF(BO134=0,0,BO135/BO134)*100</f>
        <v>0</v>
      </c>
      <c r="BP136" s="1010"/>
      <c r="BQ136" s="995">
        <f>IF(BQ134=0,0,BQ135/BQ134)*100</f>
        <v>0</v>
      </c>
      <c r="BR136" s="995">
        <f>IF(BR134=0,0,BR135/BR134)*100</f>
        <v>0</v>
      </c>
      <c r="BS136" s="1010"/>
      <c r="BT136" s="995">
        <f>IF(BT134=0,0,BT135/BT134)*100</f>
        <v>0</v>
      </c>
      <c r="BU136" s="995">
        <f>IF(BU134=0,0,BU135/BU134)*100</f>
        <v>0</v>
      </c>
      <c r="BV136" s="1010"/>
      <c r="BW136" s="995">
        <f>IF(BW134=0,0,BW135/BW134)*100</f>
        <v>0</v>
      </c>
      <c r="BX136" s="995">
        <f>IF(BX134=0,0,BX135/BX134)*100</f>
        <v>0</v>
      </c>
      <c r="BY136" s="1010"/>
      <c r="BZ136" s="995">
        <f>IF(BZ134=0,0,BZ135/BZ134)*100</f>
        <v>0</v>
      </c>
      <c r="CA136" s="995">
        <f>IF(CA134=0,0,CA135/CA134)*100</f>
        <v>0</v>
      </c>
      <c r="CB136" s="1010"/>
      <c r="CC136" s="995">
        <f>IF(CC134=0,0,CC135/CC134)*100</f>
        <v>0</v>
      </c>
      <c r="CD136" s="995">
        <f>IF(CD134=0,0,CD135/CD134)*100</f>
        <v>0</v>
      </c>
      <c r="CE136" s="1010"/>
      <c r="CF136" s="995">
        <f>IF(CF134=0,0,CF135/CF134)*100</f>
        <v>0</v>
      </c>
      <c r="CG136" s="995">
        <f>IF(CG134=0,0,CG135/CG134)*100</f>
        <v>0</v>
      </c>
      <c r="CH136" s="1010"/>
      <c r="CI136" s="995">
        <f>IF(CI134=0,0,CI135/CI134)*100</f>
        <v>0</v>
      </c>
      <c r="CJ136" s="995">
        <f>IF(CJ134=0,0,CJ135/CJ134)*100</f>
        <v>0</v>
      </c>
      <c r="CK136" s="1010"/>
      <c r="CL136" s="995">
        <f>IF(CL134=0,0,CL135/CL134)*100</f>
        <v>0</v>
      </c>
      <c r="CM136" s="995">
        <f>IF(CM134=0,0,CM135/CM134)*100</f>
        <v>0</v>
      </c>
      <c r="CN136" s="1010"/>
      <c r="CO136" s="995">
        <f>IF(CO134=0,0,CO135/CO134)*100</f>
        <v>0</v>
      </c>
      <c r="CP136" s="995">
        <f>IF(CP134=0,0,CP135/CP134)*100</f>
        <v>0</v>
      </c>
      <c r="CQ136" s="1010"/>
      <c r="CR136" s="995">
        <f>IF(CR134=0,0,CR135/CR134)*100</f>
        <v>0</v>
      </c>
      <c r="CS136" s="995">
        <f>IF(CS134=0,0,CS135/CS134)*100</f>
        <v>0</v>
      </c>
      <c r="CT136" s="1010"/>
      <c r="CU136" s="995">
        <f>IF(CU134=0,0,CU135/CU134)*100</f>
        <v>0</v>
      </c>
      <c r="CV136" s="995">
        <f>IF(CV134=0,0,CV135/CV134)*100</f>
        <v>0</v>
      </c>
      <c r="CW136" s="1010"/>
      <c r="CX136" s="995">
        <f>IF(CX134=0,0,CX135/CX134)*100</f>
        <v>0</v>
      </c>
      <c r="CY136" s="995">
        <f>IF(CY134=0,0,CY135/CY134)*100</f>
        <v>0</v>
      </c>
      <c r="CZ136" s="1010"/>
      <c r="DA136" s="995">
        <f>IF(DA134=0,0,DA135/DA134)*100</f>
        <v>0</v>
      </c>
      <c r="DB136" s="995">
        <f>IF(DB134=0,0,DB135/DB134)*100</f>
        <v>0</v>
      </c>
      <c r="DC136" s="1010"/>
      <c r="DD136" s="995">
        <f>IF(DD134=0,0,DD135/DD134)*100</f>
        <v>0</v>
      </c>
      <c r="DE136" s="995">
        <f>IF(DE134=0,0,DE135/DE134)*100</f>
        <v>0</v>
      </c>
      <c r="DF136" s="1010"/>
      <c r="DG136" s="995">
        <f>IF(DG134=0,0,DG135/DG134)*100</f>
        <v>0</v>
      </c>
      <c r="DH136" s="995">
        <f>IF(DH134=0,0,DH135/DH134)*100</f>
        <v>0</v>
      </c>
      <c r="DI136" s="1010"/>
      <c r="DJ136" s="995">
        <f>IF(DJ134=0,0,DJ135/DJ134)*100</f>
        <v>0</v>
      </c>
      <c r="DK136" s="995">
        <f>IF(DK134=0,0,DK135/DK134)*100</f>
        <v>0</v>
      </c>
      <c r="DL136" s="1010"/>
      <c r="DM136" s="995">
        <f>IF(DM134=0,0,DM135/DM134)*100</f>
        <v>0</v>
      </c>
      <c r="DN136" s="995">
        <f>IF(DN134=0,0,DN135/DN134)*100</f>
        <v>0</v>
      </c>
      <c r="DO136" s="1010"/>
      <c r="DP136" s="995">
        <f>IF(DP134=0,0,DP135/DP134)*100</f>
        <v>0</v>
      </c>
      <c r="DQ136" s="995">
        <f>IF(DQ134=0,0,DQ135/DQ134)*100</f>
        <v>0</v>
      </c>
      <c r="DR136" s="1010"/>
      <c r="DS136" s="995">
        <f>IF(DS134=0,0,DS135/DS134)*100</f>
        <v>0</v>
      </c>
      <c r="DT136" s="995">
        <f>IF(DT134=0,0,DT135/DT134)*100</f>
        <v>0</v>
      </c>
      <c r="DU136" s="1010"/>
      <c r="DV136" s="995">
        <f>IF(DV134=0,0,DV135/DV134)*100</f>
        <v>0</v>
      </c>
      <c r="DW136" s="995">
        <f>IF(DW134=0,0,DW135/DW134)*100</f>
        <v>0</v>
      </c>
      <c r="DX136" s="1010"/>
      <c r="DY136" s="995">
        <f>IF(DY134=0,0,DY135/DY134)*100</f>
        <v>0</v>
      </c>
      <c r="DZ136" s="995">
        <f>IF(DZ134=0,0,DZ135/DZ134)*100</f>
        <v>0</v>
      </c>
      <c r="EA136" s="1010"/>
      <c r="EB136" s="995">
        <f>IF(EB134=0,0,EB135/EB134)*100</f>
        <v>0</v>
      </c>
      <c r="EC136" s="995">
        <f>IF(EC134=0,0,EC135/EC134)*100</f>
        <v>0</v>
      </c>
      <c r="ED136" s="1010"/>
      <c r="EE136" s="995">
        <f>IF(EE134=0,0,EE135/EE134)*100</f>
        <v>0</v>
      </c>
      <c r="EF136" s="995">
        <f>IF(EF134=0,0,EF135/EF134)*100</f>
        <v>0</v>
      </c>
      <c r="EG136" s="1010"/>
      <c r="EH136" s="995">
        <f>IF(EH134=0,0,EH135/EH134)*100</f>
        <v>0</v>
      </c>
      <c r="EI136" s="995">
        <f>IF(EI134=0,0,EI135/EI134)*100</f>
        <v>0</v>
      </c>
      <c r="EJ136" s="1010"/>
      <c r="EK136" s="995">
        <f>IF(EK134=0,0,EK135/EK134)*100</f>
        <v>0</v>
      </c>
      <c r="EL136" s="995">
        <f>IF(EL134=0,0,EL135/EL134)*100</f>
        <v>0</v>
      </c>
      <c r="EM136" s="1010"/>
      <c r="EN136" s="995">
        <f>IF(EN134=0,0,EN135/EN134)*100</f>
        <v>0</v>
      </c>
      <c r="EO136" s="995">
        <f>IF(EO134=0,0,EO135/EO134)*100</f>
        <v>0</v>
      </c>
      <c r="EP136" s="1010"/>
      <c r="EQ136" s="995">
        <f>IF(EQ134=0,0,EQ135/EQ134)*100</f>
        <v>0</v>
      </c>
      <c r="ER136" s="995">
        <f>IF(ER134=0,0,ER135/ER134)*100</f>
        <v>0</v>
      </c>
      <c r="ES136" s="1010"/>
      <c r="ET136" s="995">
        <f>IF(ET134=0,0,ET135/ET134)*100</f>
        <v>0</v>
      </c>
      <c r="EU136" s="995">
        <f>IF(EU134=0,0,EU135/EU134)*100</f>
        <v>0</v>
      </c>
      <c r="EV136" s="1010"/>
      <c r="EW136" s="995">
        <f>IF(EW134=0,0,EW135/EW134)*100</f>
        <v>0</v>
      </c>
      <c r="EX136" s="995">
        <f>IF(EX134=0,0,EX135/EX134)*100</f>
        <v>0</v>
      </c>
      <c r="EY136" s="1010"/>
      <c r="EZ136" s="995">
        <f>IF(EZ134=0,0,EZ135/EZ134)*100</f>
        <v>0</v>
      </c>
      <c r="FA136" s="995">
        <f>IF(FA134=0,0,FA135/FA134)*100</f>
        <v>0</v>
      </c>
      <c r="FB136" s="1010"/>
      <c r="FC136" s="995">
        <f>IF(FC134=0,0,FC135/FC134)*100</f>
        <v>0</v>
      </c>
      <c r="FD136" s="995">
        <f>IF(FD134=0,0,FD135/FD134)*100</f>
        <v>0</v>
      </c>
      <c r="FE136" s="1010"/>
      <c r="FF136" s="995">
        <f>IF(FF134=0,0,FF135/FF134)*100</f>
        <v>0</v>
      </c>
      <c r="FG136" s="995">
        <f>IF(FG134=0,0,FG135/FG134)*100</f>
        <v>0</v>
      </c>
      <c r="FH136" s="1010"/>
      <c r="FI136" s="995">
        <f>IF(FI134=0,0,FI135/FI134)*100</f>
        <v>0</v>
      </c>
      <c r="FJ136" s="995">
        <f>IF(FJ134=0,0,FJ135/FJ134)*100</f>
        <v>0</v>
      </c>
      <c r="FK136" s="1010"/>
      <c r="FL136" s="995">
        <f>IF(FL134=0,0,FL135/FL134)*100</f>
        <v>0</v>
      </c>
      <c r="FM136" s="995">
        <f>IF(FM134=0,0,FM135/FM134)*100</f>
        <v>0</v>
      </c>
      <c r="FN136" s="1010"/>
      <c r="FO136" s="995">
        <f>IF(FO134=0,0,FO135/FO134)*100</f>
        <v>0</v>
      </c>
      <c r="FP136" s="995">
        <f>IF(FP134=0,0,FP135/FP134)*100</f>
        <v>0</v>
      </c>
      <c r="FQ136" s="1010"/>
      <c r="FR136" s="995">
        <f>IF(FR134=0,0,FR135/FR134)*100</f>
        <v>0</v>
      </c>
      <c r="FS136" s="995">
        <f>IF(FS134=0,0,FS135/FS134)*100</f>
        <v>0</v>
      </c>
      <c r="FT136" s="1010"/>
      <c r="FU136" s="995">
        <f>IF(FU134=0,0,FU135/FU134)*100</f>
        <v>0</v>
      </c>
      <c r="FV136" s="995">
        <f>IF(FV134=0,0,FV135/FV134)*100</f>
        <v>0</v>
      </c>
      <c r="FW136" s="1011"/>
      <c r="FX136" s="208"/>
      <c r="FY136" s="1207"/>
      <c r="FZ136" s="957" t="s">
        <v>1534</v>
      </c>
      <c r="GA136" s="1209"/>
      <c r="GB136" s="1209"/>
      <c r="GC136" s="1208"/>
      <c r="GD136" s="1208"/>
    </row>
    <row r="137" spans="1:186" s="1327" customFormat="1" ht="14.25" hidden="1" customHeight="1">
      <c r="A137" s="409"/>
      <c r="B137" s="830" t="b" cm="1">
        <f t="array" ref="B137">B136</f>
        <v>0</v>
      </c>
      <c r="C137" s="409"/>
      <c r="D137" s="409"/>
      <c r="E137" s="754">
        <v>15</v>
      </c>
      <c r="F137" s="3" t="str" cm="1">
        <f t="array" aca="1" ref="F137" ca="1">OFFSET(E137,-1,1)</f>
        <v>1</v>
      </c>
      <c r="G137" s="26" t="s">
        <v>1463</v>
      </c>
      <c r="H137" s="409"/>
      <c r="I137" s="409"/>
      <c r="J137" s="409"/>
      <c r="K137" s="409"/>
      <c r="L137" s="409"/>
      <c r="M137" s="409"/>
      <c r="N137" s="409"/>
      <c r="O137" s="409"/>
      <c r="P137" s="409"/>
      <c r="Q137" s="409"/>
      <c r="R137" s="409"/>
      <c r="S137" s="409"/>
      <c r="T137" s="381" t="b" cm="1">
        <f t="array" aca="1" ref="T137" ca="1">T136</f>
        <v>1</v>
      </c>
      <c r="U137" s="409"/>
      <c r="V137" s="409"/>
      <c r="W137" s="409"/>
      <c r="X137" s="1787"/>
      <c r="Y137" s="409"/>
      <c r="Z137" s="1734"/>
      <c r="AA137" s="409"/>
      <c r="AB137" s="809" t="s">
        <v>1464</v>
      </c>
      <c r="AC137" s="778" t="s">
        <v>499</v>
      </c>
      <c r="AD137" s="1426">
        <f ca="1">IF(AND(method_reg="Метод индексации",god&lt;&gt;first_year),SUMIFS(INDEX('Калькуляция (МИ корр)'!$AJ$25:$BC$315,,MATCH(AD$8,'Калькуляция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(МИ)'!$AJ$25:$BC$315,,MATCH(AD$8,'Калькуляция (МИ)'!$AJ$8:$BC$8,0)),'Калькуляция (МИ)'!$F$25:$F$315,$F137,'Калькуляция (МИ)'!$G$25:$G$315,$G137))))</f>
        <v>2.5756999999999999</v>
      </c>
      <c r="AE137" s="1426">
        <f ca="1">IF(AND(method_reg="Метод индексации",god&lt;&gt;first_year),SUMIFS(INDEX('Калькуляция (МИ корр)'!$AJ$25:$BC$315,,MATCH(AE$8,'Калькуляция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(МИ)'!$AJ$25:$BC$315,,MATCH(AE$8,'Калькуляция (МИ)'!$AJ$8:$BC$8,0)),'Калькуляция (МИ)'!$F$25:$F$315,$F137,'Калькуляция (МИ)'!$G$25:$G$315,$G137))))</f>
        <v>2.5756999999999999</v>
      </c>
      <c r="AF137" s="998">
        <f ca="1">IF(AD137=0,0,(AE137-AD137)/AD137*100)</f>
        <v>0</v>
      </c>
      <c r="AG137" s="1426">
        <f ca="1">IF(AND(method_reg="Метод индексации",god&lt;&gt;first_year),SUMIFS(INDEX('Калькуляция (МИ корр)'!$AJ$25:$BC$315,,MATCH(AG$8,'Калькуляция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(МИ)'!$AJ$25:$BC$315,,MATCH(AG$8,'Калькуляция (МИ)'!$AJ$8:$BC$8,0)),'Калькуляция (МИ)'!$F$25:$F$315,$F137,'Калькуляция (МИ)'!$G$25:$G$315,$G137))))</f>
        <v>2.5756999999999999</v>
      </c>
      <c r="AH137" s="1426">
        <f ca="1">IF(AND(method_reg="Метод индексации",god&lt;&gt;first_year),SUMIFS(INDEX('Калькуляция (МИ корр)'!$AJ$25:$BC$315,,MATCH(AH$8,'Калькуляция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(МИ)'!$AJ$25:$BC$315,,MATCH(AH$8,'Калькуляция (МИ)'!$AJ$8:$BC$8,0)),'Калькуляция (МИ)'!$F$25:$F$315,$F137,'Калькуляция (МИ)'!$G$25:$G$315,$G137))))</f>
        <v>2.5756999999999999</v>
      </c>
      <c r="AI137" s="998">
        <f ca="1">IF(AG137=0,0,(AH137-AG137)/AG137*100)</f>
        <v>0</v>
      </c>
      <c r="AJ137" s="1426">
        <f ca="1">IF(AND(method_reg="Метод индексации",god&lt;&gt;first_year),SUMIFS(INDEX('Калькуляция (МИ корр)'!$AJ$25:$BC$315,,MATCH(AJ$8,'Калькуляция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(МИ)'!$AJ$25:$BC$315,,MATCH(AJ$8,'Калькуляция (МИ)'!$AJ$8:$BC$8,0)),'Калькуляция (МИ)'!$F$25:$F$315,$F137,'Калькуляция (МИ)'!$G$25:$G$315,$G137))))</f>
        <v>2.5756999999999999</v>
      </c>
      <c r="AK137" s="1426">
        <f ca="1">IF(AND(method_reg="Метод индексации",god&lt;&gt;first_year),SUMIFS(INDEX('Калькуляция (МИ корр)'!$AJ$25:$BC$315,,MATCH(AK$8,'Калькуляция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(МИ)'!$AJ$25:$BC$315,,MATCH(AK$8,'Калькуляция (МИ)'!$AJ$8:$BC$8,0)),'Калькуляция (МИ)'!$F$25:$F$315,$F137,'Калькуляция (МИ)'!$G$25:$G$315,$G137))))</f>
        <v>2.5756999999999999</v>
      </c>
      <c r="AL137" s="998">
        <f ca="1">IF(AJ137=0,0,(AK137-AJ137)/AJ137*100)</f>
        <v>0</v>
      </c>
      <c r="AM137" s="1426">
        <f ca="1">IF(AND(method_reg="Метод индексации",god&lt;&gt;first_year),SUMIFS(INDEX('Калькуляция (МИ корр)'!$AJ$25:$BC$315,,MATCH(AM$8,'Калькуляция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(МИ)'!$AJ$25:$BC$315,,MATCH(AM$8,'Калькуляция (МИ)'!$AJ$8:$BC$8,0)),'Калькуляция (МИ)'!$F$25:$F$315,$F137,'Калькуляция (МИ)'!$G$25:$G$315,$G137))))</f>
        <v>2.5756999999999999</v>
      </c>
      <c r="AN137" s="1426">
        <f ca="1">IF(AND(method_reg="Метод индексации",god&lt;&gt;first_year),SUMIFS(INDEX('Калькуляция (МИ корр)'!$AJ$25:$BC$315,,MATCH(AN$8,'Калькуляция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(МИ)'!$AJ$25:$BC$315,,MATCH(AN$8,'Калькуляция (МИ)'!$AJ$8:$BC$8,0)),'Калькуляция (МИ)'!$F$25:$F$315,$F137,'Калькуляция (МИ)'!$G$25:$G$315,$G137))))</f>
        <v>2.5756999999999999</v>
      </c>
      <c r="AO137" s="998">
        <f ca="1">IF(AM137=0,0,(AN137-AM137)/AM137*100)</f>
        <v>0</v>
      </c>
      <c r="AP137" s="1426">
        <f ca="1">IF(AND(method_reg="Метод индексации",god&lt;&gt;first_year),SUMIFS(INDEX('Калькуляция (МИ корр)'!$AJ$25:$BC$315,,MATCH(AP$8,'Калькуляция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(МИ)'!$AJ$25:$BC$315,,MATCH(AP$8,'Калькуляция (МИ)'!$AJ$8:$BC$8,0)),'Калькуляция (МИ)'!$F$25:$F$315,$F137,'Калькуляция (МИ)'!$G$25:$G$315,$G137))))</f>
        <v>2.5756999999999999</v>
      </c>
      <c r="AQ137" s="1426">
        <f ca="1">IF(AND(method_reg="Метод индексации",god&lt;&gt;first_year),SUMIFS(INDEX('Калькуляция (МИ корр)'!$AJ$25:$BC$315,,MATCH(AQ$8,'Калькуляция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(МИ)'!$AJ$25:$BC$315,,MATCH(AQ$8,'Калькуляция (МИ)'!$AJ$8:$BC$8,0)),'Калькуляция (МИ)'!$F$25:$F$315,$F137,'Калькуляция (МИ)'!$G$25:$G$315,$G137))))</f>
        <v>2.5756999999999999</v>
      </c>
      <c r="AR137" s="998">
        <f ca="1">IF(AP137=0,0,(AQ137-AP137)/AP137*100)</f>
        <v>0</v>
      </c>
      <c r="AS137" s="1426">
        <f ca="1">IF(AND(method_reg="Метод индексации",god&lt;&gt;first_year),SUMIFS(INDEX('Калькуляция (МИ корр)'!$AJ$25:$BC$315,,MATCH(AS$8,'Калькуляция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(МИ)'!$AJ$25:$BC$315,,MATCH(AS$8,'Калькуляция (МИ)'!$AJ$8:$BC$8,0)),'Калькуляция (МИ)'!$F$25:$F$315,$F137,'Калькуляция (МИ)'!$G$25:$G$315,$G137))))</f>
        <v>2.5756999999999999</v>
      </c>
      <c r="AT137" s="1426">
        <f ca="1">IF(AND(method_reg="Метод индексации",god&lt;&gt;first_year),SUMIFS(INDEX('Калькуляция (МИ корр)'!$AJ$25:$BC$315,,MATCH(AT$8,'Калькуляция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(МИ)'!$AJ$25:$BC$315,,MATCH(AT$8,'Калькуляция (МИ)'!$AJ$8:$BC$8,0)),'Калькуляция (МИ)'!$F$25:$F$315,$F137,'Калькуляция (МИ)'!$G$25:$G$315,$G137))))</f>
        <v>2.5756999999999999</v>
      </c>
      <c r="AU137" s="998">
        <f ca="1">IF(AS137=0,0,(AT137-AS137)/AS137*100)</f>
        <v>0</v>
      </c>
      <c r="AV137" s="1426">
        <f ca="1">IF(AND(method_reg="Метод индексации",god&lt;&gt;first_year),SUMIFS(INDEX('Калькуляция (МИ корр)'!$AJ$25:$BC$315,,MATCH(AV$8,'Калькуляция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(МИ)'!$AJ$25:$BC$315,,MATCH(AV$8,'Калькуляция (МИ)'!$AJ$8:$BC$8,0)),'Калькуляция (МИ)'!$F$25:$F$315,$F137,'Калькуляция (МИ)'!$G$25:$G$315,$G137))))</f>
        <v>2.5756999999999999</v>
      </c>
      <c r="AW137" s="1426">
        <f ca="1">IF(AND(method_reg="Метод индексации",god&lt;&gt;first_year),SUMIFS(INDEX('Калькуляция (МИ корр)'!$AJ$25:$BC$315,,MATCH(AW$8,'Калькуляция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(МИ)'!$AJ$25:$BC$315,,MATCH(AW$8,'Калькуляция (МИ)'!$AJ$8:$BC$8,0)),'Калькуляция (МИ)'!$F$25:$F$315,$F137,'Калькуляция (МИ)'!$G$25:$G$315,$G137))))</f>
        <v>2.5756999999999999</v>
      </c>
      <c r="AX137" s="998">
        <f ca="1">IF(AV137=0,0,(AW137-AV137)/AV137*100)</f>
        <v>0</v>
      </c>
      <c r="AY137" s="1426">
        <f ca="1">IF(AND(method_reg="Метод индексации",god&lt;&gt;first_year),SUMIFS(INDEX('Калькуляция (МИ корр)'!$AJ$25:$BC$315,,MATCH(AY$8,'Калькуляция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(МИ)'!$AJ$25:$BC$315,,MATCH(AY$8,'Калькуляция (МИ)'!$AJ$8:$BC$8,0)),'Калькуляция (МИ)'!$F$25:$F$315,$F137,'Калькуляция (МИ)'!$G$25:$G$315,$G137))))</f>
        <v>2.5756999999999999</v>
      </c>
      <c r="AZ137" s="1426">
        <f ca="1">IF(AND(method_reg="Метод индексации",god&lt;&gt;first_year),SUMIFS(INDEX('Калькуляция (МИ корр)'!$AJ$25:$BC$315,,MATCH(AZ$8,'Калькуляция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(МИ)'!$AJ$25:$BC$315,,MATCH(AZ$8,'Калькуляция (МИ)'!$AJ$8:$BC$8,0)),'Калькуляция (МИ)'!$F$25:$F$315,$F137,'Калькуляция (МИ)'!$G$25:$G$315,$G137))))</f>
        <v>2.5756999999999999</v>
      </c>
      <c r="BA137" s="998">
        <f ca="1">IF(AY137=0,0,(AZ137-AY137)/AY137*100)</f>
        <v>0</v>
      </c>
      <c r="BB137" s="1426">
        <f ca="1">IF(AND(method_reg="Метод индексации",god&lt;&gt;first_year),SUMIFS(INDEX('Калькуляция (МИ корр)'!$AJ$25:$BC$315,,MATCH(BB$8,'Калькуляция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(МИ)'!$AJ$25:$BC$315,,MATCH(BB$8,'Калькуляция (МИ)'!$AJ$8:$BC$8,0)),'Калькуляция (МИ)'!$F$25:$F$315,$F137,'Калькуляция (МИ)'!$G$25:$G$315,$G137))))</f>
        <v>2.5756999999999999</v>
      </c>
      <c r="BC137" s="1426">
        <f ca="1">IF(AND(method_reg="Метод индексации",god&lt;&gt;first_year),SUMIFS(INDEX('Калькуляция (МИ корр)'!$AJ$25:$BC$315,,MATCH(BC$8,'Калькуляция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(МИ)'!$AJ$25:$BC$315,,MATCH(BC$8,'Калькуляция (МИ)'!$AJ$8:$BC$8,0)),'Калькуляция (МИ)'!$F$25:$F$315,$F137,'Калькуляция (МИ)'!$G$25:$G$315,$G137))))</f>
        <v>2.5756999999999999</v>
      </c>
      <c r="BD137" s="998">
        <f ca="1">IF(BB137=0,0,(BC137-BB137)/BB137*100)</f>
        <v>0</v>
      </c>
      <c r="BE137" s="1426">
        <f ca="1">IF(AND(method_reg="Метод индексации",god&lt;&gt;first_year),SUMIFS(INDEX('Калькуляция (МИ корр)'!$AJ$25:$BC$315,,MATCH(BE$8,'Калькуляция (МИ корр)'!$AJ$8:$BC$8,0)),'Калькуляция (МИ корр)'!$F$25:$F$315,$F137,'Калькуляция (МИ корр)'!$G$25:$G$315,$G137),IF(method_reg="Метод экономически обоснованных расходов",SUMIFS('Калькуляция (МЭОР)'!$AJ$25:$AJ$199,'Калькуляция (МЭОР)'!$F$25:$F$199,$F137,'Калькуляция (МЭОР)'!$G$25:$G$199,$G137),IF(method_reg="Метод сравнения аналогов",SUMIFS('Калькуляция (МСА)'!$AE$25:$AE$65,'Калькуляция (МСА)'!$F$25:$F$65,$F137,'Калькуляция (МСА)'!$G$25:$G$65,$G137),SUMIFS(INDEX('Калькуляция (МИ)'!$AJ$25:$BC$315,,MATCH(BE$8,'Калькуляция (МИ)'!$AJ$8:$BC$8,0)),'Калькуляция (МИ)'!$F$25:$F$315,$F137,'Калькуляция (МИ)'!$G$25:$G$315,$G137))))</f>
        <v>2.5756999999999999</v>
      </c>
      <c r="BF137" s="1426">
        <f ca="1">IF(AND(method_reg="Метод индексации",god&lt;&gt;first_year),SUMIFS(INDEX('Калькуляция (МИ корр)'!$AJ$25:$BC$315,,MATCH(BF$8,'Калькуляция (МИ корр)'!$AJ$8:$BC$8,0)),'Калькуляция (МИ корр)'!$F$25:$F$315,$F137,'Калькуляция (МИ корр)'!$G$25:$G$315,$G137),IF(method_reg="Метод экономически обоснованных расходов",SUMIFS('Калькуляция (МЭОР)'!$AK$25:$AK$199,'Калькуляция (МЭОР)'!$F$25:$F$199,$F137,'Калькуляция (МЭОР)'!$G$25:$G$199,$G137),IF(method_reg="Метод сравнения аналогов",SUMIFS('Калькуляция (МСА)'!$AF$25:$AF$65,'Калькуляция (МСА)'!$F$25:$F$65,$F137,'Калькуляция (МСА)'!$G$25:$G$65,$G137),SUMIFS(INDEX('Калькуляция (МИ)'!$AJ$25:$BC$315,,MATCH(BF$8,'Калькуляция (МИ)'!$AJ$8:$BC$8,0)),'Калькуляция (МИ)'!$F$25:$F$315,$F137,'Калькуляция (МИ)'!$G$25:$G$315,$G137))))</f>
        <v>2.5756999999999999</v>
      </c>
      <c r="BG137" s="998">
        <f ca="1">IF(BE137=0,0,(BF137-BE137)/BE137*100)</f>
        <v>0</v>
      </c>
      <c r="BH137" s="1426"/>
      <c r="BI137" s="1426"/>
      <c r="BJ137" s="998">
        <f>IF(BH137=0,0,(BI137-BH137)/BH137*100)</f>
        <v>0</v>
      </c>
      <c r="BK137" s="1426"/>
      <c r="BL137" s="1426"/>
      <c r="BM137" s="998">
        <f>IF(BK137=0,0,(BL137-BK137)/BK137*100)</f>
        <v>0</v>
      </c>
      <c r="BN137" s="1426"/>
      <c r="BO137" s="1426"/>
      <c r="BP137" s="998">
        <f>IF(BN137=0,0,(BO137-BN137)/BN137*100)</f>
        <v>0</v>
      </c>
      <c r="BQ137" s="1426"/>
      <c r="BR137" s="1426"/>
      <c r="BS137" s="998">
        <f>IF(BQ137=0,0,(BR137-BQ137)/BQ137*100)</f>
        <v>0</v>
      </c>
      <c r="BT137" s="1426"/>
      <c r="BU137" s="1426"/>
      <c r="BV137" s="998">
        <f>IF(BT137=0,0,(BU137-BT137)/BT137*100)</f>
        <v>0</v>
      </c>
      <c r="BW137" s="1426"/>
      <c r="BX137" s="1426"/>
      <c r="BY137" s="998">
        <f>IF(BW137=0,0,(BX137-BW137)/BW137*100)</f>
        <v>0</v>
      </c>
      <c r="BZ137" s="1426"/>
      <c r="CA137" s="1426"/>
      <c r="CB137" s="998">
        <f>IF(BZ137=0,0,(CA137-BZ137)/BZ137*100)</f>
        <v>0</v>
      </c>
      <c r="CC137" s="1426"/>
      <c r="CD137" s="1426"/>
      <c r="CE137" s="998">
        <f>IF(CC137=0,0,(CD137-CC137)/CC137*100)</f>
        <v>0</v>
      </c>
      <c r="CF137" s="1426"/>
      <c r="CG137" s="1426"/>
      <c r="CH137" s="998">
        <f>IF(CF137=0,0,(CG137-CF137)/CF137*100)</f>
        <v>0</v>
      </c>
      <c r="CI137" s="1426"/>
      <c r="CJ137" s="1426"/>
      <c r="CK137" s="998">
        <f>IF(CI137=0,0,(CJ137-CI137)/CI137*100)</f>
        <v>0</v>
      </c>
      <c r="CL137" s="1426"/>
      <c r="CM137" s="1426"/>
      <c r="CN137" s="998">
        <f>IF(CL137=0,0,(CM137-CL137)/CL137*100)</f>
        <v>0</v>
      </c>
      <c r="CO137" s="1426"/>
      <c r="CP137" s="1426"/>
      <c r="CQ137" s="998">
        <f>IF(CO137=0,0,(CP137-CO137)/CO137*100)</f>
        <v>0</v>
      </c>
      <c r="CR137" s="1426"/>
      <c r="CS137" s="1426"/>
      <c r="CT137" s="998">
        <f>IF(CR137=0,0,(CS137-CR137)/CR137*100)</f>
        <v>0</v>
      </c>
      <c r="CU137" s="1426"/>
      <c r="CV137" s="1426"/>
      <c r="CW137" s="998">
        <f>IF(CU137=0,0,(CV137-CU137)/CU137*100)</f>
        <v>0</v>
      </c>
      <c r="CX137" s="1426"/>
      <c r="CY137" s="1426"/>
      <c r="CZ137" s="998">
        <f>IF(CX137=0,0,(CY137-CX137)/CX137*100)</f>
        <v>0</v>
      </c>
      <c r="DA137" s="1426"/>
      <c r="DB137" s="1426"/>
      <c r="DC137" s="998">
        <f>IF(DA137=0,0,(DB137-DA137)/DA137*100)</f>
        <v>0</v>
      </c>
      <c r="DD137" s="1426"/>
      <c r="DE137" s="1426"/>
      <c r="DF137" s="998">
        <f>IF(DD137=0,0,(DE137-DD137)/DD137*100)</f>
        <v>0</v>
      </c>
      <c r="DG137" s="1426"/>
      <c r="DH137" s="1426"/>
      <c r="DI137" s="998">
        <f>IF(DG137=0,0,(DH137-DG137)/DG137*100)</f>
        <v>0</v>
      </c>
      <c r="DJ137" s="1426"/>
      <c r="DK137" s="1426"/>
      <c r="DL137" s="998">
        <f>IF(DJ137=0,0,(DK137-DJ137)/DJ137*100)</f>
        <v>0</v>
      </c>
      <c r="DM137" s="1426"/>
      <c r="DN137" s="1426"/>
      <c r="DO137" s="998">
        <f>IF(DM137=0,0,(DN137-DM137)/DM137*100)</f>
        <v>0</v>
      </c>
      <c r="DP137" s="1426"/>
      <c r="DQ137" s="1426"/>
      <c r="DR137" s="998">
        <f>IF(DP137=0,0,(DQ137-DP137)/DP137*100)</f>
        <v>0</v>
      </c>
      <c r="DS137" s="1426"/>
      <c r="DT137" s="1426"/>
      <c r="DU137" s="998">
        <f>IF(DS137=0,0,(DT137-DS137)/DS137*100)</f>
        <v>0</v>
      </c>
      <c r="DV137" s="1426"/>
      <c r="DW137" s="1426"/>
      <c r="DX137" s="998">
        <f>IF(DV137=0,0,(DW137-DV137)/DV137*100)</f>
        <v>0</v>
      </c>
      <c r="DY137" s="1426"/>
      <c r="DZ137" s="1426"/>
      <c r="EA137" s="998">
        <f>IF(DY137=0,0,(DZ137-DY137)/DY137*100)</f>
        <v>0</v>
      </c>
      <c r="EB137" s="1426"/>
      <c r="EC137" s="1426"/>
      <c r="ED137" s="998">
        <f>IF(EB137=0,0,(EC137-EB137)/EB137*100)</f>
        <v>0</v>
      </c>
      <c r="EE137" s="1426"/>
      <c r="EF137" s="1426"/>
      <c r="EG137" s="998">
        <f>IF(EE137=0,0,(EF137-EE137)/EE137*100)</f>
        <v>0</v>
      </c>
      <c r="EH137" s="1426"/>
      <c r="EI137" s="1426"/>
      <c r="EJ137" s="998">
        <f>IF(EH137=0,0,(EI137-EH137)/EH137*100)</f>
        <v>0</v>
      </c>
      <c r="EK137" s="1426"/>
      <c r="EL137" s="1426"/>
      <c r="EM137" s="998">
        <f>IF(EK137=0,0,(EL137-EK137)/EK137*100)</f>
        <v>0</v>
      </c>
      <c r="EN137" s="1426"/>
      <c r="EO137" s="1426"/>
      <c r="EP137" s="998">
        <f>IF(EN137=0,0,(EO137-EN137)/EN137*100)</f>
        <v>0</v>
      </c>
      <c r="EQ137" s="1426"/>
      <c r="ER137" s="1426"/>
      <c r="ES137" s="998">
        <f>IF(EQ137=0,0,(ER137-EQ137)/EQ137*100)</f>
        <v>0</v>
      </c>
      <c r="ET137" s="1426"/>
      <c r="EU137" s="1426"/>
      <c r="EV137" s="998">
        <f>IF(ET137=0,0,(EU137-ET137)/ET137*100)</f>
        <v>0</v>
      </c>
      <c r="EW137" s="1426"/>
      <c r="EX137" s="1426"/>
      <c r="EY137" s="998">
        <f>IF(EW137=0,0,(EX137-EW137)/EW137*100)</f>
        <v>0</v>
      </c>
      <c r="EZ137" s="1426"/>
      <c r="FA137" s="1426"/>
      <c r="FB137" s="998">
        <f>IF(EZ137=0,0,(FA137-EZ137)/EZ137*100)</f>
        <v>0</v>
      </c>
      <c r="FC137" s="1426"/>
      <c r="FD137" s="1426"/>
      <c r="FE137" s="998">
        <f>IF(FC137=0,0,(FD137-FC137)/FC137*100)</f>
        <v>0</v>
      </c>
      <c r="FF137" s="1426"/>
      <c r="FG137" s="1426"/>
      <c r="FH137" s="998">
        <f>IF(FF137=0,0,(FG137-FF137)/FF137*100)</f>
        <v>0</v>
      </c>
      <c r="FI137" s="1426"/>
      <c r="FJ137" s="1426"/>
      <c r="FK137" s="998">
        <f>IF(FI137=0,0,(FJ137-FI137)/FI137*100)</f>
        <v>0</v>
      </c>
      <c r="FL137" s="1426"/>
      <c r="FM137" s="1426"/>
      <c r="FN137" s="998">
        <f>IF(FL137=0,0,(FM137-FL137)/FL137*100)</f>
        <v>0</v>
      </c>
      <c r="FO137" s="1426"/>
      <c r="FP137" s="1426"/>
      <c r="FQ137" s="998">
        <f>IF(FO137=0,0,(FP137-FO137)/FO137*100)</f>
        <v>0</v>
      </c>
      <c r="FR137" s="1426"/>
      <c r="FS137" s="1426"/>
      <c r="FT137" s="998">
        <f>IF(FR137=0,0,(FS137-FR137)/FR137*100)</f>
        <v>0</v>
      </c>
      <c r="FU137" s="1426"/>
      <c r="FV137" s="1426"/>
      <c r="FW137" s="998">
        <f>IF(FU137=0,0,(FV137-FU137)/FU137*100)</f>
        <v>0</v>
      </c>
      <c r="FX137" s="208"/>
      <c r="FY137" s="1207"/>
      <c r="FZ137" s="957" t="s">
        <v>1535</v>
      </c>
      <c r="GA137" s="1209"/>
      <c r="GB137" s="1209"/>
      <c r="GC137" s="1208"/>
      <c r="GD137" s="1208"/>
    </row>
    <row r="138" spans="1:186" s="1327" customFormat="1" ht="18" hidden="1" customHeight="1">
      <c r="A138" s="409"/>
      <c r="B138" s="830" t="b" cm="1">
        <f t="array" ref="B138">B137</f>
        <v>0</v>
      </c>
      <c r="C138" s="409"/>
      <c r="D138" s="409"/>
      <c r="E138" s="754">
        <v>18.75</v>
      </c>
      <c r="F138" s="3" t="str" cm="1">
        <f t="array" aca="1" ref="F138" ca="1">OFFSET(E138,-1,1)</f>
        <v>1</v>
      </c>
      <c r="G138" s="409"/>
      <c r="H138" s="409" t="s">
        <v>427</v>
      </c>
      <c r="I138" s="409" cm="1">
        <f t="array" ref="I138">AB138</f>
        <v>0</v>
      </c>
      <c r="J138" s="409"/>
      <c r="K138" s="409"/>
      <c r="L138" s="409"/>
      <c r="M138" s="409"/>
      <c r="N138" s="409"/>
      <c r="O138" s="409"/>
      <c r="P138" s="409"/>
      <c r="Q138" s="409"/>
      <c r="R138" s="409"/>
      <c r="S138" s="409"/>
      <c r="T138" s="381" t="b">
        <f ca="1">AND(F138&gt;0,Y138&gt;0)</f>
        <v>0</v>
      </c>
      <c r="U138" s="409"/>
      <c r="V138" s="409"/>
      <c r="W138" s="409" t="s">
        <v>173</v>
      </c>
      <c r="X138" s="1787"/>
      <c r="Y138" s="409">
        <v>0</v>
      </c>
      <c r="Z138" s="1734"/>
      <c r="AA138" s="579" t="s">
        <v>174</v>
      </c>
      <c r="AB138" s="1431"/>
      <c r="AC138" s="778" t="s">
        <v>1454</v>
      </c>
      <c r="AD138" s="1428"/>
      <c r="AE138" s="1429"/>
      <c r="AF138" s="996">
        <f>IF(AD138=0,0,(AE138-AD138)/AD138*100)</f>
        <v>0</v>
      </c>
      <c r="AG138" s="1429"/>
      <c r="AH138" s="1429"/>
      <c r="AI138" s="996">
        <f>IF(AG138=0,0,(AH138-AG138)/AG138*100)</f>
        <v>0</v>
      </c>
      <c r="AJ138" s="1429"/>
      <c r="AK138" s="1429"/>
      <c r="AL138" s="996">
        <f>IF(AJ138=0,0,(AK138-AJ138)/AJ138*100)</f>
        <v>0</v>
      </c>
      <c r="AM138" s="1429"/>
      <c r="AN138" s="1429"/>
      <c r="AO138" s="996">
        <f>IF(AM138=0,0,(AN138-AM138)/AM138*100)</f>
        <v>0</v>
      </c>
      <c r="AP138" s="1429"/>
      <c r="AQ138" s="1429"/>
      <c r="AR138" s="996">
        <f>IF(AP138=0,0,(AQ138-AP138)/AP138*100)</f>
        <v>0</v>
      </c>
      <c r="AS138" s="1429"/>
      <c r="AT138" s="1429"/>
      <c r="AU138" s="996">
        <f>IF(AS138=0,0,(AT138-AS138)/AS138*100)</f>
        <v>0</v>
      </c>
      <c r="AV138" s="1429"/>
      <c r="AW138" s="1429"/>
      <c r="AX138" s="996">
        <f>IF(AV138=0,0,(AW138-AV138)/AV138*100)</f>
        <v>0</v>
      </c>
      <c r="AY138" s="1429"/>
      <c r="AZ138" s="1429"/>
      <c r="BA138" s="996">
        <f>IF(AY138=0,0,(AZ138-AY138)/AY138*100)</f>
        <v>0</v>
      </c>
      <c r="BB138" s="1429"/>
      <c r="BC138" s="1429"/>
      <c r="BD138" s="996">
        <f>IF(BB138=0,0,(BC138-BB138)/BB138*100)</f>
        <v>0</v>
      </c>
      <c r="BE138" s="1429"/>
      <c r="BF138" s="1429"/>
      <c r="BG138" s="996">
        <f>IF(BE138=0,0,(BF138-BE138)/BE138*100)</f>
        <v>0</v>
      </c>
      <c r="BH138" s="1429"/>
      <c r="BI138" s="1429"/>
      <c r="BJ138" s="996">
        <f>IF(BH138=0,0,(BI138-BH138)/BH138*100)</f>
        <v>0</v>
      </c>
      <c r="BK138" s="1429"/>
      <c r="BL138" s="1429"/>
      <c r="BM138" s="996">
        <f>IF(BK138=0,0,(BL138-BK138)/BK138*100)</f>
        <v>0</v>
      </c>
      <c r="BN138" s="1429"/>
      <c r="BO138" s="1429"/>
      <c r="BP138" s="996">
        <f>IF(BN138=0,0,(BO138-BN138)/BN138*100)</f>
        <v>0</v>
      </c>
      <c r="BQ138" s="1429"/>
      <c r="BR138" s="1429"/>
      <c r="BS138" s="996">
        <f>IF(BQ138=0,0,(BR138-BQ138)/BQ138*100)</f>
        <v>0</v>
      </c>
      <c r="BT138" s="1429"/>
      <c r="BU138" s="1429"/>
      <c r="BV138" s="996">
        <f>IF(BT138=0,0,(BU138-BT138)/BT138*100)</f>
        <v>0</v>
      </c>
      <c r="BW138" s="1429"/>
      <c r="BX138" s="1429"/>
      <c r="BY138" s="996">
        <f>IF(BW138=0,0,(BX138-BW138)/BW138*100)</f>
        <v>0</v>
      </c>
      <c r="BZ138" s="1429"/>
      <c r="CA138" s="1429"/>
      <c r="CB138" s="996">
        <f>IF(BZ138=0,0,(CA138-BZ138)/BZ138*100)</f>
        <v>0</v>
      </c>
      <c r="CC138" s="1429"/>
      <c r="CD138" s="1429"/>
      <c r="CE138" s="996">
        <f>IF(CC138=0,0,(CD138-CC138)/CC138*100)</f>
        <v>0</v>
      </c>
      <c r="CF138" s="1429"/>
      <c r="CG138" s="1429"/>
      <c r="CH138" s="996">
        <f>IF(CF138=0,0,(CG138-CF138)/CF138*100)</f>
        <v>0</v>
      </c>
      <c r="CI138" s="1429"/>
      <c r="CJ138" s="1429"/>
      <c r="CK138" s="996">
        <f>IF(CI138=0,0,(CJ138-CI138)/CI138*100)</f>
        <v>0</v>
      </c>
      <c r="CL138" s="1429"/>
      <c r="CM138" s="1429"/>
      <c r="CN138" s="996">
        <f>IF(CL138=0,0,(CM138-CL138)/CL138*100)</f>
        <v>0</v>
      </c>
      <c r="CO138" s="1429"/>
      <c r="CP138" s="1429"/>
      <c r="CQ138" s="996">
        <f>IF(CO138=0,0,(CP138-CO138)/CO138*100)</f>
        <v>0</v>
      </c>
      <c r="CR138" s="1429"/>
      <c r="CS138" s="1429"/>
      <c r="CT138" s="996">
        <f>IF(CR138=0,0,(CS138-CR138)/CR138*100)</f>
        <v>0</v>
      </c>
      <c r="CU138" s="1429"/>
      <c r="CV138" s="1429"/>
      <c r="CW138" s="996">
        <f>IF(CU138=0,0,(CV138-CU138)/CU138*100)</f>
        <v>0</v>
      </c>
      <c r="CX138" s="1429"/>
      <c r="CY138" s="1429"/>
      <c r="CZ138" s="996">
        <f>IF(CX138=0,0,(CY138-CX138)/CX138*100)</f>
        <v>0</v>
      </c>
      <c r="DA138" s="1429"/>
      <c r="DB138" s="1429"/>
      <c r="DC138" s="996">
        <f>IF(DA138=0,0,(DB138-DA138)/DA138*100)</f>
        <v>0</v>
      </c>
      <c r="DD138" s="1429"/>
      <c r="DE138" s="1429"/>
      <c r="DF138" s="996">
        <f>IF(DD138=0,0,(DE138-DD138)/DD138*100)</f>
        <v>0</v>
      </c>
      <c r="DG138" s="1429"/>
      <c r="DH138" s="1429"/>
      <c r="DI138" s="996">
        <f>IF(DG138=0,0,(DH138-DG138)/DG138*100)</f>
        <v>0</v>
      </c>
      <c r="DJ138" s="1429"/>
      <c r="DK138" s="1429"/>
      <c r="DL138" s="996">
        <f>IF(DJ138=0,0,(DK138-DJ138)/DJ138*100)</f>
        <v>0</v>
      </c>
      <c r="DM138" s="1429"/>
      <c r="DN138" s="1429"/>
      <c r="DO138" s="996">
        <f>IF(DM138=0,0,(DN138-DM138)/DM138*100)</f>
        <v>0</v>
      </c>
      <c r="DP138" s="1429"/>
      <c r="DQ138" s="1429"/>
      <c r="DR138" s="996">
        <f>IF(DP138=0,0,(DQ138-DP138)/DP138*100)</f>
        <v>0</v>
      </c>
      <c r="DS138" s="1429"/>
      <c r="DT138" s="1429"/>
      <c r="DU138" s="996">
        <f>IF(DS138=0,0,(DT138-DS138)/DS138*100)</f>
        <v>0</v>
      </c>
      <c r="DV138" s="1429"/>
      <c r="DW138" s="1429"/>
      <c r="DX138" s="996">
        <f>IF(DV138=0,0,(DW138-DV138)/DV138*100)</f>
        <v>0</v>
      </c>
      <c r="DY138" s="1429"/>
      <c r="DZ138" s="1429"/>
      <c r="EA138" s="996">
        <f>IF(DY138=0,0,(DZ138-DY138)/DY138*100)</f>
        <v>0</v>
      </c>
      <c r="EB138" s="1429"/>
      <c r="EC138" s="1429"/>
      <c r="ED138" s="996">
        <f>IF(EB138=0,0,(EC138-EB138)/EB138*100)</f>
        <v>0</v>
      </c>
      <c r="EE138" s="1429"/>
      <c r="EF138" s="1429"/>
      <c r="EG138" s="996">
        <f>IF(EE138=0,0,(EF138-EE138)/EE138*100)</f>
        <v>0</v>
      </c>
      <c r="EH138" s="1429"/>
      <c r="EI138" s="1429"/>
      <c r="EJ138" s="996">
        <f>IF(EH138=0,0,(EI138-EH138)/EH138*100)</f>
        <v>0</v>
      </c>
      <c r="EK138" s="1429"/>
      <c r="EL138" s="1429"/>
      <c r="EM138" s="996">
        <f>IF(EK138=0,0,(EL138-EK138)/EK138*100)</f>
        <v>0</v>
      </c>
      <c r="EN138" s="1429"/>
      <c r="EO138" s="1429"/>
      <c r="EP138" s="996">
        <f>IF(EN138=0,0,(EO138-EN138)/EN138*100)</f>
        <v>0</v>
      </c>
      <c r="EQ138" s="1429"/>
      <c r="ER138" s="1429"/>
      <c r="ES138" s="996">
        <f>IF(EQ138=0,0,(ER138-EQ138)/EQ138*100)</f>
        <v>0</v>
      </c>
      <c r="ET138" s="1429"/>
      <c r="EU138" s="1429"/>
      <c r="EV138" s="996">
        <f>IF(ET138=0,0,(EU138-ET138)/ET138*100)</f>
        <v>0</v>
      </c>
      <c r="EW138" s="1429"/>
      <c r="EX138" s="1429"/>
      <c r="EY138" s="996">
        <f>IF(EW138=0,0,(EX138-EW138)/EW138*100)</f>
        <v>0</v>
      </c>
      <c r="EZ138" s="1429"/>
      <c r="FA138" s="1429"/>
      <c r="FB138" s="996">
        <f>IF(EZ138=0,0,(FA138-EZ138)/EZ138*100)</f>
        <v>0</v>
      </c>
      <c r="FC138" s="1429"/>
      <c r="FD138" s="1429"/>
      <c r="FE138" s="996">
        <f>IF(FC138=0,0,(FD138-FC138)/FC138*100)</f>
        <v>0</v>
      </c>
      <c r="FF138" s="1429"/>
      <c r="FG138" s="1429"/>
      <c r="FH138" s="996">
        <f>IF(FF138=0,0,(FG138-FF138)/FF138*100)</f>
        <v>0</v>
      </c>
      <c r="FI138" s="1429"/>
      <c r="FJ138" s="1429"/>
      <c r="FK138" s="996">
        <f>IF(FI138=0,0,(FJ138-FI138)/FI138*100)</f>
        <v>0</v>
      </c>
      <c r="FL138" s="1429"/>
      <c r="FM138" s="1429"/>
      <c r="FN138" s="996">
        <f>IF(FL138=0,0,(FM138-FL138)/FL138*100)</f>
        <v>0</v>
      </c>
      <c r="FO138" s="1429"/>
      <c r="FP138" s="1429"/>
      <c r="FQ138" s="996">
        <f>IF(FO138=0,0,(FP138-FO138)/FO138*100)</f>
        <v>0</v>
      </c>
      <c r="FR138" s="1429"/>
      <c r="FS138" s="1429"/>
      <c r="FT138" s="996">
        <f>IF(FR138=0,0,(FS138-FR138)/FR138*100)</f>
        <v>0</v>
      </c>
      <c r="FU138" s="1429"/>
      <c r="FV138" s="1429"/>
      <c r="FW138" s="996">
        <f>IF(FU138=0,0,(FV138-FU138)/FU138*100)</f>
        <v>0</v>
      </c>
      <c r="FX138" s="208"/>
      <c r="FY138" s="1207"/>
      <c r="FZ138" s="957" t="s">
        <v>1536</v>
      </c>
      <c r="GA138" s="917" t="s">
        <v>1537</v>
      </c>
      <c r="GB138" s="917" cm="1">
        <f t="array" ref="GB138">AB138</f>
        <v>0</v>
      </c>
      <c r="GC138" s="1208"/>
      <c r="GD138" s="549" t="b">
        <v>1</v>
      </c>
    </row>
    <row r="139" spans="1:186" s="1327" customFormat="1" ht="14.25" hidden="1" customHeight="1">
      <c r="A139" s="1207"/>
      <c r="B139" s="830" t="b" cm="1">
        <f t="array" ref="B139">B138</f>
        <v>0</v>
      </c>
      <c r="C139" s="1207"/>
      <c r="D139" s="409"/>
      <c r="E139" s="754">
        <v>15</v>
      </c>
      <c r="F139" s="3" t="str" cm="1">
        <f t="array" aca="1" ref="F139" ca="1">OFFSET(E139,-1,1)</f>
        <v>1</v>
      </c>
      <c r="G139" s="409"/>
      <c r="H139" s="1207"/>
      <c r="I139" s="17" t="s">
        <v>1538</v>
      </c>
      <c r="J139" s="1207"/>
      <c r="K139" s="1207"/>
      <c r="L139" s="1207"/>
      <c r="M139" s="1207"/>
      <c r="N139" s="1207"/>
      <c r="O139" s="1207"/>
      <c r="P139" s="1207"/>
      <c r="Q139" s="1207"/>
      <c r="R139" s="1207"/>
      <c r="S139" s="1207"/>
      <c r="T139" s="381" t="b">
        <f ca="1">F139&gt;0</f>
        <v>1</v>
      </c>
      <c r="U139" s="1207"/>
      <c r="V139" s="1207"/>
      <c r="W139" s="671" t="s">
        <v>1484</v>
      </c>
      <c r="X139" s="1787"/>
      <c r="Y139" s="1207"/>
      <c r="Z139" s="1734"/>
      <c r="AA139" s="1207"/>
      <c r="AB139" s="176" t="s">
        <v>177</v>
      </c>
      <c r="AC139" s="180"/>
      <c r="AD139" s="178"/>
      <c r="AE139" s="178"/>
      <c r="AF139" s="178"/>
      <c r="AG139" s="178"/>
      <c r="AH139" s="178"/>
      <c r="AI139" s="178"/>
      <c r="AJ139" s="178"/>
      <c r="AK139" s="178"/>
      <c r="AL139" s="178"/>
      <c r="AM139" s="178"/>
      <c r="AN139" s="178"/>
      <c r="AO139" s="178"/>
      <c r="AP139" s="178"/>
      <c r="AQ139" s="178"/>
      <c r="AR139" s="178"/>
      <c r="AS139" s="178"/>
      <c r="AT139" s="178"/>
      <c r="AU139" s="178"/>
      <c r="AV139" s="178"/>
      <c r="AW139" s="178"/>
      <c r="AX139" s="178"/>
      <c r="AY139" s="178"/>
      <c r="AZ139" s="178"/>
      <c r="BA139" s="178"/>
      <c r="BB139" s="178"/>
      <c r="BC139" s="178"/>
      <c r="BD139" s="178"/>
      <c r="BE139" s="178"/>
      <c r="BF139" s="178"/>
      <c r="BG139" s="178"/>
      <c r="BH139" s="178"/>
      <c r="BI139" s="178"/>
      <c r="BJ139" s="178"/>
      <c r="BK139" s="178"/>
      <c r="BL139" s="178"/>
      <c r="BM139" s="178"/>
      <c r="BN139" s="178"/>
      <c r="BO139" s="178"/>
      <c r="BP139" s="178"/>
      <c r="BQ139" s="178"/>
      <c r="BR139" s="178"/>
      <c r="BS139" s="178"/>
      <c r="BT139" s="178"/>
      <c r="BU139" s="178"/>
      <c r="BV139" s="178"/>
      <c r="BW139" s="178"/>
      <c r="BX139" s="178"/>
      <c r="BY139" s="178"/>
      <c r="BZ139" s="178"/>
      <c r="CA139" s="178"/>
      <c r="CB139" s="178"/>
      <c r="CC139" s="178"/>
      <c r="CD139" s="178"/>
      <c r="CE139" s="178"/>
      <c r="CF139" s="178"/>
      <c r="CG139" s="178"/>
      <c r="CH139" s="178"/>
      <c r="CI139" s="178"/>
      <c r="CJ139" s="178"/>
      <c r="CK139" s="178"/>
      <c r="CL139" s="178"/>
      <c r="CM139" s="178"/>
      <c r="CN139" s="178"/>
      <c r="CO139" s="178"/>
      <c r="CP139" s="178"/>
      <c r="CQ139" s="178"/>
      <c r="CR139" s="178"/>
      <c r="CS139" s="178"/>
      <c r="CT139" s="178"/>
      <c r="CU139" s="178"/>
      <c r="CV139" s="178"/>
      <c r="CW139" s="178"/>
      <c r="CX139" s="178"/>
      <c r="CY139" s="178"/>
      <c r="CZ139" s="178"/>
      <c r="DA139" s="178"/>
      <c r="DB139" s="178"/>
      <c r="DC139" s="178"/>
      <c r="DD139" s="178"/>
      <c r="DE139" s="178"/>
      <c r="DF139" s="178"/>
      <c r="DG139" s="178"/>
      <c r="DH139" s="178"/>
      <c r="DI139" s="178"/>
      <c r="DJ139" s="178"/>
      <c r="DK139" s="178"/>
      <c r="DL139" s="178"/>
      <c r="DM139" s="178"/>
      <c r="DN139" s="178"/>
      <c r="DO139" s="178"/>
      <c r="DP139" s="178"/>
      <c r="DQ139" s="178"/>
      <c r="DR139" s="178"/>
      <c r="DS139" s="178"/>
      <c r="DT139" s="178"/>
      <c r="DU139" s="178"/>
      <c r="DV139" s="178"/>
      <c r="DW139" s="178"/>
      <c r="DX139" s="178"/>
      <c r="DY139" s="178"/>
      <c r="DZ139" s="178"/>
      <c r="EA139" s="178"/>
      <c r="EB139" s="178"/>
      <c r="EC139" s="178"/>
      <c r="ED139" s="178"/>
      <c r="EE139" s="178"/>
      <c r="EF139" s="178"/>
      <c r="EG139" s="178"/>
      <c r="EH139" s="178"/>
      <c r="EI139" s="178"/>
      <c r="EJ139" s="178"/>
      <c r="EK139" s="178"/>
      <c r="EL139" s="178"/>
      <c r="EM139" s="178"/>
      <c r="EN139" s="178"/>
      <c r="EO139" s="178"/>
      <c r="EP139" s="178"/>
      <c r="EQ139" s="178"/>
      <c r="ER139" s="178"/>
      <c r="ES139" s="178"/>
      <c r="ET139" s="178"/>
      <c r="EU139" s="178"/>
      <c r="EV139" s="178"/>
      <c r="EW139" s="178"/>
      <c r="EX139" s="178"/>
      <c r="EY139" s="178"/>
      <c r="EZ139" s="178"/>
      <c r="FA139" s="178"/>
      <c r="FB139" s="178"/>
      <c r="FC139" s="178"/>
      <c r="FD139" s="178"/>
      <c r="FE139" s="178"/>
      <c r="FF139" s="178"/>
      <c r="FG139" s="178"/>
      <c r="FH139" s="178"/>
      <c r="FI139" s="178"/>
      <c r="FJ139" s="178"/>
      <c r="FK139" s="178"/>
      <c r="FL139" s="178"/>
      <c r="FM139" s="178"/>
      <c r="FN139" s="178"/>
      <c r="FO139" s="178"/>
      <c r="FP139" s="178"/>
      <c r="FQ139" s="178"/>
      <c r="FR139" s="178"/>
      <c r="FS139" s="178"/>
      <c r="FT139" s="178"/>
      <c r="FU139" s="178"/>
      <c r="FV139" s="178"/>
      <c r="FW139" s="179"/>
      <c r="FX139" s="1207"/>
      <c r="FY139" s="1207"/>
      <c r="FZ139" s="1209"/>
      <c r="GA139" s="1209"/>
      <c r="GB139" s="1209"/>
      <c r="GC139" s="549" t="s">
        <v>1537</v>
      </c>
      <c r="GD139" s="1208"/>
    </row>
    <row r="140" spans="1:186" s="1327" customFormat="1" ht="10.5" customHeight="1">
      <c r="A140" s="17"/>
      <c r="B140" s="812"/>
      <c r="C140" s="17"/>
      <c r="D140" s="409"/>
      <c r="E140" s="754">
        <v>11.5</v>
      </c>
      <c r="F140" s="1240"/>
      <c r="G140" s="409"/>
      <c r="H140" s="17"/>
      <c r="I140" s="17"/>
      <c r="J140" s="17"/>
      <c r="K140" s="17"/>
      <c r="L140" s="17"/>
      <c r="M140" s="17"/>
      <c r="N140" s="17"/>
      <c r="O140" s="17"/>
      <c r="P140" s="17"/>
      <c r="Q140" s="17"/>
      <c r="R140" s="17"/>
      <c r="S140" s="17"/>
      <c r="T140" s="381" t="b" cm="1">
        <f t="array" aca="1" ref="T140" ca="1">T139</f>
        <v>1</v>
      </c>
      <c r="U140" s="17"/>
      <c r="V140" s="17"/>
      <c r="W140" s="671"/>
      <c r="X140" s="1787"/>
      <c r="Y140" s="17"/>
      <c r="Z140" s="1734"/>
      <c r="AA140" s="17"/>
      <c r="AB140" s="125"/>
      <c r="AC140" s="1079"/>
      <c r="AD140" s="1207"/>
      <c r="AE140" s="1207"/>
      <c r="AF140" s="1207"/>
      <c r="AG140" s="1207"/>
      <c r="AH140" s="1207"/>
      <c r="AI140" s="1207"/>
      <c r="AJ140" s="1207"/>
      <c r="AK140" s="1207"/>
      <c r="AL140" s="1207"/>
      <c r="AM140" s="1207"/>
      <c r="AN140" s="1207"/>
      <c r="AO140" s="1207"/>
      <c r="AP140" s="1207"/>
      <c r="AQ140" s="1207"/>
      <c r="AR140" s="1207"/>
      <c r="AS140" s="1207"/>
      <c r="AT140" s="1207"/>
      <c r="AU140" s="1207"/>
      <c r="AV140" s="1207"/>
      <c r="AW140" s="1207"/>
      <c r="AX140" s="1207"/>
      <c r="AY140" s="1207"/>
      <c r="AZ140" s="1207"/>
      <c r="BA140" s="1207"/>
      <c r="BB140" s="1207"/>
      <c r="BC140" s="1207"/>
      <c r="BD140" s="1207"/>
      <c r="BE140" s="1207"/>
      <c r="BF140" s="1207"/>
      <c r="BG140" s="1207"/>
      <c r="BH140" s="1207"/>
      <c r="BI140" s="1207"/>
      <c r="BJ140" s="1207"/>
      <c r="BK140" s="1207"/>
      <c r="BL140" s="1207"/>
      <c r="BM140" s="1207"/>
      <c r="BN140" s="1207"/>
      <c r="BO140" s="1207"/>
      <c r="BP140" s="1207"/>
      <c r="BQ140" s="1207"/>
      <c r="BR140" s="1207"/>
      <c r="BS140" s="1207"/>
      <c r="BT140" s="1207"/>
      <c r="BU140" s="1207"/>
      <c r="BV140" s="1207"/>
      <c r="BW140" s="1207"/>
      <c r="BX140" s="1207"/>
      <c r="BY140" s="1207"/>
      <c r="BZ140" s="1207"/>
      <c r="CA140" s="1207"/>
      <c r="CB140" s="1207"/>
      <c r="CC140" s="1207"/>
      <c r="CD140" s="1207"/>
      <c r="CE140" s="1207"/>
      <c r="CF140" s="1207"/>
      <c r="CG140" s="1207"/>
      <c r="CH140" s="1207"/>
      <c r="CI140" s="1207"/>
      <c r="CJ140" s="1207"/>
      <c r="CK140" s="1207"/>
      <c r="CL140" s="1207"/>
      <c r="CM140" s="1207"/>
      <c r="CN140" s="1207"/>
      <c r="CO140" s="1207"/>
      <c r="CP140" s="1207"/>
      <c r="CQ140" s="1207"/>
      <c r="CR140" s="1207"/>
      <c r="CS140" s="1207"/>
      <c r="CT140" s="1207"/>
      <c r="CU140" s="1207"/>
      <c r="CV140" s="1207"/>
      <c r="CW140" s="1207"/>
      <c r="CX140" s="1207"/>
      <c r="CY140" s="1207"/>
      <c r="CZ140" s="1207"/>
      <c r="DA140" s="1207"/>
      <c r="DB140" s="1207"/>
      <c r="DC140" s="1207"/>
      <c r="DD140" s="1207"/>
      <c r="DE140" s="1207"/>
      <c r="DF140" s="1207"/>
      <c r="DG140" s="1207"/>
      <c r="DH140" s="1207"/>
      <c r="DI140" s="1207"/>
      <c r="DJ140" s="1207"/>
      <c r="DK140" s="1207"/>
      <c r="DL140" s="1207"/>
      <c r="DM140" s="1207"/>
      <c r="DN140" s="1207"/>
      <c r="DO140" s="1207"/>
      <c r="DP140" s="1207"/>
      <c r="DQ140" s="1207"/>
      <c r="DR140" s="1207"/>
      <c r="DS140" s="1207"/>
      <c r="DT140" s="1207"/>
      <c r="DU140" s="1207"/>
      <c r="DV140" s="1207"/>
      <c r="DW140" s="1207"/>
      <c r="DX140" s="1207"/>
      <c r="DY140" s="1207"/>
      <c r="DZ140" s="1207"/>
      <c r="EA140" s="1207"/>
      <c r="EB140" s="1207"/>
      <c r="EC140" s="1207"/>
      <c r="ED140" s="1207"/>
      <c r="EE140" s="1207"/>
      <c r="EF140" s="1207"/>
      <c r="EG140" s="1207"/>
      <c r="EH140" s="1207"/>
      <c r="EI140" s="1207"/>
      <c r="EJ140" s="1207"/>
      <c r="EK140" s="1207"/>
      <c r="EL140" s="1207"/>
      <c r="EM140" s="1207"/>
      <c r="EN140" s="1207"/>
      <c r="EO140" s="1207"/>
      <c r="EP140" s="1207"/>
      <c r="EQ140" s="1207"/>
      <c r="ER140" s="1207"/>
      <c r="ES140" s="1207"/>
      <c r="ET140" s="1207"/>
      <c r="EU140" s="1207"/>
      <c r="EV140" s="1207"/>
      <c r="EW140" s="1207"/>
      <c r="EX140" s="1207"/>
      <c r="EY140" s="1207"/>
      <c r="EZ140" s="1207"/>
      <c r="FA140" s="1207"/>
      <c r="FB140" s="1207"/>
      <c r="FC140" s="1207"/>
      <c r="FD140" s="1207"/>
      <c r="FE140" s="1207"/>
      <c r="FF140" s="1207"/>
      <c r="FG140" s="1207"/>
      <c r="FH140" s="1207"/>
      <c r="FI140" s="1207"/>
      <c r="FJ140" s="1207"/>
      <c r="FK140" s="1207"/>
      <c r="FL140" s="1207"/>
      <c r="FM140" s="1207"/>
      <c r="FN140" s="1207"/>
      <c r="FO140" s="1207"/>
      <c r="FP140" s="1207"/>
      <c r="FQ140" s="1207"/>
      <c r="FR140" s="1207"/>
      <c r="FS140" s="1207"/>
      <c r="FT140" s="1207"/>
      <c r="FU140" s="1207"/>
      <c r="FV140" s="1207"/>
      <c r="FW140" s="1207"/>
      <c r="FX140" s="1207"/>
      <c r="FY140" s="1207"/>
      <c r="FZ140" s="908"/>
      <c r="GA140" s="908"/>
      <c r="GB140" s="903"/>
      <c r="GC140" s="592"/>
      <c r="GD140" s="592"/>
    </row>
    <row r="141" spans="1:186" s="1327" customFormat="1" ht="10.9" customHeight="1">
      <c r="A141" s="385"/>
      <c r="B141" s="831"/>
      <c r="C141" s="385"/>
      <c r="D141" s="398"/>
      <c r="E141" s="780">
        <v>11.25</v>
      </c>
      <c r="F141" s="834"/>
      <c r="G141" s="398"/>
      <c r="H141" s="385"/>
      <c r="I141" s="385"/>
      <c r="J141" s="385"/>
      <c r="K141" s="385"/>
      <c r="L141" s="385"/>
      <c r="M141" s="385"/>
      <c r="N141" s="385"/>
      <c r="O141" s="385"/>
      <c r="P141" s="385"/>
      <c r="Q141" s="385"/>
      <c r="R141" s="385"/>
      <c r="S141" s="398"/>
      <c r="T141" s="385"/>
      <c r="U141" s="385" t="s">
        <v>177</v>
      </c>
      <c r="V141" s="59" t="s">
        <v>1539</v>
      </c>
      <c r="W141" s="385"/>
      <c r="X141" s="385"/>
      <c r="Y141" s="385"/>
      <c r="Z141" s="385"/>
      <c r="AA141" s="385"/>
      <c r="AC141" s="19"/>
      <c r="AD141" s="19"/>
      <c r="AE141" s="19"/>
      <c r="AF141" s="19"/>
      <c r="AQ141" s="20"/>
      <c r="FZ141" s="921"/>
      <c r="GA141" s="921"/>
      <c r="GB141" s="960"/>
      <c r="GC141" s="603"/>
      <c r="GD141" s="603"/>
    </row>
    <row r="142" spans="1:186" ht="14.65" customHeight="1">
      <c r="E142" s="549">
        <v>15</v>
      </c>
      <c r="AB142" s="1758" t="s">
        <v>394</v>
      </c>
      <c r="AC142" s="1758"/>
      <c r="AD142" s="1758"/>
      <c r="AE142" s="1758"/>
      <c r="AF142" s="1758"/>
      <c r="AG142" s="1758"/>
      <c r="AH142" s="1758"/>
      <c r="AI142" s="1758"/>
      <c r="AJ142" s="1758"/>
      <c r="AK142" s="1758"/>
      <c r="AL142" s="1758"/>
      <c r="AM142" s="1758"/>
      <c r="AN142" s="1758"/>
      <c r="AO142" s="1758"/>
      <c r="AP142" s="1758"/>
      <c r="AQ142" s="1758"/>
      <c r="AR142" s="1758"/>
      <c r="AS142" s="1758"/>
      <c r="AT142" s="1758"/>
      <c r="AU142" s="1758"/>
      <c r="AV142" s="1758"/>
      <c r="AW142" s="1758"/>
      <c r="AX142" s="1758"/>
      <c r="AY142" s="1758"/>
      <c r="AZ142" s="1758"/>
      <c r="BA142" s="1758"/>
      <c r="BB142" s="1758"/>
      <c r="BC142" s="1758"/>
      <c r="BD142" s="1758"/>
      <c r="BE142" s="1758"/>
      <c r="BF142" s="1758"/>
      <c r="BG142" s="1758"/>
    </row>
    <row r="143" spans="1:186" ht="14.65" customHeight="1">
      <c r="E143" s="549">
        <v>15</v>
      </c>
      <c r="AA143" s="578"/>
      <c r="AB143" s="1839"/>
      <c r="AC143" s="1839"/>
      <c r="AD143" s="1839"/>
      <c r="AE143" s="1839"/>
      <c r="AF143" s="1839"/>
      <c r="AG143" s="1840"/>
      <c r="AH143" s="1840"/>
      <c r="AI143" s="1840"/>
      <c r="AJ143" s="1840"/>
      <c r="AK143" s="1840"/>
      <c r="AL143" s="1840"/>
      <c r="AM143" s="1840"/>
      <c r="AN143" s="1840"/>
      <c r="AO143" s="1840"/>
      <c r="AP143" s="1840"/>
      <c r="AQ143" s="1840"/>
      <c r="AR143" s="1840"/>
      <c r="AS143" s="1840"/>
      <c r="AT143" s="1840"/>
      <c r="AU143" s="1840"/>
      <c r="AV143" s="1840"/>
      <c r="AW143" s="1840"/>
      <c r="AX143" s="1840"/>
      <c r="AY143" s="1840"/>
      <c r="AZ143" s="1840"/>
      <c r="BA143" s="1840"/>
      <c r="BB143" s="1840"/>
      <c r="BC143" s="1840"/>
      <c r="BD143" s="1840"/>
      <c r="BE143" s="1840"/>
      <c r="BF143" s="1840"/>
      <c r="BG143" s="1840"/>
    </row>
    <row r="144" spans="1:186" ht="14.65" hidden="1" customHeight="1">
      <c r="E144" s="549">
        <v>15</v>
      </c>
      <c r="T144" s="381" t="b">
        <f>ROW(W144)&gt;ROW(W$144)</f>
        <v>0</v>
      </c>
      <c r="W144" s="17" t="s">
        <v>173</v>
      </c>
      <c r="AA144" s="579" t="s">
        <v>174</v>
      </c>
      <c r="AB144" s="1785"/>
      <c r="AC144" s="1746"/>
      <c r="AD144" s="1746"/>
      <c r="AE144" s="1746"/>
      <c r="AF144" s="1746"/>
      <c r="AG144" s="1746"/>
      <c r="AH144" s="1746"/>
      <c r="AI144" s="1746"/>
      <c r="AJ144" s="1746"/>
      <c r="AK144" s="1746"/>
      <c r="AL144" s="1746"/>
      <c r="AM144" s="1746"/>
      <c r="AN144" s="1746"/>
      <c r="AO144" s="1746"/>
      <c r="AP144" s="1746"/>
      <c r="AQ144" s="1746"/>
      <c r="AR144" s="1746"/>
      <c r="AS144" s="1746"/>
      <c r="AT144" s="1746"/>
      <c r="AU144" s="1746"/>
      <c r="AV144" s="1746"/>
      <c r="AW144" s="1746"/>
      <c r="AX144" s="1746"/>
      <c r="AY144" s="1746"/>
      <c r="AZ144" s="1746"/>
      <c r="BA144" s="1746"/>
      <c r="BB144" s="1746"/>
      <c r="BC144" s="1746"/>
      <c r="BD144" s="1746"/>
      <c r="BE144" s="1746"/>
      <c r="BF144" s="1746"/>
      <c r="BG144" s="1786"/>
    </row>
    <row r="145" spans="5:180" ht="14.65" customHeight="1">
      <c r="E145" s="549">
        <v>15</v>
      </c>
      <c r="W145" s="671" t="s">
        <v>395</v>
      </c>
      <c r="AB145" s="1837" t="s">
        <v>396</v>
      </c>
      <c r="AC145" s="1838"/>
      <c r="AD145" s="224"/>
      <c r="AE145" s="224"/>
      <c r="AF145" s="224"/>
      <c r="AG145" s="224"/>
      <c r="AH145" s="224"/>
      <c r="AI145" s="224"/>
      <c r="AJ145" s="224"/>
      <c r="AK145" s="224"/>
      <c r="AL145" s="224"/>
      <c r="AM145" s="224"/>
      <c r="AN145" s="224"/>
      <c r="AO145" s="224"/>
      <c r="AP145" s="224"/>
      <c r="AQ145" s="224"/>
      <c r="AR145" s="224"/>
      <c r="AS145" s="224"/>
      <c r="AT145" s="224"/>
      <c r="AU145" s="224"/>
      <c r="AV145" s="224"/>
      <c r="AW145" s="224"/>
      <c r="AX145" s="224"/>
      <c r="AY145" s="224"/>
      <c r="AZ145" s="224"/>
      <c r="BA145" s="224"/>
      <c r="BB145" s="224"/>
      <c r="BC145" s="224"/>
      <c r="BD145" s="224"/>
      <c r="BE145" s="224"/>
      <c r="BF145" s="224"/>
      <c r="BG145" s="191"/>
    </row>
    <row r="146" spans="5:180" ht="10.9" customHeight="1">
      <c r="E146" s="549">
        <v>11.25</v>
      </c>
      <c r="FX146" s="343"/>
    </row>
  </sheetData>
  <sheetProtection formatColumns="0" formatRows="0" insertRows="0" deleteColumns="0" deleteRows="0" sort="0" autoFilter="0"/>
  <mergeCells count="76">
    <mergeCell ref="X85:X140"/>
    <mergeCell ref="Z85:Z140"/>
    <mergeCell ref="AA98:AA99"/>
    <mergeCell ref="Y98:Y99"/>
    <mergeCell ref="AB85:AC85"/>
    <mergeCell ref="AB86:AC86"/>
    <mergeCell ref="AB87:AC87"/>
    <mergeCell ref="AB88:AC88"/>
    <mergeCell ref="Y126:Y131"/>
    <mergeCell ref="AA126:AA131"/>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145:AC145"/>
    <mergeCell ref="AB143:BG143"/>
    <mergeCell ref="AB142:BG142"/>
    <mergeCell ref="Y70:Y75"/>
    <mergeCell ref="AA70:AA75"/>
    <mergeCell ref="AB144:BG144"/>
    <mergeCell ref="Y42:Y43"/>
    <mergeCell ref="AB29:AC29"/>
    <mergeCell ref="AB30:AC30"/>
    <mergeCell ref="AB31:AC31"/>
    <mergeCell ref="AB32:AC32"/>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heetPr>
  <dimension ref="A1:AV204"/>
  <sheetViews>
    <sheetView showGridLines="0" workbookViewId="0">
      <pane xSplit="30" ySplit="25" topLeftCell="AE174" activePane="bottomRight" state="frozen"/>
      <selection pane="topRight" activeCell="AE1" sqref="AE1"/>
      <selection pane="bottomLeft" activeCell="A26" sqref="A26"/>
      <selection pane="bottomRight" activeCell="AE195" sqref="AE195"/>
    </sheetView>
  </sheetViews>
  <sheetFormatPr defaultColWidth="9.140625" defaultRowHeight="15" customHeight="1"/>
  <cols>
    <col min="1" max="1" width="4" style="1203" hidden="1" customWidth="1"/>
    <col min="2" max="2" width="11" style="1203" hidden="1" customWidth="1"/>
    <col min="3" max="4" width="4" style="1203" hidden="1" customWidth="1"/>
    <col min="5" max="5" width="4" style="961" hidden="1" customWidth="1"/>
    <col min="6" max="6" width="4" style="1203" hidden="1" customWidth="1"/>
    <col min="7" max="7" width="10.140625" style="1203" hidden="1" customWidth="1"/>
    <col min="8" max="8" width="10.42578125" style="1203" hidden="1" customWidth="1"/>
    <col min="9" max="15" width="4" style="1203" hidden="1" customWidth="1"/>
    <col min="16" max="16" width="3.7109375" style="1203" hidden="1" customWidth="1"/>
    <col min="17" max="19" width="4" style="1203" hidden="1" customWidth="1"/>
    <col min="20" max="20" width="8.5703125" style="1203" hidden="1" customWidth="1"/>
    <col min="21" max="21" width="5.85546875" style="1203" hidden="1" customWidth="1"/>
    <col min="22" max="23" width="6.140625" style="1203" hidden="1" customWidth="1"/>
    <col min="24" max="24" width="5.7109375" style="1203" hidden="1" customWidth="1"/>
    <col min="25" max="25" width="5.5703125" style="1203" hidden="1" customWidth="1"/>
    <col min="26" max="26" width="5.28515625" style="1203" hidden="1" customWidth="1"/>
    <col min="27" max="27" width="3" style="1203" customWidth="1"/>
    <col min="28" max="28" width="11" style="1203" customWidth="1"/>
    <col min="29" max="29" width="75" style="1203" customWidth="1"/>
    <col min="30" max="30" width="11.28515625" style="1203" customWidth="1"/>
    <col min="31" max="33" width="13" style="1203" customWidth="1"/>
    <col min="34" max="34" width="15.140625" style="1203" customWidth="1"/>
    <col min="35" max="37" width="13" style="1203" customWidth="1"/>
    <col min="38" max="38" width="23.5703125" style="1203" customWidth="1"/>
    <col min="39" max="39" width="20" style="1203" customWidth="1"/>
    <col min="40" max="40" width="32.5703125" style="1203" customWidth="1"/>
    <col min="41" max="41" width="32.7109375" style="1203" customWidth="1"/>
    <col min="42" max="42" width="3" style="1203" customWidth="1"/>
    <col min="43" max="43" width="9.140625" style="1203" hidden="1"/>
    <col min="44" max="46" width="9.140625" style="964" hidden="1"/>
    <col min="47" max="48" width="9.140625" style="961" hidden="1"/>
  </cols>
  <sheetData>
    <row r="1" spans="1:48" ht="15" hidden="1" customHeight="1">
      <c r="E1" s="494"/>
      <c r="F1" s="875" t="s">
        <v>311</v>
      </c>
      <c r="I1" s="875" t="s">
        <v>322</v>
      </c>
      <c r="J1" s="875" t="s">
        <v>347</v>
      </c>
      <c r="T1" s="381" t="s">
        <v>92</v>
      </c>
      <c r="U1" s="381" t="s">
        <v>97</v>
      </c>
      <c r="V1" s="381" t="s">
        <v>93</v>
      </c>
      <c r="W1" s="381" t="s">
        <v>94</v>
      </c>
      <c r="X1" s="381" t="s">
        <v>95</v>
      </c>
      <c r="Y1" s="383" t="s">
        <v>313</v>
      </c>
      <c r="Z1" s="381" t="s">
        <v>99</v>
      </c>
      <c r="AA1" s="383" t="s">
        <v>96</v>
      </c>
      <c r="AC1" s="382" t="s">
        <v>98</v>
      </c>
      <c r="AR1" s="964" t="s">
        <v>314</v>
      </c>
      <c r="AS1" s="964" t="s">
        <v>315</v>
      </c>
      <c r="AT1" s="964" t="s">
        <v>316</v>
      </c>
      <c r="AU1" s="961" t="s">
        <v>319</v>
      </c>
      <c r="AV1" s="961" t="s">
        <v>320</v>
      </c>
    </row>
    <row r="2" spans="1:48" ht="15" hidden="1" customHeight="1">
      <c r="B2" s="1125" t="s">
        <v>18</v>
      </c>
      <c r="E2" s="494"/>
      <c r="AE2" s="496" t="b">
        <f>FIRST_TIME_REG="нет"</f>
        <v>1</v>
      </c>
      <c r="AF2" s="496" t="b">
        <f>FIRST_TIME_REG="нет"</f>
        <v>1</v>
      </c>
      <c r="AG2" s="496" t="b">
        <f>FIRST_TIME_REG="нет"</f>
        <v>1</v>
      </c>
      <c r="AH2" s="496" t="b">
        <f>FIRST_TIME_REG="нет"</f>
        <v>1</v>
      </c>
      <c r="AI2" s="496" t="b">
        <f>FIRST_TIME_REG="нет"</f>
        <v>1</v>
      </c>
    </row>
    <row r="3" spans="1:48" ht="15" hidden="1" customHeight="1">
      <c r="E3" s="494"/>
    </row>
    <row r="4" spans="1:48" ht="15" hidden="1" customHeight="1">
      <c r="E4" s="494"/>
    </row>
    <row r="5" spans="1:48" s="961" customFormat="1" ht="15" hidden="1" customHeight="1">
      <c r="A5" s="494"/>
      <c r="B5" s="494"/>
      <c r="C5" s="494"/>
      <c r="D5" s="494"/>
      <c r="E5" s="612" t="s">
        <v>19</v>
      </c>
      <c r="AA5" s="612">
        <v>3</v>
      </c>
      <c r="AB5" s="612">
        <v>11</v>
      </c>
      <c r="AC5" s="612">
        <v>75</v>
      </c>
      <c r="AD5" s="612">
        <v>11.29</v>
      </c>
      <c r="AE5" s="612">
        <v>13</v>
      </c>
      <c r="AF5" s="612">
        <v>13</v>
      </c>
      <c r="AG5" s="612">
        <v>13</v>
      </c>
      <c r="AH5" s="612">
        <v>15.14</v>
      </c>
      <c r="AI5" s="612">
        <v>13</v>
      </c>
      <c r="AJ5" s="612">
        <v>13</v>
      </c>
      <c r="AK5" s="612">
        <v>13</v>
      </c>
      <c r="AL5" s="612">
        <v>23.57</v>
      </c>
      <c r="AM5" s="612">
        <v>20</v>
      </c>
      <c r="AN5" s="612">
        <v>20</v>
      </c>
      <c r="AO5" s="612">
        <v>32.71</v>
      </c>
      <c r="AP5" s="612">
        <v>3</v>
      </c>
      <c r="AR5" s="962"/>
      <c r="AS5" s="962"/>
      <c r="AT5" s="962"/>
    </row>
    <row r="6" spans="1:48" ht="11.25" hidden="1" customHeight="1">
      <c r="A6" s="984" t="s">
        <v>1540</v>
      </c>
      <c r="AM6" s="494" t="str" cm="1">
        <f t="array" ref="AM6">AM24</f>
        <v>Указание на подтверждающие документы / URL-ссылка на копии подтверждающих документов</v>
      </c>
      <c r="AN6" s="494" t="str" cm="1">
        <f t="array" ref="AN6">AN24</f>
        <v>Ссылка на правовую норму (основание для принятия показателя в расчет тарифа)</v>
      </c>
      <c r="AO6" s="494"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c r="A7" s="875" t="s">
        <v>350</v>
      </c>
      <c r="AE7" s="495">
        <f>god-2</f>
        <v>2024</v>
      </c>
      <c r="AF7" s="495">
        <f>god-2</f>
        <v>2024</v>
      </c>
      <c r="AG7" s="495">
        <f>god-2</f>
        <v>2024</v>
      </c>
      <c r="AH7" s="495">
        <f>god-2</f>
        <v>2024</v>
      </c>
      <c r="AI7" s="496">
        <f>god-1</f>
        <v>2025</v>
      </c>
      <c r="AJ7" s="496" cm="1">
        <f t="array" ref="AJ7">god</f>
        <v>2026</v>
      </c>
      <c r="AK7" s="496" cm="1">
        <f t="array" ref="AK7">god</f>
        <v>2026</v>
      </c>
    </row>
    <row r="8" spans="1:48" ht="11.25" hidden="1" customHeight="1">
      <c r="A8" s="875" t="s">
        <v>351</v>
      </c>
      <c r="AE8" s="496" t="str" cm="1">
        <f t="array" ref="AE8">AE25</f>
        <v>Принято органом регулирования</v>
      </c>
      <c r="AF8" s="496" t="str" cm="1">
        <f t="array" ref="AF8">AF25</f>
        <v>Факт по данным организации</v>
      </c>
      <c r="AG8" s="496" t="str" cm="1">
        <f t="array" ref="AG8">AG25</f>
        <v>Факт, принятый органом регулирования</v>
      </c>
      <c r="AH8" s="496" t="str" cm="1">
        <f t="array" ref="AH8">AH25</f>
        <v>отклонение факта по данным организации к факту принятому органом регулирования</v>
      </c>
      <c r="AI8" s="496" t="str" cm="1">
        <f t="array" ref="AI8">AI25</f>
        <v>Принято органом регулирования</v>
      </c>
      <c r="AJ8" s="496" t="str" cm="1">
        <f t="array" ref="AJ8">AJ25</f>
        <v>Предложение организации</v>
      </c>
      <c r="AK8" s="496" t="str" cm="1">
        <f t="array" ref="AK8">AK25</f>
        <v>Принято органом регулирования</v>
      </c>
    </row>
    <row r="9" spans="1:48" ht="11.25" hidden="1" customHeight="1">
      <c r="AE9" s="496" t="str">
        <f t="shared" ref="AE9:AK9" si="0">AE7&amp;AE8</f>
        <v>2024Принято органом регулирования</v>
      </c>
      <c r="AF9" s="496" t="str">
        <f t="shared" si="0"/>
        <v>2024Факт по данным организации</v>
      </c>
      <c r="AG9" s="496" t="str">
        <f t="shared" si="0"/>
        <v>2024Факт, принятый органом регулирования</v>
      </c>
      <c r="AH9" s="496" t="str">
        <f t="shared" si="0"/>
        <v>2024отклонение факта по данным организации к факту принятому органом регулирования</v>
      </c>
      <c r="AI9" s="496" t="str">
        <f t="shared" si="0"/>
        <v>2025Принято органом регулирования</v>
      </c>
      <c r="AJ9" s="496" t="str">
        <f t="shared" si="0"/>
        <v>2026Предложение организации</v>
      </c>
      <c r="AK9" s="496" t="str">
        <f t="shared" si="0"/>
        <v>2026Принято органом регулирования</v>
      </c>
    </row>
    <row r="10" spans="1:48" s="964" customFormat="1" ht="11.25" hidden="1" customHeight="1">
      <c r="A10" s="1126" t="s">
        <v>355</v>
      </c>
      <c r="AE10" s="963" cm="1">
        <f t="array" ref="AE10">AE7</f>
        <v>2024</v>
      </c>
      <c r="AF10" s="963" cm="1">
        <f t="array" ref="AF10">AF7</f>
        <v>2024</v>
      </c>
      <c r="AG10" s="963" cm="1">
        <f t="array" ref="AG10">AG7</f>
        <v>2024</v>
      </c>
      <c r="AH10" s="963" cm="1">
        <f t="array" ref="AH10">AH7</f>
        <v>2024</v>
      </c>
      <c r="AI10" s="963" cm="1">
        <f t="array" ref="AI10">AI7</f>
        <v>2025</v>
      </c>
      <c r="AJ10" s="963" cm="1">
        <f t="array" ref="AJ10">AJ7</f>
        <v>2026</v>
      </c>
      <c r="AK10" s="963" cm="1">
        <f t="array" ref="AK10">AK7</f>
        <v>2026</v>
      </c>
      <c r="AL10" s="963"/>
      <c r="AU10" s="612"/>
      <c r="AV10" s="612"/>
    </row>
    <row r="11" spans="1:48" s="964" customFormat="1" ht="11.25" hidden="1" customHeight="1">
      <c r="A11" s="899" t="s">
        <v>356</v>
      </c>
      <c r="AE11" s="963" t="str" cm="1">
        <f t="array" ref="AE11">AE25</f>
        <v>Принято органом регулирования</v>
      </c>
      <c r="AF11" s="963" t="str" cm="1">
        <f t="array" ref="AF11">AF25</f>
        <v>Факт по данным организации</v>
      </c>
      <c r="AG11" s="963" t="str" cm="1">
        <f t="array" ref="AG11">AG25</f>
        <v>Факт, принятый органом регулирования</v>
      </c>
      <c r="AH11" s="963" t="str" cm="1">
        <f t="array" ref="AH11">AH25</f>
        <v>отклонение факта по данным организации к факту принятому органом регулирования</v>
      </c>
      <c r="AI11" s="963" t="str" cm="1">
        <f t="array" ref="AI11">AI25</f>
        <v>Принято органом регулирования</v>
      </c>
      <c r="AJ11" s="963" t="str" cm="1">
        <f t="array" ref="AJ11">AJ25</f>
        <v>Предложение организации</v>
      </c>
      <c r="AK11" s="963" t="str" cm="1">
        <f t="array" ref="AK11">AK25</f>
        <v>Принято органом регулирования</v>
      </c>
      <c r="AL11" s="963"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612"/>
      <c r="AV11" s="612"/>
    </row>
    <row r="12" spans="1:48" s="964" customFormat="1" ht="11.25" hidden="1" customHeight="1">
      <c r="A12" s="899" t="s">
        <v>357</v>
      </c>
      <c r="AE12" s="963"/>
      <c r="AF12" s="963"/>
      <c r="AG12" s="963"/>
      <c r="AH12" s="963"/>
      <c r="AI12" s="963"/>
      <c r="AJ12" s="963"/>
      <c r="AK12" s="963"/>
      <c r="AM12" s="962" t="str" cm="1">
        <f t="array" ref="AM12">AM24</f>
        <v>Указание на подтверждающие документы / URL-ссылка на копии подтверждающих документов</v>
      </c>
      <c r="AN12" s="962" t="str" cm="1">
        <f t="array" ref="AN12">AN24</f>
        <v>Ссылка на правовую норму (основание для принятия показателя в расчет тарифа)</v>
      </c>
      <c r="AO12" s="962"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612"/>
      <c r="AV12" s="612"/>
    </row>
    <row r="13" spans="1:48" s="964" customFormat="1" ht="11.25" hidden="1" customHeight="1">
      <c r="A13" s="964" t="s">
        <v>329</v>
      </c>
      <c r="AC13" s="964" t="s">
        <v>316</v>
      </c>
      <c r="AE13" s="963"/>
      <c r="AF13" s="963"/>
      <c r="AG13" s="963"/>
      <c r="AH13" s="963"/>
      <c r="AI13" s="963"/>
      <c r="AJ13" s="963"/>
      <c r="AK13" s="963"/>
      <c r="AU13" s="612"/>
      <c r="AV13" s="612"/>
    </row>
    <row r="14" spans="1:48" ht="11.25" hidden="1" customHeight="1"/>
    <row r="15" spans="1:48" ht="11.25" hidden="1" customHeight="1"/>
    <row r="16" spans="1:48" ht="11.25" hidden="1" customHeight="1"/>
    <row r="17" spans="1:48" ht="11.25" hidden="1" customHeight="1">
      <c r="AJ17" s="433"/>
    </row>
    <row r="18" spans="1:48" ht="11.25" hidden="1" customHeight="1">
      <c r="A18" s="645" t="s">
        <v>358</v>
      </c>
      <c r="AC18" s="645" t="s">
        <v>359</v>
      </c>
    </row>
    <row r="19" spans="1:48" ht="11.25" hidden="1" customHeight="1"/>
    <row r="20" spans="1:48" ht="11.25" hidden="1" customHeight="1"/>
    <row r="21" spans="1:48" ht="14.65" customHeight="1">
      <c r="E21" s="612">
        <v>15</v>
      </c>
      <c r="AA21" s="611"/>
      <c r="AC21" s="497" t="str" cm="1">
        <f t="array" ref="AC21">tpl_title</f>
        <v>Кемеровская область / 2026 / ОАО «СКЭК» (ИНН:4205153492, КПП:420501001) / ДПР: 2026-2026</v>
      </c>
    </row>
    <row r="22" spans="1:48" ht="19.5" customHeight="1">
      <c r="E22" s="612">
        <v>20</v>
      </c>
      <c r="AB22" s="498" t="s">
        <v>1541</v>
      </c>
      <c r="AC22" s="499"/>
      <c r="AD22" s="499"/>
      <c r="AE22" s="499"/>
      <c r="AF22" s="499"/>
      <c r="AG22" s="499"/>
      <c r="AH22" s="499"/>
      <c r="AI22" s="499"/>
      <c r="AJ22" s="499"/>
      <c r="AK22" s="499"/>
      <c r="AL22" s="499"/>
      <c r="AM22" s="499"/>
      <c r="AN22" s="499"/>
      <c r="AO22" s="499"/>
    </row>
    <row r="23" spans="1:48" ht="14.65" customHeight="1">
      <c r="E23" s="612">
        <v>15</v>
      </c>
      <c r="AB23" s="500"/>
      <c r="AC23" s="500"/>
      <c r="AD23" s="500"/>
      <c r="AE23" s="500"/>
      <c r="AF23" s="500"/>
      <c r="AG23" s="500"/>
      <c r="AH23" s="500"/>
      <c r="AI23" s="500"/>
      <c r="AJ23" s="500"/>
      <c r="AK23" s="500"/>
      <c r="AL23" s="500"/>
      <c r="AM23" s="500"/>
      <c r="AN23" s="500"/>
      <c r="AO23" s="500"/>
    </row>
    <row r="24" spans="1:48" ht="25.5" customHeight="1">
      <c r="E24" s="612">
        <v>26.25</v>
      </c>
      <c r="AB24" s="1761" t="s">
        <v>21</v>
      </c>
      <c r="AC24" s="1761" t="s">
        <v>359</v>
      </c>
      <c r="AD24" s="1761" t="s">
        <v>360</v>
      </c>
      <c r="AE24" s="501" t="str">
        <f>god-2&amp;" год"</f>
        <v>2024 год</v>
      </c>
      <c r="AF24" s="1028" t="str">
        <f>god-2&amp;" год"</f>
        <v>2024 год</v>
      </c>
      <c r="AG24" s="501" t="str">
        <f>god-2&amp;" год"</f>
        <v>2024 год</v>
      </c>
      <c r="AH24" s="501" t="str">
        <f>god-2&amp;" год"</f>
        <v>2024 год</v>
      </c>
      <c r="AI24" s="502" t="str">
        <f>god-1&amp;" год"</f>
        <v>2025 год</v>
      </c>
      <c r="AJ24" s="1030" t="str">
        <f>god&amp;" год"</f>
        <v>2026 год</v>
      </c>
      <c r="AK24" s="501" t="str">
        <f>god&amp;" год"</f>
        <v>2026 год</v>
      </c>
      <c r="AL24" s="1758" t="s">
        <v>1542</v>
      </c>
      <c r="AM24" s="1783" t="s">
        <v>1543</v>
      </c>
      <c r="AN24" s="1781" t="s">
        <v>494</v>
      </c>
      <c r="AO24" s="1781" t="s">
        <v>1544</v>
      </c>
    </row>
    <row r="25" spans="1:48" ht="51.4" customHeight="1">
      <c r="E25" s="612">
        <v>79.5</v>
      </c>
      <c r="AB25" s="1761"/>
      <c r="AC25" s="1761"/>
      <c r="AD25" s="1761"/>
      <c r="AE25" s="502" t="s">
        <v>352</v>
      </c>
      <c r="AF25" s="1029" t="s">
        <v>417</v>
      </c>
      <c r="AG25" s="502" t="s">
        <v>418</v>
      </c>
      <c r="AH25" s="501" t="s">
        <v>1545</v>
      </c>
      <c r="AI25" s="502" t="s">
        <v>352</v>
      </c>
      <c r="AJ25" s="1031" t="s">
        <v>353</v>
      </c>
      <c r="AK25" s="501" t="s">
        <v>352</v>
      </c>
      <c r="AL25" s="1758"/>
      <c r="AM25" s="1783"/>
      <c r="AN25" s="1781"/>
      <c r="AO25" s="1781"/>
    </row>
    <row r="26" spans="1:48" ht="11.25" hidden="1" customHeight="1">
      <c r="E26" s="612">
        <v>0</v>
      </c>
      <c r="AB26" s="653"/>
      <c r="AC26" s="654"/>
      <c r="AD26" s="654"/>
      <c r="AE26" s="655"/>
      <c r="AF26" s="655"/>
      <c r="AG26" s="655"/>
      <c r="AH26" s="656"/>
      <c r="AI26" s="655"/>
      <c r="AJ26" s="656"/>
      <c r="AK26" s="656"/>
      <c r="AL26" s="657"/>
      <c r="AM26" s="656"/>
      <c r="AN26" s="656"/>
      <c r="AO26" s="656"/>
    </row>
    <row r="27" spans="1:48" ht="14.65" hidden="1" customHeight="1">
      <c r="E27" s="612">
        <v>15</v>
      </c>
      <c r="F27" s="496" cm="1">
        <f t="array" ref="F27">X27</f>
        <v>0</v>
      </c>
      <c r="G27" s="613" cm="1">
        <f t="array" ref="G27">INDEX('Общие сведения'!$AK$179:$AK$208,MATCH($X27,'Общие сведения'!$Z$179:$Z$208,0))</f>
        <v>0</v>
      </c>
      <c r="T27" s="381" t="b">
        <f>X27&gt;0</f>
        <v>0</v>
      </c>
      <c r="V27" s="611" t="s">
        <v>270</v>
      </c>
      <c r="X27" s="1841">
        <v>0</v>
      </c>
      <c r="Z27" s="1842"/>
      <c r="AB27" s="1127" t="str" cm="1">
        <f t="array" ref="AB27">INDEX('Общие сведения'!$AG$179:$AG$208,MATCH($X27,'Общие сведения'!$Z$179:$Z$208,0))</f>
        <v xml:space="preserve">Тариф 0 () - </v>
      </c>
      <c r="AC27" s="503"/>
      <c r="AD27" s="503"/>
      <c r="AE27" s="503"/>
      <c r="AF27" s="503"/>
      <c r="AG27" s="503"/>
      <c r="AH27" s="503"/>
      <c r="AI27" s="503"/>
      <c r="AJ27" s="503"/>
      <c r="AK27" s="503"/>
      <c r="AL27" s="503"/>
      <c r="AM27" s="503"/>
      <c r="AN27" s="503"/>
      <c r="AO27" s="503"/>
    </row>
    <row r="28" spans="1:48" ht="14.65" hidden="1" customHeight="1">
      <c r="E28" s="612">
        <v>15</v>
      </c>
      <c r="F28" s="3" cm="1">
        <f t="array" aca="1" ref="F28" ca="1">OFFSET(E28,-1,1)</f>
        <v>0</v>
      </c>
      <c r="I28" s="504" t="s">
        <v>323</v>
      </c>
      <c r="J28" s="504"/>
      <c r="K28" s="504"/>
      <c r="L28" s="504"/>
      <c r="M28" s="504"/>
      <c r="N28" s="504"/>
      <c r="O28" s="504"/>
      <c r="P28" s="504"/>
      <c r="Q28" s="504"/>
      <c r="R28" s="504"/>
      <c r="S28" s="504"/>
      <c r="T28" s="381" t="b" cm="1">
        <f t="array" ref="T28">T27</f>
        <v>0</v>
      </c>
      <c r="X28" s="1841"/>
      <c r="Z28" s="1842"/>
      <c r="AB28" s="713" t="s">
        <v>281</v>
      </c>
      <c r="AC28" s="714" t="s">
        <v>1546</v>
      </c>
      <c r="AD28" s="673" t="s">
        <v>766</v>
      </c>
      <c r="AE28" s="715">
        <f ca="1">AE29+AE33+AE43+AE44+AE47+AE48+AE49</f>
        <v>0</v>
      </c>
      <c r="AF28" s="715">
        <f ca="1">AF29+AF33+AF43+AF44+AF47+AF48+AF49</f>
        <v>0</v>
      </c>
      <c r="AG28" s="715">
        <f ca="1">AG29+AG33+AG43+AG44+AG47+AG48+AG49</f>
        <v>0</v>
      </c>
      <c r="AH28" s="715">
        <f t="shared" ref="AH28:AH54" ca="1" si="1">AG28-AF28</f>
        <v>0</v>
      </c>
      <c r="AI28" s="715">
        <f ca="1">AI29+AI33+AI43+AI44+AI47+AI48+AI49</f>
        <v>0</v>
      </c>
      <c r="AJ28" s="715">
        <f ca="1">AJ29+AJ33+AJ43+AJ44+AJ47+AJ48+AJ49</f>
        <v>0</v>
      </c>
      <c r="AK28" s="715">
        <f ca="1">AK29+AK33+AK43+AK44+AK47+AK48+AK49</f>
        <v>0</v>
      </c>
      <c r="AL28" s="716">
        <f t="shared" ref="AL28:AL54" ca="1" si="2">IF(AI28=0,0,(AK28-AI28)/AI28*100)</f>
        <v>0</v>
      </c>
      <c r="AM28" s="1438"/>
      <c r="AN28" s="1439"/>
      <c r="AO28" s="1438"/>
      <c r="AR28" s="964" t="s">
        <v>484</v>
      </c>
    </row>
    <row r="29" spans="1:48" s="505" customFormat="1" ht="21.95" hidden="1" customHeight="1">
      <c r="E29" s="614">
        <v>22.5</v>
      </c>
      <c r="F29" s="3" cm="1">
        <f t="array" aca="1" ref="F29" ca="1">OFFSET(E29,-1,1)</f>
        <v>0</v>
      </c>
      <c r="I29" s="615" t="s">
        <v>427</v>
      </c>
      <c r="J29" s="615"/>
      <c r="K29" s="615"/>
      <c r="L29" s="615"/>
      <c r="M29" s="615"/>
      <c r="N29" s="615"/>
      <c r="O29" s="615"/>
      <c r="P29" s="615"/>
      <c r="Q29" s="615"/>
      <c r="R29" s="615"/>
      <c r="S29" s="615"/>
      <c r="T29" s="381" t="b" cm="1">
        <f t="array" ref="T29">T28</f>
        <v>0</v>
      </c>
      <c r="X29" s="1841"/>
      <c r="Z29" s="1842"/>
      <c r="AB29" s="718" t="s">
        <v>821</v>
      </c>
      <c r="AC29" s="719" t="s">
        <v>1547</v>
      </c>
      <c r="AD29" s="507" t="s">
        <v>766</v>
      </c>
      <c r="AE29" s="715">
        <f ca="1">SUM(AE30:AE32)</f>
        <v>0</v>
      </c>
      <c r="AF29" s="715">
        <f ca="1">SUM(AF30:AF32)</f>
        <v>0</v>
      </c>
      <c r="AG29" s="715">
        <f ca="1">SUM(AG30:AG32)</f>
        <v>0</v>
      </c>
      <c r="AH29" s="715">
        <f t="shared" ca="1" si="1"/>
        <v>0</v>
      </c>
      <c r="AI29" s="715">
        <f ca="1">SUM(AI30:AI32)</f>
        <v>0</v>
      </c>
      <c r="AJ29" s="715">
        <f ca="1">SUM(AJ30:AJ32)</f>
        <v>0</v>
      </c>
      <c r="AK29" s="715">
        <f ca="1">SUM(AK30:AK32)</f>
        <v>0</v>
      </c>
      <c r="AL29" s="715">
        <f t="shared" ca="1" si="2"/>
        <v>0</v>
      </c>
      <c r="AM29" s="1440"/>
      <c r="AN29" s="1440"/>
      <c r="AO29" s="1440"/>
      <c r="AR29" s="965" t="s">
        <v>1548</v>
      </c>
      <c r="AS29" s="965"/>
      <c r="AT29" s="965"/>
      <c r="AU29" s="614"/>
      <c r="AV29" s="614"/>
    </row>
    <row r="30" spans="1:48" ht="14.65" hidden="1" customHeight="1">
      <c r="E30" s="612">
        <v>15</v>
      </c>
      <c r="F30" s="3" cm="1">
        <f t="array" aca="1" ref="F30" ca="1">OFFSET(E30,-1,1)</f>
        <v>0</v>
      </c>
      <c r="I30" s="504" t="s">
        <v>924</v>
      </c>
      <c r="J30" s="504"/>
      <c r="K30" s="504"/>
      <c r="L30" s="504"/>
      <c r="M30" s="504"/>
      <c r="N30" s="504"/>
      <c r="O30" s="504"/>
      <c r="P30" s="504"/>
      <c r="Q30" s="504"/>
      <c r="R30" s="504"/>
      <c r="S30" s="504"/>
      <c r="T30" s="381" t="b" cm="1">
        <f t="array" ref="T30">T29</f>
        <v>0</v>
      </c>
      <c r="X30" s="1841"/>
      <c r="Z30" s="1842"/>
      <c r="AB30" s="721" t="s">
        <v>925</v>
      </c>
      <c r="AC30" s="722" t="s">
        <v>1549</v>
      </c>
      <c r="AD30" s="673" t="s">
        <v>766</v>
      </c>
      <c r="AE30" s="716">
        <f ca="1">SUMIFS('Сырье и материалы'!AE$25:AE$35,'Сырье и материалы'!$F$25:$F$35,$F30,'Сырье и материалы'!$AC$25:$AC$35,"Всего по тарифу")</f>
        <v>0</v>
      </c>
      <c r="AF30" s="716">
        <f ca="1">SUMIFS('Сырье и материалы'!AF$25:AF$35,'Сырье и материалы'!$F$25:$F$35,$F30,'Сырье и материалы'!$AC$25:$AC$35,"Всего по тарифу")</f>
        <v>0</v>
      </c>
      <c r="AG30" s="716">
        <f ca="1">SUMIFS('Сырье и материалы'!AG$25:AG$35,'Сырье и материалы'!$F$25:$F$35,$F30,'Сырье и материалы'!$AC$25:$AC$35,"Всего по тарифу")</f>
        <v>0</v>
      </c>
      <c r="AH30" s="716">
        <f t="shared" ca="1" si="1"/>
        <v>0</v>
      </c>
      <c r="AI30" s="716">
        <f ca="1">SUMIFS('Сырье и материалы'!AH$25:AH$35,'Сырье и материалы'!$F$25:$F$35,$F30,'Сырье и материалы'!$AC$25:$AC$35,"Всего по тарифу")</f>
        <v>0</v>
      </c>
      <c r="AJ30" s="716">
        <f ca="1">SUMIFS('Сырье и материалы'!AI$25:AI$35,'Сырье и материалы'!$F$25:$F$35,$F30,'Сырье и материалы'!$AC$25:$AC$35,"Всего по тарифу")</f>
        <v>0</v>
      </c>
      <c r="AK30" s="716">
        <f ca="1">SUMIFS('Сырье и материалы'!AS$25:AS$35,'Сырье и материалы'!$F$25:$F$35,$F30,'Сырье и материалы'!$AC$25:$AC$35,"Всего по тарифу")</f>
        <v>0</v>
      </c>
      <c r="AL30" s="716">
        <f t="shared" ca="1" si="2"/>
        <v>0</v>
      </c>
      <c r="AM30" s="1438"/>
      <c r="AN30" s="1439" t="str">
        <f ca="1">IF(IFERROR(INDEX('Сырье и материалы'!$K$26:$L$35,MATCH($F30&amp;"komm",'Сырье и материалы'!$K$26:$K$35,0),2),"")=0,"",IFERROR(INDEX('Сырье и материалы'!$K$26:$L$35,MATCH($F30&amp;"komm",'Сырье и материалы'!$K$26:$K$35,0),2),""))</f>
        <v/>
      </c>
      <c r="AO30" s="1438"/>
      <c r="AR30" s="964" t="s">
        <v>1550</v>
      </c>
    </row>
    <row r="31" spans="1:48" ht="14.65" hidden="1" customHeight="1">
      <c r="E31" s="612">
        <v>15</v>
      </c>
      <c r="F31" s="3" cm="1">
        <f t="array" aca="1" ref="F31" ca="1">OFFSET(E31,-1,1)</f>
        <v>0</v>
      </c>
      <c r="I31" s="504" t="s">
        <v>928</v>
      </c>
      <c r="J31" s="504"/>
      <c r="K31" s="504"/>
      <c r="L31" s="504"/>
      <c r="M31" s="504"/>
      <c r="N31" s="504"/>
      <c r="O31" s="504"/>
      <c r="P31" s="504"/>
      <c r="Q31" s="504"/>
      <c r="R31" s="504"/>
      <c r="S31" s="504"/>
      <c r="T31" s="381" t="b" cm="1">
        <f t="array" ref="T31">T30</f>
        <v>0</v>
      </c>
      <c r="X31" s="1841"/>
      <c r="Z31" s="1842"/>
      <c r="AB31" s="721" t="s">
        <v>929</v>
      </c>
      <c r="AC31" s="722" t="s">
        <v>1551</v>
      </c>
      <c r="AD31" s="673" t="s">
        <v>766</v>
      </c>
      <c r="AE31" s="723"/>
      <c r="AF31" s="723"/>
      <c r="AG31" s="723"/>
      <c r="AH31" s="716">
        <f t="shared" si="1"/>
        <v>0</v>
      </c>
      <c r="AI31" s="723"/>
      <c r="AJ31" s="1441"/>
      <c r="AK31" s="1441"/>
      <c r="AL31" s="716">
        <f t="shared" si="2"/>
        <v>0</v>
      </c>
      <c r="AM31" s="1438"/>
      <c r="AN31" s="1438"/>
      <c r="AO31" s="1438"/>
      <c r="AR31" s="964" t="s">
        <v>1552</v>
      </c>
    </row>
    <row r="32" spans="1:48" ht="14.65" hidden="1" customHeight="1">
      <c r="E32" s="612">
        <v>15</v>
      </c>
      <c r="F32" s="3" cm="1">
        <f t="array" aca="1" ref="F32" ca="1">OFFSET(E32,-1,1)</f>
        <v>0</v>
      </c>
      <c r="I32" s="504" t="s">
        <v>1161</v>
      </c>
      <c r="J32" s="504"/>
      <c r="K32" s="504"/>
      <c r="L32" s="504"/>
      <c r="M32" s="504"/>
      <c r="N32" s="504"/>
      <c r="O32" s="504"/>
      <c r="P32" s="504"/>
      <c r="Q32" s="504"/>
      <c r="R32" s="504"/>
      <c r="S32" s="504"/>
      <c r="T32" s="381" t="b" cm="1">
        <f t="array" ref="T32">T31</f>
        <v>0</v>
      </c>
      <c r="X32" s="1841"/>
      <c r="Z32" s="1842"/>
      <c r="AB32" s="721" t="s">
        <v>1162</v>
      </c>
      <c r="AC32" s="722" t="s">
        <v>1553</v>
      </c>
      <c r="AD32" s="673" t="s">
        <v>766</v>
      </c>
      <c r="AE32" s="723"/>
      <c r="AF32" s="723"/>
      <c r="AG32" s="723"/>
      <c r="AH32" s="716">
        <f t="shared" si="1"/>
        <v>0</v>
      </c>
      <c r="AI32" s="723"/>
      <c r="AJ32" s="1441"/>
      <c r="AK32" s="1441"/>
      <c r="AL32" s="716">
        <f t="shared" si="2"/>
        <v>0</v>
      </c>
      <c r="AM32" s="1438"/>
      <c r="AN32" s="1438"/>
      <c r="AO32" s="1438"/>
      <c r="AR32" s="964" t="s">
        <v>1554</v>
      </c>
    </row>
    <row r="33" spans="5:48" s="505" customFormat="1" ht="21.95" hidden="1" customHeight="1">
      <c r="E33" s="614">
        <v>22.5</v>
      </c>
      <c r="F33" s="3" cm="1">
        <f t="array" aca="1" ref="F33" ca="1">OFFSET(E33,-1,1)</f>
        <v>0</v>
      </c>
      <c r="I33" s="615" t="s">
        <v>431</v>
      </c>
      <c r="J33" s="615"/>
      <c r="K33" s="615"/>
      <c r="L33" s="615"/>
      <c r="M33" s="615"/>
      <c r="N33" s="615"/>
      <c r="O33" s="615"/>
      <c r="P33" s="615"/>
      <c r="Q33" s="615"/>
      <c r="R33" s="615"/>
      <c r="S33" s="615"/>
      <c r="T33" s="381" t="b" cm="1">
        <f t="array" ref="T33">T32</f>
        <v>0</v>
      </c>
      <c r="X33" s="1841"/>
      <c r="Z33" s="1842"/>
      <c r="AB33" s="718" t="s">
        <v>824</v>
      </c>
      <c r="AC33" s="719" t="s">
        <v>1555</v>
      </c>
      <c r="AD33" s="507" t="s">
        <v>766</v>
      </c>
      <c r="AE33" s="715">
        <f ca="1">SUM(AE34:AE42)</f>
        <v>0</v>
      </c>
      <c r="AF33" s="715">
        <f ca="1">SUM(AF34:AF42)</f>
        <v>0</v>
      </c>
      <c r="AG33" s="715">
        <f ca="1">SUM(AG34:AG42)</f>
        <v>0</v>
      </c>
      <c r="AH33" s="715">
        <f t="shared" ca="1" si="1"/>
        <v>0</v>
      </c>
      <c r="AI33" s="715">
        <f ca="1">SUM(AI34:AI42)</f>
        <v>0</v>
      </c>
      <c r="AJ33" s="715">
        <f ca="1">SUM(AJ34:AJ42)</f>
        <v>0</v>
      </c>
      <c r="AK33" s="715">
        <f ca="1">SUM(AK34:AK42)</f>
        <v>0</v>
      </c>
      <c r="AL33" s="715">
        <f t="shared" ca="1" si="2"/>
        <v>0</v>
      </c>
      <c r="AM33" s="1440"/>
      <c r="AN33" s="1440"/>
      <c r="AO33" s="1440"/>
      <c r="AR33" s="965" t="s">
        <v>1556</v>
      </c>
      <c r="AS33" s="965"/>
      <c r="AT33" s="965"/>
      <c r="AU33" s="614"/>
      <c r="AV33" s="614"/>
    </row>
    <row r="34" spans="5:48" ht="14.65" hidden="1" customHeight="1">
      <c r="E34" s="612">
        <v>15</v>
      </c>
      <c r="F34" s="3" cm="1">
        <f t="array" aca="1" ref="F34" ca="1">OFFSET(E34,-1,1)</f>
        <v>0</v>
      </c>
      <c r="I34" s="504" t="s">
        <v>1186</v>
      </c>
      <c r="J34" s="504"/>
      <c r="K34" s="504"/>
      <c r="L34" s="504"/>
      <c r="M34" s="504"/>
      <c r="N34" s="504"/>
      <c r="O34" s="504"/>
      <c r="P34" s="504"/>
      <c r="Q34" s="504"/>
      <c r="R34" s="504"/>
      <c r="S34" s="504"/>
      <c r="T34" s="381" t="b" cm="1">
        <f t="array" ref="T34">T33</f>
        <v>0</v>
      </c>
      <c r="X34" s="1841"/>
      <c r="Z34" s="1842"/>
      <c r="AB34" s="721" t="s">
        <v>1187</v>
      </c>
      <c r="AC34" s="722" t="s">
        <v>1557</v>
      </c>
      <c r="AD34" s="673" t="s">
        <v>766</v>
      </c>
      <c r="AE34" s="716">
        <f ca="1">SUMIFS(ЭЭ!AE$25:AE$67,ЭЭ!$F$25:$F$67,$F34,ЭЭ!$AC$25:$AC$67,"Всего по тарифу")</f>
        <v>0</v>
      </c>
      <c r="AF34" s="716">
        <f ca="1">SUMIFS(ЭЭ!AF$25:AF$67,ЭЭ!$F$25:$F$67,$F34,ЭЭ!$AC$25:$AC$67,"Всего по тарифу")</f>
        <v>0</v>
      </c>
      <c r="AG34" s="716">
        <f ca="1">SUMIFS(ЭЭ!AG$25:AG$67,ЭЭ!$F$25:$F$67,$F34,ЭЭ!$AC$25:$AC$67,"Всего по тарифу")</f>
        <v>0</v>
      </c>
      <c r="AH34" s="716">
        <f t="shared" ca="1" si="1"/>
        <v>0</v>
      </c>
      <c r="AI34" s="716">
        <f ca="1">SUMIFS(ЭЭ!AH$25:AH$67,ЭЭ!$F$25:$F$67,$F34,ЭЭ!$AC$25:$AC$67,"Всего по тарифу")</f>
        <v>0</v>
      </c>
      <c r="AJ34" s="716">
        <f ca="1">SUMIFS(ЭЭ!AI$25:AI$67,ЭЭ!$F$25:$F$67,$F34,ЭЭ!$AC$25:$AC$67,"Всего по тарифу")</f>
        <v>0</v>
      </c>
      <c r="AK34" s="716">
        <f ca="1">SUMIFS(ЭЭ!AS$25:AS$67,ЭЭ!$F$25:$F$67,$F34,ЭЭ!$AC$25:$AC$67,"Всего по тарифу")</f>
        <v>0</v>
      </c>
      <c r="AL34" s="716">
        <f t="shared" ca="1" si="2"/>
        <v>0</v>
      </c>
      <c r="AM34" s="1438"/>
      <c r="AN34" s="1439" t="str">
        <f ca="1">IF(IFERROR(INDEX(ЭЭ!$K$26:$L$67,MATCH($F34&amp;"komm",ЭЭ!$K$26:$K$67,0),2),"")=0,"",IFERROR(INDEX(ЭЭ!$K$26:$L$67,MATCH($F34&amp;"komm",ЭЭ!$K$26:$K$67,0),2),""))</f>
        <v/>
      </c>
      <c r="AO34" s="1438"/>
      <c r="AR34" s="964" t="s">
        <v>1558</v>
      </c>
    </row>
    <row r="35" spans="5:48" ht="14.65" hidden="1" customHeight="1">
      <c r="E35" s="612">
        <v>15</v>
      </c>
      <c r="F35" s="3" cm="1">
        <f t="array" aca="1" ref="F35" ca="1">OFFSET(E35,-1,1)</f>
        <v>0</v>
      </c>
      <c r="G35" s="494" t="s">
        <v>998</v>
      </c>
      <c r="I35" s="504" t="s">
        <v>1189</v>
      </c>
      <c r="J35" s="504"/>
      <c r="K35" s="504"/>
      <c r="L35" s="504"/>
      <c r="M35" s="504"/>
      <c r="N35" s="504"/>
      <c r="O35" s="504"/>
      <c r="P35" s="504"/>
      <c r="Q35" s="504"/>
      <c r="R35" s="504"/>
      <c r="S35" s="504"/>
      <c r="T35" s="381" t="b" cm="1">
        <f t="array" ref="T35">T34</f>
        <v>0</v>
      </c>
      <c r="X35" s="1841"/>
      <c r="Z35" s="1842"/>
      <c r="AB35" s="721" t="s">
        <v>1190</v>
      </c>
      <c r="AC35" s="722" t="s">
        <v>1559</v>
      </c>
      <c r="AD35" s="673" t="s">
        <v>766</v>
      </c>
      <c r="AE35" s="716">
        <f ca="1">SUMIFS(Покупка!AE$25:AE$90,Покупка!$F$25:$F$90,$F35,Покупка!$AC$25:$AC$90,$G35)</f>
        <v>0</v>
      </c>
      <c r="AF35" s="716">
        <f ca="1">SUMIFS(Покупка!AF$25:AF$90,Покупка!$F$25:$F$90,$F35,Покупка!$AC$25:$AC$90,$G35)</f>
        <v>0</v>
      </c>
      <c r="AG35" s="716">
        <f ca="1">SUMIFS(Покупка!AG$25:AG$90,Покупка!$F$25:$F$90,$F35,Покупка!$AC$25:$AC$90,$G35)</f>
        <v>0</v>
      </c>
      <c r="AH35" s="716">
        <f t="shared" ca="1" si="1"/>
        <v>0</v>
      </c>
      <c r="AI35" s="716">
        <f ca="1">SUMIFS(Покупка!AH$25:AH$90,Покупка!$F$25:$F$90,$F35,Покупка!$AC$25:$AC$90,$G35)</f>
        <v>0</v>
      </c>
      <c r="AJ35" s="716">
        <f ca="1">SUMIFS(Покупка!AI$25:AI$90,Покупка!$F$25:$F$90,$F35,Покупка!$AC$25:$AC$90,$G35)</f>
        <v>0</v>
      </c>
      <c r="AK35" s="716">
        <f ca="1">SUMIFS(Покупка!AS$25:AS$90,Покупка!$F$25:$F$90,$F35,Покупка!$AC$25:$AC$90,$G35)</f>
        <v>0</v>
      </c>
      <c r="AL35" s="716">
        <f t="shared" ca="1" si="2"/>
        <v>0</v>
      </c>
      <c r="AM35" s="1438"/>
      <c r="AN35" s="1439" t="str">
        <f ca="1">IF(IFERROR(INDEX(Покупка!$K$26:$L$90,MATCH($F35&amp;"6komm",Покупка!$K$26:$K$90,0),2),"")=0,"",IFERROR(INDEX(Покупка!$K$26:$L$90,MATCH($F35&amp;"6komm",Покупка!$K$26:$K$90,0),2),""))</f>
        <v/>
      </c>
      <c r="AO35" s="1438"/>
      <c r="AR35" s="964" t="s">
        <v>999</v>
      </c>
    </row>
    <row r="36" spans="5:48" ht="14.65" hidden="1" customHeight="1">
      <c r="E36" s="612">
        <v>15</v>
      </c>
      <c r="F36" s="3" cm="1">
        <f t="array" aca="1" ref="F36" ca="1">OFFSET(E36,-1,1)</f>
        <v>0</v>
      </c>
      <c r="G36" s="494" t="s">
        <v>1000</v>
      </c>
      <c r="I36" s="504" t="s">
        <v>1193</v>
      </c>
      <c r="J36" s="504"/>
      <c r="K36" s="504"/>
      <c r="L36" s="504"/>
      <c r="M36" s="504"/>
      <c r="N36" s="504"/>
      <c r="O36" s="504"/>
      <c r="P36" s="504"/>
      <c r="Q36" s="504"/>
      <c r="R36" s="504"/>
      <c r="S36" s="504"/>
      <c r="T36" s="381" t="b" cm="1">
        <f t="array" ref="T36">T35</f>
        <v>0</v>
      </c>
      <c r="X36" s="1841"/>
      <c r="Z36" s="1842"/>
      <c r="AB36" s="721" t="s">
        <v>1194</v>
      </c>
      <c r="AC36" s="722" t="s">
        <v>1560</v>
      </c>
      <c r="AD36" s="673" t="s">
        <v>766</v>
      </c>
      <c r="AE36" s="716">
        <f ca="1">SUMIFS(Покупка!AE$25:AE$90,Покупка!$F$25:$F$90,$F36,Покупка!$AC$25:$AC$90,$G36)</f>
        <v>0</v>
      </c>
      <c r="AF36" s="716">
        <f ca="1">SUMIFS(Покупка!AF$25:AF$90,Покупка!$F$25:$F$90,$F36,Покупка!$AC$25:$AC$90,$G36)</f>
        <v>0</v>
      </c>
      <c r="AG36" s="716">
        <f ca="1">SUMIFS(Покупка!AG$25:AG$90,Покупка!$F$25:$F$90,$F36,Покупка!$AC$25:$AC$90,$G36)</f>
        <v>0</v>
      </c>
      <c r="AH36" s="716">
        <f t="shared" ca="1" si="1"/>
        <v>0</v>
      </c>
      <c r="AI36" s="716">
        <f ca="1">SUMIFS(Покупка!AH$25:AH$90,Покупка!$F$25:$F$90,$F36,Покупка!$AC$25:$AC$90,$G36)</f>
        <v>0</v>
      </c>
      <c r="AJ36" s="716">
        <f ca="1">SUMIFS(Покупка!AI$25:AI$90,Покупка!$F$25:$F$90,$F36,Покупка!$AC$25:$AC$90,$G36)</f>
        <v>0</v>
      </c>
      <c r="AK36" s="716">
        <f ca="1">SUMIFS(Покупка!AS$25:AS$90,Покупка!$F$25:$F$90,$F36,Покупка!$AC$25:$AC$90,$G36)</f>
        <v>0</v>
      </c>
      <c r="AL36" s="716">
        <f t="shared" ca="1" si="2"/>
        <v>0</v>
      </c>
      <c r="AM36" s="1438"/>
      <c r="AN36" s="1439" t="str">
        <f ca="1">IF(IFERROR(INDEX(Покупка!$K$26:$L$90,MATCH($F36&amp;"7komm",Покупка!$K$26:$K$90,0),2),"")=0,"",IFERROR(INDEX(Покупка!$K$26:$L$90,MATCH($F36&amp;"7komm",Покупка!$K$26:$K$90,0),2),""))</f>
        <v/>
      </c>
      <c r="AO36" s="1438"/>
      <c r="AR36" s="964" t="s">
        <v>1001</v>
      </c>
    </row>
    <row r="37" spans="5:48" ht="14.65" hidden="1" customHeight="1">
      <c r="E37" s="612">
        <v>15</v>
      </c>
      <c r="F37" s="3" cm="1">
        <f t="array" aca="1" ref="F37" ca="1">OFFSET(E37,-1,1)</f>
        <v>0</v>
      </c>
      <c r="G37" s="666" t="s">
        <v>1004</v>
      </c>
      <c r="I37" s="504" t="s">
        <v>1352</v>
      </c>
      <c r="J37" s="504"/>
      <c r="K37" s="504"/>
      <c r="L37" s="504"/>
      <c r="M37" s="504"/>
      <c r="N37" s="504"/>
      <c r="O37" s="504"/>
      <c r="P37" s="504"/>
      <c r="Q37" s="504"/>
      <c r="R37" s="504"/>
      <c r="S37" s="504"/>
      <c r="T37" s="381" t="b" cm="1">
        <f t="array" ref="T37">T36</f>
        <v>0</v>
      </c>
      <c r="X37" s="1841"/>
      <c r="Z37" s="1842"/>
      <c r="AB37" s="721" t="s">
        <v>1561</v>
      </c>
      <c r="AC37" s="722" t="s">
        <v>1562</v>
      </c>
      <c r="AD37" s="673" t="s">
        <v>766</v>
      </c>
      <c r="AE37" s="716">
        <f ca="1">SUMIFS(Покупка!AE$25:AE$90,Покупка!$F$25:$F$90,$F37,Покупка!$AC$25:$AC$90,$G37)</f>
        <v>0</v>
      </c>
      <c r="AF37" s="716">
        <f ca="1">SUMIFS(Покупка!AF$25:AF$90,Покупка!$F$25:$F$90,$F37,Покупка!$AC$25:$AC$90,$G37)</f>
        <v>0</v>
      </c>
      <c r="AG37" s="716">
        <f ca="1">SUMIFS(Покупка!AG$25:AG$90,Покупка!$F$25:$F$90,$F37,Покупка!$AC$25:$AC$90,$G37)</f>
        <v>0</v>
      </c>
      <c r="AH37" s="716">
        <f t="shared" ca="1" si="1"/>
        <v>0</v>
      </c>
      <c r="AI37" s="716">
        <f ca="1">SUMIFS(Покупка!AH$25:AH$90,Покупка!$F$25:$F$90,$F37,Покупка!$AC$25:$AC$90,$G37)</f>
        <v>0</v>
      </c>
      <c r="AJ37" s="716">
        <f ca="1">SUMIFS(Покупка!AI$25:AI$90,Покупка!$F$25:$F$90,$F37,Покупка!$AC$25:$AC$90,$G37)</f>
        <v>0</v>
      </c>
      <c r="AK37" s="716">
        <f ca="1">SUMIFS(Покупка!AS$25:AS$90,Покупка!$F$25:$F$90,$F37,Покупка!$AC$25:$AC$90,$G37)</f>
        <v>0</v>
      </c>
      <c r="AL37" s="716">
        <f t="shared" ca="1" si="2"/>
        <v>0</v>
      </c>
      <c r="AM37" s="1438"/>
      <c r="AN37" s="1439" t="str">
        <f ca="1">IF(IFERROR(INDEX(Покупка!$K$26:$L$90,MATCH($F37&amp;"9komm",Покупка!$K$26:$K$90,0),2),"")=0,"",IFERROR(INDEX(Покупка!$K$26:$L$90,MATCH($F37&amp;"9komm",Покупка!$K$26:$K$90,0),2),""))</f>
        <v/>
      </c>
      <c r="AO37" s="1438"/>
      <c r="AR37" s="964" t="s">
        <v>1005</v>
      </c>
    </row>
    <row r="38" spans="5:48" ht="14.65" hidden="1" customHeight="1">
      <c r="E38" s="612">
        <v>15</v>
      </c>
      <c r="F38" s="3" cm="1">
        <f t="array" aca="1" ref="F38" ca="1">OFFSET(E38,-1,1)</f>
        <v>0</v>
      </c>
      <c r="G38" s="494" t="s">
        <v>966</v>
      </c>
      <c r="I38" s="504" t="s">
        <v>1356</v>
      </c>
      <c r="J38" s="504"/>
      <c r="K38" s="504"/>
      <c r="L38" s="504"/>
      <c r="M38" s="504"/>
      <c r="N38" s="504"/>
      <c r="O38" s="504"/>
      <c r="P38" s="504"/>
      <c r="Q38" s="504"/>
      <c r="R38" s="504"/>
      <c r="S38" s="504"/>
      <c r="T38" s="381" t="b" cm="1">
        <f t="array" ref="T38">T37</f>
        <v>0</v>
      </c>
      <c r="X38" s="1841"/>
      <c r="Z38" s="1842"/>
      <c r="AB38" s="721" t="s">
        <v>1563</v>
      </c>
      <c r="AC38" s="722" t="s">
        <v>1564</v>
      </c>
      <c r="AD38" s="673" t="s">
        <v>766</v>
      </c>
      <c r="AE38" s="716">
        <f ca="1">SUMIFS(Покупка!AE$25:AE$90,Покупка!$F$25:$F$90,$F38,Покупка!$AC$25:$AC$90,$G38)</f>
        <v>0</v>
      </c>
      <c r="AF38" s="716">
        <f ca="1">SUMIFS(Покупка!AF$25:AF$90,Покупка!$F$25:$F$90,$F38,Покупка!$AC$25:$AC$90,$G38)</f>
        <v>0</v>
      </c>
      <c r="AG38" s="716">
        <f ca="1">SUMIFS(Покупка!AG$25:AG$90,Покупка!$F$25:$F$90,$F38,Покупка!$AC$25:$AC$90,$G38)</f>
        <v>0</v>
      </c>
      <c r="AH38" s="716">
        <f t="shared" ca="1" si="1"/>
        <v>0</v>
      </c>
      <c r="AI38" s="716">
        <f ca="1">SUMIFS(Покупка!AH$25:AH$90,Покупка!$F$25:$F$90,$F38,Покупка!$AC$25:$AC$90,$G38)</f>
        <v>0</v>
      </c>
      <c r="AJ38" s="716">
        <f ca="1">SUMIFS(Покупка!AI$25:AI$90,Покупка!$F$25:$F$90,$F38,Покупка!$AC$25:$AC$90,$G38)</f>
        <v>0</v>
      </c>
      <c r="AK38" s="716">
        <f ca="1">SUMIFS(Покупка!AS$25:AS$90,Покупка!$F$25:$F$90,$F38,Покупка!$AC$25:$AC$90,$G38)</f>
        <v>0</v>
      </c>
      <c r="AL38" s="716">
        <f t="shared" ca="1" si="2"/>
        <v>0</v>
      </c>
      <c r="AM38" s="1438"/>
      <c r="AN38" s="1439" t="str">
        <f ca="1">IF(IFERROR(INDEX(Покупка!$K$26:$L$90,MATCH($F38&amp;"1komm",Покупка!$K$26:$K$90,0),2),"")=0,"",IFERROR(INDEX(Покупка!$K$26:$L$90,MATCH($F38&amp;"1komm",Покупка!$K$26:$K$90,0),2),""))</f>
        <v/>
      </c>
      <c r="AO38" s="1438"/>
      <c r="AR38" s="964" t="s">
        <v>1565</v>
      </c>
    </row>
    <row r="39" spans="5:48" ht="14.65" hidden="1" customHeight="1">
      <c r="E39" s="612">
        <v>15</v>
      </c>
      <c r="F39" s="3" cm="1">
        <f t="array" aca="1" ref="F39" ca="1">OFFSET(E39,-1,1)</f>
        <v>0</v>
      </c>
      <c r="G39" s="494" t="s">
        <v>975</v>
      </c>
      <c r="I39" s="504" t="s">
        <v>1361</v>
      </c>
      <c r="J39" s="504"/>
      <c r="K39" s="504"/>
      <c r="L39" s="504"/>
      <c r="M39" s="504"/>
      <c r="N39" s="504"/>
      <c r="O39" s="504"/>
      <c r="P39" s="504"/>
      <c r="Q39" s="504"/>
      <c r="R39" s="504"/>
      <c r="S39" s="504"/>
      <c r="T39" s="381" t="b" cm="1">
        <f t="array" ref="T39">T38</f>
        <v>0</v>
      </c>
      <c r="X39" s="1841"/>
      <c r="Z39" s="1842"/>
      <c r="AB39" s="721" t="s">
        <v>1566</v>
      </c>
      <c r="AC39" s="722" t="s">
        <v>1567</v>
      </c>
      <c r="AD39" s="673" t="s">
        <v>766</v>
      </c>
      <c r="AE39" s="716">
        <f ca="1">SUMIFS(Покупка!AE$25:AE$90,Покупка!$F$25:$F$90,$F39,Покупка!$AC$25:$AC$90,$G39)</f>
        <v>0</v>
      </c>
      <c r="AF39" s="716">
        <f ca="1">SUMIFS(Покупка!AF$25:AF$90,Покупка!$F$25:$F$90,$F39,Покупка!$AC$25:$AC$90,$G39)</f>
        <v>0</v>
      </c>
      <c r="AG39" s="716">
        <f ca="1">SUMIFS(Покупка!AG$25:AG$90,Покупка!$F$25:$F$90,$F39,Покупка!$AC$25:$AC$90,$G39)</f>
        <v>0</v>
      </c>
      <c r="AH39" s="716">
        <f t="shared" ca="1" si="1"/>
        <v>0</v>
      </c>
      <c r="AI39" s="716">
        <f ca="1">SUMIFS(Покупка!AH$25:AH$90,Покупка!$F$25:$F$90,$F39,Покупка!$AC$25:$AC$90,$G39)</f>
        <v>0</v>
      </c>
      <c r="AJ39" s="716">
        <f ca="1">SUMIFS(Покупка!AI$25:AI$90,Покупка!$F$25:$F$90,$F39,Покупка!$AC$25:$AC$90,$G39)</f>
        <v>0</v>
      </c>
      <c r="AK39" s="716">
        <f ca="1">SUMIFS(Покупка!AS$25:AS$90,Покупка!$F$25:$F$90,$F39,Покупка!$AC$25:$AC$90,$G39)</f>
        <v>0</v>
      </c>
      <c r="AL39" s="716">
        <f t="shared" ca="1" si="2"/>
        <v>0</v>
      </c>
      <c r="AM39" s="1438"/>
      <c r="AN39" s="1439" t="str">
        <f ca="1">IF(IFERROR(INDEX(Покупка!$K$26:$L$90,MATCH($F39&amp;"2komm",Покупка!$K$26:$K$90,0),2),"")=0,"",IFERROR(INDEX(Покупка!$K$26:$L$90,MATCH($F39&amp;"2komm",Покупка!$K$26:$K$90,0),2),""))</f>
        <v/>
      </c>
      <c r="AO39" s="1438"/>
      <c r="AR39" s="964" t="s">
        <v>1568</v>
      </c>
    </row>
    <row r="40" spans="5:48" ht="14.65" hidden="1" customHeight="1">
      <c r="E40" s="612">
        <v>15</v>
      </c>
      <c r="F40" s="3" cm="1">
        <f t="array" aca="1" ref="F40" ca="1">OFFSET(E40,-1,1)</f>
        <v>0</v>
      </c>
      <c r="G40" s="494" t="s">
        <v>980</v>
      </c>
      <c r="I40" s="504" t="s">
        <v>1370</v>
      </c>
      <c r="J40" s="504"/>
      <c r="K40" s="504"/>
      <c r="L40" s="504"/>
      <c r="M40" s="504"/>
      <c r="N40" s="504"/>
      <c r="O40" s="504"/>
      <c r="P40" s="504"/>
      <c r="Q40" s="504"/>
      <c r="R40" s="504"/>
      <c r="S40" s="504"/>
      <c r="T40" s="381" t="b" cm="1">
        <f t="array" ref="T40">T39</f>
        <v>0</v>
      </c>
      <c r="X40" s="1841"/>
      <c r="Z40" s="1842"/>
      <c r="AB40" s="721" t="s">
        <v>1569</v>
      </c>
      <c r="AC40" s="722" t="s">
        <v>1570</v>
      </c>
      <c r="AD40" s="673" t="s">
        <v>766</v>
      </c>
      <c r="AE40" s="716">
        <f ca="1">SUMIFS(Покупка!AE$25:AE$90,Покупка!$F$25:$F$90,$F40,Покупка!$AC$25:$AC$90,$G40)</f>
        <v>0</v>
      </c>
      <c r="AF40" s="716">
        <f ca="1">SUMIFS(Покупка!AF$25:AF$90,Покупка!$F$25:$F$90,$F40,Покупка!$AC$25:$AC$90,$G40)</f>
        <v>0</v>
      </c>
      <c r="AG40" s="716">
        <f ca="1">SUMIFS(Покупка!AG$25:AG$90,Покупка!$F$25:$F$90,$F40,Покупка!$AC$25:$AC$90,$G40)</f>
        <v>0</v>
      </c>
      <c r="AH40" s="716">
        <f t="shared" ca="1" si="1"/>
        <v>0</v>
      </c>
      <c r="AI40" s="716">
        <f ca="1">SUMIFS(Покупка!AH$25:AH$90,Покупка!$F$25:$F$90,$F40,Покупка!$AC$25:$AC$90,$G40)</f>
        <v>0</v>
      </c>
      <c r="AJ40" s="716">
        <f ca="1">SUMIFS(Покупка!AI$25:AI$90,Покупка!$F$25:$F$90,$F40,Покупка!$AC$25:$AC$90,$G40)</f>
        <v>0</v>
      </c>
      <c r="AK40" s="716">
        <f ca="1">SUMIFS(Покупка!AS$25:AS$90,Покупка!$F$25:$F$90,$F40,Покупка!$AC$25:$AC$90,$G40)</f>
        <v>0</v>
      </c>
      <c r="AL40" s="716">
        <f t="shared" ca="1" si="2"/>
        <v>0</v>
      </c>
      <c r="AM40" s="1438"/>
      <c r="AN40" s="1439" t="str">
        <f ca="1">IF(IFERROR(INDEX(Покупка!$K$26:$L$90,MATCH($F40&amp;"3komm",Покупка!$K$26:$K$90,0),2),"")=0,"",IFERROR(INDEX(Покупка!$K$26:$L$90,MATCH($F40&amp;"3komm",Покупка!$K$26:$K$90,0),2),""))</f>
        <v/>
      </c>
      <c r="AO40" s="1438"/>
      <c r="AR40" s="964" t="s">
        <v>1571</v>
      </c>
    </row>
    <row r="41" spans="5:48" ht="14.65" hidden="1" customHeight="1">
      <c r="E41" s="612">
        <v>15</v>
      </c>
      <c r="F41" s="3" cm="1">
        <f t="array" aca="1" ref="F41" ca="1">OFFSET(E41,-1,1)</f>
        <v>0</v>
      </c>
      <c r="G41" s="494" t="s">
        <v>986</v>
      </c>
      <c r="I41" s="504" t="s">
        <v>1375</v>
      </c>
      <c r="J41" s="504"/>
      <c r="K41" s="504"/>
      <c r="L41" s="504"/>
      <c r="M41" s="504"/>
      <c r="N41" s="504"/>
      <c r="O41" s="504"/>
      <c r="P41" s="504"/>
      <c r="Q41" s="504"/>
      <c r="R41" s="504"/>
      <c r="S41" s="504"/>
      <c r="T41" s="381" t="b" cm="1">
        <f t="array" ref="T41">T40</f>
        <v>0</v>
      </c>
      <c r="X41" s="1841"/>
      <c r="Z41" s="1842"/>
      <c r="AB41" s="721" t="s">
        <v>1572</v>
      </c>
      <c r="AC41" s="722" t="s">
        <v>1573</v>
      </c>
      <c r="AD41" s="673" t="s">
        <v>766</v>
      </c>
      <c r="AE41" s="716">
        <f ca="1">SUMIFS(Покупка!AE$25:AE$90,Покупка!$F$25:$F$90,$F41,Покупка!$AC$25:$AC$90,$G41)</f>
        <v>0</v>
      </c>
      <c r="AF41" s="716">
        <f ca="1">SUMIFS(Покупка!AF$25:AF$90,Покупка!$F$25:$F$90,$F41,Покупка!$AC$25:$AC$90,$G41)</f>
        <v>0</v>
      </c>
      <c r="AG41" s="716">
        <f ca="1">SUMIFS(Покупка!AG$25:AG$90,Покупка!$F$25:$F$90,$F41,Покупка!$AC$25:$AC$90,$G41)</f>
        <v>0</v>
      </c>
      <c r="AH41" s="716">
        <f t="shared" ca="1" si="1"/>
        <v>0</v>
      </c>
      <c r="AI41" s="716">
        <f ca="1">SUMIFS(Покупка!AH$25:AH$90,Покупка!$F$25:$F$90,$F41,Покупка!$AC$25:$AC$90,$G41)</f>
        <v>0</v>
      </c>
      <c r="AJ41" s="716">
        <f ca="1">SUMIFS(Покупка!AI$25:AI$90,Покупка!$F$25:$F$90,$F41,Покупка!$AC$25:$AC$90,$G41)</f>
        <v>0</v>
      </c>
      <c r="AK41" s="716">
        <f ca="1">SUMIFS(Покупка!AS$25:AS$90,Покупка!$F$25:$F$90,$F41,Покупка!$AC$25:$AC$90,$G41)</f>
        <v>0</v>
      </c>
      <c r="AL41" s="716">
        <f t="shared" ca="1" si="2"/>
        <v>0</v>
      </c>
      <c r="AM41" s="1438"/>
      <c r="AN41" s="1439" t="str">
        <f ca="1">IF(IFERROR(INDEX(Покупка!$K$26:$L$90,MATCH($F41&amp;"4komm",Покупка!$K$26:$K$90,0),2),"")=0,"",IFERROR(INDEX(Покупка!$K$26:$L$90,MATCH($F41&amp;"4komm",Покупка!$K$26:$K$90,0),2),""))</f>
        <v/>
      </c>
      <c r="AO41" s="1438"/>
      <c r="AR41" s="964" t="s">
        <v>1574</v>
      </c>
    </row>
    <row r="42" spans="5:48" ht="14.65" hidden="1" customHeight="1">
      <c r="E42" s="612">
        <v>15</v>
      </c>
      <c r="F42" s="3" cm="1">
        <f t="array" aca="1" ref="F42" ca="1">OFFSET(E42,-1,1)</f>
        <v>0</v>
      </c>
      <c r="G42" s="494" t="s">
        <v>992</v>
      </c>
      <c r="I42" s="504" t="s">
        <v>1385</v>
      </c>
      <c r="J42" s="504"/>
      <c r="K42" s="504"/>
      <c r="L42" s="504"/>
      <c r="M42" s="504"/>
      <c r="N42" s="504"/>
      <c r="O42" s="504"/>
      <c r="P42" s="504"/>
      <c r="Q42" s="504"/>
      <c r="R42" s="504"/>
      <c r="S42" s="504"/>
      <c r="T42" s="381" t="b" cm="1">
        <f t="array" ref="T42">T41</f>
        <v>0</v>
      </c>
      <c r="X42" s="1841"/>
      <c r="Z42" s="1842"/>
      <c r="AB42" s="721" t="s">
        <v>1575</v>
      </c>
      <c r="AC42" s="722" t="s">
        <v>1576</v>
      </c>
      <c r="AD42" s="673" t="s">
        <v>766</v>
      </c>
      <c r="AE42" s="716">
        <f ca="1">SUMIFS(Покупка!AE$25:AE$90,Покупка!$F$25:$F$90,$F42,Покупка!$AC$25:$AC$90,$G42)</f>
        <v>0</v>
      </c>
      <c r="AF42" s="716">
        <f ca="1">SUMIFS(Покупка!AF$25:AF$90,Покупка!$F$25:$F$90,$F42,Покупка!$AC$25:$AC$90,$G42)</f>
        <v>0</v>
      </c>
      <c r="AG42" s="716">
        <f ca="1">SUMIFS(Покупка!AG$25:AG$90,Покупка!$F$25:$F$90,$F42,Покупка!$AC$25:$AC$90,$G42)</f>
        <v>0</v>
      </c>
      <c r="AH42" s="716">
        <f t="shared" ca="1" si="1"/>
        <v>0</v>
      </c>
      <c r="AI42" s="716">
        <f ca="1">SUMIFS(Покупка!AH$25:AH$90,Покупка!$F$25:$F$90,$F42,Покупка!$AC$25:$AC$90,$G42)</f>
        <v>0</v>
      </c>
      <c r="AJ42" s="716">
        <f ca="1">SUMIFS(Покупка!AI$25:AI$90,Покупка!$F$25:$F$90,$F42,Покупка!$AC$25:$AC$90,$G42)</f>
        <v>0</v>
      </c>
      <c r="AK42" s="716">
        <f ca="1">SUMIFS(Покупка!AS$25:AS$90,Покупка!$F$25:$F$90,$F42,Покупка!$AC$25:$AC$90,$G42)</f>
        <v>0</v>
      </c>
      <c r="AL42" s="716">
        <f t="shared" ca="1" si="2"/>
        <v>0</v>
      </c>
      <c r="AM42" s="1438"/>
      <c r="AN42" s="1439" t="str">
        <f ca="1">IF(IFERROR(INDEX(Покупка!$K$26:$L$90,MATCH($F42&amp;"5komm",Покупка!$K$26:$K$90,0),2),"")=0,"",IFERROR(INDEX(Покупка!$K$26:$L$90,MATCH($F42&amp;"5komm",Покупка!$K$26:$K$90,0),2),""))</f>
        <v/>
      </c>
      <c r="AO42" s="1438"/>
      <c r="AR42" s="964" t="s">
        <v>1577</v>
      </c>
    </row>
    <row r="43" spans="5:48" s="505" customFormat="1" ht="43.9" hidden="1" customHeight="1">
      <c r="E43" s="614">
        <v>45</v>
      </c>
      <c r="F43" s="3" cm="1">
        <f t="array" aca="1" ref="F43" ca="1">OFFSET(E43,-1,1)</f>
        <v>0</v>
      </c>
      <c r="I43" s="615" t="s">
        <v>434</v>
      </c>
      <c r="J43" s="615"/>
      <c r="K43" s="615"/>
      <c r="L43" s="615"/>
      <c r="M43" s="615"/>
      <c r="N43" s="615"/>
      <c r="O43" s="615"/>
      <c r="P43" s="615"/>
      <c r="Q43" s="615"/>
      <c r="R43" s="615"/>
      <c r="S43" s="615"/>
      <c r="T43" s="381" t="b" cm="1">
        <f t="array" ref="T43">T42</f>
        <v>0</v>
      </c>
      <c r="X43" s="1841"/>
      <c r="Z43" s="1842"/>
      <c r="AB43" s="718" t="s">
        <v>827</v>
      </c>
      <c r="AC43" s="719" t="s">
        <v>1578</v>
      </c>
      <c r="AD43" s="507" t="s">
        <v>766</v>
      </c>
      <c r="AE43" s="724"/>
      <c r="AF43" s="724"/>
      <c r="AG43" s="724"/>
      <c r="AH43" s="715">
        <f t="shared" si="1"/>
        <v>0</v>
      </c>
      <c r="AI43" s="724"/>
      <c r="AJ43" s="1442"/>
      <c r="AK43" s="1442"/>
      <c r="AL43" s="715">
        <f t="shared" si="2"/>
        <v>0</v>
      </c>
      <c r="AM43" s="1440"/>
      <c r="AN43" s="1440"/>
      <c r="AO43" s="1440"/>
      <c r="AR43" s="965" t="s">
        <v>1579</v>
      </c>
      <c r="AS43" s="965"/>
      <c r="AT43" s="965"/>
      <c r="AU43" s="614"/>
      <c r="AV43" s="614"/>
    </row>
    <row r="44" spans="5:48" s="505" customFormat="1" ht="43.9" hidden="1" customHeight="1">
      <c r="E44" s="614">
        <v>45</v>
      </c>
      <c r="F44" s="3" cm="1">
        <f t="array" aca="1" ref="F44" ca="1">OFFSET(E44,-1,1)</f>
        <v>0</v>
      </c>
      <c r="I44" s="615" t="s">
        <v>438</v>
      </c>
      <c r="J44" s="615"/>
      <c r="K44" s="615"/>
      <c r="L44" s="615"/>
      <c r="M44" s="615"/>
      <c r="N44" s="615"/>
      <c r="O44" s="615"/>
      <c r="P44" s="615"/>
      <c r="Q44" s="615"/>
      <c r="R44" s="615"/>
      <c r="S44" s="615"/>
      <c r="T44" s="381" t="b" cm="1">
        <f t="array" ref="T44">T43</f>
        <v>0</v>
      </c>
      <c r="X44" s="1841"/>
      <c r="Z44" s="1842"/>
      <c r="AB44" s="718" t="s">
        <v>830</v>
      </c>
      <c r="AC44" s="719" t="s">
        <v>1580</v>
      </c>
      <c r="AD44" s="507" t="s">
        <v>766</v>
      </c>
      <c r="AE44" s="715">
        <f ca="1">AE45+AE46</f>
        <v>0</v>
      </c>
      <c r="AF44" s="715">
        <f ca="1">AF45+AF46</f>
        <v>0</v>
      </c>
      <c r="AG44" s="715">
        <f ca="1">AG45+AG46</f>
        <v>0</v>
      </c>
      <c r="AH44" s="715">
        <f t="shared" ca="1" si="1"/>
        <v>0</v>
      </c>
      <c r="AI44" s="715">
        <f ca="1">AI45+AI46</f>
        <v>0</v>
      </c>
      <c r="AJ44" s="715">
        <f ca="1">AJ45+AJ46</f>
        <v>0</v>
      </c>
      <c r="AK44" s="715">
        <f ca="1">AK45+AK46</f>
        <v>0</v>
      </c>
      <c r="AL44" s="715">
        <f t="shared" ca="1" si="2"/>
        <v>0</v>
      </c>
      <c r="AM44" s="1440"/>
      <c r="AN44" s="1440"/>
      <c r="AO44" s="1440"/>
      <c r="AR44" s="965" t="s">
        <v>1581</v>
      </c>
      <c r="AS44" s="965"/>
      <c r="AT44" s="965"/>
      <c r="AU44" s="614"/>
      <c r="AV44" s="614"/>
    </row>
    <row r="45" spans="5:48" ht="14.65" hidden="1" customHeight="1">
      <c r="E45" s="612">
        <v>15</v>
      </c>
      <c r="F45" s="3" cm="1">
        <f t="array" aca="1" ref="F45" ca="1">OFFSET(E45,-1,1)</f>
        <v>0</v>
      </c>
      <c r="G45" s="616" t="s">
        <v>1011</v>
      </c>
      <c r="I45" s="504" t="s">
        <v>1213</v>
      </c>
      <c r="J45" s="504"/>
      <c r="K45" s="504"/>
      <c r="L45" s="504"/>
      <c r="M45" s="504"/>
      <c r="N45" s="504"/>
      <c r="O45" s="504"/>
      <c r="P45" s="615"/>
      <c r="Q45" s="504"/>
      <c r="R45" s="504"/>
      <c r="S45" s="504"/>
      <c r="T45" s="381" t="b" cm="1">
        <f t="array" ref="T45">T44</f>
        <v>0</v>
      </c>
      <c r="X45" s="1841"/>
      <c r="Z45" s="1842"/>
      <c r="AB45" s="721" t="s">
        <v>941</v>
      </c>
      <c r="AC45" s="722" t="s">
        <v>1582</v>
      </c>
      <c r="AD45" s="673" t="s">
        <v>766</v>
      </c>
      <c r="AE45" s="716">
        <f ca="1">SUMIFS(ФОТ!AE$25:AE$77,ФОТ!$F$25:$F$77,$F45,ФОТ!$G$25:$G$77,$G45)</f>
        <v>0</v>
      </c>
      <c r="AF45" s="716">
        <f ca="1">SUMIFS(ФОТ!AF$25:AF$77,ФОТ!$F$25:$F$77,$F45,ФОТ!$G$25:$G$77,$G45)</f>
        <v>0</v>
      </c>
      <c r="AG45" s="716">
        <f ca="1">SUMIFS(ФОТ!AG$25:AG$77,ФОТ!$F$25:$F$77,$F45,ФОТ!$G$25:$G$77,$G45)</f>
        <v>0</v>
      </c>
      <c r="AH45" s="716">
        <f t="shared" ca="1" si="1"/>
        <v>0</v>
      </c>
      <c r="AI45" s="716">
        <f ca="1">SUMIFS(ФОТ!AH$25:AH$77,ФОТ!$F$25:$F$77,$F45,ФОТ!$G$25:$G$77,$G45)</f>
        <v>0</v>
      </c>
      <c r="AJ45" s="716">
        <f ca="1">SUMIFS(ФОТ!AI$25:AI$77,ФОТ!$F$25:$F$77,$F45,ФОТ!$G$25:$G$77,$G45)</f>
        <v>0</v>
      </c>
      <c r="AK45" s="716">
        <f ca="1">SUMIFS(ФОТ!AJ$25:AJ$77,ФОТ!$F$25:$F$77,$F45,ФОТ!$G$25:$G$77,$G45)</f>
        <v>0</v>
      </c>
      <c r="AL45" s="716">
        <f t="shared" ca="1" si="2"/>
        <v>0</v>
      </c>
      <c r="AM45" s="1438"/>
      <c r="AN45" s="1439" t="str">
        <f ca="1">IF(IFERROR(INDEX(ФОТ!$K$26:$L$77,MATCH($F45&amp;"1komm",ФОТ!$K$26:$K$77,0),2),"")=0,"",IFERROR(INDEX(ФОТ!$K$26:$L$77,MATCH($F45&amp;"1komm",ФОТ!$K$26:$K$77,0),2),""))</f>
        <v/>
      </c>
      <c r="AO45" s="1438"/>
      <c r="AR45" s="964" t="s">
        <v>1583</v>
      </c>
    </row>
    <row r="46" spans="5:48" ht="21.95" hidden="1" customHeight="1">
      <c r="E46" s="612">
        <v>22.5</v>
      </c>
      <c r="F46" s="3" cm="1">
        <f t="array" aca="1" ref="F46" ca="1">OFFSET(E46,-1,1)</f>
        <v>0</v>
      </c>
      <c r="G46" s="616" t="s">
        <v>1023</v>
      </c>
      <c r="I46" s="504" t="s">
        <v>1214</v>
      </c>
      <c r="J46" s="504"/>
      <c r="K46" s="504"/>
      <c r="L46" s="504"/>
      <c r="M46" s="504"/>
      <c r="N46" s="504"/>
      <c r="O46" s="504"/>
      <c r="P46" s="615"/>
      <c r="Q46" s="504"/>
      <c r="R46" s="504"/>
      <c r="S46" s="504"/>
      <c r="T46" s="381" t="b" cm="1">
        <f t="array" ref="T46">T45</f>
        <v>0</v>
      </c>
      <c r="X46" s="1841"/>
      <c r="Z46" s="1842"/>
      <c r="AB46" s="721" t="s">
        <v>944</v>
      </c>
      <c r="AC46" s="722" t="s">
        <v>1584</v>
      </c>
      <c r="AD46" s="673" t="s">
        <v>766</v>
      </c>
      <c r="AE46" s="716">
        <f ca="1">SUMIFS(ФОТ!AE$25:AE$77,ФОТ!$F$25:$F$77,$F46,ФОТ!$G$25:$G$77,$G46)</f>
        <v>0</v>
      </c>
      <c r="AF46" s="716">
        <f ca="1">SUMIFS(ФОТ!AF$25:AF$77,ФОТ!$F$25:$F$77,$F46,ФОТ!$G$25:$G$77,$G46)</f>
        <v>0</v>
      </c>
      <c r="AG46" s="716">
        <f ca="1">SUMIFS(ФОТ!AG$25:AG$77,ФОТ!$F$25:$F$77,$F46,ФОТ!$G$25:$G$77,$G46)</f>
        <v>0</v>
      </c>
      <c r="AH46" s="716">
        <f t="shared" ca="1" si="1"/>
        <v>0</v>
      </c>
      <c r="AI46" s="716">
        <f ca="1">SUMIFS(ФОТ!AH$25:AH$77,ФОТ!$F$25:$F$77,$F46,ФОТ!$G$25:$G$77,$G46)</f>
        <v>0</v>
      </c>
      <c r="AJ46" s="716">
        <f ca="1">SUMIFS(ФОТ!AI$25:AI$77,ФОТ!$F$25:$F$77,$F46,ФОТ!$G$25:$G$77,$G46)</f>
        <v>0</v>
      </c>
      <c r="AK46" s="716">
        <f ca="1">SUMIFS(ФОТ!AJ$25:AJ$77,ФОТ!$F$25:$F$77,$F46,ФОТ!$G$25:$G$77,$G46)</f>
        <v>0</v>
      </c>
      <c r="AL46" s="716">
        <f t="shared" ca="1" si="2"/>
        <v>0</v>
      </c>
      <c r="AM46" s="1438"/>
      <c r="AN46" s="1439" t="str">
        <f ca="1">IF(IFERROR(INDEX(ФОТ!$K$26:$L$77,MATCH($F46&amp;"2komm",ФОТ!$K$26:$K$77,0),2),"")=0,"",IFERROR(INDEX(ФОТ!$K$26:$L$77,MATCH($F46&amp;"2komm",ФОТ!$K$26:$K$77,0),2),""))</f>
        <v/>
      </c>
      <c r="AO46" s="1438"/>
      <c r="AR46" s="964" t="s">
        <v>1585</v>
      </c>
    </row>
    <row r="47" spans="5:48" s="505" customFormat="1" ht="14.65" hidden="1" customHeight="1">
      <c r="E47" s="614">
        <v>15</v>
      </c>
      <c r="F47" s="3" cm="1">
        <f t="array" aca="1" ref="F47" ca="1">OFFSET(E47,-1,1)</f>
        <v>0</v>
      </c>
      <c r="I47" s="615" t="s">
        <v>833</v>
      </c>
      <c r="J47" s="615"/>
      <c r="K47" s="615"/>
      <c r="L47" s="615"/>
      <c r="M47" s="615"/>
      <c r="N47" s="615"/>
      <c r="O47" s="615"/>
      <c r="P47" s="615"/>
      <c r="Q47" s="615"/>
      <c r="R47" s="615"/>
      <c r="S47" s="615"/>
      <c r="T47" s="381" t="b" cm="1">
        <f t="array" ref="T47">T46</f>
        <v>0</v>
      </c>
      <c r="X47" s="1841"/>
      <c r="Z47" s="1842"/>
      <c r="AB47" s="718" t="s">
        <v>834</v>
      </c>
      <c r="AC47" s="719" t="s">
        <v>1586</v>
      </c>
      <c r="AD47" s="507" t="s">
        <v>766</v>
      </c>
      <c r="AE47" s="724"/>
      <c r="AF47" s="724"/>
      <c r="AG47" s="724"/>
      <c r="AH47" s="715">
        <f t="shared" si="1"/>
        <v>0</v>
      </c>
      <c r="AI47" s="724"/>
      <c r="AJ47" s="1442"/>
      <c r="AK47" s="1442"/>
      <c r="AL47" s="715">
        <f t="shared" si="2"/>
        <v>0</v>
      </c>
      <c r="AM47" s="1440"/>
      <c r="AN47" s="1440"/>
      <c r="AO47" s="1440"/>
      <c r="AR47" s="965" t="s">
        <v>1192</v>
      </c>
      <c r="AS47" s="965"/>
      <c r="AT47" s="965"/>
      <c r="AU47" s="614"/>
      <c r="AV47" s="614"/>
    </row>
    <row r="48" spans="5:48" s="505" customFormat="1" ht="14.65" hidden="1" customHeight="1">
      <c r="E48" s="614">
        <v>15</v>
      </c>
      <c r="F48" s="3" cm="1">
        <f t="array" aca="1" ref="F48" ca="1">OFFSET(E48,-1,1)</f>
        <v>0</v>
      </c>
      <c r="I48" s="615" t="s">
        <v>1587</v>
      </c>
      <c r="J48" s="615"/>
      <c r="K48" s="615"/>
      <c r="L48" s="615"/>
      <c r="M48" s="615"/>
      <c r="N48" s="615"/>
      <c r="O48" s="615"/>
      <c r="P48" s="615"/>
      <c r="Q48" s="615"/>
      <c r="R48" s="615"/>
      <c r="S48" s="615"/>
      <c r="T48" s="381" t="b" cm="1">
        <f t="array" ref="T48">T47</f>
        <v>0</v>
      </c>
      <c r="X48" s="1841"/>
      <c r="Z48" s="1842"/>
      <c r="AB48" s="718" t="s">
        <v>1588</v>
      </c>
      <c r="AC48" s="719" t="s">
        <v>1589</v>
      </c>
      <c r="AD48" s="507" t="s">
        <v>766</v>
      </c>
      <c r="AE48" s="724"/>
      <c r="AF48" s="724"/>
      <c r="AG48" s="724"/>
      <c r="AH48" s="715">
        <f t="shared" si="1"/>
        <v>0</v>
      </c>
      <c r="AI48" s="724"/>
      <c r="AJ48" s="1442"/>
      <c r="AK48" s="1442"/>
      <c r="AL48" s="715">
        <f t="shared" si="2"/>
        <v>0</v>
      </c>
      <c r="AM48" s="1440"/>
      <c r="AN48" s="1440"/>
      <c r="AO48" s="1440"/>
      <c r="AR48" s="965" t="s">
        <v>1590</v>
      </c>
      <c r="AS48" s="965"/>
      <c r="AT48" s="965"/>
      <c r="AU48" s="614"/>
      <c r="AV48" s="614"/>
    </row>
    <row r="49" spans="5:48" s="505" customFormat="1" ht="14.65" hidden="1" customHeight="1">
      <c r="E49" s="614">
        <v>15</v>
      </c>
      <c r="F49" s="3" cm="1">
        <f t="array" aca="1" ref="F49" ca="1">OFFSET(E49,-1,1)</f>
        <v>0</v>
      </c>
      <c r="I49" s="615" t="s">
        <v>1591</v>
      </c>
      <c r="J49" s="615"/>
      <c r="K49" s="615"/>
      <c r="L49" s="615"/>
      <c r="M49" s="615"/>
      <c r="N49" s="615"/>
      <c r="O49" s="615"/>
      <c r="P49" s="615"/>
      <c r="Q49" s="615"/>
      <c r="R49" s="615"/>
      <c r="S49" s="615"/>
      <c r="T49" s="381" t="b" cm="1">
        <f t="array" ref="T49">T48</f>
        <v>0</v>
      </c>
      <c r="X49" s="1841"/>
      <c r="Z49" s="1842"/>
      <c r="AB49" s="718" t="s">
        <v>1592</v>
      </c>
      <c r="AC49" s="719" t="s">
        <v>1593</v>
      </c>
      <c r="AD49" s="507" t="s">
        <v>766</v>
      </c>
      <c r="AE49" s="715">
        <f>SUM(AE50:AE55)</f>
        <v>0</v>
      </c>
      <c r="AF49" s="715">
        <f>SUM(AF50:AF55)</f>
        <v>0</v>
      </c>
      <c r="AG49" s="715">
        <f>SUM(AG50:AG55)</f>
        <v>0</v>
      </c>
      <c r="AH49" s="715">
        <f t="shared" si="1"/>
        <v>0</v>
      </c>
      <c r="AI49" s="715">
        <f>SUM(AI50:AI55)</f>
        <v>0</v>
      </c>
      <c r="AJ49" s="715">
        <f>SUM(AJ50:AJ55)</f>
        <v>0</v>
      </c>
      <c r="AK49" s="715">
        <f>SUM(AK50:AK55)</f>
        <v>0</v>
      </c>
      <c r="AL49" s="715">
        <f t="shared" si="2"/>
        <v>0</v>
      </c>
      <c r="AM49" s="1440"/>
      <c r="AN49" s="1440"/>
      <c r="AO49" s="1440"/>
      <c r="AR49" s="965" t="s">
        <v>1594</v>
      </c>
      <c r="AS49" s="965"/>
      <c r="AT49" s="965"/>
      <c r="AU49" s="614"/>
      <c r="AV49" s="614"/>
    </row>
    <row r="50" spans="5:48" ht="14.65" hidden="1" customHeight="1">
      <c r="E50" s="612">
        <v>15</v>
      </c>
      <c r="F50" s="3" cm="1">
        <f t="array" aca="1" ref="F50" ca="1">OFFSET(E50,-1,1)</f>
        <v>0</v>
      </c>
      <c r="I50" s="504" t="s">
        <v>1591</v>
      </c>
      <c r="J50" s="888" t="s">
        <v>1595</v>
      </c>
      <c r="L50" s="504"/>
      <c r="M50" s="504"/>
      <c r="N50" s="504"/>
      <c r="O50" s="504"/>
      <c r="P50" s="504"/>
      <c r="Q50" s="504"/>
      <c r="R50" s="504"/>
      <c r="S50" s="504"/>
      <c r="T50" s="381" t="b" cm="1">
        <f t="array" ref="T50">T49</f>
        <v>0</v>
      </c>
      <c r="X50" s="1841"/>
      <c r="Z50" s="1842"/>
      <c r="AB50" s="721" t="s">
        <v>1596</v>
      </c>
      <c r="AC50" s="722" t="s">
        <v>1597</v>
      </c>
      <c r="AD50" s="673" t="s">
        <v>766</v>
      </c>
      <c r="AE50" s="723"/>
      <c r="AF50" s="723"/>
      <c r="AG50" s="723"/>
      <c r="AH50" s="716">
        <f t="shared" si="1"/>
        <v>0</v>
      </c>
      <c r="AI50" s="723"/>
      <c r="AJ50" s="1441"/>
      <c r="AK50" s="1441"/>
      <c r="AL50" s="716">
        <f t="shared" si="2"/>
        <v>0</v>
      </c>
      <c r="AM50" s="1438"/>
      <c r="AN50" s="1438"/>
      <c r="AO50" s="1438"/>
      <c r="AR50" s="964" t="s">
        <v>1598</v>
      </c>
    </row>
    <row r="51" spans="5:48" ht="14.65" hidden="1" customHeight="1">
      <c r="E51" s="612">
        <v>15</v>
      </c>
      <c r="F51" s="3" cm="1">
        <f t="array" aca="1" ref="F51" ca="1">OFFSET(E51,-1,1)</f>
        <v>0</v>
      </c>
      <c r="I51" s="504" t="s">
        <v>1591</v>
      </c>
      <c r="J51" s="888" t="s">
        <v>1599</v>
      </c>
      <c r="L51" s="504"/>
      <c r="M51" s="504"/>
      <c r="N51" s="504"/>
      <c r="O51" s="504"/>
      <c r="P51" s="504"/>
      <c r="Q51" s="504"/>
      <c r="R51" s="504"/>
      <c r="S51" s="504"/>
      <c r="T51" s="381" t="b" cm="1">
        <f t="array" ref="T51">T50</f>
        <v>0</v>
      </c>
      <c r="X51" s="1841"/>
      <c r="Z51" s="1842"/>
      <c r="AB51" s="721" t="s">
        <v>1600</v>
      </c>
      <c r="AC51" s="722" t="s">
        <v>1601</v>
      </c>
      <c r="AD51" s="673" t="s">
        <v>766</v>
      </c>
      <c r="AE51" s="723"/>
      <c r="AF51" s="723"/>
      <c r="AG51" s="723"/>
      <c r="AH51" s="716">
        <f t="shared" si="1"/>
        <v>0</v>
      </c>
      <c r="AI51" s="723"/>
      <c r="AJ51" s="1441"/>
      <c r="AK51" s="1441"/>
      <c r="AL51" s="716">
        <f t="shared" si="2"/>
        <v>0</v>
      </c>
      <c r="AM51" s="1438"/>
      <c r="AN51" s="1438"/>
      <c r="AO51" s="1438"/>
      <c r="AR51" s="964" t="s">
        <v>1602</v>
      </c>
    </row>
    <row r="52" spans="5:48" ht="14.65" hidden="1" customHeight="1">
      <c r="E52" s="612">
        <v>15</v>
      </c>
      <c r="F52" s="3" cm="1">
        <f t="array" aca="1" ref="F52" ca="1">OFFSET(E52,-1,1)</f>
        <v>0</v>
      </c>
      <c r="I52" s="504" t="s">
        <v>1591</v>
      </c>
      <c r="J52" s="888" t="s">
        <v>1603</v>
      </c>
      <c r="L52" s="504"/>
      <c r="M52" s="504"/>
      <c r="N52" s="504"/>
      <c r="O52" s="504"/>
      <c r="P52" s="504"/>
      <c r="Q52" s="504"/>
      <c r="R52" s="504"/>
      <c r="S52" s="504"/>
      <c r="T52" s="381" t="b" cm="1">
        <f t="array" ref="T52">T51</f>
        <v>0</v>
      </c>
      <c r="X52" s="1841"/>
      <c r="Z52" s="1842"/>
      <c r="AB52" s="721" t="s">
        <v>1604</v>
      </c>
      <c r="AC52" s="722" t="s">
        <v>1605</v>
      </c>
      <c r="AD52" s="673" t="s">
        <v>766</v>
      </c>
      <c r="AE52" s="723"/>
      <c r="AF52" s="723"/>
      <c r="AG52" s="723"/>
      <c r="AH52" s="716">
        <f t="shared" si="1"/>
        <v>0</v>
      </c>
      <c r="AI52" s="723"/>
      <c r="AJ52" s="1441"/>
      <c r="AK52" s="1441"/>
      <c r="AL52" s="716">
        <f t="shared" si="2"/>
        <v>0</v>
      </c>
      <c r="AM52" s="1438"/>
      <c r="AN52" s="1438"/>
      <c r="AO52" s="1438"/>
      <c r="AR52" s="964" t="s">
        <v>1606</v>
      </c>
    </row>
    <row r="53" spans="5:48" ht="14.65" hidden="1" customHeight="1">
      <c r="E53" s="612">
        <v>15</v>
      </c>
      <c r="F53" s="3" cm="1">
        <f t="array" aca="1" ref="F53" ca="1">OFFSET(E53,-1,1)</f>
        <v>0</v>
      </c>
      <c r="I53" s="504" t="s">
        <v>1591</v>
      </c>
      <c r="J53" s="888" t="s">
        <v>1607</v>
      </c>
      <c r="L53" s="504"/>
      <c r="M53" s="504"/>
      <c r="N53" s="504"/>
      <c r="O53" s="504"/>
      <c r="P53" s="504"/>
      <c r="Q53" s="504"/>
      <c r="R53" s="504"/>
      <c r="S53" s="504"/>
      <c r="T53" s="381" t="b" cm="1">
        <f t="array" ref="T53">T52</f>
        <v>0</v>
      </c>
      <c r="X53" s="1841"/>
      <c r="Z53" s="1842"/>
      <c r="AB53" s="721" t="s">
        <v>1608</v>
      </c>
      <c r="AC53" s="722" t="s">
        <v>1609</v>
      </c>
      <c r="AD53" s="673" t="s">
        <v>766</v>
      </c>
      <c r="AE53" s="723"/>
      <c r="AF53" s="723"/>
      <c r="AG53" s="723"/>
      <c r="AH53" s="716">
        <f t="shared" si="1"/>
        <v>0</v>
      </c>
      <c r="AI53" s="723"/>
      <c r="AJ53" s="1441"/>
      <c r="AK53" s="1441"/>
      <c r="AL53" s="716">
        <f t="shared" si="2"/>
        <v>0</v>
      </c>
      <c r="AM53" s="1438"/>
      <c r="AN53" s="1438"/>
      <c r="AO53" s="1438"/>
      <c r="AR53" s="964" t="s">
        <v>1610</v>
      </c>
    </row>
    <row r="54" spans="5:48" ht="14.65" hidden="1" customHeight="1">
      <c r="E54" s="612">
        <v>15</v>
      </c>
      <c r="F54" s="3" cm="1">
        <f t="array" aca="1" ref="F54" ca="1">OFFSET(E54,-1,1)</f>
        <v>0</v>
      </c>
      <c r="I54" s="504" t="s">
        <v>1591</v>
      </c>
      <c r="J54" s="494" cm="1">
        <f t="array" ref="J54">AC54</f>
        <v>0</v>
      </c>
      <c r="L54" s="504"/>
      <c r="M54" s="504"/>
      <c r="N54" s="504"/>
      <c r="O54" s="504"/>
      <c r="P54" s="504"/>
      <c r="Q54" s="504"/>
      <c r="R54" s="504"/>
      <c r="S54" s="504"/>
      <c r="T54" s="381" t="b">
        <f ca="1">AND(F54&gt;0,Y54&gt;4)</f>
        <v>0</v>
      </c>
      <c r="W54" s="671" t="s">
        <v>173</v>
      </c>
      <c r="X54" s="1841"/>
      <c r="Y54" s="494">
        <v>4</v>
      </c>
      <c r="Z54" s="1842"/>
      <c r="AA54" s="1128" t="s">
        <v>174</v>
      </c>
      <c r="AB54" s="618" t="str">
        <f>"1.7."&amp;Y54</f>
        <v>1.7.4</v>
      </c>
      <c r="AC54" s="1443"/>
      <c r="AD54" s="673" t="s">
        <v>766</v>
      </c>
      <c r="AE54" s="723"/>
      <c r="AF54" s="723"/>
      <c r="AG54" s="723"/>
      <c r="AH54" s="716">
        <f t="shared" si="1"/>
        <v>0</v>
      </c>
      <c r="AI54" s="723"/>
      <c r="AJ54" s="1444"/>
      <c r="AK54" s="1444"/>
      <c r="AL54" s="716">
        <f t="shared" si="2"/>
        <v>0</v>
      </c>
      <c r="AM54" s="1445"/>
      <c r="AN54" s="1445"/>
      <c r="AO54" s="1445"/>
      <c r="AR54" s="964" t="s">
        <v>1611</v>
      </c>
      <c r="AS54" s="964" t="s">
        <v>1612</v>
      </c>
      <c r="AT54" s="962" cm="1">
        <f t="array" ref="AT54">AC54</f>
        <v>0</v>
      </c>
      <c r="AV54" s="612" t="b">
        <v>1</v>
      </c>
    </row>
    <row r="55" spans="5:48" ht="14.65" hidden="1" customHeight="1">
      <c r="E55" s="612">
        <v>15</v>
      </c>
      <c r="F55" s="3" cm="1">
        <f t="array" aca="1" ref="F55" ca="1">OFFSET(E55,-1,1)</f>
        <v>0</v>
      </c>
      <c r="I55" s="613"/>
      <c r="J55" s="613" t="s">
        <v>1613</v>
      </c>
      <c r="K55" s="613"/>
      <c r="L55" s="613"/>
      <c r="M55" s="613"/>
      <c r="N55" s="613"/>
      <c r="O55" s="613"/>
      <c r="P55" s="613"/>
      <c r="Q55" s="613"/>
      <c r="R55" s="613"/>
      <c r="S55" s="613"/>
      <c r="T55" s="381" t="b">
        <f ca="1">F55&gt;0</f>
        <v>0</v>
      </c>
      <c r="W55" s="743" t="s">
        <v>389</v>
      </c>
      <c r="X55" s="1841"/>
      <c r="Z55" s="1842"/>
      <c r="AB55" s="1129"/>
      <c r="AC55" s="1130" t="s">
        <v>177</v>
      </c>
      <c r="AD55" s="1131"/>
      <c r="AE55" s="1131"/>
      <c r="AF55" s="1131"/>
      <c r="AG55" s="1131"/>
      <c r="AH55" s="1131"/>
      <c r="AI55" s="1131"/>
      <c r="AJ55" s="1131"/>
      <c r="AK55" s="1131"/>
      <c r="AL55" s="1131"/>
      <c r="AM55" s="1131"/>
      <c r="AN55" s="1131"/>
      <c r="AO55" s="1132"/>
      <c r="AU55" s="961" t="s">
        <v>1612</v>
      </c>
    </row>
    <row r="56" spans="5:48" s="505" customFormat="1" ht="14.65" hidden="1" customHeight="1">
      <c r="E56" s="614">
        <v>15</v>
      </c>
      <c r="F56" s="3" cm="1">
        <f t="array" aca="1" ref="F56" ca="1">OFFSET(E56,-1,1)</f>
        <v>0</v>
      </c>
      <c r="I56" s="615" t="s">
        <v>324</v>
      </c>
      <c r="J56" s="615"/>
      <c r="K56" s="615"/>
      <c r="L56" s="615"/>
      <c r="M56" s="615"/>
      <c r="N56" s="615"/>
      <c r="O56" s="615"/>
      <c r="P56" s="615"/>
      <c r="Q56" s="615"/>
      <c r="R56" s="615"/>
      <c r="S56" s="615"/>
      <c r="T56" s="381" t="b" cm="1">
        <f t="array" aca="1" ref="T56" ca="1">T55</f>
        <v>0</v>
      </c>
      <c r="X56" s="1841"/>
      <c r="Z56" s="1842"/>
      <c r="AB56" s="718" t="s">
        <v>224</v>
      </c>
      <c r="AC56" s="714" t="s">
        <v>1614</v>
      </c>
      <c r="AD56" s="726" t="s">
        <v>766</v>
      </c>
      <c r="AE56" s="702">
        <f ca="1">AE57+AE58</f>
        <v>0</v>
      </c>
      <c r="AF56" s="702">
        <f ca="1">AF57+AF58</f>
        <v>0</v>
      </c>
      <c r="AG56" s="702">
        <f ca="1">AG57+AG58</f>
        <v>0</v>
      </c>
      <c r="AH56" s="715">
        <f t="shared" ref="AH56:AH81" ca="1" si="3">AG56-AF56</f>
        <v>0</v>
      </c>
      <c r="AI56" s="702">
        <f ca="1">AI57+AI58</f>
        <v>0</v>
      </c>
      <c r="AJ56" s="702">
        <f ca="1">AJ57+AJ58</f>
        <v>0</v>
      </c>
      <c r="AK56" s="702">
        <f ca="1">AK57+AK58</f>
        <v>0</v>
      </c>
      <c r="AL56" s="715">
        <f t="shared" ref="AL56:AL95" ca="1" si="4">IF(AI56=0,0,(AK56-AI56)/AI56*100)</f>
        <v>0</v>
      </c>
      <c r="AM56" s="1440"/>
      <c r="AN56" s="1440"/>
      <c r="AO56" s="1440"/>
      <c r="AR56" s="965" t="s">
        <v>1615</v>
      </c>
      <c r="AS56" s="965"/>
      <c r="AT56" s="965"/>
      <c r="AU56" s="614"/>
      <c r="AV56" s="614"/>
    </row>
    <row r="57" spans="5:48" ht="32.85" hidden="1" customHeight="1">
      <c r="E57" s="612">
        <v>33.75</v>
      </c>
      <c r="F57" s="3" cm="1">
        <f t="array" aca="1" ref="F57" ca="1">OFFSET(E57,-1,1)</f>
        <v>0</v>
      </c>
      <c r="I57" s="504" t="s">
        <v>445</v>
      </c>
      <c r="J57" s="504"/>
      <c r="K57" s="504"/>
      <c r="L57" s="504"/>
      <c r="M57" s="504"/>
      <c r="N57" s="504"/>
      <c r="O57" s="504"/>
      <c r="P57" s="504"/>
      <c r="Q57" s="504"/>
      <c r="R57" s="504"/>
      <c r="S57" s="504"/>
      <c r="T57" s="381" t="b" cm="1">
        <f t="array" aca="1" ref="T57" ca="1">T56</f>
        <v>0</v>
      </c>
      <c r="X57" s="1841"/>
      <c r="Z57" s="1842"/>
      <c r="AB57" s="721" t="s">
        <v>502</v>
      </c>
      <c r="AC57" s="727" t="s">
        <v>1616</v>
      </c>
      <c r="AD57" s="728" t="s">
        <v>766</v>
      </c>
      <c r="AE57" s="723"/>
      <c r="AF57" s="723"/>
      <c r="AG57" s="723"/>
      <c r="AH57" s="716">
        <f t="shared" si="3"/>
        <v>0</v>
      </c>
      <c r="AI57" s="723"/>
      <c r="AJ57" s="1441"/>
      <c r="AK57" s="1441"/>
      <c r="AL57" s="716">
        <f t="shared" si="4"/>
        <v>0</v>
      </c>
      <c r="AM57" s="1438"/>
      <c r="AN57" s="1438"/>
      <c r="AO57" s="1438"/>
      <c r="AR57" s="964" t="s">
        <v>1617</v>
      </c>
    </row>
    <row r="58" spans="5:48" ht="35.1" hidden="1" customHeight="1">
      <c r="E58" s="612">
        <v>36</v>
      </c>
      <c r="F58" s="3" cm="1">
        <f t="array" aca="1" ref="F58" ca="1">OFFSET(E58,-1,1)</f>
        <v>0</v>
      </c>
      <c r="I58" s="504" t="s">
        <v>448</v>
      </c>
      <c r="J58" s="504"/>
      <c r="K58" s="504"/>
      <c r="L58" s="504"/>
      <c r="M58" s="504"/>
      <c r="N58" s="504"/>
      <c r="O58" s="504"/>
      <c r="P58" s="504"/>
      <c r="Q58" s="504"/>
      <c r="R58" s="504"/>
      <c r="S58" s="504"/>
      <c r="T58" s="381" t="b" cm="1">
        <f t="array" aca="1" ref="T58" ca="1">T57</f>
        <v>0</v>
      </c>
      <c r="X58" s="1841"/>
      <c r="Z58" s="1842"/>
      <c r="AB58" s="721" t="s">
        <v>506</v>
      </c>
      <c r="AC58" s="727" t="s">
        <v>1618</v>
      </c>
      <c r="AD58" s="728" t="s">
        <v>766</v>
      </c>
      <c r="AE58" s="729">
        <f ca="1">AE59+AE60</f>
        <v>0</v>
      </c>
      <c r="AF58" s="729">
        <f ca="1">AF59+AF60</f>
        <v>0</v>
      </c>
      <c r="AG58" s="729">
        <f ca="1">AG59+AG60</f>
        <v>0</v>
      </c>
      <c r="AH58" s="716">
        <f t="shared" ca="1" si="3"/>
        <v>0</v>
      </c>
      <c r="AI58" s="729">
        <f ca="1">AI59+AI60</f>
        <v>0</v>
      </c>
      <c r="AJ58" s="729">
        <f ca="1">AJ59+AJ60</f>
        <v>0</v>
      </c>
      <c r="AK58" s="729">
        <f ca="1">AK59+AK60</f>
        <v>0</v>
      </c>
      <c r="AL58" s="716">
        <f t="shared" ca="1" si="4"/>
        <v>0</v>
      </c>
      <c r="AM58" s="1438"/>
      <c r="AN58" s="1438"/>
      <c r="AO58" s="1438"/>
      <c r="AR58" s="964" t="s">
        <v>1619</v>
      </c>
    </row>
    <row r="59" spans="5:48" ht="14.65" hidden="1" customHeight="1">
      <c r="E59" s="612">
        <v>15</v>
      </c>
      <c r="F59" s="3" cm="1">
        <f t="array" aca="1" ref="F59" ca="1">OFFSET(E59,-1,1)</f>
        <v>0</v>
      </c>
      <c r="G59" s="494" t="s">
        <v>1026</v>
      </c>
      <c r="I59" s="504" t="s">
        <v>1620</v>
      </c>
      <c r="J59" s="504"/>
      <c r="K59" s="504"/>
      <c r="L59" s="504"/>
      <c r="M59" s="504"/>
      <c r="N59" s="504"/>
      <c r="O59" s="504"/>
      <c r="P59" s="504"/>
      <c r="Q59" s="504"/>
      <c r="R59" s="504"/>
      <c r="S59" s="504"/>
      <c r="T59" s="381" t="b" cm="1">
        <f t="array" aca="1" ref="T59" ca="1">T58</f>
        <v>0</v>
      </c>
      <c r="X59" s="1841"/>
      <c r="Z59" s="1842"/>
      <c r="AB59" s="721" t="s">
        <v>459</v>
      </c>
      <c r="AC59" s="722" t="s">
        <v>1621</v>
      </c>
      <c r="AD59" s="728" t="s">
        <v>766</v>
      </c>
      <c r="AE59" s="716">
        <f ca="1">SUMIFS(ФОТ!AE$25:AE$77,ФОТ!$F$25:$F$77,$F59,ФОТ!$G$25:$G$77,$G59)</f>
        <v>0</v>
      </c>
      <c r="AF59" s="716">
        <f ca="1">SUMIFS(ФОТ!AF$25:AF$77,ФОТ!$F$25:$F$77,$F59,ФОТ!$G$25:$G$77,$G59)</f>
        <v>0</v>
      </c>
      <c r="AG59" s="716">
        <f ca="1">SUMIFS(ФОТ!AG$25:AG$77,ФОТ!$F$25:$F$77,$F59,ФОТ!$G$25:$G$77,$G59)</f>
        <v>0</v>
      </c>
      <c r="AH59" s="716">
        <f t="shared" ca="1" si="3"/>
        <v>0</v>
      </c>
      <c r="AI59" s="716">
        <f ca="1">SUMIFS(ФОТ!AH$25:AH$77,ФОТ!$F$25:$F$77,$F59,ФОТ!$G$25:$G$77,$G59)</f>
        <v>0</v>
      </c>
      <c r="AJ59" s="716">
        <f ca="1">SUMIFS(ФОТ!AI$25:AI$77,ФОТ!$F$25:$F$77,$F59,ФОТ!$G$25:$G$77,$G59)</f>
        <v>0</v>
      </c>
      <c r="AK59" s="716">
        <f ca="1">SUMIFS(ФОТ!AJ$25:AJ$77,ФОТ!$F$25:$F$77,$F59,ФОТ!$G$25:$G$77,$G59)</f>
        <v>0</v>
      </c>
      <c r="AL59" s="716">
        <f t="shared" ca="1" si="4"/>
        <v>0</v>
      </c>
      <c r="AM59" s="1438"/>
      <c r="AN59" s="1439" t="str">
        <f ca="1">IF(IFERROR(INDEX(ФОТ!$K$26:$L$77,MATCH($F59&amp;"3komm",ФОТ!$K$26:$K$77,0),2),"")=0,"",IFERROR(INDEX(ФОТ!$K$26:$L$77,MATCH($F59&amp;"3komm",ФОТ!$K$26:$K$77,0),2),""))</f>
        <v/>
      </c>
      <c r="AO59" s="1438"/>
      <c r="AR59" s="964" t="s">
        <v>1622</v>
      </c>
    </row>
    <row r="60" spans="5:48" ht="21.95" hidden="1" customHeight="1">
      <c r="E60" s="612">
        <v>22.5</v>
      </c>
      <c r="F60" s="3" cm="1">
        <f t="array" aca="1" ref="F60" ca="1">OFFSET(E60,-1,1)</f>
        <v>0</v>
      </c>
      <c r="G60" s="494" t="s">
        <v>1031</v>
      </c>
      <c r="I60" s="504" t="s">
        <v>1623</v>
      </c>
      <c r="J60" s="504"/>
      <c r="K60" s="504"/>
      <c r="L60" s="504"/>
      <c r="M60" s="504"/>
      <c r="N60" s="504"/>
      <c r="O60" s="504"/>
      <c r="P60" s="504"/>
      <c r="Q60" s="504"/>
      <c r="R60" s="504"/>
      <c r="S60" s="504"/>
      <c r="T60" s="381" t="b" cm="1">
        <f t="array" aca="1" ref="T60" ca="1">T59</f>
        <v>0</v>
      </c>
      <c r="X60" s="1841"/>
      <c r="Z60" s="1842"/>
      <c r="AB60" s="721" t="s">
        <v>1288</v>
      </c>
      <c r="AC60" s="722" t="s">
        <v>1624</v>
      </c>
      <c r="AD60" s="728" t="s">
        <v>766</v>
      </c>
      <c r="AE60" s="716">
        <f ca="1">SUMIFS(ФОТ!AE$25:AE$77,ФОТ!$F$25:$F$77,$F60,ФОТ!$G$25:$G$77,$G60)</f>
        <v>0</v>
      </c>
      <c r="AF60" s="716">
        <f ca="1">SUMIFS(ФОТ!AF$25:AF$77,ФОТ!$F$25:$F$77,$F60,ФОТ!$G$25:$G$77,$G60)</f>
        <v>0</v>
      </c>
      <c r="AG60" s="716">
        <f ca="1">SUMIFS(ФОТ!AG$25:AG$77,ФОТ!$F$25:$F$77,$F60,ФОТ!$G$25:$G$77,$G60)</f>
        <v>0</v>
      </c>
      <c r="AH60" s="716">
        <f t="shared" ca="1" si="3"/>
        <v>0</v>
      </c>
      <c r="AI60" s="716">
        <f ca="1">SUMIFS(ФОТ!AH$25:AH$77,ФОТ!$F$25:$F$77,$F60,ФОТ!$G$25:$G$77,$G60)</f>
        <v>0</v>
      </c>
      <c r="AJ60" s="716">
        <f ca="1">SUMIFS(ФОТ!AI$25:AI$77,ФОТ!$F$25:$F$77,$F60,ФОТ!$G$25:$G$77,$G60)</f>
        <v>0</v>
      </c>
      <c r="AK60" s="716">
        <f ca="1">SUMIFS(ФОТ!AJ$25:AJ$77,ФОТ!$F$25:$F$77,$F60,ФОТ!$G$25:$G$77,$G60)</f>
        <v>0</v>
      </c>
      <c r="AL60" s="716">
        <f t="shared" ca="1" si="4"/>
        <v>0</v>
      </c>
      <c r="AM60" s="1438"/>
      <c r="AN60" s="1439" t="str">
        <f ca="1">IF(IFERROR(INDEX(ФОТ!$K$26:$L$77,MATCH($F60&amp;"4komm",ФОТ!$K$26:$K$77,0),2),"")=0,"",IFERROR(INDEX(ФОТ!$K$26:$L$77,MATCH($F60&amp;"4komm",ФОТ!$K$26:$K$77,0),2),""))</f>
        <v/>
      </c>
      <c r="AO60" s="1438"/>
      <c r="AR60" s="964" t="s">
        <v>1625</v>
      </c>
    </row>
    <row r="61" spans="5:48" s="505" customFormat="1" ht="14.65" hidden="1" customHeight="1">
      <c r="E61" s="614">
        <v>15</v>
      </c>
      <c r="F61" s="3" cm="1">
        <f t="array" aca="1" ref="F61" ca="1">OFFSET(E61,-1,1)</f>
        <v>0</v>
      </c>
      <c r="I61" s="615" t="s">
        <v>325</v>
      </c>
      <c r="J61" s="615"/>
      <c r="K61" s="615"/>
      <c r="L61" s="615"/>
      <c r="M61" s="615"/>
      <c r="N61" s="615"/>
      <c r="O61" s="615"/>
      <c r="P61" s="615"/>
      <c r="Q61" s="615"/>
      <c r="R61" s="615"/>
      <c r="S61" s="615"/>
      <c r="T61" s="381" t="b" cm="1">
        <f t="array" aca="1" ref="T61" ca="1">T60</f>
        <v>0</v>
      </c>
      <c r="X61" s="1841"/>
      <c r="Z61" s="1842"/>
      <c r="AB61" s="718" t="s">
        <v>321</v>
      </c>
      <c r="AC61" s="714" t="s">
        <v>1626</v>
      </c>
      <c r="AD61" s="726" t="s">
        <v>766</v>
      </c>
      <c r="AE61" s="715">
        <f ca="1">AE62+AE63+AE66+AE67+AE68+AE69+AE70</f>
        <v>0</v>
      </c>
      <c r="AF61" s="715">
        <f ca="1">AF62+AF63+AF66+AF67+AF68+AF69+AF70</f>
        <v>0</v>
      </c>
      <c r="AG61" s="715">
        <f ca="1">AG62+AG63+AG66+AG67+AG68+AG69+AG70</f>
        <v>0</v>
      </c>
      <c r="AH61" s="715">
        <f t="shared" ca="1" si="3"/>
        <v>0</v>
      </c>
      <c r="AI61" s="715">
        <f ca="1">AI62+AI63+AI66+AI67+AI68+AI69+AI70</f>
        <v>0</v>
      </c>
      <c r="AJ61" s="715">
        <f ca="1">AJ62+AJ63+AJ66+AJ67+AJ68+AJ69+AJ70</f>
        <v>0</v>
      </c>
      <c r="AK61" s="715">
        <f ca="1">AK62+AK63+AK66+AK67+AK68+AK69+AK70</f>
        <v>0</v>
      </c>
      <c r="AL61" s="715">
        <f t="shared" ca="1" si="4"/>
        <v>0</v>
      </c>
      <c r="AM61" s="1440"/>
      <c r="AN61" s="1440"/>
      <c r="AO61" s="1440"/>
      <c r="AR61" s="965" t="s">
        <v>1627</v>
      </c>
      <c r="AS61" s="965"/>
      <c r="AT61" s="965"/>
      <c r="AU61" s="614"/>
      <c r="AV61" s="614"/>
    </row>
    <row r="62" spans="5:48" ht="21.95" hidden="1" customHeight="1">
      <c r="E62" s="612">
        <v>22.5</v>
      </c>
      <c r="F62" s="3" cm="1">
        <f t="array" aca="1" ref="F62" ca="1">OFFSET(E62,-1,1)</f>
        <v>0</v>
      </c>
      <c r="G62" s="494" t="s">
        <v>1052</v>
      </c>
      <c r="I62" s="504" t="s">
        <v>851</v>
      </c>
      <c r="J62" s="504"/>
      <c r="K62" s="504"/>
      <c r="L62" s="504"/>
      <c r="M62" s="504"/>
      <c r="N62" s="504"/>
      <c r="O62" s="504"/>
      <c r="P62" s="504"/>
      <c r="Q62" s="504"/>
      <c r="R62" s="504"/>
      <c r="S62" s="504"/>
      <c r="T62" s="381" t="b" cm="1">
        <f t="array" aca="1" ref="T62" ca="1">T61</f>
        <v>0</v>
      </c>
      <c r="X62" s="1841"/>
      <c r="Z62" s="1842"/>
      <c r="AB62" s="721" t="s">
        <v>516</v>
      </c>
      <c r="AC62" s="727" t="s">
        <v>1628</v>
      </c>
      <c r="AD62" s="728" t="s">
        <v>766</v>
      </c>
      <c r="AE62" s="175">
        <f ca="1">SUMIFS(Административные!AE$25:AE$65,Административные!$F$25:$F$65,$F62,Административные!$G$25:$G$65,$G62)</f>
        <v>0</v>
      </c>
      <c r="AF62" s="175">
        <f ca="1">SUMIFS(Административные!AF$25:AF$65,Административные!$F$25:$F$65,$F62,Административные!$G$25:$G$65,$G62)</f>
        <v>0</v>
      </c>
      <c r="AG62" s="175">
        <f ca="1">SUMIFS(Административные!AG$25:AG$65,Административные!$F$25:$F$65,$F62,Административные!$G$25:$G$65,$G62)</f>
        <v>0</v>
      </c>
      <c r="AH62" s="716">
        <f t="shared" ca="1" si="3"/>
        <v>0</v>
      </c>
      <c r="AI62" s="175">
        <f ca="1">SUMIFS(Административные!AH$25:AH$65,Административные!$F$25:$F$65,$F62,Административные!$G$25:$G$65,$G62)</f>
        <v>0</v>
      </c>
      <c r="AJ62" s="175">
        <f ca="1">SUMIFS(Административные!AI$25:AI$65,Административные!$F$25:$F$65,$F62,Административные!$G$25:$G$65,$G62)</f>
        <v>0</v>
      </c>
      <c r="AK62" s="175">
        <f ca="1">SUMIFS(Административные!AJ$25:AJ$65,Административные!$F$25:$F$65,$F62,Административные!$G$25:$G$65,$G62)</f>
        <v>0</v>
      </c>
      <c r="AL62" s="716">
        <f t="shared" ca="1" si="4"/>
        <v>0</v>
      </c>
      <c r="AM62" s="1438"/>
      <c r="AN62" s="1439" t="str">
        <f ca="1">IF(IFERROR(INDEX(Административные!$K$26:$L$65,MATCH($F62&amp;"17komm",Административные!$K$26:$K$65,0),2),"")=0,"",IFERROR(INDEX(Административные!$K$26:$L$65,MATCH($F62&amp;"17komm",Административные!$K$26:$K$65,0),2),""))</f>
        <v/>
      </c>
      <c r="AO62" s="1438"/>
      <c r="AR62" s="964" t="s">
        <v>1054</v>
      </c>
    </row>
    <row r="63" spans="5:48" ht="32.85" hidden="1" customHeight="1">
      <c r="E63" s="612">
        <v>33.75</v>
      </c>
      <c r="F63" s="3" cm="1">
        <f t="array" aca="1" ref="F63" ca="1">OFFSET(E63,-1,1)</f>
        <v>0</v>
      </c>
      <c r="I63" s="504" t="s">
        <v>853</v>
      </c>
      <c r="J63" s="504"/>
      <c r="K63" s="504"/>
      <c r="L63" s="504"/>
      <c r="M63" s="504"/>
      <c r="N63" s="504"/>
      <c r="O63" s="504"/>
      <c r="P63" s="504"/>
      <c r="Q63" s="504"/>
      <c r="R63" s="504"/>
      <c r="S63" s="504"/>
      <c r="T63" s="381" t="b" cm="1">
        <f t="array" aca="1" ref="T63" ca="1">T62</f>
        <v>0</v>
      </c>
      <c r="X63" s="1841"/>
      <c r="Z63" s="1842"/>
      <c r="AB63" s="721" t="s">
        <v>520</v>
      </c>
      <c r="AC63" s="727" t="s">
        <v>1629</v>
      </c>
      <c r="AD63" s="728" t="s">
        <v>766</v>
      </c>
      <c r="AE63" s="716">
        <f ca="1">AE64+AE65</f>
        <v>0</v>
      </c>
      <c r="AF63" s="716">
        <f ca="1">AF64+AF65</f>
        <v>0</v>
      </c>
      <c r="AG63" s="716">
        <f ca="1">AG64+AG65</f>
        <v>0</v>
      </c>
      <c r="AH63" s="716">
        <f t="shared" ca="1" si="3"/>
        <v>0</v>
      </c>
      <c r="AI63" s="716">
        <f ca="1">AI64+AI65</f>
        <v>0</v>
      </c>
      <c r="AJ63" s="716">
        <f ca="1">AJ64+AJ65</f>
        <v>0</v>
      </c>
      <c r="AK63" s="716">
        <f ca="1">AK64+AK65</f>
        <v>0</v>
      </c>
      <c r="AL63" s="716">
        <f t="shared" ca="1" si="4"/>
        <v>0</v>
      </c>
      <c r="AM63" s="1438"/>
      <c r="AN63" s="1438"/>
      <c r="AO63" s="1438"/>
      <c r="AR63" s="964" t="s">
        <v>1630</v>
      </c>
    </row>
    <row r="64" spans="5:48" ht="21.95" hidden="1" customHeight="1">
      <c r="E64" s="612">
        <v>22.5</v>
      </c>
      <c r="F64" s="3" cm="1">
        <f t="array" aca="1" ref="F64" ca="1">OFFSET(E64,-1,1)</f>
        <v>0</v>
      </c>
      <c r="G64" s="1133" t="s">
        <v>1034</v>
      </c>
      <c r="I64" s="504" t="s">
        <v>463</v>
      </c>
      <c r="J64" s="504"/>
      <c r="K64" s="504"/>
      <c r="L64" s="504"/>
      <c r="M64" s="504"/>
      <c r="N64" s="504"/>
      <c r="O64" s="504"/>
      <c r="P64" s="504"/>
      <c r="Q64" s="504"/>
      <c r="R64" s="504"/>
      <c r="S64" s="504"/>
      <c r="T64" s="381" t="b" cm="1">
        <f t="array" aca="1" ref="T64" ca="1">T63</f>
        <v>0</v>
      </c>
      <c r="X64" s="1841"/>
      <c r="Z64" s="1842"/>
      <c r="AB64" s="721" t="s">
        <v>731</v>
      </c>
      <c r="AC64" s="722" t="s">
        <v>1631</v>
      </c>
      <c r="AD64" s="728" t="s">
        <v>766</v>
      </c>
      <c r="AE64" s="716">
        <f ca="1">SUMIFS(ФОТ!AE$25:AE$77,ФОТ!$F$25:$F$77,$F64,ФОТ!$G$25:$G$77,$G64)</f>
        <v>0</v>
      </c>
      <c r="AF64" s="716">
        <f ca="1">SUMIFS(ФОТ!AF$25:AF$77,ФОТ!$F$25:$F$77,$F64,ФОТ!$G$25:$G$77,$G64)</f>
        <v>0</v>
      </c>
      <c r="AG64" s="716">
        <f ca="1">SUMIFS(ФОТ!AG$25:AG$77,ФОТ!$F$25:$F$77,$F64,ФОТ!$G$25:$G$77,$G64)</f>
        <v>0</v>
      </c>
      <c r="AH64" s="716">
        <f t="shared" ca="1" si="3"/>
        <v>0</v>
      </c>
      <c r="AI64" s="716">
        <f ca="1">SUMIFS(ФОТ!AH$25:AH$77,ФОТ!$F$25:$F$77,$F64,ФОТ!$G$25:$G$77,$G64)</f>
        <v>0</v>
      </c>
      <c r="AJ64" s="716">
        <f ca="1">SUMIFS(ФОТ!AI$25:AI$77,ФОТ!$F$25:$F$77,$F64,ФОТ!$G$25:$G$77,$G64)</f>
        <v>0</v>
      </c>
      <c r="AK64" s="716">
        <f ca="1">SUMIFS(ФОТ!AJ$25:AJ$77,ФОТ!$F$25:$F$77,$F64,ФОТ!$G$25:$G$77,$G64)</f>
        <v>0</v>
      </c>
      <c r="AL64" s="716">
        <f t="shared" ca="1" si="4"/>
        <v>0</v>
      </c>
      <c r="AM64" s="1438"/>
      <c r="AN64" s="1439" t="str">
        <f ca="1">IF(IFERROR(INDEX(ФОТ!$K$26:$L$77,MATCH($F64&amp;"5komm",ФОТ!$K$26:$K$77,0),2),"")=0,"",IFERROR(INDEX(ФОТ!$K$26:$L$77,MATCH($F64&amp;"5komm",ФОТ!$K$26:$K$77,0),2),""))</f>
        <v/>
      </c>
      <c r="AO64" s="1438"/>
      <c r="AR64" s="964" t="s">
        <v>1051</v>
      </c>
    </row>
    <row r="65" spans="2:48" ht="32.85" hidden="1" customHeight="1">
      <c r="E65" s="612">
        <v>33.75</v>
      </c>
      <c r="F65" s="3" cm="1">
        <f t="array" aca="1" ref="F65" ca="1">OFFSET(E65,-1,1)</f>
        <v>0</v>
      </c>
      <c r="G65" s="414" t="s">
        <v>1039</v>
      </c>
      <c r="I65" s="504" t="s">
        <v>468</v>
      </c>
      <c r="J65" s="504"/>
      <c r="K65" s="504"/>
      <c r="L65" s="504"/>
      <c r="M65" s="504"/>
      <c r="N65" s="504"/>
      <c r="O65" s="504"/>
      <c r="P65" s="504"/>
      <c r="Q65" s="504"/>
      <c r="R65" s="504"/>
      <c r="S65" s="504"/>
      <c r="T65" s="381" t="b" cm="1">
        <f t="array" aca="1" ref="T65" ca="1">T64</f>
        <v>0</v>
      </c>
      <c r="X65" s="1841"/>
      <c r="Z65" s="1842"/>
      <c r="AB65" s="721" t="s">
        <v>734</v>
      </c>
      <c r="AC65" s="722" t="s">
        <v>1632</v>
      </c>
      <c r="AD65" s="728" t="s">
        <v>766</v>
      </c>
      <c r="AE65" s="716">
        <f ca="1">SUMIFS(ФОТ!AE$25:AE$77,ФОТ!$F$25:$F$77,$F65,ФОТ!$G$25:$G$77,$G65)</f>
        <v>0</v>
      </c>
      <c r="AF65" s="716">
        <f ca="1">SUMIFS(ФОТ!AF$25:AF$77,ФОТ!$F$25:$F$77,$F65,ФОТ!$G$25:$G$77,$G65)</f>
        <v>0</v>
      </c>
      <c r="AG65" s="716">
        <f ca="1">SUMIFS(ФОТ!AG$25:AG$77,ФОТ!$F$25:$F$77,$F65,ФОТ!$G$25:$G$77,$G65)</f>
        <v>0</v>
      </c>
      <c r="AH65" s="716">
        <f t="shared" ca="1" si="3"/>
        <v>0</v>
      </c>
      <c r="AI65" s="716">
        <f ca="1">SUMIFS(ФОТ!AH$25:AH$77,ФОТ!$F$25:$F$77,$F65,ФОТ!$G$25:$G$77,$G65)</f>
        <v>0</v>
      </c>
      <c r="AJ65" s="716">
        <f ca="1">SUMIFS(ФОТ!AI$25:AI$77,ФОТ!$F$25:$F$77,$F65,ФОТ!$G$25:$G$77,$G65)</f>
        <v>0</v>
      </c>
      <c r="AK65" s="716">
        <f ca="1">SUMIFS(ФОТ!AJ$25:AJ$77,ФОТ!$F$25:$F$77,$F65,ФОТ!$G$25:$G$77,$G65)</f>
        <v>0</v>
      </c>
      <c r="AL65" s="716">
        <f t="shared" ca="1" si="4"/>
        <v>0</v>
      </c>
      <c r="AM65" s="1438"/>
      <c r="AN65" s="1439" t="str">
        <f ca="1">IF(IFERROR(INDEX(ФОТ!$K$26:$L$77,MATCH($F65&amp;"6komm",ФОТ!$K$26:$K$77,0),2),"")=0,"",IFERROR(INDEX(ФОТ!$K$26:$L$77,MATCH($F65&amp;"6komm",ФОТ!$K$26:$K$77,0),2),""))</f>
        <v/>
      </c>
      <c r="AO65" s="1438"/>
      <c r="AR65" s="964" t="s">
        <v>1633</v>
      </c>
    </row>
    <row r="66" spans="2:48" ht="32.85" hidden="1" customHeight="1">
      <c r="E66" s="612">
        <v>33.75</v>
      </c>
      <c r="F66" s="3" cm="1">
        <f t="array" aca="1" ref="F66" ca="1">OFFSET(E66,-1,1)</f>
        <v>0</v>
      </c>
      <c r="G66" s="494" t="s">
        <v>1080</v>
      </c>
      <c r="I66" s="504" t="s">
        <v>855</v>
      </c>
      <c r="J66" s="504"/>
      <c r="K66" s="504"/>
      <c r="L66" s="504"/>
      <c r="M66" s="504"/>
      <c r="N66" s="504"/>
      <c r="O66" s="504"/>
      <c r="P66" s="504"/>
      <c r="Q66" s="504"/>
      <c r="R66" s="504"/>
      <c r="S66" s="504"/>
      <c r="T66" s="381" t="b" cm="1">
        <f t="array" aca="1" ref="T66" ca="1">T65</f>
        <v>0</v>
      </c>
      <c r="X66" s="1841"/>
      <c r="Z66" s="1842"/>
      <c r="AB66" s="721" t="s">
        <v>737</v>
      </c>
      <c r="AC66" s="727" t="s">
        <v>1634</v>
      </c>
      <c r="AD66" s="728" t="s">
        <v>766</v>
      </c>
      <c r="AE66" s="716">
        <f ca="1">SUMIFS(Административные!AE$25:AE$65,Административные!$F$25:$F$65,$F66,Административные!$G$25:$G$65,$G66)</f>
        <v>0</v>
      </c>
      <c r="AF66" s="716">
        <f ca="1">SUMIFS(Административные!AF$25:AF$65,Административные!$F$25:$F$65,$F66,Административные!$G$25:$G$65,$G66)</f>
        <v>0</v>
      </c>
      <c r="AG66" s="716">
        <f ca="1">SUMIFS(Административные!AG$25:AG$65,Административные!$F$25:$F$65,$F66,Административные!$G$25:$G$65,$G66)</f>
        <v>0</v>
      </c>
      <c r="AH66" s="716">
        <f t="shared" ca="1" si="3"/>
        <v>0</v>
      </c>
      <c r="AI66" s="716">
        <f ca="1">SUMIFS(Административные!AH$25:AH$65,Административные!$F$25:$F$65,$F66,Административные!$G$25:$G$65,$G66)</f>
        <v>0</v>
      </c>
      <c r="AJ66" s="716">
        <f ca="1">SUMIFS(Административные!AI$25:AI$65,Административные!$F$25:$F$65,$F66,Административные!$G$25:$G$65,$G66)</f>
        <v>0</v>
      </c>
      <c r="AK66" s="716">
        <f ca="1">SUMIFS(Административные!AJ$25:AJ$65,Административные!$F$25:$F$65,$F66,Административные!$G$25:$G$65,$G66)</f>
        <v>0</v>
      </c>
      <c r="AL66" s="716">
        <f t="shared" ca="1" si="4"/>
        <v>0</v>
      </c>
      <c r="AM66" s="1438"/>
      <c r="AN66" s="1439" t="str">
        <f ca="1">IF(IFERROR(INDEX(Административные!$K$26:$L$65,MATCH($F66&amp;"2komm",Административные!$K$26:$K$65,0),2),"")=0,"",IFERROR(INDEX(Административные!$K$26:$L$65,MATCH($F66&amp;"2komm",Административные!$K$26:$K$65,0),2),""))</f>
        <v/>
      </c>
      <c r="AO66" s="1438"/>
      <c r="AR66" s="964" t="s">
        <v>1082</v>
      </c>
    </row>
    <row r="67" spans="2:48" ht="14.65" hidden="1" customHeight="1">
      <c r="E67" s="612">
        <v>15</v>
      </c>
      <c r="F67" s="3" cm="1">
        <f t="array" aca="1" ref="F67" ca="1">OFFSET(E67,-1,1)</f>
        <v>0</v>
      </c>
      <c r="G67" s="494" t="s">
        <v>1083</v>
      </c>
      <c r="I67" s="504" t="s">
        <v>857</v>
      </c>
      <c r="J67" s="504"/>
      <c r="K67" s="504"/>
      <c r="L67" s="504"/>
      <c r="M67" s="504"/>
      <c r="N67" s="504"/>
      <c r="O67" s="504"/>
      <c r="P67" s="504"/>
      <c r="Q67" s="504"/>
      <c r="R67" s="504"/>
      <c r="S67" s="504"/>
      <c r="T67" s="381" t="b" cm="1">
        <f t="array" aca="1" ref="T67" ca="1">T66</f>
        <v>0</v>
      </c>
      <c r="X67" s="1841"/>
      <c r="Z67" s="1842"/>
      <c r="AB67" s="721" t="s">
        <v>858</v>
      </c>
      <c r="AC67" s="727" t="s">
        <v>1084</v>
      </c>
      <c r="AD67" s="728" t="s">
        <v>766</v>
      </c>
      <c r="AE67" s="716">
        <f ca="1">SUMIFS(Административные!AE$25:AE$65,Административные!$F$25:$F$65,$F67,Административные!$G$25:$G$65,$G67)</f>
        <v>0</v>
      </c>
      <c r="AF67" s="716">
        <f ca="1">SUMIFS(Административные!AF$25:AF$65,Административные!$F$25:$F$65,$F67,Административные!$G$25:$G$65,$G67)</f>
        <v>0</v>
      </c>
      <c r="AG67" s="716">
        <f ca="1">SUMIFS(Административные!AG$25:AG$65,Административные!$F$25:$F$65,$F67,Административные!$G$25:$G$65,$G67)</f>
        <v>0</v>
      </c>
      <c r="AH67" s="716">
        <f t="shared" ca="1" si="3"/>
        <v>0</v>
      </c>
      <c r="AI67" s="716">
        <f ca="1">SUMIFS(Административные!AH$25:AH$65,Административные!$F$25:$F$65,$F67,Административные!$G$25:$G$65,$G67)</f>
        <v>0</v>
      </c>
      <c r="AJ67" s="716">
        <f ca="1">SUMIFS(Административные!AI$25:AI$65,Административные!$F$25:$F$65,$F67,Административные!$G$25:$G$65,$G67)</f>
        <v>0</v>
      </c>
      <c r="AK67" s="716">
        <f ca="1">SUMIFS(Административные!AJ$25:AJ$65,Административные!$F$25:$F$65,$F67,Административные!$G$25:$G$65,$G67)</f>
        <v>0</v>
      </c>
      <c r="AL67" s="716">
        <f t="shared" ca="1" si="4"/>
        <v>0</v>
      </c>
      <c r="AM67" s="1438"/>
      <c r="AN67" s="1439" t="str">
        <f ca="1">IF(IFERROR(INDEX(Административные!$K$26:$L$65,MATCH($F67&amp;"3komm",Административные!$K$26:$K$65,0),2),"")=0,"",IFERROR(INDEX(Административные!$K$26:$L$65,MATCH($F67&amp;"3komm",Административные!$K$26:$K$65,0),2),""))</f>
        <v/>
      </c>
      <c r="AO67" s="1438"/>
      <c r="AR67" s="964" t="s">
        <v>1085</v>
      </c>
    </row>
    <row r="68" spans="2:48" ht="14.65" hidden="1" customHeight="1">
      <c r="E68" s="612">
        <v>15</v>
      </c>
      <c r="F68" s="3" cm="1">
        <f t="array" aca="1" ref="F68" ca="1">OFFSET(E68,-1,1)</f>
        <v>0</v>
      </c>
      <c r="G68" s="494" t="s">
        <v>1086</v>
      </c>
      <c r="I68" s="504" t="s">
        <v>860</v>
      </c>
      <c r="J68" s="504"/>
      <c r="K68" s="504"/>
      <c r="L68" s="504"/>
      <c r="M68" s="504"/>
      <c r="N68" s="504"/>
      <c r="O68" s="504"/>
      <c r="P68" s="504"/>
      <c r="Q68" s="504"/>
      <c r="R68" s="504"/>
      <c r="S68" s="504"/>
      <c r="T68" s="381" t="b" cm="1">
        <f t="array" aca="1" ref="T68" ca="1">T67</f>
        <v>0</v>
      </c>
      <c r="X68" s="1841"/>
      <c r="Z68" s="1842"/>
      <c r="AB68" s="721" t="s">
        <v>861</v>
      </c>
      <c r="AC68" s="727" t="s">
        <v>1087</v>
      </c>
      <c r="AD68" s="728" t="s">
        <v>766</v>
      </c>
      <c r="AE68" s="716">
        <f ca="1">SUMIFS(Административные!AE$25:AE$65,Административные!$F$25:$F$65,$F68,Административные!$G$25:$G$65,$G68)</f>
        <v>0</v>
      </c>
      <c r="AF68" s="716">
        <f ca="1">SUMIFS(Административные!AF$25:AF$65,Административные!$F$25:$F$65,$F68,Административные!$G$25:$G$65,$G68)</f>
        <v>0</v>
      </c>
      <c r="AG68" s="716">
        <f ca="1">SUMIFS(Административные!AG$25:AG$65,Административные!$F$25:$F$65,$F68,Административные!$G$25:$G$65,$G68)</f>
        <v>0</v>
      </c>
      <c r="AH68" s="716">
        <f t="shared" ca="1" si="3"/>
        <v>0</v>
      </c>
      <c r="AI68" s="716">
        <f ca="1">SUMIFS(Административные!AH$25:AH$65,Административные!$F$25:$F$65,$F68,Административные!$G$25:$G$65,$G68)</f>
        <v>0</v>
      </c>
      <c r="AJ68" s="716">
        <f ca="1">SUMIFS(Административные!AI$25:AI$65,Административные!$F$25:$F$65,$F68,Административные!$G$25:$G$65,$G68)</f>
        <v>0</v>
      </c>
      <c r="AK68" s="716">
        <f ca="1">SUMIFS(Административные!AJ$25:AJ$65,Административные!$F$25:$F$65,$F68,Административные!$G$25:$G$65,$G68)</f>
        <v>0</v>
      </c>
      <c r="AL68" s="716">
        <f t="shared" ca="1" si="4"/>
        <v>0</v>
      </c>
      <c r="AM68" s="1438"/>
      <c r="AN68" s="1439" t="str">
        <f ca="1">IF(IFERROR(INDEX(Административные!$K$26:$L$65,MATCH($F68&amp;"4komm",Административные!$K$26:$K$65,0),2),"")=0,"",IFERROR(INDEX(Административные!$K$26:$L$65,MATCH($F68&amp;"4komm",Административные!$K$26:$K$65,0),2),""))</f>
        <v/>
      </c>
      <c r="AO68" s="1438"/>
      <c r="AR68" s="964" t="s">
        <v>1088</v>
      </c>
    </row>
    <row r="69" spans="2:48" ht="14.65" hidden="1" customHeight="1">
      <c r="E69" s="612">
        <v>15</v>
      </c>
      <c r="F69" s="3" cm="1">
        <f t="array" aca="1" ref="F69" ca="1">OFFSET(E69,-1,1)</f>
        <v>0</v>
      </c>
      <c r="G69" s="494" t="s">
        <v>1089</v>
      </c>
      <c r="I69" s="504" t="s">
        <v>1071</v>
      </c>
      <c r="J69" s="504"/>
      <c r="K69" s="504"/>
      <c r="L69" s="504"/>
      <c r="M69" s="504"/>
      <c r="N69" s="504"/>
      <c r="O69" s="504"/>
      <c r="P69" s="504"/>
      <c r="Q69" s="504"/>
      <c r="R69" s="504"/>
      <c r="S69" s="504"/>
      <c r="T69" s="381" t="b" cm="1">
        <f t="array" aca="1" ref="T69" ca="1">T68</f>
        <v>0</v>
      </c>
      <c r="X69" s="1841"/>
      <c r="Z69" s="1842"/>
      <c r="AB69" s="721" t="s">
        <v>1072</v>
      </c>
      <c r="AC69" s="727" t="s">
        <v>1090</v>
      </c>
      <c r="AD69" s="728" t="s">
        <v>766</v>
      </c>
      <c r="AE69" s="716">
        <f ca="1">SUMIFS(Административные!AE$25:AE$65,Административные!$F$25:$F$65,$F69,Административные!$G$25:$G$65,$G69)</f>
        <v>0</v>
      </c>
      <c r="AF69" s="716">
        <f ca="1">SUMIFS(Административные!AF$25:AF$65,Административные!$F$25:$F$65,$F69,Административные!$G$25:$G$65,$G69)</f>
        <v>0</v>
      </c>
      <c r="AG69" s="716">
        <f ca="1">SUMIFS(Административные!AG$25:AG$65,Административные!$F$25:$F$65,$F69,Административные!$G$25:$G$65,$G69)</f>
        <v>0</v>
      </c>
      <c r="AH69" s="716">
        <f t="shared" ca="1" si="3"/>
        <v>0</v>
      </c>
      <c r="AI69" s="716">
        <f ca="1">SUMIFS(Административные!AH$25:AH$65,Административные!$F$25:$F$65,$F69,Административные!$G$25:$G$65,$G69)</f>
        <v>0</v>
      </c>
      <c r="AJ69" s="716">
        <f ca="1">SUMIFS(Административные!AI$25:AI$65,Административные!$F$25:$F$65,$F69,Административные!$G$25:$G$65,$G69)</f>
        <v>0</v>
      </c>
      <c r="AK69" s="716">
        <f ca="1">SUMIFS(Административные!AJ$25:AJ$65,Административные!$F$25:$F$65,$F69,Административные!$G$25:$G$65,$G69)</f>
        <v>0</v>
      </c>
      <c r="AL69" s="716">
        <f t="shared" ca="1" si="4"/>
        <v>0</v>
      </c>
      <c r="AM69" s="1438"/>
      <c r="AN69" s="1439" t="str">
        <f ca="1">IF(IFERROR(INDEX(Административные!$K$26:$L$65,MATCH($F65&amp;"5komm",Административные!$K$26:$K$65,0),2),"")=0,"",IFERROR(INDEX(Административные!$K$26:$L$65,MATCH($F65&amp;"5komm",Административные!$K$26:$K$65,0),2),""))</f>
        <v/>
      </c>
      <c r="AO69" s="1438"/>
      <c r="AR69" s="964" t="s">
        <v>1635</v>
      </c>
    </row>
    <row r="70" spans="2:48" ht="14.65" hidden="1" customHeight="1">
      <c r="E70" s="612">
        <v>15</v>
      </c>
      <c r="F70" s="3" cm="1">
        <f t="array" aca="1" ref="F70" ca="1">OFFSET(E70,-1,1)</f>
        <v>0</v>
      </c>
      <c r="G70" s="494" t="s">
        <v>1092</v>
      </c>
      <c r="I70" s="504" t="s">
        <v>1076</v>
      </c>
      <c r="J70" s="504"/>
      <c r="K70" s="504"/>
      <c r="L70" s="504"/>
      <c r="M70" s="504"/>
      <c r="N70" s="504"/>
      <c r="O70" s="504"/>
      <c r="P70" s="504"/>
      <c r="Q70" s="504"/>
      <c r="R70" s="504"/>
      <c r="S70" s="504"/>
      <c r="T70" s="381" t="b" cm="1">
        <f t="array" aca="1" ref="T70" ca="1">T69</f>
        <v>0</v>
      </c>
      <c r="X70" s="1841"/>
      <c r="Z70" s="1842"/>
      <c r="AB70" s="721" t="s">
        <v>1077</v>
      </c>
      <c r="AC70" s="727" t="s">
        <v>1636</v>
      </c>
      <c r="AD70" s="728" t="s">
        <v>766</v>
      </c>
      <c r="AE70" s="716">
        <f ca="1">SUMIFS(Административные!AE$25:AE$65,Административные!$F$25:$F$65,$F70,Административные!$G$25:$G$65,$G70)</f>
        <v>0</v>
      </c>
      <c r="AF70" s="716">
        <f ca="1">SUMIFS(Административные!AF$25:AF$65,Административные!$F$25:$F$65,$F70,Административные!$G$25:$G$65,$G70)</f>
        <v>0</v>
      </c>
      <c r="AG70" s="716">
        <f ca="1">SUMIFS(Административные!AG$25:AG$65,Административные!$F$25:$F$65,$F70,Административные!$G$25:$G$65,$G70)</f>
        <v>0</v>
      </c>
      <c r="AH70" s="716">
        <f t="shared" ca="1" si="3"/>
        <v>0</v>
      </c>
      <c r="AI70" s="716">
        <f ca="1">SUMIFS(Административные!AH$25:AH$65,Административные!$F$25:$F$65,$F70,Административные!$G$25:$G$65,$G70)</f>
        <v>0</v>
      </c>
      <c r="AJ70" s="716">
        <f ca="1">SUMIFS(Административные!AI$25:AI$65,Административные!$F$25:$F$65,$F70,Административные!$G$25:$G$65,$G70)</f>
        <v>0</v>
      </c>
      <c r="AK70" s="716">
        <f ca="1">SUMIFS(Административные!AJ$25:AJ$65,Административные!$F$25:$F$65,$F70,Административные!$G$25:$G$65,$G70)</f>
        <v>0</v>
      </c>
      <c r="AL70" s="716">
        <f t="shared" ca="1" si="4"/>
        <v>0</v>
      </c>
      <c r="AM70" s="1438"/>
      <c r="AN70" s="1439" t="str">
        <f ca="1">IF(IFERROR(INDEX(Административные!$K$26:$L$65,MATCH($F70&amp;"6komm",Административные!$K$26:$K$65,0),2),"")=0,"",IFERROR(INDEX(Административные!$K$26:$L$65,MATCH($F65&amp;"6komm",Административные!$K$26:$K$65,0),2),""))</f>
        <v/>
      </c>
      <c r="AO70" s="1438"/>
      <c r="AR70" s="964" t="s">
        <v>1637</v>
      </c>
    </row>
    <row r="71" spans="2:48" ht="14.65" hidden="1" customHeight="1">
      <c r="E71" s="612">
        <v>15</v>
      </c>
      <c r="F71" s="3" cm="1">
        <f t="array" aca="1" ref="F71" ca="1">OFFSET(E71,-1,1)</f>
        <v>0</v>
      </c>
      <c r="G71" s="494" t="s">
        <v>1094</v>
      </c>
      <c r="I71" s="504" t="s">
        <v>1638</v>
      </c>
      <c r="J71" s="504"/>
      <c r="K71" s="504"/>
      <c r="L71" s="504"/>
      <c r="M71" s="504"/>
      <c r="N71" s="504"/>
      <c r="O71" s="504"/>
      <c r="P71" s="504"/>
      <c r="Q71" s="504"/>
      <c r="R71" s="504"/>
      <c r="S71" s="504"/>
      <c r="T71" s="381" t="b" cm="1">
        <f t="array" aca="1" ref="T71" ca="1">T70</f>
        <v>0</v>
      </c>
      <c r="X71" s="1841"/>
      <c r="Z71" s="1842"/>
      <c r="AB71" s="721" t="s">
        <v>1639</v>
      </c>
      <c r="AC71" s="722" t="s">
        <v>1640</v>
      </c>
      <c r="AD71" s="728" t="s">
        <v>766</v>
      </c>
      <c r="AE71" s="716">
        <f ca="1">SUMIFS(Административные!AE$25:AE$65,Административные!$F$25:$F$65,$F71,Административные!$G$25:$G$65,$G71)</f>
        <v>0</v>
      </c>
      <c r="AF71" s="716">
        <f ca="1">SUMIFS(Административные!AF$25:AF$65,Административные!$F$25:$F$65,$F71,Административные!$G$25:$G$65,$G71)</f>
        <v>0</v>
      </c>
      <c r="AG71" s="716">
        <f ca="1">SUMIFS(Административные!AG$25:AG$65,Административные!$F$25:$F$65,$F71,Административные!$G$25:$G$65,$G71)</f>
        <v>0</v>
      </c>
      <c r="AH71" s="716">
        <f t="shared" ca="1" si="3"/>
        <v>0</v>
      </c>
      <c r="AI71" s="716">
        <f ca="1">SUMIFS(Административные!AH$25:AH$65,Административные!$F$25:$F$65,$F71,Административные!$G$25:$G$65,$G71)</f>
        <v>0</v>
      </c>
      <c r="AJ71" s="716">
        <f ca="1">SUMIFS(Административные!AI$25:AI$65,Административные!$F$25:$F$65,$F71,Административные!$G$25:$G$65,$G71)</f>
        <v>0</v>
      </c>
      <c r="AK71" s="716">
        <f ca="1">SUMIFS(Административные!AJ$25:AJ$65,Административные!$F$25:$F$65,$F71,Административные!$G$25:$G$65,$G71)</f>
        <v>0</v>
      </c>
      <c r="AL71" s="716">
        <f t="shared" ca="1" si="4"/>
        <v>0</v>
      </c>
      <c r="AM71" s="1438"/>
      <c r="AN71" s="1439" t="str">
        <f ca="1">IF(IFERROR(INDEX(Административные!$K$26:$L$65,MATCH($F71&amp;"7komm",Административные!$K$26:$K$65,0),2),"")=0,"",IFERROR(INDEX(Административные!$K$26:$L$65,MATCH($F66&amp;"7komm",Административные!$K$26:$K$65,0),2),""))</f>
        <v/>
      </c>
      <c r="AO71" s="1438"/>
      <c r="AR71" s="964" t="s">
        <v>1641</v>
      </c>
    </row>
    <row r="72" spans="2:48" ht="43.9" hidden="1" customHeight="1">
      <c r="E72" s="612">
        <v>45</v>
      </c>
      <c r="F72" s="3" cm="1">
        <f t="array" aca="1" ref="F72" ca="1">OFFSET(E72,-1,1)</f>
        <v>0</v>
      </c>
      <c r="G72" s="494" t="s">
        <v>1097</v>
      </c>
      <c r="I72" s="504" t="s">
        <v>1642</v>
      </c>
      <c r="J72" s="504"/>
      <c r="K72" s="504"/>
      <c r="L72" s="504"/>
      <c r="M72" s="504"/>
      <c r="N72" s="504"/>
      <c r="O72" s="504"/>
      <c r="P72" s="504"/>
      <c r="Q72" s="504"/>
      <c r="R72" s="504"/>
      <c r="S72" s="504"/>
      <c r="T72" s="381" t="b" cm="1">
        <f t="array" aca="1" ref="T72" ca="1">T71</f>
        <v>0</v>
      </c>
      <c r="X72" s="1841"/>
      <c r="Z72" s="1842"/>
      <c r="AB72" s="721" t="s">
        <v>1643</v>
      </c>
      <c r="AC72" s="676" t="s">
        <v>1098</v>
      </c>
      <c r="AD72" s="728" t="s">
        <v>766</v>
      </c>
      <c r="AE72" s="716">
        <f ca="1">SUMIFS(Административные!AE$25:AE$65,Административные!$F$25:$F$65,$F72,Административные!$G$25:$G$65,$G72)</f>
        <v>0</v>
      </c>
      <c r="AF72" s="716">
        <f ca="1">SUMIFS(Административные!AF$25:AF$65,Административные!$F$25:$F$65,$F72,Административные!$G$25:$G$65,$G72)</f>
        <v>0</v>
      </c>
      <c r="AG72" s="716">
        <f ca="1">SUMIFS(Административные!AG$25:AG$65,Административные!$F$25:$F$65,$F72,Административные!$G$25:$G$65,$G72)</f>
        <v>0</v>
      </c>
      <c r="AH72" s="716">
        <f t="shared" ca="1" si="3"/>
        <v>0</v>
      </c>
      <c r="AI72" s="716">
        <f ca="1">SUMIFS(Административные!AH$25:AH$65,Административные!$F$25:$F$65,$F72,Административные!$G$25:$G$65,$G72)</f>
        <v>0</v>
      </c>
      <c r="AJ72" s="716">
        <f ca="1">SUMIFS(Административные!AI$25:AI$65,Административные!$F$25:$F$65,$F72,Административные!$G$25:$G$65,$G72)</f>
        <v>0</v>
      </c>
      <c r="AK72" s="716">
        <f ca="1">SUMIFS(Административные!AJ$25:AJ$65,Административные!$F$25:$F$65,$F72,Административные!$G$25:$G$65,$G72)</f>
        <v>0</v>
      </c>
      <c r="AL72" s="716">
        <f t="shared" ca="1" si="4"/>
        <v>0</v>
      </c>
      <c r="AM72" s="1438"/>
      <c r="AN72" s="1439" t="str">
        <f ca="1">IF(IFERROR(INDEX(Административные!$K$26:$L$65,MATCH($F72&amp;"8komm",Административные!$K$26:$K$65,0),2),"")=0,"",IFERROR(INDEX(Административные!$K$26:$L$65,MATCH($F67&amp;"8komm",Административные!$K$26:$K$65,0),2),""))</f>
        <v/>
      </c>
      <c r="AO72" s="1438"/>
      <c r="AR72" s="964" t="s">
        <v>1644</v>
      </c>
    </row>
    <row r="73" spans="2:48" ht="14.65" hidden="1" customHeight="1">
      <c r="E73" s="612">
        <v>15</v>
      </c>
      <c r="F73" s="3" cm="1">
        <f t="array" aca="1" ref="F73" ca="1">OFFSET(E73,-1,1)</f>
        <v>0</v>
      </c>
      <c r="G73" s="494" t="s">
        <v>1100</v>
      </c>
      <c r="I73" s="504" t="s">
        <v>1645</v>
      </c>
      <c r="J73" s="504"/>
      <c r="K73" s="504"/>
      <c r="L73" s="504"/>
      <c r="M73" s="504"/>
      <c r="N73" s="504"/>
      <c r="O73" s="504"/>
      <c r="P73" s="504"/>
      <c r="Q73" s="504"/>
      <c r="R73" s="504"/>
      <c r="S73" s="504"/>
      <c r="T73" s="381" t="b" cm="1">
        <f t="array" aca="1" ref="T73" ca="1">T72</f>
        <v>0</v>
      </c>
      <c r="X73" s="1841"/>
      <c r="Z73" s="1842"/>
      <c r="AB73" s="721" t="s">
        <v>1646</v>
      </c>
      <c r="AC73" s="722" t="s">
        <v>1101</v>
      </c>
      <c r="AD73" s="728" t="s">
        <v>766</v>
      </c>
      <c r="AE73" s="716">
        <f ca="1">SUMIFS(Административные!AE$25:AE$65,Административные!$F$25:$F$65,$F73,Административные!$G$25:$G$65,$G73)</f>
        <v>0</v>
      </c>
      <c r="AF73" s="716">
        <f ca="1">SUMIFS(Административные!AF$25:AF$65,Административные!$F$25:$F$65,$F73,Административные!$G$25:$G$65,$G73)</f>
        <v>0</v>
      </c>
      <c r="AG73" s="716">
        <f ca="1">SUMIFS(Административные!AG$25:AG$65,Административные!$F$25:$F$65,$F73,Административные!$G$25:$G$65,$G73)</f>
        <v>0</v>
      </c>
      <c r="AH73" s="716">
        <f t="shared" ca="1" si="3"/>
        <v>0</v>
      </c>
      <c r="AI73" s="716">
        <f ca="1">SUMIFS(Административные!AH$25:AH$65,Административные!$F$25:$F$65,$F73,Административные!$G$25:$G$65,$G73)</f>
        <v>0</v>
      </c>
      <c r="AJ73" s="1017">
        <f ca="1">SUMIFS(Административные!AI$25:AI$65,Административные!$F$25:$F$65,$F73,Административные!$G$25:$G$65,$G73)</f>
        <v>0</v>
      </c>
      <c r="AK73" s="1017">
        <f ca="1">SUMIFS(Административные!AJ$25:AJ$65,Административные!$F$25:$F$65,$F73,Административные!$G$25:$G$65,$G73)</f>
        <v>0</v>
      </c>
      <c r="AL73" s="716">
        <f t="shared" ca="1" si="4"/>
        <v>0</v>
      </c>
      <c r="AM73" s="1438"/>
      <c r="AN73" s="1439" t="str">
        <f ca="1">IF(IFERROR(INDEX(Административные!$K$26:$L$65,MATCH($F73&amp;"9komm",Административные!$K$26:$K$65,0),2),"")=0,"",IFERROR(INDEX(Административные!$K$26:$L$65,MATCH($F68&amp;"9komm",Административные!$K$26:$K$65,0),2),""))</f>
        <v/>
      </c>
      <c r="AO73" s="1438"/>
      <c r="AR73" s="964" t="s">
        <v>1647</v>
      </c>
    </row>
    <row r="74" spans="2:48" s="505" customFormat="1" ht="14.65" hidden="1" customHeight="1">
      <c r="B74" s="505" t="b">
        <f>STATUS_GO="да"</f>
        <v>1</v>
      </c>
      <c r="E74" s="614">
        <v>15</v>
      </c>
      <c r="F74" s="3" cm="1">
        <f t="array" aca="1" ref="F74" ca="1">OFFSET(E74,-1,1)</f>
        <v>0</v>
      </c>
      <c r="I74" s="615" t="s">
        <v>327</v>
      </c>
      <c r="J74" s="615"/>
      <c r="K74" s="615"/>
      <c r="L74" s="615"/>
      <c r="M74" s="615"/>
      <c r="N74" s="615"/>
      <c r="O74" s="615"/>
      <c r="P74" s="615"/>
      <c r="Q74" s="615"/>
      <c r="R74" s="615"/>
      <c r="S74" s="615"/>
      <c r="T74" s="381" t="b" cm="1">
        <f t="array" aca="1" ref="T74" ca="1">T73</f>
        <v>0</v>
      </c>
      <c r="X74" s="1841"/>
      <c r="Z74" s="1842"/>
      <c r="AB74" s="718" t="s">
        <v>523</v>
      </c>
      <c r="AC74" s="714" t="s">
        <v>1648</v>
      </c>
      <c r="AD74" s="726" t="s">
        <v>766</v>
      </c>
      <c r="AE74" s="715">
        <f ca="1">SUMIFS('Сбытовые расходы ГО'!AE$25:AE$51,'Сбытовые расходы ГО'!$F$25:$F$51,$F74,'Сбытовые расходы ГО'!$G$25:$G$51,"l0")</f>
        <v>0</v>
      </c>
      <c r="AF74" s="715">
        <f ca="1">SUMIFS('Сбытовые расходы ГО'!AF$25:AF$51,'Сбытовые расходы ГО'!$F$25:$F$51,$F74,'Сбытовые расходы ГО'!$G$25:$G$51,"l0")</f>
        <v>0</v>
      </c>
      <c r="AG74" s="715">
        <f ca="1">SUMIFS('Сбытовые расходы ГО'!AG$25:AG$51,'Сбытовые расходы ГО'!$F$25:$F$51,$F74,'Сбытовые расходы ГО'!$G$25:$G$51,"l0")</f>
        <v>0</v>
      </c>
      <c r="AH74" s="715">
        <f t="shared" ca="1" si="3"/>
        <v>0</v>
      </c>
      <c r="AI74" s="715">
        <f ca="1">SUMIFS('Сбытовые расходы ГО'!AH$25:AH$51,'Сбытовые расходы ГО'!$F$25:$F$51,$F74,'Сбытовые расходы ГО'!$G$25:$G$51,"l0")</f>
        <v>0</v>
      </c>
      <c r="AJ74" s="715">
        <f ca="1">SUMIFS('Сбытовые расходы ГО'!AI$25:AI$51,'Сбытовые расходы ГО'!$F$25:$F$51,$F74,'Сбытовые расходы ГО'!$G$25:$G$51,"l0")</f>
        <v>0</v>
      </c>
      <c r="AK74" s="715">
        <f ca="1">SUMIFS('Сбытовые расходы ГО'!AJ$25:AJ$51,'Сбытовые расходы ГО'!$F$25:$F$51,$F74,'Сбытовые расходы ГО'!$G$25:$G$51,"l0")</f>
        <v>0</v>
      </c>
      <c r="AL74" s="715">
        <f t="shared" ca="1" si="4"/>
        <v>0</v>
      </c>
      <c r="AM74" s="1440"/>
      <c r="AN74" s="1439"/>
      <c r="AO74" s="1440"/>
      <c r="AR74" s="965" t="s">
        <v>1649</v>
      </c>
      <c r="AS74" s="965"/>
      <c r="AT74" s="965"/>
      <c r="AU74" s="614"/>
      <c r="AV74" s="614"/>
    </row>
    <row r="75" spans="2:48" s="505" customFormat="1" ht="14.65" hidden="1" customHeight="1">
      <c r="E75" s="614">
        <v>15</v>
      </c>
      <c r="F75" s="3" cm="1">
        <f t="array" aca="1" ref="F75" ca="1">OFFSET(E75,-1,1)</f>
        <v>0</v>
      </c>
      <c r="I75" s="615" t="s">
        <v>326</v>
      </c>
      <c r="J75" s="615"/>
      <c r="K75" s="615"/>
      <c r="L75" s="615"/>
      <c r="M75" s="615"/>
      <c r="N75" s="615"/>
      <c r="O75" s="615"/>
      <c r="P75" s="615"/>
      <c r="Q75" s="615"/>
      <c r="R75" s="615"/>
      <c r="S75" s="615"/>
      <c r="T75" s="381" t="b" cm="1">
        <f t="array" aca="1" ref="T75" ca="1">T74</f>
        <v>0</v>
      </c>
      <c r="X75" s="1841"/>
      <c r="Z75" s="1842"/>
      <c r="AB75" s="718" t="s">
        <v>478</v>
      </c>
      <c r="AC75" s="506" t="s">
        <v>1650</v>
      </c>
      <c r="AD75" s="726" t="s">
        <v>766</v>
      </c>
      <c r="AE75" s="715">
        <f ca="1">SUMIFS(Амортизация!AE$25:AE$125,Амортизация!$F$25:$F$125,$F75,Амортизация!$AC$25:$AC$125,"Сумма амортизационных отчислений")</f>
        <v>0</v>
      </c>
      <c r="AF75" s="715">
        <f ca="1">SUMIFS(Амортизация!AF$25:AF$125,Амортизация!$F$25:$F$125,$F75,Амортизация!$AC$25:$AC$125,"Сумма амортизационных отчислений")</f>
        <v>0</v>
      </c>
      <c r="AG75" s="715">
        <f ca="1">SUMIFS(Амортизация!AG$25:AG$125,Амортизация!$F$25:$F$125,$F75,Амортизация!$AC$25:$AC$125,"Сумма амортизационных отчислений")</f>
        <v>0</v>
      </c>
      <c r="AH75" s="715">
        <f t="shared" ca="1" si="3"/>
        <v>0</v>
      </c>
      <c r="AI75" s="715">
        <f ca="1">SUMIFS(Амортизация!AH$25:AH$125,Амортизация!$F$25:$F$125,$F75,Амортизация!$AC$25:$AC$125,"Сумма амортизационных отчислений")</f>
        <v>0</v>
      </c>
      <c r="AJ75" s="715">
        <f ca="1">SUMIFS(Амортизация!AI$25:AI$125,Амортизация!$F$25:$F$125,$F75,Амортизация!$AC$25:$AC$125,"Сумма амортизационных отчислений")</f>
        <v>0</v>
      </c>
      <c r="AK75" s="715">
        <f ca="1">SUMIFS(Амортизация!AS$25:AS$125,Амортизация!$F$25:$F$125,$F75,Амортизация!$AC$25:$AC$125,"Сумма амортизационных отчислений")</f>
        <v>0</v>
      </c>
      <c r="AL75" s="715">
        <f t="shared" ca="1" si="4"/>
        <v>0</v>
      </c>
      <c r="AM75" s="1440"/>
      <c r="AN75" s="1439" t="str">
        <f ca="1">IF(IFERROR(INDEX(Амортизация!$K$26:$L$125,MATCH($F75&amp;"komm",Амортизация!$K$26:$K$525,0),2),"")=0,"",IFERROR(INDEX(Амортизация!$K$26:$L$125,MATCH($F75&amp;"komm",Амортизация!$K$26:$K$525,0),2),""))</f>
        <v/>
      </c>
      <c r="AO75" s="1440"/>
      <c r="AR75" s="965" t="s">
        <v>1096</v>
      </c>
      <c r="AS75" s="965"/>
      <c r="AT75" s="965"/>
      <c r="AU75" s="614"/>
      <c r="AV75" s="614"/>
    </row>
    <row r="76" spans="2:48" ht="14.65" hidden="1" customHeight="1">
      <c r="E76" s="612">
        <v>15</v>
      </c>
      <c r="F76" s="3" cm="1">
        <f t="array" aca="1" ref="F76" ca="1">OFFSET(E76,-1,1)</f>
        <v>0</v>
      </c>
      <c r="I76" s="504" t="s">
        <v>515</v>
      </c>
      <c r="J76" s="504"/>
      <c r="K76" s="504"/>
      <c r="L76" s="504"/>
      <c r="M76" s="504"/>
      <c r="N76" s="504"/>
      <c r="O76" s="504"/>
      <c r="P76" s="504"/>
      <c r="Q76" s="504"/>
      <c r="R76" s="504"/>
      <c r="S76" s="504"/>
      <c r="T76" s="381" t="b" cm="1">
        <f t="array" aca="1" ref="T76" ca="1">T75</f>
        <v>0</v>
      </c>
      <c r="X76" s="1841"/>
      <c r="Z76" s="1842"/>
      <c r="AB76" s="721" t="s">
        <v>646</v>
      </c>
      <c r="AC76" s="727" t="s">
        <v>1651</v>
      </c>
      <c r="AD76" s="728" t="s">
        <v>766</v>
      </c>
      <c r="AE76" s="723">
        <f ca="1">SUMIFS('ИП + источники'!AF$27:AF$87,'ИП + источники'!$F$27:$F$87,$F76,'ИП + источники'!$AC$27:$AC$87,"Амортизационные отчисления")+SUMIFS('ИП + источники'!AF$27:AF$87,'ИП + источники'!$F$27:$F$87,$F76,'ИП + источники'!$AC$27:$AC$87,"погашение займов и кредитов из амортизации")</f>
        <v>0</v>
      </c>
      <c r="AF76" s="723">
        <f ca="1">SUMIFS('ИП + источники'!AG$27:AG$87,'ИП + источники'!$F$27:$F$87,$F76,'ИП + источники'!$AC$27:$AC$87,"Амортизационные отчисления")+SUMIFS('ИП + источники'!AG$27:AG$87,'ИП + источники'!$F$27:$F$87,$F76,'ИП + источники'!$AC$27:$AC$87,"погашение займов и кредитов из амортизации")</f>
        <v>0</v>
      </c>
      <c r="AG76" s="723">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H76" s="716">
        <f t="shared" ca="1" si="3"/>
        <v>0</v>
      </c>
      <c r="AI76" s="723">
        <f ca="1">SUMIFS('ИП + источники'!AH$27:AH$87,'ИП + источники'!$F$27:$F$87,$F76,'ИП + источники'!$AC$27:$AC$87,"Амортизационные отчисления")+SUMIFS('ИП + источники'!AH$27:AH$87,'ИП + источники'!$F$27:$F$87,$F76,'ИП + источники'!$AC$27:$AC$87,"погашение займов и кредитов из амортизации")</f>
        <v>0</v>
      </c>
      <c r="AJ76" s="1441">
        <f ca="1">SUMIFS('ИП + источники'!AI$27:AI$87,'ИП + источники'!$F$27:$F$87,$F76,'ИП + источники'!$AC$27:$AC$87,"Амортизационные отчисления")+SUMIFS('ИП + источники'!AI$27:AI$87,'ИП + источники'!$F$27:$F$87,$F76,'ИП + источники'!$AC$27:$AC$87,"погашение займов и кредитов из амортизации")</f>
        <v>0</v>
      </c>
      <c r="AK76" s="1441">
        <f ca="1">SUMIFS('ИП + источники'!AJ$27:AJ$87,'ИП + источники'!$F$27:$F$87,$F76,'ИП + источники'!$AC$27:$AC$87,"Амортизационные отчисления")+SUMIFS('ИП + источники'!AJ$27:AJ$87,'ИП + источники'!$F$27:$F$87,$F76,'ИП + источники'!$AC$27:$AC$87,"погашение займов и кредитов из амортизации")</f>
        <v>0</v>
      </c>
      <c r="AL76" s="716">
        <f t="shared" ca="1" si="4"/>
        <v>0</v>
      </c>
      <c r="AM76" s="1438"/>
      <c r="AN76" s="1438"/>
      <c r="AO76" s="1438"/>
      <c r="AR76" s="964" t="s">
        <v>1652</v>
      </c>
    </row>
    <row r="77" spans="2:48" s="505" customFormat="1" ht="21.95" hidden="1" customHeight="1">
      <c r="E77" s="614">
        <v>22.5</v>
      </c>
      <c r="F77" s="3" cm="1">
        <f t="array" aca="1" ref="F77" ca="1">OFFSET(E77,-1,1)</f>
        <v>0</v>
      </c>
      <c r="I77" s="615" t="s">
        <v>477</v>
      </c>
      <c r="J77" s="615"/>
      <c r="K77" s="615"/>
      <c r="L77" s="615"/>
      <c r="M77" s="615"/>
      <c r="N77" s="615"/>
      <c r="O77" s="615"/>
      <c r="P77" s="615"/>
      <c r="Q77" s="615"/>
      <c r="R77" s="615"/>
      <c r="S77" s="615"/>
      <c r="T77" s="381" t="b" cm="1">
        <f t="array" aca="1" ref="T77" ca="1">T76</f>
        <v>0</v>
      </c>
      <c r="X77" s="1841"/>
      <c r="Z77" s="1842"/>
      <c r="AB77" s="718" t="s">
        <v>482</v>
      </c>
      <c r="AC77" s="506" t="s">
        <v>1653</v>
      </c>
      <c r="AD77" s="726" t="s">
        <v>766</v>
      </c>
      <c r="AE77" s="715">
        <f ca="1">SUMIFS(Аренда!AE$25:AE$47,Аренда!$F$25:$F$47,$F77,Аренда!$G$25:$G$47,"Арендная и концессионная плата, лизинговые платежи")</f>
        <v>0</v>
      </c>
      <c r="AF77" s="715">
        <f ca="1">SUMIFS(Аренда!AF$25:AF$47,Аренда!$F$25:$F$47,$F77,Аренда!$G$25:$G$47,"Арендная и концессионная плата, лизинговые платежи")</f>
        <v>0</v>
      </c>
      <c r="AG77" s="715">
        <f ca="1">SUMIFS(Аренда!AG$25:AG$47,Аренда!$F$25:$F$47,$F77,Аренда!$G$25:$G$47,"Арендная и концессионная плата, лизинговые платежи")</f>
        <v>0</v>
      </c>
      <c r="AH77" s="715">
        <f t="shared" ca="1" si="3"/>
        <v>0</v>
      </c>
      <c r="AI77" s="715">
        <f ca="1">SUMIFS(Аренда!AH$25:AH$47,Аренда!$F$25:$F$47,$F77,Аренда!$G$25:$G$47,"Арендная и концессионная плата, лизинговые платежи")</f>
        <v>0</v>
      </c>
      <c r="AJ77" s="715">
        <f ca="1">SUMIFS(Аренда!AI$25:AI$47,Аренда!$F$25:$F$47,$F77,Аренда!$G$25:$G$47,"Арендная и концессионная плата, лизинговые платежи")</f>
        <v>0</v>
      </c>
      <c r="AK77" s="715">
        <f ca="1">SUMIFS(Аренда!AS$25:AS$47,Аренда!$F$25:$F$47,$F77,Аренда!$G$25:$G$47,"Арендная и концессионная плата, лизинговые платежи")</f>
        <v>0</v>
      </c>
      <c r="AL77" s="715">
        <f t="shared" ca="1" si="4"/>
        <v>0</v>
      </c>
      <c r="AM77" s="1440"/>
      <c r="AN77" s="1439" t="str">
        <f ca="1">IF(IFERROR(INDEX(Аренда!$K$26:$L$47,MATCH($F77&amp;"komm",Аренда!$K$26:$K$47,0),2),"")=0,"",IFERROR(INDEX(Аренда!$K$26:$L$47,MATCH($F77&amp;"komm",Аренда!$K$26:$K$47,0),2),""))</f>
        <v/>
      </c>
      <c r="AO77" s="1440"/>
      <c r="AR77" s="965" t="s">
        <v>1654</v>
      </c>
      <c r="AS77" s="965"/>
      <c r="AT77" s="965"/>
      <c r="AU77" s="614"/>
      <c r="AV77" s="614"/>
    </row>
    <row r="78" spans="2:48" s="505" customFormat="1" ht="14.65" hidden="1" customHeight="1">
      <c r="E78" s="614">
        <v>15</v>
      </c>
      <c r="F78" s="3" cm="1">
        <f t="array" aca="1" ref="F78" ca="1">OFFSET(E78,-1,1)</f>
        <v>0</v>
      </c>
      <c r="I78" s="615" t="s">
        <v>481</v>
      </c>
      <c r="J78" s="615"/>
      <c r="K78" s="615"/>
      <c r="L78" s="615"/>
      <c r="M78" s="615"/>
      <c r="N78" s="615"/>
      <c r="O78" s="615"/>
      <c r="P78" s="615"/>
      <c r="Q78" s="615"/>
      <c r="R78" s="615"/>
      <c r="S78" s="615"/>
      <c r="T78" s="381" t="b" cm="1">
        <f t="array" aca="1" ref="T78" ca="1">T77</f>
        <v>0</v>
      </c>
      <c r="X78" s="1841"/>
      <c r="Z78" s="1842"/>
      <c r="AB78" s="718" t="s">
        <v>544</v>
      </c>
      <c r="AC78" s="506" t="s">
        <v>1655</v>
      </c>
      <c r="AD78" s="726" t="s">
        <v>766</v>
      </c>
      <c r="AE78" s="715">
        <f ca="1">SUMIFS(Налоги!AE$25:AE$55,Налоги!$F$25:$F$55,$F78,Налоги!$AC$25:$AC$55,"Налоги и платежи, относимые на указанный вид деятельности")</f>
        <v>0</v>
      </c>
      <c r="AF78" s="715">
        <f ca="1">SUMIFS(Налоги!AF$25:AF$55,Налоги!$F$25:$F$55,$F78,Налоги!$AC$25:$AC$55,"Налоги и платежи, относимые на указанный вид деятельности")</f>
        <v>0</v>
      </c>
      <c r="AG78" s="715">
        <f ca="1">SUMIFS(Налоги!AG$25:AG$55,Налоги!$F$25:$F$55,$F78,Налоги!$AC$25:$AC$55,"Налоги и платежи, относимые на указанный вид деятельности")</f>
        <v>0</v>
      </c>
      <c r="AH78" s="715">
        <f t="shared" ca="1" si="3"/>
        <v>0</v>
      </c>
      <c r="AI78" s="715">
        <f ca="1">SUMIFS(Налоги!AH$25:AH$55,Налоги!$F$25:$F$55,$F78,Налоги!$AC$25:$AC$55,"Налоги и платежи, относимые на указанный вид деятельности")</f>
        <v>0</v>
      </c>
      <c r="AJ78" s="715">
        <f ca="1">SUMIFS(Налоги!AI$25:AI$55,Налоги!$F$25:$F$55,$F78,Налоги!$AC$25:$AC$55,"Налоги и платежи, относимые на указанный вид деятельности")</f>
        <v>0</v>
      </c>
      <c r="AK78" s="715">
        <f ca="1">SUMIFS(Налоги!AS$25:AS$55,Налоги!$F$25:$F$55,$F78,Налоги!$AC$25:$AC$55,"Налоги и платежи, относимые на указанный вид деятельности")</f>
        <v>0</v>
      </c>
      <c r="AL78" s="715">
        <f t="shared" ca="1" si="4"/>
        <v>0</v>
      </c>
      <c r="AM78" s="1440"/>
      <c r="AN78" s="1439" t="str">
        <f ca="1">IF(IFERROR(INDEX(Налоги!$K$26:$L$55,MATCH($F78&amp;"komm",Налоги!$K$26:$K$55,0),2),"")=0,"",IFERROR(INDEX(Налоги!$K$26:$L$55,MATCH($F78&amp;"komm",Налоги!$K$26:$K$55,0),2),""))</f>
        <v/>
      </c>
      <c r="AO78" s="1440"/>
      <c r="AR78" s="965" t="s">
        <v>1124</v>
      </c>
      <c r="AS78" s="965"/>
      <c r="AT78" s="965"/>
      <c r="AU78" s="614"/>
      <c r="AV78" s="614"/>
    </row>
    <row r="79" spans="2:48" s="505" customFormat="1" ht="14.65" hidden="1" customHeight="1">
      <c r="E79" s="614">
        <v>15</v>
      </c>
      <c r="F79" s="3" cm="1">
        <f t="array" aca="1" ref="F79" ca="1">OFFSET(E79,-1,1)</f>
        <v>0</v>
      </c>
      <c r="I79" s="615" t="s">
        <v>528</v>
      </c>
      <c r="J79" s="615"/>
      <c r="K79" s="615"/>
      <c r="L79" s="615"/>
      <c r="M79" s="615"/>
      <c r="N79" s="615"/>
      <c r="O79" s="615"/>
      <c r="P79" s="615"/>
      <c r="Q79" s="615"/>
      <c r="R79" s="615"/>
      <c r="S79" s="615"/>
      <c r="T79" s="381" t="b" cm="1">
        <f t="array" aca="1" ref="T79" ca="1">T78</f>
        <v>0</v>
      </c>
      <c r="X79" s="1841"/>
      <c r="Z79" s="1842"/>
      <c r="AB79" s="718" t="s">
        <v>552</v>
      </c>
      <c r="AC79" s="506" t="s">
        <v>1656</v>
      </c>
      <c r="AD79" s="507" t="s">
        <v>766</v>
      </c>
      <c r="AE79" s="702">
        <f ca="1">AE80+AE81+AE82</f>
        <v>0</v>
      </c>
      <c r="AF79" s="702">
        <f ca="1">AF80+AF81+AF82</f>
        <v>0</v>
      </c>
      <c r="AG79" s="702">
        <f ca="1">AG80+AG81+AG82</f>
        <v>0</v>
      </c>
      <c r="AH79" s="702">
        <f t="shared" ca="1" si="3"/>
        <v>0</v>
      </c>
      <c r="AI79" s="702">
        <f ca="1">AI80+AI81+AI82</f>
        <v>0</v>
      </c>
      <c r="AJ79" s="702">
        <f ca="1">AJ80+AJ81+AJ82</f>
        <v>0</v>
      </c>
      <c r="AK79" s="702">
        <f ca="1">AK80+AK81+AK82</f>
        <v>0</v>
      </c>
      <c r="AL79" s="715">
        <f t="shared" ca="1" si="4"/>
        <v>0</v>
      </c>
      <c r="AM79" s="1440"/>
      <c r="AN79" s="1439"/>
      <c r="AO79" s="1440"/>
      <c r="AR79" s="965" t="s">
        <v>1359</v>
      </c>
      <c r="AS79" s="965"/>
      <c r="AT79" s="965"/>
      <c r="AU79" s="614"/>
      <c r="AV79" s="614"/>
    </row>
    <row r="80" spans="2:48" ht="14.65" hidden="1" customHeight="1">
      <c r="E80" s="612">
        <v>15</v>
      </c>
      <c r="F80" s="3" cm="1">
        <f t="array" aca="1" ref="F80" ca="1">OFFSET(E80,-1,1)</f>
        <v>0</v>
      </c>
      <c r="I80" s="504" t="s">
        <v>531</v>
      </c>
      <c r="J80" s="504"/>
      <c r="K80" s="504"/>
      <c r="L80" s="504"/>
      <c r="M80" s="504"/>
      <c r="N80" s="504"/>
      <c r="O80" s="504"/>
      <c r="P80" s="504"/>
      <c r="Q80" s="504"/>
      <c r="R80" s="504"/>
      <c r="S80" s="504"/>
      <c r="T80" s="381" t="b" cm="1">
        <f t="array" aca="1" ref="T80" ca="1">T79</f>
        <v>0</v>
      </c>
      <c r="X80" s="1841"/>
      <c r="Z80" s="1842"/>
      <c r="AB80" s="721" t="s">
        <v>556</v>
      </c>
      <c r="AC80" s="727" t="s">
        <v>1657</v>
      </c>
      <c r="AD80" s="728" t="s">
        <v>766</v>
      </c>
      <c r="AE80" s="723">
        <f ca="1">SUMIFS('ИП + источники'!AF$26:AF$87,'ИП + источники'!$F$26:$F$87,$F80,'ИП + источники'!$AC$26:$AC$87,"погашение займов и кредитов из нормативной прибыли")+SUMIFS('ИП + источники'!AF$26:AF$87,'ИП + источники'!$F$26:$F$87,$F80,'ИП + источники'!$AC$26:$AC$87,"уплата процентов по кредитам из нормативной прибыли")</f>
        <v>0</v>
      </c>
      <c r="AF80" s="723">
        <f ca="1">SUMIFS('ИП + источники'!AG$26:AG$87,'ИП + источники'!$F$26:$F$87,$F80,'ИП + источники'!$AC$26:$AC$87,"погашение займов и кредитов из нормативной прибыли")+SUMIFS('ИП + источники'!AG$26:AG$87,'ИП + источники'!$F$26:$F$87,$F80,'ИП + источники'!$AC$26:$AC$87,"уплата процентов по кредитам из нормативной прибыли")</f>
        <v>0</v>
      </c>
      <c r="AG80" s="723">
        <f ca="1">SUMIFS('ИП + источники'!AH$26:AH$87,'ИП + источники'!$F$26:$F$87,$F80,'ИП + источники'!$AC$26:$AC$87,"погашение займов и кредитов из нормативной прибыли")+SUMIFS('ИП + источники'!AH$26:AH$87,'ИП + источники'!$F$26:$F$87,$F80,'ИП + источники'!$AC$26:$AC$87,"уплата процентов по кредитам из нормативной прибыли")</f>
        <v>0</v>
      </c>
      <c r="AH80" s="716">
        <f t="shared" ca="1" si="3"/>
        <v>0</v>
      </c>
      <c r="AI80" s="723">
        <f ca="1">SUMIFS('ИП + источники'!AJ$26:AJ$87,'ИП + источники'!$F$26:$F$87,$F80,'ИП + источники'!$AC$26:$AC$87,"погашение займов и кредитов из нормативной прибыли")+SUMIFS('ИП + источники'!AJ$26:AJ$87,'ИП + источники'!$F$26:$F$87,$F80,'ИП + источники'!$AC$26:$AC$87,"уплата процентов по кредитам из нормативной прибыли")</f>
        <v>0</v>
      </c>
      <c r="AJ80" s="1441">
        <f ca="1">SUMIFS('ИП + источники'!AK$26:AK$87,'ИП + источники'!$F$26:$F$87,$F80,'ИП + источники'!$AC$26:$AC$87,"погашение займов и кредитов из нормативной прибыли")+SUMIFS('ИП + источники'!AK$26:AK$87,'ИП + источники'!$F$26:$F$87,$F80,'ИП + источники'!$AC$26:$AC$87,"уплата процентов по кредитам из нормативной прибыли")</f>
        <v>0</v>
      </c>
      <c r="AK80" s="1441">
        <f ca="1">SUMIFS('ИП + источники'!AU$26:AU$87,'ИП + источники'!$F$26:$F$87,$F80,'ИП + источники'!$AC$26:$AC$87,"погашение займов и кредитов из нормативной прибыли")+SUMIFS('ИП + источники'!AU$26:AU$87,'ИП + источники'!$F$26:$F$87,$F80,'ИП + источники'!$AC$26:$AC$87,"уплата процентов по кредитам из нормативной прибыли")</f>
        <v>0</v>
      </c>
      <c r="AL80" s="716">
        <f t="shared" ca="1" si="4"/>
        <v>0</v>
      </c>
      <c r="AM80" s="1438"/>
      <c r="AN80" s="1439" t="str">
        <f ca="1">IF(IFERROR(INDEX('ИП + источники'!$K$28:$L$87,MATCH($F80&amp;"1komm",'ИП + источники'!$K$28:$K$87,0),2),"")=0,"",IFERROR(INDEX('ИП + источники'!$K$28:$L$87,MATCH($F80&amp;"1komm",'ИП + источники'!$K$28:$K$87,0),2),""))</f>
        <v/>
      </c>
      <c r="AO80" s="1438"/>
      <c r="AR80" s="964" t="s">
        <v>1117</v>
      </c>
    </row>
    <row r="81" spans="2:48" ht="14.65" hidden="1" customHeight="1">
      <c r="E81" s="612">
        <v>15</v>
      </c>
      <c r="F81" s="3" cm="1">
        <f t="array" aca="1" ref="F81" ca="1">OFFSET(E81,-1,1)</f>
        <v>0</v>
      </c>
      <c r="I81" s="504" t="s">
        <v>535</v>
      </c>
      <c r="J81" s="504"/>
      <c r="K81" s="504"/>
      <c r="L81" s="504"/>
      <c r="M81" s="504"/>
      <c r="N81" s="504"/>
      <c r="O81" s="504"/>
      <c r="P81" s="504"/>
      <c r="Q81" s="504"/>
      <c r="R81" s="504"/>
      <c r="S81" s="504"/>
      <c r="T81" s="381" t="b" cm="1">
        <f t="array" aca="1" ref="T81" ca="1">T80</f>
        <v>0</v>
      </c>
      <c r="X81" s="1841"/>
      <c r="Z81" s="1842"/>
      <c r="AB81" s="721" t="s">
        <v>573</v>
      </c>
      <c r="AC81" s="727" t="s">
        <v>1658</v>
      </c>
      <c r="AD81" s="728" t="s">
        <v>766</v>
      </c>
      <c r="AE81" s="723">
        <f ca="1">SUMIFS('ИП + источники'!AF$27:AF$87,'ИП + источники'!$F$27:$F$87,$F81,'ИП + источники'!$AC$27:$AC$87,"Прибыль на капвложения")</f>
        <v>0</v>
      </c>
      <c r="AF81" s="723">
        <f ca="1">SUMIFS('ИП + источники'!AG$27:AG$87,'ИП + источники'!$F$27:$F$87,$F81,'ИП + источники'!$AC$27:$AC$87,"Прибыль на капвложения")</f>
        <v>0</v>
      </c>
      <c r="AG81" s="723">
        <f ca="1">SUMIFS('ИП + источники'!AH$27:AH$87,'ИП + источники'!$F$27:$F$87,$F81,'ИП + источники'!$AC$27:$AC$87,"Прибыль на капвложения")</f>
        <v>0</v>
      </c>
      <c r="AH81" s="716">
        <f t="shared" ca="1" si="3"/>
        <v>0</v>
      </c>
      <c r="AI81" s="723">
        <f ca="1">SUMIFS('ИП + источники'!AJ$27:AJ$87,'ИП + источники'!$F$27:$F$87,$F81,'ИП + источники'!$AC$27:$AC$87,"Прибыль на капвложения")</f>
        <v>0</v>
      </c>
      <c r="AJ81" s="1441">
        <f ca="1">SUMIFS('ИП + источники'!AK$27:AK$87,'ИП + источники'!$F$27:$F$87,$F81,'ИП + источники'!$AC$27:$AC$87,"Прибыль на капвложения")</f>
        <v>0</v>
      </c>
      <c r="AK81" s="1441">
        <f ca="1">SUMIFS('ИП + источники'!AU$27:AU$87,'ИП + источники'!$F$27:$F$87,$F81,'ИП + источники'!$AC$27:$AC$87,"Прибыль на капвложения")</f>
        <v>0</v>
      </c>
      <c r="AL81" s="716">
        <f t="shared" ca="1" si="4"/>
        <v>0</v>
      </c>
      <c r="AM81" s="1438"/>
      <c r="AN81" s="1439" t="str">
        <f ca="1">IF(IFERROR(INDEX('ИП + источники'!$K$28:$L$87,MATCH($F81&amp;"2komm",'ИП + источники'!$K$28:$K$87,0),2),"")=0,"",IFERROR(INDEX('ИП + источники'!$K$28:$L$87,MATCH($F81&amp;"2komm",'ИП + источники'!$K$28:$K$87,0),2),""))</f>
        <v/>
      </c>
      <c r="AO81" s="1438"/>
      <c r="AR81" s="964" t="s">
        <v>1659</v>
      </c>
    </row>
    <row r="82" spans="2:48" ht="21.95" hidden="1" customHeight="1">
      <c r="E82" s="612">
        <v>22.5</v>
      </c>
      <c r="F82" s="3" cm="1">
        <f t="array" aca="1" ref="F82" ca="1">OFFSET(E82,-1,1)</f>
        <v>0</v>
      </c>
      <c r="I82" s="504" t="s">
        <v>539</v>
      </c>
      <c r="J82" s="504"/>
      <c r="K82" s="504"/>
      <c r="L82" s="504"/>
      <c r="M82" s="504"/>
      <c r="N82" s="504"/>
      <c r="O82" s="504"/>
      <c r="P82" s="504"/>
      <c r="Q82" s="504"/>
      <c r="R82" s="504"/>
      <c r="S82" s="504"/>
      <c r="T82" s="381" t="b" cm="1">
        <f t="array" aca="1" ref="T82" ca="1">T81</f>
        <v>0</v>
      </c>
      <c r="X82" s="1841"/>
      <c r="Z82" s="1842"/>
      <c r="AB82" s="721" t="s">
        <v>585</v>
      </c>
      <c r="AC82" s="727" t="s">
        <v>1660</v>
      </c>
      <c r="AD82" s="728" t="s">
        <v>766</v>
      </c>
      <c r="AE82" s="723"/>
      <c r="AF82" s="723"/>
      <c r="AG82" s="723"/>
      <c r="AH82" s="716"/>
      <c r="AI82" s="723"/>
      <c r="AJ82" s="1441"/>
      <c r="AK82" s="1441"/>
      <c r="AL82" s="716">
        <f t="shared" si="4"/>
        <v>0</v>
      </c>
      <c r="AM82" s="1438"/>
      <c r="AN82" s="1438"/>
      <c r="AO82" s="1438"/>
      <c r="AR82" s="964" t="s">
        <v>1661</v>
      </c>
    </row>
    <row r="83" spans="2:48" s="505" customFormat="1" ht="21.95" hidden="1" customHeight="1">
      <c r="B83" s="505" t="b">
        <f>STATUS_GO="да"</f>
        <v>1</v>
      </c>
      <c r="E83" s="614">
        <v>22.5</v>
      </c>
      <c r="F83" s="3" cm="1">
        <f t="array" aca="1" ref="F83" ca="1">OFFSET(E83,-1,1)</f>
        <v>0</v>
      </c>
      <c r="I83" s="615" t="s">
        <v>543</v>
      </c>
      <c r="J83" s="615"/>
      <c r="K83" s="615"/>
      <c r="L83" s="615"/>
      <c r="M83" s="615"/>
      <c r="N83" s="615"/>
      <c r="O83" s="615"/>
      <c r="P83" s="615"/>
      <c r="Q83" s="615"/>
      <c r="R83" s="615"/>
      <c r="S83" s="615"/>
      <c r="T83" s="381" t="b" cm="1">
        <f t="array" aca="1" ref="T83" ca="1">T82</f>
        <v>0</v>
      </c>
      <c r="X83" s="1841"/>
      <c r="Z83" s="1842"/>
      <c r="AB83" s="718" t="s">
        <v>710</v>
      </c>
      <c r="AC83" s="714" t="s">
        <v>1662</v>
      </c>
      <c r="AD83" s="726" t="s">
        <v>766</v>
      </c>
      <c r="AE83" s="724"/>
      <c r="AF83" s="724"/>
      <c r="AG83" s="724"/>
      <c r="AH83" s="715">
        <f>AG83-AF83</f>
        <v>0</v>
      </c>
      <c r="AI83" s="724"/>
      <c r="AJ83" s="1442"/>
      <c r="AK83" s="1442"/>
      <c r="AL83" s="715">
        <f t="shared" si="4"/>
        <v>0</v>
      </c>
      <c r="AM83" s="1440"/>
      <c r="AN83" s="1440"/>
      <c r="AO83" s="1440"/>
      <c r="AR83" s="965" t="s">
        <v>1663</v>
      </c>
      <c r="AS83" s="965"/>
      <c r="AT83" s="965"/>
      <c r="AU83" s="614"/>
      <c r="AV83" s="614"/>
    </row>
    <row r="84" spans="2:48" ht="14.65" hidden="1" customHeight="1">
      <c r="E84" s="612">
        <v>15</v>
      </c>
      <c r="F84" s="3" cm="1">
        <f t="array" aca="1" ref="F84" ca="1">OFFSET(E84,-1,1)</f>
        <v>0</v>
      </c>
      <c r="I84" s="504" t="s">
        <v>551</v>
      </c>
      <c r="J84" s="504"/>
      <c r="K84" s="504"/>
      <c r="L84" s="504"/>
      <c r="M84" s="504"/>
      <c r="N84" s="504"/>
      <c r="O84" s="504"/>
      <c r="P84" s="504"/>
      <c r="Q84" s="504"/>
      <c r="R84" s="504"/>
      <c r="S84" s="504"/>
      <c r="T84" s="381" t="b" cm="1">
        <f t="array" aca="1" ref="T84" ca="1">T83</f>
        <v>0</v>
      </c>
      <c r="X84" s="1841"/>
      <c r="Z84" s="1842"/>
      <c r="AB84" s="721" t="s">
        <v>713</v>
      </c>
      <c r="AC84" s="730" t="s">
        <v>1314</v>
      </c>
      <c r="AD84" s="728" t="s">
        <v>766</v>
      </c>
      <c r="AE84" s="723"/>
      <c r="AF84" s="723"/>
      <c r="AG84" s="723"/>
      <c r="AH84" s="716"/>
      <c r="AI84" s="1446"/>
      <c r="AJ84" s="1446"/>
      <c r="AK84" s="1446"/>
      <c r="AL84" s="716">
        <f t="shared" si="4"/>
        <v>0</v>
      </c>
      <c r="AM84" s="1438"/>
      <c r="AN84" s="1438"/>
      <c r="AO84" s="1438"/>
      <c r="AR84" s="964" t="s">
        <v>1664</v>
      </c>
    </row>
    <row r="85" spans="2:48" ht="101.25" hidden="1" customHeight="1">
      <c r="E85" s="612">
        <v>0</v>
      </c>
      <c r="F85" s="3" cm="1">
        <f t="array" aca="1" ref="F85" ca="1">OFFSET(E85,-1,1)</f>
        <v>0</v>
      </c>
      <c r="H85" s="433" t="b">
        <f>ISERR(SEARCH("Водоснабжение",AB27))</f>
        <v>1</v>
      </c>
      <c r="I85" s="504" t="s">
        <v>709</v>
      </c>
      <c r="J85" s="504"/>
      <c r="K85" s="504"/>
      <c r="L85" s="504"/>
      <c r="M85" s="504"/>
      <c r="N85" s="504"/>
      <c r="O85" s="504"/>
      <c r="P85" s="504"/>
      <c r="Q85" s="504"/>
      <c r="R85" s="504"/>
      <c r="S85" s="504"/>
      <c r="T85" s="381" t="b" cm="1">
        <f t="array" aca="1" ref="T85" ca="1">T84</f>
        <v>0</v>
      </c>
      <c r="X85" s="1841"/>
      <c r="Z85" s="1842"/>
      <c r="AB85" s="721" t="s">
        <v>948</v>
      </c>
      <c r="AC85" s="730" t="s">
        <v>1665</v>
      </c>
      <c r="AD85" s="673" t="s">
        <v>766</v>
      </c>
      <c r="AE85" s="723"/>
      <c r="AF85" s="723"/>
      <c r="AG85" s="723"/>
      <c r="AH85" s="716">
        <f t="shared" ref="AH85:AH100" si="5">AG85-AF85</f>
        <v>0</v>
      </c>
      <c r="AI85" s="723"/>
      <c r="AJ85" s="1441"/>
      <c r="AK85" s="1441">
        <f ca="1">IFERROR(SUMIFS('Плата за негативное возд'!$AL$25:$AL$32,'Плата за негативное возд'!$F$25:$F$32,F85,'Плата за негативное возд'!$G$25:$G$32,"1"),0)</f>
        <v>0</v>
      </c>
      <c r="AL85" s="716">
        <f t="shared" si="4"/>
        <v>0</v>
      </c>
      <c r="AM85" s="1438"/>
      <c r="AN85" s="1438"/>
      <c r="AO85" s="1438"/>
      <c r="AR85" s="964" t="s">
        <v>1216</v>
      </c>
    </row>
    <row r="86" spans="2:48" ht="67.5" hidden="1" customHeight="1">
      <c r="E86" s="612">
        <v>0</v>
      </c>
      <c r="F86" s="3" cm="1">
        <f t="array" aca="1" ref="F86" ca="1">OFFSET(E86,-1,1)</f>
        <v>0</v>
      </c>
      <c r="H86" s="433" t="b">
        <f>ISERR(SEARCH("Водоснабжение",AB27))</f>
        <v>1</v>
      </c>
      <c r="I86" s="504" t="s">
        <v>712</v>
      </c>
      <c r="J86" s="504"/>
      <c r="K86" s="504"/>
      <c r="L86" s="504"/>
      <c r="M86" s="504"/>
      <c r="N86" s="504"/>
      <c r="O86" s="504"/>
      <c r="P86" s="504"/>
      <c r="Q86" s="504"/>
      <c r="R86" s="504"/>
      <c r="S86" s="504"/>
      <c r="T86" s="381" t="b" cm="1">
        <f t="array" aca="1" ref="T86" ca="1">T85</f>
        <v>0</v>
      </c>
      <c r="X86" s="1841"/>
      <c r="Z86" s="1842"/>
      <c r="AB86" s="721" t="s">
        <v>1666</v>
      </c>
      <c r="AC86" s="730" t="s">
        <v>1667</v>
      </c>
      <c r="AD86" s="673" t="s">
        <v>766</v>
      </c>
      <c r="AE86" s="723"/>
      <c r="AF86" s="723"/>
      <c r="AG86" s="723"/>
      <c r="AH86" s="716">
        <f t="shared" si="5"/>
        <v>0</v>
      </c>
      <c r="AI86" s="723"/>
      <c r="AJ86" s="1441"/>
      <c r="AK86" s="1441">
        <f ca="1">IFERROR(SUMIFS('Плата за негативное возд'!$AL$25:$AL$32,'Плата за негативное возд'!$F$25:$F$32,F86,'Плата за негативное возд'!$G$25:$G$32,"2"),0)</f>
        <v>0</v>
      </c>
      <c r="AL86" s="716">
        <f t="shared" si="4"/>
        <v>0</v>
      </c>
      <c r="AM86" s="1438"/>
      <c r="AN86" s="1438"/>
      <c r="AO86" s="1438"/>
      <c r="AR86" s="964" t="s">
        <v>1220</v>
      </c>
    </row>
    <row r="87" spans="2:48" ht="14.65" hidden="1" customHeight="1">
      <c r="E87" s="612">
        <v>15</v>
      </c>
      <c r="F87" s="3" cm="1">
        <f t="array" aca="1" ref="F87" ca="1">OFFSET(E87,-1,1)</f>
        <v>0</v>
      </c>
      <c r="I87" s="504" t="s">
        <v>744</v>
      </c>
      <c r="J87" s="504"/>
      <c r="K87" s="504"/>
      <c r="L87" s="504"/>
      <c r="M87" s="504"/>
      <c r="N87" s="504"/>
      <c r="O87" s="504"/>
      <c r="P87" s="504"/>
      <c r="Q87" s="504"/>
      <c r="R87" s="504"/>
      <c r="S87" s="504"/>
      <c r="T87" s="381" t="b" cm="1">
        <f t="array" aca="1" ref="T87" ca="1">T86</f>
        <v>0</v>
      </c>
      <c r="X87" s="1841"/>
      <c r="Z87" s="1842"/>
      <c r="AB87" s="721" t="s">
        <v>1668</v>
      </c>
      <c r="AC87" s="732" t="s">
        <v>1669</v>
      </c>
      <c r="AD87" s="728" t="s">
        <v>766</v>
      </c>
      <c r="AE87" s="723"/>
      <c r="AF87" s="723"/>
      <c r="AG87" s="723"/>
      <c r="AH87" s="716">
        <f t="shared" si="5"/>
        <v>0</v>
      </c>
      <c r="AI87" s="723"/>
      <c r="AJ87" s="1441"/>
      <c r="AK87" s="1441"/>
      <c r="AL87" s="716">
        <f t="shared" si="4"/>
        <v>0</v>
      </c>
      <c r="AM87" s="1438"/>
      <c r="AN87" s="1438"/>
      <c r="AO87" s="1438"/>
      <c r="AR87" s="964" t="s">
        <v>1102</v>
      </c>
    </row>
    <row r="88" spans="2:48" s="505" customFormat="1" ht="21.95" hidden="1" customHeight="1">
      <c r="E88" s="614">
        <v>22.5</v>
      </c>
      <c r="F88" s="3" cm="1">
        <f t="array" aca="1" ref="F88" ca="1">OFFSET(E88,-1,1)</f>
        <v>0</v>
      </c>
      <c r="I88" s="615" t="s">
        <v>745</v>
      </c>
      <c r="J88" s="615"/>
      <c r="K88" s="615"/>
      <c r="L88" s="615"/>
      <c r="M88" s="615"/>
      <c r="N88" s="615"/>
      <c r="O88" s="615"/>
      <c r="P88" s="615"/>
      <c r="Q88" s="615"/>
      <c r="R88" s="615"/>
      <c r="S88" s="615"/>
      <c r="T88" s="381" t="b" cm="1">
        <f t="array" aca="1" ref="T88" ca="1">T87</f>
        <v>0</v>
      </c>
      <c r="X88" s="1841"/>
      <c r="Z88" s="1842"/>
      <c r="AB88" s="718" t="s">
        <v>1670</v>
      </c>
      <c r="AC88" s="506" t="s">
        <v>1671</v>
      </c>
      <c r="AD88" s="726" t="s">
        <v>766</v>
      </c>
      <c r="AE88" s="702">
        <f>AE89+AE90</f>
        <v>0</v>
      </c>
      <c r="AF88" s="702">
        <f>AF89+AF90</f>
        <v>0</v>
      </c>
      <c r="AG88" s="702">
        <f>AG89+AG90</f>
        <v>0</v>
      </c>
      <c r="AH88" s="715">
        <f t="shared" si="5"/>
        <v>0</v>
      </c>
      <c r="AI88" s="702">
        <f>AI89+AI90</f>
        <v>0</v>
      </c>
      <c r="AJ88" s="702">
        <f>AJ89+AJ90</f>
        <v>0</v>
      </c>
      <c r="AK88" s="702">
        <f>AK89+AK90</f>
        <v>0</v>
      </c>
      <c r="AL88" s="715">
        <f t="shared" si="4"/>
        <v>0</v>
      </c>
      <c r="AM88" s="1440"/>
      <c r="AN88" s="1440"/>
      <c r="AO88" s="1440"/>
      <c r="AR88" s="965" t="s">
        <v>1397</v>
      </c>
      <c r="AS88" s="965"/>
      <c r="AT88" s="965"/>
      <c r="AU88" s="614"/>
      <c r="AV88" s="614"/>
    </row>
    <row r="89" spans="2:48" ht="21.95" hidden="1" customHeight="1">
      <c r="E89" s="612">
        <v>22.5</v>
      </c>
      <c r="F89" s="3" cm="1">
        <f t="array" aca="1" ref="F89" ca="1">OFFSET(E89,-1,1)</f>
        <v>0</v>
      </c>
      <c r="I89" s="504" t="s">
        <v>1672</v>
      </c>
      <c r="J89" s="504"/>
      <c r="K89" s="504"/>
      <c r="L89" s="504"/>
      <c r="M89" s="504"/>
      <c r="N89" s="504"/>
      <c r="O89" s="504"/>
      <c r="P89" s="504"/>
      <c r="Q89" s="504"/>
      <c r="R89" s="504"/>
      <c r="S89" s="504"/>
      <c r="T89" s="381" t="b" cm="1">
        <f t="array" aca="1" ref="T89" ca="1">T88</f>
        <v>0</v>
      </c>
      <c r="X89" s="1841"/>
      <c r="Z89" s="1842"/>
      <c r="AB89" s="721" t="s">
        <v>1673</v>
      </c>
      <c r="AC89" s="733" t="s">
        <v>1398</v>
      </c>
      <c r="AD89" s="728" t="s">
        <v>766</v>
      </c>
      <c r="AE89" s="723"/>
      <c r="AF89" s="723"/>
      <c r="AG89" s="723"/>
      <c r="AH89" s="716">
        <f t="shared" si="5"/>
        <v>0</v>
      </c>
      <c r="AI89" s="723"/>
      <c r="AJ89" s="1441"/>
      <c r="AK89" s="1441"/>
      <c r="AL89" s="716">
        <f t="shared" si="4"/>
        <v>0</v>
      </c>
      <c r="AM89" s="1438"/>
      <c r="AN89" s="1438"/>
      <c r="AO89" s="1438"/>
      <c r="AR89" s="964" t="s">
        <v>1436</v>
      </c>
    </row>
    <row r="90" spans="2:48" ht="21.95" hidden="1" customHeight="1">
      <c r="E90" s="612">
        <v>22.5</v>
      </c>
      <c r="F90" s="3" cm="1">
        <f t="array" aca="1" ref="F90" ca="1">OFFSET(E90,-1,1)</f>
        <v>0</v>
      </c>
      <c r="I90" s="504" t="s">
        <v>1674</v>
      </c>
      <c r="J90" s="504"/>
      <c r="K90" s="504"/>
      <c r="L90" s="504"/>
      <c r="M90" s="504"/>
      <c r="N90" s="504"/>
      <c r="O90" s="504"/>
      <c r="P90" s="504"/>
      <c r="Q90" s="504"/>
      <c r="R90" s="504"/>
      <c r="S90" s="504"/>
      <c r="T90" s="381" t="b" cm="1">
        <f t="array" aca="1" ref="T90" ca="1">T89</f>
        <v>0</v>
      </c>
      <c r="X90" s="1841"/>
      <c r="Z90" s="1842"/>
      <c r="AB90" s="721" t="s">
        <v>1675</v>
      </c>
      <c r="AC90" s="733" t="s">
        <v>1400</v>
      </c>
      <c r="AD90" s="728" t="s">
        <v>766</v>
      </c>
      <c r="AE90" s="723"/>
      <c r="AF90" s="723"/>
      <c r="AG90" s="723"/>
      <c r="AH90" s="716">
        <f t="shared" si="5"/>
        <v>0</v>
      </c>
      <c r="AI90" s="723"/>
      <c r="AJ90" s="1441"/>
      <c r="AK90" s="1441"/>
      <c r="AL90" s="716">
        <f t="shared" si="4"/>
        <v>0</v>
      </c>
      <c r="AM90" s="1438"/>
      <c r="AN90" s="1438"/>
      <c r="AO90" s="1438"/>
      <c r="AR90" s="964" t="s">
        <v>1676</v>
      </c>
    </row>
    <row r="91" spans="2:48" ht="14.65" hidden="1" customHeight="1">
      <c r="E91" s="612">
        <v>15</v>
      </c>
      <c r="F91" s="3" cm="1">
        <f t="array" aca="1" ref="F91" ca="1">OFFSET(E91,-1,1)</f>
        <v>0</v>
      </c>
      <c r="I91" s="504" t="s">
        <v>1677</v>
      </c>
      <c r="J91" s="504"/>
      <c r="K91" s="504"/>
      <c r="L91" s="504"/>
      <c r="M91" s="504"/>
      <c r="N91" s="504"/>
      <c r="O91" s="504"/>
      <c r="P91" s="504"/>
      <c r="Q91" s="504"/>
      <c r="R91" s="504"/>
      <c r="S91" s="504"/>
      <c r="T91" s="381" t="b" cm="1">
        <f t="array" aca="1" ref="T91" ca="1">T90</f>
        <v>0</v>
      </c>
      <c r="X91" s="1841"/>
      <c r="Z91" s="1842"/>
      <c r="AB91" s="734" t="s">
        <v>332</v>
      </c>
      <c r="AC91" s="735" t="s">
        <v>1402</v>
      </c>
      <c r="AD91" s="728" t="s">
        <v>766</v>
      </c>
      <c r="AE91" s="723"/>
      <c r="AF91" s="723"/>
      <c r="AG91" s="723"/>
      <c r="AH91" s="716">
        <f t="shared" si="5"/>
        <v>0</v>
      </c>
      <c r="AI91" s="723"/>
      <c r="AJ91" s="1441"/>
      <c r="AK91" s="1441"/>
      <c r="AL91" s="716">
        <f t="shared" si="4"/>
        <v>0</v>
      </c>
      <c r="AM91" s="1438"/>
      <c r="AN91" s="1438"/>
      <c r="AO91" s="1438"/>
      <c r="AR91" s="964" t="s">
        <v>1403</v>
      </c>
    </row>
    <row r="92" spans="2:48" ht="14.65" hidden="1" customHeight="1">
      <c r="E92" s="612">
        <v>15</v>
      </c>
      <c r="F92" s="3" cm="1">
        <f t="array" aca="1" ref="F92" ca="1">OFFSET(E92,-1,1)</f>
        <v>0</v>
      </c>
      <c r="I92" s="504" t="s">
        <v>1678</v>
      </c>
      <c r="J92" s="504"/>
      <c r="K92" s="504"/>
      <c r="L92" s="504"/>
      <c r="M92" s="504"/>
      <c r="N92" s="504"/>
      <c r="O92" s="504"/>
      <c r="P92" s="504"/>
      <c r="Q92" s="504"/>
      <c r="R92" s="504"/>
      <c r="S92" s="504"/>
      <c r="T92" s="381" t="b" cm="1">
        <f t="array" aca="1" ref="T92" ca="1">T91</f>
        <v>0</v>
      </c>
      <c r="X92" s="1841"/>
      <c r="Z92" s="1842"/>
      <c r="AB92" s="734" t="s">
        <v>1679</v>
      </c>
      <c r="AC92" s="735" t="s">
        <v>1404</v>
      </c>
      <c r="AD92" s="728" t="s">
        <v>766</v>
      </c>
      <c r="AE92" s="723"/>
      <c r="AF92" s="723"/>
      <c r="AG92" s="723"/>
      <c r="AH92" s="716">
        <f t="shared" si="5"/>
        <v>0</v>
      </c>
      <c r="AI92" s="723"/>
      <c r="AJ92" s="1441"/>
      <c r="AK92" s="1441"/>
      <c r="AL92" s="716">
        <f t="shared" si="4"/>
        <v>0</v>
      </c>
      <c r="AM92" s="1438"/>
      <c r="AN92" s="1438"/>
      <c r="AO92" s="1438"/>
      <c r="AR92" s="964" t="s">
        <v>1405</v>
      </c>
    </row>
    <row r="93" spans="2:48" s="505" customFormat="1" ht="14.65" hidden="1" customHeight="1">
      <c r="E93" s="614">
        <v>15</v>
      </c>
      <c r="F93" s="3" cm="1">
        <f t="array" aca="1" ref="F93" ca="1">OFFSET(E93,-1,1)</f>
        <v>0</v>
      </c>
      <c r="I93" s="615" t="s">
        <v>1680</v>
      </c>
      <c r="J93" s="615"/>
      <c r="K93" s="615"/>
      <c r="L93" s="615"/>
      <c r="M93" s="615"/>
      <c r="N93" s="615"/>
      <c r="O93" s="615"/>
      <c r="P93" s="615"/>
      <c r="Q93" s="615"/>
      <c r="R93" s="615"/>
      <c r="S93" s="615"/>
      <c r="T93" s="381" t="b" cm="1">
        <f t="array" aca="1" ref="T93" ca="1">T92</f>
        <v>0</v>
      </c>
      <c r="X93" s="1841"/>
      <c r="Z93" s="1842"/>
      <c r="AB93" s="718" t="s">
        <v>1681</v>
      </c>
      <c r="AC93" s="506" t="s">
        <v>1682</v>
      </c>
      <c r="AD93" s="726" t="s">
        <v>766</v>
      </c>
      <c r="AE93" s="702">
        <f ca="1">AE28+AE56+AE61+AE74+AE75+AE77+AE78+AE79+AE83+AE84-AE85-AE86+AE87-AE88+AE91+AE92</f>
        <v>0</v>
      </c>
      <c r="AF93" s="702">
        <f ca="1">AF28+AF56+AF61+AF74+AF75+AF77+AF78+AF79+AF83+AF84-AF85-AF86+AF87-AF88+AF91+AF92</f>
        <v>0</v>
      </c>
      <c r="AG93" s="702">
        <f ca="1">AG28+AG56+AG61+AG74+AG75+AG77+AG78+AG79+AG83+AG84-AG85-AG86+AG87-AG88+AG91+AG92</f>
        <v>0</v>
      </c>
      <c r="AH93" s="715">
        <f t="shared" ca="1" si="5"/>
        <v>0</v>
      </c>
      <c r="AI93" s="702">
        <f ca="1">AI28+AI56+AI61+AI74+AI75+AI77+AI78+AI79+AI83+AI84-AI85-AI86+AI87-AI88+AI91+AI92</f>
        <v>0</v>
      </c>
      <c r="AJ93" s="702">
        <f ca="1">AJ28+AJ56+AJ61+AJ74+AJ75+AJ77+AJ78+AJ79+AJ83+AJ84-AJ85-AJ86+AJ87-AJ88+AJ91+AJ92</f>
        <v>0</v>
      </c>
      <c r="AK93" s="702">
        <f ca="1">AK28+AK56+AK61+AK74+AK75+AK77+AK78+AK79+AK83+AK84-AK85-AK86+AK87-AK88+AK91+AK92</f>
        <v>0</v>
      </c>
      <c r="AL93" s="715">
        <f t="shared" ca="1" si="4"/>
        <v>0</v>
      </c>
      <c r="AM93" s="1440"/>
      <c r="AN93" s="1440"/>
      <c r="AO93" s="1440"/>
      <c r="AR93" s="965" t="s">
        <v>1683</v>
      </c>
      <c r="AS93" s="965"/>
      <c r="AT93" s="965"/>
      <c r="AU93" s="614"/>
      <c r="AV93" s="614"/>
    </row>
    <row r="94" spans="2:48" ht="15" hidden="1" customHeight="1">
      <c r="B94" s="494" t="b">
        <f>G27="двухставочный"</f>
        <v>0</v>
      </c>
      <c r="E94" s="612">
        <v>0</v>
      </c>
      <c r="F94" s="3" cm="1">
        <f t="array" aca="1" ref="F94" ca="1">OFFSET(E94,-1,1)</f>
        <v>0</v>
      </c>
      <c r="I94" s="504" t="s">
        <v>1684</v>
      </c>
      <c r="J94" s="504"/>
      <c r="K94" s="504"/>
      <c r="L94" s="504"/>
      <c r="M94" s="504"/>
      <c r="N94" s="504"/>
      <c r="O94" s="504"/>
      <c r="P94" s="504"/>
      <c r="Q94" s="504"/>
      <c r="R94" s="504"/>
      <c r="S94" s="504"/>
      <c r="T94" s="381" t="b" cm="1">
        <f t="array" aca="1" ref="T94" ca="1">T93</f>
        <v>0</v>
      </c>
      <c r="X94" s="1841"/>
      <c r="Z94" s="1842"/>
      <c r="AB94" s="721" t="s">
        <v>1685</v>
      </c>
      <c r="AC94" s="733" t="s">
        <v>1686</v>
      </c>
      <c r="AD94" s="728" t="s">
        <v>766</v>
      </c>
      <c r="AE94" s="723"/>
      <c r="AF94" s="723"/>
      <c r="AG94" s="723"/>
      <c r="AH94" s="716">
        <f t="shared" si="5"/>
        <v>0</v>
      </c>
      <c r="AI94" s="723"/>
      <c r="AJ94" s="1441"/>
      <c r="AK94" s="1441"/>
      <c r="AL94" s="716">
        <f t="shared" si="4"/>
        <v>0</v>
      </c>
      <c r="AM94" s="1438"/>
      <c r="AN94" s="1438"/>
      <c r="AO94" s="1438"/>
      <c r="AR94" s="964" t="s">
        <v>1687</v>
      </c>
    </row>
    <row r="95" spans="2:48" ht="15" hidden="1" customHeight="1">
      <c r="B95" s="494" t="b">
        <f>G27="двухставочный"</f>
        <v>0</v>
      </c>
      <c r="E95" s="612">
        <v>0</v>
      </c>
      <c r="F95" s="3" cm="1">
        <f t="array" aca="1" ref="F95" ca="1">OFFSET(E95,-1,1)</f>
        <v>0</v>
      </c>
      <c r="I95" s="504" t="s">
        <v>1688</v>
      </c>
      <c r="J95" s="504"/>
      <c r="K95" s="504"/>
      <c r="L95" s="504"/>
      <c r="M95" s="504"/>
      <c r="N95" s="504"/>
      <c r="O95" s="504"/>
      <c r="P95" s="504"/>
      <c r="Q95" s="504"/>
      <c r="R95" s="504"/>
      <c r="S95" s="504"/>
      <c r="T95" s="381" t="b" cm="1">
        <f t="array" aca="1" ref="T95" ca="1">T94</f>
        <v>0</v>
      </c>
      <c r="X95" s="1841"/>
      <c r="Z95" s="1842"/>
      <c r="AB95" s="721" t="s">
        <v>1689</v>
      </c>
      <c r="AC95" s="733" t="s">
        <v>1690</v>
      </c>
      <c r="AD95" s="728" t="s">
        <v>766</v>
      </c>
      <c r="AE95" s="723"/>
      <c r="AF95" s="723"/>
      <c r="AG95" s="723"/>
      <c r="AH95" s="716">
        <f t="shared" si="5"/>
        <v>0</v>
      </c>
      <c r="AI95" s="723"/>
      <c r="AJ95" s="1441"/>
      <c r="AK95" s="1441"/>
      <c r="AL95" s="716">
        <f t="shared" si="4"/>
        <v>0</v>
      </c>
      <c r="AM95" s="1438"/>
      <c r="AN95" s="1438"/>
      <c r="AO95" s="1438"/>
      <c r="AR95" s="964" t="s">
        <v>1691</v>
      </c>
    </row>
    <row r="96" spans="2:48" s="505" customFormat="1" ht="14.65" hidden="1" customHeight="1">
      <c r="E96" s="614">
        <v>15</v>
      </c>
      <c r="F96" s="3" cm="1">
        <f t="array" aca="1" ref="F96" ca="1">OFFSET(E96,-1,1)</f>
        <v>0</v>
      </c>
      <c r="G96" s="495" t="s">
        <v>1463</v>
      </c>
      <c r="I96" s="615" t="s">
        <v>1692</v>
      </c>
      <c r="J96" s="615"/>
      <c r="K96" s="615"/>
      <c r="L96" s="615"/>
      <c r="M96" s="615"/>
      <c r="N96" s="615"/>
      <c r="O96" s="615"/>
      <c r="P96" s="615"/>
      <c r="Q96" s="615"/>
      <c r="R96" s="615"/>
      <c r="S96" s="615"/>
      <c r="T96" s="381" t="b" cm="1">
        <f t="array" aca="1" ref="T96" ca="1">T95</f>
        <v>0</v>
      </c>
      <c r="X96" s="1841"/>
      <c r="Z96" s="1842"/>
      <c r="AB96" s="718" t="s">
        <v>1693</v>
      </c>
      <c r="AC96" s="506" t="s">
        <v>1694</v>
      </c>
      <c r="AD96" s="726" t="s">
        <v>499</v>
      </c>
      <c r="AE96" s="736">
        <f ca="1">SUMIFS(Баланс!AE$26:AE$209,Баланс!$F$26:$F$209,$F96,Баланс!$G$26:$G$209,"ПО")</f>
        <v>0</v>
      </c>
      <c r="AF96" s="736">
        <f ca="1">SUMIFS(Баланс!AF$26:AF$209,Баланс!$F$26:$F$209,$F96,Баланс!$G$26:$G$209,"ПО")</f>
        <v>0</v>
      </c>
      <c r="AG96" s="736">
        <f ca="1">SUMIFS(Баланс!AG$26:AG$209,Баланс!$F$26:$F$209,$F96,Баланс!$G$26:$G$209,"ПО")</f>
        <v>0</v>
      </c>
      <c r="AH96" s="736">
        <f t="shared" ca="1" si="5"/>
        <v>0</v>
      </c>
      <c r="AI96" s="736">
        <f ca="1">SUMIFS(Баланс!AH$26:AH$209,Баланс!$F$26:$F$209,$F96,Баланс!$G$26:$G$209,"ПО")</f>
        <v>0</v>
      </c>
      <c r="AJ96" s="736">
        <f ca="1">SUMIFS(Баланс!AI$26:AI$209,Баланс!$F$26:$F$209,$F96,Баланс!$G$26:$G$209,"ПО")</f>
        <v>0</v>
      </c>
      <c r="AK96" s="736">
        <f ca="1">SUMIFS(Баланс!AS$26:AS$209,Баланс!$F$26:$F$209,$F96,Баланс!$G$26:$G$209,"ПО")</f>
        <v>0</v>
      </c>
      <c r="AL96" s="737"/>
      <c r="AM96" s="1440"/>
      <c r="AN96" s="1440"/>
      <c r="AO96" s="1440"/>
      <c r="AR96" s="965" t="s">
        <v>1695</v>
      </c>
      <c r="AS96" s="965"/>
      <c r="AT96" s="965"/>
      <c r="AU96" s="614"/>
      <c r="AV96" s="614"/>
    </row>
    <row r="97" spans="1:48" ht="14.65" hidden="1" customHeight="1">
      <c r="E97" s="612">
        <v>15</v>
      </c>
      <c r="F97" s="3" cm="1">
        <f t="array" aca="1" ref="F97" ca="1">OFFSET(E97,-1,1)</f>
        <v>0</v>
      </c>
      <c r="G97" s="495" t="s">
        <v>1490</v>
      </c>
      <c r="I97" s="504" t="s">
        <v>1696</v>
      </c>
      <c r="J97" s="504"/>
      <c r="K97" s="504"/>
      <c r="L97" s="504"/>
      <c r="M97" s="504"/>
      <c r="N97" s="504"/>
      <c r="O97" s="504"/>
      <c r="P97" s="504"/>
      <c r="Q97" s="504"/>
      <c r="R97" s="504"/>
      <c r="S97" s="504"/>
      <c r="T97" s="381" t="b" cm="1">
        <f t="array" aca="1" ref="T97" ca="1">T96</f>
        <v>0</v>
      </c>
      <c r="X97" s="1841"/>
      <c r="Z97" s="1842"/>
      <c r="AB97" s="721" t="s">
        <v>1697</v>
      </c>
      <c r="AC97" s="1012" t="s">
        <v>1698</v>
      </c>
      <c r="AD97" s="728" t="s">
        <v>499</v>
      </c>
      <c r="AE97" s="738">
        <f ca="1">AE96/2</f>
        <v>0</v>
      </c>
      <c r="AF97" s="738">
        <f ca="1">AF96/2</f>
        <v>0</v>
      </c>
      <c r="AG97" s="738">
        <f ca="1">AG96/2</f>
        <v>0</v>
      </c>
      <c r="AH97" s="739">
        <f t="shared" ca="1" si="5"/>
        <v>0</v>
      </c>
      <c r="AI97" s="738">
        <f ca="1">AI96/2</f>
        <v>0</v>
      </c>
      <c r="AJ97" s="1447">
        <f ca="1">IF(god=2026,AJ96/12*9,AJ96/2)</f>
        <v>0</v>
      </c>
      <c r="AK97" s="1447">
        <f ca="1">IF(god=2026,AK96/12*9,AK96/2)</f>
        <v>0</v>
      </c>
      <c r="AL97" s="731"/>
      <c r="AM97" s="1438"/>
      <c r="AN97" s="1438"/>
      <c r="AO97" s="1438"/>
      <c r="AR97" s="964" t="s">
        <v>1699</v>
      </c>
    </row>
    <row r="98" spans="1:48" ht="14.65" hidden="1" customHeight="1">
      <c r="E98" s="612">
        <v>15</v>
      </c>
      <c r="F98" s="3" cm="1">
        <f t="array" aca="1" ref="F98" ca="1">OFFSET(E98,-1,1)</f>
        <v>0</v>
      </c>
      <c r="G98" s="495" t="s">
        <v>1451</v>
      </c>
      <c r="I98" s="504" t="s">
        <v>1700</v>
      </c>
      <c r="J98" s="504"/>
      <c r="K98" s="504"/>
      <c r="L98" s="504"/>
      <c r="M98" s="504"/>
      <c r="N98" s="504"/>
      <c r="O98" s="504"/>
      <c r="P98" s="504"/>
      <c r="Q98" s="504"/>
      <c r="R98" s="504"/>
      <c r="S98" s="504"/>
      <c r="T98" s="381" t="b" cm="1">
        <f t="array" aca="1" ref="T98" ca="1">T97</f>
        <v>0</v>
      </c>
      <c r="X98" s="1841"/>
      <c r="Z98" s="1842"/>
      <c r="AB98" s="721" t="s">
        <v>1701</v>
      </c>
      <c r="AC98" s="1012" t="s">
        <v>1702</v>
      </c>
      <c r="AD98" s="728" t="s">
        <v>1454</v>
      </c>
      <c r="AE98" s="723"/>
      <c r="AF98" s="723"/>
      <c r="AG98" s="723"/>
      <c r="AH98" s="716">
        <f t="shared" si="5"/>
        <v>0</v>
      </c>
      <c r="AI98" s="723"/>
      <c r="AJ98" s="1441"/>
      <c r="AK98" s="1441"/>
      <c r="AL98" s="731"/>
      <c r="AM98" s="1438"/>
      <c r="AN98" s="1438"/>
      <c r="AO98" s="1438"/>
      <c r="AR98" s="964" t="s">
        <v>1703</v>
      </c>
    </row>
    <row r="99" spans="1:48" ht="14.65" hidden="1" customHeight="1">
      <c r="E99" s="612">
        <v>15</v>
      </c>
      <c r="F99" s="3" cm="1">
        <f t="array" aca="1" ref="F99" ca="1">OFFSET(E99,-1,1)</f>
        <v>0</v>
      </c>
      <c r="G99" s="495" t="s">
        <v>1503</v>
      </c>
      <c r="I99" s="504" t="s">
        <v>1704</v>
      </c>
      <c r="J99" s="504"/>
      <c r="K99" s="504"/>
      <c r="L99" s="504"/>
      <c r="M99" s="504"/>
      <c r="N99" s="504"/>
      <c r="O99" s="504"/>
      <c r="P99" s="504"/>
      <c r="Q99" s="504"/>
      <c r="R99" s="504"/>
      <c r="S99" s="504"/>
      <c r="T99" s="381" t="b" cm="1">
        <f t="array" aca="1" ref="T99" ca="1">T98</f>
        <v>0</v>
      </c>
      <c r="X99" s="1841"/>
      <c r="Z99" s="1842"/>
      <c r="AB99" s="721" t="s">
        <v>1705</v>
      </c>
      <c r="AC99" s="1012" t="s">
        <v>1706</v>
      </c>
      <c r="AD99" s="728" t="s">
        <v>499</v>
      </c>
      <c r="AE99" s="739">
        <f ca="1">AE96-AE97</f>
        <v>0</v>
      </c>
      <c r="AF99" s="739">
        <f ca="1">AF96-AF97</f>
        <v>0</v>
      </c>
      <c r="AG99" s="739">
        <f ca="1">AG96-AG97</f>
        <v>0</v>
      </c>
      <c r="AH99" s="739">
        <f t="shared" ca="1" si="5"/>
        <v>0</v>
      </c>
      <c r="AI99" s="739">
        <f ca="1">AI96-AI97</f>
        <v>0</v>
      </c>
      <c r="AJ99" s="739">
        <f ca="1">AJ96-AJ97</f>
        <v>0</v>
      </c>
      <c r="AK99" s="739">
        <f ca="1">AK96-AK97</f>
        <v>0</v>
      </c>
      <c r="AL99" s="731"/>
      <c r="AM99" s="1438"/>
      <c r="AN99" s="1438"/>
      <c r="AO99" s="1438"/>
      <c r="AR99" s="964" t="s">
        <v>1707</v>
      </c>
    </row>
    <row r="100" spans="1:48" ht="14.65" hidden="1" customHeight="1">
      <c r="E100" s="612">
        <v>15</v>
      </c>
      <c r="F100" s="3" cm="1">
        <f t="array" aca="1" ref="F100" ca="1">OFFSET(E100,-1,1)</f>
        <v>0</v>
      </c>
      <c r="G100" s="495" t="s">
        <v>1456</v>
      </c>
      <c r="I100" s="504" t="s">
        <v>1708</v>
      </c>
      <c r="J100" s="504"/>
      <c r="K100" s="504"/>
      <c r="L100" s="504"/>
      <c r="M100" s="504"/>
      <c r="N100" s="504"/>
      <c r="O100" s="504"/>
      <c r="P100" s="504"/>
      <c r="Q100" s="504"/>
      <c r="R100" s="504"/>
      <c r="S100" s="504"/>
      <c r="T100" s="381" t="b" cm="1">
        <f t="array" aca="1" ref="T100" ca="1">T99</f>
        <v>0</v>
      </c>
      <c r="X100" s="1841"/>
      <c r="Z100" s="1842"/>
      <c r="AB100" s="721" t="s">
        <v>1709</v>
      </c>
      <c r="AC100" s="1012" t="s">
        <v>1710</v>
      </c>
      <c r="AD100" s="728" t="s">
        <v>1454</v>
      </c>
      <c r="AE100" s="723">
        <f ca="1">IF(AE99=0,0,(AE93-AE97*AE98)/AE99)</f>
        <v>0</v>
      </c>
      <c r="AF100" s="723">
        <f ca="1">IF(AF99=0,0,(AF93-AF97*AF98)/AF99)</f>
        <v>0</v>
      </c>
      <c r="AG100" s="723">
        <f ca="1">IF(AG99=0,0,(AG93-AG97*AG98)/AG99)</f>
        <v>0</v>
      </c>
      <c r="AH100" s="716">
        <f t="shared" ca="1" si="5"/>
        <v>0</v>
      </c>
      <c r="AI100" s="723">
        <f ca="1">IF(AI99=0,0,(AI93-AI97*AI98)/AI99)</f>
        <v>0</v>
      </c>
      <c r="AJ100" s="1441">
        <f ca="1">IF(AJ99=0,0,(AJ93-AJ97*AJ98)/AJ99)</f>
        <v>0</v>
      </c>
      <c r="AK100" s="1441">
        <f ca="1">IF(AK99=0,0,(AK93-AK97*AK98)/AK99)</f>
        <v>0</v>
      </c>
      <c r="AL100" s="731"/>
      <c r="AM100" s="1438"/>
      <c r="AN100" s="1438"/>
      <c r="AO100" s="1438"/>
      <c r="AR100" s="964" t="s">
        <v>1711</v>
      </c>
    </row>
    <row r="101" spans="1:48" ht="14.65" hidden="1" customHeight="1">
      <c r="E101" s="612">
        <v>15</v>
      </c>
      <c r="F101" s="3" cm="1">
        <f t="array" aca="1" ref="F101" ca="1">OFFSET(E101,-1,1)</f>
        <v>0</v>
      </c>
      <c r="G101" s="495"/>
      <c r="I101" s="504" t="s">
        <v>1712</v>
      </c>
      <c r="J101" s="504"/>
      <c r="K101" s="504"/>
      <c r="L101" s="504"/>
      <c r="M101" s="504"/>
      <c r="N101" s="504"/>
      <c r="O101" s="504"/>
      <c r="P101" s="504"/>
      <c r="Q101" s="504"/>
      <c r="R101" s="504"/>
      <c r="S101" s="504"/>
      <c r="T101" s="381" t="b" cm="1">
        <f t="array" aca="1" ref="T101" ca="1">T100</f>
        <v>0</v>
      </c>
      <c r="X101" s="1841"/>
      <c r="Z101" s="1842"/>
      <c r="AB101" s="721" t="s">
        <v>1713</v>
      </c>
      <c r="AC101" s="1012" t="s">
        <v>1714</v>
      </c>
      <c r="AD101" s="728" t="s">
        <v>423</v>
      </c>
      <c r="AE101" s="716">
        <f>IF(AE98=0,0,AE100/AE98*100)</f>
        <v>0</v>
      </c>
      <c r="AF101" s="716">
        <f>IF(AF98=0,0,AF100/AF98*100)</f>
        <v>0</v>
      </c>
      <c r="AG101" s="716">
        <f>IF(AG98=0,0,AG100/AG98*100)</f>
        <v>0</v>
      </c>
      <c r="AH101" s="731"/>
      <c r="AI101" s="716">
        <f>IF(AI98=0,0,AI100/AI98*100)</f>
        <v>0</v>
      </c>
      <c r="AJ101" s="716">
        <f>IF(AJ98=0,0,AJ100/AJ98*100)</f>
        <v>0</v>
      </c>
      <c r="AK101" s="716">
        <f>IF(AK98=0,0,AK100/AK98*100)</f>
        <v>0</v>
      </c>
      <c r="AL101" s="731"/>
      <c r="AM101" s="1438"/>
      <c r="AN101" s="1438"/>
      <c r="AO101" s="1438"/>
      <c r="AR101" s="964" t="s">
        <v>1715</v>
      </c>
    </row>
    <row r="102" spans="1:48" ht="14.65" hidden="1" customHeight="1">
      <c r="E102" s="612">
        <v>15</v>
      </c>
      <c r="F102" s="3" cm="1">
        <f t="array" aca="1" ref="F102" ca="1">OFFSET(E102,-1,1)</f>
        <v>0</v>
      </c>
      <c r="G102" s="495"/>
      <c r="I102" s="504" t="s">
        <v>1716</v>
      </c>
      <c r="J102" s="504"/>
      <c r="K102" s="504"/>
      <c r="L102" s="504"/>
      <c r="M102" s="504"/>
      <c r="N102" s="504"/>
      <c r="O102" s="504"/>
      <c r="P102" s="504"/>
      <c r="Q102" s="504"/>
      <c r="R102" s="504"/>
      <c r="S102" s="504"/>
      <c r="T102" s="381" t="b" cm="1">
        <f t="array" aca="1" ref="T102" ca="1">T101</f>
        <v>0</v>
      </c>
      <c r="X102" s="1841"/>
      <c r="Z102" s="1842"/>
      <c r="AB102" s="721" t="s">
        <v>1717</v>
      </c>
      <c r="AC102" s="1012" t="s">
        <v>1718</v>
      </c>
      <c r="AD102" s="728" t="s">
        <v>1454</v>
      </c>
      <c r="AE102" s="723">
        <f ca="1">IF(AE96=0,0,AE93/AE96)</f>
        <v>0</v>
      </c>
      <c r="AF102" s="723">
        <f ca="1">IF(AF96=0,0,AF93/AF96)</f>
        <v>0</v>
      </c>
      <c r="AG102" s="723">
        <f ca="1">IF(AG96=0,0,AG93/AG96)</f>
        <v>0</v>
      </c>
      <c r="AH102" s="716">
        <f ca="1">AG102-AF102</f>
        <v>0</v>
      </c>
      <c r="AI102" s="723">
        <f ca="1">IF(AI96=0,0,AI93/AI96)</f>
        <v>0</v>
      </c>
      <c r="AJ102" s="1441">
        <f ca="1">IF(AJ96=0,0,AJ93/AJ96)</f>
        <v>0</v>
      </c>
      <c r="AK102" s="1441">
        <f ca="1">IF(AK96=0,0,AK93/AK96)</f>
        <v>0</v>
      </c>
      <c r="AL102" s="731"/>
      <c r="AM102" s="1438"/>
      <c r="AN102" s="1438"/>
      <c r="AO102" s="1438"/>
      <c r="AR102" s="964" t="s">
        <v>1719</v>
      </c>
    </row>
    <row r="103" spans="1:48" s="505" customFormat="1" ht="14.65" hidden="1" customHeight="1">
      <c r="E103" s="614">
        <v>15</v>
      </c>
      <c r="F103" s="3" cm="1">
        <f t="array" aca="1" ref="F103" ca="1">OFFSET(E103,-1,1)</f>
        <v>0</v>
      </c>
      <c r="G103" s="617"/>
      <c r="I103" s="615" t="s">
        <v>1720</v>
      </c>
      <c r="J103" s="615"/>
      <c r="K103" s="615"/>
      <c r="L103" s="615"/>
      <c r="M103" s="615"/>
      <c r="N103" s="615"/>
      <c r="O103" s="615"/>
      <c r="P103" s="615"/>
      <c r="Q103" s="615"/>
      <c r="R103" s="615"/>
      <c r="S103" s="615"/>
      <c r="T103" s="381" t="b" cm="1">
        <f t="array" aca="1" ref="T103" ca="1">T102</f>
        <v>0</v>
      </c>
      <c r="X103" s="1841"/>
      <c r="Z103" s="1842"/>
      <c r="AB103" s="718" t="s">
        <v>1721</v>
      </c>
      <c r="AC103" s="130" t="s">
        <v>1722</v>
      </c>
      <c r="AD103" s="726" t="s">
        <v>766</v>
      </c>
      <c r="AE103" s="1134">
        <f ca="1">IF(AE96=0,0,AE93/AE96*AE104)</f>
        <v>0</v>
      </c>
      <c r="AF103" s="1134">
        <f ca="1">IF(AF96=0,0,AF93/AF96*AF104)</f>
        <v>0</v>
      </c>
      <c r="AG103" s="1134">
        <f ca="1">IF(AG96=0,0,AG93/AG96*AG104)</f>
        <v>0</v>
      </c>
      <c r="AH103" s="702">
        <f ca="1">AH105*AH106+AH107*AH108</f>
        <v>0</v>
      </c>
      <c r="AI103" s="1134">
        <f ca="1">IF(AI96=0,0,AI93/AI96*AI104)</f>
        <v>0</v>
      </c>
      <c r="AJ103" s="1448">
        <f ca="1">IF(AJ96=0,0,AJ93/AJ96*AJ104)</f>
        <v>0</v>
      </c>
      <c r="AK103" s="1448">
        <f ca="1">IF(AK96=0,0,AK93/AK96*AK104)</f>
        <v>0</v>
      </c>
      <c r="AL103" s="715">
        <f ca="1">IF(AI103=0,0,(AK103-AI103)/AI103*100)</f>
        <v>0</v>
      </c>
      <c r="AM103" s="1440"/>
      <c r="AN103" s="1440"/>
      <c r="AO103" s="1440"/>
      <c r="AR103" s="965" t="s">
        <v>1723</v>
      </c>
      <c r="AS103" s="965"/>
      <c r="AT103" s="965"/>
      <c r="AU103" s="614"/>
      <c r="AV103" s="614"/>
    </row>
    <row r="104" spans="1:48" s="505" customFormat="1" ht="14.65" hidden="1" customHeight="1">
      <c r="E104" s="614">
        <v>15</v>
      </c>
      <c r="F104" s="3" cm="1">
        <f t="array" aca="1" ref="F104" ca="1">OFFSET(E104,-1,1)</f>
        <v>0</v>
      </c>
      <c r="G104" s="495" t="s">
        <v>1476</v>
      </c>
      <c r="I104" s="615" t="s">
        <v>1724</v>
      </c>
      <c r="J104" s="615"/>
      <c r="K104" s="615"/>
      <c r="L104" s="615"/>
      <c r="M104" s="615"/>
      <c r="N104" s="615"/>
      <c r="O104" s="615"/>
      <c r="P104" s="615"/>
      <c r="Q104" s="615"/>
      <c r="R104" s="615"/>
      <c r="S104" s="615"/>
      <c r="T104" s="381" t="b" cm="1">
        <f t="array" aca="1" ref="T104" ca="1">T103</f>
        <v>0</v>
      </c>
      <c r="X104" s="1841"/>
      <c r="Z104" s="1842"/>
      <c r="AB104" s="718" t="s">
        <v>1725</v>
      </c>
      <c r="AC104" s="130" t="s">
        <v>1726</v>
      </c>
      <c r="AD104" s="726" t="s">
        <v>499</v>
      </c>
      <c r="AE104" s="736">
        <f ca="1">SUMIFS(Баланс!AE$26:AE$209,Баланс!$F$26:$F$209,$F104,Баланс!$G$26:$G$209,"население")</f>
        <v>0</v>
      </c>
      <c r="AF104" s="736">
        <f ca="1">SUMIFS(Баланс!AF$26:AF$209,Баланс!$F$26:$F$209,$F104,Баланс!$G$26:$G$209,"население")</f>
        <v>0</v>
      </c>
      <c r="AG104" s="736">
        <f ca="1">SUMIFS(Баланс!AG$26:AG$209,Баланс!$F$26:$F$209,$F104,Баланс!$G$26:$G$209,"население")</f>
        <v>0</v>
      </c>
      <c r="AH104" s="736">
        <f t="shared" ref="AH104:AH111" ca="1" si="6">AG104-AF104</f>
        <v>0</v>
      </c>
      <c r="AI104" s="736">
        <f ca="1">SUMIFS(Баланс!AH$26:AH$209,Баланс!$F$26:$F$209,$F104,Баланс!$G$26:$G$209,"население")</f>
        <v>0</v>
      </c>
      <c r="AJ104" s="736">
        <f ca="1">SUMIFS(Баланс!AI$26:AI$209,Баланс!$F$26:$F$209,$F104,Баланс!$G$26:$G$209,"население")</f>
        <v>0</v>
      </c>
      <c r="AK104" s="736">
        <f ca="1">SUMIFS(Баланс!AS$26:AS$209,Баланс!$F$26:$F$209,$F104,Баланс!$G$26:$G$209,"население")</f>
        <v>0</v>
      </c>
      <c r="AL104" s="737"/>
      <c r="AM104" s="1440"/>
      <c r="AN104" s="1440"/>
      <c r="AO104" s="1440"/>
      <c r="AR104" s="965" t="s">
        <v>1727</v>
      </c>
      <c r="AS104" s="965"/>
      <c r="AT104" s="965"/>
      <c r="AU104" s="614"/>
      <c r="AV104" s="614"/>
    </row>
    <row r="105" spans="1:48" ht="14.65" hidden="1" customHeight="1">
      <c r="E105" s="612">
        <v>15</v>
      </c>
      <c r="F105" s="3" cm="1">
        <f t="array" aca="1" ref="F105" ca="1">OFFSET(E105,-1,1)</f>
        <v>0</v>
      </c>
      <c r="G105" s="495" t="s">
        <v>1510</v>
      </c>
      <c r="I105" s="504" t="s">
        <v>1728</v>
      </c>
      <c r="J105" s="504"/>
      <c r="K105" s="504"/>
      <c r="L105" s="504"/>
      <c r="M105" s="504"/>
      <c r="N105" s="504"/>
      <c r="O105" s="504"/>
      <c r="P105" s="504"/>
      <c r="Q105" s="504"/>
      <c r="R105" s="504"/>
      <c r="S105" s="504"/>
      <c r="T105" s="381" t="b" cm="1">
        <f t="array" aca="1" ref="T105" ca="1">T104</f>
        <v>0</v>
      </c>
      <c r="X105" s="1841"/>
      <c r="Z105" s="1842"/>
      <c r="AB105" s="721" t="s">
        <v>1729</v>
      </c>
      <c r="AC105" s="1012" t="s">
        <v>1730</v>
      </c>
      <c r="AD105" s="728" t="s">
        <v>499</v>
      </c>
      <c r="AE105" s="738">
        <f ca="1">AE104/2</f>
        <v>0</v>
      </c>
      <c r="AF105" s="738">
        <f ca="1">AF104/2</f>
        <v>0</v>
      </c>
      <c r="AG105" s="738">
        <f ca="1">AG104/2</f>
        <v>0</v>
      </c>
      <c r="AH105" s="739">
        <f t="shared" ca="1" si="6"/>
        <v>0</v>
      </c>
      <c r="AI105" s="738">
        <f ca="1">AI104/2</f>
        <v>0</v>
      </c>
      <c r="AJ105" s="1447">
        <f ca="1">IF(god=2026,AJ104/12*9,AJ104/2)</f>
        <v>0</v>
      </c>
      <c r="AK105" s="1447">
        <f ca="1">IF(god=2026,AK104/12*9,AK104/2)</f>
        <v>0</v>
      </c>
      <c r="AL105" s="731"/>
      <c r="AM105" s="1438"/>
      <c r="AN105" s="1438"/>
      <c r="AO105" s="1438"/>
      <c r="AR105" s="964" t="s">
        <v>1731</v>
      </c>
    </row>
    <row r="106" spans="1:48" ht="14.65" hidden="1" customHeight="1">
      <c r="E106" s="612">
        <v>15</v>
      </c>
      <c r="F106" s="3" cm="1">
        <f t="array" aca="1" ref="F106" ca="1">OFFSET(E106,-1,1)</f>
        <v>0</v>
      </c>
      <c r="G106" s="495" t="s">
        <v>1466</v>
      </c>
      <c r="I106" s="504" t="s">
        <v>1732</v>
      </c>
      <c r="J106" s="504"/>
      <c r="K106" s="504"/>
      <c r="L106" s="504"/>
      <c r="M106" s="504"/>
      <c r="N106" s="504"/>
      <c r="O106" s="504"/>
      <c r="P106" s="504"/>
      <c r="Q106" s="504"/>
      <c r="R106" s="504"/>
      <c r="S106" s="504"/>
      <c r="T106" s="381" t="b" cm="1">
        <f t="array" aca="1" ref="T106" ca="1">T105</f>
        <v>0</v>
      </c>
      <c r="X106" s="1841"/>
      <c r="Z106" s="1842"/>
      <c r="AB106" s="721" t="s">
        <v>1733</v>
      </c>
      <c r="AC106" s="1012" t="s">
        <v>1734</v>
      </c>
      <c r="AD106" s="728" t="s">
        <v>1454</v>
      </c>
      <c r="AE106" s="1258">
        <f ca="1">IF(AE104=0,0,AE98*(1+Сценарии!AE$26))</f>
        <v>0</v>
      </c>
      <c r="AF106" s="1258">
        <f ca="1">IF(AF104=0,0,AF98*(1+Сценарии!AF$26))</f>
        <v>0</v>
      </c>
      <c r="AG106" s="1258">
        <f ca="1">IF(AG104=0,0,AG98*(1+Сценарии!AG$26))</f>
        <v>0</v>
      </c>
      <c r="AH106" s="716">
        <f t="shared" ca="1" si="6"/>
        <v>0</v>
      </c>
      <c r="AI106" s="1258">
        <f ca="1">IF(AI104=0,0,AI98*(1+Сценарии!AI$26))</f>
        <v>0</v>
      </c>
      <c r="AJ106" s="1449">
        <f ca="1">IF(AJ104=0,0,AJ98*(1+Сценарии!AJ$26))</f>
        <v>0</v>
      </c>
      <c r="AK106" s="1449">
        <f ca="1">IF(AK104=0,0,AK98*(1+Сценарии!AK$26))</f>
        <v>0</v>
      </c>
      <c r="AL106" s="731"/>
      <c r="AM106" s="1438"/>
      <c r="AN106" s="1438"/>
      <c r="AO106" s="1438"/>
      <c r="AR106" s="964" t="s">
        <v>1735</v>
      </c>
    </row>
    <row r="107" spans="1:48" ht="14.65" hidden="1" customHeight="1">
      <c r="E107" s="612">
        <v>15</v>
      </c>
      <c r="F107" s="3" cm="1">
        <f t="array" aca="1" ref="F107" ca="1">OFFSET(E107,-1,1)</f>
        <v>0</v>
      </c>
      <c r="G107" s="495" t="s">
        <v>1517</v>
      </c>
      <c r="I107" s="504" t="s">
        <v>1736</v>
      </c>
      <c r="J107" s="504"/>
      <c r="K107" s="504"/>
      <c r="L107" s="504"/>
      <c r="M107" s="504"/>
      <c r="N107" s="504"/>
      <c r="O107" s="504"/>
      <c r="P107" s="504"/>
      <c r="Q107" s="504"/>
      <c r="R107" s="504"/>
      <c r="S107" s="504"/>
      <c r="T107" s="381" t="b" cm="1">
        <f t="array" aca="1" ref="T107" ca="1">T106</f>
        <v>0</v>
      </c>
      <c r="X107" s="1841"/>
      <c r="Z107" s="1842"/>
      <c r="AB107" s="721" t="s">
        <v>1737</v>
      </c>
      <c r="AC107" s="1012" t="s">
        <v>1706</v>
      </c>
      <c r="AD107" s="728" t="s">
        <v>499</v>
      </c>
      <c r="AE107" s="739">
        <f ca="1">AE104-AE105</f>
        <v>0</v>
      </c>
      <c r="AF107" s="739">
        <f ca="1">AF104-AF105</f>
        <v>0</v>
      </c>
      <c r="AG107" s="739">
        <f ca="1">AG104-AG105</f>
        <v>0</v>
      </c>
      <c r="AH107" s="739">
        <f t="shared" ca="1" si="6"/>
        <v>0</v>
      </c>
      <c r="AI107" s="739">
        <f ca="1">AI104-AI105</f>
        <v>0</v>
      </c>
      <c r="AJ107" s="739">
        <f ca="1">AJ104-AJ105</f>
        <v>0</v>
      </c>
      <c r="AK107" s="739">
        <f ca="1">AK104-AK105</f>
        <v>0</v>
      </c>
      <c r="AL107" s="731"/>
      <c r="AM107" s="1438"/>
      <c r="AN107" s="1438"/>
      <c r="AO107" s="1438"/>
      <c r="AR107" s="964" t="s">
        <v>1738</v>
      </c>
    </row>
    <row r="108" spans="1:48" ht="14.65" hidden="1" customHeight="1">
      <c r="E108" s="612">
        <v>15</v>
      </c>
      <c r="F108" s="3" cm="1">
        <f t="array" aca="1" ref="F108" ca="1">OFFSET(E108,-1,1)</f>
        <v>0</v>
      </c>
      <c r="G108" s="495" t="s">
        <v>1470</v>
      </c>
      <c r="I108" s="504" t="s">
        <v>1739</v>
      </c>
      <c r="J108" s="504"/>
      <c r="K108" s="504"/>
      <c r="L108" s="504"/>
      <c r="M108" s="504"/>
      <c r="N108" s="504"/>
      <c r="O108" s="504"/>
      <c r="P108" s="504"/>
      <c r="Q108" s="504"/>
      <c r="R108" s="504"/>
      <c r="S108" s="504"/>
      <c r="T108" s="381" t="b" cm="1">
        <f t="array" aca="1" ref="T108" ca="1">T107</f>
        <v>0</v>
      </c>
      <c r="X108" s="1841"/>
      <c r="Z108" s="1842"/>
      <c r="AB108" s="721" t="s">
        <v>1740</v>
      </c>
      <c r="AC108" s="1012" t="s">
        <v>1741</v>
      </c>
      <c r="AD108" s="728" t="s">
        <v>1454</v>
      </c>
      <c r="AE108" s="723">
        <f ca="1">IF(AE104=0,0,AE100*(1+Сценарии!AE$26))</f>
        <v>0</v>
      </c>
      <c r="AF108" s="723">
        <f ca="1">IF(AF104=0,0,AF100*(1+Сценарии!AF$26))</f>
        <v>0</v>
      </c>
      <c r="AG108" s="723">
        <f ca="1">IF(AG104=0,0,AG100*(1+Сценарии!AG$26))</f>
        <v>0</v>
      </c>
      <c r="AH108" s="716">
        <f t="shared" ca="1" si="6"/>
        <v>0</v>
      </c>
      <c r="AI108" s="723">
        <f ca="1">IF(AI104=0,0,AI100*(1+Сценарии!AI$26))</f>
        <v>0</v>
      </c>
      <c r="AJ108" s="1441">
        <f ca="1">IF(AJ104=0,0,AJ100*(1+Сценарии!AJ$26))</f>
        <v>0</v>
      </c>
      <c r="AK108" s="1441">
        <f ca="1">IF(AK104=0,0,AK100*(1+Сценарии!AK$26))</f>
        <v>0</v>
      </c>
      <c r="AL108" s="731"/>
      <c r="AM108" s="1438"/>
      <c r="AN108" s="1438"/>
      <c r="AO108" s="1438"/>
      <c r="AR108" s="964" t="s">
        <v>1742</v>
      </c>
    </row>
    <row r="109" spans="1:48" ht="14.65" hidden="1" customHeight="1">
      <c r="E109" s="612">
        <v>15</v>
      </c>
      <c r="F109" s="3" cm="1">
        <f t="array" aca="1" ref="F109" ca="1">OFFSET(E109,-1,1)</f>
        <v>0</v>
      </c>
      <c r="G109" s="495"/>
      <c r="I109" s="504"/>
      <c r="J109" s="504"/>
      <c r="K109" s="504"/>
      <c r="L109" s="504"/>
      <c r="M109" s="504"/>
      <c r="N109" s="504"/>
      <c r="O109" s="504"/>
      <c r="P109" s="504"/>
      <c r="Q109" s="504"/>
      <c r="R109" s="504"/>
      <c r="S109" s="504"/>
      <c r="T109" s="381" t="b" cm="1">
        <f t="array" aca="1" ref="T109" ca="1">T108</f>
        <v>0</v>
      </c>
      <c r="X109" s="1841"/>
      <c r="Z109" s="1842"/>
      <c r="AB109" s="136" t="s">
        <v>1743</v>
      </c>
      <c r="AC109" s="130" t="s">
        <v>1744</v>
      </c>
      <c r="AD109" s="129" t="s">
        <v>766</v>
      </c>
      <c r="AE109" s="723"/>
      <c r="AF109" s="723"/>
      <c r="AG109" s="723"/>
      <c r="AH109" s="716">
        <f t="shared" si="6"/>
        <v>0</v>
      </c>
      <c r="AI109" s="723"/>
      <c r="AJ109" s="1441"/>
      <c r="AK109" s="1441"/>
      <c r="AL109" s="731"/>
      <c r="AM109" s="1438"/>
      <c r="AN109" s="1438"/>
      <c r="AO109" s="1438"/>
      <c r="AR109" s="964" t="s">
        <v>1745</v>
      </c>
    </row>
    <row r="110" spans="1:48" ht="21.95" hidden="1" customHeight="1">
      <c r="E110" s="612">
        <v>22.5</v>
      </c>
      <c r="F110" s="3" cm="1">
        <f t="array" aca="1" ref="F110" ca="1">OFFSET(E110,-1,1)</f>
        <v>0</v>
      </c>
      <c r="G110" s="495"/>
      <c r="I110" s="504"/>
      <c r="J110" s="504"/>
      <c r="K110" s="504"/>
      <c r="L110" s="504"/>
      <c r="M110" s="504"/>
      <c r="N110" s="504"/>
      <c r="O110" s="504"/>
      <c r="P110" s="504"/>
      <c r="Q110" s="504"/>
      <c r="R110" s="504"/>
      <c r="S110" s="504"/>
      <c r="T110" s="381" t="b" cm="1">
        <f t="array" aca="1" ref="T110" ca="1">T109</f>
        <v>0</v>
      </c>
      <c r="X110" s="1841"/>
      <c r="Z110" s="1842"/>
      <c r="AB110" s="215" t="s">
        <v>1746</v>
      </c>
      <c r="AC110" s="676" t="s">
        <v>1747</v>
      </c>
      <c r="AD110" s="216" t="s">
        <v>766</v>
      </c>
      <c r="AE110" s="723"/>
      <c r="AF110" s="723"/>
      <c r="AG110" s="723"/>
      <c r="AH110" s="716">
        <f t="shared" si="6"/>
        <v>0</v>
      </c>
      <c r="AI110" s="723"/>
      <c r="AJ110" s="1441"/>
      <c r="AK110" s="1441"/>
      <c r="AL110" s="731"/>
      <c r="AM110" s="1438"/>
      <c r="AN110" s="1438"/>
      <c r="AO110" s="1438"/>
      <c r="AR110" s="964" t="s">
        <v>1748</v>
      </c>
    </row>
    <row r="111" spans="1:48" ht="70.150000000000006" hidden="1" customHeight="1">
      <c r="E111" s="612">
        <v>72</v>
      </c>
      <c r="F111" s="3" cm="1">
        <f t="array" aca="1" ref="F111" ca="1">OFFSET(E111,-1,1)</f>
        <v>0</v>
      </c>
      <c r="G111" s="495"/>
      <c r="I111" s="504"/>
      <c r="J111" s="504"/>
      <c r="K111" s="504"/>
      <c r="L111" s="504"/>
      <c r="M111" s="504"/>
      <c r="N111" s="504"/>
      <c r="O111" s="504"/>
      <c r="P111" s="504"/>
      <c r="Q111" s="504"/>
      <c r="R111" s="504"/>
      <c r="S111" s="504"/>
      <c r="T111" s="381" t="b" cm="1">
        <f t="array" aca="1" ref="T111" ca="1">T110</f>
        <v>0</v>
      </c>
      <c r="X111" s="1841"/>
      <c r="Z111" s="1842"/>
      <c r="AB111" s="215" t="s">
        <v>1749</v>
      </c>
      <c r="AC111" s="676" t="s">
        <v>1750</v>
      </c>
      <c r="AD111" s="216" t="s">
        <v>766</v>
      </c>
      <c r="AE111" s="723"/>
      <c r="AF111" s="723"/>
      <c r="AG111" s="723"/>
      <c r="AH111" s="716">
        <f t="shared" si="6"/>
        <v>0</v>
      </c>
      <c r="AI111" s="723"/>
      <c r="AJ111" s="1441"/>
      <c r="AK111" s="1441"/>
      <c r="AL111" s="731"/>
      <c r="AM111" s="1438"/>
      <c r="AN111" s="1438"/>
      <c r="AO111" s="1438"/>
      <c r="AR111" s="964" t="s">
        <v>1751</v>
      </c>
    </row>
    <row r="112" spans="1:48" s="1327" customFormat="1" ht="14.25" customHeight="1">
      <c r="A112" s="1203"/>
      <c r="B112" s="1203"/>
      <c r="C112" s="1203"/>
      <c r="D112" s="1203"/>
      <c r="E112" s="612">
        <v>15</v>
      </c>
      <c r="F112" s="496" t="str" cm="1">
        <f t="array" ref="F112">X112</f>
        <v>1</v>
      </c>
      <c r="G112" s="613" t="str" cm="1">
        <f t="array" ref="G112">INDEX('Общие сведения'!$AK$179:$AK$208,MATCH($X112,'Общие сведения'!$Z$179:$Z$208,0))</f>
        <v>одноставочный</v>
      </c>
      <c r="H112" s="1203"/>
      <c r="I112" s="1203"/>
      <c r="J112" s="1203"/>
      <c r="K112" s="1203"/>
      <c r="L112" s="1203"/>
      <c r="M112" s="1203"/>
      <c r="N112" s="1203"/>
      <c r="O112" s="1203"/>
      <c r="P112" s="1203"/>
      <c r="Q112" s="1203"/>
      <c r="R112" s="1203"/>
      <c r="S112" s="1203"/>
      <c r="T112" s="381" t="b">
        <f>X112&gt;0</f>
        <v>1</v>
      </c>
      <c r="U112" s="1203"/>
      <c r="V112" s="611" t="str" cm="1">
        <f t="array" ref="V112">ТМ!$AD$85</f>
        <v>Тариф 1 (Водоснабжение) - тариф на питьевую воду</v>
      </c>
      <c r="W112" s="1203"/>
      <c r="X112" s="1841" t="s">
        <v>281</v>
      </c>
      <c r="Y112" s="1203"/>
      <c r="Z112" s="1842"/>
      <c r="AA112" s="1203"/>
      <c r="AB112" s="1127" t="str" cm="1">
        <f t="array" ref="AB112">ТМ!$AD$85</f>
        <v>Тариф 1 (Водоснабжение) - тариф на питьевую воду</v>
      </c>
      <c r="AC112" s="503"/>
      <c r="AD112" s="503"/>
      <c r="AE112" s="503"/>
      <c r="AF112" s="503"/>
      <c r="AG112" s="503"/>
      <c r="AH112" s="503"/>
      <c r="AI112" s="503"/>
      <c r="AJ112" s="503"/>
      <c r="AK112" s="503"/>
      <c r="AL112" s="503"/>
      <c r="AM112" s="503"/>
      <c r="AN112" s="503"/>
      <c r="AO112" s="503"/>
      <c r="AP112" s="1203"/>
      <c r="AQ112" s="1203"/>
      <c r="AR112" s="964"/>
      <c r="AS112" s="964"/>
      <c r="AT112" s="964"/>
      <c r="AU112" s="961"/>
      <c r="AV112" s="961"/>
    </row>
    <row r="113" spans="1:48" s="1327" customFormat="1" ht="52.9" customHeight="1">
      <c r="A113" s="1203"/>
      <c r="B113" s="1203"/>
      <c r="C113" s="1203"/>
      <c r="D113" s="1203"/>
      <c r="E113" s="612">
        <v>15</v>
      </c>
      <c r="F113" s="3" t="str" cm="1">
        <f t="array" aca="1" ref="F113" ca="1">OFFSET(E113,-1,1)</f>
        <v>1</v>
      </c>
      <c r="G113" s="1203"/>
      <c r="H113" s="1203"/>
      <c r="I113" s="504" t="s">
        <v>323</v>
      </c>
      <c r="J113" s="504"/>
      <c r="K113" s="504"/>
      <c r="L113" s="504"/>
      <c r="M113" s="504"/>
      <c r="N113" s="504"/>
      <c r="O113" s="504"/>
      <c r="P113" s="504"/>
      <c r="Q113" s="504"/>
      <c r="R113" s="504"/>
      <c r="S113" s="504"/>
      <c r="T113" s="381" t="b" cm="1">
        <f t="array" ref="T113">T112</f>
        <v>1</v>
      </c>
      <c r="U113" s="1203"/>
      <c r="V113" s="1203"/>
      <c r="W113" s="1203"/>
      <c r="X113" s="1841"/>
      <c r="Y113" s="1203"/>
      <c r="Z113" s="1842"/>
      <c r="AA113" s="1203"/>
      <c r="AB113" s="713" t="s">
        <v>281</v>
      </c>
      <c r="AC113" s="714" t="s">
        <v>1546</v>
      </c>
      <c r="AD113" s="673" t="s">
        <v>766</v>
      </c>
      <c r="AE113" s="715">
        <f ca="1">AE114+AE118+AE128+AE129+AE132+AE133+AE134</f>
        <v>140.82</v>
      </c>
      <c r="AF113" s="715">
        <f ca="1">AF114+AF118+AF128+AF129+AF132+AF133+AF134</f>
        <v>5.6</v>
      </c>
      <c r="AG113" s="715">
        <f ca="1">AG114+AG118+AG128+AG129+AG132+AG133+AG134</f>
        <v>5.6</v>
      </c>
      <c r="AH113" s="715">
        <f t="shared" ref="AH113:AH141" ca="1" si="7">AG113-AF113</f>
        <v>0</v>
      </c>
      <c r="AI113" s="715">
        <f ca="1">AI114+AI118+AI128+AI129+AI132+AI133+AI134</f>
        <v>146.88999999999999</v>
      </c>
      <c r="AJ113" s="715">
        <f ca="1">AJ114+AJ118+AJ128+AJ129+AJ132+AJ133+AJ134</f>
        <v>155.30000000000001</v>
      </c>
      <c r="AK113" s="715">
        <f ca="1">AK114+AK118+AK128+AK129+AK132+AK133+AK134</f>
        <v>155.33000000000001</v>
      </c>
      <c r="AL113" s="716">
        <f t="shared" ref="AL113:AL141" ca="1" si="8">IF(AI113=0,0,(AK113-AI113)/AI113*100)</f>
        <v>5.7457961740077792</v>
      </c>
      <c r="AM113" s="1450" t="s">
        <v>1752</v>
      </c>
      <c r="AN113" s="816"/>
      <c r="AO113" s="717"/>
      <c r="AP113" s="1203"/>
      <c r="AQ113" s="1203"/>
      <c r="AR113" s="964" t="s">
        <v>484</v>
      </c>
      <c r="AS113" s="964"/>
      <c r="AT113" s="964"/>
      <c r="AU113" s="961"/>
      <c r="AV113" s="961"/>
    </row>
    <row r="114" spans="1:48" s="1451" customFormat="1" ht="21.75" customHeight="1">
      <c r="A114" s="505"/>
      <c r="B114" s="505"/>
      <c r="C114" s="505"/>
      <c r="D114" s="505"/>
      <c r="E114" s="614">
        <v>22.5</v>
      </c>
      <c r="F114" s="3" t="str" cm="1">
        <f t="array" aca="1" ref="F114" ca="1">OFFSET(E114,-1,1)</f>
        <v>1</v>
      </c>
      <c r="G114" s="505"/>
      <c r="H114" s="505"/>
      <c r="I114" s="615" t="s">
        <v>427</v>
      </c>
      <c r="J114" s="615"/>
      <c r="K114" s="615"/>
      <c r="L114" s="615"/>
      <c r="M114" s="615"/>
      <c r="N114" s="615"/>
      <c r="O114" s="615"/>
      <c r="P114" s="615"/>
      <c r="Q114" s="615"/>
      <c r="R114" s="615"/>
      <c r="S114" s="615"/>
      <c r="T114" s="381" t="b" cm="1">
        <f t="array" ref="T114">T113</f>
        <v>1</v>
      </c>
      <c r="U114" s="505"/>
      <c r="V114" s="505"/>
      <c r="W114" s="505"/>
      <c r="X114" s="1841"/>
      <c r="Y114" s="505"/>
      <c r="Z114" s="1842"/>
      <c r="AA114" s="505"/>
      <c r="AB114" s="718" t="s">
        <v>821</v>
      </c>
      <c r="AC114" s="719" t="s">
        <v>1547</v>
      </c>
      <c r="AD114" s="507" t="s">
        <v>766</v>
      </c>
      <c r="AE114" s="715">
        <f ca="1">SUM(AE115:AE117)</f>
        <v>0</v>
      </c>
      <c r="AF114" s="715">
        <f ca="1">SUM(AF115:AF117)</f>
        <v>0</v>
      </c>
      <c r="AG114" s="715">
        <f ca="1">SUM(AG115:AG117)</f>
        <v>0</v>
      </c>
      <c r="AH114" s="715">
        <f t="shared" ca="1" si="7"/>
        <v>0</v>
      </c>
      <c r="AI114" s="715">
        <f ca="1">SUM(AI115:AI117)</f>
        <v>0</v>
      </c>
      <c r="AJ114" s="715">
        <f ca="1">SUM(AJ115:AJ117)</f>
        <v>0</v>
      </c>
      <c r="AK114" s="715">
        <f ca="1">SUM(AK115:AK117)</f>
        <v>0</v>
      </c>
      <c r="AL114" s="715">
        <f t="shared" ca="1" si="8"/>
        <v>0</v>
      </c>
      <c r="AM114" s="720"/>
      <c r="AN114" s="720"/>
      <c r="AO114" s="720"/>
      <c r="AP114" s="505"/>
      <c r="AQ114" s="505"/>
      <c r="AR114" s="965" t="s">
        <v>1548</v>
      </c>
      <c r="AS114" s="965"/>
      <c r="AT114" s="965"/>
      <c r="AU114" s="614"/>
      <c r="AV114" s="614"/>
    </row>
    <row r="115" spans="1:48" s="1327" customFormat="1" ht="14.25" customHeight="1">
      <c r="A115" s="1203"/>
      <c r="B115" s="1203"/>
      <c r="C115" s="1203"/>
      <c r="D115" s="1203"/>
      <c r="E115" s="612">
        <v>15</v>
      </c>
      <c r="F115" s="3" t="str" cm="1">
        <f t="array" aca="1" ref="F115" ca="1">OFFSET(E115,-1,1)</f>
        <v>1</v>
      </c>
      <c r="G115" s="1203"/>
      <c r="H115" s="1203"/>
      <c r="I115" s="504" t="s">
        <v>924</v>
      </c>
      <c r="J115" s="504"/>
      <c r="K115" s="504"/>
      <c r="L115" s="504"/>
      <c r="M115" s="504"/>
      <c r="N115" s="504"/>
      <c r="O115" s="504"/>
      <c r="P115" s="504"/>
      <c r="Q115" s="504"/>
      <c r="R115" s="504"/>
      <c r="S115" s="504"/>
      <c r="T115" s="381" t="b" cm="1">
        <f t="array" ref="T115">T114</f>
        <v>1</v>
      </c>
      <c r="U115" s="1203"/>
      <c r="V115" s="1203"/>
      <c r="W115" s="1203"/>
      <c r="X115" s="1841"/>
      <c r="Y115" s="1203"/>
      <c r="Z115" s="1842"/>
      <c r="AA115" s="1203"/>
      <c r="AB115" s="721" t="s">
        <v>925</v>
      </c>
      <c r="AC115" s="722" t="s">
        <v>1549</v>
      </c>
      <c r="AD115" s="673" t="s">
        <v>766</v>
      </c>
      <c r="AE115" s="716">
        <f ca="1">SUMIFS('Сырье и материалы'!AE$25:AE$35,'Сырье и материалы'!$F$25:$F$35,$F115,'Сырье и материалы'!$AC$25:$AC$35,"Всего по тарифу")</f>
        <v>0</v>
      </c>
      <c r="AF115" s="716">
        <f ca="1">SUMIFS('Сырье и материалы'!AF$25:AF$35,'Сырье и материалы'!$F$25:$F$35,$F115,'Сырье и материалы'!$AC$25:$AC$35,"Всего по тарифу")</f>
        <v>0</v>
      </c>
      <c r="AG115" s="716">
        <f ca="1">SUMIFS('Сырье и материалы'!AG$25:AG$35,'Сырье и материалы'!$F$25:$F$35,$F115,'Сырье и материалы'!$AC$25:$AC$35,"Всего по тарифу")</f>
        <v>0</v>
      </c>
      <c r="AH115" s="716">
        <f t="shared" ca="1" si="7"/>
        <v>0</v>
      </c>
      <c r="AI115" s="716">
        <f ca="1">SUMIFS('Сырье и материалы'!AH$25:AH$35,'Сырье и материалы'!$F$25:$F$35,$F115,'Сырье и материалы'!$AC$25:$AC$35,"Всего по тарифу")</f>
        <v>0</v>
      </c>
      <c r="AJ115" s="716">
        <f ca="1">SUMIFS('Сырье и материалы'!AI$25:AI$35,'Сырье и материалы'!$F$25:$F$35,$F115,'Сырье и материалы'!$AC$25:$AC$35,"Всего по тарифу")</f>
        <v>0</v>
      </c>
      <c r="AK115" s="716">
        <f ca="1">SUMIFS('Сырье и материалы'!AS$25:AS$35,'Сырье и материалы'!$F$25:$F$35,$F115,'Сырье и материалы'!$AC$25:$AC$35,"Всего по тарифу")</f>
        <v>0</v>
      </c>
      <c r="AL115" s="716">
        <f t="shared" ca="1" si="8"/>
        <v>0</v>
      </c>
      <c r="AM115" s="717"/>
      <c r="AN115" s="816" t="str">
        <f ca="1">IF(IFERROR(INDEX('Сырье и материалы'!$K$26:$L$35,MATCH($F115&amp;"komm",'Сырье и материалы'!$K$26:$K$35,0),2),"")=0,"",IFERROR(INDEX('Сырье и материалы'!$K$26:$L$35,MATCH($F115&amp;"komm",'Сырье и материалы'!$K$26:$K$35,0),2),""))</f>
        <v/>
      </c>
      <c r="AO115" s="717"/>
      <c r="AP115" s="1203"/>
      <c r="AQ115" s="1203"/>
      <c r="AR115" s="964" t="s">
        <v>1550</v>
      </c>
      <c r="AS115" s="964"/>
      <c r="AT115" s="964"/>
      <c r="AU115" s="961"/>
      <c r="AV115" s="961"/>
    </row>
    <row r="116" spans="1:48" s="1327" customFormat="1" ht="14.25" customHeight="1">
      <c r="A116" s="1203"/>
      <c r="B116" s="1203"/>
      <c r="C116" s="1203"/>
      <c r="D116" s="1203"/>
      <c r="E116" s="612">
        <v>15</v>
      </c>
      <c r="F116" s="3" t="str" cm="1">
        <f t="array" aca="1" ref="F116" ca="1">OFFSET(E116,-1,1)</f>
        <v>1</v>
      </c>
      <c r="G116" s="1203"/>
      <c r="H116" s="1203"/>
      <c r="I116" s="504" t="s">
        <v>928</v>
      </c>
      <c r="J116" s="504"/>
      <c r="K116" s="504"/>
      <c r="L116" s="504"/>
      <c r="M116" s="504"/>
      <c r="N116" s="504"/>
      <c r="O116" s="504"/>
      <c r="P116" s="504"/>
      <c r="Q116" s="504"/>
      <c r="R116" s="504"/>
      <c r="S116" s="504"/>
      <c r="T116" s="381" t="b" cm="1">
        <f t="array" ref="T116">T115</f>
        <v>1</v>
      </c>
      <c r="U116" s="1203"/>
      <c r="V116" s="1203"/>
      <c r="W116" s="1203"/>
      <c r="X116" s="1841"/>
      <c r="Y116" s="1203"/>
      <c r="Z116" s="1842"/>
      <c r="AA116" s="1203"/>
      <c r="AB116" s="721" t="s">
        <v>929</v>
      </c>
      <c r="AC116" s="722" t="s">
        <v>1551</v>
      </c>
      <c r="AD116" s="673" t="s">
        <v>766</v>
      </c>
      <c r="AE116" s="723"/>
      <c r="AF116" s="723"/>
      <c r="AG116" s="723"/>
      <c r="AH116" s="716">
        <f t="shared" si="7"/>
        <v>0</v>
      </c>
      <c r="AI116" s="723"/>
      <c r="AJ116" s="723"/>
      <c r="AK116" s="723"/>
      <c r="AL116" s="716">
        <f t="shared" si="8"/>
        <v>0</v>
      </c>
      <c r="AM116" s="717"/>
      <c r="AN116" s="717"/>
      <c r="AO116" s="717"/>
      <c r="AP116" s="1203"/>
      <c r="AQ116" s="1203"/>
      <c r="AR116" s="964" t="s">
        <v>1552</v>
      </c>
      <c r="AS116" s="964"/>
      <c r="AT116" s="964"/>
      <c r="AU116" s="961"/>
      <c r="AV116" s="961"/>
    </row>
    <row r="117" spans="1:48" s="1327" customFormat="1" ht="14.25" customHeight="1">
      <c r="A117" s="1203"/>
      <c r="B117" s="1203"/>
      <c r="C117" s="1203"/>
      <c r="D117" s="1203"/>
      <c r="E117" s="612">
        <v>15</v>
      </c>
      <c r="F117" s="3" t="str" cm="1">
        <f t="array" aca="1" ref="F117" ca="1">OFFSET(E117,-1,1)</f>
        <v>1</v>
      </c>
      <c r="G117" s="1203"/>
      <c r="H117" s="1203"/>
      <c r="I117" s="504" t="s">
        <v>1161</v>
      </c>
      <c r="J117" s="504"/>
      <c r="K117" s="504"/>
      <c r="L117" s="504"/>
      <c r="M117" s="504"/>
      <c r="N117" s="504"/>
      <c r="O117" s="504"/>
      <c r="P117" s="504"/>
      <c r="Q117" s="504"/>
      <c r="R117" s="504"/>
      <c r="S117" s="504"/>
      <c r="T117" s="381" t="b" cm="1">
        <f t="array" ref="T117">T116</f>
        <v>1</v>
      </c>
      <c r="U117" s="1203"/>
      <c r="V117" s="1203"/>
      <c r="W117" s="1203"/>
      <c r="X117" s="1841"/>
      <c r="Y117" s="1203"/>
      <c r="Z117" s="1842"/>
      <c r="AA117" s="1203"/>
      <c r="AB117" s="721" t="s">
        <v>1162</v>
      </c>
      <c r="AC117" s="722" t="s">
        <v>1553</v>
      </c>
      <c r="AD117" s="673" t="s">
        <v>766</v>
      </c>
      <c r="AE117" s="723"/>
      <c r="AF117" s="723"/>
      <c r="AG117" s="723"/>
      <c r="AH117" s="716">
        <f t="shared" si="7"/>
        <v>0</v>
      </c>
      <c r="AI117" s="723"/>
      <c r="AJ117" s="723"/>
      <c r="AK117" s="723"/>
      <c r="AL117" s="716">
        <f t="shared" si="8"/>
        <v>0</v>
      </c>
      <c r="AM117" s="717"/>
      <c r="AN117" s="717"/>
      <c r="AO117" s="717"/>
      <c r="AP117" s="1203"/>
      <c r="AQ117" s="1203"/>
      <c r="AR117" s="964" t="s">
        <v>1554</v>
      </c>
      <c r="AS117" s="964"/>
      <c r="AT117" s="964"/>
      <c r="AU117" s="961"/>
      <c r="AV117" s="961"/>
    </row>
    <row r="118" spans="1:48" s="1452" customFormat="1" ht="61.15" customHeight="1">
      <c r="A118" s="505"/>
      <c r="B118" s="505"/>
      <c r="C118" s="505"/>
      <c r="D118" s="505"/>
      <c r="E118" s="614">
        <v>22.5</v>
      </c>
      <c r="F118" s="3" t="str" cm="1">
        <f t="array" aca="1" ref="F118" ca="1">OFFSET(E118,-1,1)</f>
        <v>1</v>
      </c>
      <c r="G118" s="505"/>
      <c r="H118" s="505"/>
      <c r="I118" s="615" t="s">
        <v>431</v>
      </c>
      <c r="J118" s="615"/>
      <c r="K118" s="615"/>
      <c r="L118" s="615"/>
      <c r="M118" s="615"/>
      <c r="N118" s="615"/>
      <c r="O118" s="615"/>
      <c r="P118" s="615"/>
      <c r="Q118" s="615"/>
      <c r="R118" s="615"/>
      <c r="S118" s="615"/>
      <c r="T118" s="381" t="b" cm="1">
        <f t="array" ref="T118">T117</f>
        <v>1</v>
      </c>
      <c r="U118" s="505"/>
      <c r="V118" s="505"/>
      <c r="W118" s="505"/>
      <c r="X118" s="1841"/>
      <c r="Y118" s="505"/>
      <c r="Z118" s="1842"/>
      <c r="AA118" s="505"/>
      <c r="AB118" s="718" t="s">
        <v>824</v>
      </c>
      <c r="AC118" s="719" t="s">
        <v>1555</v>
      </c>
      <c r="AD118" s="507" t="s">
        <v>766</v>
      </c>
      <c r="AE118" s="715">
        <f ca="1">SUM(AE119:AE127)</f>
        <v>140.82</v>
      </c>
      <c r="AF118" s="715">
        <f ca="1">SUM(AF119:AF127)</f>
        <v>5.6</v>
      </c>
      <c r="AG118" s="715">
        <f ca="1">SUM(AG119:AG127)</f>
        <v>5.6</v>
      </c>
      <c r="AH118" s="715">
        <f t="shared" ca="1" si="7"/>
        <v>0</v>
      </c>
      <c r="AI118" s="715">
        <f ca="1">SUM(AI119:AI127)</f>
        <v>146.88999999999999</v>
      </c>
      <c r="AJ118" s="715">
        <f ca="1">SUM(AJ119:AJ127)</f>
        <v>155.30000000000001</v>
      </c>
      <c r="AK118" s="715">
        <f ca="1">SUM(AK119:AK127)</f>
        <v>155.33000000000001</v>
      </c>
      <c r="AL118" s="715">
        <f t="shared" ca="1" si="8"/>
        <v>5.7457961740077792</v>
      </c>
      <c r="AM118" s="1453" t="s">
        <v>1752</v>
      </c>
      <c r="AN118" s="720"/>
      <c r="AO118" s="720"/>
      <c r="AP118" s="505"/>
      <c r="AQ118" s="505"/>
      <c r="AR118" s="965" t="s">
        <v>1556</v>
      </c>
      <c r="AS118" s="965"/>
      <c r="AT118" s="965"/>
      <c r="AU118" s="614"/>
      <c r="AV118" s="614"/>
    </row>
    <row r="119" spans="1:48" s="1327" customFormat="1" ht="14.25" customHeight="1">
      <c r="A119" s="1203"/>
      <c r="B119" s="1203"/>
      <c r="C119" s="1203"/>
      <c r="D119" s="1203"/>
      <c r="E119" s="612">
        <v>15</v>
      </c>
      <c r="F119" s="3" t="str" cm="1">
        <f t="array" aca="1" ref="F119" ca="1">OFFSET(E119,-1,1)</f>
        <v>1</v>
      </c>
      <c r="G119" s="1203"/>
      <c r="H119" s="1203"/>
      <c r="I119" s="504" t="s">
        <v>1186</v>
      </c>
      <c r="J119" s="504"/>
      <c r="K119" s="504"/>
      <c r="L119" s="504"/>
      <c r="M119" s="504"/>
      <c r="N119" s="504"/>
      <c r="O119" s="504"/>
      <c r="P119" s="504"/>
      <c r="Q119" s="504"/>
      <c r="R119" s="504"/>
      <c r="S119" s="504"/>
      <c r="T119" s="381" t="b" cm="1">
        <f t="array" ref="T119">T118</f>
        <v>1</v>
      </c>
      <c r="U119" s="1203"/>
      <c r="V119" s="1203"/>
      <c r="W119" s="1203"/>
      <c r="X119" s="1841"/>
      <c r="Y119" s="1203"/>
      <c r="Z119" s="1842"/>
      <c r="AA119" s="1203"/>
      <c r="AB119" s="721" t="s">
        <v>1187</v>
      </c>
      <c r="AC119" s="722" t="s">
        <v>1557</v>
      </c>
      <c r="AD119" s="673" t="s">
        <v>766</v>
      </c>
      <c r="AE119" s="716">
        <f ca="1">SUMIFS(ЭЭ!AE$25:AE$67,ЭЭ!$F$25:$F$67,$F119,ЭЭ!$AC$25:$AC$67,"Всего по тарифу")</f>
        <v>0</v>
      </c>
      <c r="AF119" s="716">
        <f ca="1">SUMIFS(ЭЭ!AF$25:AF$67,ЭЭ!$F$25:$F$67,$F119,ЭЭ!$AC$25:$AC$67,"Всего по тарифу")</f>
        <v>0</v>
      </c>
      <c r="AG119" s="716">
        <f ca="1">SUMIFS(ЭЭ!AG$25:AG$67,ЭЭ!$F$25:$F$67,$F119,ЭЭ!$AC$25:$AC$67,"Всего по тарифу")</f>
        <v>0</v>
      </c>
      <c r="AH119" s="716">
        <f t="shared" ca="1" si="7"/>
        <v>0</v>
      </c>
      <c r="AI119" s="716">
        <f ca="1">SUMIFS(ЭЭ!AH$25:AH$67,ЭЭ!$F$25:$F$67,$F119,ЭЭ!$AC$25:$AC$67,"Всего по тарифу")</f>
        <v>0</v>
      </c>
      <c r="AJ119" s="716">
        <f ca="1">SUMIFS(ЭЭ!AI$25:AI$67,ЭЭ!$F$25:$F$67,$F119,ЭЭ!$AC$25:$AC$67,"Всего по тарифу")</f>
        <v>0</v>
      </c>
      <c r="AK119" s="716">
        <f ca="1">SUMIFS(ЭЭ!AS$25:AS$67,ЭЭ!$F$25:$F$67,$F119,ЭЭ!$AC$25:$AC$67,"Всего по тарифу")</f>
        <v>0</v>
      </c>
      <c r="AL119" s="716">
        <f t="shared" ca="1" si="8"/>
        <v>0</v>
      </c>
      <c r="AM119" s="717"/>
      <c r="AN119" s="816" t="str">
        <f ca="1">IF(IFERROR(INDEX(ЭЭ!$K$26:$L$67,MATCH($F119&amp;"komm",ЭЭ!$K$26:$K$67,0),2),"")=0,"",IFERROR(INDEX(ЭЭ!$K$26:$L$67,MATCH($F119&amp;"komm",ЭЭ!$K$26:$K$67,0),2),""))</f>
        <v/>
      </c>
      <c r="AO119" s="717"/>
      <c r="AP119" s="1203"/>
      <c r="AQ119" s="1203"/>
      <c r="AR119" s="964" t="s">
        <v>1558</v>
      </c>
      <c r="AS119" s="964"/>
      <c r="AT119" s="964"/>
      <c r="AU119" s="961"/>
      <c r="AV119" s="961"/>
    </row>
    <row r="120" spans="1:48" s="1327" customFormat="1" ht="14.25" customHeight="1">
      <c r="A120" s="1203"/>
      <c r="B120" s="1203"/>
      <c r="C120" s="1203"/>
      <c r="D120" s="1203"/>
      <c r="E120" s="612">
        <v>15</v>
      </c>
      <c r="F120" s="3" t="str" cm="1">
        <f t="array" aca="1" ref="F120" ca="1">OFFSET(E120,-1,1)</f>
        <v>1</v>
      </c>
      <c r="G120" s="494" t="s">
        <v>998</v>
      </c>
      <c r="H120" s="1203"/>
      <c r="I120" s="504" t="s">
        <v>1189</v>
      </c>
      <c r="J120" s="504"/>
      <c r="K120" s="504"/>
      <c r="L120" s="504"/>
      <c r="M120" s="504"/>
      <c r="N120" s="504"/>
      <c r="O120" s="504"/>
      <c r="P120" s="504"/>
      <c r="Q120" s="504"/>
      <c r="R120" s="504"/>
      <c r="S120" s="504"/>
      <c r="T120" s="381" t="b" cm="1">
        <f t="array" ref="T120">T119</f>
        <v>1</v>
      </c>
      <c r="U120" s="1203"/>
      <c r="V120" s="1203"/>
      <c r="W120" s="1203"/>
      <c r="X120" s="1841"/>
      <c r="Y120" s="1203"/>
      <c r="Z120" s="1842"/>
      <c r="AA120" s="1203"/>
      <c r="AB120" s="721" t="s">
        <v>1190</v>
      </c>
      <c r="AC120" s="722" t="s">
        <v>1559</v>
      </c>
      <c r="AD120" s="673" t="s">
        <v>766</v>
      </c>
      <c r="AE120" s="716">
        <f ca="1">SUMIFS(Покупка!AE$25:AE$90,Покупка!$F$25:$F$90,$F120,Покупка!$AC$25:$AC$90,$G120)</f>
        <v>0</v>
      </c>
      <c r="AF120" s="716">
        <f ca="1">SUMIFS(Покупка!AF$25:AF$90,Покупка!$F$25:$F$90,$F120,Покупка!$AC$25:$AC$90,$G120)</f>
        <v>0</v>
      </c>
      <c r="AG120" s="716">
        <f ca="1">SUMIFS(Покупка!AG$25:AG$90,Покупка!$F$25:$F$90,$F120,Покупка!$AC$25:$AC$90,$G120)</f>
        <v>0</v>
      </c>
      <c r="AH120" s="716">
        <f t="shared" ca="1" si="7"/>
        <v>0</v>
      </c>
      <c r="AI120" s="716">
        <f ca="1">SUMIFS(Покупка!AH$25:AH$90,Покупка!$F$25:$F$90,$F120,Покупка!$AC$25:$AC$90,$G120)</f>
        <v>0</v>
      </c>
      <c r="AJ120" s="716">
        <f ca="1">SUMIFS(Покупка!AI$25:AI$90,Покупка!$F$25:$F$90,$F120,Покупка!$AC$25:$AC$90,$G120)</f>
        <v>0</v>
      </c>
      <c r="AK120" s="716">
        <f ca="1">SUMIFS(Покупка!AS$25:AS$90,Покупка!$F$25:$F$90,$F120,Покупка!$AC$25:$AC$90,$G120)</f>
        <v>0</v>
      </c>
      <c r="AL120" s="716">
        <f t="shared" ca="1" si="8"/>
        <v>0</v>
      </c>
      <c r="AM120" s="717"/>
      <c r="AN120" s="816" t="str">
        <f ca="1">IF(IFERROR(INDEX(Покупка!$K$26:$L$90,MATCH($F120&amp;"6komm",Покупка!$K$26:$K$90,0),2),"")=0,"",IFERROR(INDEX(Покупка!$K$26:$L$90,MATCH($F120&amp;"6komm",Покупка!$K$26:$K$90,0),2),""))</f>
        <v/>
      </c>
      <c r="AO120" s="717"/>
      <c r="AP120" s="1203"/>
      <c r="AQ120" s="1203"/>
      <c r="AR120" s="964" t="s">
        <v>999</v>
      </c>
      <c r="AS120" s="964"/>
      <c r="AT120" s="964"/>
      <c r="AU120" s="961"/>
      <c r="AV120" s="961"/>
    </row>
    <row r="121" spans="1:48" s="1327" customFormat="1" ht="14.25" customHeight="1">
      <c r="A121" s="1203"/>
      <c r="B121" s="1203"/>
      <c r="C121" s="1203"/>
      <c r="D121" s="1203"/>
      <c r="E121" s="612">
        <v>15</v>
      </c>
      <c r="F121" s="3" t="str" cm="1">
        <f t="array" aca="1" ref="F121" ca="1">OFFSET(E121,-1,1)</f>
        <v>1</v>
      </c>
      <c r="G121" s="494" t="s">
        <v>1000</v>
      </c>
      <c r="H121" s="1203"/>
      <c r="I121" s="504" t="s">
        <v>1193</v>
      </c>
      <c r="J121" s="504"/>
      <c r="K121" s="504"/>
      <c r="L121" s="504"/>
      <c r="M121" s="504"/>
      <c r="N121" s="504"/>
      <c r="O121" s="504"/>
      <c r="P121" s="504"/>
      <c r="Q121" s="504"/>
      <c r="R121" s="504"/>
      <c r="S121" s="504"/>
      <c r="T121" s="381" t="b" cm="1">
        <f t="array" ref="T121">T120</f>
        <v>1</v>
      </c>
      <c r="U121" s="1203"/>
      <c r="V121" s="1203"/>
      <c r="W121" s="1203"/>
      <c r="X121" s="1841"/>
      <c r="Y121" s="1203"/>
      <c r="Z121" s="1842"/>
      <c r="AA121" s="1203"/>
      <c r="AB121" s="721" t="s">
        <v>1194</v>
      </c>
      <c r="AC121" s="722" t="s">
        <v>1560</v>
      </c>
      <c r="AD121" s="673" t="s">
        <v>766</v>
      </c>
      <c r="AE121" s="716">
        <f ca="1">SUMIFS(Покупка!AE$25:AE$90,Покупка!$F$25:$F$90,$F121,Покупка!$AC$25:$AC$90,$G121)</f>
        <v>0</v>
      </c>
      <c r="AF121" s="716">
        <f ca="1">SUMIFS(Покупка!AF$25:AF$90,Покупка!$F$25:$F$90,$F121,Покупка!$AC$25:$AC$90,$G121)</f>
        <v>0</v>
      </c>
      <c r="AG121" s="716">
        <f ca="1">SUMIFS(Покупка!AG$25:AG$90,Покупка!$F$25:$F$90,$F121,Покупка!$AC$25:$AC$90,$G121)</f>
        <v>0</v>
      </c>
      <c r="AH121" s="716">
        <f t="shared" ca="1" si="7"/>
        <v>0</v>
      </c>
      <c r="AI121" s="716">
        <f ca="1">SUMIFS(Покупка!AH$25:AH$90,Покупка!$F$25:$F$90,$F121,Покупка!$AC$25:$AC$90,$G121)</f>
        <v>0</v>
      </c>
      <c r="AJ121" s="716">
        <f ca="1">SUMIFS(Покупка!AI$25:AI$90,Покупка!$F$25:$F$90,$F121,Покупка!$AC$25:$AC$90,$G121)</f>
        <v>0</v>
      </c>
      <c r="AK121" s="716">
        <f ca="1">SUMIFS(Покупка!AS$25:AS$90,Покупка!$F$25:$F$90,$F121,Покупка!$AC$25:$AC$90,$G121)</f>
        <v>0</v>
      </c>
      <c r="AL121" s="716">
        <f t="shared" ca="1" si="8"/>
        <v>0</v>
      </c>
      <c r="AM121" s="717"/>
      <c r="AN121" s="816" t="str">
        <f ca="1">IF(IFERROR(INDEX(Покупка!$K$26:$L$90,MATCH($F121&amp;"7komm",Покупка!$K$26:$K$90,0),2),"")=0,"",IFERROR(INDEX(Покупка!$K$26:$L$90,MATCH($F121&amp;"7komm",Покупка!$K$26:$K$90,0),2),""))</f>
        <v/>
      </c>
      <c r="AO121" s="717"/>
      <c r="AP121" s="1203"/>
      <c r="AQ121" s="1203"/>
      <c r="AR121" s="964" t="s">
        <v>1001</v>
      </c>
      <c r="AS121" s="964"/>
      <c r="AT121" s="964"/>
      <c r="AU121" s="961"/>
      <c r="AV121" s="961"/>
    </row>
    <row r="122" spans="1:48" s="1327" customFormat="1" ht="14.25" customHeight="1">
      <c r="A122" s="1203"/>
      <c r="B122" s="1203"/>
      <c r="C122" s="1203"/>
      <c r="D122" s="1203"/>
      <c r="E122" s="612">
        <v>15</v>
      </c>
      <c r="F122" s="3" t="str" cm="1">
        <f t="array" aca="1" ref="F122" ca="1">OFFSET(E122,-1,1)</f>
        <v>1</v>
      </c>
      <c r="G122" s="666" t="s">
        <v>1004</v>
      </c>
      <c r="H122" s="1203"/>
      <c r="I122" s="504" t="s">
        <v>1352</v>
      </c>
      <c r="J122" s="504"/>
      <c r="K122" s="504"/>
      <c r="L122" s="504"/>
      <c r="M122" s="504"/>
      <c r="N122" s="504"/>
      <c r="O122" s="504"/>
      <c r="P122" s="504"/>
      <c r="Q122" s="504"/>
      <c r="R122" s="504"/>
      <c r="S122" s="504"/>
      <c r="T122" s="381" t="b" cm="1">
        <f t="array" ref="T122">T121</f>
        <v>1</v>
      </c>
      <c r="U122" s="1203"/>
      <c r="V122" s="1203"/>
      <c r="W122" s="1203"/>
      <c r="X122" s="1841"/>
      <c r="Y122" s="1203"/>
      <c r="Z122" s="1842"/>
      <c r="AA122" s="1203"/>
      <c r="AB122" s="721" t="s">
        <v>1561</v>
      </c>
      <c r="AC122" s="722" t="s">
        <v>1562</v>
      </c>
      <c r="AD122" s="673" t="s">
        <v>766</v>
      </c>
      <c r="AE122" s="716">
        <f ca="1">SUMIFS(Покупка!AE$25:AE$90,Покупка!$F$25:$F$90,$F122,Покупка!$AC$25:$AC$90,$G122)</f>
        <v>0</v>
      </c>
      <c r="AF122" s="716">
        <f ca="1">SUMIFS(Покупка!AF$25:AF$90,Покупка!$F$25:$F$90,$F122,Покупка!$AC$25:$AC$90,$G122)</f>
        <v>0</v>
      </c>
      <c r="AG122" s="716">
        <f ca="1">SUMIFS(Покупка!AG$25:AG$90,Покупка!$F$25:$F$90,$F122,Покупка!$AC$25:$AC$90,$G122)</f>
        <v>0</v>
      </c>
      <c r="AH122" s="716">
        <f t="shared" ca="1" si="7"/>
        <v>0</v>
      </c>
      <c r="AI122" s="716">
        <f ca="1">SUMIFS(Покупка!AH$25:AH$90,Покупка!$F$25:$F$90,$F122,Покупка!$AC$25:$AC$90,$G122)</f>
        <v>0</v>
      </c>
      <c r="AJ122" s="716">
        <f ca="1">SUMIFS(Покупка!AI$25:AI$90,Покупка!$F$25:$F$90,$F122,Покупка!$AC$25:$AC$90,$G122)</f>
        <v>0</v>
      </c>
      <c r="AK122" s="716">
        <f ca="1">SUMIFS(Покупка!AS$25:AS$90,Покупка!$F$25:$F$90,$F122,Покупка!$AC$25:$AC$90,$G122)</f>
        <v>0</v>
      </c>
      <c r="AL122" s="716">
        <f t="shared" ca="1" si="8"/>
        <v>0</v>
      </c>
      <c r="AM122" s="717"/>
      <c r="AN122" s="816" t="str">
        <f ca="1">IF(IFERROR(INDEX(Покупка!$K$26:$L$90,MATCH($F122&amp;"9komm",Покупка!$K$26:$K$90,0),2),"")=0,"",IFERROR(INDEX(Покупка!$K$26:$L$90,MATCH($F122&amp;"9komm",Покупка!$K$26:$K$90,0),2),""))</f>
        <v/>
      </c>
      <c r="AO122" s="717"/>
      <c r="AP122" s="1203"/>
      <c r="AQ122" s="1203"/>
      <c r="AR122" s="964" t="s">
        <v>1005</v>
      </c>
      <c r="AS122" s="964"/>
      <c r="AT122" s="964"/>
      <c r="AU122" s="961"/>
      <c r="AV122" s="961"/>
    </row>
    <row r="123" spans="1:48" s="1327" customFormat="1" ht="14.25" customHeight="1">
      <c r="A123" s="1203"/>
      <c r="B123" s="1203"/>
      <c r="C123" s="1203"/>
      <c r="D123" s="1203"/>
      <c r="E123" s="612">
        <v>15</v>
      </c>
      <c r="F123" s="3" t="str" cm="1">
        <f t="array" aca="1" ref="F123" ca="1">OFFSET(E123,-1,1)</f>
        <v>1</v>
      </c>
      <c r="G123" s="494" t="s">
        <v>966</v>
      </c>
      <c r="H123" s="1203"/>
      <c r="I123" s="504" t="s">
        <v>1356</v>
      </c>
      <c r="J123" s="504"/>
      <c r="K123" s="504"/>
      <c r="L123" s="504"/>
      <c r="M123" s="504"/>
      <c r="N123" s="504"/>
      <c r="O123" s="504"/>
      <c r="P123" s="504"/>
      <c r="Q123" s="504"/>
      <c r="R123" s="504"/>
      <c r="S123" s="504"/>
      <c r="T123" s="381" t="b" cm="1">
        <f t="array" ref="T123">T122</f>
        <v>1</v>
      </c>
      <c r="U123" s="1203"/>
      <c r="V123" s="1203"/>
      <c r="W123" s="1203"/>
      <c r="X123" s="1841"/>
      <c r="Y123" s="1203"/>
      <c r="Z123" s="1842"/>
      <c r="AA123" s="1203"/>
      <c r="AB123" s="721" t="s">
        <v>1563</v>
      </c>
      <c r="AC123" s="722" t="s">
        <v>1564</v>
      </c>
      <c r="AD123" s="673" t="s">
        <v>766</v>
      </c>
      <c r="AE123" s="716">
        <f ca="1">SUMIFS(Покупка!AE$25:AE$90,Покупка!$F$25:$F$90,$F123,Покупка!$AC$25:$AC$90,$G123)</f>
        <v>140.82</v>
      </c>
      <c r="AF123" s="716">
        <f ca="1">SUMIFS(Покупка!AF$25:AF$90,Покупка!$F$25:$F$90,$F123,Покупка!$AC$25:$AC$90,$G123)</f>
        <v>5.6</v>
      </c>
      <c r="AG123" s="716">
        <f ca="1">SUMIFS(Покупка!AG$25:AG$90,Покупка!$F$25:$F$90,$F123,Покупка!$AC$25:$AC$90,$G123)</f>
        <v>5.6</v>
      </c>
      <c r="AH123" s="716">
        <f t="shared" ca="1" si="7"/>
        <v>0</v>
      </c>
      <c r="AI123" s="716">
        <f ca="1">SUMIFS(Покупка!AH$25:AH$90,Покупка!$F$25:$F$90,$F123,Покупка!$AC$25:$AC$90,$G123)</f>
        <v>146.88999999999999</v>
      </c>
      <c r="AJ123" s="716">
        <f ca="1">SUMIFS(Покупка!AI$25:AI$90,Покупка!$F$25:$F$90,$F123,Покупка!$AC$25:$AC$90,$G123)</f>
        <v>155.30000000000001</v>
      </c>
      <c r="AK123" s="716">
        <f ca="1">SUMIFS(Покупка!AS$25:AS$90,Покупка!$F$25:$F$90,$F123,Покупка!$AC$25:$AC$90,$G123)</f>
        <v>155.33000000000001</v>
      </c>
      <c r="AL123" s="716">
        <f t="shared" ca="1" si="8"/>
        <v>5.7457961740077792</v>
      </c>
      <c r="AM123" s="717"/>
      <c r="AN123" s="816" t="str">
        <f ca="1">IF(IFERROR(INDEX(Покупка!$K$26:$L$90,MATCH($F123&amp;"1komm",Покупка!$K$26:$K$90,0),2),"")=0,"",IFERROR(INDEX(Покупка!$K$26:$L$90,MATCH($F123&amp;"1komm",Покупка!$K$26:$K$90,0),2),""))</f>
        <v/>
      </c>
      <c r="AO123" s="717"/>
      <c r="AP123" s="1203"/>
      <c r="AQ123" s="1203"/>
      <c r="AR123" s="964" t="s">
        <v>1565</v>
      </c>
      <c r="AS123" s="964"/>
      <c r="AT123" s="964"/>
      <c r="AU123" s="961"/>
      <c r="AV123" s="961"/>
    </row>
    <row r="124" spans="1:48" s="1327" customFormat="1" ht="14.25" customHeight="1">
      <c r="A124" s="1203"/>
      <c r="B124" s="1203"/>
      <c r="C124" s="1203"/>
      <c r="D124" s="1203"/>
      <c r="E124" s="612">
        <v>15</v>
      </c>
      <c r="F124" s="3" t="str" cm="1">
        <f t="array" aca="1" ref="F124" ca="1">OFFSET(E124,-1,1)</f>
        <v>1</v>
      </c>
      <c r="G124" s="494" t="s">
        <v>975</v>
      </c>
      <c r="H124" s="1203"/>
      <c r="I124" s="504" t="s">
        <v>1361</v>
      </c>
      <c r="J124" s="504"/>
      <c r="K124" s="504"/>
      <c r="L124" s="504"/>
      <c r="M124" s="504"/>
      <c r="N124" s="504"/>
      <c r="O124" s="504"/>
      <c r="P124" s="504"/>
      <c r="Q124" s="504"/>
      <c r="R124" s="504"/>
      <c r="S124" s="504"/>
      <c r="T124" s="381" t="b" cm="1">
        <f t="array" ref="T124">T123</f>
        <v>1</v>
      </c>
      <c r="U124" s="1203"/>
      <c r="V124" s="1203"/>
      <c r="W124" s="1203"/>
      <c r="X124" s="1841"/>
      <c r="Y124" s="1203"/>
      <c r="Z124" s="1842"/>
      <c r="AA124" s="1203"/>
      <c r="AB124" s="721" t="s">
        <v>1566</v>
      </c>
      <c r="AC124" s="722" t="s">
        <v>1567</v>
      </c>
      <c r="AD124" s="673" t="s">
        <v>766</v>
      </c>
      <c r="AE124" s="716">
        <f ca="1">SUMIFS(Покупка!AE$25:AE$90,Покупка!$F$25:$F$90,$F124,Покупка!$AC$25:$AC$90,$G124)</f>
        <v>0</v>
      </c>
      <c r="AF124" s="716">
        <f ca="1">SUMIFS(Покупка!AF$25:AF$90,Покупка!$F$25:$F$90,$F124,Покупка!$AC$25:$AC$90,$G124)</f>
        <v>0</v>
      </c>
      <c r="AG124" s="716">
        <f ca="1">SUMIFS(Покупка!AG$25:AG$90,Покупка!$F$25:$F$90,$F124,Покупка!$AC$25:$AC$90,$G124)</f>
        <v>0</v>
      </c>
      <c r="AH124" s="716">
        <f t="shared" ca="1" si="7"/>
        <v>0</v>
      </c>
      <c r="AI124" s="716">
        <f ca="1">SUMIFS(Покупка!AH$25:AH$90,Покупка!$F$25:$F$90,$F124,Покупка!$AC$25:$AC$90,$G124)</f>
        <v>0</v>
      </c>
      <c r="AJ124" s="716">
        <f ca="1">SUMIFS(Покупка!AI$25:AI$90,Покупка!$F$25:$F$90,$F124,Покупка!$AC$25:$AC$90,$G124)</f>
        <v>0</v>
      </c>
      <c r="AK124" s="716">
        <f ca="1">SUMIFS(Покупка!AS$25:AS$90,Покупка!$F$25:$F$90,$F124,Покупка!$AC$25:$AC$90,$G124)</f>
        <v>0</v>
      </c>
      <c r="AL124" s="716">
        <f t="shared" ca="1" si="8"/>
        <v>0</v>
      </c>
      <c r="AM124" s="717"/>
      <c r="AN124" s="816" t="str">
        <f ca="1">IF(IFERROR(INDEX(Покупка!$K$26:$L$90,MATCH($F124&amp;"2komm",Покупка!$K$26:$K$90,0),2),"")=0,"",IFERROR(INDEX(Покупка!$K$26:$L$90,MATCH($F124&amp;"2komm",Покупка!$K$26:$K$90,0),2),""))</f>
        <v/>
      </c>
      <c r="AO124" s="717"/>
      <c r="AP124" s="1203"/>
      <c r="AQ124" s="1203"/>
      <c r="AR124" s="964" t="s">
        <v>1568</v>
      </c>
      <c r="AS124" s="964"/>
      <c r="AT124" s="964"/>
      <c r="AU124" s="961"/>
      <c r="AV124" s="961"/>
    </row>
    <row r="125" spans="1:48" s="1327" customFormat="1" ht="14.25" customHeight="1">
      <c r="A125" s="1203"/>
      <c r="B125" s="1203"/>
      <c r="C125" s="1203"/>
      <c r="D125" s="1203"/>
      <c r="E125" s="612">
        <v>15</v>
      </c>
      <c r="F125" s="3" t="str" cm="1">
        <f t="array" aca="1" ref="F125" ca="1">OFFSET(E125,-1,1)</f>
        <v>1</v>
      </c>
      <c r="G125" s="494" t="s">
        <v>980</v>
      </c>
      <c r="H125" s="1203"/>
      <c r="I125" s="504" t="s">
        <v>1370</v>
      </c>
      <c r="J125" s="504"/>
      <c r="K125" s="504"/>
      <c r="L125" s="504"/>
      <c r="M125" s="504"/>
      <c r="N125" s="504"/>
      <c r="O125" s="504"/>
      <c r="P125" s="504"/>
      <c r="Q125" s="504"/>
      <c r="R125" s="504"/>
      <c r="S125" s="504"/>
      <c r="T125" s="381" t="b" cm="1">
        <f t="array" ref="T125">T124</f>
        <v>1</v>
      </c>
      <c r="U125" s="1203"/>
      <c r="V125" s="1203"/>
      <c r="W125" s="1203"/>
      <c r="X125" s="1841"/>
      <c r="Y125" s="1203"/>
      <c r="Z125" s="1842"/>
      <c r="AA125" s="1203"/>
      <c r="AB125" s="721" t="s">
        <v>1569</v>
      </c>
      <c r="AC125" s="722" t="s">
        <v>1570</v>
      </c>
      <c r="AD125" s="673" t="s">
        <v>766</v>
      </c>
      <c r="AE125" s="716">
        <f ca="1">SUMIFS(Покупка!AE$25:AE$90,Покупка!$F$25:$F$90,$F125,Покупка!$AC$25:$AC$90,$G125)</f>
        <v>0</v>
      </c>
      <c r="AF125" s="716">
        <f ca="1">SUMIFS(Покупка!AF$25:AF$90,Покупка!$F$25:$F$90,$F125,Покупка!$AC$25:$AC$90,$G125)</f>
        <v>0</v>
      </c>
      <c r="AG125" s="716">
        <f ca="1">SUMIFS(Покупка!AG$25:AG$90,Покупка!$F$25:$F$90,$F125,Покупка!$AC$25:$AC$90,$G125)</f>
        <v>0</v>
      </c>
      <c r="AH125" s="716">
        <f t="shared" ca="1" si="7"/>
        <v>0</v>
      </c>
      <c r="AI125" s="716">
        <f ca="1">SUMIFS(Покупка!AH$25:AH$90,Покупка!$F$25:$F$90,$F125,Покупка!$AC$25:$AC$90,$G125)</f>
        <v>0</v>
      </c>
      <c r="AJ125" s="716">
        <f ca="1">SUMIFS(Покупка!AI$25:AI$90,Покупка!$F$25:$F$90,$F125,Покупка!$AC$25:$AC$90,$G125)</f>
        <v>0</v>
      </c>
      <c r="AK125" s="716">
        <f ca="1">SUMIFS(Покупка!AS$25:AS$90,Покупка!$F$25:$F$90,$F125,Покупка!$AC$25:$AC$90,$G125)</f>
        <v>0</v>
      </c>
      <c r="AL125" s="716">
        <f t="shared" ca="1" si="8"/>
        <v>0</v>
      </c>
      <c r="AM125" s="717"/>
      <c r="AN125" s="816" t="str">
        <f ca="1">IF(IFERROR(INDEX(Покупка!$K$26:$L$90,MATCH($F125&amp;"3komm",Покупка!$K$26:$K$90,0),2),"")=0,"",IFERROR(INDEX(Покупка!$K$26:$L$90,MATCH($F125&amp;"3komm",Покупка!$K$26:$K$90,0),2),""))</f>
        <v/>
      </c>
      <c r="AO125" s="717"/>
      <c r="AP125" s="1203"/>
      <c r="AQ125" s="1203"/>
      <c r="AR125" s="964" t="s">
        <v>1571</v>
      </c>
      <c r="AS125" s="964"/>
      <c r="AT125" s="964"/>
      <c r="AU125" s="961"/>
      <c r="AV125" s="961"/>
    </row>
    <row r="126" spans="1:48" s="1327" customFormat="1" ht="14.25" customHeight="1">
      <c r="A126" s="1203"/>
      <c r="B126" s="1203"/>
      <c r="C126" s="1203"/>
      <c r="D126" s="1203"/>
      <c r="E126" s="612">
        <v>15</v>
      </c>
      <c r="F126" s="3" t="str" cm="1">
        <f t="array" aca="1" ref="F126" ca="1">OFFSET(E126,-1,1)</f>
        <v>1</v>
      </c>
      <c r="G126" s="494" t="s">
        <v>986</v>
      </c>
      <c r="H126" s="1203"/>
      <c r="I126" s="504" t="s">
        <v>1375</v>
      </c>
      <c r="J126" s="504"/>
      <c r="K126" s="504"/>
      <c r="L126" s="504"/>
      <c r="M126" s="504"/>
      <c r="N126" s="504"/>
      <c r="O126" s="504"/>
      <c r="P126" s="504"/>
      <c r="Q126" s="504"/>
      <c r="R126" s="504"/>
      <c r="S126" s="504"/>
      <c r="T126" s="381" t="b" cm="1">
        <f t="array" ref="T126">T125</f>
        <v>1</v>
      </c>
      <c r="U126" s="1203"/>
      <c r="V126" s="1203"/>
      <c r="W126" s="1203"/>
      <c r="X126" s="1841"/>
      <c r="Y126" s="1203"/>
      <c r="Z126" s="1842"/>
      <c r="AA126" s="1203"/>
      <c r="AB126" s="721" t="s">
        <v>1572</v>
      </c>
      <c r="AC126" s="722" t="s">
        <v>1573</v>
      </c>
      <c r="AD126" s="673" t="s">
        <v>766</v>
      </c>
      <c r="AE126" s="716">
        <f ca="1">SUMIFS(Покупка!AE$25:AE$90,Покупка!$F$25:$F$90,$F126,Покупка!$AC$25:$AC$90,$G126)</f>
        <v>0</v>
      </c>
      <c r="AF126" s="716">
        <f ca="1">SUMIFS(Покупка!AF$25:AF$90,Покупка!$F$25:$F$90,$F126,Покупка!$AC$25:$AC$90,$G126)</f>
        <v>0</v>
      </c>
      <c r="AG126" s="716">
        <f ca="1">SUMIFS(Покупка!AG$25:AG$90,Покупка!$F$25:$F$90,$F126,Покупка!$AC$25:$AC$90,$G126)</f>
        <v>0</v>
      </c>
      <c r="AH126" s="716">
        <f t="shared" ca="1" si="7"/>
        <v>0</v>
      </c>
      <c r="AI126" s="716">
        <f ca="1">SUMIFS(Покупка!AH$25:AH$90,Покупка!$F$25:$F$90,$F126,Покупка!$AC$25:$AC$90,$G126)</f>
        <v>0</v>
      </c>
      <c r="AJ126" s="716">
        <f ca="1">SUMIFS(Покупка!AI$25:AI$90,Покупка!$F$25:$F$90,$F126,Покупка!$AC$25:$AC$90,$G126)</f>
        <v>0</v>
      </c>
      <c r="AK126" s="716">
        <f ca="1">SUMIFS(Покупка!AS$25:AS$90,Покупка!$F$25:$F$90,$F126,Покупка!$AC$25:$AC$90,$G126)</f>
        <v>0</v>
      </c>
      <c r="AL126" s="716">
        <f t="shared" ca="1" si="8"/>
        <v>0</v>
      </c>
      <c r="AM126" s="717"/>
      <c r="AN126" s="816" t="str">
        <f ca="1">IF(IFERROR(INDEX(Покупка!$K$26:$L$90,MATCH($F126&amp;"4komm",Покупка!$K$26:$K$90,0),2),"")=0,"",IFERROR(INDEX(Покупка!$K$26:$L$90,MATCH($F126&amp;"4komm",Покупка!$K$26:$K$90,0),2),""))</f>
        <v/>
      </c>
      <c r="AO126" s="717"/>
      <c r="AP126" s="1203"/>
      <c r="AQ126" s="1203"/>
      <c r="AR126" s="964" t="s">
        <v>1574</v>
      </c>
      <c r="AS126" s="964"/>
      <c r="AT126" s="964"/>
      <c r="AU126" s="961"/>
      <c r="AV126" s="961"/>
    </row>
    <row r="127" spans="1:48" s="1327" customFormat="1" ht="14.25" customHeight="1">
      <c r="A127" s="1203"/>
      <c r="B127" s="1203"/>
      <c r="C127" s="1203"/>
      <c r="D127" s="1203"/>
      <c r="E127" s="612">
        <v>15</v>
      </c>
      <c r="F127" s="3" t="str" cm="1">
        <f t="array" aca="1" ref="F127" ca="1">OFFSET(E127,-1,1)</f>
        <v>1</v>
      </c>
      <c r="G127" s="494" t="s">
        <v>992</v>
      </c>
      <c r="H127" s="1203"/>
      <c r="I127" s="504" t="s">
        <v>1385</v>
      </c>
      <c r="J127" s="504"/>
      <c r="K127" s="504"/>
      <c r="L127" s="504"/>
      <c r="M127" s="504"/>
      <c r="N127" s="504"/>
      <c r="O127" s="504"/>
      <c r="P127" s="504"/>
      <c r="Q127" s="504"/>
      <c r="R127" s="504"/>
      <c r="S127" s="504"/>
      <c r="T127" s="381" t="b" cm="1">
        <f t="array" ref="T127">T126</f>
        <v>1</v>
      </c>
      <c r="U127" s="1203"/>
      <c r="V127" s="1203"/>
      <c r="W127" s="1203"/>
      <c r="X127" s="1841"/>
      <c r="Y127" s="1203"/>
      <c r="Z127" s="1842"/>
      <c r="AA127" s="1203"/>
      <c r="AB127" s="721" t="s">
        <v>1575</v>
      </c>
      <c r="AC127" s="722" t="s">
        <v>1576</v>
      </c>
      <c r="AD127" s="673" t="s">
        <v>766</v>
      </c>
      <c r="AE127" s="716">
        <f ca="1">SUMIFS(Покупка!AE$25:AE$90,Покупка!$F$25:$F$90,$F127,Покупка!$AC$25:$AC$90,$G127)</f>
        <v>0</v>
      </c>
      <c r="AF127" s="716">
        <f ca="1">SUMIFS(Покупка!AF$25:AF$90,Покупка!$F$25:$F$90,$F127,Покупка!$AC$25:$AC$90,$G127)</f>
        <v>0</v>
      </c>
      <c r="AG127" s="716">
        <f ca="1">SUMIFS(Покупка!AG$25:AG$90,Покупка!$F$25:$F$90,$F127,Покупка!$AC$25:$AC$90,$G127)</f>
        <v>0</v>
      </c>
      <c r="AH127" s="716">
        <f t="shared" ca="1" si="7"/>
        <v>0</v>
      </c>
      <c r="AI127" s="716">
        <f ca="1">SUMIFS(Покупка!AH$25:AH$90,Покупка!$F$25:$F$90,$F127,Покупка!$AC$25:$AC$90,$G127)</f>
        <v>0</v>
      </c>
      <c r="AJ127" s="716">
        <f ca="1">SUMIFS(Покупка!AI$25:AI$90,Покупка!$F$25:$F$90,$F127,Покупка!$AC$25:$AC$90,$G127)</f>
        <v>0</v>
      </c>
      <c r="AK127" s="716">
        <f ca="1">SUMIFS(Покупка!AS$25:AS$90,Покупка!$F$25:$F$90,$F127,Покупка!$AC$25:$AC$90,$G127)</f>
        <v>0</v>
      </c>
      <c r="AL127" s="716">
        <f t="shared" ca="1" si="8"/>
        <v>0</v>
      </c>
      <c r="AM127" s="717"/>
      <c r="AN127" s="816" t="str">
        <f ca="1">IF(IFERROR(INDEX(Покупка!$K$26:$L$90,MATCH($F127&amp;"5komm",Покупка!$K$26:$K$90,0),2),"")=0,"",IFERROR(INDEX(Покупка!$K$26:$L$90,MATCH($F127&amp;"5komm",Покупка!$K$26:$K$90,0),2),""))</f>
        <v/>
      </c>
      <c r="AO127" s="717"/>
      <c r="AP127" s="1203"/>
      <c r="AQ127" s="1203"/>
      <c r="AR127" s="964" t="s">
        <v>1577</v>
      </c>
      <c r="AS127" s="964"/>
      <c r="AT127" s="964"/>
      <c r="AU127" s="961"/>
      <c r="AV127" s="961"/>
    </row>
    <row r="128" spans="1:48" s="1454" customFormat="1" ht="43.5" customHeight="1">
      <c r="A128" s="505"/>
      <c r="B128" s="505"/>
      <c r="C128" s="505"/>
      <c r="D128" s="505"/>
      <c r="E128" s="614">
        <v>45</v>
      </c>
      <c r="F128" s="3" t="str" cm="1">
        <f t="array" aca="1" ref="F128" ca="1">OFFSET(E128,-1,1)</f>
        <v>1</v>
      </c>
      <c r="G128" s="505"/>
      <c r="H128" s="505"/>
      <c r="I128" s="615" t="s">
        <v>434</v>
      </c>
      <c r="J128" s="615"/>
      <c r="K128" s="615"/>
      <c r="L128" s="615"/>
      <c r="M128" s="615"/>
      <c r="N128" s="615"/>
      <c r="O128" s="615"/>
      <c r="P128" s="615"/>
      <c r="Q128" s="615"/>
      <c r="R128" s="615"/>
      <c r="S128" s="615"/>
      <c r="T128" s="381" t="b" cm="1">
        <f t="array" ref="T128">T127</f>
        <v>1</v>
      </c>
      <c r="U128" s="505"/>
      <c r="V128" s="505"/>
      <c r="W128" s="505"/>
      <c r="X128" s="1841"/>
      <c r="Y128" s="505"/>
      <c r="Z128" s="1842"/>
      <c r="AA128" s="505"/>
      <c r="AB128" s="718" t="s">
        <v>827</v>
      </c>
      <c r="AC128" s="719" t="s">
        <v>1578</v>
      </c>
      <c r="AD128" s="507" t="s">
        <v>766</v>
      </c>
      <c r="AE128" s="724"/>
      <c r="AF128" s="724"/>
      <c r="AG128" s="724"/>
      <c r="AH128" s="715">
        <f t="shared" si="7"/>
        <v>0</v>
      </c>
      <c r="AI128" s="724"/>
      <c r="AJ128" s="724"/>
      <c r="AK128" s="724"/>
      <c r="AL128" s="715">
        <f t="shared" si="8"/>
        <v>0</v>
      </c>
      <c r="AM128" s="720"/>
      <c r="AN128" s="720"/>
      <c r="AO128" s="720"/>
      <c r="AP128" s="505"/>
      <c r="AQ128" s="505"/>
      <c r="AR128" s="965" t="s">
        <v>1579</v>
      </c>
      <c r="AS128" s="965"/>
      <c r="AT128" s="965"/>
      <c r="AU128" s="614"/>
      <c r="AV128" s="614"/>
    </row>
    <row r="129" spans="1:48" s="1455" customFormat="1" ht="43.5" customHeight="1">
      <c r="A129" s="505"/>
      <c r="B129" s="505"/>
      <c r="C129" s="505"/>
      <c r="D129" s="505"/>
      <c r="E129" s="614">
        <v>45</v>
      </c>
      <c r="F129" s="3" t="str" cm="1">
        <f t="array" aca="1" ref="F129" ca="1">OFFSET(E129,-1,1)</f>
        <v>1</v>
      </c>
      <c r="G129" s="505"/>
      <c r="H129" s="505"/>
      <c r="I129" s="615" t="s">
        <v>438</v>
      </c>
      <c r="J129" s="615"/>
      <c r="K129" s="615"/>
      <c r="L129" s="615"/>
      <c r="M129" s="615"/>
      <c r="N129" s="615"/>
      <c r="O129" s="615"/>
      <c r="P129" s="615"/>
      <c r="Q129" s="615"/>
      <c r="R129" s="615"/>
      <c r="S129" s="615"/>
      <c r="T129" s="381" t="b" cm="1">
        <f t="array" ref="T129">T128</f>
        <v>1</v>
      </c>
      <c r="U129" s="505"/>
      <c r="V129" s="505"/>
      <c r="W129" s="505"/>
      <c r="X129" s="1841"/>
      <c r="Y129" s="505"/>
      <c r="Z129" s="1842"/>
      <c r="AA129" s="505"/>
      <c r="AB129" s="718" t="s">
        <v>830</v>
      </c>
      <c r="AC129" s="719" t="s">
        <v>1580</v>
      </c>
      <c r="AD129" s="507" t="s">
        <v>766</v>
      </c>
      <c r="AE129" s="715">
        <f ca="1">AE130+AE131</f>
        <v>0</v>
      </c>
      <c r="AF129" s="715">
        <f ca="1">AF130+AF131</f>
        <v>0</v>
      </c>
      <c r="AG129" s="715">
        <f ca="1">AG130+AG131</f>
        <v>0</v>
      </c>
      <c r="AH129" s="715">
        <f t="shared" ca="1" si="7"/>
        <v>0</v>
      </c>
      <c r="AI129" s="715">
        <f ca="1">AI130+AI131</f>
        <v>0</v>
      </c>
      <c r="AJ129" s="715">
        <f ca="1">AJ130+AJ131</f>
        <v>0</v>
      </c>
      <c r="AK129" s="715">
        <f ca="1">AK130+AK131</f>
        <v>0</v>
      </c>
      <c r="AL129" s="715">
        <f t="shared" ca="1" si="8"/>
        <v>0</v>
      </c>
      <c r="AM129" s="720"/>
      <c r="AN129" s="720"/>
      <c r="AO129" s="720"/>
      <c r="AP129" s="505"/>
      <c r="AQ129" s="505"/>
      <c r="AR129" s="965" t="s">
        <v>1581</v>
      </c>
      <c r="AS129" s="965"/>
      <c r="AT129" s="965"/>
      <c r="AU129" s="614"/>
      <c r="AV129" s="614"/>
    </row>
    <row r="130" spans="1:48" s="1327" customFormat="1" ht="14.25" customHeight="1">
      <c r="A130" s="1203"/>
      <c r="B130" s="1203"/>
      <c r="C130" s="1203"/>
      <c r="D130" s="1203"/>
      <c r="E130" s="612">
        <v>15</v>
      </c>
      <c r="F130" s="3" t="str" cm="1">
        <f t="array" aca="1" ref="F130" ca="1">OFFSET(E130,-1,1)</f>
        <v>1</v>
      </c>
      <c r="G130" s="616" t="s">
        <v>1011</v>
      </c>
      <c r="H130" s="1203"/>
      <c r="I130" s="504" t="s">
        <v>1213</v>
      </c>
      <c r="J130" s="504"/>
      <c r="K130" s="504"/>
      <c r="L130" s="504"/>
      <c r="M130" s="504"/>
      <c r="N130" s="504"/>
      <c r="O130" s="504"/>
      <c r="P130" s="615"/>
      <c r="Q130" s="504"/>
      <c r="R130" s="504"/>
      <c r="S130" s="504"/>
      <c r="T130" s="381" t="b" cm="1">
        <f t="array" ref="T130">T129</f>
        <v>1</v>
      </c>
      <c r="U130" s="1203"/>
      <c r="V130" s="1203"/>
      <c r="W130" s="1203"/>
      <c r="X130" s="1841"/>
      <c r="Y130" s="1203"/>
      <c r="Z130" s="1842"/>
      <c r="AA130" s="1203"/>
      <c r="AB130" s="721" t="s">
        <v>941</v>
      </c>
      <c r="AC130" s="722" t="s">
        <v>1582</v>
      </c>
      <c r="AD130" s="673" t="s">
        <v>766</v>
      </c>
      <c r="AE130" s="716">
        <f ca="1">SUMIFS(ФОТ!AE$25:AE$77,ФОТ!$F$25:$F$77,$F130,ФОТ!$G$25:$G$77,$G130)</f>
        <v>0</v>
      </c>
      <c r="AF130" s="716">
        <f ca="1">SUMIFS(ФОТ!AF$25:AF$77,ФОТ!$F$25:$F$77,$F130,ФОТ!$G$25:$G$77,$G130)</f>
        <v>0</v>
      </c>
      <c r="AG130" s="716">
        <f ca="1">SUMIFS(ФОТ!AG$25:AG$77,ФОТ!$F$25:$F$77,$F130,ФОТ!$G$25:$G$77,$G130)</f>
        <v>0</v>
      </c>
      <c r="AH130" s="716">
        <f t="shared" ca="1" si="7"/>
        <v>0</v>
      </c>
      <c r="AI130" s="716">
        <f ca="1">SUMIFS(ФОТ!AH$25:AH$77,ФОТ!$F$25:$F$77,$F130,ФОТ!$G$25:$G$77,$G130)</f>
        <v>0</v>
      </c>
      <c r="AJ130" s="716">
        <f ca="1">SUMIFS(ФОТ!AI$25:AI$77,ФОТ!$F$25:$F$77,$F130,ФОТ!$G$25:$G$77,$G130)</f>
        <v>0</v>
      </c>
      <c r="AK130" s="716">
        <f ca="1">SUMIFS(ФОТ!AJ$25:AJ$77,ФОТ!$F$25:$F$77,$F130,ФОТ!$G$25:$G$77,$G130)</f>
        <v>0</v>
      </c>
      <c r="AL130" s="716">
        <f t="shared" ca="1" si="8"/>
        <v>0</v>
      </c>
      <c r="AM130" s="717"/>
      <c r="AN130" s="816" t="str">
        <f ca="1">IF(IFERROR(INDEX(ФОТ!$K$26:$L$77,MATCH($F130&amp;"1komm",ФОТ!$K$26:$K$77,0),2),"")=0,"",IFERROR(INDEX(ФОТ!$K$26:$L$77,MATCH($F130&amp;"1komm",ФОТ!$K$26:$K$77,0),2),""))</f>
        <v/>
      </c>
      <c r="AO130" s="717"/>
      <c r="AP130" s="1203"/>
      <c r="AQ130" s="1203"/>
      <c r="AR130" s="964" t="s">
        <v>1583</v>
      </c>
      <c r="AS130" s="964"/>
      <c r="AT130" s="964"/>
      <c r="AU130" s="961"/>
      <c r="AV130" s="961"/>
    </row>
    <row r="131" spans="1:48" s="1327" customFormat="1" ht="21.75" customHeight="1">
      <c r="A131" s="1203"/>
      <c r="B131" s="1203"/>
      <c r="C131" s="1203"/>
      <c r="D131" s="1203"/>
      <c r="E131" s="612">
        <v>22.5</v>
      </c>
      <c r="F131" s="3" t="str" cm="1">
        <f t="array" aca="1" ref="F131" ca="1">OFFSET(E131,-1,1)</f>
        <v>1</v>
      </c>
      <c r="G131" s="616" t="s">
        <v>1023</v>
      </c>
      <c r="H131" s="1203"/>
      <c r="I131" s="504" t="s">
        <v>1214</v>
      </c>
      <c r="J131" s="504"/>
      <c r="K131" s="504"/>
      <c r="L131" s="504"/>
      <c r="M131" s="504"/>
      <c r="N131" s="504"/>
      <c r="O131" s="504"/>
      <c r="P131" s="615"/>
      <c r="Q131" s="504"/>
      <c r="R131" s="504"/>
      <c r="S131" s="504"/>
      <c r="T131" s="381" t="b" cm="1">
        <f t="array" ref="T131">T130</f>
        <v>1</v>
      </c>
      <c r="U131" s="1203"/>
      <c r="V131" s="1203"/>
      <c r="W131" s="1203"/>
      <c r="X131" s="1841"/>
      <c r="Y131" s="1203"/>
      <c r="Z131" s="1842"/>
      <c r="AA131" s="1203"/>
      <c r="AB131" s="721" t="s">
        <v>944</v>
      </c>
      <c r="AC131" s="722" t="s">
        <v>1584</v>
      </c>
      <c r="AD131" s="673" t="s">
        <v>766</v>
      </c>
      <c r="AE131" s="716">
        <f ca="1">SUMIFS(ФОТ!AE$25:AE$77,ФОТ!$F$25:$F$77,$F131,ФОТ!$G$25:$G$77,$G131)</f>
        <v>0</v>
      </c>
      <c r="AF131" s="716">
        <f ca="1">SUMIFS(ФОТ!AF$25:AF$77,ФОТ!$F$25:$F$77,$F131,ФОТ!$G$25:$G$77,$G131)</f>
        <v>0</v>
      </c>
      <c r="AG131" s="716">
        <f ca="1">SUMIFS(ФОТ!AG$25:AG$77,ФОТ!$F$25:$F$77,$F131,ФОТ!$G$25:$G$77,$G131)</f>
        <v>0</v>
      </c>
      <c r="AH131" s="716">
        <f t="shared" ca="1" si="7"/>
        <v>0</v>
      </c>
      <c r="AI131" s="716">
        <f ca="1">SUMIFS(ФОТ!AH$25:AH$77,ФОТ!$F$25:$F$77,$F131,ФОТ!$G$25:$G$77,$G131)</f>
        <v>0</v>
      </c>
      <c r="AJ131" s="716">
        <f ca="1">SUMIFS(ФОТ!AI$25:AI$77,ФОТ!$F$25:$F$77,$F131,ФОТ!$G$25:$G$77,$G131)</f>
        <v>0</v>
      </c>
      <c r="AK131" s="716">
        <f ca="1">SUMIFS(ФОТ!AJ$25:AJ$77,ФОТ!$F$25:$F$77,$F131,ФОТ!$G$25:$G$77,$G131)</f>
        <v>0</v>
      </c>
      <c r="AL131" s="716">
        <f t="shared" ca="1" si="8"/>
        <v>0</v>
      </c>
      <c r="AM131" s="717"/>
      <c r="AN131" s="816" t="str">
        <f ca="1">IF(IFERROR(INDEX(ФОТ!$K$26:$L$77,MATCH($F131&amp;"2komm",ФОТ!$K$26:$K$77,0),2),"")=0,"",IFERROR(INDEX(ФОТ!$K$26:$L$77,MATCH($F131&amp;"2komm",ФОТ!$K$26:$K$77,0),2),""))</f>
        <v/>
      </c>
      <c r="AO131" s="717"/>
      <c r="AP131" s="1203"/>
      <c r="AQ131" s="1203"/>
      <c r="AR131" s="964" t="s">
        <v>1585</v>
      </c>
      <c r="AS131" s="964"/>
      <c r="AT131" s="964"/>
      <c r="AU131" s="961"/>
      <c r="AV131" s="961"/>
    </row>
    <row r="132" spans="1:48" s="1456" customFormat="1" ht="14.25" customHeight="1">
      <c r="A132" s="505"/>
      <c r="B132" s="505"/>
      <c r="C132" s="505"/>
      <c r="D132" s="505"/>
      <c r="E132" s="614">
        <v>15</v>
      </c>
      <c r="F132" s="3" t="str" cm="1">
        <f t="array" aca="1" ref="F132" ca="1">OFFSET(E132,-1,1)</f>
        <v>1</v>
      </c>
      <c r="G132" s="505"/>
      <c r="H132" s="505"/>
      <c r="I132" s="615" t="s">
        <v>833</v>
      </c>
      <c r="J132" s="615"/>
      <c r="K132" s="615"/>
      <c r="L132" s="615"/>
      <c r="M132" s="615"/>
      <c r="N132" s="615"/>
      <c r="O132" s="615"/>
      <c r="P132" s="615"/>
      <c r="Q132" s="615"/>
      <c r="R132" s="615"/>
      <c r="S132" s="615"/>
      <c r="T132" s="381" t="b" cm="1">
        <f t="array" ref="T132">T131</f>
        <v>1</v>
      </c>
      <c r="U132" s="505"/>
      <c r="V132" s="505"/>
      <c r="W132" s="505"/>
      <c r="X132" s="1841"/>
      <c r="Y132" s="505"/>
      <c r="Z132" s="1842"/>
      <c r="AA132" s="505"/>
      <c r="AB132" s="718" t="s">
        <v>834</v>
      </c>
      <c r="AC132" s="719" t="s">
        <v>1586</v>
      </c>
      <c r="AD132" s="507" t="s">
        <v>766</v>
      </c>
      <c r="AE132" s="724"/>
      <c r="AF132" s="724"/>
      <c r="AG132" s="724"/>
      <c r="AH132" s="715">
        <f t="shared" si="7"/>
        <v>0</v>
      </c>
      <c r="AI132" s="724"/>
      <c r="AJ132" s="724"/>
      <c r="AK132" s="724"/>
      <c r="AL132" s="715">
        <f t="shared" si="8"/>
        <v>0</v>
      </c>
      <c r="AM132" s="720"/>
      <c r="AN132" s="720"/>
      <c r="AO132" s="720"/>
      <c r="AP132" s="505"/>
      <c r="AQ132" s="505"/>
      <c r="AR132" s="965" t="s">
        <v>1192</v>
      </c>
      <c r="AS132" s="965"/>
      <c r="AT132" s="965"/>
      <c r="AU132" s="614"/>
      <c r="AV132" s="614"/>
    </row>
    <row r="133" spans="1:48" s="1457" customFormat="1" ht="14.25" customHeight="1">
      <c r="A133" s="505"/>
      <c r="B133" s="505"/>
      <c r="C133" s="505"/>
      <c r="D133" s="505"/>
      <c r="E133" s="614">
        <v>15</v>
      </c>
      <c r="F133" s="3" t="str" cm="1">
        <f t="array" aca="1" ref="F133" ca="1">OFFSET(E133,-1,1)</f>
        <v>1</v>
      </c>
      <c r="G133" s="505"/>
      <c r="H133" s="505"/>
      <c r="I133" s="615" t="s">
        <v>1587</v>
      </c>
      <c r="J133" s="615"/>
      <c r="K133" s="615"/>
      <c r="L133" s="615"/>
      <c r="M133" s="615"/>
      <c r="N133" s="615"/>
      <c r="O133" s="615"/>
      <c r="P133" s="615"/>
      <c r="Q133" s="615"/>
      <c r="R133" s="615"/>
      <c r="S133" s="615"/>
      <c r="T133" s="381" t="b" cm="1">
        <f t="array" ref="T133">T132</f>
        <v>1</v>
      </c>
      <c r="U133" s="505"/>
      <c r="V133" s="505"/>
      <c r="W133" s="505"/>
      <c r="X133" s="1841"/>
      <c r="Y133" s="505"/>
      <c r="Z133" s="1842"/>
      <c r="AA133" s="505"/>
      <c r="AB133" s="718" t="s">
        <v>1588</v>
      </c>
      <c r="AC133" s="719" t="s">
        <v>1589</v>
      </c>
      <c r="AD133" s="507" t="s">
        <v>766</v>
      </c>
      <c r="AE133" s="724"/>
      <c r="AF133" s="724"/>
      <c r="AG133" s="724"/>
      <c r="AH133" s="715">
        <f t="shared" si="7"/>
        <v>0</v>
      </c>
      <c r="AI133" s="724"/>
      <c r="AJ133" s="724"/>
      <c r="AK133" s="724"/>
      <c r="AL133" s="715">
        <f t="shared" si="8"/>
        <v>0</v>
      </c>
      <c r="AM133" s="720"/>
      <c r="AN133" s="720"/>
      <c r="AO133" s="720"/>
      <c r="AP133" s="505"/>
      <c r="AQ133" s="505"/>
      <c r="AR133" s="965" t="s">
        <v>1590</v>
      </c>
      <c r="AS133" s="965"/>
      <c r="AT133" s="965"/>
      <c r="AU133" s="614"/>
      <c r="AV133" s="614"/>
    </row>
    <row r="134" spans="1:48" s="1458" customFormat="1" ht="14.25" customHeight="1">
      <c r="A134" s="505"/>
      <c r="B134" s="505"/>
      <c r="C134" s="505"/>
      <c r="D134" s="505"/>
      <c r="E134" s="614">
        <v>15</v>
      </c>
      <c r="F134" s="3" t="str" cm="1">
        <f t="array" aca="1" ref="F134" ca="1">OFFSET(E134,-1,1)</f>
        <v>1</v>
      </c>
      <c r="G134" s="505"/>
      <c r="H134" s="505"/>
      <c r="I134" s="615" t="s">
        <v>1591</v>
      </c>
      <c r="J134" s="615"/>
      <c r="K134" s="615"/>
      <c r="L134" s="615"/>
      <c r="M134" s="615"/>
      <c r="N134" s="615"/>
      <c r="O134" s="615"/>
      <c r="P134" s="615"/>
      <c r="Q134" s="615"/>
      <c r="R134" s="615"/>
      <c r="S134" s="615"/>
      <c r="T134" s="381" t="b" cm="1">
        <f t="array" ref="T134">T133</f>
        <v>1</v>
      </c>
      <c r="U134" s="505"/>
      <c r="V134" s="505"/>
      <c r="W134" s="505"/>
      <c r="X134" s="1841"/>
      <c r="Y134" s="505"/>
      <c r="Z134" s="1842"/>
      <c r="AA134" s="505"/>
      <c r="AB134" s="718" t="s">
        <v>1592</v>
      </c>
      <c r="AC134" s="719" t="s">
        <v>1593</v>
      </c>
      <c r="AD134" s="507" t="s">
        <v>766</v>
      </c>
      <c r="AE134" s="715">
        <f>SUM(AE135:AE142)</f>
        <v>0</v>
      </c>
      <c r="AF134" s="715">
        <f>SUM(AF135:AF142)</f>
        <v>0</v>
      </c>
      <c r="AG134" s="715">
        <f>SUM(AG135:AG142)</f>
        <v>0</v>
      </c>
      <c r="AH134" s="715">
        <f t="shared" si="7"/>
        <v>0</v>
      </c>
      <c r="AI134" s="715">
        <f>SUM(AI135:AI142)</f>
        <v>0</v>
      </c>
      <c r="AJ134" s="715">
        <f>SUM(AJ135:AJ142)</f>
        <v>0</v>
      </c>
      <c r="AK134" s="715">
        <f>SUM(AK135:AK142)</f>
        <v>0</v>
      </c>
      <c r="AL134" s="715">
        <f t="shared" si="8"/>
        <v>0</v>
      </c>
      <c r="AM134" s="720"/>
      <c r="AN134" s="720"/>
      <c r="AO134" s="720"/>
      <c r="AP134" s="505"/>
      <c r="AQ134" s="505"/>
      <c r="AR134" s="965" t="s">
        <v>1594</v>
      </c>
      <c r="AS134" s="965"/>
      <c r="AT134" s="965"/>
      <c r="AU134" s="614"/>
      <c r="AV134" s="614"/>
    </row>
    <row r="135" spans="1:48" s="1327" customFormat="1" ht="14.25" customHeight="1">
      <c r="A135" s="1203"/>
      <c r="B135" s="1203"/>
      <c r="C135" s="1203"/>
      <c r="D135" s="1203"/>
      <c r="E135" s="612">
        <v>15</v>
      </c>
      <c r="F135" s="3" t="str" cm="1">
        <f t="array" aca="1" ref="F135" ca="1">OFFSET(E135,-1,1)</f>
        <v>1</v>
      </c>
      <c r="G135" s="1203"/>
      <c r="H135" s="1203"/>
      <c r="I135" s="504" t="s">
        <v>1591</v>
      </c>
      <c r="J135" s="888" t="s">
        <v>1595</v>
      </c>
      <c r="K135" s="1203"/>
      <c r="L135" s="504"/>
      <c r="M135" s="504"/>
      <c r="N135" s="504"/>
      <c r="O135" s="504"/>
      <c r="P135" s="504"/>
      <c r="Q135" s="504"/>
      <c r="R135" s="504"/>
      <c r="S135" s="504"/>
      <c r="T135" s="381" t="b" cm="1">
        <f t="array" ref="T135">T134</f>
        <v>1</v>
      </c>
      <c r="U135" s="1203"/>
      <c r="V135" s="1203"/>
      <c r="W135" s="1203"/>
      <c r="X135" s="1841"/>
      <c r="Y135" s="1203"/>
      <c r="Z135" s="1842"/>
      <c r="AA135" s="1203"/>
      <c r="AB135" s="721" t="s">
        <v>1596</v>
      </c>
      <c r="AC135" s="722" t="s">
        <v>1597</v>
      </c>
      <c r="AD135" s="673" t="s">
        <v>766</v>
      </c>
      <c r="AE135" s="723"/>
      <c r="AF135" s="723"/>
      <c r="AG135" s="723"/>
      <c r="AH135" s="716">
        <f t="shared" si="7"/>
        <v>0</v>
      </c>
      <c r="AI135" s="723"/>
      <c r="AJ135" s="723"/>
      <c r="AK135" s="723"/>
      <c r="AL135" s="716">
        <f t="shared" si="8"/>
        <v>0</v>
      </c>
      <c r="AM135" s="717"/>
      <c r="AN135" s="717"/>
      <c r="AO135" s="717"/>
      <c r="AP135" s="1203"/>
      <c r="AQ135" s="1203"/>
      <c r="AR135" s="964" t="s">
        <v>1598</v>
      </c>
      <c r="AS135" s="964"/>
      <c r="AT135" s="964"/>
      <c r="AU135" s="961"/>
      <c r="AV135" s="961"/>
    </row>
    <row r="136" spans="1:48" s="1327" customFormat="1" ht="14.25" customHeight="1">
      <c r="A136" s="1203"/>
      <c r="B136" s="1203"/>
      <c r="C136" s="1203"/>
      <c r="D136" s="1203"/>
      <c r="E136" s="612">
        <v>15</v>
      </c>
      <c r="F136" s="3" t="str" cm="1">
        <f t="array" aca="1" ref="F136" ca="1">OFFSET(E136,-1,1)</f>
        <v>1</v>
      </c>
      <c r="G136" s="1203"/>
      <c r="H136" s="1203"/>
      <c r="I136" s="504" t="s">
        <v>1591</v>
      </c>
      <c r="J136" s="888" t="s">
        <v>1599</v>
      </c>
      <c r="K136" s="1203"/>
      <c r="L136" s="504"/>
      <c r="M136" s="504"/>
      <c r="N136" s="504"/>
      <c r="O136" s="504"/>
      <c r="P136" s="504"/>
      <c r="Q136" s="504"/>
      <c r="R136" s="504"/>
      <c r="S136" s="504"/>
      <c r="T136" s="381" t="b" cm="1">
        <f t="array" ref="T136">T135</f>
        <v>1</v>
      </c>
      <c r="U136" s="1203"/>
      <c r="V136" s="1203"/>
      <c r="W136" s="1203"/>
      <c r="X136" s="1841"/>
      <c r="Y136" s="1203"/>
      <c r="Z136" s="1842"/>
      <c r="AA136" s="1203"/>
      <c r="AB136" s="721" t="s">
        <v>1600</v>
      </c>
      <c r="AC136" s="722" t="s">
        <v>1601</v>
      </c>
      <c r="AD136" s="673" t="s">
        <v>766</v>
      </c>
      <c r="AE136" s="723"/>
      <c r="AF136" s="723"/>
      <c r="AG136" s="723"/>
      <c r="AH136" s="716">
        <f t="shared" si="7"/>
        <v>0</v>
      </c>
      <c r="AI136" s="723"/>
      <c r="AJ136" s="723"/>
      <c r="AK136" s="723"/>
      <c r="AL136" s="716">
        <f t="shared" si="8"/>
        <v>0</v>
      </c>
      <c r="AM136" s="717"/>
      <c r="AN136" s="717"/>
      <c r="AO136" s="717"/>
      <c r="AP136" s="1203"/>
      <c r="AQ136" s="1203"/>
      <c r="AR136" s="964" t="s">
        <v>1602</v>
      </c>
      <c r="AS136" s="964"/>
      <c r="AT136" s="964"/>
      <c r="AU136" s="961"/>
      <c r="AV136" s="961"/>
    </row>
    <row r="137" spans="1:48" s="1327" customFormat="1" ht="14.25" customHeight="1">
      <c r="A137" s="1203"/>
      <c r="B137" s="1203"/>
      <c r="C137" s="1203"/>
      <c r="D137" s="1203"/>
      <c r="E137" s="612">
        <v>15</v>
      </c>
      <c r="F137" s="3" t="str" cm="1">
        <f t="array" aca="1" ref="F137" ca="1">OFFSET(E137,-1,1)</f>
        <v>1</v>
      </c>
      <c r="G137" s="1203"/>
      <c r="H137" s="1203"/>
      <c r="I137" s="504" t="s">
        <v>1591</v>
      </c>
      <c r="J137" s="888" t="s">
        <v>1603</v>
      </c>
      <c r="K137" s="1203"/>
      <c r="L137" s="504"/>
      <c r="M137" s="504"/>
      <c r="N137" s="504"/>
      <c r="O137" s="504"/>
      <c r="P137" s="504"/>
      <c r="Q137" s="504"/>
      <c r="R137" s="504"/>
      <c r="S137" s="504"/>
      <c r="T137" s="381" t="b" cm="1">
        <f t="array" ref="T137">T136</f>
        <v>1</v>
      </c>
      <c r="U137" s="1203"/>
      <c r="V137" s="1203"/>
      <c r="W137" s="1203"/>
      <c r="X137" s="1841"/>
      <c r="Y137" s="1203"/>
      <c r="Z137" s="1842"/>
      <c r="AA137" s="1203"/>
      <c r="AB137" s="721" t="s">
        <v>1604</v>
      </c>
      <c r="AC137" s="722" t="s">
        <v>1605</v>
      </c>
      <c r="AD137" s="673" t="s">
        <v>766</v>
      </c>
      <c r="AE137" s="723"/>
      <c r="AF137" s="723"/>
      <c r="AG137" s="723"/>
      <c r="AH137" s="716">
        <f t="shared" si="7"/>
        <v>0</v>
      </c>
      <c r="AI137" s="723"/>
      <c r="AJ137" s="723"/>
      <c r="AK137" s="723"/>
      <c r="AL137" s="716">
        <f t="shared" si="8"/>
        <v>0</v>
      </c>
      <c r="AM137" s="717"/>
      <c r="AN137" s="717"/>
      <c r="AO137" s="717"/>
      <c r="AP137" s="1203"/>
      <c r="AQ137" s="1203"/>
      <c r="AR137" s="964" t="s">
        <v>1606</v>
      </c>
      <c r="AS137" s="964"/>
      <c r="AT137" s="964"/>
      <c r="AU137" s="961"/>
      <c r="AV137" s="961"/>
    </row>
    <row r="138" spans="1:48" s="1327" customFormat="1" ht="14.25" customHeight="1">
      <c r="A138" s="1203"/>
      <c r="B138" s="1203"/>
      <c r="C138" s="1203"/>
      <c r="D138" s="1203"/>
      <c r="E138" s="612">
        <v>15</v>
      </c>
      <c r="F138" s="3" t="str" cm="1">
        <f t="array" aca="1" ref="F138" ca="1">OFFSET(E138,-1,1)</f>
        <v>1</v>
      </c>
      <c r="G138" s="1203"/>
      <c r="H138" s="1203"/>
      <c r="I138" s="504" t="s">
        <v>1591</v>
      </c>
      <c r="J138" s="888" t="s">
        <v>1607</v>
      </c>
      <c r="K138" s="1203"/>
      <c r="L138" s="504"/>
      <c r="M138" s="504"/>
      <c r="N138" s="504"/>
      <c r="O138" s="504"/>
      <c r="P138" s="504"/>
      <c r="Q138" s="504"/>
      <c r="R138" s="504"/>
      <c r="S138" s="504"/>
      <c r="T138" s="381" t="b" cm="1">
        <f t="array" ref="T138">T137</f>
        <v>1</v>
      </c>
      <c r="U138" s="1203"/>
      <c r="V138" s="1203"/>
      <c r="W138" s="1203"/>
      <c r="X138" s="1841"/>
      <c r="Y138" s="1203"/>
      <c r="Z138" s="1842"/>
      <c r="AA138" s="1203"/>
      <c r="AB138" s="721" t="s">
        <v>1608</v>
      </c>
      <c r="AC138" s="722" t="s">
        <v>1609</v>
      </c>
      <c r="AD138" s="673" t="s">
        <v>766</v>
      </c>
      <c r="AE138" s="723"/>
      <c r="AF138" s="723"/>
      <c r="AG138" s="723"/>
      <c r="AH138" s="716">
        <f t="shared" si="7"/>
        <v>0</v>
      </c>
      <c r="AI138" s="723"/>
      <c r="AJ138" s="723"/>
      <c r="AK138" s="723"/>
      <c r="AL138" s="716">
        <f t="shared" si="8"/>
        <v>0</v>
      </c>
      <c r="AM138" s="717"/>
      <c r="AN138" s="717"/>
      <c r="AO138" s="717"/>
      <c r="AP138" s="1203"/>
      <c r="AQ138" s="1203"/>
      <c r="AR138" s="964" t="s">
        <v>1610</v>
      </c>
      <c r="AS138" s="964"/>
      <c r="AT138" s="964"/>
      <c r="AU138" s="961"/>
      <c r="AV138" s="961"/>
    </row>
    <row r="139" spans="1:48" s="1327" customFormat="1" ht="14.25" hidden="1" customHeight="1">
      <c r="A139" s="1203"/>
      <c r="B139" s="1203"/>
      <c r="C139" s="1203"/>
      <c r="D139" s="1203"/>
      <c r="E139" s="612">
        <v>15</v>
      </c>
      <c r="F139" s="3" t="str" cm="1">
        <f t="array" aca="1" ref="F139" ca="1">OFFSET(E139,-1,1)</f>
        <v>1</v>
      </c>
      <c r="G139" s="1203"/>
      <c r="H139" s="1203"/>
      <c r="I139" s="504" t="s">
        <v>1591</v>
      </c>
      <c r="J139" s="494" cm="1">
        <f t="array" ref="J139">AC139</f>
        <v>0</v>
      </c>
      <c r="K139" s="1203"/>
      <c r="L139" s="504"/>
      <c r="M139" s="504"/>
      <c r="N139" s="504"/>
      <c r="O139" s="504"/>
      <c r="P139" s="504"/>
      <c r="Q139" s="504"/>
      <c r="R139" s="504"/>
      <c r="S139" s="504"/>
      <c r="T139" s="381" t="b">
        <f ca="1">AND(F139&gt;0,Y139&gt;4)</f>
        <v>0</v>
      </c>
      <c r="U139" s="1203"/>
      <c r="V139" s="1203"/>
      <c r="W139" s="671" t="s">
        <v>173</v>
      </c>
      <c r="X139" s="1841"/>
      <c r="Y139" s="494">
        <v>4</v>
      </c>
      <c r="Z139" s="1842"/>
      <c r="AA139" s="1128" t="s">
        <v>174</v>
      </c>
      <c r="AB139" s="618" t="str">
        <f>"1.7."&amp;Y139</f>
        <v>1.7.4</v>
      </c>
      <c r="AC139" s="1443"/>
      <c r="AD139" s="673" t="s">
        <v>766</v>
      </c>
      <c r="AE139" s="723"/>
      <c r="AF139" s="723"/>
      <c r="AG139" s="723"/>
      <c r="AH139" s="716">
        <f t="shared" si="7"/>
        <v>0</v>
      </c>
      <c r="AI139" s="723"/>
      <c r="AJ139" s="1444"/>
      <c r="AK139" s="1444"/>
      <c r="AL139" s="716">
        <f t="shared" si="8"/>
        <v>0</v>
      </c>
      <c r="AM139" s="1445"/>
      <c r="AN139" s="1445"/>
      <c r="AO139" s="1445"/>
      <c r="AP139" s="1203"/>
      <c r="AQ139" s="1203"/>
      <c r="AR139" s="964" t="s">
        <v>1611</v>
      </c>
      <c r="AS139" s="964" t="s">
        <v>1612</v>
      </c>
      <c r="AT139" s="962" cm="1">
        <f t="array" ref="AT139">AC139</f>
        <v>0</v>
      </c>
      <c r="AU139" s="961"/>
      <c r="AV139" s="612" t="b">
        <v>1</v>
      </c>
    </row>
    <row r="140" spans="1:48" s="1327" customFormat="1" ht="14.25" customHeight="1">
      <c r="A140" s="1203"/>
      <c r="B140" s="1203"/>
      <c r="C140" s="1203"/>
      <c r="D140" s="1203"/>
      <c r="E140" s="612">
        <v>15</v>
      </c>
      <c r="F140" s="3" t="str" cm="1">
        <f t="array" aca="1" ref="F140" ca="1">OFFSET(E140,-1,1)</f>
        <v>1</v>
      </c>
      <c r="G140" s="1203"/>
      <c r="H140" s="1203"/>
      <c r="I140" s="504" t="s">
        <v>1591</v>
      </c>
      <c r="J140" s="494" t="str" cm="1">
        <f t="array" ref="J140">AC140</f>
        <v>Расходы на транспорт</v>
      </c>
      <c r="K140" s="1203"/>
      <c r="L140" s="504"/>
      <c r="M140" s="504"/>
      <c r="N140" s="504"/>
      <c r="O140" s="504"/>
      <c r="P140" s="504"/>
      <c r="Q140" s="504"/>
      <c r="R140" s="504"/>
      <c r="S140" s="504"/>
      <c r="T140" s="381" t="b">
        <f ca="1">AND(F140&gt;0,Y140&gt;4)</f>
        <v>1</v>
      </c>
      <c r="U140" s="1203"/>
      <c r="V140" s="1203"/>
      <c r="W140" s="671"/>
      <c r="X140" s="1841"/>
      <c r="Y140" s="494" t="s">
        <v>478</v>
      </c>
      <c r="Z140" s="1842"/>
      <c r="AA140" s="1128" t="s">
        <v>174</v>
      </c>
      <c r="AB140" s="618" t="str">
        <f>"1.7."&amp;Y140</f>
        <v>1.7.5</v>
      </c>
      <c r="AC140" s="605" t="s">
        <v>1753</v>
      </c>
      <c r="AD140" s="673" t="s">
        <v>766</v>
      </c>
      <c r="AE140" s="723"/>
      <c r="AF140" s="723"/>
      <c r="AG140" s="723"/>
      <c r="AH140" s="716">
        <f t="shared" si="7"/>
        <v>0</v>
      </c>
      <c r="AI140" s="723"/>
      <c r="AJ140" s="1256"/>
      <c r="AK140" s="1256"/>
      <c r="AL140" s="716">
        <f t="shared" si="8"/>
        <v>0</v>
      </c>
      <c r="AM140" s="725"/>
      <c r="AN140" s="725"/>
      <c r="AO140" s="725"/>
      <c r="AP140" s="1203"/>
      <c r="AQ140" s="1203"/>
      <c r="AR140" s="964" t="s">
        <v>1611</v>
      </c>
      <c r="AS140" s="964" t="s">
        <v>1612</v>
      </c>
      <c r="AT140" s="962" t="str" cm="1">
        <f t="array" ref="AT140">AC140</f>
        <v>Расходы на транспорт</v>
      </c>
      <c r="AU140" s="961"/>
      <c r="AV140" s="612" t="b">
        <v>1</v>
      </c>
    </row>
    <row r="141" spans="1:48" s="1327" customFormat="1" ht="14.25" customHeight="1">
      <c r="A141" s="1203"/>
      <c r="B141" s="1203"/>
      <c r="C141" s="1203"/>
      <c r="D141" s="1203"/>
      <c r="E141" s="612">
        <v>15</v>
      </c>
      <c r="F141" s="3" t="str" cm="1">
        <f t="array" aca="1" ref="F141" ca="1">OFFSET(E141,-1,1)</f>
        <v>1</v>
      </c>
      <c r="G141" s="1203"/>
      <c r="H141" s="1203"/>
      <c r="I141" s="504" t="s">
        <v>1591</v>
      </c>
      <c r="J141" s="494" t="str" cm="1">
        <f t="array" ref="J141">AC141</f>
        <v>Расходы на транспорт</v>
      </c>
      <c r="K141" s="1203"/>
      <c r="L141" s="504"/>
      <c r="M141" s="504"/>
      <c r="N141" s="504"/>
      <c r="O141" s="504"/>
      <c r="P141" s="504"/>
      <c r="Q141" s="504"/>
      <c r="R141" s="504"/>
      <c r="S141" s="504"/>
      <c r="T141" s="381" t="b">
        <f ca="1">AND(F141&gt;0,Y141&gt;4)</f>
        <v>1</v>
      </c>
      <c r="U141" s="1203"/>
      <c r="V141" s="1203"/>
      <c r="W141" s="671"/>
      <c r="X141" s="1841"/>
      <c r="Y141" s="494" t="s">
        <v>482</v>
      </c>
      <c r="Z141" s="1842"/>
      <c r="AA141" s="1128" t="s">
        <v>174</v>
      </c>
      <c r="AB141" s="618" t="str">
        <f>"1.7."&amp;Y141</f>
        <v>1.7.6</v>
      </c>
      <c r="AC141" s="605" t="s">
        <v>1753</v>
      </c>
      <c r="AD141" s="673" t="s">
        <v>766</v>
      </c>
      <c r="AE141" s="723"/>
      <c r="AF141" s="723"/>
      <c r="AG141" s="723"/>
      <c r="AH141" s="716">
        <f t="shared" si="7"/>
        <v>0</v>
      </c>
      <c r="AI141" s="723"/>
      <c r="AJ141" s="1256"/>
      <c r="AK141" s="1256"/>
      <c r="AL141" s="716">
        <f t="shared" si="8"/>
        <v>0</v>
      </c>
      <c r="AM141" s="725"/>
      <c r="AN141" s="725"/>
      <c r="AO141" s="725"/>
      <c r="AP141" s="1203"/>
      <c r="AQ141" s="1203"/>
      <c r="AR141" s="964" t="s">
        <v>1611</v>
      </c>
      <c r="AS141" s="964" t="s">
        <v>1612</v>
      </c>
      <c r="AT141" s="962" t="str" cm="1">
        <f t="array" ref="AT141">AC141</f>
        <v>Расходы на транспорт</v>
      </c>
      <c r="AU141" s="961"/>
      <c r="AV141" s="612" t="b">
        <v>1</v>
      </c>
    </row>
    <row r="142" spans="1:48" s="1327" customFormat="1" ht="14.25" customHeight="1">
      <c r="A142" s="1203"/>
      <c r="B142" s="1203"/>
      <c r="C142" s="1203"/>
      <c r="D142" s="1203"/>
      <c r="E142" s="612">
        <v>15</v>
      </c>
      <c r="F142" s="3" t="str" cm="1">
        <f t="array" aca="1" ref="F142" ca="1">OFFSET(E142,-1,1)</f>
        <v>1</v>
      </c>
      <c r="G142" s="1203"/>
      <c r="H142" s="1203"/>
      <c r="I142" s="613"/>
      <c r="J142" s="613" t="s">
        <v>1613</v>
      </c>
      <c r="K142" s="613"/>
      <c r="L142" s="613"/>
      <c r="M142" s="613"/>
      <c r="N142" s="613"/>
      <c r="O142" s="613"/>
      <c r="P142" s="613"/>
      <c r="Q142" s="613"/>
      <c r="R142" s="613"/>
      <c r="S142" s="613"/>
      <c r="T142" s="381" t="b">
        <f ca="1">F142&gt;0</f>
        <v>1</v>
      </c>
      <c r="U142" s="1203"/>
      <c r="V142" s="1203"/>
      <c r="W142" s="743" t="s">
        <v>389</v>
      </c>
      <c r="X142" s="1841"/>
      <c r="Y142" s="1203"/>
      <c r="Z142" s="1842"/>
      <c r="AA142" s="1203"/>
      <c r="AB142" s="1129"/>
      <c r="AC142" s="1130" t="s">
        <v>177</v>
      </c>
      <c r="AD142" s="1131"/>
      <c r="AE142" s="1131"/>
      <c r="AF142" s="1131"/>
      <c r="AG142" s="1131"/>
      <c r="AH142" s="1131"/>
      <c r="AI142" s="1131"/>
      <c r="AJ142" s="1131"/>
      <c r="AK142" s="1131"/>
      <c r="AL142" s="1131"/>
      <c r="AM142" s="1131"/>
      <c r="AN142" s="1131"/>
      <c r="AO142" s="1132"/>
      <c r="AP142" s="1203"/>
      <c r="AQ142" s="1203"/>
      <c r="AR142" s="964"/>
      <c r="AS142" s="964"/>
      <c r="AT142" s="964"/>
      <c r="AU142" s="961" t="s">
        <v>1612</v>
      </c>
      <c r="AV142" s="961"/>
    </row>
    <row r="143" spans="1:48" s="1459" customFormat="1" ht="14.25" customHeight="1">
      <c r="A143" s="505"/>
      <c r="B143" s="505"/>
      <c r="C143" s="505"/>
      <c r="D143" s="505"/>
      <c r="E143" s="614">
        <v>15</v>
      </c>
      <c r="F143" s="3" t="str" cm="1">
        <f t="array" aca="1" ref="F143" ca="1">OFFSET(E143,-1,1)</f>
        <v>1</v>
      </c>
      <c r="G143" s="505"/>
      <c r="H143" s="505"/>
      <c r="I143" s="615" t="s">
        <v>324</v>
      </c>
      <c r="J143" s="615"/>
      <c r="K143" s="615"/>
      <c r="L143" s="615"/>
      <c r="M143" s="615"/>
      <c r="N143" s="615"/>
      <c r="O143" s="615"/>
      <c r="P143" s="615"/>
      <c r="Q143" s="615"/>
      <c r="R143" s="615"/>
      <c r="S143" s="615"/>
      <c r="T143" s="381" t="b" cm="1">
        <f t="array" aca="1" ref="T143" ca="1">T142</f>
        <v>1</v>
      </c>
      <c r="U143" s="505"/>
      <c r="V143" s="505"/>
      <c r="W143" s="505"/>
      <c r="X143" s="1841"/>
      <c r="Y143" s="505"/>
      <c r="Z143" s="1842"/>
      <c r="AA143" s="505"/>
      <c r="AB143" s="718" t="s">
        <v>224</v>
      </c>
      <c r="AC143" s="714" t="s">
        <v>1614</v>
      </c>
      <c r="AD143" s="726" t="s">
        <v>766</v>
      </c>
      <c r="AE143" s="702">
        <f ca="1">AE144+AE145</f>
        <v>1218.25</v>
      </c>
      <c r="AF143" s="702">
        <f ca="1">AF144+AF145</f>
        <v>781.57</v>
      </c>
      <c r="AG143" s="702">
        <f ca="1">AG144+AG145</f>
        <v>781.57</v>
      </c>
      <c r="AH143" s="715">
        <f t="shared" ref="AH143:AH168" ca="1" si="9">AG143-AF143</f>
        <v>0</v>
      </c>
      <c r="AI143" s="702">
        <f ca="1">AI144+AI145</f>
        <v>1288.9000000000001</v>
      </c>
      <c r="AJ143" s="702">
        <f ca="1">AJ144+AJ145</f>
        <v>1354.64</v>
      </c>
      <c r="AK143" s="702">
        <f ca="1">AK144+AK145</f>
        <v>1354.64</v>
      </c>
      <c r="AL143" s="715">
        <f t="shared" ref="AL143:AL182" ca="1" si="10">IF(AI143=0,0,(AK143-AI143)/AI143*100)</f>
        <v>5.1004732717821399</v>
      </c>
      <c r="AM143" s="720"/>
      <c r="AN143" s="720"/>
      <c r="AO143" s="720"/>
      <c r="AP143" s="505"/>
      <c r="AQ143" s="505"/>
      <c r="AR143" s="965" t="s">
        <v>1615</v>
      </c>
      <c r="AS143" s="965"/>
      <c r="AT143" s="965"/>
      <c r="AU143" s="614"/>
      <c r="AV143" s="614"/>
    </row>
    <row r="144" spans="1:48" s="1327" customFormat="1" ht="32.25" customHeight="1">
      <c r="A144" s="1203"/>
      <c r="B144" s="1203"/>
      <c r="C144" s="1203"/>
      <c r="D144" s="1203"/>
      <c r="E144" s="612">
        <v>33.75</v>
      </c>
      <c r="F144" s="3" t="str" cm="1">
        <f t="array" aca="1" ref="F144" ca="1">OFFSET(E144,-1,1)</f>
        <v>1</v>
      </c>
      <c r="G144" s="1203"/>
      <c r="H144" s="1203"/>
      <c r="I144" s="504" t="s">
        <v>445</v>
      </c>
      <c r="J144" s="504"/>
      <c r="K144" s="504"/>
      <c r="L144" s="504"/>
      <c r="M144" s="504"/>
      <c r="N144" s="504"/>
      <c r="O144" s="504"/>
      <c r="P144" s="504"/>
      <c r="Q144" s="504"/>
      <c r="R144" s="504"/>
      <c r="S144" s="504"/>
      <c r="T144" s="381" t="b" cm="1">
        <f t="array" aca="1" ref="T144" ca="1">T143</f>
        <v>1</v>
      </c>
      <c r="U144" s="1203"/>
      <c r="V144" s="1203"/>
      <c r="W144" s="1203"/>
      <c r="X144" s="1841"/>
      <c r="Y144" s="1203"/>
      <c r="Z144" s="1842"/>
      <c r="AA144" s="1203"/>
      <c r="AB144" s="721" t="s">
        <v>502</v>
      </c>
      <c r="AC144" s="727" t="s">
        <v>1616</v>
      </c>
      <c r="AD144" s="728" t="s">
        <v>766</v>
      </c>
      <c r="AE144" s="723">
        <v>1218.25</v>
      </c>
      <c r="AF144" s="723">
        <v>781.57</v>
      </c>
      <c r="AG144" s="723">
        <v>781.57</v>
      </c>
      <c r="AH144" s="716">
        <f t="shared" si="9"/>
        <v>0</v>
      </c>
      <c r="AI144" s="723">
        <v>1288.9000000000001</v>
      </c>
      <c r="AJ144" s="723">
        <v>1354.64</v>
      </c>
      <c r="AK144" s="723">
        <v>1354.64</v>
      </c>
      <c r="AL144" s="716">
        <f t="shared" si="10"/>
        <v>5.1004732717821399</v>
      </c>
      <c r="AM144" s="1450" t="s">
        <v>1752</v>
      </c>
      <c r="AN144" s="717" t="s">
        <v>1754</v>
      </c>
      <c r="AO144" s="717"/>
      <c r="AP144" s="1203"/>
      <c r="AQ144" s="1203"/>
      <c r="AR144" s="964" t="s">
        <v>1617</v>
      </c>
      <c r="AS144" s="964"/>
      <c r="AT144" s="964"/>
      <c r="AU144" s="961"/>
      <c r="AV144" s="961"/>
    </row>
    <row r="145" spans="1:48" s="1327" customFormat="1" ht="34.5" customHeight="1">
      <c r="A145" s="1203"/>
      <c r="B145" s="1203"/>
      <c r="C145" s="1203"/>
      <c r="D145" s="1203"/>
      <c r="E145" s="612">
        <v>36</v>
      </c>
      <c r="F145" s="3" t="str" cm="1">
        <f t="array" aca="1" ref="F145" ca="1">OFFSET(E145,-1,1)</f>
        <v>1</v>
      </c>
      <c r="G145" s="1203"/>
      <c r="H145" s="1203"/>
      <c r="I145" s="504" t="s">
        <v>448</v>
      </c>
      <c r="J145" s="504"/>
      <c r="K145" s="504"/>
      <c r="L145" s="504"/>
      <c r="M145" s="504"/>
      <c r="N145" s="504"/>
      <c r="O145" s="504"/>
      <c r="P145" s="504"/>
      <c r="Q145" s="504"/>
      <c r="R145" s="504"/>
      <c r="S145" s="504"/>
      <c r="T145" s="381" t="b" cm="1">
        <f t="array" aca="1" ref="T145" ca="1">T144</f>
        <v>1</v>
      </c>
      <c r="U145" s="1203"/>
      <c r="V145" s="1203"/>
      <c r="W145" s="1203"/>
      <c r="X145" s="1841"/>
      <c r="Y145" s="1203"/>
      <c r="Z145" s="1842"/>
      <c r="AA145" s="1203"/>
      <c r="AB145" s="721" t="s">
        <v>506</v>
      </c>
      <c r="AC145" s="727" t="s">
        <v>1618</v>
      </c>
      <c r="AD145" s="728" t="s">
        <v>766</v>
      </c>
      <c r="AE145" s="729">
        <f ca="1">AE146+AE147</f>
        <v>0</v>
      </c>
      <c r="AF145" s="729">
        <f ca="1">AF146+AF147</f>
        <v>0</v>
      </c>
      <c r="AG145" s="729">
        <f ca="1">AG146+AG147</f>
        <v>0</v>
      </c>
      <c r="AH145" s="716">
        <f t="shared" ca="1" si="9"/>
        <v>0</v>
      </c>
      <c r="AI145" s="729">
        <f ca="1">AI146+AI147</f>
        <v>0</v>
      </c>
      <c r="AJ145" s="729">
        <f ca="1">AJ146+AJ147</f>
        <v>0</v>
      </c>
      <c r="AK145" s="729">
        <f ca="1">AK146+AK147</f>
        <v>0</v>
      </c>
      <c r="AL145" s="716">
        <f t="shared" ca="1" si="10"/>
        <v>0</v>
      </c>
      <c r="AM145" s="717"/>
      <c r="AN145" s="717"/>
      <c r="AO145" s="717"/>
      <c r="AP145" s="1203"/>
      <c r="AQ145" s="1203"/>
      <c r="AR145" s="964" t="s">
        <v>1619</v>
      </c>
      <c r="AS145" s="964"/>
      <c r="AT145" s="964"/>
      <c r="AU145" s="961"/>
      <c r="AV145" s="961"/>
    </row>
    <row r="146" spans="1:48" s="1327" customFormat="1" ht="14.25" customHeight="1">
      <c r="A146" s="1203"/>
      <c r="B146" s="1203"/>
      <c r="C146" s="1203"/>
      <c r="D146" s="1203"/>
      <c r="E146" s="612">
        <v>15</v>
      </c>
      <c r="F146" s="3" t="str" cm="1">
        <f t="array" aca="1" ref="F146" ca="1">OFFSET(E146,-1,1)</f>
        <v>1</v>
      </c>
      <c r="G146" s="494" t="s">
        <v>1026</v>
      </c>
      <c r="H146" s="1203"/>
      <c r="I146" s="504" t="s">
        <v>1620</v>
      </c>
      <c r="J146" s="504"/>
      <c r="K146" s="504"/>
      <c r="L146" s="504"/>
      <c r="M146" s="504"/>
      <c r="N146" s="504"/>
      <c r="O146" s="504"/>
      <c r="P146" s="504"/>
      <c r="Q146" s="504"/>
      <c r="R146" s="504"/>
      <c r="S146" s="504"/>
      <c r="T146" s="381" t="b" cm="1">
        <f t="array" aca="1" ref="T146" ca="1">T145</f>
        <v>1</v>
      </c>
      <c r="U146" s="1203"/>
      <c r="V146" s="1203"/>
      <c r="W146" s="1203"/>
      <c r="X146" s="1841"/>
      <c r="Y146" s="1203"/>
      <c r="Z146" s="1842"/>
      <c r="AA146" s="1203"/>
      <c r="AB146" s="721" t="s">
        <v>459</v>
      </c>
      <c r="AC146" s="722" t="s">
        <v>1621</v>
      </c>
      <c r="AD146" s="728" t="s">
        <v>766</v>
      </c>
      <c r="AE146" s="716">
        <f ca="1">SUMIFS(ФОТ!AE$25:AE$77,ФОТ!$F$25:$F$77,$F146,ФОТ!$G$25:$G$77,$G146)</f>
        <v>0</v>
      </c>
      <c r="AF146" s="716">
        <f ca="1">SUMIFS(ФОТ!AF$25:AF$77,ФОТ!$F$25:$F$77,$F146,ФОТ!$G$25:$G$77,$G146)</f>
        <v>0</v>
      </c>
      <c r="AG146" s="716">
        <f ca="1">SUMIFS(ФОТ!AG$25:AG$77,ФОТ!$F$25:$F$77,$F146,ФОТ!$G$25:$G$77,$G146)</f>
        <v>0</v>
      </c>
      <c r="AH146" s="716">
        <f t="shared" ca="1" si="9"/>
        <v>0</v>
      </c>
      <c r="AI146" s="716">
        <f ca="1">SUMIFS(ФОТ!AH$25:AH$77,ФОТ!$F$25:$F$77,$F146,ФОТ!$G$25:$G$77,$G146)</f>
        <v>0</v>
      </c>
      <c r="AJ146" s="716">
        <f ca="1">SUMIFS(ФОТ!AI$25:AI$77,ФОТ!$F$25:$F$77,$F146,ФОТ!$G$25:$G$77,$G146)</f>
        <v>0</v>
      </c>
      <c r="AK146" s="716">
        <f ca="1">SUMIFS(ФОТ!AJ$25:AJ$77,ФОТ!$F$25:$F$77,$F146,ФОТ!$G$25:$G$77,$G146)</f>
        <v>0</v>
      </c>
      <c r="AL146" s="716">
        <f t="shared" ca="1" si="10"/>
        <v>0</v>
      </c>
      <c r="AM146" s="717"/>
      <c r="AN146" s="816" t="str">
        <f ca="1">IF(IFERROR(INDEX(ФОТ!$K$26:$L$77,MATCH($F146&amp;"3komm",ФОТ!$K$26:$K$77,0),2),"")=0,"",IFERROR(INDEX(ФОТ!$K$26:$L$77,MATCH($F146&amp;"3komm",ФОТ!$K$26:$K$77,0),2),""))</f>
        <v/>
      </c>
      <c r="AO146" s="717"/>
      <c r="AP146" s="1203"/>
      <c r="AQ146" s="1203"/>
      <c r="AR146" s="964" t="s">
        <v>1622</v>
      </c>
      <c r="AS146" s="964"/>
      <c r="AT146" s="964"/>
      <c r="AU146" s="961"/>
      <c r="AV146" s="961"/>
    </row>
    <row r="147" spans="1:48" s="1327" customFormat="1" ht="21.75" customHeight="1">
      <c r="A147" s="1203"/>
      <c r="B147" s="1203"/>
      <c r="C147" s="1203"/>
      <c r="D147" s="1203"/>
      <c r="E147" s="612">
        <v>22.5</v>
      </c>
      <c r="F147" s="3" t="str" cm="1">
        <f t="array" aca="1" ref="F147" ca="1">OFFSET(E147,-1,1)</f>
        <v>1</v>
      </c>
      <c r="G147" s="494" t="s">
        <v>1031</v>
      </c>
      <c r="H147" s="1203"/>
      <c r="I147" s="504" t="s">
        <v>1623</v>
      </c>
      <c r="J147" s="504"/>
      <c r="K147" s="504"/>
      <c r="L147" s="504"/>
      <c r="M147" s="504"/>
      <c r="N147" s="504"/>
      <c r="O147" s="504"/>
      <c r="P147" s="504"/>
      <c r="Q147" s="504"/>
      <c r="R147" s="504"/>
      <c r="S147" s="504"/>
      <c r="T147" s="381" t="b" cm="1">
        <f t="array" aca="1" ref="T147" ca="1">T146</f>
        <v>1</v>
      </c>
      <c r="U147" s="1203"/>
      <c r="V147" s="1203"/>
      <c r="W147" s="1203"/>
      <c r="X147" s="1841"/>
      <c r="Y147" s="1203"/>
      <c r="Z147" s="1842"/>
      <c r="AA147" s="1203"/>
      <c r="AB147" s="721" t="s">
        <v>1288</v>
      </c>
      <c r="AC147" s="722" t="s">
        <v>1624</v>
      </c>
      <c r="AD147" s="728" t="s">
        <v>766</v>
      </c>
      <c r="AE147" s="716">
        <f ca="1">SUMIFS(ФОТ!AE$25:AE$77,ФОТ!$F$25:$F$77,$F147,ФОТ!$G$25:$G$77,$G147)</f>
        <v>0</v>
      </c>
      <c r="AF147" s="716">
        <f ca="1">SUMIFS(ФОТ!AF$25:AF$77,ФОТ!$F$25:$F$77,$F147,ФОТ!$G$25:$G$77,$G147)</f>
        <v>0</v>
      </c>
      <c r="AG147" s="716">
        <f ca="1">SUMIFS(ФОТ!AG$25:AG$77,ФОТ!$F$25:$F$77,$F147,ФОТ!$G$25:$G$77,$G147)</f>
        <v>0</v>
      </c>
      <c r="AH147" s="716">
        <f t="shared" ca="1" si="9"/>
        <v>0</v>
      </c>
      <c r="AI147" s="716">
        <f ca="1">SUMIFS(ФОТ!AH$25:AH$77,ФОТ!$F$25:$F$77,$F147,ФОТ!$G$25:$G$77,$G147)</f>
        <v>0</v>
      </c>
      <c r="AJ147" s="716">
        <f ca="1">SUMIFS(ФОТ!AI$25:AI$77,ФОТ!$F$25:$F$77,$F147,ФОТ!$G$25:$G$77,$G147)</f>
        <v>0</v>
      </c>
      <c r="AK147" s="716">
        <f ca="1">SUMIFS(ФОТ!AJ$25:AJ$77,ФОТ!$F$25:$F$77,$F147,ФОТ!$G$25:$G$77,$G147)</f>
        <v>0</v>
      </c>
      <c r="AL147" s="716">
        <f t="shared" ca="1" si="10"/>
        <v>0</v>
      </c>
      <c r="AM147" s="717"/>
      <c r="AN147" s="816" t="str">
        <f ca="1">IF(IFERROR(INDEX(ФОТ!$K$26:$L$77,MATCH($F147&amp;"4komm",ФОТ!$K$26:$K$77,0),2),"")=0,"",IFERROR(INDEX(ФОТ!$K$26:$L$77,MATCH($F147&amp;"4komm",ФОТ!$K$26:$K$77,0),2),""))</f>
        <v/>
      </c>
      <c r="AO147" s="717"/>
      <c r="AP147" s="1203"/>
      <c r="AQ147" s="1203"/>
      <c r="AR147" s="964" t="s">
        <v>1625</v>
      </c>
      <c r="AS147" s="964"/>
      <c r="AT147" s="964"/>
      <c r="AU147" s="961"/>
      <c r="AV147" s="961"/>
    </row>
    <row r="148" spans="1:48" s="1460" customFormat="1" ht="14.25" customHeight="1">
      <c r="A148" s="505"/>
      <c r="B148" s="505"/>
      <c r="C148" s="505"/>
      <c r="D148" s="505"/>
      <c r="E148" s="614">
        <v>15</v>
      </c>
      <c r="F148" s="3" t="str" cm="1">
        <f t="array" aca="1" ref="F148" ca="1">OFFSET(E148,-1,1)</f>
        <v>1</v>
      </c>
      <c r="G148" s="505"/>
      <c r="H148" s="505"/>
      <c r="I148" s="615" t="s">
        <v>325</v>
      </c>
      <c r="J148" s="615"/>
      <c r="K148" s="615"/>
      <c r="L148" s="615"/>
      <c r="M148" s="615"/>
      <c r="N148" s="615"/>
      <c r="O148" s="615"/>
      <c r="P148" s="615"/>
      <c r="Q148" s="615"/>
      <c r="R148" s="615"/>
      <c r="S148" s="615"/>
      <c r="T148" s="381" t="b" cm="1">
        <f t="array" aca="1" ref="T148" ca="1">T147</f>
        <v>1</v>
      </c>
      <c r="U148" s="505"/>
      <c r="V148" s="505"/>
      <c r="W148" s="505"/>
      <c r="X148" s="1841"/>
      <c r="Y148" s="505"/>
      <c r="Z148" s="1842"/>
      <c r="AA148" s="505"/>
      <c r="AB148" s="718" t="s">
        <v>321</v>
      </c>
      <c r="AC148" s="714" t="s">
        <v>1626</v>
      </c>
      <c r="AD148" s="726" t="s">
        <v>766</v>
      </c>
      <c r="AE148" s="715">
        <f ca="1">AE149+AE150+AE153+AE154+AE155+AE156+AE157</f>
        <v>0</v>
      </c>
      <c r="AF148" s="715">
        <f ca="1">AF149+AF150+AF153+AF154+AF155+AF156+AF157</f>
        <v>0</v>
      </c>
      <c r="AG148" s="715">
        <f ca="1">AG149+AG150+AG153+AG154+AG155+AG156+AG157</f>
        <v>0</v>
      </c>
      <c r="AH148" s="715">
        <f t="shared" ca="1" si="9"/>
        <v>0</v>
      </c>
      <c r="AI148" s="715">
        <f ca="1">AI149+AI150+AI153+AI154+AI155+AI156+AI157</f>
        <v>0</v>
      </c>
      <c r="AJ148" s="715">
        <f ca="1">AJ149+AJ150+AJ153+AJ154+AJ155+AJ156+AJ157</f>
        <v>0</v>
      </c>
      <c r="AK148" s="715">
        <f ca="1">AK149+AK150+AK153+AK154+AK155+AK156+AK157</f>
        <v>0</v>
      </c>
      <c r="AL148" s="715">
        <f t="shared" ca="1" si="10"/>
        <v>0</v>
      </c>
      <c r="AM148" s="720"/>
      <c r="AN148" s="720"/>
      <c r="AO148" s="720"/>
      <c r="AP148" s="505"/>
      <c r="AQ148" s="505"/>
      <c r="AR148" s="965" t="s">
        <v>1627</v>
      </c>
      <c r="AS148" s="965"/>
      <c r="AT148" s="965"/>
      <c r="AU148" s="614"/>
      <c r="AV148" s="614"/>
    </row>
    <row r="149" spans="1:48" s="1327" customFormat="1" ht="21.75" customHeight="1">
      <c r="A149" s="1203"/>
      <c r="B149" s="1203"/>
      <c r="C149" s="1203"/>
      <c r="D149" s="1203"/>
      <c r="E149" s="612">
        <v>22.5</v>
      </c>
      <c r="F149" s="3" t="str" cm="1">
        <f t="array" aca="1" ref="F149" ca="1">OFFSET(E149,-1,1)</f>
        <v>1</v>
      </c>
      <c r="G149" s="494" t="s">
        <v>1052</v>
      </c>
      <c r="H149" s="1203"/>
      <c r="I149" s="504" t="s">
        <v>851</v>
      </c>
      <c r="J149" s="504"/>
      <c r="K149" s="504"/>
      <c r="L149" s="504"/>
      <c r="M149" s="504"/>
      <c r="N149" s="504"/>
      <c r="O149" s="504"/>
      <c r="P149" s="504"/>
      <c r="Q149" s="504"/>
      <c r="R149" s="504"/>
      <c r="S149" s="504"/>
      <c r="T149" s="381" t="b" cm="1">
        <f t="array" aca="1" ref="T149" ca="1">T148</f>
        <v>1</v>
      </c>
      <c r="U149" s="1203"/>
      <c r="V149" s="1203"/>
      <c r="W149" s="1203"/>
      <c r="X149" s="1841"/>
      <c r="Y149" s="1203"/>
      <c r="Z149" s="1842"/>
      <c r="AA149" s="1203"/>
      <c r="AB149" s="721" t="s">
        <v>516</v>
      </c>
      <c r="AC149" s="727" t="s">
        <v>1628</v>
      </c>
      <c r="AD149" s="728" t="s">
        <v>766</v>
      </c>
      <c r="AE149" s="175">
        <f ca="1">SUMIFS(Административные!AE$25:AE$65,Административные!$F$25:$F$65,$F149,Административные!$G$25:$G$65,$G149)</f>
        <v>0</v>
      </c>
      <c r="AF149" s="175">
        <f ca="1">SUMIFS(Административные!AF$25:AF$65,Административные!$F$25:$F$65,$F149,Административные!$G$25:$G$65,$G149)</f>
        <v>0</v>
      </c>
      <c r="AG149" s="175">
        <f ca="1">SUMIFS(Административные!AG$25:AG$65,Административные!$F$25:$F$65,$F149,Административные!$G$25:$G$65,$G149)</f>
        <v>0</v>
      </c>
      <c r="AH149" s="716">
        <f t="shared" ca="1" si="9"/>
        <v>0</v>
      </c>
      <c r="AI149" s="175">
        <f ca="1">SUMIFS(Административные!AH$25:AH$65,Административные!$F$25:$F$65,$F149,Административные!$G$25:$G$65,$G149)</f>
        <v>0</v>
      </c>
      <c r="AJ149" s="175">
        <f ca="1">SUMIFS(Административные!AI$25:AI$65,Административные!$F$25:$F$65,$F149,Административные!$G$25:$G$65,$G149)</f>
        <v>0</v>
      </c>
      <c r="AK149" s="175">
        <f ca="1">SUMIFS(Административные!AJ$25:AJ$65,Административные!$F$25:$F$65,$F149,Административные!$G$25:$G$65,$G149)</f>
        <v>0</v>
      </c>
      <c r="AL149" s="716">
        <f t="shared" ca="1" si="10"/>
        <v>0</v>
      </c>
      <c r="AM149" s="717"/>
      <c r="AN149" s="816" t="str">
        <f ca="1">IF(IFERROR(INDEX(Административные!$K$26:$L$65,MATCH($F149&amp;"17komm",Административные!$K$26:$K$65,0),2),"")=0,"",IFERROR(INDEX(Административные!$K$26:$L$65,MATCH($F149&amp;"17komm",Административные!$K$26:$K$65,0),2),""))</f>
        <v/>
      </c>
      <c r="AO149" s="717"/>
      <c r="AP149" s="1203"/>
      <c r="AQ149" s="1203"/>
      <c r="AR149" s="964" t="s">
        <v>1054</v>
      </c>
      <c r="AS149" s="964"/>
      <c r="AT149" s="964"/>
      <c r="AU149" s="961"/>
      <c r="AV149" s="961"/>
    </row>
    <row r="150" spans="1:48" s="1327" customFormat="1" ht="32.25" customHeight="1">
      <c r="A150" s="1203"/>
      <c r="B150" s="1203"/>
      <c r="C150" s="1203"/>
      <c r="D150" s="1203"/>
      <c r="E150" s="612">
        <v>33.75</v>
      </c>
      <c r="F150" s="3" t="str" cm="1">
        <f t="array" aca="1" ref="F150" ca="1">OFFSET(E150,-1,1)</f>
        <v>1</v>
      </c>
      <c r="G150" s="1203"/>
      <c r="H150" s="1203"/>
      <c r="I150" s="504" t="s">
        <v>853</v>
      </c>
      <c r="J150" s="504"/>
      <c r="K150" s="504"/>
      <c r="L150" s="504"/>
      <c r="M150" s="504"/>
      <c r="N150" s="504"/>
      <c r="O150" s="504"/>
      <c r="P150" s="504"/>
      <c r="Q150" s="504"/>
      <c r="R150" s="504"/>
      <c r="S150" s="504"/>
      <c r="T150" s="381" t="b" cm="1">
        <f t="array" aca="1" ref="T150" ca="1">T149</f>
        <v>1</v>
      </c>
      <c r="U150" s="1203"/>
      <c r="V150" s="1203"/>
      <c r="W150" s="1203"/>
      <c r="X150" s="1841"/>
      <c r="Y150" s="1203"/>
      <c r="Z150" s="1842"/>
      <c r="AA150" s="1203"/>
      <c r="AB150" s="721" t="s">
        <v>520</v>
      </c>
      <c r="AC150" s="727" t="s">
        <v>1629</v>
      </c>
      <c r="AD150" s="728" t="s">
        <v>766</v>
      </c>
      <c r="AE150" s="716">
        <f ca="1">AE151+AE152</f>
        <v>0</v>
      </c>
      <c r="AF150" s="716">
        <f ca="1">AF151+AF152</f>
        <v>0</v>
      </c>
      <c r="AG150" s="716">
        <f ca="1">AG151+AG152</f>
        <v>0</v>
      </c>
      <c r="AH150" s="716">
        <f t="shared" ca="1" si="9"/>
        <v>0</v>
      </c>
      <c r="AI150" s="716">
        <f ca="1">AI151+AI152</f>
        <v>0</v>
      </c>
      <c r="AJ150" s="716">
        <f ca="1">AJ151+AJ152</f>
        <v>0</v>
      </c>
      <c r="AK150" s="716">
        <f ca="1">AK151+AK152</f>
        <v>0</v>
      </c>
      <c r="AL150" s="716">
        <f t="shared" ca="1" si="10"/>
        <v>0</v>
      </c>
      <c r="AM150" s="717"/>
      <c r="AN150" s="717"/>
      <c r="AO150" s="717"/>
      <c r="AP150" s="1203"/>
      <c r="AQ150" s="1203"/>
      <c r="AR150" s="964" t="s">
        <v>1630</v>
      </c>
      <c r="AS150" s="964"/>
      <c r="AT150" s="964"/>
      <c r="AU150" s="961"/>
      <c r="AV150" s="961"/>
    </row>
    <row r="151" spans="1:48" s="1327" customFormat="1" ht="21.75" customHeight="1">
      <c r="A151" s="1203"/>
      <c r="B151" s="1203"/>
      <c r="C151" s="1203"/>
      <c r="D151" s="1203"/>
      <c r="E151" s="612">
        <v>22.5</v>
      </c>
      <c r="F151" s="3" t="str" cm="1">
        <f t="array" aca="1" ref="F151" ca="1">OFFSET(E151,-1,1)</f>
        <v>1</v>
      </c>
      <c r="G151" s="1133" t="s">
        <v>1034</v>
      </c>
      <c r="H151" s="1203"/>
      <c r="I151" s="504" t="s">
        <v>463</v>
      </c>
      <c r="J151" s="504"/>
      <c r="K151" s="504"/>
      <c r="L151" s="504"/>
      <c r="M151" s="504"/>
      <c r="N151" s="504"/>
      <c r="O151" s="504"/>
      <c r="P151" s="504"/>
      <c r="Q151" s="504"/>
      <c r="R151" s="504"/>
      <c r="S151" s="504"/>
      <c r="T151" s="381" t="b" cm="1">
        <f t="array" aca="1" ref="T151" ca="1">T150</f>
        <v>1</v>
      </c>
      <c r="U151" s="1203"/>
      <c r="V151" s="1203"/>
      <c r="W151" s="1203"/>
      <c r="X151" s="1841"/>
      <c r="Y151" s="1203"/>
      <c r="Z151" s="1842"/>
      <c r="AA151" s="1203"/>
      <c r="AB151" s="721" t="s">
        <v>731</v>
      </c>
      <c r="AC151" s="722" t="s">
        <v>1631</v>
      </c>
      <c r="AD151" s="728" t="s">
        <v>766</v>
      </c>
      <c r="AE151" s="716">
        <f ca="1">SUMIFS(ФОТ!AE$25:AE$77,ФОТ!$F$25:$F$77,$F151,ФОТ!$G$25:$G$77,$G151)</f>
        <v>0</v>
      </c>
      <c r="AF151" s="716">
        <f ca="1">SUMIFS(ФОТ!AF$25:AF$77,ФОТ!$F$25:$F$77,$F151,ФОТ!$G$25:$G$77,$G151)</f>
        <v>0</v>
      </c>
      <c r="AG151" s="716">
        <f ca="1">SUMIFS(ФОТ!AG$25:AG$77,ФОТ!$F$25:$F$77,$F151,ФОТ!$G$25:$G$77,$G151)</f>
        <v>0</v>
      </c>
      <c r="AH151" s="716">
        <f t="shared" ca="1" si="9"/>
        <v>0</v>
      </c>
      <c r="AI151" s="716">
        <f ca="1">SUMIFS(ФОТ!AH$25:AH$77,ФОТ!$F$25:$F$77,$F151,ФОТ!$G$25:$G$77,$G151)</f>
        <v>0</v>
      </c>
      <c r="AJ151" s="716">
        <f ca="1">SUMIFS(ФОТ!AI$25:AI$77,ФОТ!$F$25:$F$77,$F151,ФОТ!$G$25:$G$77,$G151)</f>
        <v>0</v>
      </c>
      <c r="AK151" s="716">
        <f ca="1">SUMIFS(ФОТ!AJ$25:AJ$77,ФОТ!$F$25:$F$77,$F151,ФОТ!$G$25:$G$77,$G151)</f>
        <v>0</v>
      </c>
      <c r="AL151" s="716">
        <f t="shared" ca="1" si="10"/>
        <v>0</v>
      </c>
      <c r="AM151" s="717"/>
      <c r="AN151" s="816" t="str">
        <f ca="1">IF(IFERROR(INDEX(ФОТ!$K$26:$L$77,MATCH($F151&amp;"5komm",ФОТ!$K$26:$K$77,0),2),"")=0,"",IFERROR(INDEX(ФОТ!$K$26:$L$77,MATCH($F151&amp;"5komm",ФОТ!$K$26:$K$77,0),2),""))</f>
        <v/>
      </c>
      <c r="AO151" s="717"/>
      <c r="AP151" s="1203"/>
      <c r="AQ151" s="1203"/>
      <c r="AR151" s="964" t="s">
        <v>1051</v>
      </c>
      <c r="AS151" s="964"/>
      <c r="AT151" s="964"/>
      <c r="AU151" s="961"/>
      <c r="AV151" s="961"/>
    </row>
    <row r="152" spans="1:48" s="1327" customFormat="1" ht="32.25" customHeight="1">
      <c r="A152" s="1203"/>
      <c r="B152" s="1203"/>
      <c r="C152" s="1203"/>
      <c r="D152" s="1203"/>
      <c r="E152" s="612">
        <v>33.75</v>
      </c>
      <c r="F152" s="3" t="str" cm="1">
        <f t="array" aca="1" ref="F152" ca="1">OFFSET(E152,-1,1)</f>
        <v>1</v>
      </c>
      <c r="G152" s="414" t="s">
        <v>1039</v>
      </c>
      <c r="H152" s="1203"/>
      <c r="I152" s="504" t="s">
        <v>468</v>
      </c>
      <c r="J152" s="504"/>
      <c r="K152" s="504"/>
      <c r="L152" s="504"/>
      <c r="M152" s="504"/>
      <c r="N152" s="504"/>
      <c r="O152" s="504"/>
      <c r="P152" s="504"/>
      <c r="Q152" s="504"/>
      <c r="R152" s="504"/>
      <c r="S152" s="504"/>
      <c r="T152" s="381" t="b" cm="1">
        <f t="array" aca="1" ref="T152" ca="1">T151</f>
        <v>1</v>
      </c>
      <c r="U152" s="1203"/>
      <c r="V152" s="1203"/>
      <c r="W152" s="1203"/>
      <c r="X152" s="1841"/>
      <c r="Y152" s="1203"/>
      <c r="Z152" s="1842"/>
      <c r="AA152" s="1203"/>
      <c r="AB152" s="721" t="s">
        <v>734</v>
      </c>
      <c r="AC152" s="722" t="s">
        <v>1632</v>
      </c>
      <c r="AD152" s="728" t="s">
        <v>766</v>
      </c>
      <c r="AE152" s="716">
        <f ca="1">SUMIFS(ФОТ!AE$25:AE$77,ФОТ!$F$25:$F$77,$F152,ФОТ!$G$25:$G$77,$G152)</f>
        <v>0</v>
      </c>
      <c r="AF152" s="716">
        <f ca="1">SUMIFS(ФОТ!AF$25:AF$77,ФОТ!$F$25:$F$77,$F152,ФОТ!$G$25:$G$77,$G152)</f>
        <v>0</v>
      </c>
      <c r="AG152" s="716">
        <f ca="1">SUMIFS(ФОТ!AG$25:AG$77,ФОТ!$F$25:$F$77,$F152,ФОТ!$G$25:$G$77,$G152)</f>
        <v>0</v>
      </c>
      <c r="AH152" s="716">
        <f t="shared" ca="1" si="9"/>
        <v>0</v>
      </c>
      <c r="AI152" s="716">
        <f ca="1">SUMIFS(ФОТ!AH$25:AH$77,ФОТ!$F$25:$F$77,$F152,ФОТ!$G$25:$G$77,$G152)</f>
        <v>0</v>
      </c>
      <c r="AJ152" s="716">
        <f ca="1">SUMIFS(ФОТ!AI$25:AI$77,ФОТ!$F$25:$F$77,$F152,ФОТ!$G$25:$G$77,$G152)</f>
        <v>0</v>
      </c>
      <c r="AK152" s="716">
        <f ca="1">SUMIFS(ФОТ!AJ$25:AJ$77,ФОТ!$F$25:$F$77,$F152,ФОТ!$G$25:$G$77,$G152)</f>
        <v>0</v>
      </c>
      <c r="AL152" s="716">
        <f t="shared" ca="1" si="10"/>
        <v>0</v>
      </c>
      <c r="AM152" s="717"/>
      <c r="AN152" s="816" t="str">
        <f ca="1">IF(IFERROR(INDEX(ФОТ!$K$26:$L$77,MATCH($F152&amp;"6komm",ФОТ!$K$26:$K$77,0),2),"")=0,"",IFERROR(INDEX(ФОТ!$K$26:$L$77,MATCH($F152&amp;"6komm",ФОТ!$K$26:$K$77,0),2),""))</f>
        <v/>
      </c>
      <c r="AO152" s="717"/>
      <c r="AP152" s="1203"/>
      <c r="AQ152" s="1203"/>
      <c r="AR152" s="964" t="s">
        <v>1633</v>
      </c>
      <c r="AS152" s="964"/>
      <c r="AT152" s="964"/>
      <c r="AU152" s="961"/>
      <c r="AV152" s="961"/>
    </row>
    <row r="153" spans="1:48" s="1327" customFormat="1" ht="32.25" customHeight="1">
      <c r="A153" s="1203"/>
      <c r="B153" s="1203"/>
      <c r="C153" s="1203"/>
      <c r="D153" s="1203"/>
      <c r="E153" s="612">
        <v>33.75</v>
      </c>
      <c r="F153" s="3" t="str" cm="1">
        <f t="array" aca="1" ref="F153" ca="1">OFFSET(E153,-1,1)</f>
        <v>1</v>
      </c>
      <c r="G153" s="494" t="s">
        <v>1080</v>
      </c>
      <c r="H153" s="1203"/>
      <c r="I153" s="504" t="s">
        <v>855</v>
      </c>
      <c r="J153" s="504"/>
      <c r="K153" s="504"/>
      <c r="L153" s="504"/>
      <c r="M153" s="504"/>
      <c r="N153" s="504"/>
      <c r="O153" s="504"/>
      <c r="P153" s="504"/>
      <c r="Q153" s="504"/>
      <c r="R153" s="504"/>
      <c r="S153" s="504"/>
      <c r="T153" s="381" t="b" cm="1">
        <f t="array" aca="1" ref="T153" ca="1">T152</f>
        <v>1</v>
      </c>
      <c r="U153" s="1203"/>
      <c r="V153" s="1203"/>
      <c r="W153" s="1203"/>
      <c r="X153" s="1841"/>
      <c r="Y153" s="1203"/>
      <c r="Z153" s="1842"/>
      <c r="AA153" s="1203"/>
      <c r="AB153" s="721" t="s">
        <v>737</v>
      </c>
      <c r="AC153" s="727" t="s">
        <v>1634</v>
      </c>
      <c r="AD153" s="728" t="s">
        <v>766</v>
      </c>
      <c r="AE153" s="716">
        <f ca="1">SUMIFS(Административные!AE$25:AE$65,Административные!$F$25:$F$65,$F153,Административные!$G$25:$G$65,$G153)</f>
        <v>0</v>
      </c>
      <c r="AF153" s="716">
        <f ca="1">SUMIFS(Административные!AF$25:AF$65,Административные!$F$25:$F$65,$F153,Административные!$G$25:$G$65,$G153)</f>
        <v>0</v>
      </c>
      <c r="AG153" s="716">
        <f ca="1">SUMIFS(Административные!AG$25:AG$65,Административные!$F$25:$F$65,$F153,Административные!$G$25:$G$65,$G153)</f>
        <v>0</v>
      </c>
      <c r="AH153" s="716">
        <f t="shared" ca="1" si="9"/>
        <v>0</v>
      </c>
      <c r="AI153" s="716">
        <f ca="1">SUMIFS(Административные!AH$25:AH$65,Административные!$F$25:$F$65,$F153,Административные!$G$25:$G$65,$G153)</f>
        <v>0</v>
      </c>
      <c r="AJ153" s="716">
        <f ca="1">SUMIFS(Административные!AI$25:AI$65,Административные!$F$25:$F$65,$F153,Административные!$G$25:$G$65,$G153)</f>
        <v>0</v>
      </c>
      <c r="AK153" s="716">
        <f ca="1">SUMIFS(Административные!AJ$25:AJ$65,Административные!$F$25:$F$65,$F153,Административные!$G$25:$G$65,$G153)</f>
        <v>0</v>
      </c>
      <c r="AL153" s="716">
        <f t="shared" ca="1" si="10"/>
        <v>0</v>
      </c>
      <c r="AM153" s="717"/>
      <c r="AN153" s="816" t="str">
        <f ca="1">IF(IFERROR(INDEX(Административные!$K$26:$L$65,MATCH($F153&amp;"2komm",Административные!$K$26:$K$65,0),2),"")=0,"",IFERROR(INDEX(Административные!$K$26:$L$65,MATCH($F153&amp;"2komm",Административные!$K$26:$K$65,0),2),""))</f>
        <v/>
      </c>
      <c r="AO153" s="717"/>
      <c r="AP153" s="1203"/>
      <c r="AQ153" s="1203"/>
      <c r="AR153" s="964" t="s">
        <v>1082</v>
      </c>
      <c r="AS153" s="964"/>
      <c r="AT153" s="964"/>
      <c r="AU153" s="961"/>
      <c r="AV153" s="961"/>
    </row>
    <row r="154" spans="1:48" s="1327" customFormat="1" ht="14.25" customHeight="1">
      <c r="A154" s="1203"/>
      <c r="B154" s="1203"/>
      <c r="C154" s="1203"/>
      <c r="D154" s="1203"/>
      <c r="E154" s="612">
        <v>15</v>
      </c>
      <c r="F154" s="3" t="str" cm="1">
        <f t="array" aca="1" ref="F154" ca="1">OFFSET(E154,-1,1)</f>
        <v>1</v>
      </c>
      <c r="G154" s="494" t="s">
        <v>1083</v>
      </c>
      <c r="H154" s="1203"/>
      <c r="I154" s="504" t="s">
        <v>857</v>
      </c>
      <c r="J154" s="504"/>
      <c r="K154" s="504"/>
      <c r="L154" s="504"/>
      <c r="M154" s="504"/>
      <c r="N154" s="504"/>
      <c r="O154" s="504"/>
      <c r="P154" s="504"/>
      <c r="Q154" s="504"/>
      <c r="R154" s="504"/>
      <c r="S154" s="504"/>
      <c r="T154" s="381" t="b" cm="1">
        <f t="array" aca="1" ref="T154" ca="1">T153</f>
        <v>1</v>
      </c>
      <c r="U154" s="1203"/>
      <c r="V154" s="1203"/>
      <c r="W154" s="1203"/>
      <c r="X154" s="1841"/>
      <c r="Y154" s="1203"/>
      <c r="Z154" s="1842"/>
      <c r="AA154" s="1203"/>
      <c r="AB154" s="721" t="s">
        <v>858</v>
      </c>
      <c r="AC154" s="727" t="s">
        <v>1084</v>
      </c>
      <c r="AD154" s="728" t="s">
        <v>766</v>
      </c>
      <c r="AE154" s="716">
        <f ca="1">SUMIFS(Административные!AE$25:AE$65,Административные!$F$25:$F$65,$F154,Административные!$G$25:$G$65,$G154)</f>
        <v>0</v>
      </c>
      <c r="AF154" s="716">
        <f ca="1">SUMIFS(Административные!AF$25:AF$65,Административные!$F$25:$F$65,$F154,Административные!$G$25:$G$65,$G154)</f>
        <v>0</v>
      </c>
      <c r="AG154" s="716">
        <f ca="1">SUMIFS(Административные!AG$25:AG$65,Административные!$F$25:$F$65,$F154,Административные!$G$25:$G$65,$G154)</f>
        <v>0</v>
      </c>
      <c r="AH154" s="716">
        <f t="shared" ca="1" si="9"/>
        <v>0</v>
      </c>
      <c r="AI154" s="716">
        <f ca="1">SUMIFS(Административные!AH$25:AH$65,Административные!$F$25:$F$65,$F154,Административные!$G$25:$G$65,$G154)</f>
        <v>0</v>
      </c>
      <c r="AJ154" s="716">
        <f ca="1">SUMIFS(Административные!AI$25:AI$65,Административные!$F$25:$F$65,$F154,Административные!$G$25:$G$65,$G154)</f>
        <v>0</v>
      </c>
      <c r="AK154" s="716">
        <f ca="1">SUMIFS(Административные!AJ$25:AJ$65,Административные!$F$25:$F$65,$F154,Административные!$G$25:$G$65,$G154)</f>
        <v>0</v>
      </c>
      <c r="AL154" s="716">
        <f t="shared" ca="1" si="10"/>
        <v>0</v>
      </c>
      <c r="AM154" s="717"/>
      <c r="AN154" s="816" t="str">
        <f ca="1">IF(IFERROR(INDEX(Административные!$K$26:$L$65,MATCH($F154&amp;"3komm",Административные!$K$26:$K$65,0),2),"")=0,"",IFERROR(INDEX(Административные!$K$26:$L$65,MATCH($F154&amp;"3komm",Административные!$K$26:$K$65,0),2),""))</f>
        <v/>
      </c>
      <c r="AO154" s="717"/>
      <c r="AP154" s="1203"/>
      <c r="AQ154" s="1203"/>
      <c r="AR154" s="964" t="s">
        <v>1085</v>
      </c>
      <c r="AS154" s="964"/>
      <c r="AT154" s="964"/>
      <c r="AU154" s="961"/>
      <c r="AV154" s="961"/>
    </row>
    <row r="155" spans="1:48" s="1327" customFormat="1" ht="14.25" customHeight="1">
      <c r="A155" s="1203"/>
      <c r="B155" s="1203"/>
      <c r="C155" s="1203"/>
      <c r="D155" s="1203"/>
      <c r="E155" s="612">
        <v>15</v>
      </c>
      <c r="F155" s="3" t="str" cm="1">
        <f t="array" aca="1" ref="F155" ca="1">OFFSET(E155,-1,1)</f>
        <v>1</v>
      </c>
      <c r="G155" s="494" t="s">
        <v>1086</v>
      </c>
      <c r="H155" s="1203"/>
      <c r="I155" s="504" t="s">
        <v>860</v>
      </c>
      <c r="J155" s="504"/>
      <c r="K155" s="504"/>
      <c r="L155" s="504"/>
      <c r="M155" s="504"/>
      <c r="N155" s="504"/>
      <c r="O155" s="504"/>
      <c r="P155" s="504"/>
      <c r="Q155" s="504"/>
      <c r="R155" s="504"/>
      <c r="S155" s="504"/>
      <c r="T155" s="381" t="b" cm="1">
        <f t="array" aca="1" ref="T155" ca="1">T154</f>
        <v>1</v>
      </c>
      <c r="U155" s="1203"/>
      <c r="V155" s="1203"/>
      <c r="W155" s="1203"/>
      <c r="X155" s="1841"/>
      <c r="Y155" s="1203"/>
      <c r="Z155" s="1842"/>
      <c r="AA155" s="1203"/>
      <c r="AB155" s="721" t="s">
        <v>861</v>
      </c>
      <c r="AC155" s="727" t="s">
        <v>1087</v>
      </c>
      <c r="AD155" s="728" t="s">
        <v>766</v>
      </c>
      <c r="AE155" s="716">
        <f ca="1">SUMIFS(Административные!AE$25:AE$65,Административные!$F$25:$F$65,$F155,Административные!$G$25:$G$65,$G155)</f>
        <v>0</v>
      </c>
      <c r="AF155" s="716">
        <f ca="1">SUMIFS(Административные!AF$25:AF$65,Административные!$F$25:$F$65,$F155,Административные!$G$25:$G$65,$G155)</f>
        <v>0</v>
      </c>
      <c r="AG155" s="716">
        <f ca="1">SUMIFS(Административные!AG$25:AG$65,Административные!$F$25:$F$65,$F155,Административные!$G$25:$G$65,$G155)</f>
        <v>0</v>
      </c>
      <c r="AH155" s="716">
        <f t="shared" ca="1" si="9"/>
        <v>0</v>
      </c>
      <c r="AI155" s="716">
        <f ca="1">SUMIFS(Административные!AH$25:AH$65,Административные!$F$25:$F$65,$F155,Административные!$G$25:$G$65,$G155)</f>
        <v>0</v>
      </c>
      <c r="AJ155" s="716">
        <f ca="1">SUMIFS(Административные!AI$25:AI$65,Административные!$F$25:$F$65,$F155,Административные!$G$25:$G$65,$G155)</f>
        <v>0</v>
      </c>
      <c r="AK155" s="716">
        <f ca="1">SUMIFS(Административные!AJ$25:AJ$65,Административные!$F$25:$F$65,$F155,Административные!$G$25:$G$65,$G155)</f>
        <v>0</v>
      </c>
      <c r="AL155" s="716">
        <f t="shared" ca="1" si="10"/>
        <v>0</v>
      </c>
      <c r="AM155" s="717"/>
      <c r="AN155" s="816" t="str">
        <f ca="1">IF(IFERROR(INDEX(Административные!$K$26:$L$65,MATCH($F155&amp;"4komm",Административные!$K$26:$K$65,0),2),"")=0,"",IFERROR(INDEX(Административные!$K$26:$L$65,MATCH($F155&amp;"4komm",Административные!$K$26:$K$65,0),2),""))</f>
        <v/>
      </c>
      <c r="AO155" s="717"/>
      <c r="AP155" s="1203"/>
      <c r="AQ155" s="1203"/>
      <c r="AR155" s="964" t="s">
        <v>1088</v>
      </c>
      <c r="AS155" s="964"/>
      <c r="AT155" s="964"/>
      <c r="AU155" s="961"/>
      <c r="AV155" s="961"/>
    </row>
    <row r="156" spans="1:48" s="1327" customFormat="1" ht="14.25" customHeight="1">
      <c r="A156" s="1203"/>
      <c r="B156" s="1203"/>
      <c r="C156" s="1203"/>
      <c r="D156" s="1203"/>
      <c r="E156" s="612">
        <v>15</v>
      </c>
      <c r="F156" s="3" t="str" cm="1">
        <f t="array" aca="1" ref="F156" ca="1">OFFSET(E156,-1,1)</f>
        <v>1</v>
      </c>
      <c r="G156" s="494" t="s">
        <v>1089</v>
      </c>
      <c r="H156" s="1203"/>
      <c r="I156" s="504" t="s">
        <v>1071</v>
      </c>
      <c r="J156" s="504"/>
      <c r="K156" s="504"/>
      <c r="L156" s="504"/>
      <c r="M156" s="504"/>
      <c r="N156" s="504"/>
      <c r="O156" s="504"/>
      <c r="P156" s="504"/>
      <c r="Q156" s="504"/>
      <c r="R156" s="504"/>
      <c r="S156" s="504"/>
      <c r="T156" s="381" t="b" cm="1">
        <f t="array" aca="1" ref="T156" ca="1">T155</f>
        <v>1</v>
      </c>
      <c r="U156" s="1203"/>
      <c r="V156" s="1203"/>
      <c r="W156" s="1203"/>
      <c r="X156" s="1841"/>
      <c r="Y156" s="1203"/>
      <c r="Z156" s="1842"/>
      <c r="AA156" s="1203"/>
      <c r="AB156" s="721" t="s">
        <v>1072</v>
      </c>
      <c r="AC156" s="727" t="s">
        <v>1090</v>
      </c>
      <c r="AD156" s="728" t="s">
        <v>766</v>
      </c>
      <c r="AE156" s="716">
        <f ca="1">SUMIFS(Административные!AE$25:AE$65,Административные!$F$25:$F$65,$F156,Административные!$G$25:$G$65,$G156)</f>
        <v>0</v>
      </c>
      <c r="AF156" s="716">
        <f ca="1">SUMIFS(Административные!AF$25:AF$65,Административные!$F$25:$F$65,$F156,Административные!$G$25:$G$65,$G156)</f>
        <v>0</v>
      </c>
      <c r="AG156" s="716">
        <f ca="1">SUMIFS(Административные!AG$25:AG$65,Административные!$F$25:$F$65,$F156,Административные!$G$25:$G$65,$G156)</f>
        <v>0</v>
      </c>
      <c r="AH156" s="716">
        <f t="shared" ca="1" si="9"/>
        <v>0</v>
      </c>
      <c r="AI156" s="716">
        <f ca="1">SUMIFS(Административные!AH$25:AH$65,Административные!$F$25:$F$65,$F156,Административные!$G$25:$G$65,$G156)</f>
        <v>0</v>
      </c>
      <c r="AJ156" s="716">
        <f ca="1">SUMIFS(Административные!AI$25:AI$65,Административные!$F$25:$F$65,$F156,Административные!$G$25:$G$65,$G156)</f>
        <v>0</v>
      </c>
      <c r="AK156" s="716">
        <f ca="1">SUMIFS(Административные!AJ$25:AJ$65,Административные!$F$25:$F$65,$F156,Административные!$G$25:$G$65,$G156)</f>
        <v>0</v>
      </c>
      <c r="AL156" s="716">
        <f t="shared" ca="1" si="10"/>
        <v>0</v>
      </c>
      <c r="AM156" s="717"/>
      <c r="AN156" s="816" t="str">
        <f ca="1">IF(IFERROR(INDEX(Административные!$K$26:$L$65,MATCH($F152&amp;"5komm",Административные!$K$26:$K$65,0),2),"")=0,"",IFERROR(INDEX(Административные!$K$26:$L$65,MATCH($F152&amp;"5komm",Административные!$K$26:$K$65,0),2),""))</f>
        <v/>
      </c>
      <c r="AO156" s="717"/>
      <c r="AP156" s="1203"/>
      <c r="AQ156" s="1203"/>
      <c r="AR156" s="964" t="s">
        <v>1635</v>
      </c>
      <c r="AS156" s="964"/>
      <c r="AT156" s="964"/>
      <c r="AU156" s="961"/>
      <c r="AV156" s="961"/>
    </row>
    <row r="157" spans="1:48" s="1327" customFormat="1" ht="14.25" customHeight="1">
      <c r="A157" s="1203"/>
      <c r="B157" s="1203"/>
      <c r="C157" s="1203"/>
      <c r="D157" s="1203"/>
      <c r="E157" s="612">
        <v>15</v>
      </c>
      <c r="F157" s="3" t="str" cm="1">
        <f t="array" aca="1" ref="F157" ca="1">OFFSET(E157,-1,1)</f>
        <v>1</v>
      </c>
      <c r="G157" s="494" t="s">
        <v>1092</v>
      </c>
      <c r="H157" s="1203"/>
      <c r="I157" s="504" t="s">
        <v>1076</v>
      </c>
      <c r="J157" s="504"/>
      <c r="K157" s="504"/>
      <c r="L157" s="504"/>
      <c r="M157" s="504"/>
      <c r="N157" s="504"/>
      <c r="O157" s="504"/>
      <c r="P157" s="504"/>
      <c r="Q157" s="504"/>
      <c r="R157" s="504"/>
      <c r="S157" s="504"/>
      <c r="T157" s="381" t="b" cm="1">
        <f t="array" aca="1" ref="T157" ca="1">T156</f>
        <v>1</v>
      </c>
      <c r="U157" s="1203"/>
      <c r="V157" s="1203"/>
      <c r="W157" s="1203"/>
      <c r="X157" s="1841"/>
      <c r="Y157" s="1203"/>
      <c r="Z157" s="1842"/>
      <c r="AA157" s="1203"/>
      <c r="AB157" s="721" t="s">
        <v>1077</v>
      </c>
      <c r="AC157" s="727" t="s">
        <v>1636</v>
      </c>
      <c r="AD157" s="728" t="s">
        <v>766</v>
      </c>
      <c r="AE157" s="716">
        <f ca="1">SUMIFS(Административные!AE$25:AE$65,Административные!$F$25:$F$65,$F157,Административные!$G$25:$G$65,$G157)</f>
        <v>0</v>
      </c>
      <c r="AF157" s="716">
        <f ca="1">SUMIFS(Административные!AF$25:AF$65,Административные!$F$25:$F$65,$F157,Административные!$G$25:$G$65,$G157)</f>
        <v>0</v>
      </c>
      <c r="AG157" s="716">
        <f ca="1">SUMIFS(Административные!AG$25:AG$65,Административные!$F$25:$F$65,$F157,Административные!$G$25:$G$65,$G157)</f>
        <v>0</v>
      </c>
      <c r="AH157" s="716">
        <f t="shared" ca="1" si="9"/>
        <v>0</v>
      </c>
      <c r="AI157" s="716">
        <f ca="1">SUMIFS(Административные!AH$25:AH$65,Административные!$F$25:$F$65,$F157,Административные!$G$25:$G$65,$G157)</f>
        <v>0</v>
      </c>
      <c r="AJ157" s="716">
        <f ca="1">SUMIFS(Административные!AI$25:AI$65,Административные!$F$25:$F$65,$F157,Административные!$G$25:$G$65,$G157)</f>
        <v>0</v>
      </c>
      <c r="AK157" s="716">
        <f ca="1">SUMIFS(Административные!AJ$25:AJ$65,Административные!$F$25:$F$65,$F157,Административные!$G$25:$G$65,$G157)</f>
        <v>0</v>
      </c>
      <c r="AL157" s="716">
        <f t="shared" ca="1" si="10"/>
        <v>0</v>
      </c>
      <c r="AM157" s="717"/>
      <c r="AN157" s="816" t="str">
        <f ca="1">IF(IFERROR(INDEX(Административные!$K$26:$L$65,MATCH($F157&amp;"6komm",Административные!$K$26:$K$65,0),2),"")=0,"",IFERROR(INDEX(Административные!$K$26:$L$65,MATCH($F152&amp;"6komm",Административные!$K$26:$K$65,0),2),""))</f>
        <v/>
      </c>
      <c r="AO157" s="717"/>
      <c r="AP157" s="1203"/>
      <c r="AQ157" s="1203"/>
      <c r="AR157" s="964" t="s">
        <v>1637</v>
      </c>
      <c r="AS157" s="964"/>
      <c r="AT157" s="964"/>
      <c r="AU157" s="961"/>
      <c r="AV157" s="961"/>
    </row>
    <row r="158" spans="1:48" s="1327" customFormat="1" ht="14.25" customHeight="1">
      <c r="A158" s="1203"/>
      <c r="B158" s="1203"/>
      <c r="C158" s="1203"/>
      <c r="D158" s="1203"/>
      <c r="E158" s="612">
        <v>15</v>
      </c>
      <c r="F158" s="3" t="str" cm="1">
        <f t="array" aca="1" ref="F158" ca="1">OFFSET(E158,-1,1)</f>
        <v>1</v>
      </c>
      <c r="G158" s="494" t="s">
        <v>1094</v>
      </c>
      <c r="H158" s="1203"/>
      <c r="I158" s="504" t="s">
        <v>1638</v>
      </c>
      <c r="J158" s="504"/>
      <c r="K158" s="504"/>
      <c r="L158" s="504"/>
      <c r="M158" s="504"/>
      <c r="N158" s="504"/>
      <c r="O158" s="504"/>
      <c r="P158" s="504"/>
      <c r="Q158" s="504"/>
      <c r="R158" s="504"/>
      <c r="S158" s="504"/>
      <c r="T158" s="381" t="b" cm="1">
        <f t="array" aca="1" ref="T158" ca="1">T157</f>
        <v>1</v>
      </c>
      <c r="U158" s="1203"/>
      <c r="V158" s="1203"/>
      <c r="W158" s="1203"/>
      <c r="X158" s="1841"/>
      <c r="Y158" s="1203"/>
      <c r="Z158" s="1842"/>
      <c r="AA158" s="1203"/>
      <c r="AB158" s="721" t="s">
        <v>1639</v>
      </c>
      <c r="AC158" s="722" t="s">
        <v>1640</v>
      </c>
      <c r="AD158" s="728" t="s">
        <v>766</v>
      </c>
      <c r="AE158" s="716">
        <f ca="1">SUMIFS(Административные!AE$25:AE$65,Административные!$F$25:$F$65,$F158,Административные!$G$25:$G$65,$G158)</f>
        <v>0</v>
      </c>
      <c r="AF158" s="716">
        <f ca="1">SUMIFS(Административные!AF$25:AF$65,Административные!$F$25:$F$65,$F158,Административные!$G$25:$G$65,$G158)</f>
        <v>0</v>
      </c>
      <c r="AG158" s="716">
        <f ca="1">SUMIFS(Административные!AG$25:AG$65,Административные!$F$25:$F$65,$F158,Административные!$G$25:$G$65,$G158)</f>
        <v>0</v>
      </c>
      <c r="AH158" s="716">
        <f t="shared" ca="1" si="9"/>
        <v>0</v>
      </c>
      <c r="AI158" s="716">
        <f ca="1">SUMIFS(Административные!AH$25:AH$65,Административные!$F$25:$F$65,$F158,Административные!$G$25:$G$65,$G158)</f>
        <v>0</v>
      </c>
      <c r="AJ158" s="716">
        <f ca="1">SUMIFS(Административные!AI$25:AI$65,Административные!$F$25:$F$65,$F158,Административные!$G$25:$G$65,$G158)</f>
        <v>0</v>
      </c>
      <c r="AK158" s="716">
        <f ca="1">SUMIFS(Административные!AJ$25:AJ$65,Административные!$F$25:$F$65,$F158,Административные!$G$25:$G$65,$G158)</f>
        <v>0</v>
      </c>
      <c r="AL158" s="716">
        <f t="shared" ca="1" si="10"/>
        <v>0</v>
      </c>
      <c r="AM158" s="717"/>
      <c r="AN158" s="816" t="str">
        <f ca="1">IF(IFERROR(INDEX(Административные!$K$26:$L$65,MATCH($F158&amp;"7komm",Административные!$K$26:$K$65,0),2),"")=0,"",IFERROR(INDEX(Административные!$K$26:$L$65,MATCH($F153&amp;"7komm",Административные!$K$26:$K$65,0),2),""))</f>
        <v/>
      </c>
      <c r="AO158" s="717"/>
      <c r="AP158" s="1203"/>
      <c r="AQ158" s="1203"/>
      <c r="AR158" s="964" t="s">
        <v>1641</v>
      </c>
      <c r="AS158" s="964"/>
      <c r="AT158" s="964"/>
      <c r="AU158" s="961"/>
      <c r="AV158" s="961"/>
    </row>
    <row r="159" spans="1:48" s="1327" customFormat="1" ht="43.5" customHeight="1">
      <c r="A159" s="1203"/>
      <c r="B159" s="1203"/>
      <c r="C159" s="1203"/>
      <c r="D159" s="1203"/>
      <c r="E159" s="612">
        <v>45</v>
      </c>
      <c r="F159" s="3" t="str" cm="1">
        <f t="array" aca="1" ref="F159" ca="1">OFFSET(E159,-1,1)</f>
        <v>1</v>
      </c>
      <c r="G159" s="494" t="s">
        <v>1097</v>
      </c>
      <c r="H159" s="1203"/>
      <c r="I159" s="504" t="s">
        <v>1642</v>
      </c>
      <c r="J159" s="504"/>
      <c r="K159" s="504"/>
      <c r="L159" s="504"/>
      <c r="M159" s="504"/>
      <c r="N159" s="504"/>
      <c r="O159" s="504"/>
      <c r="P159" s="504"/>
      <c r="Q159" s="504"/>
      <c r="R159" s="504"/>
      <c r="S159" s="504"/>
      <c r="T159" s="381" t="b" cm="1">
        <f t="array" aca="1" ref="T159" ca="1">T158</f>
        <v>1</v>
      </c>
      <c r="U159" s="1203"/>
      <c r="V159" s="1203"/>
      <c r="W159" s="1203"/>
      <c r="X159" s="1841"/>
      <c r="Y159" s="1203"/>
      <c r="Z159" s="1842"/>
      <c r="AA159" s="1203"/>
      <c r="AB159" s="721" t="s">
        <v>1643</v>
      </c>
      <c r="AC159" s="676" t="s">
        <v>1098</v>
      </c>
      <c r="AD159" s="728" t="s">
        <v>766</v>
      </c>
      <c r="AE159" s="716">
        <f ca="1">SUMIFS(Административные!AE$25:AE$65,Административные!$F$25:$F$65,$F159,Административные!$G$25:$G$65,$G159)</f>
        <v>0</v>
      </c>
      <c r="AF159" s="716">
        <f ca="1">SUMIFS(Административные!AF$25:AF$65,Административные!$F$25:$F$65,$F159,Административные!$G$25:$G$65,$G159)</f>
        <v>0</v>
      </c>
      <c r="AG159" s="716">
        <f ca="1">SUMIFS(Административные!AG$25:AG$65,Административные!$F$25:$F$65,$F159,Административные!$G$25:$G$65,$G159)</f>
        <v>0</v>
      </c>
      <c r="AH159" s="716">
        <f t="shared" ca="1" si="9"/>
        <v>0</v>
      </c>
      <c r="AI159" s="716">
        <f ca="1">SUMIFS(Административные!AH$25:AH$65,Административные!$F$25:$F$65,$F159,Административные!$G$25:$G$65,$G159)</f>
        <v>0</v>
      </c>
      <c r="AJ159" s="716">
        <f ca="1">SUMIFS(Административные!AI$25:AI$65,Административные!$F$25:$F$65,$F159,Административные!$G$25:$G$65,$G159)</f>
        <v>0</v>
      </c>
      <c r="AK159" s="716">
        <f ca="1">SUMIFS(Административные!AJ$25:AJ$65,Административные!$F$25:$F$65,$F159,Административные!$G$25:$G$65,$G159)</f>
        <v>0</v>
      </c>
      <c r="AL159" s="716">
        <f t="shared" ca="1" si="10"/>
        <v>0</v>
      </c>
      <c r="AM159" s="717"/>
      <c r="AN159" s="816" t="str">
        <f ca="1">IF(IFERROR(INDEX(Административные!$K$26:$L$65,MATCH($F159&amp;"8komm",Административные!$K$26:$K$65,0),2),"")=0,"",IFERROR(INDEX(Административные!$K$26:$L$65,MATCH($F154&amp;"8komm",Административные!$K$26:$K$65,0),2),""))</f>
        <v/>
      </c>
      <c r="AO159" s="717"/>
      <c r="AP159" s="1203"/>
      <c r="AQ159" s="1203"/>
      <c r="AR159" s="964" t="s">
        <v>1644</v>
      </c>
      <c r="AS159" s="964"/>
      <c r="AT159" s="964"/>
      <c r="AU159" s="961"/>
      <c r="AV159" s="961"/>
    </row>
    <row r="160" spans="1:48" s="1327" customFormat="1" ht="14.25" customHeight="1">
      <c r="A160" s="1203"/>
      <c r="B160" s="1203"/>
      <c r="C160" s="1203"/>
      <c r="D160" s="1203"/>
      <c r="E160" s="612">
        <v>15</v>
      </c>
      <c r="F160" s="3" t="str" cm="1">
        <f t="array" aca="1" ref="F160" ca="1">OFFSET(E160,-1,1)</f>
        <v>1</v>
      </c>
      <c r="G160" s="494" t="s">
        <v>1100</v>
      </c>
      <c r="H160" s="1203"/>
      <c r="I160" s="504" t="s">
        <v>1645</v>
      </c>
      <c r="J160" s="504"/>
      <c r="K160" s="504"/>
      <c r="L160" s="504"/>
      <c r="M160" s="504"/>
      <c r="N160" s="504"/>
      <c r="O160" s="504"/>
      <c r="P160" s="504"/>
      <c r="Q160" s="504"/>
      <c r="R160" s="504"/>
      <c r="S160" s="504"/>
      <c r="T160" s="381" t="b" cm="1">
        <f t="array" aca="1" ref="T160" ca="1">T159</f>
        <v>1</v>
      </c>
      <c r="U160" s="1203"/>
      <c r="V160" s="1203"/>
      <c r="W160" s="1203"/>
      <c r="X160" s="1841"/>
      <c r="Y160" s="1203"/>
      <c r="Z160" s="1842"/>
      <c r="AA160" s="1203"/>
      <c r="AB160" s="721" t="s">
        <v>1646</v>
      </c>
      <c r="AC160" s="722" t="s">
        <v>1101</v>
      </c>
      <c r="AD160" s="728" t="s">
        <v>766</v>
      </c>
      <c r="AE160" s="716">
        <f ca="1">SUMIFS(Административные!AE$25:AE$65,Административные!$F$25:$F$65,$F160,Административные!$G$25:$G$65,$G160)</f>
        <v>0</v>
      </c>
      <c r="AF160" s="716">
        <f ca="1">SUMIFS(Административные!AF$25:AF$65,Административные!$F$25:$F$65,$F160,Административные!$G$25:$G$65,$G160)</f>
        <v>0</v>
      </c>
      <c r="AG160" s="716">
        <f ca="1">SUMIFS(Административные!AG$25:AG$65,Административные!$F$25:$F$65,$F160,Административные!$G$25:$G$65,$G160)</f>
        <v>0</v>
      </c>
      <c r="AH160" s="716">
        <f t="shared" ca="1" si="9"/>
        <v>0</v>
      </c>
      <c r="AI160" s="716">
        <f ca="1">SUMIFS(Административные!AH$25:AH$65,Административные!$F$25:$F$65,$F160,Административные!$G$25:$G$65,$G160)</f>
        <v>0</v>
      </c>
      <c r="AJ160" s="1017">
        <f ca="1">SUMIFS(Административные!AI$25:AI$65,Административные!$F$25:$F$65,$F160,Административные!$G$25:$G$65,$G160)</f>
        <v>0</v>
      </c>
      <c r="AK160" s="1017">
        <f ca="1">SUMIFS(Административные!AJ$25:AJ$65,Административные!$F$25:$F$65,$F160,Административные!$G$25:$G$65,$G160)</f>
        <v>0</v>
      </c>
      <c r="AL160" s="716">
        <f t="shared" ca="1" si="10"/>
        <v>0</v>
      </c>
      <c r="AM160" s="717"/>
      <c r="AN160" s="816" t="str">
        <f ca="1">IF(IFERROR(INDEX(Административные!$K$26:$L$65,MATCH($F160&amp;"9komm",Административные!$K$26:$K$65,0),2),"")=0,"",IFERROR(INDEX(Административные!$K$26:$L$65,MATCH($F155&amp;"9komm",Административные!$K$26:$K$65,0),2),""))</f>
        <v/>
      </c>
      <c r="AO160" s="717"/>
      <c r="AP160" s="1203"/>
      <c r="AQ160" s="1203"/>
      <c r="AR160" s="964" t="s">
        <v>1647</v>
      </c>
      <c r="AS160" s="964"/>
      <c r="AT160" s="964"/>
      <c r="AU160" s="961"/>
      <c r="AV160" s="961"/>
    </row>
    <row r="161" spans="1:48" s="1461" customFormat="1" ht="14.25" customHeight="1">
      <c r="A161" s="505"/>
      <c r="B161" s="505" t="b">
        <f>STATUS_GO="да"</f>
        <v>1</v>
      </c>
      <c r="C161" s="505"/>
      <c r="D161" s="505"/>
      <c r="E161" s="614">
        <v>15</v>
      </c>
      <c r="F161" s="3" t="str" cm="1">
        <f t="array" aca="1" ref="F161" ca="1">OFFSET(E161,-1,1)</f>
        <v>1</v>
      </c>
      <c r="G161" s="505"/>
      <c r="H161" s="505"/>
      <c r="I161" s="615" t="s">
        <v>327</v>
      </c>
      <c r="J161" s="615"/>
      <c r="K161" s="615"/>
      <c r="L161" s="615"/>
      <c r="M161" s="615"/>
      <c r="N161" s="615"/>
      <c r="O161" s="615"/>
      <c r="P161" s="615"/>
      <c r="Q161" s="615"/>
      <c r="R161" s="615"/>
      <c r="S161" s="615"/>
      <c r="T161" s="381" t="b" cm="1">
        <f t="array" aca="1" ref="T161" ca="1">T160</f>
        <v>1</v>
      </c>
      <c r="U161" s="505"/>
      <c r="V161" s="505"/>
      <c r="W161" s="505"/>
      <c r="X161" s="1841"/>
      <c r="Y161" s="505"/>
      <c r="Z161" s="1842"/>
      <c r="AA161" s="505"/>
      <c r="AB161" s="718" t="s">
        <v>523</v>
      </c>
      <c r="AC161" s="714" t="s">
        <v>1648</v>
      </c>
      <c r="AD161" s="726" t="s">
        <v>766</v>
      </c>
      <c r="AE161" s="715">
        <f ca="1">SUMIFS('Сбытовые расходы ГО'!AE$25:AE$51,'Сбытовые расходы ГО'!$F$25:$F$51,$F161,'Сбытовые расходы ГО'!$G$25:$G$51,"l0")</f>
        <v>0</v>
      </c>
      <c r="AF161" s="715">
        <f ca="1">SUMIFS('Сбытовые расходы ГО'!AF$25:AF$51,'Сбытовые расходы ГО'!$F$25:$F$51,$F161,'Сбытовые расходы ГО'!$G$25:$G$51,"l0")</f>
        <v>0</v>
      </c>
      <c r="AG161" s="715">
        <f ca="1">SUMIFS('Сбытовые расходы ГО'!AG$25:AG$51,'Сбытовые расходы ГО'!$F$25:$F$51,$F161,'Сбытовые расходы ГО'!$G$25:$G$51,"l0")</f>
        <v>0</v>
      </c>
      <c r="AH161" s="715">
        <f t="shared" ca="1" si="9"/>
        <v>0</v>
      </c>
      <c r="AI161" s="715">
        <f ca="1">SUMIFS('Сбытовые расходы ГО'!AH$25:AH$51,'Сбытовые расходы ГО'!$F$25:$F$51,$F161,'Сбытовые расходы ГО'!$G$25:$G$51,"l0")</f>
        <v>0</v>
      </c>
      <c r="AJ161" s="715">
        <f ca="1">SUMIFS('Сбытовые расходы ГО'!AI$25:AI$51,'Сбытовые расходы ГО'!$F$25:$F$51,$F161,'Сбытовые расходы ГО'!$G$25:$G$51,"l0")</f>
        <v>0</v>
      </c>
      <c r="AK161" s="715">
        <f ca="1">SUMIFS('Сбытовые расходы ГО'!AJ$25:AJ$51,'Сбытовые расходы ГО'!$F$25:$F$51,$F161,'Сбытовые расходы ГО'!$G$25:$G$51,"l0")</f>
        <v>0</v>
      </c>
      <c r="AL161" s="715">
        <f t="shared" ca="1" si="10"/>
        <v>0</v>
      </c>
      <c r="AM161" s="720"/>
      <c r="AN161" s="816"/>
      <c r="AO161" s="720"/>
      <c r="AP161" s="505"/>
      <c r="AQ161" s="505"/>
      <c r="AR161" s="965" t="s">
        <v>1649</v>
      </c>
      <c r="AS161" s="965"/>
      <c r="AT161" s="965"/>
      <c r="AU161" s="614"/>
      <c r="AV161" s="614"/>
    </row>
    <row r="162" spans="1:48" s="1462" customFormat="1" ht="14.25" customHeight="1">
      <c r="A162" s="505"/>
      <c r="B162" s="505"/>
      <c r="C162" s="505"/>
      <c r="D162" s="505"/>
      <c r="E162" s="614">
        <v>15</v>
      </c>
      <c r="F162" s="3" t="str" cm="1">
        <f t="array" aca="1" ref="F162" ca="1">OFFSET(E162,-1,1)</f>
        <v>1</v>
      </c>
      <c r="G162" s="505"/>
      <c r="H162" s="505"/>
      <c r="I162" s="615" t="s">
        <v>326</v>
      </c>
      <c r="J162" s="615"/>
      <c r="K162" s="615"/>
      <c r="L162" s="615"/>
      <c r="M162" s="615"/>
      <c r="N162" s="615"/>
      <c r="O162" s="615"/>
      <c r="P162" s="615"/>
      <c r="Q162" s="615"/>
      <c r="R162" s="615"/>
      <c r="S162" s="615"/>
      <c r="T162" s="381" t="b" cm="1">
        <f t="array" aca="1" ref="T162" ca="1">T161</f>
        <v>1</v>
      </c>
      <c r="U162" s="505"/>
      <c r="V162" s="505"/>
      <c r="W162" s="505"/>
      <c r="X162" s="1841"/>
      <c r="Y162" s="505"/>
      <c r="Z162" s="1842"/>
      <c r="AA162" s="505"/>
      <c r="AB162" s="718" t="s">
        <v>478</v>
      </c>
      <c r="AC162" s="506" t="s">
        <v>1650</v>
      </c>
      <c r="AD162" s="726" t="s">
        <v>766</v>
      </c>
      <c r="AE162" s="715">
        <f ca="1">SUMIFS(Амортизация!AE$25:AE$125,Амортизация!$F$25:$F$125,$F162,Амортизация!$AC$25:$AC$125,"Сумма амортизационных отчислений")</f>
        <v>0</v>
      </c>
      <c r="AF162" s="715">
        <f ca="1">SUMIFS(Амортизация!AF$25:AF$125,Амортизация!$F$25:$F$125,$F162,Амортизация!$AC$25:$AC$125,"Сумма амортизационных отчислений")</f>
        <v>0</v>
      </c>
      <c r="AG162" s="715">
        <f ca="1">SUMIFS(Амортизация!AG$25:AG$125,Амортизация!$F$25:$F$125,$F162,Амортизация!$AC$25:$AC$125,"Сумма амортизационных отчислений")</f>
        <v>0</v>
      </c>
      <c r="AH162" s="715">
        <f t="shared" ca="1" si="9"/>
        <v>0</v>
      </c>
      <c r="AI162" s="715">
        <f ca="1">SUMIFS(Амортизация!AH$25:AH$125,Амортизация!$F$25:$F$125,$F162,Амортизация!$AC$25:$AC$125,"Сумма амортизационных отчислений")</f>
        <v>0</v>
      </c>
      <c r="AJ162" s="715">
        <f ca="1">SUMIFS(Амортизация!AI$25:AI$125,Амортизация!$F$25:$F$125,$F162,Амортизация!$AC$25:$AC$125,"Сумма амортизационных отчислений")</f>
        <v>0</v>
      </c>
      <c r="AK162" s="715">
        <f ca="1">SUMIFS(Амортизация!AS$25:AS$125,Амортизация!$F$25:$F$125,$F162,Амортизация!$AC$25:$AC$125,"Сумма амортизационных отчислений")</f>
        <v>0</v>
      </c>
      <c r="AL162" s="715">
        <f t="shared" ca="1" si="10"/>
        <v>0</v>
      </c>
      <c r="AM162" s="720"/>
      <c r="AN162" s="816" t="str">
        <f ca="1">IF(IFERROR(INDEX(Амортизация!$K$26:$L$125,MATCH($F162&amp;"komm",Амортизация!$K$26:$K$525,0),2),"")=0,"",IFERROR(INDEX(Амортизация!$K$26:$L$125,MATCH($F162&amp;"komm",Амортизация!$K$26:$K$525,0),2),""))</f>
        <v/>
      </c>
      <c r="AO162" s="720"/>
      <c r="AP162" s="505"/>
      <c r="AQ162" s="505"/>
      <c r="AR162" s="965" t="s">
        <v>1096</v>
      </c>
      <c r="AS162" s="965"/>
      <c r="AT162" s="965"/>
      <c r="AU162" s="614"/>
      <c r="AV162" s="614"/>
    </row>
    <row r="163" spans="1:48" s="1327" customFormat="1" ht="14.25" customHeight="1">
      <c r="A163" s="1203"/>
      <c r="B163" s="1203"/>
      <c r="C163" s="1203"/>
      <c r="D163" s="1203"/>
      <c r="E163" s="612">
        <v>15</v>
      </c>
      <c r="F163" s="3" t="str" cm="1">
        <f t="array" aca="1" ref="F163" ca="1">OFFSET(E163,-1,1)</f>
        <v>1</v>
      </c>
      <c r="G163" s="1203"/>
      <c r="H163" s="1203"/>
      <c r="I163" s="504" t="s">
        <v>515</v>
      </c>
      <c r="J163" s="504"/>
      <c r="K163" s="504"/>
      <c r="L163" s="504"/>
      <c r="M163" s="504"/>
      <c r="N163" s="504"/>
      <c r="O163" s="504"/>
      <c r="P163" s="504"/>
      <c r="Q163" s="504"/>
      <c r="R163" s="504"/>
      <c r="S163" s="504"/>
      <c r="T163" s="381" t="b" cm="1">
        <f t="array" aca="1" ref="T163" ca="1">T162</f>
        <v>1</v>
      </c>
      <c r="U163" s="1203"/>
      <c r="V163" s="1203"/>
      <c r="W163" s="1203"/>
      <c r="X163" s="1841"/>
      <c r="Y163" s="1203"/>
      <c r="Z163" s="1842"/>
      <c r="AA163" s="1203"/>
      <c r="AB163" s="721" t="s">
        <v>646</v>
      </c>
      <c r="AC163" s="727" t="s">
        <v>1651</v>
      </c>
      <c r="AD163" s="728" t="s">
        <v>766</v>
      </c>
      <c r="AE163" s="723">
        <f ca="1">SUMIFS('ИП + источники'!AF$27:AF$87,'ИП + источники'!$F$27:$F$87,$F163,'ИП + источники'!$AC$27:$AC$87,"Амортизационные отчисления")+SUMIFS('ИП + источники'!AF$27:AF$87,'ИП + источники'!$F$27:$F$87,$F163,'ИП + источники'!$AC$27:$AC$87,"погашение займов и кредитов из амортизации")</f>
        <v>0</v>
      </c>
      <c r="AF163" s="723">
        <f ca="1">SUMIFS('ИП + источники'!AG$27:AG$87,'ИП + источники'!$F$27:$F$87,$F163,'ИП + источники'!$AC$27:$AC$87,"Амортизационные отчисления")+SUMIFS('ИП + источники'!AG$27:AG$87,'ИП + источники'!$F$27:$F$87,$F163,'ИП + источники'!$AC$27:$AC$87,"погашение займов и кредитов из амортизации")</f>
        <v>0</v>
      </c>
      <c r="AG163" s="723">
        <f ca="1">SUMIFS('ИП + источники'!AH$27:AH$87,'ИП + источники'!$F$27:$F$87,$F163,'ИП + источники'!$AC$27:$AC$87,"Амортизационные отчисления")+SUMIFS('ИП + источники'!AH$27:AH$87,'ИП + источники'!$F$27:$F$87,$F163,'ИП + источники'!$AC$27:$AC$87,"погашение займов и кредитов из амортизации")</f>
        <v>0</v>
      </c>
      <c r="AH163" s="716">
        <f t="shared" ca="1" si="9"/>
        <v>0</v>
      </c>
      <c r="AI163" s="723">
        <f ca="1">SUMIFS('ИП + источники'!AH$27:AH$87,'ИП + источники'!$F$27:$F$87,$F163,'ИП + источники'!$AC$27:$AC$87,"Амортизационные отчисления")+SUMIFS('ИП + источники'!AH$27:AH$87,'ИП + источники'!$F$27:$F$87,$F163,'ИП + источники'!$AC$27:$AC$87,"погашение займов и кредитов из амортизации")</f>
        <v>0</v>
      </c>
      <c r="AJ163" s="723">
        <f ca="1">SUMIFS('ИП + источники'!AI$27:AI$87,'ИП + источники'!$F$27:$F$87,$F163,'ИП + источники'!$AC$27:$AC$87,"Амортизационные отчисления")+SUMIFS('ИП + источники'!AI$27:AI$87,'ИП + источники'!$F$27:$F$87,$F163,'ИП + источники'!$AC$27:$AC$87,"погашение займов и кредитов из амортизации")</f>
        <v>0</v>
      </c>
      <c r="AK163" s="723">
        <f ca="1">SUMIFS('ИП + источники'!AJ$27:AJ$87,'ИП + источники'!$F$27:$F$87,$F163,'ИП + источники'!$AC$27:$AC$87,"Амортизационные отчисления")+SUMIFS('ИП + источники'!AJ$27:AJ$87,'ИП + источники'!$F$27:$F$87,$F163,'ИП + источники'!$AC$27:$AC$87,"погашение займов и кредитов из амортизации")</f>
        <v>0</v>
      </c>
      <c r="AL163" s="716">
        <f t="shared" ca="1" si="10"/>
        <v>0</v>
      </c>
      <c r="AM163" s="717"/>
      <c r="AN163" s="717"/>
      <c r="AO163" s="717"/>
      <c r="AP163" s="1203"/>
      <c r="AQ163" s="1203"/>
      <c r="AR163" s="964" t="s">
        <v>1652</v>
      </c>
      <c r="AS163" s="964"/>
      <c r="AT163" s="964"/>
      <c r="AU163" s="961"/>
      <c r="AV163" s="961"/>
    </row>
    <row r="164" spans="1:48" s="1463" customFormat="1" ht="21.75" customHeight="1">
      <c r="A164" s="505"/>
      <c r="B164" s="505"/>
      <c r="C164" s="505"/>
      <c r="D164" s="505"/>
      <c r="E164" s="614">
        <v>22.5</v>
      </c>
      <c r="F164" s="3" t="str" cm="1">
        <f t="array" aca="1" ref="F164" ca="1">OFFSET(E164,-1,1)</f>
        <v>1</v>
      </c>
      <c r="G164" s="505"/>
      <c r="H164" s="505"/>
      <c r="I164" s="615" t="s">
        <v>477</v>
      </c>
      <c r="J164" s="615"/>
      <c r="K164" s="615"/>
      <c r="L164" s="615"/>
      <c r="M164" s="615"/>
      <c r="N164" s="615"/>
      <c r="O164" s="615"/>
      <c r="P164" s="615"/>
      <c r="Q164" s="615"/>
      <c r="R164" s="615"/>
      <c r="S164" s="615"/>
      <c r="T164" s="381" t="b" cm="1">
        <f t="array" aca="1" ref="T164" ca="1">T163</f>
        <v>1</v>
      </c>
      <c r="U164" s="505"/>
      <c r="V164" s="505"/>
      <c r="W164" s="505"/>
      <c r="X164" s="1841"/>
      <c r="Y164" s="505"/>
      <c r="Z164" s="1842"/>
      <c r="AA164" s="505"/>
      <c r="AB164" s="718" t="s">
        <v>482</v>
      </c>
      <c r="AC164" s="506" t="s">
        <v>1653</v>
      </c>
      <c r="AD164" s="726" t="s">
        <v>766</v>
      </c>
      <c r="AE164" s="715">
        <f ca="1">SUMIFS(Аренда!AE$25:AE$47,Аренда!$F$25:$F$47,$F164,Аренда!$G$25:$G$47,"Арендная и концессионная плата, лизинговые платежи")</f>
        <v>0</v>
      </c>
      <c r="AF164" s="715">
        <f ca="1">SUMIFS(Аренда!AF$25:AF$47,Аренда!$F$25:$F$47,$F164,Аренда!$G$25:$G$47,"Арендная и концессионная плата, лизинговые платежи")</f>
        <v>0</v>
      </c>
      <c r="AG164" s="715">
        <f ca="1">SUMIFS(Аренда!AG$25:AG$47,Аренда!$F$25:$F$47,$F164,Аренда!$G$25:$G$47,"Арендная и концессионная плата, лизинговые платежи")</f>
        <v>0</v>
      </c>
      <c r="AH164" s="715">
        <f t="shared" ca="1" si="9"/>
        <v>0</v>
      </c>
      <c r="AI164" s="715">
        <f ca="1">SUMIFS(Аренда!AH$25:AH$47,Аренда!$F$25:$F$47,$F164,Аренда!$G$25:$G$47,"Арендная и концессионная плата, лизинговые платежи")</f>
        <v>0</v>
      </c>
      <c r="AJ164" s="715">
        <f ca="1">SUMIFS(Аренда!AI$25:AI$47,Аренда!$F$25:$F$47,$F164,Аренда!$G$25:$G$47,"Арендная и концессионная плата, лизинговые платежи")</f>
        <v>0</v>
      </c>
      <c r="AK164" s="715">
        <f ca="1">SUMIFS(Аренда!AS$25:AS$47,Аренда!$F$25:$F$47,$F164,Аренда!$G$25:$G$47,"Арендная и концессионная плата, лизинговые платежи")</f>
        <v>0</v>
      </c>
      <c r="AL164" s="715">
        <f t="shared" ca="1" si="10"/>
        <v>0</v>
      </c>
      <c r="AM164" s="720"/>
      <c r="AN164" s="816" t="str">
        <f ca="1">IF(IFERROR(INDEX(Аренда!$K$26:$L$47,MATCH($F164&amp;"komm",Аренда!$K$26:$K$47,0),2),"")=0,"",IFERROR(INDEX(Аренда!$K$26:$L$47,MATCH($F164&amp;"komm",Аренда!$K$26:$K$47,0),2),""))</f>
        <v/>
      </c>
      <c r="AO164" s="720"/>
      <c r="AP164" s="505"/>
      <c r="AQ164" s="505"/>
      <c r="AR164" s="965" t="s">
        <v>1654</v>
      </c>
      <c r="AS164" s="965"/>
      <c r="AT164" s="965"/>
      <c r="AU164" s="614"/>
      <c r="AV164" s="614"/>
    </row>
    <row r="165" spans="1:48" s="1464" customFormat="1" ht="14.25" customHeight="1">
      <c r="A165" s="505"/>
      <c r="B165" s="505"/>
      <c r="C165" s="505"/>
      <c r="D165" s="505"/>
      <c r="E165" s="614">
        <v>15</v>
      </c>
      <c r="F165" s="3" t="str" cm="1">
        <f t="array" aca="1" ref="F165" ca="1">OFFSET(E165,-1,1)</f>
        <v>1</v>
      </c>
      <c r="G165" s="505"/>
      <c r="H165" s="505"/>
      <c r="I165" s="615" t="s">
        <v>481</v>
      </c>
      <c r="J165" s="615"/>
      <c r="K165" s="615"/>
      <c r="L165" s="615"/>
      <c r="M165" s="615"/>
      <c r="N165" s="615"/>
      <c r="O165" s="615"/>
      <c r="P165" s="615"/>
      <c r="Q165" s="615"/>
      <c r="R165" s="615"/>
      <c r="S165" s="615"/>
      <c r="T165" s="381" t="b" cm="1">
        <f t="array" aca="1" ref="T165" ca="1">T164</f>
        <v>1</v>
      </c>
      <c r="U165" s="505"/>
      <c r="V165" s="505"/>
      <c r="W165" s="505"/>
      <c r="X165" s="1841"/>
      <c r="Y165" s="505"/>
      <c r="Z165" s="1842"/>
      <c r="AA165" s="505"/>
      <c r="AB165" s="718" t="s">
        <v>544</v>
      </c>
      <c r="AC165" s="506" t="s">
        <v>1655</v>
      </c>
      <c r="AD165" s="726" t="s">
        <v>766</v>
      </c>
      <c r="AE165" s="715">
        <f ca="1">SUMIFS(Налоги!AE$25:AE$55,Налоги!$F$25:$F$55,$F165,Налоги!$AC$25:$AC$55,"Налоги и платежи, относимые на указанный вид деятельности")</f>
        <v>0</v>
      </c>
      <c r="AF165" s="715">
        <f ca="1">SUMIFS(Налоги!AF$25:AF$55,Налоги!$F$25:$F$55,$F165,Налоги!$AC$25:$AC$55,"Налоги и платежи, относимые на указанный вид деятельности")</f>
        <v>0</v>
      </c>
      <c r="AG165" s="715">
        <f ca="1">SUMIFS(Налоги!AG$25:AG$55,Налоги!$F$25:$F$55,$F165,Налоги!$AC$25:$AC$55,"Налоги и платежи, относимые на указанный вид деятельности")</f>
        <v>0</v>
      </c>
      <c r="AH165" s="715">
        <f t="shared" ca="1" si="9"/>
        <v>0</v>
      </c>
      <c r="AI165" s="715">
        <f ca="1">SUMIFS(Налоги!AH$25:AH$55,Налоги!$F$25:$F$55,$F165,Налоги!$AC$25:$AC$55,"Налоги и платежи, относимые на указанный вид деятельности")</f>
        <v>0</v>
      </c>
      <c r="AJ165" s="715">
        <f ca="1">SUMIFS(Налоги!AI$25:AI$55,Налоги!$F$25:$F$55,$F165,Налоги!$AC$25:$AC$55,"Налоги и платежи, относимые на указанный вид деятельности")</f>
        <v>0</v>
      </c>
      <c r="AK165" s="715">
        <f ca="1">SUMIFS(Налоги!AS$25:AS$55,Налоги!$F$25:$F$55,$F165,Налоги!$AC$25:$AC$55,"Налоги и платежи, относимые на указанный вид деятельности")</f>
        <v>0</v>
      </c>
      <c r="AL165" s="715">
        <f t="shared" ca="1" si="10"/>
        <v>0</v>
      </c>
      <c r="AM165" s="720"/>
      <c r="AN165" s="816" t="str">
        <f ca="1">IF(IFERROR(INDEX(Налоги!$K$26:$L$55,MATCH($F165&amp;"komm",Налоги!$K$26:$K$55,0),2),"")=0,"",IFERROR(INDEX(Налоги!$K$26:$L$55,MATCH($F165&amp;"komm",Налоги!$K$26:$K$55,0),2),""))</f>
        <v/>
      </c>
      <c r="AO165" s="720"/>
      <c r="AP165" s="505"/>
      <c r="AQ165" s="505"/>
      <c r="AR165" s="965" t="s">
        <v>1124</v>
      </c>
      <c r="AS165" s="965"/>
      <c r="AT165" s="965"/>
      <c r="AU165" s="614"/>
      <c r="AV165" s="614"/>
    </row>
    <row r="166" spans="1:48" s="1465" customFormat="1" ht="14.25" customHeight="1">
      <c r="A166" s="505"/>
      <c r="B166" s="505"/>
      <c r="C166" s="505"/>
      <c r="D166" s="505"/>
      <c r="E166" s="614">
        <v>15</v>
      </c>
      <c r="F166" s="3" t="str" cm="1">
        <f t="array" aca="1" ref="F166" ca="1">OFFSET(E166,-1,1)</f>
        <v>1</v>
      </c>
      <c r="G166" s="505"/>
      <c r="H166" s="505"/>
      <c r="I166" s="615" t="s">
        <v>528</v>
      </c>
      <c r="J166" s="615"/>
      <c r="K166" s="615"/>
      <c r="L166" s="615"/>
      <c r="M166" s="615"/>
      <c r="N166" s="615"/>
      <c r="O166" s="615"/>
      <c r="P166" s="615"/>
      <c r="Q166" s="615"/>
      <c r="R166" s="615"/>
      <c r="S166" s="615"/>
      <c r="T166" s="381" t="b" cm="1">
        <f t="array" aca="1" ref="T166" ca="1">T165</f>
        <v>1</v>
      </c>
      <c r="U166" s="505"/>
      <c r="V166" s="505"/>
      <c r="W166" s="505"/>
      <c r="X166" s="1841"/>
      <c r="Y166" s="505"/>
      <c r="Z166" s="1842"/>
      <c r="AA166" s="505"/>
      <c r="AB166" s="718" t="s">
        <v>552</v>
      </c>
      <c r="AC166" s="506" t="s">
        <v>1656</v>
      </c>
      <c r="AD166" s="507" t="s">
        <v>766</v>
      </c>
      <c r="AE166" s="702">
        <f ca="1">AE167+AE168+AE169</f>
        <v>0</v>
      </c>
      <c r="AF166" s="702">
        <f ca="1">AF167+AF168+AF169</f>
        <v>0</v>
      </c>
      <c r="AG166" s="702">
        <f ca="1">AG167+AG168+AG169</f>
        <v>0</v>
      </c>
      <c r="AH166" s="702">
        <f t="shared" ca="1" si="9"/>
        <v>0</v>
      </c>
      <c r="AI166" s="702">
        <f ca="1">AI167+AI168+AI169</f>
        <v>0</v>
      </c>
      <c r="AJ166" s="702">
        <f ca="1">AJ167+AJ168+AJ169</f>
        <v>0</v>
      </c>
      <c r="AK166" s="702">
        <f ca="1">AK167+AK168+AK169</f>
        <v>0</v>
      </c>
      <c r="AL166" s="715">
        <f t="shared" ca="1" si="10"/>
        <v>0</v>
      </c>
      <c r="AM166" s="720"/>
      <c r="AN166" s="816"/>
      <c r="AO166" s="720"/>
      <c r="AP166" s="505"/>
      <c r="AQ166" s="505"/>
      <c r="AR166" s="965" t="s">
        <v>1359</v>
      </c>
      <c r="AS166" s="965"/>
      <c r="AT166" s="965"/>
      <c r="AU166" s="614"/>
      <c r="AV166" s="614"/>
    </row>
    <row r="167" spans="1:48" s="1327" customFormat="1" ht="14.25" customHeight="1">
      <c r="A167" s="1203"/>
      <c r="B167" s="1203"/>
      <c r="C167" s="1203"/>
      <c r="D167" s="1203"/>
      <c r="E167" s="612">
        <v>15</v>
      </c>
      <c r="F167" s="3" t="str" cm="1">
        <f t="array" aca="1" ref="F167" ca="1">OFFSET(E167,-1,1)</f>
        <v>1</v>
      </c>
      <c r="G167" s="1203"/>
      <c r="H167" s="1203"/>
      <c r="I167" s="504" t="s">
        <v>531</v>
      </c>
      <c r="J167" s="504"/>
      <c r="K167" s="504"/>
      <c r="L167" s="504"/>
      <c r="M167" s="504"/>
      <c r="N167" s="504"/>
      <c r="O167" s="504"/>
      <c r="P167" s="504"/>
      <c r="Q167" s="504"/>
      <c r="R167" s="504"/>
      <c r="S167" s="504"/>
      <c r="T167" s="381" t="b" cm="1">
        <f t="array" aca="1" ref="T167" ca="1">T166</f>
        <v>1</v>
      </c>
      <c r="U167" s="1203"/>
      <c r="V167" s="1203"/>
      <c r="W167" s="1203"/>
      <c r="X167" s="1841"/>
      <c r="Y167" s="1203"/>
      <c r="Z167" s="1842"/>
      <c r="AA167" s="1203"/>
      <c r="AB167" s="721" t="s">
        <v>556</v>
      </c>
      <c r="AC167" s="727" t="s">
        <v>1657</v>
      </c>
      <c r="AD167" s="728" t="s">
        <v>766</v>
      </c>
      <c r="AE167" s="723">
        <f ca="1">SUMIFS('ИП + источники'!AF$26:AF$87,'ИП + источники'!$F$26:$F$87,$F167,'ИП + источники'!$AC$26:$AC$87,"погашение займов и кредитов из нормативной прибыли")+SUMIFS('ИП + источники'!AF$26:AF$87,'ИП + источники'!$F$26:$F$87,$F167,'ИП + источники'!$AC$26:$AC$87,"уплата процентов по кредитам из нормативной прибыли")</f>
        <v>0</v>
      </c>
      <c r="AF167" s="723">
        <f ca="1">SUMIFS('ИП + источники'!AG$26:AG$87,'ИП + источники'!$F$26:$F$87,$F167,'ИП + источники'!$AC$26:$AC$87,"погашение займов и кредитов из нормативной прибыли")+SUMIFS('ИП + источники'!AG$26:AG$87,'ИП + источники'!$F$26:$F$87,$F167,'ИП + источники'!$AC$26:$AC$87,"уплата процентов по кредитам из нормативной прибыли")</f>
        <v>0</v>
      </c>
      <c r="AG167" s="723">
        <f ca="1">SUMIFS('ИП + источники'!AH$26:AH$87,'ИП + источники'!$F$26:$F$87,$F167,'ИП + источники'!$AC$26:$AC$87,"погашение займов и кредитов из нормативной прибыли")+SUMIFS('ИП + источники'!AH$26:AH$87,'ИП + источники'!$F$26:$F$87,$F167,'ИП + источники'!$AC$26:$AC$87,"уплата процентов по кредитам из нормативной прибыли")</f>
        <v>0</v>
      </c>
      <c r="AH167" s="716">
        <f t="shared" ca="1" si="9"/>
        <v>0</v>
      </c>
      <c r="AI167" s="723">
        <f ca="1">SUMIFS('ИП + источники'!AJ$26:AJ$87,'ИП + источники'!$F$26:$F$87,$F167,'ИП + источники'!$AC$26:$AC$87,"погашение займов и кредитов из нормативной прибыли")+SUMIFS('ИП + источники'!AJ$26:AJ$87,'ИП + источники'!$F$26:$F$87,$F167,'ИП + источники'!$AC$26:$AC$87,"уплата процентов по кредитам из нормативной прибыли")</f>
        <v>0</v>
      </c>
      <c r="AJ167" s="723">
        <f ca="1">SUMIFS('ИП + источники'!AK$26:AK$87,'ИП + источники'!$F$26:$F$87,$F167,'ИП + источники'!$AC$26:$AC$87,"погашение займов и кредитов из нормативной прибыли")+SUMIFS('ИП + источники'!AK$26:AK$87,'ИП + источники'!$F$26:$F$87,$F167,'ИП + источники'!$AC$26:$AC$87,"уплата процентов по кредитам из нормативной прибыли")</f>
        <v>0</v>
      </c>
      <c r="AK167" s="723">
        <f ca="1">SUMIFS('ИП + источники'!AU$26:AU$87,'ИП + источники'!$F$26:$F$87,$F167,'ИП + источники'!$AC$26:$AC$87,"погашение займов и кредитов из нормативной прибыли")+SUMIFS('ИП + источники'!AU$26:AU$87,'ИП + источники'!$F$26:$F$87,$F167,'ИП + источники'!$AC$26:$AC$87,"уплата процентов по кредитам из нормативной прибыли")</f>
        <v>0</v>
      </c>
      <c r="AL167" s="716">
        <f t="shared" ca="1" si="10"/>
        <v>0</v>
      </c>
      <c r="AM167" s="717"/>
      <c r="AN167" s="816" t="str">
        <f ca="1">IF(IFERROR(INDEX('ИП + источники'!$K$28:$L$87,MATCH($F167&amp;"1komm",'ИП + источники'!$K$28:$K$87,0),2),"")=0,"",IFERROR(INDEX('ИП + источники'!$K$28:$L$87,MATCH($F167&amp;"1komm",'ИП + источники'!$K$28:$K$87,0),2),""))</f>
        <v/>
      </c>
      <c r="AO167" s="717"/>
      <c r="AP167" s="1203"/>
      <c r="AQ167" s="1203"/>
      <c r="AR167" s="964" t="s">
        <v>1117</v>
      </c>
      <c r="AS167" s="964"/>
      <c r="AT167" s="964"/>
      <c r="AU167" s="961"/>
      <c r="AV167" s="961"/>
    </row>
    <row r="168" spans="1:48" s="1327" customFormat="1" ht="14.25" customHeight="1">
      <c r="A168" s="1203"/>
      <c r="B168" s="1203"/>
      <c r="C168" s="1203"/>
      <c r="D168" s="1203"/>
      <c r="E168" s="612">
        <v>15</v>
      </c>
      <c r="F168" s="3" t="str" cm="1">
        <f t="array" aca="1" ref="F168" ca="1">OFFSET(E168,-1,1)</f>
        <v>1</v>
      </c>
      <c r="G168" s="1203"/>
      <c r="H168" s="1203"/>
      <c r="I168" s="504" t="s">
        <v>535</v>
      </c>
      <c r="J168" s="504"/>
      <c r="K168" s="504"/>
      <c r="L168" s="504"/>
      <c r="M168" s="504"/>
      <c r="N168" s="504"/>
      <c r="O168" s="504"/>
      <c r="P168" s="504"/>
      <c r="Q168" s="504"/>
      <c r="R168" s="504"/>
      <c r="S168" s="504"/>
      <c r="T168" s="381" t="b" cm="1">
        <f t="array" aca="1" ref="T168" ca="1">T167</f>
        <v>1</v>
      </c>
      <c r="U168" s="1203"/>
      <c r="V168" s="1203"/>
      <c r="W168" s="1203"/>
      <c r="X168" s="1841"/>
      <c r="Y168" s="1203"/>
      <c r="Z168" s="1842"/>
      <c r="AA168" s="1203"/>
      <c r="AB168" s="721" t="s">
        <v>573</v>
      </c>
      <c r="AC168" s="727" t="s">
        <v>1658</v>
      </c>
      <c r="AD168" s="728" t="s">
        <v>766</v>
      </c>
      <c r="AE168" s="723">
        <f ca="1">SUMIFS('ИП + источники'!AF$27:AF$87,'ИП + источники'!$F$27:$F$87,$F168,'ИП + источники'!$AC$27:$AC$87,"Прибыль на капвложения")</f>
        <v>0</v>
      </c>
      <c r="AF168" s="723">
        <f ca="1">SUMIFS('ИП + источники'!AG$27:AG$87,'ИП + источники'!$F$27:$F$87,$F168,'ИП + источники'!$AC$27:$AC$87,"Прибыль на капвложения")</f>
        <v>0</v>
      </c>
      <c r="AG168" s="723">
        <f ca="1">SUMIFS('ИП + источники'!AH$27:AH$87,'ИП + источники'!$F$27:$F$87,$F168,'ИП + источники'!$AC$27:$AC$87,"Прибыль на капвложения")</f>
        <v>0</v>
      </c>
      <c r="AH168" s="716">
        <f t="shared" ca="1" si="9"/>
        <v>0</v>
      </c>
      <c r="AI168" s="723">
        <f ca="1">SUMIFS('ИП + источники'!AJ$27:AJ$87,'ИП + источники'!$F$27:$F$87,$F168,'ИП + источники'!$AC$27:$AC$87,"Прибыль на капвложения")</f>
        <v>0</v>
      </c>
      <c r="AJ168" s="723">
        <f ca="1">SUMIFS('ИП + источники'!AK$27:AK$87,'ИП + источники'!$F$27:$F$87,$F168,'ИП + источники'!$AC$27:$AC$87,"Прибыль на капвложения")</f>
        <v>0</v>
      </c>
      <c r="AK168" s="723">
        <f ca="1">SUMIFS('ИП + источники'!AU$27:AU$87,'ИП + источники'!$F$27:$F$87,$F168,'ИП + источники'!$AC$27:$AC$87,"Прибыль на капвложения")</f>
        <v>0</v>
      </c>
      <c r="AL168" s="716">
        <f t="shared" ca="1" si="10"/>
        <v>0</v>
      </c>
      <c r="AM168" s="717"/>
      <c r="AN168" s="816" t="str">
        <f ca="1">IF(IFERROR(INDEX('ИП + источники'!$K$28:$L$87,MATCH($F168&amp;"2komm",'ИП + источники'!$K$28:$K$87,0),2),"")=0,"",IFERROR(INDEX('ИП + источники'!$K$28:$L$87,MATCH($F168&amp;"2komm",'ИП + источники'!$K$28:$K$87,0),2),""))</f>
        <v/>
      </c>
      <c r="AO168" s="717"/>
      <c r="AP168" s="1203"/>
      <c r="AQ168" s="1203"/>
      <c r="AR168" s="964" t="s">
        <v>1659</v>
      </c>
      <c r="AS168" s="964"/>
      <c r="AT168" s="964"/>
      <c r="AU168" s="961"/>
      <c r="AV168" s="961"/>
    </row>
    <row r="169" spans="1:48" s="1327" customFormat="1" ht="21.75" customHeight="1">
      <c r="A169" s="1203"/>
      <c r="B169" s="1203"/>
      <c r="C169" s="1203"/>
      <c r="D169" s="1203"/>
      <c r="E169" s="612">
        <v>22.5</v>
      </c>
      <c r="F169" s="3" t="str" cm="1">
        <f t="array" aca="1" ref="F169" ca="1">OFFSET(E169,-1,1)</f>
        <v>1</v>
      </c>
      <c r="G169" s="1203"/>
      <c r="H169" s="1203"/>
      <c r="I169" s="504" t="s">
        <v>539</v>
      </c>
      <c r="J169" s="504"/>
      <c r="K169" s="504"/>
      <c r="L169" s="504"/>
      <c r="M169" s="504"/>
      <c r="N169" s="504"/>
      <c r="O169" s="504"/>
      <c r="P169" s="504"/>
      <c r="Q169" s="504"/>
      <c r="R169" s="504"/>
      <c r="S169" s="504"/>
      <c r="T169" s="381" t="b" cm="1">
        <f t="array" aca="1" ref="T169" ca="1">T168</f>
        <v>1</v>
      </c>
      <c r="U169" s="1203"/>
      <c r="V169" s="1203"/>
      <c r="W169" s="1203"/>
      <c r="X169" s="1841"/>
      <c r="Y169" s="1203"/>
      <c r="Z169" s="1842"/>
      <c r="AA169" s="1203"/>
      <c r="AB169" s="721" t="s">
        <v>585</v>
      </c>
      <c r="AC169" s="727" t="s">
        <v>1660</v>
      </c>
      <c r="AD169" s="728" t="s">
        <v>766</v>
      </c>
      <c r="AE169" s="723"/>
      <c r="AF169" s="723"/>
      <c r="AG169" s="723"/>
      <c r="AH169" s="716"/>
      <c r="AI169" s="723"/>
      <c r="AJ169" s="723"/>
      <c r="AK169" s="723"/>
      <c r="AL169" s="716">
        <f t="shared" si="10"/>
        <v>0</v>
      </c>
      <c r="AM169" s="717"/>
      <c r="AN169" s="717"/>
      <c r="AO169" s="717"/>
      <c r="AP169" s="1203"/>
      <c r="AQ169" s="1203"/>
      <c r="AR169" s="964" t="s">
        <v>1661</v>
      </c>
      <c r="AS169" s="964"/>
      <c r="AT169" s="964"/>
      <c r="AU169" s="961"/>
      <c r="AV169" s="961"/>
    </row>
    <row r="170" spans="1:48" s="1466" customFormat="1" ht="21.75" customHeight="1">
      <c r="A170" s="505"/>
      <c r="B170" s="505" t="b">
        <f>STATUS_GO="да"</f>
        <v>1</v>
      </c>
      <c r="C170" s="505"/>
      <c r="D170" s="505"/>
      <c r="E170" s="614">
        <v>22.5</v>
      </c>
      <c r="F170" s="3" t="str" cm="1">
        <f t="array" aca="1" ref="F170" ca="1">OFFSET(E170,-1,1)</f>
        <v>1</v>
      </c>
      <c r="G170" s="505"/>
      <c r="H170" s="505"/>
      <c r="I170" s="615" t="s">
        <v>543</v>
      </c>
      <c r="J170" s="615"/>
      <c r="K170" s="615"/>
      <c r="L170" s="615"/>
      <c r="M170" s="615"/>
      <c r="N170" s="615"/>
      <c r="O170" s="615"/>
      <c r="P170" s="615"/>
      <c r="Q170" s="615"/>
      <c r="R170" s="615"/>
      <c r="S170" s="615"/>
      <c r="T170" s="381" t="b" cm="1">
        <f t="array" aca="1" ref="T170" ca="1">T169</f>
        <v>1</v>
      </c>
      <c r="U170" s="505"/>
      <c r="V170" s="505"/>
      <c r="W170" s="505"/>
      <c r="X170" s="1841"/>
      <c r="Y170" s="505"/>
      <c r="Z170" s="1842"/>
      <c r="AA170" s="505"/>
      <c r="AB170" s="718" t="s">
        <v>710</v>
      </c>
      <c r="AC170" s="714" t="s">
        <v>1662</v>
      </c>
      <c r="AD170" s="726" t="s">
        <v>766</v>
      </c>
      <c r="AE170" s="724"/>
      <c r="AF170" s="724"/>
      <c r="AG170" s="724"/>
      <c r="AH170" s="715">
        <f>AG170-AF170</f>
        <v>0</v>
      </c>
      <c r="AI170" s="724"/>
      <c r="AJ170" s="724"/>
      <c r="AK170" s="724"/>
      <c r="AL170" s="715">
        <f t="shared" si="10"/>
        <v>0</v>
      </c>
      <c r="AM170" s="720"/>
      <c r="AN170" s="720"/>
      <c r="AO170" s="720"/>
      <c r="AP170" s="505"/>
      <c r="AQ170" s="505"/>
      <c r="AR170" s="965" t="s">
        <v>1663</v>
      </c>
      <c r="AS170" s="965"/>
      <c r="AT170" s="965"/>
      <c r="AU170" s="614"/>
      <c r="AV170" s="614"/>
    </row>
    <row r="171" spans="1:48" s="1327" customFormat="1" ht="14.25" customHeight="1">
      <c r="A171" s="1203"/>
      <c r="B171" s="1203"/>
      <c r="C171" s="1203"/>
      <c r="D171" s="1203"/>
      <c r="E171" s="612">
        <v>15</v>
      </c>
      <c r="F171" s="3" t="str" cm="1">
        <f t="array" aca="1" ref="F171" ca="1">OFFSET(E171,-1,1)</f>
        <v>1</v>
      </c>
      <c r="G171" s="1203"/>
      <c r="H171" s="1203"/>
      <c r="I171" s="504" t="s">
        <v>551</v>
      </c>
      <c r="J171" s="504"/>
      <c r="K171" s="504"/>
      <c r="L171" s="504"/>
      <c r="M171" s="504"/>
      <c r="N171" s="504"/>
      <c r="O171" s="504"/>
      <c r="P171" s="504"/>
      <c r="Q171" s="504"/>
      <c r="R171" s="504"/>
      <c r="S171" s="504"/>
      <c r="T171" s="381" t="b" cm="1">
        <f t="array" aca="1" ref="T171" ca="1">T170</f>
        <v>1</v>
      </c>
      <c r="U171" s="1203"/>
      <c r="V171" s="1203"/>
      <c r="W171" s="1203"/>
      <c r="X171" s="1841"/>
      <c r="Y171" s="1203"/>
      <c r="Z171" s="1842"/>
      <c r="AA171" s="1203"/>
      <c r="AB171" s="721" t="s">
        <v>713</v>
      </c>
      <c r="AC171" s="730" t="s">
        <v>1314</v>
      </c>
      <c r="AD171" s="728" t="s">
        <v>766</v>
      </c>
      <c r="AE171" s="723"/>
      <c r="AF171" s="723"/>
      <c r="AG171" s="723"/>
      <c r="AH171" s="716"/>
      <c r="AI171" s="1446"/>
      <c r="AJ171" s="1446"/>
      <c r="AK171" s="1446"/>
      <c r="AL171" s="716">
        <f t="shared" si="10"/>
        <v>0</v>
      </c>
      <c r="AM171" s="717"/>
      <c r="AN171" s="717"/>
      <c r="AO171" s="717"/>
      <c r="AP171" s="1203"/>
      <c r="AQ171" s="1203"/>
      <c r="AR171" s="964" t="s">
        <v>1664</v>
      </c>
      <c r="AS171" s="964"/>
      <c r="AT171" s="964"/>
      <c r="AU171" s="961"/>
      <c r="AV171" s="961"/>
    </row>
    <row r="172" spans="1:48" s="1327" customFormat="1" ht="101.25" hidden="1" customHeight="1">
      <c r="A172" s="1203"/>
      <c r="B172" s="1203"/>
      <c r="C172" s="1203"/>
      <c r="D172" s="1203"/>
      <c r="E172" s="612">
        <v>0</v>
      </c>
      <c r="F172" s="3" t="str" cm="1">
        <f t="array" aca="1" ref="F172" ca="1">OFFSET(E172,-1,1)</f>
        <v>1</v>
      </c>
      <c r="G172" s="1203"/>
      <c r="H172" s="433" t="b">
        <f>ISERR(SEARCH("Водоснабжение",AB112))</f>
        <v>0</v>
      </c>
      <c r="I172" s="504" t="s">
        <v>709</v>
      </c>
      <c r="J172" s="504"/>
      <c r="K172" s="504"/>
      <c r="L172" s="504"/>
      <c r="M172" s="504"/>
      <c r="N172" s="504"/>
      <c r="O172" s="504"/>
      <c r="P172" s="504"/>
      <c r="Q172" s="504"/>
      <c r="R172" s="504"/>
      <c r="S172" s="504"/>
      <c r="T172" s="381" t="b" cm="1">
        <f t="array" aca="1" ref="T172" ca="1">T171</f>
        <v>1</v>
      </c>
      <c r="U172" s="1203"/>
      <c r="V172" s="1203"/>
      <c r="W172" s="1203"/>
      <c r="X172" s="1841"/>
      <c r="Y172" s="1203"/>
      <c r="Z172" s="1842"/>
      <c r="AA172" s="1203"/>
      <c r="AB172" s="721" t="s">
        <v>948</v>
      </c>
      <c r="AC172" s="730" t="s">
        <v>1665</v>
      </c>
      <c r="AD172" s="673" t="s">
        <v>766</v>
      </c>
      <c r="AE172" s="723"/>
      <c r="AF172" s="723"/>
      <c r="AG172" s="723"/>
      <c r="AH172" s="716">
        <f t="shared" ref="AH172:AH187" si="11">AG172-AF172</f>
        <v>0</v>
      </c>
      <c r="AI172" s="723"/>
      <c r="AJ172" s="1441"/>
      <c r="AK172" s="1441">
        <f ca="1">IFERROR(SUMIFS('Плата за негативное возд'!$AL$25:$AL$32,'Плата за негативное возд'!$F$25:$F$32,F172,'Плата за негативное возд'!$G$25:$G$32,"1"),0)</f>
        <v>0</v>
      </c>
      <c r="AL172" s="716">
        <f t="shared" si="10"/>
        <v>0</v>
      </c>
      <c r="AM172" s="1438"/>
      <c r="AN172" s="1438"/>
      <c r="AO172" s="1438"/>
      <c r="AP172" s="1203"/>
      <c r="AQ172" s="1203"/>
      <c r="AR172" s="964" t="s">
        <v>1216</v>
      </c>
      <c r="AS172" s="964"/>
      <c r="AT172" s="964"/>
      <c r="AU172" s="961"/>
      <c r="AV172" s="961"/>
    </row>
    <row r="173" spans="1:48" s="1327" customFormat="1" ht="67.5" hidden="1" customHeight="1">
      <c r="A173" s="1203"/>
      <c r="B173" s="1203"/>
      <c r="C173" s="1203"/>
      <c r="D173" s="1203"/>
      <c r="E173" s="612">
        <v>0</v>
      </c>
      <c r="F173" s="3" t="str" cm="1">
        <f t="array" aca="1" ref="F173" ca="1">OFFSET(E173,-1,1)</f>
        <v>1</v>
      </c>
      <c r="G173" s="1203"/>
      <c r="H173" s="433" t="b">
        <f>ISERR(SEARCH("Водоснабжение",AB112))</f>
        <v>0</v>
      </c>
      <c r="I173" s="504" t="s">
        <v>712</v>
      </c>
      <c r="J173" s="504"/>
      <c r="K173" s="504"/>
      <c r="L173" s="504"/>
      <c r="M173" s="504"/>
      <c r="N173" s="504"/>
      <c r="O173" s="504"/>
      <c r="P173" s="504"/>
      <c r="Q173" s="504"/>
      <c r="R173" s="504"/>
      <c r="S173" s="504"/>
      <c r="T173" s="381" t="b" cm="1">
        <f t="array" aca="1" ref="T173" ca="1">T172</f>
        <v>1</v>
      </c>
      <c r="U173" s="1203"/>
      <c r="V173" s="1203"/>
      <c r="W173" s="1203"/>
      <c r="X173" s="1841"/>
      <c r="Y173" s="1203"/>
      <c r="Z173" s="1842"/>
      <c r="AA173" s="1203"/>
      <c r="AB173" s="721" t="s">
        <v>1666</v>
      </c>
      <c r="AC173" s="730" t="s">
        <v>1667</v>
      </c>
      <c r="AD173" s="673" t="s">
        <v>766</v>
      </c>
      <c r="AE173" s="723"/>
      <c r="AF173" s="723"/>
      <c r="AG173" s="723"/>
      <c r="AH173" s="716">
        <f t="shared" si="11"/>
        <v>0</v>
      </c>
      <c r="AI173" s="723"/>
      <c r="AJ173" s="1441"/>
      <c r="AK173" s="1441">
        <f ca="1">IFERROR(SUMIFS('Плата за негативное возд'!$AL$25:$AL$32,'Плата за негативное возд'!$F$25:$F$32,F173,'Плата за негативное возд'!$G$25:$G$32,"2"),0)</f>
        <v>0</v>
      </c>
      <c r="AL173" s="716">
        <f t="shared" si="10"/>
        <v>0</v>
      </c>
      <c r="AM173" s="1438"/>
      <c r="AN173" s="1438"/>
      <c r="AO173" s="1438"/>
      <c r="AP173" s="1203"/>
      <c r="AQ173" s="1203"/>
      <c r="AR173" s="964" t="s">
        <v>1220</v>
      </c>
      <c r="AS173" s="964"/>
      <c r="AT173" s="964"/>
      <c r="AU173" s="961"/>
      <c r="AV173" s="961"/>
    </row>
    <row r="174" spans="1:48" s="1327" customFormat="1" ht="14.25" customHeight="1">
      <c r="A174" s="1203"/>
      <c r="B174" s="1203"/>
      <c r="C174" s="1203"/>
      <c r="D174" s="1203"/>
      <c r="E174" s="612">
        <v>15</v>
      </c>
      <c r="F174" s="3" t="str" cm="1">
        <f t="array" aca="1" ref="F174" ca="1">OFFSET(E174,-1,1)</f>
        <v>1</v>
      </c>
      <c r="G174" s="1203"/>
      <c r="H174" s="1203"/>
      <c r="I174" s="504" t="s">
        <v>744</v>
      </c>
      <c r="J174" s="504"/>
      <c r="K174" s="504"/>
      <c r="L174" s="504"/>
      <c r="M174" s="504"/>
      <c r="N174" s="504"/>
      <c r="O174" s="504"/>
      <c r="P174" s="504"/>
      <c r="Q174" s="504"/>
      <c r="R174" s="504"/>
      <c r="S174" s="504"/>
      <c r="T174" s="381" t="b" cm="1">
        <f t="array" aca="1" ref="T174" ca="1">T173</f>
        <v>1</v>
      </c>
      <c r="U174" s="1203"/>
      <c r="V174" s="1203"/>
      <c r="W174" s="1203"/>
      <c r="X174" s="1841"/>
      <c r="Y174" s="1203"/>
      <c r="Z174" s="1842"/>
      <c r="AA174" s="1203"/>
      <c r="AB174" s="721" t="s">
        <v>1668</v>
      </c>
      <c r="AC174" s="732" t="s">
        <v>1669</v>
      </c>
      <c r="AD174" s="728" t="s">
        <v>766</v>
      </c>
      <c r="AE174" s="723"/>
      <c r="AF174" s="723"/>
      <c r="AG174" s="723"/>
      <c r="AH174" s="716">
        <f t="shared" si="11"/>
        <v>0</v>
      </c>
      <c r="AI174" s="723"/>
      <c r="AJ174" s="723"/>
      <c r="AK174" s="723"/>
      <c r="AL174" s="716">
        <f t="shared" si="10"/>
        <v>0</v>
      </c>
      <c r="AM174" s="717"/>
      <c r="AN174" s="717"/>
      <c r="AO174" s="717"/>
      <c r="AP174" s="1203"/>
      <c r="AQ174" s="1203"/>
      <c r="AR174" s="964" t="s">
        <v>1102</v>
      </c>
      <c r="AS174" s="964"/>
      <c r="AT174" s="964"/>
      <c r="AU174" s="961"/>
      <c r="AV174" s="961"/>
    </row>
    <row r="175" spans="1:48" s="1467" customFormat="1" ht="21.75" customHeight="1">
      <c r="A175" s="505"/>
      <c r="B175" s="505"/>
      <c r="C175" s="505"/>
      <c r="D175" s="505"/>
      <c r="E175" s="614">
        <v>22.5</v>
      </c>
      <c r="F175" s="3" t="str" cm="1">
        <f t="array" aca="1" ref="F175" ca="1">OFFSET(E175,-1,1)</f>
        <v>1</v>
      </c>
      <c r="G175" s="505"/>
      <c r="H175" s="505"/>
      <c r="I175" s="615" t="s">
        <v>745</v>
      </c>
      <c r="J175" s="615"/>
      <c r="K175" s="615"/>
      <c r="L175" s="615"/>
      <c r="M175" s="615"/>
      <c r="N175" s="615"/>
      <c r="O175" s="615"/>
      <c r="P175" s="615"/>
      <c r="Q175" s="615"/>
      <c r="R175" s="615"/>
      <c r="S175" s="615"/>
      <c r="T175" s="381" t="b" cm="1">
        <f t="array" aca="1" ref="T175" ca="1">T174</f>
        <v>1</v>
      </c>
      <c r="U175" s="505"/>
      <c r="V175" s="505"/>
      <c r="W175" s="505"/>
      <c r="X175" s="1841"/>
      <c r="Y175" s="505"/>
      <c r="Z175" s="1842"/>
      <c r="AA175" s="505"/>
      <c r="AB175" s="718" t="s">
        <v>1670</v>
      </c>
      <c r="AC175" s="506" t="s">
        <v>1671</v>
      </c>
      <c r="AD175" s="726" t="s">
        <v>766</v>
      </c>
      <c r="AE175" s="702">
        <f>AE176+AE177</f>
        <v>0</v>
      </c>
      <c r="AF175" s="702">
        <f>AF176+AF177</f>
        <v>0</v>
      </c>
      <c r="AG175" s="702">
        <f>AG176+AG177</f>
        <v>0</v>
      </c>
      <c r="AH175" s="715">
        <f t="shared" si="11"/>
        <v>0</v>
      </c>
      <c r="AI175" s="702">
        <f>AI176+AI177</f>
        <v>0</v>
      </c>
      <c r="AJ175" s="702">
        <f>AJ176+AJ177</f>
        <v>0</v>
      </c>
      <c r="AK175" s="702">
        <f>AK176+AK177</f>
        <v>0</v>
      </c>
      <c r="AL175" s="715">
        <f t="shared" si="10"/>
        <v>0</v>
      </c>
      <c r="AM175" s="720"/>
      <c r="AN175" s="720"/>
      <c r="AO175" s="720"/>
      <c r="AP175" s="505"/>
      <c r="AQ175" s="505"/>
      <c r="AR175" s="965" t="s">
        <v>1397</v>
      </c>
      <c r="AS175" s="965"/>
      <c r="AT175" s="965"/>
      <c r="AU175" s="614"/>
      <c r="AV175" s="614"/>
    </row>
    <row r="176" spans="1:48" s="1327" customFormat="1" ht="21.75" customHeight="1">
      <c r="A176" s="1203"/>
      <c r="B176" s="1203"/>
      <c r="C176" s="1203"/>
      <c r="D176" s="1203"/>
      <c r="E176" s="612">
        <v>22.5</v>
      </c>
      <c r="F176" s="3" t="str" cm="1">
        <f t="array" aca="1" ref="F176" ca="1">OFFSET(E176,-1,1)</f>
        <v>1</v>
      </c>
      <c r="G176" s="1203"/>
      <c r="H176" s="1203"/>
      <c r="I176" s="504" t="s">
        <v>1672</v>
      </c>
      <c r="J176" s="504"/>
      <c r="K176" s="504"/>
      <c r="L176" s="504"/>
      <c r="M176" s="504"/>
      <c r="N176" s="504"/>
      <c r="O176" s="504"/>
      <c r="P176" s="504"/>
      <c r="Q176" s="504"/>
      <c r="R176" s="504"/>
      <c r="S176" s="504"/>
      <c r="T176" s="381" t="b" cm="1">
        <f t="array" aca="1" ref="T176" ca="1">T175</f>
        <v>1</v>
      </c>
      <c r="U176" s="1203"/>
      <c r="V176" s="1203"/>
      <c r="W176" s="1203"/>
      <c r="X176" s="1841"/>
      <c r="Y176" s="1203"/>
      <c r="Z176" s="1842"/>
      <c r="AA176" s="1203"/>
      <c r="AB176" s="721" t="s">
        <v>1673</v>
      </c>
      <c r="AC176" s="733" t="s">
        <v>1398</v>
      </c>
      <c r="AD176" s="728" t="s">
        <v>766</v>
      </c>
      <c r="AE176" s="723"/>
      <c r="AF176" s="723"/>
      <c r="AG176" s="723"/>
      <c r="AH176" s="716">
        <f t="shared" si="11"/>
        <v>0</v>
      </c>
      <c r="AI176" s="723"/>
      <c r="AJ176" s="723"/>
      <c r="AK176" s="723"/>
      <c r="AL176" s="716">
        <f t="shared" si="10"/>
        <v>0</v>
      </c>
      <c r="AM176" s="717"/>
      <c r="AN176" s="717"/>
      <c r="AO176" s="717"/>
      <c r="AP176" s="1203"/>
      <c r="AQ176" s="1203"/>
      <c r="AR176" s="964" t="s">
        <v>1436</v>
      </c>
      <c r="AS176" s="964"/>
      <c r="AT176" s="964"/>
      <c r="AU176" s="961"/>
      <c r="AV176" s="961"/>
    </row>
    <row r="177" spans="1:48" s="1327" customFormat="1" ht="21.75" customHeight="1">
      <c r="A177" s="1203"/>
      <c r="B177" s="1203"/>
      <c r="C177" s="1203"/>
      <c r="D177" s="1203"/>
      <c r="E177" s="612">
        <v>22.5</v>
      </c>
      <c r="F177" s="3" t="str" cm="1">
        <f t="array" aca="1" ref="F177" ca="1">OFFSET(E177,-1,1)</f>
        <v>1</v>
      </c>
      <c r="G177" s="1203"/>
      <c r="H177" s="1203"/>
      <c r="I177" s="504" t="s">
        <v>1674</v>
      </c>
      <c r="J177" s="504"/>
      <c r="K177" s="504"/>
      <c r="L177" s="504"/>
      <c r="M177" s="504"/>
      <c r="N177" s="504"/>
      <c r="O177" s="504"/>
      <c r="P177" s="504"/>
      <c r="Q177" s="504"/>
      <c r="R177" s="504"/>
      <c r="S177" s="504"/>
      <c r="T177" s="381" t="b" cm="1">
        <f t="array" aca="1" ref="T177" ca="1">T176</f>
        <v>1</v>
      </c>
      <c r="U177" s="1203"/>
      <c r="V177" s="1203"/>
      <c r="W177" s="1203"/>
      <c r="X177" s="1841"/>
      <c r="Y177" s="1203"/>
      <c r="Z177" s="1842"/>
      <c r="AA177" s="1203"/>
      <c r="AB177" s="721" t="s">
        <v>1675</v>
      </c>
      <c r="AC177" s="733" t="s">
        <v>1400</v>
      </c>
      <c r="AD177" s="728" t="s">
        <v>766</v>
      </c>
      <c r="AE177" s="723"/>
      <c r="AF177" s="723"/>
      <c r="AG177" s="723"/>
      <c r="AH177" s="716">
        <f t="shared" si="11"/>
        <v>0</v>
      </c>
      <c r="AI177" s="723"/>
      <c r="AJ177" s="723"/>
      <c r="AK177" s="723"/>
      <c r="AL177" s="716">
        <f t="shared" si="10"/>
        <v>0</v>
      </c>
      <c r="AM177" s="717"/>
      <c r="AN177" s="717"/>
      <c r="AO177" s="717"/>
      <c r="AP177" s="1203"/>
      <c r="AQ177" s="1203"/>
      <c r="AR177" s="964" t="s">
        <v>1676</v>
      </c>
      <c r="AS177" s="964"/>
      <c r="AT177" s="964"/>
      <c r="AU177" s="961"/>
      <c r="AV177" s="961"/>
    </row>
    <row r="178" spans="1:48" s="1327" customFormat="1" ht="14.25" customHeight="1">
      <c r="A178" s="1203"/>
      <c r="B178" s="1203"/>
      <c r="C178" s="1203"/>
      <c r="D178" s="1203"/>
      <c r="E178" s="612">
        <v>15</v>
      </c>
      <c r="F178" s="3" t="str" cm="1">
        <f t="array" aca="1" ref="F178" ca="1">OFFSET(E178,-1,1)</f>
        <v>1</v>
      </c>
      <c r="G178" s="1203"/>
      <c r="H178" s="1203"/>
      <c r="I178" s="504" t="s">
        <v>1677</v>
      </c>
      <c r="J178" s="504"/>
      <c r="K178" s="504"/>
      <c r="L178" s="504"/>
      <c r="M178" s="504"/>
      <c r="N178" s="504"/>
      <c r="O178" s="504"/>
      <c r="P178" s="504"/>
      <c r="Q178" s="504"/>
      <c r="R178" s="504"/>
      <c r="S178" s="504"/>
      <c r="T178" s="381" t="b" cm="1">
        <f t="array" aca="1" ref="T178" ca="1">T177</f>
        <v>1</v>
      </c>
      <c r="U178" s="1203"/>
      <c r="V178" s="1203"/>
      <c r="W178" s="1203"/>
      <c r="X178" s="1841"/>
      <c r="Y178" s="1203"/>
      <c r="Z178" s="1842"/>
      <c r="AA178" s="1203"/>
      <c r="AB178" s="734" t="s">
        <v>332</v>
      </c>
      <c r="AC178" s="735" t="s">
        <v>1402</v>
      </c>
      <c r="AD178" s="728" t="s">
        <v>766</v>
      </c>
      <c r="AE178" s="723"/>
      <c r="AF178" s="723"/>
      <c r="AG178" s="723"/>
      <c r="AH178" s="716">
        <f t="shared" si="11"/>
        <v>0</v>
      </c>
      <c r="AI178" s="723"/>
      <c r="AJ178" s="723"/>
      <c r="AK178" s="723"/>
      <c r="AL178" s="716">
        <f t="shared" si="10"/>
        <v>0</v>
      </c>
      <c r="AM178" s="717"/>
      <c r="AN178" s="717"/>
      <c r="AO178" s="717"/>
      <c r="AP178" s="1203"/>
      <c r="AQ178" s="1203"/>
      <c r="AR178" s="964" t="s">
        <v>1403</v>
      </c>
      <c r="AS178" s="964"/>
      <c r="AT178" s="964"/>
      <c r="AU178" s="961"/>
      <c r="AV178" s="961"/>
    </row>
    <row r="179" spans="1:48" s="1327" customFormat="1" ht="14.25" customHeight="1">
      <c r="A179" s="1203"/>
      <c r="B179" s="1203"/>
      <c r="C179" s="1203"/>
      <c r="D179" s="1203"/>
      <c r="E179" s="612">
        <v>15</v>
      </c>
      <c r="F179" s="3" t="str" cm="1">
        <f t="array" aca="1" ref="F179" ca="1">OFFSET(E179,-1,1)</f>
        <v>1</v>
      </c>
      <c r="G179" s="1203"/>
      <c r="H179" s="1203"/>
      <c r="I179" s="504" t="s">
        <v>1678</v>
      </c>
      <c r="J179" s="504"/>
      <c r="K179" s="504"/>
      <c r="L179" s="504"/>
      <c r="M179" s="504"/>
      <c r="N179" s="504"/>
      <c r="O179" s="504"/>
      <c r="P179" s="504"/>
      <c r="Q179" s="504"/>
      <c r="R179" s="504"/>
      <c r="S179" s="504"/>
      <c r="T179" s="381" t="b" cm="1">
        <f t="array" aca="1" ref="T179" ca="1">T178</f>
        <v>1</v>
      </c>
      <c r="U179" s="1203"/>
      <c r="V179" s="1203"/>
      <c r="W179" s="1203"/>
      <c r="X179" s="1841"/>
      <c r="Y179" s="1203"/>
      <c r="Z179" s="1842"/>
      <c r="AA179" s="1203"/>
      <c r="AB179" s="734" t="s">
        <v>1679</v>
      </c>
      <c r="AC179" s="735" t="s">
        <v>1404</v>
      </c>
      <c r="AD179" s="728" t="s">
        <v>766</v>
      </c>
      <c r="AE179" s="723"/>
      <c r="AF179" s="723"/>
      <c r="AG179" s="723"/>
      <c r="AH179" s="716">
        <f t="shared" si="11"/>
        <v>0</v>
      </c>
      <c r="AI179" s="723"/>
      <c r="AJ179" s="723"/>
      <c r="AK179" s="723"/>
      <c r="AL179" s="716">
        <f t="shared" si="10"/>
        <v>0</v>
      </c>
      <c r="AM179" s="717"/>
      <c r="AN179" s="717"/>
      <c r="AO179" s="717"/>
      <c r="AP179" s="1203"/>
      <c r="AQ179" s="1203"/>
      <c r="AR179" s="964" t="s">
        <v>1405</v>
      </c>
      <c r="AS179" s="964"/>
      <c r="AT179" s="964"/>
      <c r="AU179" s="961"/>
      <c r="AV179" s="961"/>
    </row>
    <row r="180" spans="1:48" s="1468" customFormat="1" ht="14.25" customHeight="1">
      <c r="A180" s="505"/>
      <c r="B180" s="505"/>
      <c r="C180" s="505"/>
      <c r="D180" s="505"/>
      <c r="E180" s="614">
        <v>15</v>
      </c>
      <c r="F180" s="3" t="str" cm="1">
        <f t="array" aca="1" ref="F180" ca="1">OFFSET(E180,-1,1)</f>
        <v>1</v>
      </c>
      <c r="G180" s="505"/>
      <c r="H180" s="505"/>
      <c r="I180" s="615" t="s">
        <v>1680</v>
      </c>
      <c r="J180" s="615"/>
      <c r="K180" s="615"/>
      <c r="L180" s="615"/>
      <c r="M180" s="615"/>
      <c r="N180" s="615"/>
      <c r="O180" s="615"/>
      <c r="P180" s="615"/>
      <c r="Q180" s="615"/>
      <c r="R180" s="615"/>
      <c r="S180" s="615"/>
      <c r="T180" s="381" t="b" cm="1">
        <f t="array" aca="1" ref="T180" ca="1">T179</f>
        <v>1</v>
      </c>
      <c r="U180" s="505"/>
      <c r="V180" s="505"/>
      <c r="W180" s="505"/>
      <c r="X180" s="1841"/>
      <c r="Y180" s="505"/>
      <c r="Z180" s="1842"/>
      <c r="AA180" s="505"/>
      <c r="AB180" s="718" t="s">
        <v>1681</v>
      </c>
      <c r="AC180" s="506" t="s">
        <v>1682</v>
      </c>
      <c r="AD180" s="726" t="s">
        <v>766</v>
      </c>
      <c r="AE180" s="702">
        <f ca="1">AE113+AE143+AE148+AE161+AE162+AE164+AE165+AE166+AE170+AE171-AE172-AE173+AE174-AE175+AE178+AE179</f>
        <v>1359.07</v>
      </c>
      <c r="AF180" s="702">
        <f ca="1">AF113+AF143+AF148+AF161+AF162+AF164+AF165+AF166+AF170+AF171-AF172-AF173+AF174-AF175+AF178+AF179</f>
        <v>787.17000000000007</v>
      </c>
      <c r="AG180" s="702">
        <f ca="1">AG113+AG143+AG148+AG161+AG162+AG164+AG165+AG166+AG170+AG171-AG172-AG173+AG174-AG175+AG178+AG179</f>
        <v>787.17000000000007</v>
      </c>
      <c r="AH180" s="715">
        <f t="shared" ca="1" si="11"/>
        <v>0</v>
      </c>
      <c r="AI180" s="702">
        <f ca="1">AI113+AI143+AI148+AI161+AI162+AI164+AI165+AI166+AI170+AI171-AI172-AI173+AI174-AI175+AI178+AI179</f>
        <v>1435.79</v>
      </c>
      <c r="AJ180" s="702">
        <f ca="1">AJ113+AJ143+AJ148+AJ161+AJ162+AJ164+AJ165+AJ166+AJ170+AJ171-AJ172-AJ173+AJ174-AJ175+AJ178+AJ179</f>
        <v>1509.94</v>
      </c>
      <c r="AK180" s="702">
        <f ca="1">AK113+AK143+AK148+AK161+AK162+AK164+AK165+AK166+AK170+AK171-AK172-AK173+AK174-AK175+AK178+AK179</f>
        <v>1509.97</v>
      </c>
      <c r="AL180" s="715">
        <f t="shared" ca="1" si="10"/>
        <v>5.1664937072970325</v>
      </c>
      <c r="AM180" s="1453" t="s">
        <v>1752</v>
      </c>
      <c r="AN180" s="720"/>
      <c r="AO180" s="720"/>
      <c r="AP180" s="505"/>
      <c r="AQ180" s="505"/>
      <c r="AR180" s="965" t="s">
        <v>1683</v>
      </c>
      <c r="AS180" s="965"/>
      <c r="AT180" s="965"/>
      <c r="AU180" s="614"/>
      <c r="AV180" s="614"/>
    </row>
    <row r="181" spans="1:48" s="1327" customFormat="1" ht="15" hidden="1" customHeight="1">
      <c r="A181" s="1203"/>
      <c r="B181" s="494" t="b">
        <f>G112="двухставочный"</f>
        <v>0</v>
      </c>
      <c r="C181" s="1203"/>
      <c r="D181" s="1203"/>
      <c r="E181" s="612">
        <v>0</v>
      </c>
      <c r="F181" s="3" t="str" cm="1">
        <f t="array" aca="1" ref="F181" ca="1">OFFSET(E181,-1,1)</f>
        <v>1</v>
      </c>
      <c r="G181" s="1203"/>
      <c r="H181" s="1203"/>
      <c r="I181" s="504" t="s">
        <v>1684</v>
      </c>
      <c r="J181" s="504"/>
      <c r="K181" s="504"/>
      <c r="L181" s="504"/>
      <c r="M181" s="504"/>
      <c r="N181" s="504"/>
      <c r="O181" s="504"/>
      <c r="P181" s="504"/>
      <c r="Q181" s="504"/>
      <c r="R181" s="504"/>
      <c r="S181" s="504"/>
      <c r="T181" s="381" t="b" cm="1">
        <f t="array" aca="1" ref="T181" ca="1">T180</f>
        <v>1</v>
      </c>
      <c r="U181" s="1203"/>
      <c r="V181" s="1203"/>
      <c r="W181" s="1203"/>
      <c r="X181" s="1841"/>
      <c r="Y181" s="1203"/>
      <c r="Z181" s="1842"/>
      <c r="AA181" s="1203"/>
      <c r="AB181" s="721" t="s">
        <v>1685</v>
      </c>
      <c r="AC181" s="733" t="s">
        <v>1686</v>
      </c>
      <c r="AD181" s="728" t="s">
        <v>766</v>
      </c>
      <c r="AE181" s="723"/>
      <c r="AF181" s="723"/>
      <c r="AG181" s="723"/>
      <c r="AH181" s="716">
        <f t="shared" si="11"/>
        <v>0</v>
      </c>
      <c r="AI181" s="723"/>
      <c r="AJ181" s="1441"/>
      <c r="AK181" s="1441"/>
      <c r="AL181" s="716">
        <f t="shared" si="10"/>
        <v>0</v>
      </c>
      <c r="AM181" s="1438"/>
      <c r="AN181" s="1438"/>
      <c r="AO181" s="1438"/>
      <c r="AP181" s="1203"/>
      <c r="AQ181" s="1203"/>
      <c r="AR181" s="964" t="s">
        <v>1687</v>
      </c>
      <c r="AS181" s="964"/>
      <c r="AT181" s="964"/>
      <c r="AU181" s="961"/>
      <c r="AV181" s="961"/>
    </row>
    <row r="182" spans="1:48" s="1327" customFormat="1" ht="15" hidden="1" customHeight="1">
      <c r="A182" s="1203"/>
      <c r="B182" s="494" t="b">
        <f>G112="двухставочный"</f>
        <v>0</v>
      </c>
      <c r="C182" s="1203"/>
      <c r="D182" s="1203"/>
      <c r="E182" s="612">
        <v>0</v>
      </c>
      <c r="F182" s="3" t="str" cm="1">
        <f t="array" aca="1" ref="F182" ca="1">OFFSET(E182,-1,1)</f>
        <v>1</v>
      </c>
      <c r="G182" s="1203"/>
      <c r="H182" s="1203"/>
      <c r="I182" s="504" t="s">
        <v>1688</v>
      </c>
      <c r="J182" s="504"/>
      <c r="K182" s="504"/>
      <c r="L182" s="504"/>
      <c r="M182" s="504"/>
      <c r="N182" s="504"/>
      <c r="O182" s="504"/>
      <c r="P182" s="504"/>
      <c r="Q182" s="504"/>
      <c r="R182" s="504"/>
      <c r="S182" s="504"/>
      <c r="T182" s="381" t="b" cm="1">
        <f t="array" aca="1" ref="T182" ca="1">T181</f>
        <v>1</v>
      </c>
      <c r="U182" s="1203"/>
      <c r="V182" s="1203"/>
      <c r="W182" s="1203"/>
      <c r="X182" s="1841"/>
      <c r="Y182" s="1203"/>
      <c r="Z182" s="1842"/>
      <c r="AA182" s="1203"/>
      <c r="AB182" s="721" t="s">
        <v>1689</v>
      </c>
      <c r="AC182" s="733" t="s">
        <v>1690</v>
      </c>
      <c r="AD182" s="728" t="s">
        <v>766</v>
      </c>
      <c r="AE182" s="723"/>
      <c r="AF182" s="723"/>
      <c r="AG182" s="723"/>
      <c r="AH182" s="716">
        <f t="shared" si="11"/>
        <v>0</v>
      </c>
      <c r="AI182" s="723"/>
      <c r="AJ182" s="1441"/>
      <c r="AK182" s="1441"/>
      <c r="AL182" s="716">
        <f t="shared" si="10"/>
        <v>0</v>
      </c>
      <c r="AM182" s="1438"/>
      <c r="AN182" s="1438"/>
      <c r="AO182" s="1438"/>
      <c r="AP182" s="1203"/>
      <c r="AQ182" s="1203"/>
      <c r="AR182" s="964" t="s">
        <v>1691</v>
      </c>
      <c r="AS182" s="964"/>
      <c r="AT182" s="964"/>
      <c r="AU182" s="961"/>
      <c r="AV182" s="961"/>
    </row>
    <row r="183" spans="1:48" s="1469" customFormat="1" ht="14.25" customHeight="1">
      <c r="A183" s="505"/>
      <c r="B183" s="505"/>
      <c r="C183" s="505"/>
      <c r="D183" s="505"/>
      <c r="E183" s="614">
        <v>15</v>
      </c>
      <c r="F183" s="3" t="str" cm="1">
        <f t="array" aca="1" ref="F183" ca="1">OFFSET(E183,-1,1)</f>
        <v>1</v>
      </c>
      <c r="G183" s="495" t="s">
        <v>1463</v>
      </c>
      <c r="H183" s="505"/>
      <c r="I183" s="615" t="s">
        <v>1692</v>
      </c>
      <c r="J183" s="615"/>
      <c r="K183" s="615"/>
      <c r="L183" s="615"/>
      <c r="M183" s="615"/>
      <c r="N183" s="615"/>
      <c r="O183" s="615"/>
      <c r="P183" s="615"/>
      <c r="Q183" s="615"/>
      <c r="R183" s="615"/>
      <c r="S183" s="615"/>
      <c r="T183" s="381" t="b" cm="1">
        <f t="array" aca="1" ref="T183" ca="1">T182</f>
        <v>1</v>
      </c>
      <c r="U183" s="505"/>
      <c r="V183" s="505"/>
      <c r="W183" s="505"/>
      <c r="X183" s="1841"/>
      <c r="Y183" s="505"/>
      <c r="Z183" s="1842"/>
      <c r="AA183" s="505"/>
      <c r="AB183" s="718" t="s">
        <v>1693</v>
      </c>
      <c r="AC183" s="506" t="s">
        <v>1694</v>
      </c>
      <c r="AD183" s="726" t="s">
        <v>499</v>
      </c>
      <c r="AE183" s="736">
        <f ca="1">SUMIFS(Баланс!AE$26:AE$209,Баланс!$F$26:$F$209,$F183,Баланс!$G$26:$G$209,"ПО")</f>
        <v>2.7665999999999999</v>
      </c>
      <c r="AF183" s="736">
        <f ca="1">SUMIFS(Баланс!AF$26:AF$209,Баланс!$F$26:$F$209,$F183,Баланс!$G$26:$G$209,"ПО")</f>
        <v>0.11</v>
      </c>
      <c r="AG183" s="736">
        <f ca="1">SUMIFS(Баланс!AG$26:AG$209,Баланс!$F$26:$F$209,$F183,Баланс!$G$26:$G$209,"ПО")</f>
        <v>0.11</v>
      </c>
      <c r="AH183" s="736">
        <f t="shared" ca="1" si="11"/>
        <v>0</v>
      </c>
      <c r="AI183" s="736">
        <f ca="1">SUMIFS(Баланс!AH$26:AH$209,Баланс!$F$26:$F$209,$F183,Баланс!$G$26:$G$209,"ПО")</f>
        <v>2.6282700000000001</v>
      </c>
      <c r="AJ183" s="736">
        <f ca="1">SUMIFS(Баланс!AI$26:AI$209,Баланс!$F$26:$F$209,$F183,Баланс!$G$26:$G$209,"ПО")</f>
        <v>2.5756999999999999</v>
      </c>
      <c r="AK183" s="736">
        <f ca="1">SUMIFS(Баланс!AS$26:AS$209,Баланс!$F$26:$F$209,$F183,Баланс!$G$26:$G$209,"ПО")</f>
        <v>2.5756999999999999</v>
      </c>
      <c r="AL183" s="737"/>
      <c r="AM183" s="1453" t="s">
        <v>1755</v>
      </c>
      <c r="AN183" s="720"/>
      <c r="AO183" s="720"/>
      <c r="AP183" s="505"/>
      <c r="AQ183" s="505"/>
      <c r="AR183" s="965" t="s">
        <v>1695</v>
      </c>
      <c r="AS183" s="965"/>
      <c r="AT183" s="965"/>
      <c r="AU183" s="614"/>
      <c r="AV183" s="614"/>
    </row>
    <row r="184" spans="1:48" s="1327" customFormat="1" ht="14.25" customHeight="1">
      <c r="A184" s="1203"/>
      <c r="B184" s="1203"/>
      <c r="C184" s="1203"/>
      <c r="D184" s="1203"/>
      <c r="E184" s="612">
        <v>15</v>
      </c>
      <c r="F184" s="3" t="str" cm="1">
        <f t="array" aca="1" ref="F184" ca="1">OFFSET(E184,-1,1)</f>
        <v>1</v>
      </c>
      <c r="G184" s="495" t="s">
        <v>1490</v>
      </c>
      <c r="H184" s="1203"/>
      <c r="I184" s="504" t="s">
        <v>1696</v>
      </c>
      <c r="J184" s="504"/>
      <c r="K184" s="504"/>
      <c r="L184" s="504"/>
      <c r="M184" s="504"/>
      <c r="N184" s="504"/>
      <c r="O184" s="504"/>
      <c r="P184" s="504"/>
      <c r="Q184" s="504"/>
      <c r="R184" s="504"/>
      <c r="S184" s="504"/>
      <c r="T184" s="381" t="b" cm="1">
        <f t="array" aca="1" ref="T184" ca="1">T183</f>
        <v>1</v>
      </c>
      <c r="U184" s="1203"/>
      <c r="V184" s="1203"/>
      <c r="W184" s="1203"/>
      <c r="X184" s="1841"/>
      <c r="Y184" s="1203"/>
      <c r="Z184" s="1842"/>
      <c r="AA184" s="1203"/>
      <c r="AB184" s="721" t="s">
        <v>1697</v>
      </c>
      <c r="AC184" s="1012" t="s">
        <v>1698</v>
      </c>
      <c r="AD184" s="728" t="s">
        <v>499</v>
      </c>
      <c r="AE184" s="738">
        <f ca="1">AE183/2</f>
        <v>1.3833</v>
      </c>
      <c r="AF184" s="738">
        <f ca="1">AF183/2</f>
        <v>5.5E-2</v>
      </c>
      <c r="AG184" s="738">
        <f ca="1">AG183/2</f>
        <v>5.5E-2</v>
      </c>
      <c r="AH184" s="739">
        <f t="shared" ca="1" si="11"/>
        <v>0</v>
      </c>
      <c r="AI184" s="738">
        <f ca="1">AI183/2</f>
        <v>1.3141350000000001</v>
      </c>
      <c r="AJ184" s="738">
        <f ca="1">IF(god=2026,AJ183/12*9,AJ183/2)</f>
        <v>1.9317749999999998</v>
      </c>
      <c r="AK184" s="738">
        <f ca="1">IF(god=2026,AK183/12*9,AK183/2)</f>
        <v>1.9317749999999998</v>
      </c>
      <c r="AL184" s="731"/>
      <c r="AM184" s="1450" t="s">
        <v>1756</v>
      </c>
      <c r="AN184" s="717"/>
      <c r="AO184" s="717"/>
      <c r="AP184" s="1203"/>
      <c r="AQ184" s="1203"/>
      <c r="AR184" s="964" t="s">
        <v>1699</v>
      </c>
      <c r="AS184" s="964"/>
      <c r="AT184" s="964"/>
      <c r="AU184" s="961"/>
      <c r="AV184" s="961"/>
    </row>
    <row r="185" spans="1:48" s="1327" customFormat="1" ht="14.25" customHeight="1">
      <c r="A185" s="1203"/>
      <c r="B185" s="1203"/>
      <c r="C185" s="1203"/>
      <c r="D185" s="1203"/>
      <c r="E185" s="612">
        <v>15</v>
      </c>
      <c r="F185" s="3" t="str" cm="1">
        <f t="array" aca="1" ref="F185" ca="1">OFFSET(E185,-1,1)</f>
        <v>1</v>
      </c>
      <c r="G185" s="495" t="s">
        <v>1451</v>
      </c>
      <c r="H185" s="1203"/>
      <c r="I185" s="504" t="s">
        <v>1700</v>
      </c>
      <c r="J185" s="504"/>
      <c r="K185" s="504"/>
      <c r="L185" s="504"/>
      <c r="M185" s="504"/>
      <c r="N185" s="504"/>
      <c r="O185" s="504"/>
      <c r="P185" s="504"/>
      <c r="Q185" s="504"/>
      <c r="R185" s="504"/>
      <c r="S185" s="504"/>
      <c r="T185" s="381" t="b" cm="1">
        <f t="array" aca="1" ref="T185" ca="1">T184</f>
        <v>1</v>
      </c>
      <c r="U185" s="1203"/>
      <c r="V185" s="1203"/>
      <c r="W185" s="1203"/>
      <c r="X185" s="1841"/>
      <c r="Y185" s="1203"/>
      <c r="Z185" s="1842"/>
      <c r="AA185" s="1203"/>
      <c r="AB185" s="721" t="s">
        <v>1701</v>
      </c>
      <c r="AC185" s="1012" t="s">
        <v>1702</v>
      </c>
      <c r="AD185" s="728" t="s">
        <v>1454</v>
      </c>
      <c r="AE185" s="723">
        <v>459.34</v>
      </c>
      <c r="AF185" s="723">
        <v>7156.09</v>
      </c>
      <c r="AG185" s="723">
        <v>459.34</v>
      </c>
      <c r="AH185" s="716">
        <f t="shared" si="11"/>
        <v>-6696.75</v>
      </c>
      <c r="AI185" s="723">
        <v>523.14</v>
      </c>
      <c r="AJ185" s="723">
        <v>586.24</v>
      </c>
      <c r="AK185" s="723">
        <v>569.44000000000005</v>
      </c>
      <c r="AL185" s="731"/>
      <c r="AM185" s="1450" t="s">
        <v>1752</v>
      </c>
      <c r="AN185" s="717"/>
      <c r="AO185" s="717"/>
      <c r="AP185" s="1203"/>
      <c r="AQ185" s="1203"/>
      <c r="AR185" s="964" t="s">
        <v>1703</v>
      </c>
      <c r="AS185" s="964"/>
      <c r="AT185" s="964"/>
      <c r="AU185" s="961"/>
      <c r="AV185" s="961"/>
    </row>
    <row r="186" spans="1:48" s="1327" customFormat="1" ht="14.25" customHeight="1">
      <c r="A186" s="1203"/>
      <c r="B186" s="1203"/>
      <c r="C186" s="1203"/>
      <c r="D186" s="1203"/>
      <c r="E186" s="612">
        <v>15</v>
      </c>
      <c r="F186" s="3" t="str" cm="1">
        <f t="array" aca="1" ref="F186" ca="1">OFFSET(E186,-1,1)</f>
        <v>1</v>
      </c>
      <c r="G186" s="495" t="s">
        <v>1503</v>
      </c>
      <c r="H186" s="1203"/>
      <c r="I186" s="504" t="s">
        <v>1704</v>
      </c>
      <c r="J186" s="504"/>
      <c r="K186" s="504"/>
      <c r="L186" s="504"/>
      <c r="M186" s="504"/>
      <c r="N186" s="504"/>
      <c r="O186" s="504"/>
      <c r="P186" s="504"/>
      <c r="Q186" s="504"/>
      <c r="R186" s="504"/>
      <c r="S186" s="504"/>
      <c r="T186" s="381" t="b" cm="1">
        <f t="array" aca="1" ref="T186" ca="1">T185</f>
        <v>1</v>
      </c>
      <c r="U186" s="1203"/>
      <c r="V186" s="1203"/>
      <c r="W186" s="1203"/>
      <c r="X186" s="1841"/>
      <c r="Y186" s="1203"/>
      <c r="Z186" s="1842"/>
      <c r="AA186" s="1203"/>
      <c r="AB186" s="721" t="s">
        <v>1705</v>
      </c>
      <c r="AC186" s="1012" t="s">
        <v>1706</v>
      </c>
      <c r="AD186" s="728" t="s">
        <v>499</v>
      </c>
      <c r="AE186" s="739">
        <f ca="1">AE183-AE184</f>
        <v>1.3833</v>
      </c>
      <c r="AF186" s="739">
        <f ca="1">AF183-AF184</f>
        <v>5.5E-2</v>
      </c>
      <c r="AG186" s="739">
        <f ca="1">AG183-AG184</f>
        <v>5.5E-2</v>
      </c>
      <c r="AH186" s="739">
        <f t="shared" ca="1" si="11"/>
        <v>0</v>
      </c>
      <c r="AI186" s="739">
        <f ca="1">AI183-AI184</f>
        <v>1.3141350000000001</v>
      </c>
      <c r="AJ186" s="739">
        <f ca="1">AJ183-AJ184</f>
        <v>0.64392500000000008</v>
      </c>
      <c r="AK186" s="739">
        <f ca="1">AK183-AK184</f>
        <v>0.64392500000000008</v>
      </c>
      <c r="AL186" s="731"/>
      <c r="AM186" s="717"/>
      <c r="AN186" s="717"/>
      <c r="AO186" s="717"/>
      <c r="AP186" s="1203"/>
      <c r="AQ186" s="1203"/>
      <c r="AR186" s="964" t="s">
        <v>1707</v>
      </c>
      <c r="AS186" s="964"/>
      <c r="AT186" s="964"/>
      <c r="AU186" s="961"/>
      <c r="AV186" s="961"/>
    </row>
    <row r="187" spans="1:48" s="1327" customFormat="1" ht="14.25" customHeight="1">
      <c r="A187" s="1203"/>
      <c r="B187" s="1203"/>
      <c r="C187" s="1203"/>
      <c r="D187" s="1203"/>
      <c r="E187" s="612">
        <v>15</v>
      </c>
      <c r="F187" s="3" t="str" cm="1">
        <f t="array" aca="1" ref="F187" ca="1">OFFSET(E187,-1,1)</f>
        <v>1</v>
      </c>
      <c r="G187" s="495" t="s">
        <v>1456</v>
      </c>
      <c r="H187" s="1203"/>
      <c r="I187" s="504" t="s">
        <v>1708</v>
      </c>
      <c r="J187" s="504"/>
      <c r="K187" s="504"/>
      <c r="L187" s="504"/>
      <c r="M187" s="504"/>
      <c r="N187" s="504"/>
      <c r="O187" s="504"/>
      <c r="P187" s="504"/>
      <c r="Q187" s="504"/>
      <c r="R187" s="504"/>
      <c r="S187" s="504"/>
      <c r="T187" s="381" t="b" cm="1">
        <f t="array" aca="1" ref="T187" ca="1">T186</f>
        <v>1</v>
      </c>
      <c r="U187" s="1203"/>
      <c r="V187" s="1203"/>
      <c r="W187" s="1203"/>
      <c r="X187" s="1841"/>
      <c r="Y187" s="1203"/>
      <c r="Z187" s="1842"/>
      <c r="AA187" s="1203"/>
      <c r="AB187" s="721" t="s">
        <v>1709</v>
      </c>
      <c r="AC187" s="1012" t="s">
        <v>1710</v>
      </c>
      <c r="AD187" s="728" t="s">
        <v>1454</v>
      </c>
      <c r="AE187" s="723">
        <v>523.26</v>
      </c>
      <c r="AF187" s="723">
        <v>7156.09</v>
      </c>
      <c r="AG187" s="723">
        <v>523.26</v>
      </c>
      <c r="AH187" s="716">
        <f t="shared" si="11"/>
        <v>-6632.83</v>
      </c>
      <c r="AI187" s="723">
        <v>569.44000000000005</v>
      </c>
      <c r="AJ187" s="723">
        <v>586.24</v>
      </c>
      <c r="AK187" s="723">
        <v>636.62</v>
      </c>
      <c r="AL187" s="731"/>
      <c r="AM187" s="1450" t="s">
        <v>1752</v>
      </c>
      <c r="AN187" s="717"/>
      <c r="AO187" s="717"/>
      <c r="AP187" s="1203"/>
      <c r="AQ187" s="1203"/>
      <c r="AR187" s="964" t="s">
        <v>1711</v>
      </c>
      <c r="AS187" s="964"/>
      <c r="AT187" s="964"/>
      <c r="AU187" s="961"/>
      <c r="AV187" s="961"/>
    </row>
    <row r="188" spans="1:48" s="1327" customFormat="1" ht="14.25" customHeight="1">
      <c r="A188" s="1203"/>
      <c r="B188" s="1203"/>
      <c r="C188" s="1203"/>
      <c r="D188" s="1203"/>
      <c r="E188" s="612">
        <v>15</v>
      </c>
      <c r="F188" s="3" t="str" cm="1">
        <f t="array" aca="1" ref="F188" ca="1">OFFSET(E188,-1,1)</f>
        <v>1</v>
      </c>
      <c r="G188" s="495"/>
      <c r="H188" s="1203"/>
      <c r="I188" s="504" t="s">
        <v>1712</v>
      </c>
      <c r="J188" s="504"/>
      <c r="K188" s="504"/>
      <c r="L188" s="504"/>
      <c r="M188" s="504"/>
      <c r="N188" s="504"/>
      <c r="O188" s="504"/>
      <c r="P188" s="504"/>
      <c r="Q188" s="504"/>
      <c r="R188" s="504"/>
      <c r="S188" s="504"/>
      <c r="T188" s="381" t="b" cm="1">
        <f t="array" aca="1" ref="T188" ca="1">T187</f>
        <v>1</v>
      </c>
      <c r="U188" s="1203"/>
      <c r="V188" s="1203"/>
      <c r="W188" s="1203"/>
      <c r="X188" s="1841"/>
      <c r="Y188" s="1203"/>
      <c r="Z188" s="1842"/>
      <c r="AA188" s="1203"/>
      <c r="AB188" s="721" t="s">
        <v>1713</v>
      </c>
      <c r="AC188" s="1012" t="s">
        <v>1714</v>
      </c>
      <c r="AD188" s="728" t="s">
        <v>423</v>
      </c>
      <c r="AE188" s="716">
        <f>IF(AE185=0,0,AE187/AE185*100)</f>
        <v>113.91561806069579</v>
      </c>
      <c r="AF188" s="716">
        <f>IF(AF185=0,0,AF187/AF185*100)</f>
        <v>100</v>
      </c>
      <c r="AG188" s="716">
        <f>IF(AG185=0,0,AG187/AG185*100)</f>
        <v>113.91561806069579</v>
      </c>
      <c r="AH188" s="731"/>
      <c r="AI188" s="716">
        <f>IF(AI185=0,0,AI187/AI185*100)</f>
        <v>108.85040333371565</v>
      </c>
      <c r="AJ188" s="716">
        <f>IF(AJ185=0,0,AJ187/AJ185*100)</f>
        <v>100</v>
      </c>
      <c r="AK188" s="716">
        <f>IF(AK185=0,0,AK187/AK185*100)</f>
        <v>111.79755549311604</v>
      </c>
      <c r="AL188" s="731"/>
      <c r="AM188" s="717"/>
      <c r="AN188" s="717"/>
      <c r="AO188" s="717"/>
      <c r="AP188" s="1203"/>
      <c r="AQ188" s="1203"/>
      <c r="AR188" s="964" t="s">
        <v>1715</v>
      </c>
      <c r="AS188" s="964"/>
      <c r="AT188" s="964"/>
      <c r="AU188" s="961"/>
      <c r="AV188" s="961"/>
    </row>
    <row r="189" spans="1:48" s="1327" customFormat="1" ht="14.25" customHeight="1">
      <c r="A189" s="1203"/>
      <c r="B189" s="1203"/>
      <c r="C189" s="1203"/>
      <c r="D189" s="1203"/>
      <c r="E189" s="612">
        <v>15</v>
      </c>
      <c r="F189" s="3" t="str" cm="1">
        <f t="array" aca="1" ref="F189" ca="1">OFFSET(E189,-1,1)</f>
        <v>1</v>
      </c>
      <c r="G189" s="495"/>
      <c r="H189" s="1203"/>
      <c r="I189" s="504" t="s">
        <v>1716</v>
      </c>
      <c r="J189" s="504"/>
      <c r="K189" s="504"/>
      <c r="L189" s="504"/>
      <c r="M189" s="504"/>
      <c r="N189" s="504"/>
      <c r="O189" s="504"/>
      <c r="P189" s="504"/>
      <c r="Q189" s="504"/>
      <c r="R189" s="504"/>
      <c r="S189" s="504"/>
      <c r="T189" s="381" t="b" cm="1">
        <f t="array" aca="1" ref="T189" ca="1">T188</f>
        <v>1</v>
      </c>
      <c r="U189" s="1203"/>
      <c r="V189" s="1203"/>
      <c r="W189" s="1203"/>
      <c r="X189" s="1841"/>
      <c r="Y189" s="1203"/>
      <c r="Z189" s="1842"/>
      <c r="AA189" s="1203"/>
      <c r="AB189" s="721" t="s">
        <v>1717</v>
      </c>
      <c r="AC189" s="1012" t="s">
        <v>1718</v>
      </c>
      <c r="AD189" s="728" t="s">
        <v>1454</v>
      </c>
      <c r="AE189" s="723">
        <f ca="1">IF(AE183=0,0,AE180/AE183)</f>
        <v>491.2419576375334</v>
      </c>
      <c r="AF189" s="723">
        <f ca="1">IF(AF183=0,0,AF180/AF183)</f>
        <v>7156.0909090909099</v>
      </c>
      <c r="AG189" s="723">
        <f ca="1">IF(AG183=0,0,AG180/AG183)</f>
        <v>7156.0909090909099</v>
      </c>
      <c r="AH189" s="716">
        <f ca="1">AG189-AF189</f>
        <v>0</v>
      </c>
      <c r="AI189" s="723">
        <f ca="1">IF(AI183=0,0,AI180/AI183)</f>
        <v>546.28710140130192</v>
      </c>
      <c r="AJ189" s="723">
        <v>586.24</v>
      </c>
      <c r="AK189" s="723">
        <f ca="1">IF(AK183=0,0,AK180/AK183)</f>
        <v>586.23675117443804</v>
      </c>
      <c r="AL189" s="731"/>
      <c r="AM189" s="1450" t="s">
        <v>1757</v>
      </c>
      <c r="AN189" s="717"/>
      <c r="AO189" s="717"/>
      <c r="AP189" s="1203"/>
      <c r="AQ189" s="1203"/>
      <c r="AR189" s="964" t="s">
        <v>1719</v>
      </c>
      <c r="AS189" s="964"/>
      <c r="AT189" s="964"/>
      <c r="AU189" s="961"/>
      <c r="AV189" s="961"/>
    </row>
    <row r="190" spans="1:48" s="1470" customFormat="1" ht="14.25" customHeight="1">
      <c r="A190" s="505"/>
      <c r="B190" s="505"/>
      <c r="C190" s="505"/>
      <c r="D190" s="505"/>
      <c r="E190" s="614">
        <v>15</v>
      </c>
      <c r="F190" s="3" t="str" cm="1">
        <f t="array" aca="1" ref="F190" ca="1">OFFSET(E190,-1,1)</f>
        <v>1</v>
      </c>
      <c r="G190" s="617"/>
      <c r="H190" s="505"/>
      <c r="I190" s="615" t="s">
        <v>1720</v>
      </c>
      <c r="J190" s="615"/>
      <c r="K190" s="615"/>
      <c r="L190" s="615"/>
      <c r="M190" s="615"/>
      <c r="N190" s="615"/>
      <c r="O190" s="615"/>
      <c r="P190" s="615"/>
      <c r="Q190" s="615"/>
      <c r="R190" s="615"/>
      <c r="S190" s="615"/>
      <c r="T190" s="381" t="b" cm="1">
        <f t="array" aca="1" ref="T190" ca="1">T189</f>
        <v>1</v>
      </c>
      <c r="U190" s="505"/>
      <c r="V190" s="505"/>
      <c r="W190" s="505"/>
      <c r="X190" s="1841"/>
      <c r="Y190" s="505"/>
      <c r="Z190" s="1842"/>
      <c r="AA190" s="505"/>
      <c r="AB190" s="718" t="s">
        <v>1721</v>
      </c>
      <c r="AC190" s="130" t="s">
        <v>1722</v>
      </c>
      <c r="AD190" s="726" t="s">
        <v>766</v>
      </c>
      <c r="AE190" s="1134">
        <f ca="1">IF(AE183=0,0,AE180/AE183*AE191)</f>
        <v>1359.07</v>
      </c>
      <c r="AF190" s="1134">
        <f ca="1">IF(AF183=0,0,AF180/AF183*AF191)</f>
        <v>787.17000000000007</v>
      </c>
      <c r="AG190" s="1134">
        <f ca="1">IF(AG183=0,0,AG180/AG183*AG191)</f>
        <v>787.17000000000007</v>
      </c>
      <c r="AH190" s="702">
        <f ca="1">AH192*AH193+AH194*AH195</f>
        <v>0</v>
      </c>
      <c r="AI190" s="1134">
        <f ca="1">IF(AI183=0,0,AI180/AI183*AI191)</f>
        <v>1435.79</v>
      </c>
      <c r="AJ190" s="1134">
        <f ca="1">IF(AJ183=0,0,AJ180/AJ183*AJ191)</f>
        <v>1509.94</v>
      </c>
      <c r="AK190" s="1134">
        <f ca="1">IF(AK183=0,0,AK180/AK183*AK191)</f>
        <v>1509.97</v>
      </c>
      <c r="AL190" s="715">
        <f ca="1">IF(AI190=0,0,(AK190-AI190)/AI190*100)</f>
        <v>5.1664937072970325</v>
      </c>
      <c r="AM190" s="720"/>
      <c r="AN190" s="720"/>
      <c r="AO190" s="720"/>
      <c r="AP190" s="505"/>
      <c r="AQ190" s="505"/>
      <c r="AR190" s="965" t="s">
        <v>1723</v>
      </c>
      <c r="AS190" s="965"/>
      <c r="AT190" s="965"/>
      <c r="AU190" s="614"/>
      <c r="AV190" s="614"/>
    </row>
    <row r="191" spans="1:48" s="1471" customFormat="1" ht="14.25" customHeight="1">
      <c r="A191" s="505"/>
      <c r="B191" s="505"/>
      <c r="C191" s="505"/>
      <c r="D191" s="505"/>
      <c r="E191" s="614">
        <v>15</v>
      </c>
      <c r="F191" s="3" t="str" cm="1">
        <f t="array" aca="1" ref="F191" ca="1">OFFSET(E191,-1,1)</f>
        <v>1</v>
      </c>
      <c r="G191" s="495" t="s">
        <v>1476</v>
      </c>
      <c r="H191" s="505"/>
      <c r="I191" s="615" t="s">
        <v>1724</v>
      </c>
      <c r="J191" s="615"/>
      <c r="K191" s="615"/>
      <c r="L191" s="615"/>
      <c r="M191" s="615"/>
      <c r="N191" s="615"/>
      <c r="O191" s="615"/>
      <c r="P191" s="615"/>
      <c r="Q191" s="615"/>
      <c r="R191" s="615"/>
      <c r="S191" s="615"/>
      <c r="T191" s="381" t="b" cm="1">
        <f t="array" aca="1" ref="T191" ca="1">T190</f>
        <v>1</v>
      </c>
      <c r="U191" s="505"/>
      <c r="V191" s="505"/>
      <c r="W191" s="505"/>
      <c r="X191" s="1841"/>
      <c r="Y191" s="505"/>
      <c r="Z191" s="1842"/>
      <c r="AA191" s="505"/>
      <c r="AB191" s="718" t="s">
        <v>1725</v>
      </c>
      <c r="AC191" s="130" t="s">
        <v>1726</v>
      </c>
      <c r="AD191" s="726" t="s">
        <v>499</v>
      </c>
      <c r="AE191" s="736">
        <f ca="1">SUMIFS(Баланс!AE$26:AE$209,Баланс!$F$26:$F$209,$F191,Баланс!$G$26:$G$209,"население")</f>
        <v>2.7665999999999999</v>
      </c>
      <c r="AF191" s="736">
        <f ca="1">SUMIFS(Баланс!AF$26:AF$209,Баланс!$F$26:$F$209,$F191,Баланс!$G$26:$G$209,"население")</f>
        <v>0.11</v>
      </c>
      <c r="AG191" s="736">
        <f ca="1">SUMIFS(Баланс!AG$26:AG$209,Баланс!$F$26:$F$209,$F191,Баланс!$G$26:$G$209,"население")</f>
        <v>0.11</v>
      </c>
      <c r="AH191" s="736">
        <f t="shared" ref="AH191:AH198" ca="1" si="12">AG191-AF191</f>
        <v>0</v>
      </c>
      <c r="AI191" s="736">
        <f ca="1">SUMIFS(Баланс!AH$26:AH$209,Баланс!$F$26:$F$209,$F191,Баланс!$G$26:$G$209,"население")</f>
        <v>2.6282700000000001</v>
      </c>
      <c r="AJ191" s="736">
        <f ca="1">SUMIFS(Баланс!AI$26:AI$209,Баланс!$F$26:$F$209,$F191,Баланс!$G$26:$G$209,"население")</f>
        <v>2.5756999999999999</v>
      </c>
      <c r="AK191" s="736">
        <f ca="1">SUMIFS(Баланс!AS$26:AS$209,Баланс!$F$26:$F$209,$F191,Баланс!$G$26:$G$209,"население")</f>
        <v>2.5756999999999999</v>
      </c>
      <c r="AL191" s="737"/>
      <c r="AM191" s="720"/>
      <c r="AN191" s="720"/>
      <c r="AO191" s="720"/>
      <c r="AP191" s="505"/>
      <c r="AQ191" s="505"/>
      <c r="AR191" s="965" t="s">
        <v>1727</v>
      </c>
      <c r="AS191" s="965"/>
      <c r="AT191" s="965"/>
      <c r="AU191" s="614"/>
      <c r="AV191" s="614"/>
    </row>
    <row r="192" spans="1:48" s="1327" customFormat="1" ht="14.25" customHeight="1">
      <c r="A192" s="1203"/>
      <c r="B192" s="1203"/>
      <c r="C192" s="1203"/>
      <c r="D192" s="1203"/>
      <c r="E192" s="612">
        <v>15</v>
      </c>
      <c r="F192" s="3" t="str" cm="1">
        <f t="array" aca="1" ref="F192" ca="1">OFFSET(E192,-1,1)</f>
        <v>1</v>
      </c>
      <c r="G192" s="495" t="s">
        <v>1510</v>
      </c>
      <c r="H192" s="1203"/>
      <c r="I192" s="504" t="s">
        <v>1728</v>
      </c>
      <c r="J192" s="504"/>
      <c r="K192" s="504"/>
      <c r="L192" s="504"/>
      <c r="M192" s="504"/>
      <c r="N192" s="504"/>
      <c r="O192" s="504"/>
      <c r="P192" s="504"/>
      <c r="Q192" s="504"/>
      <c r="R192" s="504"/>
      <c r="S192" s="504"/>
      <c r="T192" s="381" t="b" cm="1">
        <f t="array" aca="1" ref="T192" ca="1">T191</f>
        <v>1</v>
      </c>
      <c r="U192" s="1203"/>
      <c r="V192" s="1203"/>
      <c r="W192" s="1203"/>
      <c r="X192" s="1841"/>
      <c r="Y192" s="1203"/>
      <c r="Z192" s="1842"/>
      <c r="AA192" s="1203"/>
      <c r="AB192" s="721" t="s">
        <v>1729</v>
      </c>
      <c r="AC192" s="1012" t="s">
        <v>1730</v>
      </c>
      <c r="AD192" s="728" t="s">
        <v>499</v>
      </c>
      <c r="AE192" s="738">
        <f ca="1">AE191/2</f>
        <v>1.3833</v>
      </c>
      <c r="AF192" s="738">
        <f ca="1">AF191/2</f>
        <v>5.5E-2</v>
      </c>
      <c r="AG192" s="738">
        <f ca="1">AG191/2</f>
        <v>5.5E-2</v>
      </c>
      <c r="AH192" s="739">
        <f t="shared" ca="1" si="12"/>
        <v>0</v>
      </c>
      <c r="AI192" s="738">
        <f ca="1">AI191/2</f>
        <v>1.3141350000000001</v>
      </c>
      <c r="AJ192" s="738">
        <f ca="1">IF(god=2026,AJ191/12*9,AJ191/2)</f>
        <v>1.9317749999999998</v>
      </c>
      <c r="AK192" s="738">
        <f ca="1">IF(god=2026,AK191/12*9,AK191/2)</f>
        <v>1.9317749999999998</v>
      </c>
      <c r="AL192" s="731"/>
      <c r="AM192" s="717"/>
      <c r="AN192" s="717"/>
      <c r="AO192" s="717"/>
      <c r="AP192" s="1203"/>
      <c r="AQ192" s="1203"/>
      <c r="AR192" s="964" t="s">
        <v>1731</v>
      </c>
      <c r="AS192" s="964"/>
      <c r="AT192" s="964"/>
      <c r="AU192" s="961"/>
      <c r="AV192" s="961"/>
    </row>
    <row r="193" spans="1:48" s="1327" customFormat="1" ht="14.25" customHeight="1">
      <c r="A193" s="1203"/>
      <c r="B193" s="1203"/>
      <c r="C193" s="1203"/>
      <c r="D193" s="1203"/>
      <c r="E193" s="612">
        <v>15</v>
      </c>
      <c r="F193" s="3" t="str" cm="1">
        <f t="array" aca="1" ref="F193" ca="1">OFFSET(E193,-1,1)</f>
        <v>1</v>
      </c>
      <c r="G193" s="495" t="s">
        <v>1466</v>
      </c>
      <c r="H193" s="1203"/>
      <c r="I193" s="504" t="s">
        <v>1732</v>
      </c>
      <c r="J193" s="504"/>
      <c r="K193" s="504"/>
      <c r="L193" s="504"/>
      <c r="M193" s="504"/>
      <c r="N193" s="504"/>
      <c r="O193" s="504"/>
      <c r="P193" s="504"/>
      <c r="Q193" s="504"/>
      <c r="R193" s="504"/>
      <c r="S193" s="504"/>
      <c r="T193" s="381" t="b" cm="1">
        <f t="array" aca="1" ref="T193" ca="1">T192</f>
        <v>1</v>
      </c>
      <c r="U193" s="1203"/>
      <c r="V193" s="1203"/>
      <c r="W193" s="1203"/>
      <c r="X193" s="1841"/>
      <c r="Y193" s="1203"/>
      <c r="Z193" s="1842"/>
      <c r="AA193" s="1203"/>
      <c r="AB193" s="721" t="s">
        <v>1733</v>
      </c>
      <c r="AC193" s="1012" t="s">
        <v>1734</v>
      </c>
      <c r="AD193" s="728" t="s">
        <v>1454</v>
      </c>
      <c r="AE193" s="1258">
        <f ca="1">IF(AE191=0,0,AE185*(1+Сценарии!AE$26))</f>
        <v>551.20799999999997</v>
      </c>
      <c r="AF193" s="1258">
        <f ca="1">IF(AF191=0,0,AF185*(1+Сценарии!AF$26))</f>
        <v>8587.3079999999991</v>
      </c>
      <c r="AG193" s="1258">
        <f ca="1">IF(AG191=0,0,AG185*(1+Сценарии!AG$26))</f>
        <v>551.20799999999997</v>
      </c>
      <c r="AH193" s="716">
        <f t="shared" ca="1" si="12"/>
        <v>-8036.0999999999995</v>
      </c>
      <c r="AI193" s="1258">
        <f ca="1">IF(AI191=0,0,AI185*(1+Сценарии!AI$26))</f>
        <v>627.76799999999992</v>
      </c>
      <c r="AJ193" s="1258">
        <f ca="1">IF(AJ191=0,0,AJ185*(1+Сценарии!AJ$26))</f>
        <v>715.21280000000002</v>
      </c>
      <c r="AK193" s="1258">
        <f ca="1">IF(AK191=0,0,AK185*(1+Сценарии!AK$26))</f>
        <v>694.71680000000003</v>
      </c>
      <c r="AL193" s="731"/>
      <c r="AM193" s="717"/>
      <c r="AN193" s="717"/>
      <c r="AO193" s="717"/>
      <c r="AP193" s="1203"/>
      <c r="AQ193" s="1203"/>
      <c r="AR193" s="964" t="s">
        <v>1735</v>
      </c>
      <c r="AS193" s="964"/>
      <c r="AT193" s="964"/>
      <c r="AU193" s="961"/>
      <c r="AV193" s="961"/>
    </row>
    <row r="194" spans="1:48" s="1327" customFormat="1" ht="14.25" customHeight="1">
      <c r="A194" s="1203"/>
      <c r="B194" s="1203"/>
      <c r="C194" s="1203"/>
      <c r="D194" s="1203"/>
      <c r="E194" s="612">
        <v>15</v>
      </c>
      <c r="F194" s="3" t="str" cm="1">
        <f t="array" aca="1" ref="F194" ca="1">OFFSET(E194,-1,1)</f>
        <v>1</v>
      </c>
      <c r="G194" s="495" t="s">
        <v>1517</v>
      </c>
      <c r="H194" s="1203"/>
      <c r="I194" s="504" t="s">
        <v>1736</v>
      </c>
      <c r="J194" s="504"/>
      <c r="K194" s="504"/>
      <c r="L194" s="504"/>
      <c r="M194" s="504"/>
      <c r="N194" s="504"/>
      <c r="O194" s="504"/>
      <c r="P194" s="504"/>
      <c r="Q194" s="504"/>
      <c r="R194" s="504"/>
      <c r="S194" s="504"/>
      <c r="T194" s="381" t="b" cm="1">
        <f t="array" aca="1" ref="T194" ca="1">T193</f>
        <v>1</v>
      </c>
      <c r="U194" s="1203"/>
      <c r="V194" s="1203"/>
      <c r="W194" s="1203"/>
      <c r="X194" s="1841"/>
      <c r="Y194" s="1203"/>
      <c r="Z194" s="1842"/>
      <c r="AA194" s="1203"/>
      <c r="AB194" s="721" t="s">
        <v>1737</v>
      </c>
      <c r="AC194" s="1012" t="s">
        <v>1706</v>
      </c>
      <c r="AD194" s="728" t="s">
        <v>499</v>
      </c>
      <c r="AE194" s="739">
        <f ca="1">AE191-AE192</f>
        <v>1.3833</v>
      </c>
      <c r="AF194" s="739">
        <f ca="1">AF191-AF192</f>
        <v>5.5E-2</v>
      </c>
      <c r="AG194" s="739">
        <f ca="1">AG191-AG192</f>
        <v>5.5E-2</v>
      </c>
      <c r="AH194" s="739">
        <f t="shared" ca="1" si="12"/>
        <v>0</v>
      </c>
      <c r="AI194" s="739">
        <f ca="1">AI191-AI192</f>
        <v>1.3141350000000001</v>
      </c>
      <c r="AJ194" s="739">
        <f ca="1">AJ191-AJ192</f>
        <v>0.64392500000000008</v>
      </c>
      <c r="AK194" s="739">
        <f ca="1">AK191-AK192</f>
        <v>0.64392500000000008</v>
      </c>
      <c r="AL194" s="731"/>
      <c r="AM194" s="717"/>
      <c r="AN194" s="717"/>
      <c r="AO194" s="717"/>
      <c r="AP194" s="1203"/>
      <c r="AQ194" s="1203"/>
      <c r="AR194" s="964" t="s">
        <v>1738</v>
      </c>
      <c r="AS194" s="964"/>
      <c r="AT194" s="964"/>
      <c r="AU194" s="961"/>
      <c r="AV194" s="961"/>
    </row>
    <row r="195" spans="1:48" s="1327" customFormat="1" ht="14.25" customHeight="1">
      <c r="A195" s="1203"/>
      <c r="B195" s="1203"/>
      <c r="C195" s="1203"/>
      <c r="D195" s="1203"/>
      <c r="E195" s="612">
        <v>15</v>
      </c>
      <c r="F195" s="3" t="str" cm="1">
        <f t="array" aca="1" ref="F195" ca="1">OFFSET(E195,-1,1)</f>
        <v>1</v>
      </c>
      <c r="G195" s="495" t="s">
        <v>1470</v>
      </c>
      <c r="H195" s="1203"/>
      <c r="I195" s="504" t="s">
        <v>1739</v>
      </c>
      <c r="J195" s="504"/>
      <c r="K195" s="504"/>
      <c r="L195" s="504"/>
      <c r="M195" s="504"/>
      <c r="N195" s="504"/>
      <c r="O195" s="504"/>
      <c r="P195" s="504"/>
      <c r="Q195" s="504"/>
      <c r="R195" s="504"/>
      <c r="S195" s="504"/>
      <c r="T195" s="381" t="b" cm="1">
        <f t="array" aca="1" ref="T195" ca="1">T194</f>
        <v>1</v>
      </c>
      <c r="U195" s="1203"/>
      <c r="V195" s="1203"/>
      <c r="W195" s="1203"/>
      <c r="X195" s="1841"/>
      <c r="Y195" s="1203"/>
      <c r="Z195" s="1842"/>
      <c r="AA195" s="1203"/>
      <c r="AB195" s="721" t="s">
        <v>1740</v>
      </c>
      <c r="AC195" s="1012" t="s">
        <v>1741</v>
      </c>
      <c r="AD195" s="728" t="s">
        <v>1454</v>
      </c>
      <c r="AE195" s="723">
        <f ca="1">IF(AE191=0,0,AE187*(1+Сценарии!AE$26))</f>
        <v>627.91199999999992</v>
      </c>
      <c r="AF195" s="723">
        <f ca="1">IF(AF191=0,0,AF187*(1+Сценарии!AF$26))</f>
        <v>8587.3079999999991</v>
      </c>
      <c r="AG195" s="723">
        <f ca="1">IF(AG191=0,0,AG187*(1+Сценарии!AG$26))</f>
        <v>627.91199999999992</v>
      </c>
      <c r="AH195" s="716">
        <f t="shared" ca="1" si="12"/>
        <v>-7959.3959999999988</v>
      </c>
      <c r="AI195" s="723">
        <f ca="1">IF(AI191=0,0,AI187*(1+Сценарии!AI$26))</f>
        <v>683.32800000000009</v>
      </c>
      <c r="AJ195" s="723">
        <f ca="1">IF(AJ191=0,0,AJ187*(1+Сценарии!AJ$26))</f>
        <v>715.21280000000002</v>
      </c>
      <c r="AK195" s="723">
        <f ca="1">IF(AK191=0,0,AK187*(1+Сценарии!AK$26))</f>
        <v>776.67639999999994</v>
      </c>
      <c r="AL195" s="731"/>
      <c r="AM195" s="717"/>
      <c r="AN195" s="717"/>
      <c r="AO195" s="717"/>
      <c r="AP195" s="1203"/>
      <c r="AQ195" s="1203"/>
      <c r="AR195" s="964" t="s">
        <v>1742</v>
      </c>
      <c r="AS195" s="964"/>
      <c r="AT195" s="964"/>
      <c r="AU195" s="961"/>
      <c r="AV195" s="961"/>
    </row>
    <row r="196" spans="1:48" s="1327" customFormat="1" ht="14.25" customHeight="1">
      <c r="A196" s="1203"/>
      <c r="B196" s="1203"/>
      <c r="C196" s="1203"/>
      <c r="D196" s="1203"/>
      <c r="E196" s="612">
        <v>15</v>
      </c>
      <c r="F196" s="3" t="str" cm="1">
        <f t="array" aca="1" ref="F196" ca="1">OFFSET(E196,-1,1)</f>
        <v>1</v>
      </c>
      <c r="G196" s="495"/>
      <c r="H196" s="1203"/>
      <c r="I196" s="504"/>
      <c r="J196" s="504"/>
      <c r="K196" s="504"/>
      <c r="L196" s="504"/>
      <c r="M196" s="504"/>
      <c r="N196" s="504"/>
      <c r="O196" s="504"/>
      <c r="P196" s="504"/>
      <c r="Q196" s="504"/>
      <c r="R196" s="504"/>
      <c r="S196" s="504"/>
      <c r="T196" s="381" t="b" cm="1">
        <f t="array" aca="1" ref="T196" ca="1">T195</f>
        <v>1</v>
      </c>
      <c r="U196" s="1203"/>
      <c r="V196" s="1203"/>
      <c r="W196" s="1203"/>
      <c r="X196" s="1841"/>
      <c r="Y196" s="1203"/>
      <c r="Z196" s="1842"/>
      <c r="AA196" s="1203"/>
      <c r="AB196" s="136" t="s">
        <v>1743</v>
      </c>
      <c r="AC196" s="130" t="s">
        <v>1744</v>
      </c>
      <c r="AD196" s="129" t="s">
        <v>766</v>
      </c>
      <c r="AE196" s="723"/>
      <c r="AF196" s="723"/>
      <c r="AG196" s="723"/>
      <c r="AH196" s="716">
        <f t="shared" si="12"/>
        <v>0</v>
      </c>
      <c r="AI196" s="723"/>
      <c r="AJ196" s="723"/>
      <c r="AK196" s="723"/>
      <c r="AL196" s="731"/>
      <c r="AM196" s="717"/>
      <c r="AN196" s="717"/>
      <c r="AO196" s="717"/>
      <c r="AP196" s="1203"/>
      <c r="AQ196" s="1203"/>
      <c r="AR196" s="964" t="s">
        <v>1745</v>
      </c>
      <c r="AS196" s="964"/>
      <c r="AT196" s="964"/>
      <c r="AU196" s="961"/>
      <c r="AV196" s="961"/>
    </row>
    <row r="197" spans="1:48" s="1327" customFormat="1" ht="21.75" customHeight="1">
      <c r="A197" s="1203"/>
      <c r="B197" s="1203"/>
      <c r="C197" s="1203"/>
      <c r="D197" s="1203"/>
      <c r="E197" s="612">
        <v>22.5</v>
      </c>
      <c r="F197" s="3" t="str" cm="1">
        <f t="array" aca="1" ref="F197" ca="1">OFFSET(E197,-1,1)</f>
        <v>1</v>
      </c>
      <c r="G197" s="495"/>
      <c r="H197" s="1203"/>
      <c r="I197" s="504"/>
      <c r="J197" s="504"/>
      <c r="K197" s="504"/>
      <c r="L197" s="504"/>
      <c r="M197" s="504"/>
      <c r="N197" s="504"/>
      <c r="O197" s="504"/>
      <c r="P197" s="504"/>
      <c r="Q197" s="504"/>
      <c r="R197" s="504"/>
      <c r="S197" s="504"/>
      <c r="T197" s="381" t="b" cm="1">
        <f t="array" aca="1" ref="T197" ca="1">T196</f>
        <v>1</v>
      </c>
      <c r="U197" s="1203"/>
      <c r="V197" s="1203"/>
      <c r="W197" s="1203"/>
      <c r="X197" s="1841"/>
      <c r="Y197" s="1203"/>
      <c r="Z197" s="1842"/>
      <c r="AA197" s="1203"/>
      <c r="AB197" s="215" t="s">
        <v>1746</v>
      </c>
      <c r="AC197" s="676" t="s">
        <v>1747</v>
      </c>
      <c r="AD197" s="216" t="s">
        <v>766</v>
      </c>
      <c r="AE197" s="723"/>
      <c r="AF197" s="723"/>
      <c r="AG197" s="723"/>
      <c r="AH197" s="716">
        <f t="shared" si="12"/>
        <v>0</v>
      </c>
      <c r="AI197" s="723"/>
      <c r="AJ197" s="723"/>
      <c r="AK197" s="723"/>
      <c r="AL197" s="731"/>
      <c r="AM197" s="717"/>
      <c r="AN197" s="717"/>
      <c r="AO197" s="717"/>
      <c r="AP197" s="1203"/>
      <c r="AQ197" s="1203"/>
      <c r="AR197" s="964" t="s">
        <v>1748</v>
      </c>
      <c r="AS197" s="964"/>
      <c r="AT197" s="964"/>
      <c r="AU197" s="961"/>
      <c r="AV197" s="961"/>
    </row>
    <row r="198" spans="1:48" s="1327" customFormat="1" ht="69.75" customHeight="1">
      <c r="A198" s="1203"/>
      <c r="B198" s="1203"/>
      <c r="C198" s="1203"/>
      <c r="D198" s="1203"/>
      <c r="E198" s="612">
        <v>72</v>
      </c>
      <c r="F198" s="3" t="str" cm="1">
        <f t="array" aca="1" ref="F198" ca="1">OFFSET(E198,-1,1)</f>
        <v>1</v>
      </c>
      <c r="G198" s="495"/>
      <c r="H198" s="1203"/>
      <c r="I198" s="504"/>
      <c r="J198" s="504"/>
      <c r="K198" s="504"/>
      <c r="L198" s="504"/>
      <c r="M198" s="504"/>
      <c r="N198" s="504"/>
      <c r="O198" s="504"/>
      <c r="P198" s="504"/>
      <c r="Q198" s="504"/>
      <c r="R198" s="504"/>
      <c r="S198" s="504"/>
      <c r="T198" s="381" t="b" cm="1">
        <f t="array" aca="1" ref="T198" ca="1">T197</f>
        <v>1</v>
      </c>
      <c r="U198" s="1203"/>
      <c r="V198" s="1203"/>
      <c r="W198" s="1203"/>
      <c r="X198" s="1841"/>
      <c r="Y198" s="1203"/>
      <c r="Z198" s="1842"/>
      <c r="AA198" s="1203"/>
      <c r="AB198" s="215" t="s">
        <v>1749</v>
      </c>
      <c r="AC198" s="676" t="s">
        <v>1750</v>
      </c>
      <c r="AD198" s="216" t="s">
        <v>766</v>
      </c>
      <c r="AE198" s="723"/>
      <c r="AF198" s="723"/>
      <c r="AG198" s="723"/>
      <c r="AH198" s="716">
        <f t="shared" si="12"/>
        <v>0</v>
      </c>
      <c r="AI198" s="723"/>
      <c r="AJ198" s="723"/>
      <c r="AK198" s="723"/>
      <c r="AL198" s="731"/>
      <c r="AM198" s="717"/>
      <c r="AN198" s="717"/>
      <c r="AO198" s="717"/>
      <c r="AP198" s="1203"/>
      <c r="AQ198" s="1203"/>
      <c r="AR198" s="964" t="s">
        <v>1751</v>
      </c>
      <c r="AS198" s="964"/>
      <c r="AT198" s="964"/>
      <c r="AU198" s="961"/>
      <c r="AV198" s="961"/>
    </row>
    <row r="199" spans="1:48" ht="10.7" customHeight="1">
      <c r="E199" s="612">
        <v>11</v>
      </c>
      <c r="U199" s="611" t="s">
        <v>177</v>
      </c>
      <c r="V199" s="1135" t="s">
        <v>1758</v>
      </c>
      <c r="AB199" s="508"/>
      <c r="AC199" s="509"/>
      <c r="AD199" s="508"/>
      <c r="AE199" s="495"/>
      <c r="AF199" s="495"/>
      <c r="AG199" s="495"/>
      <c r="AH199" s="495"/>
      <c r="AI199" s="495"/>
      <c r="AJ199" s="495"/>
      <c r="AK199" s="495"/>
      <c r="AL199" s="495"/>
      <c r="AM199" s="495"/>
      <c r="AN199" s="495"/>
      <c r="AO199" s="495"/>
    </row>
    <row r="200" spans="1:48" ht="14.65" customHeight="1">
      <c r="E200" s="612">
        <v>15</v>
      </c>
      <c r="AB200" s="1758" t="s">
        <v>394</v>
      </c>
      <c r="AC200" s="1758"/>
      <c r="AD200" s="1758"/>
      <c r="AE200" s="1758"/>
      <c r="AF200" s="1758"/>
      <c r="AG200" s="1758"/>
      <c r="AH200" s="1758"/>
      <c r="AI200" s="1758"/>
      <c r="AJ200" s="1758"/>
      <c r="AK200" s="1758"/>
      <c r="AL200" s="1758"/>
      <c r="AM200" s="1758"/>
      <c r="AN200" s="1758"/>
      <c r="AO200" s="1758"/>
    </row>
    <row r="201" spans="1:48" ht="14.65" customHeight="1">
      <c r="E201" s="612">
        <v>15</v>
      </c>
      <c r="AA201" s="1136"/>
      <c r="AB201" s="1825"/>
      <c r="AC201" s="1828"/>
      <c r="AD201" s="1828"/>
      <c r="AE201" s="1828"/>
      <c r="AF201" s="1828"/>
      <c r="AG201" s="1828"/>
      <c r="AH201" s="1828"/>
      <c r="AI201" s="1828"/>
      <c r="AJ201" s="1828"/>
      <c r="AK201" s="1828"/>
      <c r="AL201" s="1828"/>
      <c r="AM201" s="1828"/>
      <c r="AN201" s="1828"/>
      <c r="AO201" s="1828"/>
    </row>
    <row r="202" spans="1:48" ht="14.65" hidden="1" customHeight="1">
      <c r="E202" s="612">
        <v>15</v>
      </c>
      <c r="T202" s="381" t="b">
        <f>ROW(W202)&gt;ROW(W$202)</f>
        <v>0</v>
      </c>
      <c r="W202" s="671" t="s">
        <v>173</v>
      </c>
      <c r="X202" s="41"/>
      <c r="Y202" s="41"/>
      <c r="Z202" s="41"/>
      <c r="AA202" s="579" t="s">
        <v>174</v>
      </c>
      <c r="AB202" s="1793"/>
      <c r="AC202" s="1794"/>
      <c r="AD202" s="1794"/>
      <c r="AE202" s="1795"/>
      <c r="AF202" s="1795"/>
      <c r="AG202" s="1795"/>
      <c r="AH202" s="1795"/>
      <c r="AI202" s="1795"/>
      <c r="AJ202" s="1794"/>
      <c r="AK202" s="1794"/>
      <c r="AL202" s="1794"/>
      <c r="AM202" s="1794"/>
      <c r="AN202" s="1794"/>
      <c r="AO202" s="1796"/>
    </row>
    <row r="203" spans="1:48" ht="14.65" customHeight="1">
      <c r="E203" s="612">
        <v>15</v>
      </c>
      <c r="W203" s="743" t="s">
        <v>395</v>
      </c>
      <c r="X203" s="41"/>
      <c r="Y203" s="41"/>
      <c r="Z203" s="41"/>
      <c r="AA203" s="41"/>
      <c r="AB203" s="582"/>
      <c r="AC203" s="583" t="s">
        <v>396</v>
      </c>
      <c r="AD203" s="510"/>
      <c r="AE203" s="510"/>
      <c r="AF203" s="510"/>
      <c r="AG203" s="510"/>
      <c r="AH203" s="510"/>
      <c r="AI203" s="510"/>
      <c r="AJ203" s="510"/>
      <c r="AK203" s="510"/>
      <c r="AL203" s="510"/>
      <c r="AM203" s="510"/>
      <c r="AN203" s="510"/>
      <c r="AO203" s="511"/>
    </row>
    <row r="204" spans="1:48" ht="10.7" customHeight="1">
      <c r="E204" s="612">
        <v>11</v>
      </c>
      <c r="AP204" s="611"/>
    </row>
  </sheetData>
  <sheetProtection formatColumns="0" formatRows="0" insertRows="0" deleteColumns="0" deleteRows="0" sort="0" autoFilter="0"/>
  <mergeCells count="14">
    <mergeCell ref="X27:X111"/>
    <mergeCell ref="Z27:Z111"/>
    <mergeCell ref="AB202:AO202"/>
    <mergeCell ref="AO24:AO25"/>
    <mergeCell ref="AB200:AO200"/>
    <mergeCell ref="AB201:AO201"/>
    <mergeCell ref="AB24:AB25"/>
    <mergeCell ref="AC24:AC25"/>
    <mergeCell ref="AD24:AD25"/>
    <mergeCell ref="AL24:AL25"/>
    <mergeCell ref="AM24:AM25"/>
    <mergeCell ref="AN24:AN25"/>
    <mergeCell ref="X112:X198"/>
    <mergeCell ref="Z112:Z198"/>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5 AG150 AG169:AG179 AG181:AG182 AG184:AG189 AG192:AG198 AF105:AF111 AF116:AF118 AF128:AF129 AF145 AF150 AF169:AF179 AF181:AF182 AF184:AF189 AF192:AF198 AE105:AE111 AE116:AE118 AE128:AE129 AE145 AE150 AE169:AE179 AE181:AE182 AE184:AE189 AE192:AE198 AE31:AG33 AE63:AG63 AI97:AK102 AE97:AG102 AI31:AK33 AE94:AG95 AI94:AK95 AK105:AK111 AK116:AK118 AK128:AK129 AK145 AK150 AK169:AK179 AK181:AK182 AK184:AK189 AK192:AK198 AJ105:AJ111 AJ116:AJ118 AJ128:AJ129 AJ145 AJ150 AJ169:AJ179 AJ181:AJ182 AJ184:AJ189 AJ192:AJ198 AI105:AI111 AI116:AI118 AI128:AI129 AI145 AI150 AI169:AI179 AI181:AI182 AI184:AI189 AI192:AI19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AM141 AN139:AN141 AO139:AO141">
      <formula1>900</formula1>
    </dataValidation>
  </dataValidations>
  <hyperlinks>
    <hyperlink ref="AM113" r:id="rId1" tooltip="https://portal.eias.ru/Portal/DownloadPage.aspx?type=12&amp;guid=d12df577-268e-4571-bc03-3027a897f4a5"/>
    <hyperlink ref="AM118" r:id="rId2" tooltip="https://portal.eias.ru/Portal/DownloadPage.aspx?type=12&amp;guid=d12df577-268e-4571-bc03-3027a897f4a5"/>
    <hyperlink ref="AM144" r:id="rId3" tooltip="https://portal.eias.ru/Portal/DownloadPage.aspx?type=12&amp;guid=d12df577-268e-4571-bc03-3027a897f4a5"/>
    <hyperlink ref="AM180" r:id="rId4" tooltip="https://portal.eias.ru/Portal/DownloadPage.aspx?type=12&amp;guid=d12df577-268e-4571-bc03-3027a897f4a5"/>
    <hyperlink ref="AM183" r:id="rId5" tooltip="https://portal.eias.ru/Portal/DownloadPage.aspx?type=12&amp;guid=615bfd94-c9a3-4e77-b09f-cf53783dfda8"/>
    <hyperlink ref="AM184" r:id="rId6" tooltip="https://portal.eias.ru/Portal/DownloadPage.aspx?type=12&amp;guid=6cd5b68a-881b-433a-acac-f087ad0976e7"/>
    <hyperlink ref="AM185" r:id="rId7" tooltip="https://portal.eias.ru/Portal/DownloadPage.aspx?type=12&amp;guid=d12df577-268e-4571-bc03-3027a897f4a5"/>
    <hyperlink ref="AM187" r:id="rId8" tooltip="https://portal.eias.ru/Portal/DownloadPage.aspx?type=12&amp;guid=d12df577-268e-4571-bc03-3027a897f4a5"/>
    <hyperlink ref="AM189" r:id="rId9" tooltip="https://portal.eias.ru/Portal/DownloadPage.aspx?type=12&amp;guid=39f65d29-f23e-44d7-a836-eecbdb9d54f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32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9.5703125" style="1177" hidden="1" customWidth="1"/>
    <col min="2" max="2" width="8.5703125" style="880" hidden="1" customWidth="1"/>
    <col min="3" max="4" width="3.5703125" style="1177" hidden="1" customWidth="1"/>
    <col min="5" max="5" width="3.5703125" style="881" hidden="1" customWidth="1"/>
    <col min="6" max="6" width="3.5703125" style="1177" hidden="1" customWidth="1"/>
    <col min="7" max="7" width="5.42578125" style="1177" hidden="1" customWidth="1"/>
    <col min="8" max="8" width="15.42578125" style="1177" hidden="1" customWidth="1"/>
    <col min="9" max="10" width="3.5703125" style="1177" hidden="1" customWidth="1"/>
    <col min="11" max="11" width="7.28515625" style="1177" hidden="1" customWidth="1"/>
    <col min="12" max="12" width="6.5703125" style="1177" hidden="1" customWidth="1"/>
    <col min="13" max="18" width="3.5703125" style="1177" hidden="1" customWidth="1"/>
    <col min="19" max="19" width="6.7109375" style="1177" hidden="1" customWidth="1"/>
    <col min="20" max="20" width="10.42578125" style="1177" hidden="1" customWidth="1"/>
    <col min="21" max="21" width="5.85546875" style="1177" hidden="1" customWidth="1"/>
    <col min="22" max="23" width="6.140625" style="1177" hidden="1" customWidth="1"/>
    <col min="24" max="24" width="5.7109375" style="1177" hidden="1" customWidth="1"/>
    <col min="25" max="25" width="5.5703125" style="1177" hidden="1" customWidth="1"/>
    <col min="26" max="26" width="5.28515625" style="1177" hidden="1" customWidth="1"/>
    <col min="27" max="27" width="3" style="1177" customWidth="1"/>
    <col min="28" max="28" width="11" style="508" customWidth="1"/>
    <col min="29" max="29" width="75" style="883" customWidth="1"/>
    <col min="30" max="30" width="12" style="508" customWidth="1"/>
    <col min="31" max="33" width="12.5703125" style="1177" customWidth="1"/>
    <col min="34" max="34" width="21" style="1177" customWidth="1"/>
    <col min="35" max="36" width="12.5703125" style="1177" customWidth="1"/>
    <col min="37" max="45" width="12.5703125" style="1177" hidden="1" customWidth="1"/>
    <col min="46" max="46" width="12.5703125" style="1177" customWidth="1"/>
    <col min="47" max="55" width="12.5703125" style="1177" hidden="1" customWidth="1"/>
    <col min="56" max="56" width="12.5703125" style="1177" customWidth="1"/>
    <col min="57" max="65" width="12.5703125" style="1177" hidden="1" customWidth="1"/>
    <col min="66" max="67" width="20" style="1177" customWidth="1"/>
    <col min="68" max="68" width="42" style="1177" customWidth="1"/>
    <col min="69" max="69" width="3" style="1177" customWidth="1"/>
    <col min="70" max="70" width="9.140625" style="1177" hidden="1"/>
    <col min="71" max="73" width="9.140625" style="966" hidden="1"/>
    <col min="74" max="75" width="9.140625" style="881" hidden="1"/>
  </cols>
  <sheetData>
    <row r="1" spans="1:75" ht="11.25" hidden="1" customHeight="1">
      <c r="E1" s="77"/>
      <c r="F1" s="77" t="s">
        <v>311</v>
      </c>
      <c r="I1" s="77" t="s">
        <v>1759</v>
      </c>
      <c r="J1" s="77" t="s">
        <v>347</v>
      </c>
      <c r="K1" s="77" t="s">
        <v>1760</v>
      </c>
      <c r="L1" s="879" t="s">
        <v>1761</v>
      </c>
      <c r="M1" s="77" t="s">
        <v>1762</v>
      </c>
      <c r="R1" s="4"/>
      <c r="T1" s="381" t="s">
        <v>92</v>
      </c>
      <c r="U1" s="381" t="s">
        <v>97</v>
      </c>
      <c r="V1" s="381" t="s">
        <v>93</v>
      </c>
      <c r="W1" s="381" t="s">
        <v>94</v>
      </c>
      <c r="X1" s="381" t="s">
        <v>95</v>
      </c>
      <c r="Y1" s="383" t="s">
        <v>313</v>
      </c>
      <c r="Z1" s="381" t="s">
        <v>99</v>
      </c>
      <c r="AA1" s="382" t="s">
        <v>96</v>
      </c>
      <c r="AB1" s="332"/>
      <c r="AC1" s="382" t="s">
        <v>98</v>
      </c>
      <c r="AJ1" s="4"/>
      <c r="BS1" s="966" t="s">
        <v>314</v>
      </c>
      <c r="BT1" s="966" t="s">
        <v>315</v>
      </c>
      <c r="BU1" s="966" t="s">
        <v>316</v>
      </c>
      <c r="BV1" s="620" t="s">
        <v>319</v>
      </c>
      <c r="BW1" s="620" t="s">
        <v>320</v>
      </c>
    </row>
    <row r="2" spans="1:75" s="880" customFormat="1" ht="11.25" hidden="1" customHeight="1">
      <c r="B2" s="362" t="s">
        <v>18</v>
      </c>
      <c r="AC2" s="350"/>
      <c r="AJ2" s="363" t="b">
        <f t="shared" ref="AJ2:BM2" si="0">AJ6&lt;=last_year_vis</f>
        <v>1</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0</v>
      </c>
      <c r="AT2" s="363" t="b">
        <f t="shared" si="0"/>
        <v>1</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C2" s="363" t="b">
        <f t="shared" si="0"/>
        <v>0</v>
      </c>
      <c r="BD2" s="363" t="b">
        <f t="shared" si="0"/>
        <v>1</v>
      </c>
      <c r="BE2" s="363" t="b">
        <f t="shared" si="0"/>
        <v>0</v>
      </c>
      <c r="BF2" s="363" t="b">
        <f t="shared" si="0"/>
        <v>0</v>
      </c>
      <c r="BG2" s="363" t="b">
        <f t="shared" si="0"/>
        <v>0</v>
      </c>
      <c r="BH2" s="363" t="b">
        <f t="shared" si="0"/>
        <v>0</v>
      </c>
      <c r="BI2" s="363" t="b">
        <f t="shared" si="0"/>
        <v>0</v>
      </c>
      <c r="BJ2" s="363" t="b">
        <f t="shared" si="0"/>
        <v>0</v>
      </c>
      <c r="BK2" s="363" t="b">
        <f t="shared" si="0"/>
        <v>0</v>
      </c>
      <c r="BL2" s="363" t="b">
        <f t="shared" si="0"/>
        <v>0</v>
      </c>
      <c r="BM2" s="363" t="b">
        <f t="shared" si="0"/>
        <v>0</v>
      </c>
      <c r="BS2" s="967"/>
      <c r="BT2" s="967"/>
      <c r="BU2" s="967"/>
      <c r="BV2" s="539"/>
      <c r="BW2" s="539"/>
    </row>
    <row r="3" spans="1:75" ht="11.25" hidden="1" customHeight="1">
      <c r="E3" s="77"/>
    </row>
    <row r="4" spans="1:75" ht="11.25" hidden="1" customHeight="1">
      <c r="E4" s="77"/>
    </row>
    <row r="5" spans="1:75" s="881" customFormat="1" ht="11.25" hidden="1" customHeight="1">
      <c r="A5" s="77"/>
      <c r="B5" s="349"/>
      <c r="C5" s="77"/>
      <c r="D5" s="77"/>
      <c r="E5" s="620" t="s">
        <v>19</v>
      </c>
      <c r="AA5" s="620">
        <v>3</v>
      </c>
      <c r="AB5" s="625">
        <v>11</v>
      </c>
      <c r="AC5" s="621">
        <v>75</v>
      </c>
      <c r="AD5" s="625">
        <v>12</v>
      </c>
      <c r="AE5" s="620">
        <v>12.57</v>
      </c>
      <c r="AF5" s="620">
        <v>12.57</v>
      </c>
      <c r="AG5" s="620">
        <v>12.57</v>
      </c>
      <c r="AH5" s="620">
        <v>21</v>
      </c>
      <c r="AI5" s="620">
        <v>12.57</v>
      </c>
      <c r="AJ5" s="620">
        <v>12.57</v>
      </c>
      <c r="AK5" s="620">
        <v>12.57</v>
      </c>
      <c r="AL5" s="620">
        <v>12.57</v>
      </c>
      <c r="AM5" s="620">
        <v>12.57</v>
      </c>
      <c r="AN5" s="620">
        <v>12.57</v>
      </c>
      <c r="AO5" s="620">
        <v>12.57</v>
      </c>
      <c r="AP5" s="620">
        <v>12.57</v>
      </c>
      <c r="AQ5" s="620">
        <v>12.57</v>
      </c>
      <c r="AR5" s="620">
        <v>12.57</v>
      </c>
      <c r="AS5" s="620">
        <v>12.57</v>
      </c>
      <c r="AT5" s="620">
        <v>12.57</v>
      </c>
      <c r="AU5" s="620">
        <v>12.57</v>
      </c>
      <c r="AV5" s="620">
        <v>12.57</v>
      </c>
      <c r="AW5" s="620">
        <v>12.57</v>
      </c>
      <c r="AX5" s="620">
        <v>12.57</v>
      </c>
      <c r="AY5" s="620">
        <v>12.57</v>
      </c>
      <c r="AZ5" s="620">
        <v>12.57</v>
      </c>
      <c r="BA5" s="620">
        <v>12.57</v>
      </c>
      <c r="BB5" s="620">
        <v>12.57</v>
      </c>
      <c r="BC5" s="620">
        <v>12.57</v>
      </c>
      <c r="BD5" s="620">
        <v>12.57</v>
      </c>
      <c r="BE5" s="620">
        <v>12.57</v>
      </c>
      <c r="BF5" s="620">
        <v>12.57</v>
      </c>
      <c r="BG5" s="620">
        <v>12.57</v>
      </c>
      <c r="BH5" s="620">
        <v>12.57</v>
      </c>
      <c r="BI5" s="620">
        <v>12.57</v>
      </c>
      <c r="BJ5" s="620">
        <v>12.57</v>
      </c>
      <c r="BK5" s="620">
        <v>12.57</v>
      </c>
      <c r="BL5" s="620">
        <v>12.57</v>
      </c>
      <c r="BM5" s="620">
        <v>12.57</v>
      </c>
      <c r="BN5" s="620">
        <v>20</v>
      </c>
      <c r="BO5" s="620">
        <v>20</v>
      </c>
      <c r="BP5" s="620">
        <v>42</v>
      </c>
      <c r="BQ5" s="620">
        <v>3</v>
      </c>
      <c r="BS5" s="966"/>
      <c r="BT5" s="966"/>
      <c r="BU5" s="966"/>
    </row>
    <row r="6" spans="1:75" ht="11.25" hidden="1" customHeight="1">
      <c r="A6" s="77" t="s">
        <v>350</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7" t="s">
        <v>351</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66" customFormat="1" ht="11.25" hidden="1" customHeight="1">
      <c r="A9" s="899" t="s">
        <v>355</v>
      </c>
      <c r="B9" s="962"/>
      <c r="C9" s="962"/>
      <c r="D9" s="962"/>
      <c r="E9" s="962"/>
      <c r="F9" s="962"/>
      <c r="G9" s="962"/>
      <c r="H9" s="962"/>
      <c r="I9" s="962"/>
      <c r="J9" s="962"/>
      <c r="K9" s="962"/>
      <c r="L9" s="962"/>
      <c r="M9" s="962"/>
      <c r="N9" s="962"/>
      <c r="O9" s="962"/>
      <c r="P9" s="962"/>
      <c r="Q9" s="962"/>
      <c r="R9" s="962"/>
      <c r="S9" s="962"/>
      <c r="T9" s="962"/>
      <c r="U9" s="962"/>
      <c r="V9" s="962"/>
      <c r="W9" s="962"/>
      <c r="X9" s="962"/>
      <c r="Y9" s="962"/>
      <c r="Z9" s="962"/>
      <c r="AA9" s="962"/>
      <c r="AB9" s="962"/>
      <c r="AC9" s="962"/>
      <c r="AD9" s="962"/>
      <c r="AE9" s="963" cm="1">
        <f t="array" ref="AE9">AE6</f>
        <v>2024</v>
      </c>
      <c r="AF9" s="963" cm="1">
        <f t="array" ref="AF9">AF6</f>
        <v>2024</v>
      </c>
      <c r="AG9" s="963" cm="1">
        <f t="array" ref="AG9">AG6</f>
        <v>2024</v>
      </c>
      <c r="AH9" s="963" cm="1">
        <f t="array" ref="AH9">AH6</f>
        <v>2024</v>
      </c>
      <c r="AI9" s="963" cm="1">
        <f t="array" ref="AI9">AI6</f>
        <v>2025</v>
      </c>
      <c r="AJ9" s="963" cm="1">
        <f t="array" ref="AJ9">AJ6</f>
        <v>2026</v>
      </c>
      <c r="AK9" s="963" cm="1">
        <f t="array" ref="AK9">AK6</f>
        <v>2027</v>
      </c>
      <c r="AL9" s="963" cm="1">
        <f t="array" ref="AL9">AL6</f>
        <v>2028</v>
      </c>
      <c r="AM9" s="963" cm="1">
        <f t="array" ref="AM9">AM6</f>
        <v>2029</v>
      </c>
      <c r="AN9" s="963" cm="1">
        <f t="array" ref="AN9">AN6</f>
        <v>2030</v>
      </c>
      <c r="AO9" s="963" cm="1">
        <f t="array" ref="AO9">AO6</f>
        <v>2031</v>
      </c>
      <c r="AP9" s="963" cm="1">
        <f t="array" ref="AP9">AP6</f>
        <v>2032</v>
      </c>
      <c r="AQ9" s="963" cm="1">
        <f t="array" ref="AQ9">AQ6</f>
        <v>2033</v>
      </c>
      <c r="AR9" s="963" cm="1">
        <f t="array" ref="AR9">AR6</f>
        <v>2034</v>
      </c>
      <c r="AS9" s="963" cm="1">
        <f t="array" ref="AS9">AS6</f>
        <v>2035</v>
      </c>
      <c r="AT9" s="963" cm="1">
        <f t="array" ref="AT9">AT6</f>
        <v>2026</v>
      </c>
      <c r="AU9" s="963" cm="1">
        <f t="array" ref="AU9">AU6</f>
        <v>2027</v>
      </c>
      <c r="AV9" s="963" cm="1">
        <f t="array" ref="AV9">AV6</f>
        <v>2028</v>
      </c>
      <c r="AW9" s="963" cm="1">
        <f t="array" ref="AW9">AW6</f>
        <v>2029</v>
      </c>
      <c r="AX9" s="963" cm="1">
        <f t="array" ref="AX9">AX6</f>
        <v>2030</v>
      </c>
      <c r="AY9" s="963" cm="1">
        <f t="array" ref="AY9">AY6</f>
        <v>2031</v>
      </c>
      <c r="AZ9" s="963" cm="1">
        <f t="array" ref="AZ9">AZ6</f>
        <v>2032</v>
      </c>
      <c r="BA9" s="963" cm="1">
        <f t="array" ref="BA9">BA6</f>
        <v>2033</v>
      </c>
      <c r="BB9" s="963" cm="1">
        <f t="array" ref="BB9">BB6</f>
        <v>2034</v>
      </c>
      <c r="BC9" s="963" cm="1">
        <f t="array" ref="BC9">BC6</f>
        <v>2035</v>
      </c>
      <c r="BD9" s="963" cm="1">
        <f t="array" ref="BD9">BD6</f>
        <v>2026</v>
      </c>
      <c r="BE9" s="963" cm="1">
        <f t="array" ref="BE9">BE6</f>
        <v>2027</v>
      </c>
      <c r="BF9" s="963" cm="1">
        <f t="array" ref="BF9">BF6</f>
        <v>2028</v>
      </c>
      <c r="BG9" s="963" cm="1">
        <f t="array" ref="BG9">BG6</f>
        <v>2029</v>
      </c>
      <c r="BH9" s="963" cm="1">
        <f t="array" ref="BH9">BH6</f>
        <v>2030</v>
      </c>
      <c r="BI9" s="963" cm="1">
        <f t="array" ref="BI9">BI6</f>
        <v>2031</v>
      </c>
      <c r="BJ9" s="963" cm="1">
        <f t="array" ref="BJ9">BJ6</f>
        <v>2032</v>
      </c>
      <c r="BK9" s="963" cm="1">
        <f t="array" ref="BK9">BK6</f>
        <v>2033</v>
      </c>
      <c r="BL9" s="963" cm="1">
        <f t="array" ref="BL9">BL6</f>
        <v>2034</v>
      </c>
      <c r="BM9" s="963" cm="1">
        <f t="array" ref="BM9">BM6</f>
        <v>2035</v>
      </c>
      <c r="BV9" s="620"/>
      <c r="BW9" s="620"/>
    </row>
    <row r="10" spans="1:75" s="966" customFormat="1" ht="11.25" hidden="1" customHeight="1">
      <c r="A10" s="899" t="s">
        <v>356</v>
      </c>
      <c r="B10" s="962"/>
      <c r="C10" s="962"/>
      <c r="D10" s="962"/>
      <c r="E10" s="962"/>
      <c r="F10" s="962"/>
      <c r="G10" s="962"/>
      <c r="H10" s="962"/>
      <c r="I10" s="962"/>
      <c r="J10" s="962"/>
      <c r="K10" s="962"/>
      <c r="L10" s="962"/>
      <c r="M10" s="962"/>
      <c r="N10" s="962"/>
      <c r="O10" s="962"/>
      <c r="P10" s="962"/>
      <c r="Q10" s="962"/>
      <c r="R10" s="962"/>
      <c r="S10" s="962"/>
      <c r="T10" s="962"/>
      <c r="U10" s="962"/>
      <c r="V10" s="962"/>
      <c r="W10" s="962"/>
      <c r="X10" s="962"/>
      <c r="Y10" s="962"/>
      <c r="Z10" s="962"/>
      <c r="AA10" s="962"/>
      <c r="AB10" s="962"/>
      <c r="AC10" s="962"/>
      <c r="AD10" s="962"/>
      <c r="AE10" s="963" t="str" cm="1">
        <f t="array" ref="AE10">AE25</f>
        <v>Принято органом регулирования</v>
      </c>
      <c r="AF10" s="963" t="str" cm="1">
        <f t="array" ref="AF10">AF25</f>
        <v>Факт по данным организации</v>
      </c>
      <c r="AG10" s="963" t="str" cm="1">
        <f t="array" ref="AG10">AG25</f>
        <v>Факт, принятый органом регулирования</v>
      </c>
      <c r="AH10" s="963" t="str" cm="1">
        <f t="array" ref="AH10">AH25</f>
        <v>отклонение факта по данным организации к факту принятому органом регулирования</v>
      </c>
      <c r="AI10" s="963" t="str" cm="1">
        <f t="array" ref="AI10">AI25</f>
        <v>Принято органом регулирования</v>
      </c>
      <c r="AJ10" s="963" t="str" cm="1">
        <f t="array" ref="AJ10">AJ25</f>
        <v>Предложение организации</v>
      </c>
      <c r="AK10" s="963" t="str" cm="1">
        <f t="array" ref="AK10">AK25</f>
        <v>Предложение организации</v>
      </c>
      <c r="AL10" s="963" t="str" cm="1">
        <f t="array" ref="AL10">AL25</f>
        <v>Предложение организации</v>
      </c>
      <c r="AM10" s="963" t="str" cm="1">
        <f t="array" ref="AM10">AM25</f>
        <v>Предложение организации</v>
      </c>
      <c r="AN10" s="963" t="str" cm="1">
        <f t="array" ref="AN10">AN25</f>
        <v>Предложение организации</v>
      </c>
      <c r="AO10" s="963" t="str" cm="1">
        <f t="array" ref="AO10">AO25</f>
        <v>Предложение организации</v>
      </c>
      <c r="AP10" s="963" t="str" cm="1">
        <f t="array" ref="AP10">AP25</f>
        <v>Предложение организации</v>
      </c>
      <c r="AQ10" s="963" t="str" cm="1">
        <f t="array" ref="AQ10">AQ25</f>
        <v>Предложение организации</v>
      </c>
      <c r="AR10" s="963" t="str" cm="1">
        <f t="array" ref="AR10">AR25</f>
        <v>Предложение организации</v>
      </c>
      <c r="AS10" s="963" t="str" cm="1">
        <f t="array" ref="AS10">AS25</f>
        <v>Предложение организации</v>
      </c>
      <c r="AT10" s="963" t="str" cm="1">
        <f t="array" ref="AT10">AT25</f>
        <v>Принято органом регулирования</v>
      </c>
      <c r="AU10" s="963" t="str" cm="1">
        <f t="array" ref="AU10">AU25</f>
        <v>Принято органом регулирования</v>
      </c>
      <c r="AV10" s="963" t="str" cm="1">
        <f t="array" ref="AV10">AV25</f>
        <v>Принято органом регулирования</v>
      </c>
      <c r="AW10" s="963" t="str" cm="1">
        <f t="array" ref="AW10">AW25</f>
        <v>Принято органом регулирования</v>
      </c>
      <c r="AX10" s="963" t="str" cm="1">
        <f t="array" ref="AX10">AX25</f>
        <v>Принято органом регулирования</v>
      </c>
      <c r="AY10" s="963" t="str" cm="1">
        <f t="array" ref="AY10">AY25</f>
        <v>Принято органом регулирования</v>
      </c>
      <c r="AZ10" s="963" t="str" cm="1">
        <f t="array" ref="AZ10">AZ25</f>
        <v>Принято органом регулирования</v>
      </c>
      <c r="BA10" s="963" t="str" cm="1">
        <f t="array" ref="BA10">BA25</f>
        <v>Принято органом регулирования</v>
      </c>
      <c r="BB10" s="963" t="str" cm="1">
        <f t="array" ref="BB10">BB25</f>
        <v>Принято органом регулирования</v>
      </c>
      <c r="BC10" s="963" t="str" cm="1">
        <f t="array" ref="BC10">BC25</f>
        <v>Принято органом регулирования</v>
      </c>
      <c r="BD10" s="963"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63" cm="1">
        <f t="array" ref="BE10">BE25</f>
        <v>0</v>
      </c>
      <c r="BF10" s="963" cm="1">
        <f t="array" ref="BF10">BF25</f>
        <v>0</v>
      </c>
      <c r="BG10" s="963" cm="1">
        <f t="array" ref="BG10">BG25</f>
        <v>0</v>
      </c>
      <c r="BH10" s="963" cm="1">
        <f t="array" ref="BH10">BH25</f>
        <v>0</v>
      </c>
      <c r="BI10" s="963" cm="1">
        <f t="array" ref="BI10">BI25</f>
        <v>0</v>
      </c>
      <c r="BJ10" s="963" cm="1">
        <f t="array" ref="BJ10">BJ25</f>
        <v>0</v>
      </c>
      <c r="BK10" s="963" cm="1">
        <f t="array" ref="BK10">BK25</f>
        <v>0</v>
      </c>
      <c r="BL10" s="963" cm="1">
        <f t="array" ref="BL10">BL25</f>
        <v>0</v>
      </c>
      <c r="BM10" s="963" cm="1">
        <f t="array" ref="BM10">BM25</f>
        <v>0</v>
      </c>
      <c r="BV10" s="620"/>
      <c r="BW10" s="620"/>
    </row>
    <row r="11" spans="1:75" s="966" customFormat="1" ht="11.25" hidden="1" customHeight="1">
      <c r="A11" s="899" t="s">
        <v>357</v>
      </c>
      <c r="B11" s="962"/>
      <c r="C11" s="962"/>
      <c r="D11" s="962"/>
      <c r="E11" s="962"/>
      <c r="F11" s="962"/>
      <c r="G11" s="962"/>
      <c r="H11" s="962"/>
      <c r="I11" s="962"/>
      <c r="J11" s="962"/>
      <c r="K11" s="962"/>
      <c r="L11" s="962"/>
      <c r="M11" s="962"/>
      <c r="N11" s="962"/>
      <c r="O11" s="962"/>
      <c r="P11" s="962"/>
      <c r="Q11" s="962"/>
      <c r="R11" s="962"/>
      <c r="S11" s="962"/>
      <c r="T11" s="962"/>
      <c r="U11" s="962"/>
      <c r="V11" s="962"/>
      <c r="W11" s="962"/>
      <c r="X11" s="962"/>
      <c r="Y11" s="962"/>
      <c r="Z11" s="962"/>
      <c r="AA11" s="962"/>
      <c r="AB11" s="962"/>
      <c r="AC11" s="962"/>
      <c r="AD11" s="962"/>
      <c r="AE11" s="963"/>
      <c r="BN11" s="966" t="str" cm="1">
        <f t="array" ref="BN11">BN24</f>
        <v>Указание на подтверждающие документы / URL-ссылка на копии подтверждающих документов</v>
      </c>
      <c r="BO11" s="966" t="str" cm="1">
        <f t="array" ref="BO11">BO24</f>
        <v>Ссылка на правовую норму (основание для принятия показателя в расчет тарифа)</v>
      </c>
      <c r="BP11" s="96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0"/>
      <c r="BW11" s="620"/>
    </row>
    <row r="12" spans="1:75" s="966" customFormat="1" ht="11.25" hidden="1" customHeight="1">
      <c r="A12" s="964" t="s">
        <v>329</v>
      </c>
      <c r="B12" s="962"/>
      <c r="C12" s="962"/>
      <c r="D12" s="962"/>
      <c r="E12" s="962"/>
      <c r="F12" s="962"/>
      <c r="G12" s="962"/>
      <c r="H12" s="962"/>
      <c r="I12" s="962"/>
      <c r="J12" s="962"/>
      <c r="K12" s="962"/>
      <c r="L12" s="962"/>
      <c r="M12" s="962"/>
      <c r="N12" s="962"/>
      <c r="O12" s="962"/>
      <c r="P12" s="962"/>
      <c r="Q12" s="962"/>
      <c r="R12" s="962"/>
      <c r="S12" s="962"/>
      <c r="T12" s="962"/>
      <c r="U12" s="962"/>
      <c r="V12" s="962"/>
      <c r="W12" s="962"/>
      <c r="X12" s="962"/>
      <c r="Y12" s="962"/>
      <c r="Z12" s="962"/>
      <c r="AA12" s="962"/>
      <c r="AB12" s="962"/>
      <c r="AC12" s="964" t="s">
        <v>316</v>
      </c>
      <c r="AD12" s="962"/>
      <c r="AE12" s="963"/>
      <c r="BV12" s="620"/>
      <c r="BW12" s="620"/>
    </row>
    <row r="13" spans="1:75" ht="11.25" hidden="1" customHeight="1">
      <c r="A13" s="77" t="s">
        <v>1540</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7" t="s">
        <v>358</v>
      </c>
      <c r="AC18" s="76" t="s">
        <v>359</v>
      </c>
    </row>
    <row r="19" spans="1:75" ht="11.25" hidden="1" customHeight="1"/>
    <row r="20" spans="1:75" ht="11.25" hidden="1" customHeight="1"/>
    <row r="21" spans="1:75" ht="14.65" customHeight="1">
      <c r="E21" s="620">
        <v>15</v>
      </c>
      <c r="AA21" s="342"/>
      <c r="AB21" s="77"/>
      <c r="AC21" s="3" t="str" cm="1">
        <f t="array" ref="AC21">tpl_title</f>
        <v>Кемеровская область / 2026 / ОАО «СКЭК» (ИНН:4205153492, КПП:420501001) / ДПР: 2026-2026</v>
      </c>
      <c r="AD21" s="77"/>
    </row>
    <row r="22" spans="1:75" s="1198" customFormat="1" ht="19.5" customHeight="1">
      <c r="B22" s="349"/>
      <c r="E22" s="538">
        <v>20</v>
      </c>
      <c r="AB22" s="231" t="s">
        <v>79</v>
      </c>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S22" s="968"/>
      <c r="BT22" s="968"/>
      <c r="BU22" s="968"/>
      <c r="BV22" s="538"/>
      <c r="BW22" s="538"/>
    </row>
    <row r="23" spans="1:75" s="1198" customFormat="1" ht="10.15" customHeight="1">
      <c r="B23" s="349"/>
      <c r="E23" s="538">
        <v>10.5</v>
      </c>
      <c r="AB23" s="8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68"/>
      <c r="BT23" s="968"/>
      <c r="BU23" s="968"/>
      <c r="BV23" s="538"/>
      <c r="BW23" s="538"/>
    </row>
    <row r="24" spans="1:75" s="883" customFormat="1" ht="24.2" customHeight="1">
      <c r="B24" s="350"/>
      <c r="E24" s="621">
        <v>24.75</v>
      </c>
      <c r="AB24" s="1761" t="s">
        <v>21</v>
      </c>
      <c r="AC24" s="1761" t="s">
        <v>359</v>
      </c>
      <c r="AD24" s="1761" t="s">
        <v>360</v>
      </c>
      <c r="AE24" s="10" t="str">
        <f>god-2&amp;" год"</f>
        <v>2024 год</v>
      </c>
      <c r="AF24" s="1021" t="str">
        <f>god-2&amp;" год"</f>
        <v>2024 год</v>
      </c>
      <c r="AG24" s="10" t="str">
        <f>god-2&amp;" год"</f>
        <v>2024 год</v>
      </c>
      <c r="AH24" s="10" t="str">
        <f>god-2&amp;" год"</f>
        <v>2024 год</v>
      </c>
      <c r="AI24" s="10" t="str">
        <f>god-1&amp;" год"</f>
        <v>2025 год</v>
      </c>
      <c r="AJ24" s="1019" t="str">
        <f>god&amp;" год"</f>
        <v>2026 год</v>
      </c>
      <c r="AK24" s="1019" t="str">
        <f>god+1&amp;" год"</f>
        <v>2027 год</v>
      </c>
      <c r="AL24" s="1019" t="str">
        <f>god+2&amp;" год"</f>
        <v>2028 год</v>
      </c>
      <c r="AM24" s="1019" t="str">
        <f>god+3&amp;" год"</f>
        <v>2029 год</v>
      </c>
      <c r="AN24" s="1019" t="str">
        <f>god+4&amp;" год"</f>
        <v>2030 год</v>
      </c>
      <c r="AO24" s="1019" t="str">
        <f>god+5&amp;" год"</f>
        <v>2031 год</v>
      </c>
      <c r="AP24" s="1019" t="str">
        <f>god+6&amp;" год"</f>
        <v>2032 год</v>
      </c>
      <c r="AQ24" s="1019" t="str">
        <f>god+7&amp;" год"</f>
        <v>2033 год</v>
      </c>
      <c r="AR24" s="1019" t="str">
        <f>god+8&amp;" год"</f>
        <v>2034 год</v>
      </c>
      <c r="AS24" s="1019"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781" t="s">
        <v>1543</v>
      </c>
      <c r="BO24" s="1781" t="s">
        <v>494</v>
      </c>
      <c r="BP24" s="1781" t="s">
        <v>1544</v>
      </c>
      <c r="BS24" s="969"/>
      <c r="BT24" s="969"/>
      <c r="BU24" s="969"/>
      <c r="BV24" s="621"/>
      <c r="BW24" s="621"/>
    </row>
    <row r="25" spans="1:75" s="883" customFormat="1" ht="48.95" customHeight="1">
      <c r="B25" s="350"/>
      <c r="E25" s="621">
        <v>50.25</v>
      </c>
      <c r="AB25" s="1761"/>
      <c r="AC25" s="1761"/>
      <c r="AD25" s="1761"/>
      <c r="AE25" s="10" t="s">
        <v>352</v>
      </c>
      <c r="AF25" s="1021" t="s">
        <v>417</v>
      </c>
      <c r="AG25" s="10" t="s">
        <v>418</v>
      </c>
      <c r="AH25" s="10" t="s">
        <v>1545</v>
      </c>
      <c r="AI25" s="10" t="s">
        <v>352</v>
      </c>
      <c r="AJ25" s="1023" t="s">
        <v>353</v>
      </c>
      <c r="AK25" s="1023" t="s">
        <v>353</v>
      </c>
      <c r="AL25" s="1023" t="s">
        <v>353</v>
      </c>
      <c r="AM25" s="1023" t="s">
        <v>353</v>
      </c>
      <c r="AN25" s="1023" t="s">
        <v>353</v>
      </c>
      <c r="AO25" s="1023" t="s">
        <v>353</v>
      </c>
      <c r="AP25" s="1023" t="s">
        <v>353</v>
      </c>
      <c r="AQ25" s="1023" t="s">
        <v>353</v>
      </c>
      <c r="AR25" s="1023" t="s">
        <v>353</v>
      </c>
      <c r="AS25" s="1023" t="s">
        <v>353</v>
      </c>
      <c r="AT25" s="272" t="s">
        <v>352</v>
      </c>
      <c r="AU25" s="272" t="s">
        <v>352</v>
      </c>
      <c r="AV25" s="272" t="s">
        <v>352</v>
      </c>
      <c r="AW25" s="272" t="s">
        <v>352</v>
      </c>
      <c r="AX25" s="272" t="s">
        <v>352</v>
      </c>
      <c r="AY25" s="272" t="s">
        <v>352</v>
      </c>
      <c r="AZ25" s="272" t="s">
        <v>352</v>
      </c>
      <c r="BA25" s="272" t="s">
        <v>352</v>
      </c>
      <c r="BB25" s="272" t="s">
        <v>352</v>
      </c>
      <c r="BC25" s="272" t="s">
        <v>352</v>
      </c>
      <c r="BD25" s="1781" t="s">
        <v>1542</v>
      </c>
      <c r="BE25" s="1781"/>
      <c r="BF25" s="1781"/>
      <c r="BG25" s="1781"/>
      <c r="BH25" s="1781"/>
      <c r="BI25" s="1781"/>
      <c r="BJ25" s="1781"/>
      <c r="BK25" s="1781"/>
      <c r="BL25" s="1781"/>
      <c r="BM25" s="1781"/>
      <c r="BN25" s="1781"/>
      <c r="BO25" s="1781"/>
      <c r="BP25" s="1781"/>
      <c r="BS25" s="969"/>
      <c r="BT25" s="969"/>
      <c r="BU25" s="969"/>
      <c r="BV25" s="621"/>
      <c r="BW25" s="621"/>
    </row>
    <row r="26" spans="1:75" s="1327" customFormat="1" ht="11.25" customHeight="1">
      <c r="B26" s="347"/>
      <c r="E26" s="588" t="s">
        <v>363</v>
      </c>
      <c r="F26" s="91" t="s">
        <v>1763</v>
      </c>
      <c r="T26"/>
      <c r="AB26" s="415"/>
      <c r="AC26" s="19"/>
      <c r="AD26" s="19"/>
      <c r="AE26" s="19"/>
      <c r="AF26" s="19"/>
      <c r="AQ26" s="20"/>
      <c r="BS26" s="906"/>
      <c r="BT26" s="906"/>
      <c r="BU26" s="906"/>
      <c r="BV26" s="541"/>
      <c r="BW26" s="541"/>
    </row>
    <row r="27" spans="1:75" s="1210" customFormat="1" ht="14.65" hidden="1" customHeight="1">
      <c r="B27" s="345"/>
      <c r="C27" s="343"/>
      <c r="D27" s="343"/>
      <c r="E27" s="536">
        <v>15</v>
      </c>
      <c r="F27" s="409" cm="1">
        <f t="array" ref="F27">X27</f>
        <v>0</v>
      </c>
      <c r="G27" s="409" cm="1">
        <f t="array" ref="G27">INDEX('Общие сведения'!$AK$179:$AK$208,MATCH($X27,'Общие сведения'!$Z$179:$Z$208,0))</f>
        <v>0</v>
      </c>
      <c r="H27" s="343"/>
      <c r="I27" s="409"/>
      <c r="J27" s="343"/>
      <c r="K27" s="343"/>
      <c r="L27" s="884"/>
      <c r="M27" s="343"/>
      <c r="N27" s="343"/>
      <c r="O27" s="343"/>
      <c r="P27" s="343"/>
      <c r="Q27" s="343"/>
      <c r="R27" s="343"/>
      <c r="S27" s="343" cm="1">
        <f t="array" ref="S27">INDEX('Общие сведения'!$AE$179:$AE$208,MATCH($X27,'Общие сведения'!$Z$179:$Z$208,0))</f>
        <v>0</v>
      </c>
      <c r="T27" s="381" t="b">
        <f>X27&gt;0</f>
        <v>0</v>
      </c>
      <c r="U27" s="343"/>
      <c r="V27" s="343" t="s">
        <v>270</v>
      </c>
      <c r="W27" s="343"/>
      <c r="X27" s="1787">
        <v>0</v>
      </c>
      <c r="Z27" s="1735"/>
      <c r="AB27" s="293" t="str" cm="1">
        <f t="array" ref="AB27">INDEX('Общие сведения'!$AG$179:$AG$208,MATCH($X27,'Общие сведения'!$Z$179:$Z$208,0))</f>
        <v xml:space="preserve">Тариф 0 () - </v>
      </c>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S27" s="899"/>
      <c r="BT27" s="899"/>
      <c r="BU27" s="899"/>
      <c r="BV27" s="535"/>
      <c r="BW27" s="535"/>
    </row>
    <row r="28" spans="1:75" s="80" customFormat="1" ht="20.45" hidden="1" customHeight="1">
      <c r="B28" s="351"/>
      <c r="C28" s="769"/>
      <c r="D28" s="769"/>
      <c r="E28" s="770">
        <v>21</v>
      </c>
      <c r="F28" s="3" cm="1">
        <f t="array" aca="1" ref="F28" ca="1">OFFSET(E28,-1,1)</f>
        <v>0</v>
      </c>
      <c r="G28" s="769"/>
      <c r="H28" s="31"/>
      <c r="I28" s="31" t="s">
        <v>323</v>
      </c>
      <c r="J28" s="769"/>
      <c r="K28" s="289" t="s">
        <v>323</v>
      </c>
      <c r="L28" s="885"/>
      <c r="M28" s="769"/>
      <c r="N28" s="769"/>
      <c r="O28" s="769"/>
      <c r="P28" s="769"/>
      <c r="Q28" s="769"/>
      <c r="R28" s="769"/>
      <c r="S28" s="769"/>
      <c r="T28" s="381" t="b" cm="1">
        <f t="array" ref="T28">T27</f>
        <v>0</v>
      </c>
      <c r="U28" s="769"/>
      <c r="V28" s="769"/>
      <c r="W28" s="769"/>
      <c r="X28" s="1787"/>
      <c r="Z28" s="1735"/>
      <c r="AB28" s="152" t="s">
        <v>281</v>
      </c>
      <c r="AC28" s="130" t="s">
        <v>1764</v>
      </c>
      <c r="AD28" s="152" t="s">
        <v>766</v>
      </c>
      <c r="AE28" s="692">
        <f ca="1">SUM(AE30,AE47,AE53,AE73,AE74,AE75)</f>
        <v>0</v>
      </c>
      <c r="AF28" s="692">
        <f ca="1">SUM(AF30,AF47,AF53,AF73,AF74,AF75)</f>
        <v>0</v>
      </c>
      <c r="AG28" s="692">
        <f ca="1">SUM(AG30,AG47,AG53,AG73,AG74,AG75)</f>
        <v>0</v>
      </c>
      <c r="AH28" s="692">
        <f t="shared" ref="AH28:AH59" ca="1" si="2">AG28-AF28</f>
        <v>0</v>
      </c>
      <c r="AI28" s="692">
        <f ca="1">SUM(AI30,AI47,AI53,AI73,AI74,AI75)</f>
        <v>0</v>
      </c>
      <c r="AJ28" s="692">
        <f ca="1">SUM(AJ30,AJ47,AJ53,AJ73,AJ74,AJ75)</f>
        <v>0</v>
      </c>
      <c r="AK28" s="1137">
        <f t="shared" ref="AK28:AS28" ca="1" si="3">AJ28*AK29</f>
        <v>0</v>
      </c>
      <c r="AL28" s="1137">
        <f t="shared" ca="1" si="3"/>
        <v>0</v>
      </c>
      <c r="AM28" s="1137">
        <f t="shared" ca="1" si="3"/>
        <v>0</v>
      </c>
      <c r="AN28" s="1137">
        <f t="shared" ca="1" si="3"/>
        <v>0</v>
      </c>
      <c r="AO28" s="1137">
        <f t="shared" ca="1" si="3"/>
        <v>0</v>
      </c>
      <c r="AP28" s="1137">
        <f t="shared" ca="1" si="3"/>
        <v>0</v>
      </c>
      <c r="AQ28" s="1137">
        <f t="shared" ca="1" si="3"/>
        <v>0</v>
      </c>
      <c r="AR28" s="1137">
        <f t="shared" ca="1" si="3"/>
        <v>0</v>
      </c>
      <c r="AS28" s="1137">
        <f t="shared" ca="1" si="3"/>
        <v>0</v>
      </c>
      <c r="AT28" s="692">
        <f ca="1">SUM(AT30,AT47,AT53,AT73,AT74,AT75)</f>
        <v>0</v>
      </c>
      <c r="AU28" s="1137">
        <f t="shared" ref="AU28:BC28" ca="1" si="4">AT28*AU29</f>
        <v>0</v>
      </c>
      <c r="AV28" s="1137">
        <f t="shared" ca="1" si="4"/>
        <v>0</v>
      </c>
      <c r="AW28" s="1137">
        <f t="shared" ca="1" si="4"/>
        <v>0</v>
      </c>
      <c r="AX28" s="1137">
        <f t="shared" ca="1" si="4"/>
        <v>0</v>
      </c>
      <c r="AY28" s="1137">
        <f t="shared" ca="1" si="4"/>
        <v>0</v>
      </c>
      <c r="AZ28" s="1137">
        <f t="shared" ca="1" si="4"/>
        <v>0</v>
      </c>
      <c r="BA28" s="1137">
        <f t="shared" ca="1" si="4"/>
        <v>0</v>
      </c>
      <c r="BB28" s="1137">
        <f t="shared" ca="1" si="4"/>
        <v>0</v>
      </c>
      <c r="BC28" s="1137">
        <f t="shared" ca="1" si="4"/>
        <v>0</v>
      </c>
      <c r="BD28" s="692">
        <f t="shared" ref="BD28:BD59" ca="1" si="5">IF(AI28=0,0,(AT28-AI28)/AI28*100)</f>
        <v>0</v>
      </c>
      <c r="BE28" s="692">
        <f t="shared" ref="BE28:BM28" ca="1" si="6">IF(AT28=0,0,(AU28-AT28)/AT28*100)</f>
        <v>0</v>
      </c>
      <c r="BF28" s="692">
        <f t="shared" ca="1" si="6"/>
        <v>0</v>
      </c>
      <c r="BG28" s="692">
        <f t="shared" ca="1" si="6"/>
        <v>0</v>
      </c>
      <c r="BH28" s="692">
        <f t="shared" ca="1" si="6"/>
        <v>0</v>
      </c>
      <c r="BI28" s="692">
        <f t="shared" ca="1" si="6"/>
        <v>0</v>
      </c>
      <c r="BJ28" s="692">
        <f t="shared" ca="1" si="6"/>
        <v>0</v>
      </c>
      <c r="BK28" s="692">
        <f t="shared" ca="1" si="6"/>
        <v>0</v>
      </c>
      <c r="BL28" s="692">
        <f t="shared" ca="1" si="6"/>
        <v>0</v>
      </c>
      <c r="BM28" s="692">
        <f t="shared" ca="1" si="6"/>
        <v>0</v>
      </c>
      <c r="BN28" s="1138"/>
      <c r="BO28" s="1138"/>
      <c r="BP28" s="1138"/>
      <c r="BQ28" s="79"/>
      <c r="BS28" s="970" t="s">
        <v>491</v>
      </c>
      <c r="BT28" s="970"/>
      <c r="BU28" s="970"/>
      <c r="BV28" s="622"/>
      <c r="BW28" s="622"/>
    </row>
    <row r="29" spans="1:75" ht="14.65" hidden="1" customHeight="1">
      <c r="C29" s="26"/>
      <c r="D29" s="26"/>
      <c r="E29" s="538">
        <v>15</v>
      </c>
      <c r="F29" s="3" cm="1">
        <f t="array" aca="1" ref="F29" ca="1">OFFSET(E29,-1,1)</f>
        <v>0</v>
      </c>
      <c r="G29" s="26"/>
      <c r="H29" s="771"/>
      <c r="I29" s="771" t="s">
        <v>427</v>
      </c>
      <c r="J29" s="26"/>
      <c r="K29" s="290" t="s">
        <v>427</v>
      </c>
      <c r="L29" s="882"/>
      <c r="M29" s="26"/>
      <c r="N29" s="26"/>
      <c r="O29" s="26"/>
      <c r="P29" s="26"/>
      <c r="Q29" s="26"/>
      <c r="R29" s="26"/>
      <c r="S29" s="26"/>
      <c r="T29" s="381" t="b" cm="1">
        <f t="array" ref="T29">T28</f>
        <v>0</v>
      </c>
      <c r="U29" s="26"/>
      <c r="V29" s="26"/>
      <c r="W29" s="26"/>
      <c r="X29" s="1787"/>
      <c r="Z29" s="1735"/>
      <c r="AB29" s="216" t="s">
        <v>821</v>
      </c>
      <c r="AC29" s="676" t="s">
        <v>1765</v>
      </c>
      <c r="AD29" s="216"/>
      <c r="AE29" s="1139"/>
      <c r="AF29" s="1139"/>
      <c r="AG29" s="1139"/>
      <c r="AH29" s="1014">
        <f t="shared" si="2"/>
        <v>0</v>
      </c>
      <c r="AI29" s="1139"/>
      <c r="AJ29" s="1472"/>
      <c r="AK29" s="1139">
        <f ca="1">SUMIFS(INDEX(Сценарии!$AE$25:$BF$82,,MATCH(AK$8,Сценарии!$AE$8:$BF$8,0)),Сценарии!$F$25:$F$82,$F29,Сценарии!$G$25:$G$82,"ИОР")</f>
        <v>1</v>
      </c>
      <c r="AL29" s="1139">
        <f ca="1">SUMIFS(INDEX(Сценарии!$AE$25:$BF$82,,MATCH(AL$8,Сценарии!$AE$8:$BF$8,0)),Сценарии!$F$25:$F$82,$F29,Сценарии!$G$25:$G$82,"ИОР")</f>
        <v>1</v>
      </c>
      <c r="AM29" s="1139">
        <f ca="1">SUMIFS(INDEX(Сценарии!$AE$25:$BF$82,,MATCH(AM$8,Сценарии!$AE$8:$BF$8,0)),Сценарии!$F$25:$F$82,$F29,Сценарии!$G$25:$G$82,"ИОР")</f>
        <v>1</v>
      </c>
      <c r="AN29" s="1139">
        <f ca="1">SUMIFS(INDEX(Сценарии!$AE$25:$BF$82,,MATCH(AN$8,Сценарии!$AE$8:$BF$8,0)),Сценарии!$F$25:$F$82,$F29,Сценарии!$G$25:$G$82,"ИОР")</f>
        <v>1</v>
      </c>
      <c r="AO29" s="1139">
        <f ca="1">SUMIFS(INDEX(Сценарии!$AE$25:$BF$82,,MATCH(AO$8,Сценарии!$AE$8:$BF$8,0)),Сценарии!$F$25:$F$82,$F29,Сценарии!$G$25:$G$82,"ИОР")</f>
        <v>1</v>
      </c>
      <c r="AP29" s="1139">
        <f ca="1">SUMIFS(INDEX(Сценарии!$AE$25:$BF$82,,MATCH(AP$8,Сценарии!$AE$8:$BF$8,0)),Сценарии!$F$25:$F$82,$F29,Сценарии!$G$25:$G$82,"ИОР")</f>
        <v>1</v>
      </c>
      <c r="AQ29" s="1139">
        <f ca="1">SUMIFS(INDEX(Сценарии!$AE$25:$BF$82,,MATCH(AQ$8,Сценарии!$AE$8:$BF$8,0)),Сценарии!$F$25:$F$82,$F29,Сценарии!$G$25:$G$82,"ИОР")</f>
        <v>1</v>
      </c>
      <c r="AR29" s="1139">
        <f ca="1">SUMIFS(INDEX(Сценарии!$AE$25:$BF$82,,MATCH(AR$8,Сценарии!$AE$8:$BF$8,0)),Сценарии!$F$25:$F$82,$F29,Сценарии!$G$25:$G$82,"ИОР")</f>
        <v>1</v>
      </c>
      <c r="AS29" s="1139">
        <f ca="1">SUMIFS(INDEX(Сценарии!$AE$25:$BF$82,,MATCH(AS$8,Сценарии!$AE$8:$BF$8,0)),Сценарии!$F$25:$F$82,$F29,Сценарии!$G$25:$G$82,"ИОР")</f>
        <v>1</v>
      </c>
      <c r="AT29" s="1472"/>
      <c r="AU29" s="1139">
        <f ca="1">SUMIFS(INDEX(Сценарии!$AE$25:$BF$82,,MATCH(AU$8,Сценарии!$AE$8:$BF$8,0)),Сценарии!$F$25:$F$82,$F29,Сценарии!$G$25:$G$82,"ИОР")</f>
        <v>1</v>
      </c>
      <c r="AV29" s="1139">
        <f ca="1">SUMIFS(INDEX(Сценарии!$AE$25:$BF$82,,MATCH(AV$8,Сценарии!$AE$8:$BF$8,0)),Сценарии!$F$25:$F$82,$F29,Сценарии!$G$25:$G$82,"ИОР")</f>
        <v>1</v>
      </c>
      <c r="AW29" s="1139">
        <f ca="1">SUMIFS(INDEX(Сценарии!$AE$25:$BF$82,,MATCH(AW$8,Сценарии!$AE$8:$BF$8,0)),Сценарии!$F$25:$F$82,$F29,Сценарии!$G$25:$G$82,"ИОР")</f>
        <v>1</v>
      </c>
      <c r="AX29" s="1139">
        <f ca="1">SUMIFS(INDEX(Сценарии!$AE$25:$BF$82,,MATCH(AX$8,Сценарии!$AE$8:$BF$8,0)),Сценарии!$F$25:$F$82,$F29,Сценарии!$G$25:$G$82,"ИОР")</f>
        <v>1</v>
      </c>
      <c r="AY29" s="1139">
        <f ca="1">SUMIFS(INDEX(Сценарии!$AE$25:$BF$82,,MATCH(AY$8,Сценарии!$AE$8:$BF$8,0)),Сценарии!$F$25:$F$82,$F29,Сценарии!$G$25:$G$82,"ИОР")</f>
        <v>1</v>
      </c>
      <c r="AZ29" s="1139">
        <f ca="1">SUMIFS(INDEX(Сценарии!$AE$25:$BF$82,,MATCH(AZ$8,Сценарии!$AE$8:$BF$8,0)),Сценарии!$F$25:$F$82,$F29,Сценарии!$G$25:$G$82,"ИОР")</f>
        <v>1</v>
      </c>
      <c r="BA29" s="1139">
        <f ca="1">SUMIFS(INDEX(Сценарии!$AE$25:$BF$82,,MATCH(BA$8,Сценарии!$AE$8:$BF$8,0)),Сценарии!$F$25:$F$82,$F29,Сценарии!$G$25:$G$82,"ИОР")</f>
        <v>1</v>
      </c>
      <c r="BB29" s="1139">
        <f ca="1">SUMIFS(INDEX(Сценарии!$AE$25:$BF$82,,MATCH(BB$8,Сценарии!$AE$8:$BF$8,0)),Сценарии!$F$25:$F$82,$F29,Сценарии!$G$25:$G$82,"ИОР")</f>
        <v>1</v>
      </c>
      <c r="BC29" s="1139">
        <f ca="1">SUMIFS(INDEX(Сценарии!$AE$25:$BF$82,,MATCH(BC$8,Сценарии!$AE$8:$BF$8,0)),Сценарии!$F$25:$F$82,$F29,Сценарии!$G$25:$G$82,"ИОР")</f>
        <v>1</v>
      </c>
      <c r="BD29" s="1015">
        <f t="shared" si="5"/>
        <v>0</v>
      </c>
      <c r="BE29" s="1016"/>
      <c r="BF29" s="1016"/>
      <c r="BG29" s="1016"/>
      <c r="BH29" s="1016"/>
      <c r="BI29" s="1016"/>
      <c r="BJ29" s="1016"/>
      <c r="BK29" s="1016"/>
      <c r="BL29" s="1016"/>
      <c r="BM29" s="1016"/>
      <c r="BN29" s="1138"/>
      <c r="BO29" s="1138"/>
      <c r="BP29" s="1138"/>
      <c r="BS29" s="966" t="s">
        <v>1766</v>
      </c>
    </row>
    <row r="30" spans="1:75" s="79" customFormat="1" ht="20.45" hidden="1" customHeight="1">
      <c r="B30" s="351"/>
      <c r="C30" s="772"/>
      <c r="D30" s="772"/>
      <c r="E30" s="773">
        <v>21</v>
      </c>
      <c r="F30" s="3" cm="1">
        <f t="array" aca="1" ref="F30" ca="1">OFFSET(E30,-1,1)</f>
        <v>0</v>
      </c>
      <c r="G30" s="772"/>
      <c r="H30" s="31"/>
      <c r="I30" s="31" t="s">
        <v>431</v>
      </c>
      <c r="J30" s="772"/>
      <c r="K30" s="289" t="s">
        <v>431</v>
      </c>
      <c r="L30" s="886" t="s">
        <v>323</v>
      </c>
      <c r="M30" s="772"/>
      <c r="N30" s="772"/>
      <c r="O30" s="772"/>
      <c r="P30" s="772"/>
      <c r="Q30" s="772"/>
      <c r="R30" s="772"/>
      <c r="S30" s="772"/>
      <c r="T30" s="381" t="b" cm="1">
        <f t="array" ref="T30">T29</f>
        <v>0</v>
      </c>
      <c r="U30" s="772"/>
      <c r="V30" s="772"/>
      <c r="W30" s="772"/>
      <c r="X30" s="1787"/>
      <c r="Z30" s="1735"/>
      <c r="AB30" s="152" t="s">
        <v>824</v>
      </c>
      <c r="AC30" s="273" t="s">
        <v>1546</v>
      </c>
      <c r="AD30" s="152" t="s">
        <v>766</v>
      </c>
      <c r="AE30" s="692">
        <f ca="1">SUM(AE31,AE34,AE35,AE38,AE39)</f>
        <v>0</v>
      </c>
      <c r="AF30" s="692">
        <f ca="1">SUM(AF31,AF34,AF35,AF38,AF39)</f>
        <v>0</v>
      </c>
      <c r="AG30" s="692">
        <f ca="1">SUM(AG31,AG34,AG35,AG38,AG39)</f>
        <v>0</v>
      </c>
      <c r="AH30" s="692">
        <f t="shared" ca="1" si="2"/>
        <v>0</v>
      </c>
      <c r="AI30" s="692">
        <f ca="1">SUM(AI31,AI34,AI35,AI38,AI39)</f>
        <v>0</v>
      </c>
      <c r="AJ30" s="692">
        <f ca="1">SUM(AJ31,AJ34,AJ35,AJ38,AJ39)</f>
        <v>0</v>
      </c>
      <c r="AK30" s="134"/>
      <c r="AL30" s="134"/>
      <c r="AM30" s="134"/>
      <c r="AN30" s="134"/>
      <c r="AO30" s="134"/>
      <c r="AP30" s="134"/>
      <c r="AQ30" s="134"/>
      <c r="AR30" s="134"/>
      <c r="AS30" s="134"/>
      <c r="AT30" s="692">
        <f ca="1">SUM(AT31,AT34,AT35,AT38,AT39)</f>
        <v>0</v>
      </c>
      <c r="AU30" s="134"/>
      <c r="AV30" s="134"/>
      <c r="AW30" s="134"/>
      <c r="AX30" s="134"/>
      <c r="AY30" s="134"/>
      <c r="AZ30" s="134"/>
      <c r="BA30" s="134"/>
      <c r="BB30" s="134"/>
      <c r="BC30" s="134"/>
      <c r="BD30" s="692">
        <f t="shared" ca="1" si="5"/>
        <v>0</v>
      </c>
      <c r="BE30" s="134"/>
      <c r="BF30" s="134"/>
      <c r="BG30" s="134"/>
      <c r="BH30" s="134"/>
      <c r="BI30" s="134"/>
      <c r="BJ30" s="134"/>
      <c r="BK30" s="134"/>
      <c r="BL30" s="134"/>
      <c r="BM30" s="134"/>
      <c r="BN30" s="1140"/>
      <c r="BO30" s="1140"/>
      <c r="BP30" s="1140"/>
      <c r="BS30" s="964" t="s">
        <v>484</v>
      </c>
      <c r="BT30" s="971"/>
      <c r="BU30" s="971"/>
      <c r="BV30" s="623"/>
      <c r="BW30" s="623"/>
    </row>
    <row r="31" spans="1:75" ht="14.65" hidden="1" customHeight="1">
      <c r="C31" s="26"/>
      <c r="D31" s="26"/>
      <c r="E31" s="538">
        <v>15</v>
      </c>
      <c r="F31" s="3" cm="1">
        <f t="array" aca="1" ref="F31" ca="1">OFFSET(E31,-1,1)</f>
        <v>0</v>
      </c>
      <c r="G31" s="26"/>
      <c r="H31" s="771"/>
      <c r="I31" s="771" t="s">
        <v>1186</v>
      </c>
      <c r="J31" s="26"/>
      <c r="K31" s="290" t="s">
        <v>1186</v>
      </c>
      <c r="L31" s="882" t="s">
        <v>427</v>
      </c>
      <c r="M31" s="26"/>
      <c r="N31" s="26"/>
      <c r="O31" s="26"/>
      <c r="P31" s="26"/>
      <c r="Q31" s="26"/>
      <c r="R31" s="26"/>
      <c r="S31" s="26"/>
      <c r="T31" s="381" t="b" cm="1">
        <f t="array" ref="T31">T30</f>
        <v>0</v>
      </c>
      <c r="U31" s="26"/>
      <c r="V31" s="26"/>
      <c r="W31" s="26"/>
      <c r="X31" s="1787"/>
      <c r="Z31" s="1735"/>
      <c r="AB31" s="216" t="s">
        <v>1187</v>
      </c>
      <c r="AC31" s="679" t="s">
        <v>1767</v>
      </c>
      <c r="AD31" s="680" t="s">
        <v>766</v>
      </c>
      <c r="AE31" s="1015">
        <f>SUM(AE32,AE33)</f>
        <v>0</v>
      </c>
      <c r="AF31" s="1015">
        <f>SUM(AF32,AF33)</f>
        <v>0</v>
      </c>
      <c r="AG31" s="1015">
        <f>SUM(AG32,AG33)</f>
        <v>0</v>
      </c>
      <c r="AH31" s="1015">
        <f t="shared" si="2"/>
        <v>0</v>
      </c>
      <c r="AI31" s="1015">
        <f>SUM(AI32,AI33)</f>
        <v>0</v>
      </c>
      <c r="AJ31" s="1015">
        <f>SUM(AJ32,AJ33)</f>
        <v>0</v>
      </c>
      <c r="AK31" s="1016"/>
      <c r="AL31" s="1016"/>
      <c r="AM31" s="1016"/>
      <c r="AN31" s="1016"/>
      <c r="AO31" s="1016"/>
      <c r="AP31" s="1016"/>
      <c r="AQ31" s="1016"/>
      <c r="AR31" s="1016"/>
      <c r="AS31" s="1016"/>
      <c r="AT31" s="1015">
        <f>SUM(AT32,AT33)</f>
        <v>0</v>
      </c>
      <c r="AU31" s="1016"/>
      <c r="AV31" s="1016"/>
      <c r="AW31" s="1016"/>
      <c r="AX31" s="1016"/>
      <c r="AY31" s="1016"/>
      <c r="AZ31" s="1016"/>
      <c r="BA31" s="1016"/>
      <c r="BB31" s="1016"/>
      <c r="BC31" s="1016"/>
      <c r="BD31" s="1015">
        <f t="shared" si="5"/>
        <v>0</v>
      </c>
      <c r="BE31" s="1016"/>
      <c r="BF31" s="1016"/>
      <c r="BG31" s="1016"/>
      <c r="BH31" s="1016"/>
      <c r="BI31" s="1016"/>
      <c r="BJ31" s="1016"/>
      <c r="BK31" s="1016"/>
      <c r="BL31" s="1016"/>
      <c r="BM31" s="1016"/>
      <c r="BN31" s="1138"/>
      <c r="BO31" s="1138"/>
      <c r="BP31" s="1138"/>
      <c r="BQ31" s="29"/>
      <c r="BS31" s="965" t="s">
        <v>1548</v>
      </c>
    </row>
    <row r="32" spans="1:75" ht="14.65" hidden="1" customHeight="1">
      <c r="C32" s="26"/>
      <c r="D32" s="26"/>
      <c r="E32" s="538">
        <v>15</v>
      </c>
      <c r="F32" s="3" cm="1">
        <f t="array" aca="1" ref="F32" ca="1">OFFSET(E32,-1,1)</f>
        <v>0</v>
      </c>
      <c r="G32" s="26"/>
      <c r="H32" s="771"/>
      <c r="I32" s="771" t="s">
        <v>1768</v>
      </c>
      <c r="J32" s="26"/>
      <c r="K32" s="290" t="s">
        <v>1768</v>
      </c>
      <c r="L32" s="882" t="s">
        <v>928</v>
      </c>
      <c r="M32" s="26"/>
      <c r="N32" s="26"/>
      <c r="O32" s="26"/>
      <c r="P32" s="26"/>
      <c r="Q32" s="26"/>
      <c r="R32" s="26"/>
      <c r="S32" s="26"/>
      <c r="T32" s="381" t="b" cm="1">
        <f t="array" ref="T32">T31</f>
        <v>0</v>
      </c>
      <c r="U32" s="26"/>
      <c r="V32" s="26"/>
      <c r="W32" s="26"/>
      <c r="X32" s="1787"/>
      <c r="Z32" s="1735"/>
      <c r="AB32" s="216" t="s">
        <v>1769</v>
      </c>
      <c r="AC32" s="682" t="s">
        <v>1551</v>
      </c>
      <c r="AD32" s="680" t="s">
        <v>766</v>
      </c>
      <c r="AE32" s="1141"/>
      <c r="AF32" s="1141"/>
      <c r="AG32" s="1141"/>
      <c r="AH32" s="1015">
        <f t="shared" si="2"/>
        <v>0</v>
      </c>
      <c r="AI32" s="1141"/>
      <c r="AJ32" s="1473"/>
      <c r="AK32" s="1016"/>
      <c r="AL32" s="1016"/>
      <c r="AM32" s="1016"/>
      <c r="AN32" s="1016"/>
      <c r="AO32" s="1016"/>
      <c r="AP32" s="1016"/>
      <c r="AQ32" s="1016"/>
      <c r="AR32" s="1016"/>
      <c r="AS32" s="1016"/>
      <c r="AT32" s="1473"/>
      <c r="AU32" s="1016"/>
      <c r="AV32" s="1016"/>
      <c r="AW32" s="1016"/>
      <c r="AX32" s="1016"/>
      <c r="AY32" s="1016"/>
      <c r="AZ32" s="1016"/>
      <c r="BA32" s="1016"/>
      <c r="BB32" s="1016"/>
      <c r="BC32" s="1016"/>
      <c r="BD32" s="1015">
        <f t="shared" si="5"/>
        <v>0</v>
      </c>
      <c r="BE32" s="1016"/>
      <c r="BF32" s="1016"/>
      <c r="BG32" s="1016"/>
      <c r="BH32" s="1016"/>
      <c r="BI32" s="1016"/>
      <c r="BJ32" s="1016"/>
      <c r="BK32" s="1016"/>
      <c r="BL32" s="1016"/>
      <c r="BM32" s="1016"/>
      <c r="BN32" s="1138"/>
      <c r="BO32" s="1138"/>
      <c r="BP32" s="1138"/>
      <c r="BS32" s="964" t="s">
        <v>1552</v>
      </c>
    </row>
    <row r="33" spans="2:75" ht="14.65" hidden="1" customHeight="1">
      <c r="C33" s="26"/>
      <c r="D33" s="26"/>
      <c r="E33" s="538">
        <v>15</v>
      </c>
      <c r="F33" s="3" cm="1">
        <f t="array" aca="1" ref="F33" ca="1">OFFSET(E33,-1,1)</f>
        <v>0</v>
      </c>
      <c r="G33" s="26"/>
      <c r="H33" s="771"/>
      <c r="I33" s="771" t="s">
        <v>1770</v>
      </c>
      <c r="J33" s="26"/>
      <c r="K33" s="290" t="s">
        <v>1770</v>
      </c>
      <c r="L33" s="882" t="s">
        <v>1161</v>
      </c>
      <c r="M33" s="26"/>
      <c r="N33" s="26"/>
      <c r="O33" s="26"/>
      <c r="P33" s="26"/>
      <c r="Q33" s="26"/>
      <c r="R33" s="26"/>
      <c r="S33" s="26"/>
      <c r="T33" s="381" t="b" cm="1">
        <f t="array" ref="T33">T32</f>
        <v>0</v>
      </c>
      <c r="U33" s="26"/>
      <c r="V33" s="26"/>
      <c r="W33" s="26"/>
      <c r="X33" s="1787"/>
      <c r="Z33" s="1735"/>
      <c r="AB33" s="216" t="s">
        <v>1771</v>
      </c>
      <c r="AC33" s="682" t="s">
        <v>1553</v>
      </c>
      <c r="AD33" s="680" t="s">
        <v>766</v>
      </c>
      <c r="AE33" s="1141"/>
      <c r="AF33" s="1141"/>
      <c r="AG33" s="1141"/>
      <c r="AH33" s="1015">
        <f t="shared" si="2"/>
        <v>0</v>
      </c>
      <c r="AI33" s="1141"/>
      <c r="AJ33" s="1473"/>
      <c r="AK33" s="1016"/>
      <c r="AL33" s="1016"/>
      <c r="AM33" s="1016"/>
      <c r="AN33" s="1016"/>
      <c r="AO33" s="1016"/>
      <c r="AP33" s="1016"/>
      <c r="AQ33" s="1016"/>
      <c r="AR33" s="1016"/>
      <c r="AS33" s="1016"/>
      <c r="AT33" s="1473"/>
      <c r="AU33" s="1016"/>
      <c r="AV33" s="1016"/>
      <c r="AW33" s="1016"/>
      <c r="AX33" s="1016"/>
      <c r="AY33" s="1016"/>
      <c r="AZ33" s="1016"/>
      <c r="BA33" s="1016"/>
      <c r="BB33" s="1016"/>
      <c r="BC33" s="1016"/>
      <c r="BD33" s="1015">
        <f t="shared" si="5"/>
        <v>0</v>
      </c>
      <c r="BE33" s="1016"/>
      <c r="BF33" s="1016"/>
      <c r="BG33" s="1016"/>
      <c r="BH33" s="1016"/>
      <c r="BI33" s="1016"/>
      <c r="BJ33" s="1016"/>
      <c r="BK33" s="1016"/>
      <c r="BL33" s="1016"/>
      <c r="BM33" s="1016"/>
      <c r="BN33" s="1138"/>
      <c r="BO33" s="1138"/>
      <c r="BP33" s="1138"/>
      <c r="BS33" s="964" t="s">
        <v>1554</v>
      </c>
    </row>
    <row r="34" spans="2:75" ht="21.95" hidden="1" customHeight="1">
      <c r="C34" s="26"/>
      <c r="D34" s="26"/>
      <c r="E34" s="538">
        <v>22.5</v>
      </c>
      <c r="F34" s="3" cm="1">
        <f t="array" aca="1" ref="F34" ca="1">OFFSET(E34,-1,1)</f>
        <v>0</v>
      </c>
      <c r="G34" s="26"/>
      <c r="H34" s="771"/>
      <c r="I34" s="771" t="s">
        <v>1189</v>
      </c>
      <c r="J34" s="26"/>
      <c r="K34" s="290" t="s">
        <v>1189</v>
      </c>
      <c r="L34" s="882" t="s">
        <v>434</v>
      </c>
      <c r="M34" s="26"/>
      <c r="N34" s="26"/>
      <c r="O34" s="26"/>
      <c r="P34" s="26"/>
      <c r="Q34" s="26"/>
      <c r="R34" s="26"/>
      <c r="S34" s="26"/>
      <c r="T34" s="381" t="b" cm="1">
        <f t="array" ref="T34">T33</f>
        <v>0</v>
      </c>
      <c r="U34" s="26"/>
      <c r="V34" s="26"/>
      <c r="W34" s="26"/>
      <c r="X34" s="1787"/>
      <c r="Z34" s="1735"/>
      <c r="AB34" s="216" t="s">
        <v>1190</v>
      </c>
      <c r="AC34" s="679" t="s">
        <v>1772</v>
      </c>
      <c r="AD34" s="680" t="s">
        <v>766</v>
      </c>
      <c r="AE34" s="1141"/>
      <c r="AF34" s="1141"/>
      <c r="AG34" s="1141"/>
      <c r="AH34" s="1015">
        <f t="shared" si="2"/>
        <v>0</v>
      </c>
      <c r="AI34" s="1141"/>
      <c r="AJ34" s="1473"/>
      <c r="AK34" s="1016"/>
      <c r="AL34" s="1016"/>
      <c r="AM34" s="1016"/>
      <c r="AN34" s="1016"/>
      <c r="AO34" s="1016"/>
      <c r="AP34" s="1016"/>
      <c r="AQ34" s="1016"/>
      <c r="AR34" s="1016"/>
      <c r="AS34" s="1016"/>
      <c r="AT34" s="1473"/>
      <c r="AU34" s="1016"/>
      <c r="AV34" s="1016"/>
      <c r="AW34" s="1016"/>
      <c r="AX34" s="1016"/>
      <c r="AY34" s="1016"/>
      <c r="AZ34" s="1016"/>
      <c r="BA34" s="1016"/>
      <c r="BB34" s="1016"/>
      <c r="BC34" s="1016"/>
      <c r="BD34" s="1015">
        <f t="shared" si="5"/>
        <v>0</v>
      </c>
      <c r="BE34" s="1016"/>
      <c r="BF34" s="1016"/>
      <c r="BG34" s="1016"/>
      <c r="BH34" s="1016"/>
      <c r="BI34" s="1016"/>
      <c r="BJ34" s="1016"/>
      <c r="BK34" s="1016"/>
      <c r="BL34" s="1016"/>
      <c r="BM34" s="1016"/>
      <c r="BN34" s="1138"/>
      <c r="BO34" s="1138"/>
      <c r="BP34" s="1138"/>
      <c r="BS34" s="965" t="s">
        <v>1579</v>
      </c>
    </row>
    <row r="35" spans="2:75" ht="21.95" hidden="1" customHeight="1">
      <c r="C35" s="26"/>
      <c r="D35" s="26"/>
      <c r="E35" s="538">
        <v>22.5</v>
      </c>
      <c r="F35" s="3" cm="1">
        <f t="array" aca="1" ref="F35" ca="1">OFFSET(E35,-1,1)</f>
        <v>0</v>
      </c>
      <c r="G35" s="26"/>
      <c r="H35" s="771"/>
      <c r="I35" s="771" t="s">
        <v>1193</v>
      </c>
      <c r="J35" s="26"/>
      <c r="K35" s="290" t="s">
        <v>1193</v>
      </c>
      <c r="L35" s="882" t="s">
        <v>438</v>
      </c>
      <c r="M35" s="26"/>
      <c r="N35" s="26"/>
      <c r="O35" s="26"/>
      <c r="P35" s="26"/>
      <c r="Q35" s="26"/>
      <c r="R35" s="26"/>
      <c r="S35" s="26"/>
      <c r="T35" s="381" t="b" cm="1">
        <f t="array" ref="T35">T34</f>
        <v>0</v>
      </c>
      <c r="U35" s="26"/>
      <c r="V35" s="26"/>
      <c r="W35" s="26"/>
      <c r="X35" s="1787"/>
      <c r="Z35" s="1735"/>
      <c r="AB35" s="216" t="s">
        <v>1194</v>
      </c>
      <c r="AC35" s="679" t="s">
        <v>1773</v>
      </c>
      <c r="AD35" s="680" t="s">
        <v>766</v>
      </c>
      <c r="AE35" s="1017">
        <f ca="1">AE36+AE37</f>
        <v>0</v>
      </c>
      <c r="AF35" s="1017">
        <f ca="1">AF36+AF37</f>
        <v>0</v>
      </c>
      <c r="AG35" s="1017">
        <f ca="1">AG36+AG37</f>
        <v>0</v>
      </c>
      <c r="AH35" s="1015">
        <f t="shared" ca="1" si="2"/>
        <v>0</v>
      </c>
      <c r="AI35" s="1017">
        <f ca="1">AI36+AI37</f>
        <v>0</v>
      </c>
      <c r="AJ35" s="1017">
        <f ca="1">AJ36+AJ37</f>
        <v>0</v>
      </c>
      <c r="AK35" s="1016"/>
      <c r="AL35" s="1016"/>
      <c r="AM35" s="1016"/>
      <c r="AN35" s="1016"/>
      <c r="AO35" s="1016"/>
      <c r="AP35" s="1016"/>
      <c r="AQ35" s="1016"/>
      <c r="AR35" s="1016"/>
      <c r="AS35" s="1016"/>
      <c r="AT35" s="1017">
        <f ca="1">AT36+AT37</f>
        <v>0</v>
      </c>
      <c r="AU35" s="1016"/>
      <c r="AV35" s="1016"/>
      <c r="AW35" s="1016"/>
      <c r="AX35" s="1016"/>
      <c r="AY35" s="1016"/>
      <c r="AZ35" s="1016"/>
      <c r="BA35" s="1016"/>
      <c r="BB35" s="1016"/>
      <c r="BC35" s="1016"/>
      <c r="BD35" s="1015">
        <f t="shared" ca="1" si="5"/>
        <v>0</v>
      </c>
      <c r="BE35" s="1016"/>
      <c r="BF35" s="1016"/>
      <c r="BG35" s="1016"/>
      <c r="BH35" s="1016"/>
      <c r="BI35" s="1016"/>
      <c r="BJ35" s="1016"/>
      <c r="BK35" s="1016"/>
      <c r="BL35" s="1016"/>
      <c r="BM35" s="1016"/>
      <c r="BN35" s="1138"/>
      <c r="BO35" s="1138"/>
      <c r="BP35" s="1138"/>
      <c r="BS35" s="965" t="s">
        <v>1774</v>
      </c>
    </row>
    <row r="36" spans="2:75" ht="14.65" hidden="1" customHeight="1">
      <c r="C36" s="26"/>
      <c r="D36" s="26"/>
      <c r="E36" s="538">
        <v>15</v>
      </c>
      <c r="F36" s="3" cm="1">
        <f t="array" aca="1" ref="F36" ca="1">OFFSET(E36,-1,1)</f>
        <v>0</v>
      </c>
      <c r="G36" s="286" t="s">
        <v>1011</v>
      </c>
      <c r="H36" s="771"/>
      <c r="I36" s="771" t="s">
        <v>1337</v>
      </c>
      <c r="J36" s="26"/>
      <c r="K36" s="290" t="s">
        <v>1337</v>
      </c>
      <c r="L36" s="882" t="s">
        <v>1213</v>
      </c>
      <c r="M36" s="26"/>
      <c r="N36" s="26"/>
      <c r="O36" s="26"/>
      <c r="P36" s="26"/>
      <c r="Q36" s="26"/>
      <c r="R36" s="26"/>
      <c r="S36" s="26"/>
      <c r="T36" s="381" t="b" cm="1">
        <f t="array" ref="T36">T35</f>
        <v>0</v>
      </c>
      <c r="U36" s="26"/>
      <c r="V36" s="26"/>
      <c r="W36" s="26"/>
      <c r="X36" s="1787"/>
      <c r="Z36" s="1735"/>
      <c r="AB36" s="216" t="s">
        <v>1775</v>
      </c>
      <c r="AC36" s="682" t="s">
        <v>1582</v>
      </c>
      <c r="AD36" s="680" t="s">
        <v>766</v>
      </c>
      <c r="AE36" s="1015">
        <f ca="1">SUMIFS(ФОТ!AE$25:AE$77,ФОТ!$F$25:$F$77,$F36,ФОТ!$G$25:$G$77,$G36)</f>
        <v>0</v>
      </c>
      <c r="AF36" s="1015">
        <f ca="1">SUMIFS(ФОТ!AF$25:AF$77,ФОТ!$F$25:$F$77,$F36,ФОТ!$G$25:$G$77,$G36)</f>
        <v>0</v>
      </c>
      <c r="AG36" s="1015">
        <f ca="1">SUMIFS(ФОТ!AG$25:AG$77,ФОТ!$F$25:$F$77,$F36,ФОТ!$G$25:$G$77,$G36)</f>
        <v>0</v>
      </c>
      <c r="AH36" s="1015">
        <f t="shared" ca="1" si="2"/>
        <v>0</v>
      </c>
      <c r="AI36" s="1015">
        <f ca="1">SUMIFS(ФОТ!AH$25:AH$77,ФОТ!$F$25:$F$77,$F36,ФОТ!$G$25:$G$77,$G36)</f>
        <v>0</v>
      </c>
      <c r="AJ36" s="1015">
        <f ca="1">SUMIFS(ФОТ!AI$25:AI$77,ФОТ!$F$25:$F$77,$F36,ФОТ!$G$25:$G$77,$G36)</f>
        <v>0</v>
      </c>
      <c r="AK36" s="1016"/>
      <c r="AL36" s="1016"/>
      <c r="AM36" s="1016"/>
      <c r="AN36" s="1016"/>
      <c r="AO36" s="1016"/>
      <c r="AP36" s="1016"/>
      <c r="AQ36" s="1016"/>
      <c r="AR36" s="1016"/>
      <c r="AS36" s="1016"/>
      <c r="AT36" s="1015">
        <f ca="1">SUMIFS(ФОТ!AJ$25:AJ$77,ФОТ!$F$25:$F$77,$F36,ФОТ!$G$25:$G$77,$G36)</f>
        <v>0</v>
      </c>
      <c r="AU36" s="1016"/>
      <c r="AV36" s="1016"/>
      <c r="AW36" s="1016"/>
      <c r="AX36" s="1016"/>
      <c r="AY36" s="1016"/>
      <c r="AZ36" s="1016"/>
      <c r="BA36" s="1016"/>
      <c r="BB36" s="1016"/>
      <c r="BC36" s="1016"/>
      <c r="BD36" s="1015">
        <f t="shared" ca="1" si="5"/>
        <v>0</v>
      </c>
      <c r="BE36" s="1016"/>
      <c r="BF36" s="1016"/>
      <c r="BG36" s="1016"/>
      <c r="BH36" s="1016"/>
      <c r="BI36" s="1016"/>
      <c r="BJ36" s="1016"/>
      <c r="BK36" s="1016"/>
      <c r="BL36" s="1016"/>
      <c r="BM36" s="1016"/>
      <c r="BN36" s="1138"/>
      <c r="BO36" s="1142" t="str">
        <f ca="1">IF(IFERROR(INDEX(ФОТ!$K$26:$L$77,MATCH($F36&amp;"1komm",ФОТ!$K$26:$K$77,0),2),"")=0,"",IFERROR(INDEX(ФОТ!$K$26:$L$77,MATCH($F36&amp;"1komm",ФОТ!$K$26:$K$77,0),2),""))</f>
        <v/>
      </c>
      <c r="BP36" s="1138"/>
      <c r="BS36" s="964" t="s">
        <v>1583</v>
      </c>
    </row>
    <row r="37" spans="2:75" ht="21.95" hidden="1" customHeight="1">
      <c r="C37" s="26"/>
      <c r="D37" s="26"/>
      <c r="E37" s="538">
        <v>22.5</v>
      </c>
      <c r="F37" s="3" cm="1">
        <f t="array" aca="1" ref="F37" ca="1">OFFSET(E37,-1,1)</f>
        <v>0</v>
      </c>
      <c r="G37" s="286" t="s">
        <v>1023</v>
      </c>
      <c r="H37" s="771"/>
      <c r="I37" s="771" t="s">
        <v>1341</v>
      </c>
      <c r="J37" s="26"/>
      <c r="K37" s="290" t="s">
        <v>1341</v>
      </c>
      <c r="L37" s="882" t="s">
        <v>1214</v>
      </c>
      <c r="M37" s="26"/>
      <c r="N37" s="26"/>
      <c r="O37" s="26"/>
      <c r="P37" s="26"/>
      <c r="Q37" s="26"/>
      <c r="R37" s="26"/>
      <c r="S37" s="26"/>
      <c r="T37" s="381" t="b" cm="1">
        <f t="array" ref="T37">T36</f>
        <v>0</v>
      </c>
      <c r="U37" s="26"/>
      <c r="V37" s="26"/>
      <c r="W37" s="26"/>
      <c r="X37" s="1787"/>
      <c r="Z37" s="1735"/>
      <c r="AB37" s="216" t="s">
        <v>1776</v>
      </c>
      <c r="AC37" s="682" t="s">
        <v>1777</v>
      </c>
      <c r="AD37" s="680" t="s">
        <v>766</v>
      </c>
      <c r="AE37" s="1015">
        <f ca="1">SUMIFS(ФОТ!AE$25:AE$77,ФОТ!$F$25:$F$77,$F37,ФОТ!$G$25:$G$77,$G37)</f>
        <v>0</v>
      </c>
      <c r="AF37" s="1015">
        <f ca="1">SUMIFS(ФОТ!AF$25:AF$77,ФОТ!$F$25:$F$77,$F37,ФОТ!$G$25:$G$77,$G37)</f>
        <v>0</v>
      </c>
      <c r="AG37" s="1015">
        <f ca="1">SUMIFS(ФОТ!AG$25:AG$77,ФОТ!$F$25:$F$77,$F37,ФОТ!$G$25:$G$77,$G37)</f>
        <v>0</v>
      </c>
      <c r="AH37" s="1015">
        <f t="shared" ca="1" si="2"/>
        <v>0</v>
      </c>
      <c r="AI37" s="1015">
        <f ca="1">SUMIFS(ФОТ!AH$25:AH$77,ФОТ!$F$25:$F$77,$F37,ФОТ!$G$25:$G$77,$G37)</f>
        <v>0</v>
      </c>
      <c r="AJ37" s="1015">
        <f ca="1">SUMIFS(ФОТ!AI$25:AI$77,ФОТ!$F$25:$F$77,$F37,ФОТ!$G$25:$G$77,$G37)</f>
        <v>0</v>
      </c>
      <c r="AK37" s="1016"/>
      <c r="AL37" s="1016"/>
      <c r="AM37" s="1016"/>
      <c r="AN37" s="1016"/>
      <c r="AO37" s="1016"/>
      <c r="AP37" s="1016"/>
      <c r="AQ37" s="1016"/>
      <c r="AR37" s="1016"/>
      <c r="AS37" s="1016"/>
      <c r="AT37" s="1015">
        <f ca="1">SUMIFS(ФОТ!AJ$25:AJ$77,ФОТ!$F$25:$F$77,$F37,ФОТ!$G$25:$G$77,$G37)</f>
        <v>0</v>
      </c>
      <c r="AU37" s="1016"/>
      <c r="AV37" s="1016"/>
      <c r="AW37" s="1016"/>
      <c r="AX37" s="1016"/>
      <c r="AY37" s="1016"/>
      <c r="AZ37" s="1016"/>
      <c r="BA37" s="1016"/>
      <c r="BB37" s="1016"/>
      <c r="BC37" s="1016"/>
      <c r="BD37" s="1015">
        <f t="shared" ca="1" si="5"/>
        <v>0</v>
      </c>
      <c r="BE37" s="1016"/>
      <c r="BF37" s="1016"/>
      <c r="BG37" s="1016"/>
      <c r="BH37" s="1016"/>
      <c r="BI37" s="1016"/>
      <c r="BJ37" s="1016"/>
      <c r="BK37" s="1016"/>
      <c r="BL37" s="1016"/>
      <c r="BM37" s="1016"/>
      <c r="BN37" s="1138"/>
      <c r="BO37" s="1142" t="str">
        <f ca="1">IF(IFERROR(INDEX(ФОТ!$K$26:$L$77,MATCH($F37&amp;"2komm",ФОТ!$K$26:$K$77,0),2),"")=0,"",IFERROR(INDEX(ФОТ!$K$26:$L$77,MATCH($F37&amp;"2komm",ФОТ!$K$26:$K$77,0),2),""))</f>
        <v/>
      </c>
      <c r="BP37" s="1138"/>
      <c r="BS37" s="964" t="s">
        <v>1585</v>
      </c>
    </row>
    <row r="38" spans="2:75" ht="14.65" hidden="1" customHeight="1">
      <c r="C38" s="26"/>
      <c r="D38" s="26"/>
      <c r="E38" s="538">
        <v>15</v>
      </c>
      <c r="F38" s="3" cm="1">
        <f t="array" aca="1" ref="F38" ca="1">OFFSET(E38,-1,1)</f>
        <v>0</v>
      </c>
      <c r="G38" s="26"/>
      <c r="H38" s="771"/>
      <c r="I38" s="771" t="s">
        <v>1352</v>
      </c>
      <c r="J38" s="26"/>
      <c r="K38" s="290" t="s">
        <v>1352</v>
      </c>
      <c r="L38" s="882" t="s">
        <v>1587</v>
      </c>
      <c r="M38" s="26"/>
      <c r="N38" s="26"/>
      <c r="O38" s="26"/>
      <c r="P38" s="26"/>
      <c r="Q38" s="26"/>
      <c r="R38" s="26"/>
      <c r="S38" s="26"/>
      <c r="T38" s="381" t="b" cm="1">
        <f t="array" ref="T38">T37</f>
        <v>0</v>
      </c>
      <c r="U38" s="26"/>
      <c r="V38" s="26"/>
      <c r="W38" s="26"/>
      <c r="X38" s="1787"/>
      <c r="Z38" s="1735"/>
      <c r="AB38" s="216" t="s">
        <v>1561</v>
      </c>
      <c r="AC38" s="679" t="s">
        <v>1778</v>
      </c>
      <c r="AD38" s="680" t="s">
        <v>766</v>
      </c>
      <c r="AE38" s="1141"/>
      <c r="AF38" s="1141"/>
      <c r="AG38" s="1141"/>
      <c r="AH38" s="1015">
        <f t="shared" si="2"/>
        <v>0</v>
      </c>
      <c r="AI38" s="1141"/>
      <c r="AJ38" s="1473"/>
      <c r="AK38" s="1016"/>
      <c r="AL38" s="1016"/>
      <c r="AM38" s="1016"/>
      <c r="AN38" s="1016"/>
      <c r="AO38" s="1016"/>
      <c r="AP38" s="1016"/>
      <c r="AQ38" s="1016"/>
      <c r="AR38" s="1016"/>
      <c r="AS38" s="1016"/>
      <c r="AT38" s="1473"/>
      <c r="AU38" s="1016"/>
      <c r="AV38" s="1016"/>
      <c r="AW38" s="1016"/>
      <c r="AX38" s="1016"/>
      <c r="AY38" s="1016"/>
      <c r="AZ38" s="1016"/>
      <c r="BA38" s="1016"/>
      <c r="BB38" s="1016"/>
      <c r="BC38" s="1016"/>
      <c r="BD38" s="1015">
        <f t="shared" si="5"/>
        <v>0</v>
      </c>
      <c r="BE38" s="1016"/>
      <c r="BF38" s="1016"/>
      <c r="BG38" s="1016"/>
      <c r="BH38" s="1016"/>
      <c r="BI38" s="1016"/>
      <c r="BJ38" s="1016"/>
      <c r="BK38" s="1016"/>
      <c r="BL38" s="1016"/>
      <c r="BM38" s="1016"/>
      <c r="BN38" s="1138"/>
      <c r="BO38" s="1138"/>
      <c r="BP38" s="1138"/>
      <c r="BS38" s="965" t="s">
        <v>1590</v>
      </c>
    </row>
    <row r="39" spans="2:75" ht="14.65" hidden="1" customHeight="1">
      <c r="C39" s="26"/>
      <c r="D39" s="26"/>
      <c r="E39" s="538">
        <v>15</v>
      </c>
      <c r="F39" s="3" cm="1">
        <f t="array" aca="1" ref="F39" ca="1">OFFSET(E39,-1,1)</f>
        <v>0</v>
      </c>
      <c r="G39" s="26"/>
      <c r="H39" s="771"/>
      <c r="I39" s="771" t="s">
        <v>1356</v>
      </c>
      <c r="J39" s="26"/>
      <c r="K39" s="290" t="s">
        <v>1356</v>
      </c>
      <c r="L39" s="882" t="s">
        <v>1591</v>
      </c>
      <c r="N39" s="26"/>
      <c r="O39" s="26"/>
      <c r="P39" s="26"/>
      <c r="Q39" s="26"/>
      <c r="R39" s="26"/>
      <c r="S39" s="26"/>
      <c r="T39" s="381" t="b" cm="1">
        <f t="array" ref="T39">T38</f>
        <v>0</v>
      </c>
      <c r="U39" s="26"/>
      <c r="V39" s="26"/>
      <c r="W39" s="26"/>
      <c r="X39" s="1787"/>
      <c r="Z39" s="1735"/>
      <c r="AB39" s="216" t="s">
        <v>1563</v>
      </c>
      <c r="AC39" s="679" t="s">
        <v>1779</v>
      </c>
      <c r="AD39" s="216" t="s">
        <v>766</v>
      </c>
      <c r="AE39" s="1017">
        <f>SUM(AE40:AE46)</f>
        <v>0</v>
      </c>
      <c r="AF39" s="1017">
        <f>SUM(AF40:AF46)</f>
        <v>0</v>
      </c>
      <c r="AG39" s="1017">
        <f>SUM(AG40:AG46)</f>
        <v>0</v>
      </c>
      <c r="AH39" s="1015">
        <f t="shared" si="2"/>
        <v>0</v>
      </c>
      <c r="AI39" s="1017">
        <f>SUM(AI40:AI46)</f>
        <v>0</v>
      </c>
      <c r="AJ39" s="1017">
        <f>SUM(AJ40:AJ46)</f>
        <v>0</v>
      </c>
      <c r="AK39" s="1016"/>
      <c r="AL39" s="1016"/>
      <c r="AM39" s="1016"/>
      <c r="AN39" s="1016"/>
      <c r="AO39" s="1016"/>
      <c r="AP39" s="1016"/>
      <c r="AQ39" s="1016"/>
      <c r="AR39" s="1016"/>
      <c r="AS39" s="1016"/>
      <c r="AT39" s="1017">
        <f>SUM(AT40:AT46)</f>
        <v>0</v>
      </c>
      <c r="AU39" s="1016"/>
      <c r="AV39" s="1016"/>
      <c r="AW39" s="1016"/>
      <c r="AX39" s="1016"/>
      <c r="AY39" s="1016"/>
      <c r="AZ39" s="1016"/>
      <c r="BA39" s="1016"/>
      <c r="BB39" s="1016"/>
      <c r="BC39" s="1016"/>
      <c r="BD39" s="1015">
        <f t="shared" si="5"/>
        <v>0</v>
      </c>
      <c r="BE39" s="1016"/>
      <c r="BF39" s="1016"/>
      <c r="BG39" s="1016"/>
      <c r="BH39" s="1016"/>
      <c r="BI39" s="1016"/>
      <c r="BJ39" s="1016"/>
      <c r="BK39" s="1016"/>
      <c r="BL39" s="1016"/>
      <c r="BM39" s="1016"/>
      <c r="BN39" s="1138"/>
      <c r="BO39" s="1138"/>
      <c r="BP39" s="1138"/>
      <c r="BS39" s="965" t="s">
        <v>1780</v>
      </c>
    </row>
    <row r="40" spans="2:75" ht="14.65" hidden="1" customHeight="1">
      <c r="C40" s="26"/>
      <c r="D40" s="26"/>
      <c r="E40" s="538">
        <v>15</v>
      </c>
      <c r="F40" s="3" cm="1">
        <f t="array" aca="1" ref="F40" ca="1">OFFSET(E40,-1,1)</f>
        <v>0</v>
      </c>
      <c r="G40" s="26"/>
      <c r="H40" s="771"/>
      <c r="I40" s="771" t="s">
        <v>1781</v>
      </c>
      <c r="J40" s="26"/>
      <c r="K40" s="290" t="s">
        <v>1781</v>
      </c>
      <c r="L40" s="882" t="s">
        <v>1591</v>
      </c>
      <c r="M40" s="26" t="s">
        <v>1599</v>
      </c>
      <c r="N40" s="26"/>
      <c r="O40" s="26"/>
      <c r="P40" s="26"/>
      <c r="Q40" s="26"/>
      <c r="R40" s="26"/>
      <c r="S40" s="26"/>
      <c r="T40" s="381" t="b" cm="1">
        <f t="array" ref="T40">T39</f>
        <v>0</v>
      </c>
      <c r="U40" s="26"/>
      <c r="V40" s="26"/>
      <c r="W40" s="26"/>
      <c r="X40" s="1787"/>
      <c r="Z40" s="1735"/>
      <c r="AB40" s="216" t="s">
        <v>1782</v>
      </c>
      <c r="AC40" s="682" t="s">
        <v>1783</v>
      </c>
      <c r="AD40" s="216" t="s">
        <v>766</v>
      </c>
      <c r="AE40" s="1141"/>
      <c r="AF40" s="1141"/>
      <c r="AG40" s="1141"/>
      <c r="AH40" s="1015">
        <f t="shared" si="2"/>
        <v>0</v>
      </c>
      <c r="AI40" s="1141"/>
      <c r="AJ40" s="1473"/>
      <c r="AK40" s="1016"/>
      <c r="AL40" s="1016"/>
      <c r="AM40" s="1016"/>
      <c r="AN40" s="1016"/>
      <c r="AO40" s="1016"/>
      <c r="AP40" s="1016"/>
      <c r="AQ40" s="1016"/>
      <c r="AR40" s="1016"/>
      <c r="AS40" s="1016"/>
      <c r="AT40" s="1473"/>
      <c r="AU40" s="1016"/>
      <c r="AV40" s="1016"/>
      <c r="AW40" s="1016"/>
      <c r="AX40" s="1016"/>
      <c r="AY40" s="1016"/>
      <c r="AZ40" s="1016"/>
      <c r="BA40" s="1016"/>
      <c r="BB40" s="1016"/>
      <c r="BC40" s="1016"/>
      <c r="BD40" s="1015">
        <f t="shared" si="5"/>
        <v>0</v>
      </c>
      <c r="BE40" s="1016"/>
      <c r="BF40" s="1016"/>
      <c r="BG40" s="1016"/>
      <c r="BH40" s="1016"/>
      <c r="BI40" s="1016"/>
      <c r="BJ40" s="1016"/>
      <c r="BK40" s="1016"/>
      <c r="BL40" s="1016"/>
      <c r="BM40" s="1016"/>
      <c r="BN40" s="1138"/>
      <c r="BO40" s="1138"/>
      <c r="BP40" s="1138"/>
      <c r="BS40" s="964" t="s">
        <v>1602</v>
      </c>
    </row>
    <row r="41" spans="2:75" ht="21.95" hidden="1" customHeight="1">
      <c r="C41" s="26"/>
      <c r="D41" s="26"/>
      <c r="E41" s="538">
        <v>22.5</v>
      </c>
      <c r="F41" s="3" cm="1">
        <f t="array" aca="1" ref="F41" ca="1">OFFSET(E41,-1,1)</f>
        <v>0</v>
      </c>
      <c r="G41" s="26"/>
      <c r="H41" s="771"/>
      <c r="I41" s="771" t="s">
        <v>1784</v>
      </c>
      <c r="J41" s="26"/>
      <c r="K41" s="290" t="s">
        <v>1784</v>
      </c>
      <c r="L41" s="882" t="s">
        <v>1591</v>
      </c>
      <c r="M41" s="26" t="s">
        <v>1595</v>
      </c>
      <c r="N41" s="26"/>
      <c r="O41" s="26"/>
      <c r="P41" s="26"/>
      <c r="Q41" s="26"/>
      <c r="R41" s="26"/>
      <c r="S41" s="26"/>
      <c r="T41" s="381" t="b" cm="1">
        <f t="array" ref="T41">T40</f>
        <v>0</v>
      </c>
      <c r="U41" s="26"/>
      <c r="V41" s="26"/>
      <c r="W41" s="26"/>
      <c r="X41" s="1787"/>
      <c r="Z41" s="1735"/>
      <c r="AB41" s="216" t="s">
        <v>1785</v>
      </c>
      <c r="AC41" s="682" t="s">
        <v>1786</v>
      </c>
      <c r="AD41" s="216" t="s">
        <v>766</v>
      </c>
      <c r="AE41" s="1141"/>
      <c r="AF41" s="1141"/>
      <c r="AG41" s="1141"/>
      <c r="AH41" s="1015">
        <f t="shared" si="2"/>
        <v>0</v>
      </c>
      <c r="AI41" s="1141"/>
      <c r="AJ41" s="1473"/>
      <c r="AK41" s="1016"/>
      <c r="AL41" s="1016"/>
      <c r="AM41" s="1016"/>
      <c r="AN41" s="1016"/>
      <c r="AO41" s="1016"/>
      <c r="AP41" s="1016"/>
      <c r="AQ41" s="1016"/>
      <c r="AR41" s="1016"/>
      <c r="AS41" s="1016"/>
      <c r="AT41" s="1473"/>
      <c r="AU41" s="1016"/>
      <c r="AV41" s="1016"/>
      <c r="AW41" s="1016"/>
      <c r="AX41" s="1016"/>
      <c r="AY41" s="1016"/>
      <c r="AZ41" s="1016"/>
      <c r="BA41" s="1016"/>
      <c r="BB41" s="1016"/>
      <c r="BC41" s="1016"/>
      <c r="BD41" s="1015">
        <f t="shared" si="5"/>
        <v>0</v>
      </c>
      <c r="BE41" s="1016"/>
      <c r="BF41" s="1016"/>
      <c r="BG41" s="1016"/>
      <c r="BH41" s="1016"/>
      <c r="BI41" s="1016"/>
      <c r="BJ41" s="1016"/>
      <c r="BK41" s="1016"/>
      <c r="BL41" s="1016"/>
      <c r="BM41" s="1016"/>
      <c r="BN41" s="1138"/>
      <c r="BO41" s="1138"/>
      <c r="BP41" s="1138"/>
      <c r="BS41" s="966" t="s">
        <v>1787</v>
      </c>
    </row>
    <row r="42" spans="2:75" ht="21.95" hidden="1" customHeight="1">
      <c r="C42" s="26"/>
      <c r="D42" s="26"/>
      <c r="E42" s="538">
        <v>22.5</v>
      </c>
      <c r="F42" s="3" cm="1">
        <f t="array" aca="1" ref="F42" ca="1">OFFSET(E42,-1,1)</f>
        <v>0</v>
      </c>
      <c r="G42" s="26"/>
      <c r="H42" s="771"/>
      <c r="I42" s="771" t="s">
        <v>1788</v>
      </c>
      <c r="J42" s="26"/>
      <c r="K42" s="290" t="s">
        <v>1788</v>
      </c>
      <c r="N42" s="26"/>
      <c r="O42" s="26"/>
      <c r="P42" s="26"/>
      <c r="Q42" s="26"/>
      <c r="R42" s="26"/>
      <c r="S42" s="26"/>
      <c r="T42" s="381" t="b" cm="1">
        <f t="array" ref="T42">T41</f>
        <v>0</v>
      </c>
      <c r="U42" s="26"/>
      <c r="V42" s="26"/>
      <c r="W42" s="26"/>
      <c r="X42" s="1787"/>
      <c r="Z42" s="1735"/>
      <c r="AB42" s="216" t="s">
        <v>1789</v>
      </c>
      <c r="AC42" s="683" t="s">
        <v>1790</v>
      </c>
      <c r="AD42" s="216" t="s">
        <v>766</v>
      </c>
      <c r="AE42" s="1141"/>
      <c r="AF42" s="1141"/>
      <c r="AG42" s="1141"/>
      <c r="AH42" s="1015">
        <f t="shared" si="2"/>
        <v>0</v>
      </c>
      <c r="AI42" s="1141"/>
      <c r="AJ42" s="1473"/>
      <c r="AK42" s="1016"/>
      <c r="AL42" s="1016"/>
      <c r="AM42" s="1016"/>
      <c r="AN42" s="1016"/>
      <c r="AO42" s="1016"/>
      <c r="AP42" s="1016"/>
      <c r="AQ42" s="1016"/>
      <c r="AR42" s="1016"/>
      <c r="AS42" s="1016"/>
      <c r="AT42" s="1473"/>
      <c r="AU42" s="1016"/>
      <c r="AV42" s="1016"/>
      <c r="AW42" s="1016"/>
      <c r="AX42" s="1016"/>
      <c r="AY42" s="1016"/>
      <c r="AZ42" s="1016"/>
      <c r="BA42" s="1016"/>
      <c r="BB42" s="1016"/>
      <c r="BC42" s="1016"/>
      <c r="BD42" s="1015">
        <f t="shared" si="5"/>
        <v>0</v>
      </c>
      <c r="BE42" s="1016"/>
      <c r="BF42" s="1016"/>
      <c r="BG42" s="1016"/>
      <c r="BH42" s="1016"/>
      <c r="BI42" s="1016"/>
      <c r="BJ42" s="1016"/>
      <c r="BK42" s="1016"/>
      <c r="BL42" s="1016"/>
      <c r="BM42" s="1016"/>
      <c r="BN42" s="1138"/>
      <c r="BO42" s="1138"/>
      <c r="BP42" s="1138"/>
      <c r="BS42" s="966" t="s">
        <v>1791</v>
      </c>
    </row>
    <row r="43" spans="2:75" ht="21.95" hidden="1" customHeight="1">
      <c r="C43" s="26"/>
      <c r="D43" s="26"/>
      <c r="E43" s="538">
        <v>22.5</v>
      </c>
      <c r="F43" s="3" cm="1">
        <f t="array" aca="1" ref="F43" ca="1">OFFSET(E43,-1,1)</f>
        <v>0</v>
      </c>
      <c r="G43" s="26"/>
      <c r="H43" s="771"/>
      <c r="I43" s="771" t="s">
        <v>1792</v>
      </c>
      <c r="J43" s="26"/>
      <c r="K43" s="290" t="s">
        <v>1792</v>
      </c>
      <c r="L43" s="882"/>
      <c r="N43" s="26"/>
      <c r="O43" s="26"/>
      <c r="P43" s="26"/>
      <c r="Q43" s="26"/>
      <c r="R43" s="26"/>
      <c r="S43" s="26"/>
      <c r="T43" s="381" t="b" cm="1">
        <f t="array" ref="T43">T42</f>
        <v>0</v>
      </c>
      <c r="U43" s="26"/>
      <c r="V43" s="26"/>
      <c r="W43" s="26"/>
      <c r="X43" s="1787"/>
      <c r="Z43" s="1735"/>
      <c r="AB43" s="216" t="s">
        <v>1793</v>
      </c>
      <c r="AC43" s="683" t="s">
        <v>1794</v>
      </c>
      <c r="AD43" s="216" t="s">
        <v>766</v>
      </c>
      <c r="AE43" s="1141"/>
      <c r="AF43" s="1141"/>
      <c r="AG43" s="1141"/>
      <c r="AH43" s="1015">
        <f t="shared" si="2"/>
        <v>0</v>
      </c>
      <c r="AI43" s="1141"/>
      <c r="AJ43" s="1473"/>
      <c r="AK43" s="1016"/>
      <c r="AL43" s="1016"/>
      <c r="AM43" s="1016"/>
      <c r="AN43" s="1016"/>
      <c r="AO43" s="1016"/>
      <c r="AP43" s="1016"/>
      <c r="AQ43" s="1016"/>
      <c r="AR43" s="1016"/>
      <c r="AS43" s="1016"/>
      <c r="AT43" s="1473"/>
      <c r="AU43" s="1016"/>
      <c r="AV43" s="1016"/>
      <c r="AW43" s="1016"/>
      <c r="AX43" s="1016"/>
      <c r="AY43" s="1016"/>
      <c r="AZ43" s="1016"/>
      <c r="BA43" s="1016"/>
      <c r="BB43" s="1016"/>
      <c r="BC43" s="1016"/>
      <c r="BD43" s="1015">
        <f t="shared" si="5"/>
        <v>0</v>
      </c>
      <c r="BE43" s="1016"/>
      <c r="BF43" s="1016"/>
      <c r="BG43" s="1016"/>
      <c r="BH43" s="1016"/>
      <c r="BI43" s="1016"/>
      <c r="BJ43" s="1016"/>
      <c r="BK43" s="1016"/>
      <c r="BL43" s="1016"/>
      <c r="BM43" s="1016"/>
      <c r="BN43" s="1138"/>
      <c r="BO43" s="1138"/>
      <c r="BP43" s="1138"/>
      <c r="BS43" s="966" t="s">
        <v>1795</v>
      </c>
    </row>
    <row r="44" spans="2:75" ht="43.9" hidden="1" customHeight="1">
      <c r="C44" s="26"/>
      <c r="D44" s="26"/>
      <c r="E44" s="538">
        <v>45</v>
      </c>
      <c r="F44" s="3" cm="1">
        <f t="array" aca="1" ref="F44" ca="1">OFFSET(E44,-1,1)</f>
        <v>0</v>
      </c>
      <c r="G44" s="26"/>
      <c r="H44" s="771"/>
      <c r="I44" s="771" t="s">
        <v>1796</v>
      </c>
      <c r="J44" s="26"/>
      <c r="K44" s="290" t="s">
        <v>1796</v>
      </c>
      <c r="L44" s="882" t="s">
        <v>1591</v>
      </c>
      <c r="M44" s="26" t="s">
        <v>1603</v>
      </c>
      <c r="N44" s="26"/>
      <c r="O44" s="26"/>
      <c r="P44" s="26"/>
      <c r="Q44" s="26"/>
      <c r="R44" s="26"/>
      <c r="S44" s="26"/>
      <c r="T44" s="381" t="b" cm="1">
        <f t="array" ref="T44">T43</f>
        <v>0</v>
      </c>
      <c r="U44" s="26"/>
      <c r="V44" s="26"/>
      <c r="W44" s="26"/>
      <c r="X44" s="1787"/>
      <c r="Z44" s="1735"/>
      <c r="AB44" s="216" t="s">
        <v>1797</v>
      </c>
      <c r="AC44" s="682" t="s">
        <v>1798</v>
      </c>
      <c r="AD44" s="216" t="s">
        <v>766</v>
      </c>
      <c r="AE44" s="1141"/>
      <c r="AF44" s="1141"/>
      <c r="AG44" s="1141"/>
      <c r="AH44" s="1015">
        <f t="shared" si="2"/>
        <v>0</v>
      </c>
      <c r="AI44" s="1141"/>
      <c r="AJ44" s="1473"/>
      <c r="AK44" s="1016"/>
      <c r="AL44" s="1016"/>
      <c r="AM44" s="1016"/>
      <c r="AN44" s="1016"/>
      <c r="AO44" s="1016"/>
      <c r="AP44" s="1016"/>
      <c r="AQ44" s="1016"/>
      <c r="AR44" s="1016"/>
      <c r="AS44" s="1016"/>
      <c r="AT44" s="1473"/>
      <c r="AU44" s="1016"/>
      <c r="AV44" s="1016"/>
      <c r="AW44" s="1016"/>
      <c r="AX44" s="1016"/>
      <c r="AY44" s="1016"/>
      <c r="AZ44" s="1016"/>
      <c r="BA44" s="1016"/>
      <c r="BB44" s="1016"/>
      <c r="BC44" s="1016"/>
      <c r="BD44" s="1015">
        <f t="shared" si="5"/>
        <v>0</v>
      </c>
      <c r="BE44" s="1016"/>
      <c r="BF44" s="1016"/>
      <c r="BG44" s="1016"/>
      <c r="BH44" s="1016"/>
      <c r="BI44" s="1016"/>
      <c r="BJ44" s="1016"/>
      <c r="BK44" s="1016"/>
      <c r="BL44" s="1016"/>
      <c r="BM44" s="1016"/>
      <c r="BN44" s="1138"/>
      <c r="BO44" s="1138"/>
      <c r="BP44" s="1138"/>
      <c r="BS44" s="966" t="s">
        <v>1606</v>
      </c>
    </row>
    <row r="45" spans="2:75" ht="14.65" hidden="1" customHeight="1">
      <c r="C45" s="26"/>
      <c r="D45" s="26"/>
      <c r="E45" s="538">
        <v>15</v>
      </c>
      <c r="F45" s="3" cm="1">
        <f t="array" aca="1" ref="F45" ca="1">OFFSET(E45,-1,1)</f>
        <v>0</v>
      </c>
      <c r="G45" s="26"/>
      <c r="H45" s="771"/>
      <c r="I45" s="771" t="s">
        <v>1799</v>
      </c>
      <c r="J45" s="26"/>
      <c r="K45" s="290" t="s">
        <v>1799</v>
      </c>
      <c r="L45" s="882" t="s">
        <v>1591</v>
      </c>
      <c r="M45" s="26" t="s">
        <v>1607</v>
      </c>
      <c r="N45" s="26"/>
      <c r="O45" s="26"/>
      <c r="P45" s="26"/>
      <c r="Q45" s="26"/>
      <c r="R45" s="26"/>
      <c r="S45" s="26"/>
      <c r="T45" s="381" t="b" cm="1">
        <f t="array" ref="T45">T44</f>
        <v>0</v>
      </c>
      <c r="U45" s="26"/>
      <c r="V45" s="26"/>
      <c r="W45" s="26"/>
      <c r="X45" s="1787"/>
      <c r="Z45" s="1735"/>
      <c r="AB45" s="216" t="s">
        <v>1800</v>
      </c>
      <c r="AC45" s="682" t="s">
        <v>1609</v>
      </c>
      <c r="AD45" s="216" t="s">
        <v>766</v>
      </c>
      <c r="AE45" s="1141"/>
      <c r="AF45" s="1141"/>
      <c r="AG45" s="1141"/>
      <c r="AH45" s="1015">
        <f t="shared" si="2"/>
        <v>0</v>
      </c>
      <c r="AI45" s="1141"/>
      <c r="AJ45" s="1473"/>
      <c r="AK45" s="1016"/>
      <c r="AL45" s="1016"/>
      <c r="AM45" s="1016"/>
      <c r="AN45" s="1016"/>
      <c r="AO45" s="1016"/>
      <c r="AP45" s="1016"/>
      <c r="AQ45" s="1016"/>
      <c r="AR45" s="1016"/>
      <c r="AS45" s="1016"/>
      <c r="AT45" s="1473"/>
      <c r="AU45" s="1016"/>
      <c r="AV45" s="1016"/>
      <c r="AW45" s="1016"/>
      <c r="AX45" s="1016"/>
      <c r="AY45" s="1016"/>
      <c r="AZ45" s="1016"/>
      <c r="BA45" s="1016"/>
      <c r="BB45" s="1016"/>
      <c r="BC45" s="1016"/>
      <c r="BD45" s="1015">
        <f t="shared" si="5"/>
        <v>0</v>
      </c>
      <c r="BE45" s="1016"/>
      <c r="BF45" s="1016"/>
      <c r="BG45" s="1016"/>
      <c r="BH45" s="1016"/>
      <c r="BI45" s="1016"/>
      <c r="BJ45" s="1016"/>
      <c r="BK45" s="1016"/>
      <c r="BL45" s="1016"/>
      <c r="BM45" s="1016"/>
      <c r="BN45" s="1138"/>
      <c r="BO45" s="1138"/>
      <c r="BP45" s="1138"/>
      <c r="BS45" s="966" t="s">
        <v>1610</v>
      </c>
    </row>
    <row r="46" spans="2:75" ht="14.65" hidden="1" customHeight="1">
      <c r="C46" s="26"/>
      <c r="D46" s="26"/>
      <c r="E46" s="538">
        <v>15</v>
      </c>
      <c r="F46" s="3" cm="1">
        <f t="array" aca="1" ref="F46" ca="1">OFFSET(E46,-1,1)</f>
        <v>0</v>
      </c>
      <c r="G46" s="26"/>
      <c r="H46" s="771"/>
      <c r="I46" s="771" t="s">
        <v>1801</v>
      </c>
      <c r="J46" s="26"/>
      <c r="K46" s="290" t="s">
        <v>1801</v>
      </c>
      <c r="L46" s="882"/>
      <c r="M46" s="26"/>
      <c r="N46" s="26"/>
      <c r="O46" s="26"/>
      <c r="P46" s="26"/>
      <c r="Q46" s="26"/>
      <c r="R46" s="26"/>
      <c r="S46" s="26"/>
      <c r="T46" s="381" t="b" cm="1">
        <f t="array" ref="T46">T45</f>
        <v>0</v>
      </c>
      <c r="U46" s="26"/>
      <c r="V46" s="26"/>
      <c r="W46" s="26"/>
      <c r="X46" s="1787"/>
      <c r="Z46" s="1735"/>
      <c r="AB46" s="216" t="s">
        <v>1802</v>
      </c>
      <c r="AC46" s="682" t="s">
        <v>1803</v>
      </c>
      <c r="AD46" s="216" t="s">
        <v>766</v>
      </c>
      <c r="AE46" s="1141"/>
      <c r="AF46" s="1141"/>
      <c r="AG46" s="1141"/>
      <c r="AH46" s="1015">
        <f t="shared" si="2"/>
        <v>0</v>
      </c>
      <c r="AI46" s="1141"/>
      <c r="AJ46" s="1256"/>
      <c r="AK46" s="1016"/>
      <c r="AL46" s="1016"/>
      <c r="AM46" s="1016"/>
      <c r="AN46" s="1016"/>
      <c r="AO46" s="1016"/>
      <c r="AP46" s="1016"/>
      <c r="AQ46" s="1016"/>
      <c r="AR46" s="1016"/>
      <c r="AS46" s="1016"/>
      <c r="AT46" s="1320"/>
      <c r="AU46" s="1016"/>
      <c r="AV46" s="1016"/>
      <c r="AW46" s="1016"/>
      <c r="AX46" s="1016"/>
      <c r="AY46" s="1016"/>
      <c r="AZ46" s="1016"/>
      <c r="BA46" s="1016"/>
      <c r="BB46" s="1016"/>
      <c r="BC46" s="1016"/>
      <c r="BD46" s="1015">
        <f t="shared" si="5"/>
        <v>0</v>
      </c>
      <c r="BE46" s="1016"/>
      <c r="BF46" s="1016"/>
      <c r="BG46" s="1016"/>
      <c r="BH46" s="1016"/>
      <c r="BI46" s="1016"/>
      <c r="BJ46" s="1016"/>
      <c r="BK46" s="1016"/>
      <c r="BL46" s="1016"/>
      <c r="BM46" s="1016"/>
      <c r="BN46" s="1138"/>
      <c r="BO46" s="1138"/>
      <c r="BP46" s="1138"/>
      <c r="BS46" s="966" t="s">
        <v>1594</v>
      </c>
    </row>
    <row r="47" spans="2:75" s="617" customFormat="1" ht="20.45" hidden="1" customHeight="1">
      <c r="B47" s="352"/>
      <c r="C47" s="28"/>
      <c r="D47" s="28"/>
      <c r="E47" s="740">
        <v>21</v>
      </c>
      <c r="F47" s="3" cm="1">
        <f t="array" aca="1" ref="F47" ca="1">OFFSET(E47,-1,1)</f>
        <v>0</v>
      </c>
      <c r="G47" s="28"/>
      <c r="H47" s="771"/>
      <c r="I47" s="771" t="s">
        <v>434</v>
      </c>
      <c r="J47" s="28"/>
      <c r="K47" s="290" t="s">
        <v>434</v>
      </c>
      <c r="L47" s="887"/>
      <c r="M47" s="28"/>
      <c r="N47" s="28"/>
      <c r="O47" s="28"/>
      <c r="P47" s="28"/>
      <c r="Q47" s="28"/>
      <c r="R47" s="28"/>
      <c r="S47" s="28"/>
      <c r="T47" s="381" t="b" cm="1">
        <f t="array" ref="T47">T46</f>
        <v>0</v>
      </c>
      <c r="U47" s="28"/>
      <c r="V47" s="28"/>
      <c r="W47" s="28"/>
      <c r="X47" s="1787"/>
      <c r="Z47" s="1735"/>
      <c r="AB47" s="129" t="s">
        <v>827</v>
      </c>
      <c r="AC47" s="273" t="s">
        <v>1614</v>
      </c>
      <c r="AD47" s="129" t="s">
        <v>766</v>
      </c>
      <c r="AE47" s="131">
        <f ca="1">AE48+AE49+AE50</f>
        <v>0</v>
      </c>
      <c r="AF47" s="131">
        <f ca="1">AF48+AF49+AF50</f>
        <v>0</v>
      </c>
      <c r="AG47" s="131">
        <f ca="1">AG48+AG49+AG50</f>
        <v>0</v>
      </c>
      <c r="AH47" s="692">
        <f t="shared" ca="1" si="2"/>
        <v>0</v>
      </c>
      <c r="AI47" s="131">
        <f ca="1">AI48+AI49+AI50</f>
        <v>0</v>
      </c>
      <c r="AJ47" s="131">
        <f ca="1">AJ48+AJ49+AJ50</f>
        <v>0</v>
      </c>
      <c r="AK47" s="134"/>
      <c r="AL47" s="134"/>
      <c r="AM47" s="134"/>
      <c r="AN47" s="134"/>
      <c r="AO47" s="134"/>
      <c r="AP47" s="134"/>
      <c r="AQ47" s="134"/>
      <c r="AR47" s="134"/>
      <c r="AS47" s="134"/>
      <c r="AT47" s="131">
        <f ca="1">AT48+AT49+AT50</f>
        <v>0</v>
      </c>
      <c r="AU47" s="134"/>
      <c r="AV47" s="134"/>
      <c r="AW47" s="134"/>
      <c r="AX47" s="134"/>
      <c r="AY47" s="134"/>
      <c r="AZ47" s="134"/>
      <c r="BA47" s="134"/>
      <c r="BB47" s="134"/>
      <c r="BC47" s="134"/>
      <c r="BD47" s="692">
        <f t="shared" ca="1" si="5"/>
        <v>0</v>
      </c>
      <c r="BE47" s="134"/>
      <c r="BF47" s="134"/>
      <c r="BG47" s="134"/>
      <c r="BH47" s="134"/>
      <c r="BI47" s="134"/>
      <c r="BJ47" s="134"/>
      <c r="BK47" s="134"/>
      <c r="BL47" s="134"/>
      <c r="BM47" s="134"/>
      <c r="BN47" s="1140"/>
      <c r="BO47" s="1140"/>
      <c r="BP47" s="1140"/>
      <c r="BS47" s="965" t="s">
        <v>1615</v>
      </c>
      <c r="BT47" s="972"/>
      <c r="BU47" s="972"/>
      <c r="BV47" s="624"/>
      <c r="BW47" s="624"/>
    </row>
    <row r="48" spans="2:75" ht="21.95" hidden="1" customHeight="1">
      <c r="C48" s="26"/>
      <c r="D48" s="26"/>
      <c r="E48" s="538">
        <v>22.5</v>
      </c>
      <c r="F48" s="3" cm="1">
        <f t="array" aca="1" ref="F48" ca="1">OFFSET(E48,-1,1)</f>
        <v>0</v>
      </c>
      <c r="G48" s="26"/>
      <c r="H48" s="771"/>
      <c r="I48" s="771" t="s">
        <v>1199</v>
      </c>
      <c r="J48" s="26"/>
      <c r="K48" s="290" t="s">
        <v>1199</v>
      </c>
      <c r="L48" s="882"/>
      <c r="M48" s="26"/>
      <c r="N48" s="26"/>
      <c r="O48" s="26"/>
      <c r="P48" s="26"/>
      <c r="Q48" s="26"/>
      <c r="R48" s="26"/>
      <c r="S48" s="26"/>
      <c r="T48" s="381" t="b" cm="1">
        <f t="array" ref="T48">T47</f>
        <v>0</v>
      </c>
      <c r="U48" s="26"/>
      <c r="V48" s="26"/>
      <c r="W48" s="26"/>
      <c r="X48" s="1787"/>
      <c r="Z48" s="1735"/>
      <c r="AB48" s="216" t="s">
        <v>1200</v>
      </c>
      <c r="AC48" s="679" t="s">
        <v>1804</v>
      </c>
      <c r="AD48" s="216" t="s">
        <v>766</v>
      </c>
      <c r="AE48" s="1141"/>
      <c r="AF48" s="1141"/>
      <c r="AG48" s="1141"/>
      <c r="AH48" s="1015">
        <f t="shared" si="2"/>
        <v>0</v>
      </c>
      <c r="AI48" s="1141"/>
      <c r="AJ48" s="1473"/>
      <c r="AK48" s="1016"/>
      <c r="AL48" s="1016"/>
      <c r="AM48" s="1016"/>
      <c r="AN48" s="1016"/>
      <c r="AO48" s="1016"/>
      <c r="AP48" s="1016"/>
      <c r="AQ48" s="1016"/>
      <c r="AR48" s="1016"/>
      <c r="AS48" s="1016"/>
      <c r="AT48" s="1473"/>
      <c r="AU48" s="1016"/>
      <c r="AV48" s="1016"/>
      <c r="AW48" s="1016"/>
      <c r="AX48" s="1016"/>
      <c r="AY48" s="1016"/>
      <c r="AZ48" s="1016"/>
      <c r="BA48" s="1016"/>
      <c r="BB48" s="1016"/>
      <c r="BC48" s="1016"/>
      <c r="BD48" s="1015">
        <f t="shared" si="5"/>
        <v>0</v>
      </c>
      <c r="BE48" s="1016"/>
      <c r="BF48" s="1016"/>
      <c r="BG48" s="1016"/>
      <c r="BH48" s="1016"/>
      <c r="BI48" s="1016"/>
      <c r="BJ48" s="1016"/>
      <c r="BK48" s="1016"/>
      <c r="BL48" s="1016"/>
      <c r="BM48" s="1016"/>
      <c r="BN48" s="1138"/>
      <c r="BO48" s="1138"/>
      <c r="BP48" s="1138"/>
      <c r="BS48" s="964" t="s">
        <v>1617</v>
      </c>
    </row>
    <row r="49" spans="2:75" ht="21.95" hidden="1" customHeight="1">
      <c r="C49" s="26"/>
      <c r="D49" s="26"/>
      <c r="E49" s="538">
        <v>22.5</v>
      </c>
      <c r="F49" s="3" cm="1">
        <f t="array" aca="1" ref="F49" ca="1">OFFSET(E49,-1,1)</f>
        <v>0</v>
      </c>
      <c r="G49" s="26"/>
      <c r="H49" s="771"/>
      <c r="I49" s="771" t="s">
        <v>1203</v>
      </c>
      <c r="J49" s="26"/>
      <c r="K49" s="290" t="s">
        <v>1203</v>
      </c>
      <c r="L49" s="882"/>
      <c r="M49" s="26"/>
      <c r="N49" s="26"/>
      <c r="O49" s="26"/>
      <c r="P49" s="26"/>
      <c r="Q49" s="26"/>
      <c r="R49" s="26"/>
      <c r="S49" s="26"/>
      <c r="T49" s="381" t="b" cm="1">
        <f t="array" ref="T49">T48</f>
        <v>0</v>
      </c>
      <c r="U49" s="26"/>
      <c r="V49" s="26"/>
      <c r="W49" s="26"/>
      <c r="X49" s="1787"/>
      <c r="Z49" s="1735"/>
      <c r="AB49" s="216" t="s">
        <v>1204</v>
      </c>
      <c r="AC49" s="679" t="s">
        <v>1805</v>
      </c>
      <c r="AD49" s="216" t="s">
        <v>766</v>
      </c>
      <c r="AE49" s="1141"/>
      <c r="AF49" s="1141"/>
      <c r="AG49" s="1141"/>
      <c r="AH49" s="1015">
        <f t="shared" si="2"/>
        <v>0</v>
      </c>
      <c r="AI49" s="1141"/>
      <c r="AJ49" s="1473"/>
      <c r="AK49" s="1016"/>
      <c r="AL49" s="1016"/>
      <c r="AM49" s="1016"/>
      <c r="AN49" s="1016"/>
      <c r="AO49" s="1016"/>
      <c r="AP49" s="1016"/>
      <c r="AQ49" s="1016"/>
      <c r="AR49" s="1016"/>
      <c r="AS49" s="1016"/>
      <c r="AT49" s="1473"/>
      <c r="AU49" s="1016"/>
      <c r="AV49" s="1016"/>
      <c r="AW49" s="1016"/>
      <c r="AX49" s="1016"/>
      <c r="AY49" s="1016"/>
      <c r="AZ49" s="1016"/>
      <c r="BA49" s="1016"/>
      <c r="BB49" s="1016"/>
      <c r="BC49" s="1016"/>
      <c r="BD49" s="1015">
        <f t="shared" si="5"/>
        <v>0</v>
      </c>
      <c r="BE49" s="1016"/>
      <c r="BF49" s="1016"/>
      <c r="BG49" s="1016"/>
      <c r="BH49" s="1016"/>
      <c r="BI49" s="1016"/>
      <c r="BJ49" s="1016"/>
      <c r="BK49" s="1016"/>
      <c r="BL49" s="1016"/>
      <c r="BM49" s="1016"/>
      <c r="BN49" s="1138"/>
      <c r="BO49" s="1138"/>
      <c r="BP49" s="1138"/>
      <c r="BS49" s="966" t="s">
        <v>1806</v>
      </c>
    </row>
    <row r="50" spans="2:75" ht="21.95" hidden="1" customHeight="1">
      <c r="C50" s="26"/>
      <c r="D50" s="26"/>
      <c r="E50" s="538">
        <v>22.5</v>
      </c>
      <c r="F50" s="3" cm="1">
        <f t="array" aca="1" ref="F50" ca="1">OFFSET(E50,-1,1)</f>
        <v>0</v>
      </c>
      <c r="G50" s="26"/>
      <c r="H50" s="771"/>
      <c r="I50" s="771" t="s">
        <v>1207</v>
      </c>
      <c r="J50" s="26"/>
      <c r="K50" s="290" t="s">
        <v>1207</v>
      </c>
      <c r="L50" s="882" t="s">
        <v>448</v>
      </c>
      <c r="M50" s="26"/>
      <c r="N50" s="26"/>
      <c r="O50" s="26"/>
      <c r="P50" s="26"/>
      <c r="Q50" s="26"/>
      <c r="R50" s="26"/>
      <c r="S50" s="26"/>
      <c r="T50" s="381" t="b" cm="1">
        <f t="array" ref="T50">T49</f>
        <v>0</v>
      </c>
      <c r="U50" s="26"/>
      <c r="V50" s="26"/>
      <c r="W50" s="26"/>
      <c r="X50" s="1787"/>
      <c r="Z50" s="1735"/>
      <c r="AB50" s="216" t="s">
        <v>1208</v>
      </c>
      <c r="AC50" s="679" t="s">
        <v>1807</v>
      </c>
      <c r="AD50" s="216" t="s">
        <v>766</v>
      </c>
      <c r="AE50" s="1017">
        <f ca="1">AE51+AE52</f>
        <v>0</v>
      </c>
      <c r="AF50" s="1017">
        <f ca="1">AF51+AF52</f>
        <v>0</v>
      </c>
      <c r="AG50" s="1017">
        <f ca="1">AG51+AG52</f>
        <v>0</v>
      </c>
      <c r="AH50" s="1015">
        <f t="shared" ca="1" si="2"/>
        <v>0</v>
      </c>
      <c r="AI50" s="1017">
        <f ca="1">AI51+AI52</f>
        <v>0</v>
      </c>
      <c r="AJ50" s="1017">
        <f ca="1">AJ51+AJ52</f>
        <v>0</v>
      </c>
      <c r="AK50" s="1016"/>
      <c r="AL50" s="1016"/>
      <c r="AM50" s="1016"/>
      <c r="AN50" s="1016"/>
      <c r="AO50" s="1016"/>
      <c r="AP50" s="1016"/>
      <c r="AQ50" s="1016"/>
      <c r="AR50" s="1016"/>
      <c r="AS50" s="1016"/>
      <c r="AT50" s="1017">
        <f ca="1">AT51+AT52</f>
        <v>0</v>
      </c>
      <c r="AU50" s="1016"/>
      <c r="AV50" s="1016"/>
      <c r="AW50" s="1016"/>
      <c r="AX50" s="1016"/>
      <c r="AY50" s="1016"/>
      <c r="AZ50" s="1016"/>
      <c r="BA50" s="1016"/>
      <c r="BB50" s="1016"/>
      <c r="BC50" s="1016"/>
      <c r="BD50" s="1015">
        <f t="shared" ca="1" si="5"/>
        <v>0</v>
      </c>
      <c r="BE50" s="1016"/>
      <c r="BF50" s="1016"/>
      <c r="BG50" s="1016"/>
      <c r="BH50" s="1016"/>
      <c r="BI50" s="1016"/>
      <c r="BJ50" s="1016"/>
      <c r="BK50" s="1016"/>
      <c r="BL50" s="1016"/>
      <c r="BM50" s="1016"/>
      <c r="BN50" s="1138"/>
      <c r="BO50" s="1138"/>
      <c r="BP50" s="1138"/>
      <c r="BS50" s="964" t="s">
        <v>1619</v>
      </c>
    </row>
    <row r="51" spans="2:75" ht="14.65" hidden="1" customHeight="1">
      <c r="C51" s="26"/>
      <c r="D51" s="26"/>
      <c r="E51" s="538">
        <v>15</v>
      </c>
      <c r="F51" s="3" cm="1">
        <f t="array" aca="1" ref="F51" ca="1">OFFSET(E51,-1,1)</f>
        <v>0</v>
      </c>
      <c r="G51" s="762" t="s">
        <v>1026</v>
      </c>
      <c r="H51" s="771"/>
      <c r="I51" s="771" t="s">
        <v>1808</v>
      </c>
      <c r="J51" s="26"/>
      <c r="K51" s="290" t="s">
        <v>1808</v>
      </c>
      <c r="L51" s="882" t="s">
        <v>1620</v>
      </c>
      <c r="M51" s="26"/>
      <c r="N51" s="26"/>
      <c r="O51" s="26"/>
      <c r="P51" s="26"/>
      <c r="Q51" s="26"/>
      <c r="R51" s="26"/>
      <c r="S51" s="26"/>
      <c r="T51" s="381" t="b" cm="1">
        <f t="array" ref="T51">T50</f>
        <v>0</v>
      </c>
      <c r="U51" s="26"/>
      <c r="V51" s="26"/>
      <c r="W51" s="26"/>
      <c r="X51" s="1787"/>
      <c r="Z51" s="1735"/>
      <c r="AB51" s="216" t="s">
        <v>1809</v>
      </c>
      <c r="AC51" s="682" t="s">
        <v>1621</v>
      </c>
      <c r="AD51" s="216" t="s">
        <v>766</v>
      </c>
      <c r="AE51" s="1015">
        <f ca="1">SUMIFS(ФОТ!AE$25:AE$77,ФОТ!$F$25:$F$77,$F51,ФОТ!$G$25:$G$77,$G51)</f>
        <v>0</v>
      </c>
      <c r="AF51" s="1015">
        <f ca="1">SUMIFS(ФОТ!AF$25:AF$77,ФОТ!$F$25:$F$77,$F51,ФОТ!$G$25:$G$77,$G51)</f>
        <v>0</v>
      </c>
      <c r="AG51" s="1015">
        <f ca="1">SUMIFS(ФОТ!AG$25:AG$77,ФОТ!$F$25:$F$77,$F51,ФОТ!$G$25:$G$77,$G51)</f>
        <v>0</v>
      </c>
      <c r="AH51" s="1015">
        <f t="shared" ca="1" si="2"/>
        <v>0</v>
      </c>
      <c r="AI51" s="1015">
        <f ca="1">SUMIFS(ФОТ!AH$25:AH$77,ФОТ!$F$25:$F$77,$F51,ФОТ!$G$25:$G$77,$G51)</f>
        <v>0</v>
      </c>
      <c r="AJ51" s="1015">
        <f ca="1">SUMIFS(ФОТ!AI$25:AI$77,ФОТ!$F$25:$F$77,$F51,ФОТ!$G$25:$G$77,$G51)</f>
        <v>0</v>
      </c>
      <c r="AK51" s="1016"/>
      <c r="AL51" s="1016"/>
      <c r="AM51" s="1016"/>
      <c r="AN51" s="1016"/>
      <c r="AO51" s="1016"/>
      <c r="AP51" s="1016"/>
      <c r="AQ51" s="1016"/>
      <c r="AR51" s="1016"/>
      <c r="AS51" s="1016"/>
      <c r="AT51" s="1015">
        <f ca="1">SUMIFS(ФОТ!AJ$25:AJ$77,ФОТ!$F$25:$F$77,$F51,ФОТ!$G$25:$G$77,$G51)</f>
        <v>0</v>
      </c>
      <c r="AU51" s="1016"/>
      <c r="AV51" s="1016"/>
      <c r="AW51" s="1016"/>
      <c r="AX51" s="1016"/>
      <c r="AY51" s="1016"/>
      <c r="AZ51" s="1016"/>
      <c r="BA51" s="1016"/>
      <c r="BB51" s="1016"/>
      <c r="BC51" s="1016"/>
      <c r="BD51" s="1015">
        <f t="shared" ca="1" si="5"/>
        <v>0</v>
      </c>
      <c r="BE51" s="1016"/>
      <c r="BF51" s="1016"/>
      <c r="BG51" s="1016"/>
      <c r="BH51" s="1016"/>
      <c r="BI51" s="1016"/>
      <c r="BJ51" s="1016"/>
      <c r="BK51" s="1016"/>
      <c r="BL51" s="1016"/>
      <c r="BM51" s="1016"/>
      <c r="BN51" s="1138"/>
      <c r="BO51" s="1142" t="str">
        <f ca="1">IF(IFERROR(INDEX(ФОТ!$K$26:$L$77,MATCH($F51&amp;"3komm",ФОТ!$K$26:$K$77,0),2),"")=0,"",IFERROR(INDEX(ФОТ!$K$26:$L$77,MATCH($F51&amp;"3komm",ФОТ!$K$26:$K$77,0),2),""))</f>
        <v/>
      </c>
      <c r="BP51" s="1138"/>
      <c r="BS51" s="964" t="s">
        <v>1622</v>
      </c>
    </row>
    <row r="52" spans="2:75" ht="21.95" hidden="1" customHeight="1">
      <c r="C52" s="26"/>
      <c r="D52" s="26"/>
      <c r="E52" s="538">
        <v>22.5</v>
      </c>
      <c r="F52" s="3" cm="1">
        <f t="array" aca="1" ref="F52" ca="1">OFFSET(E52,-1,1)</f>
        <v>0</v>
      </c>
      <c r="G52" s="762" t="s">
        <v>1031</v>
      </c>
      <c r="H52" s="771"/>
      <c r="I52" s="771" t="s">
        <v>1810</v>
      </c>
      <c r="J52" s="26"/>
      <c r="K52" s="290" t="s">
        <v>1810</v>
      </c>
      <c r="L52" s="882" t="s">
        <v>1623</v>
      </c>
      <c r="M52" s="26"/>
      <c r="N52" s="26"/>
      <c r="O52" s="26"/>
      <c r="P52" s="26"/>
      <c r="Q52" s="26"/>
      <c r="R52" s="26"/>
      <c r="S52" s="26"/>
      <c r="T52" s="381" t="b" cm="1">
        <f t="array" ref="T52">T51</f>
        <v>0</v>
      </c>
      <c r="U52" s="26"/>
      <c r="V52" s="26"/>
      <c r="W52" s="26"/>
      <c r="X52" s="1787"/>
      <c r="Z52" s="1735"/>
      <c r="AB52" s="216" t="s">
        <v>1811</v>
      </c>
      <c r="AC52" s="682" t="s">
        <v>1812</v>
      </c>
      <c r="AD52" s="216" t="s">
        <v>766</v>
      </c>
      <c r="AE52" s="1015">
        <f ca="1">SUMIFS(ФОТ!AE$25:AE$77,ФОТ!$F$25:$F$77,$F52,ФОТ!$G$25:$G$77,$G52)</f>
        <v>0</v>
      </c>
      <c r="AF52" s="1015">
        <f ca="1">SUMIFS(ФОТ!AF$25:AF$77,ФОТ!$F$25:$F$77,$F52,ФОТ!$G$25:$G$77,$G52)</f>
        <v>0</v>
      </c>
      <c r="AG52" s="1015">
        <f ca="1">SUMIFS(ФОТ!AG$25:AG$77,ФОТ!$F$25:$F$77,$F52,ФОТ!$G$25:$G$77,$G52)</f>
        <v>0</v>
      </c>
      <c r="AH52" s="1015">
        <f t="shared" ca="1" si="2"/>
        <v>0</v>
      </c>
      <c r="AI52" s="1015">
        <f ca="1">SUMIFS(ФОТ!AH$25:AH$77,ФОТ!$F$25:$F$77,$F52,ФОТ!$G$25:$G$77,$G52)</f>
        <v>0</v>
      </c>
      <c r="AJ52" s="1015">
        <f ca="1">SUMIFS(ФОТ!AI$25:AI$77,ФОТ!$F$25:$F$77,$F52,ФОТ!$G$25:$G$77,$G52)</f>
        <v>0</v>
      </c>
      <c r="AK52" s="1016"/>
      <c r="AL52" s="1016"/>
      <c r="AM52" s="1016"/>
      <c r="AN52" s="1016"/>
      <c r="AO52" s="1016"/>
      <c r="AP52" s="1016"/>
      <c r="AQ52" s="1016"/>
      <c r="AR52" s="1016"/>
      <c r="AS52" s="1016"/>
      <c r="AT52" s="1015">
        <f ca="1">SUMIFS(ФОТ!AJ$25:AJ$77,ФОТ!$F$25:$F$77,$F52,ФОТ!$G$25:$G$77,$G52)</f>
        <v>0</v>
      </c>
      <c r="AU52" s="1016"/>
      <c r="AV52" s="1016"/>
      <c r="AW52" s="1016"/>
      <c r="AX52" s="1016"/>
      <c r="AY52" s="1016"/>
      <c r="AZ52" s="1016"/>
      <c r="BA52" s="1016"/>
      <c r="BB52" s="1016"/>
      <c r="BC52" s="1016"/>
      <c r="BD52" s="1015">
        <f t="shared" ca="1" si="5"/>
        <v>0</v>
      </c>
      <c r="BE52" s="1016"/>
      <c r="BF52" s="1016"/>
      <c r="BG52" s="1016"/>
      <c r="BH52" s="1016"/>
      <c r="BI52" s="1016"/>
      <c r="BJ52" s="1016"/>
      <c r="BK52" s="1016"/>
      <c r="BL52" s="1016"/>
      <c r="BM52" s="1016"/>
      <c r="BN52" s="1138"/>
      <c r="BO52" s="1142" t="str">
        <f ca="1">IF(IFERROR(INDEX(ФОТ!$K$26:$L$77,MATCH($F52&amp;"4komm",ФОТ!$K$26:$K$77,0),2),"")=0,"",IFERROR(INDEX(ФОТ!$K$26:$L$77,MATCH($F52&amp;"4komm",ФОТ!$K$26:$K$77,0),2),""))</f>
        <v/>
      </c>
      <c r="BP52" s="1138"/>
      <c r="BS52" s="964" t="s">
        <v>1625</v>
      </c>
    </row>
    <row r="53" spans="2:75" s="617" customFormat="1" ht="20.45" hidden="1" customHeight="1">
      <c r="B53" s="352"/>
      <c r="C53" s="28"/>
      <c r="D53" s="28"/>
      <c r="E53" s="740">
        <v>21</v>
      </c>
      <c r="F53" s="3" cm="1">
        <f t="array" aca="1" ref="F53" ca="1">OFFSET(E53,-1,1)</f>
        <v>0</v>
      </c>
      <c r="G53" s="28"/>
      <c r="H53" s="771"/>
      <c r="I53" s="771" t="s">
        <v>438</v>
      </c>
      <c r="J53" s="28"/>
      <c r="K53" s="290" t="s">
        <v>438</v>
      </c>
      <c r="L53" s="887" t="s">
        <v>325</v>
      </c>
      <c r="M53" s="28"/>
      <c r="N53" s="28"/>
      <c r="O53" s="28"/>
      <c r="P53" s="28"/>
      <c r="Q53" s="28"/>
      <c r="R53" s="28"/>
      <c r="S53" s="28"/>
      <c r="T53" s="381" t="b" cm="1">
        <f t="array" ref="T53">T52</f>
        <v>0</v>
      </c>
      <c r="U53" s="28"/>
      <c r="V53" s="28"/>
      <c r="W53" s="28"/>
      <c r="X53" s="1787"/>
      <c r="Z53" s="1735"/>
      <c r="AB53" s="129" t="s">
        <v>830</v>
      </c>
      <c r="AC53" s="273" t="s">
        <v>1813</v>
      </c>
      <c r="AD53" s="129" t="s">
        <v>766</v>
      </c>
      <c r="AE53" s="131">
        <f ca="1">AE54+AE62+AE65+AE66+AE67+AE68+AE69</f>
        <v>0</v>
      </c>
      <c r="AF53" s="131">
        <f ca="1">AF54+AF62+AF65+AF66+AF67+AF68+AF69</f>
        <v>0</v>
      </c>
      <c r="AG53" s="131">
        <f ca="1">AG54+AG62+AG65+AG66+AG67+AG68+AG69</f>
        <v>0</v>
      </c>
      <c r="AH53" s="692">
        <f t="shared" ca="1" si="2"/>
        <v>0</v>
      </c>
      <c r="AI53" s="131">
        <f ca="1">AI54+AI62+AI65+AI66+AI67+AI68+AI69</f>
        <v>0</v>
      </c>
      <c r="AJ53" s="131">
        <f ca="1">AJ54+AJ62+AJ65+AJ66+AJ67+AJ68+AJ69</f>
        <v>0</v>
      </c>
      <c r="AK53" s="134"/>
      <c r="AL53" s="134"/>
      <c r="AM53" s="134"/>
      <c r="AN53" s="134"/>
      <c r="AO53" s="134"/>
      <c r="AP53" s="134"/>
      <c r="AQ53" s="134"/>
      <c r="AR53" s="134"/>
      <c r="AS53" s="134"/>
      <c r="AT53" s="131">
        <f ca="1">AT54+AT62+AT65+AT66+AT67+AT68+AT69</f>
        <v>0</v>
      </c>
      <c r="AU53" s="134"/>
      <c r="AV53" s="134"/>
      <c r="AW53" s="134"/>
      <c r="AX53" s="134"/>
      <c r="AY53" s="134"/>
      <c r="AZ53" s="134"/>
      <c r="BA53" s="134"/>
      <c r="BB53" s="134"/>
      <c r="BC53" s="134"/>
      <c r="BD53" s="692">
        <f t="shared" ca="1" si="5"/>
        <v>0</v>
      </c>
      <c r="BE53" s="134"/>
      <c r="BF53" s="134"/>
      <c r="BG53" s="134"/>
      <c r="BH53" s="134"/>
      <c r="BI53" s="134"/>
      <c r="BJ53" s="134"/>
      <c r="BK53" s="134"/>
      <c r="BL53" s="134"/>
      <c r="BM53" s="134"/>
      <c r="BN53" s="1140"/>
      <c r="BO53" s="1140"/>
      <c r="BP53" s="1140"/>
      <c r="BS53" s="965" t="s">
        <v>1627</v>
      </c>
      <c r="BT53" s="972"/>
      <c r="BU53" s="972"/>
      <c r="BV53" s="624"/>
      <c r="BW53" s="624"/>
    </row>
    <row r="54" spans="2:75" ht="21.95" hidden="1" customHeight="1">
      <c r="C54" s="26"/>
      <c r="D54" s="26"/>
      <c r="E54" s="538">
        <v>22.5</v>
      </c>
      <c r="F54" s="3" cm="1">
        <f t="array" aca="1" ref="F54" ca="1">OFFSET(E54,-1,1)</f>
        <v>0</v>
      </c>
      <c r="G54" s="26" t="s">
        <v>1052</v>
      </c>
      <c r="H54" s="771"/>
      <c r="I54" s="771" t="s">
        <v>1213</v>
      </c>
      <c r="J54" s="26"/>
      <c r="K54" s="290" t="s">
        <v>1213</v>
      </c>
      <c r="L54" s="882" t="s">
        <v>851</v>
      </c>
      <c r="M54" s="26"/>
      <c r="N54" s="26"/>
      <c r="O54" s="26"/>
      <c r="P54" s="26"/>
      <c r="Q54" s="26"/>
      <c r="R54" s="26"/>
      <c r="S54" s="26"/>
      <c r="T54" s="381" t="b" cm="1">
        <f t="array" ref="T54">T53</f>
        <v>0</v>
      </c>
      <c r="U54" s="26"/>
      <c r="V54" s="26"/>
      <c r="W54" s="26"/>
      <c r="X54" s="1787"/>
      <c r="Z54" s="1735"/>
      <c r="AB54" s="216" t="s">
        <v>941</v>
      </c>
      <c r="AC54" s="679" t="s">
        <v>1814</v>
      </c>
      <c r="AD54" s="216" t="s">
        <v>766</v>
      </c>
      <c r="AE54" s="1015">
        <f ca="1">SUMIFS(Административные!AE$25:AE$65,Административные!$F$25:$F$65,$F54,Административные!$G$25:$G$65,$G54)</f>
        <v>0</v>
      </c>
      <c r="AF54" s="1015">
        <f ca="1">SUMIFS(Административные!AF$25:AF$65,Административные!$F$25:$F$65,$F54,Административные!$G$25:$G$65,$G54)</f>
        <v>0</v>
      </c>
      <c r="AG54" s="1015">
        <f ca="1">SUMIFS(Административные!AG$25:AG$65,Административные!$F$25:$F$65,$F54,Административные!$G$25:$G$65,$G54)</f>
        <v>0</v>
      </c>
      <c r="AH54" s="1015">
        <f t="shared" ca="1" si="2"/>
        <v>0</v>
      </c>
      <c r="AI54" s="1015">
        <f ca="1">SUMIFS(Административные!AH$25:AH$65,Административные!$F$25:$F$65,$F54,Административные!$G$25:$G$65,$G54)</f>
        <v>0</v>
      </c>
      <c r="AJ54" s="1015">
        <f ca="1">SUMIFS(Административные!AI$25:AI$65,Административные!$F$25:$F$65,$F54,Административные!$G$25:$G$65,$G54)</f>
        <v>0</v>
      </c>
      <c r="AK54" s="1016"/>
      <c r="AL54" s="1016"/>
      <c r="AM54" s="1016"/>
      <c r="AN54" s="1016"/>
      <c r="AO54" s="1016"/>
      <c r="AP54" s="1016"/>
      <c r="AQ54" s="1016"/>
      <c r="AR54" s="1016"/>
      <c r="AS54" s="1016"/>
      <c r="AT54" s="1015">
        <f ca="1">SUMIFS(Административные!AJ$25:AJ$65,Административные!$F$25:$F$65,$F54,Административные!$G$25:$G$65,$G54)</f>
        <v>0</v>
      </c>
      <c r="AU54" s="1016"/>
      <c r="AV54" s="1016"/>
      <c r="AW54" s="1016"/>
      <c r="AX54" s="1016"/>
      <c r="AY54" s="1016"/>
      <c r="AZ54" s="1016"/>
      <c r="BA54" s="1016"/>
      <c r="BB54" s="1016"/>
      <c r="BC54" s="1016"/>
      <c r="BD54" s="1015">
        <f t="shared" ca="1" si="5"/>
        <v>0</v>
      </c>
      <c r="BE54" s="1016"/>
      <c r="BF54" s="1016"/>
      <c r="BG54" s="1016"/>
      <c r="BH54" s="1016"/>
      <c r="BI54" s="1016"/>
      <c r="BJ54" s="1016"/>
      <c r="BK54" s="1016"/>
      <c r="BL54" s="1016"/>
      <c r="BM54" s="1016"/>
      <c r="BN54" s="1138"/>
      <c r="BO54" s="1142" t="str">
        <f ca="1">IF(IFERROR(INDEX(Административные!$K$26:$L$65,MATCH($F54&amp;"17komm",Административные!$K$26:$K$65,0),2),"")=0,"",IFERROR(INDEX(Административные!$K$26:$L$65,MATCH($F54&amp;"17komm",Административные!$K$26:$K$65,0),2),""))</f>
        <v/>
      </c>
      <c r="BP54" s="1138"/>
      <c r="BS54" s="964" t="s">
        <v>1054</v>
      </c>
    </row>
    <row r="55" spans="2:75" ht="14.65" hidden="1" customHeight="1">
      <c r="C55" s="26"/>
      <c r="D55" s="26"/>
      <c r="E55" s="538">
        <v>15</v>
      </c>
      <c r="F55" s="3" cm="1">
        <f t="array" aca="1" ref="F55" ca="1">OFFSET(E55,-1,1)</f>
        <v>0</v>
      </c>
      <c r="G55" s="26" t="s">
        <v>1055</v>
      </c>
      <c r="H55" s="771"/>
      <c r="I55" s="771" t="s">
        <v>1815</v>
      </c>
      <c r="J55" s="26"/>
      <c r="K55" s="290" t="s">
        <v>1815</v>
      </c>
      <c r="L55" s="882"/>
      <c r="M55" s="26"/>
      <c r="N55" s="26"/>
      <c r="O55" s="26"/>
      <c r="P55" s="26"/>
      <c r="Q55" s="26"/>
      <c r="R55" s="26"/>
      <c r="S55" s="26"/>
      <c r="T55" s="381" t="b" cm="1">
        <f t="array" ref="T55">T54</f>
        <v>0</v>
      </c>
      <c r="U55" s="26"/>
      <c r="V55" s="26"/>
      <c r="W55" s="26"/>
      <c r="X55" s="1787"/>
      <c r="Z55" s="1735"/>
      <c r="AB55" s="216" t="s">
        <v>1816</v>
      </c>
      <c r="AC55" s="682" t="s">
        <v>1056</v>
      </c>
      <c r="AD55" s="216" t="s">
        <v>766</v>
      </c>
      <c r="AE55" s="1015">
        <f ca="1">SUMIFS(Административные!AE$25:AE$65,Административные!$F$25:$F$65,$F55,Административные!$G$25:$G$65,$G55)</f>
        <v>0</v>
      </c>
      <c r="AF55" s="1015">
        <f ca="1">SUMIFS(Административные!AF$25:AF$65,Административные!$F$25:$F$65,$F55,Административные!$G$25:$G$65,$G55)</f>
        <v>0</v>
      </c>
      <c r="AG55" s="1015">
        <f ca="1">SUMIFS(Административные!AG$25:AG$65,Административные!$F$25:$F$65,$F55,Административные!$G$25:$G$65,$G55)</f>
        <v>0</v>
      </c>
      <c r="AH55" s="1015">
        <f t="shared" ca="1" si="2"/>
        <v>0</v>
      </c>
      <c r="AI55" s="1015">
        <f ca="1">SUMIFS(Административные!AH$25:AH$65,Административные!$F$25:$F$65,$F55,Административные!$G$25:$G$65,$G55)</f>
        <v>0</v>
      </c>
      <c r="AJ55" s="1015">
        <f ca="1">SUMIFS(Административные!AI$25:AI$65,Административные!$F$25:$F$65,$F55,Административные!$G$25:$G$65,$G55)</f>
        <v>0</v>
      </c>
      <c r="AK55" s="1016"/>
      <c r="AL55" s="1016"/>
      <c r="AM55" s="1016"/>
      <c r="AN55" s="1016"/>
      <c r="AO55" s="1016"/>
      <c r="AP55" s="1016"/>
      <c r="AQ55" s="1016"/>
      <c r="AR55" s="1016"/>
      <c r="AS55" s="1016"/>
      <c r="AT55" s="1015">
        <f ca="1">SUMIFS(Административные!AJ$25:AJ$65,Административные!$F$25:$F$65,$F55,Административные!$G$25:$G$65,$G55)</f>
        <v>0</v>
      </c>
      <c r="AU55" s="1016"/>
      <c r="AV55" s="1016"/>
      <c r="AW55" s="1016"/>
      <c r="AX55" s="1016"/>
      <c r="AY55" s="1016"/>
      <c r="AZ55" s="1016"/>
      <c r="BA55" s="1016"/>
      <c r="BB55" s="1016"/>
      <c r="BC55" s="1016"/>
      <c r="BD55" s="1015">
        <f t="shared" ca="1" si="5"/>
        <v>0</v>
      </c>
      <c r="BE55" s="1016"/>
      <c r="BF55" s="1016"/>
      <c r="BG55" s="1016"/>
      <c r="BH55" s="1016"/>
      <c r="BI55" s="1016"/>
      <c r="BJ55" s="1016"/>
      <c r="BK55" s="1016"/>
      <c r="BL55" s="1016"/>
      <c r="BM55" s="1016"/>
      <c r="BN55" s="1138"/>
      <c r="BO55" s="1142" t="str">
        <f ca="1">IF(IFERROR(INDEX(Административные!$K$26:$L$65,MATCH($F55&amp;"18komm",Административные!$K$26:$K$65,0),2),"")=0,"",IFERROR(INDEX(Административные!$K$26:$L$65,MATCH($F55&amp;"18komm",Административные!$K$26:$K$65,0),2),""))</f>
        <v/>
      </c>
      <c r="BP55" s="1138"/>
      <c r="BS55" s="966" t="s">
        <v>1057</v>
      </c>
    </row>
    <row r="56" spans="2:75" ht="14.65" hidden="1" customHeight="1">
      <c r="C56" s="26"/>
      <c r="D56" s="26"/>
      <c r="E56" s="538">
        <v>15</v>
      </c>
      <c r="F56" s="3" cm="1">
        <f t="array" aca="1" ref="F56" ca="1">OFFSET(E56,-1,1)</f>
        <v>0</v>
      </c>
      <c r="G56" s="26" t="s">
        <v>1058</v>
      </c>
      <c r="H56" s="771"/>
      <c r="I56" s="771" t="s">
        <v>1817</v>
      </c>
      <c r="J56" s="26"/>
      <c r="K56" s="290" t="s">
        <v>1817</v>
      </c>
      <c r="L56" s="882"/>
      <c r="M56" s="26"/>
      <c r="N56" s="26"/>
      <c r="O56" s="26"/>
      <c r="P56" s="26"/>
      <c r="Q56" s="26"/>
      <c r="R56" s="26"/>
      <c r="S56" s="26"/>
      <c r="T56" s="381" t="b" cm="1">
        <f t="array" ref="T56">T55</f>
        <v>0</v>
      </c>
      <c r="U56" s="26"/>
      <c r="V56" s="26"/>
      <c r="W56" s="26"/>
      <c r="X56" s="1787"/>
      <c r="Z56" s="1735"/>
      <c r="AB56" s="216" t="s">
        <v>1818</v>
      </c>
      <c r="AC56" s="682" t="s">
        <v>1059</v>
      </c>
      <c r="AD56" s="216" t="s">
        <v>766</v>
      </c>
      <c r="AE56" s="1015">
        <f ca="1">SUMIFS(Административные!AE$25:AE$65,Административные!$F$25:$F$65,$F56,Административные!$G$25:$G$65,$G56)</f>
        <v>0</v>
      </c>
      <c r="AF56" s="1015">
        <f ca="1">SUMIFS(Административные!AF$25:AF$65,Административные!$F$25:$F$65,$F56,Административные!$G$25:$G$65,$G56)</f>
        <v>0</v>
      </c>
      <c r="AG56" s="1015">
        <f ca="1">SUMIFS(Административные!AG$25:AG$65,Административные!$F$25:$F$65,$F56,Административные!$G$25:$G$65,$G56)</f>
        <v>0</v>
      </c>
      <c r="AH56" s="1015">
        <f t="shared" ca="1" si="2"/>
        <v>0</v>
      </c>
      <c r="AI56" s="1015">
        <f ca="1">SUMIFS(Административные!AH$25:AH$65,Административные!$F$25:$F$65,$F56,Административные!$G$25:$G$65,$G56)</f>
        <v>0</v>
      </c>
      <c r="AJ56" s="1015">
        <f ca="1">SUMIFS(Административные!AI$25:AI$65,Административные!$F$25:$F$65,$F56,Административные!$G$25:$G$65,$G56)</f>
        <v>0</v>
      </c>
      <c r="AK56" s="1016"/>
      <c r="AL56" s="1016"/>
      <c r="AM56" s="1016"/>
      <c r="AN56" s="1016"/>
      <c r="AO56" s="1016"/>
      <c r="AP56" s="1016"/>
      <c r="AQ56" s="1016"/>
      <c r="AR56" s="1016"/>
      <c r="AS56" s="1016"/>
      <c r="AT56" s="1015">
        <f ca="1">SUMIFS(Административные!AJ$25:AJ$65,Административные!$F$25:$F$65,$F56,Административные!$G$25:$G$65,$G56)</f>
        <v>0</v>
      </c>
      <c r="AU56" s="1016"/>
      <c r="AV56" s="1016"/>
      <c r="AW56" s="1016"/>
      <c r="AX56" s="1016"/>
      <c r="AY56" s="1016"/>
      <c r="AZ56" s="1016"/>
      <c r="BA56" s="1016"/>
      <c r="BB56" s="1016"/>
      <c r="BC56" s="1016"/>
      <c r="BD56" s="1015">
        <f t="shared" ca="1" si="5"/>
        <v>0</v>
      </c>
      <c r="BE56" s="1016"/>
      <c r="BF56" s="1016"/>
      <c r="BG56" s="1016"/>
      <c r="BH56" s="1016"/>
      <c r="BI56" s="1016"/>
      <c r="BJ56" s="1016"/>
      <c r="BK56" s="1016"/>
      <c r="BL56" s="1016"/>
      <c r="BM56" s="1016"/>
      <c r="BN56" s="1138"/>
      <c r="BO56" s="1142" t="str">
        <f ca="1">IF(IFERROR(INDEX(Административные!$K$26:$L$65,MATCH($F56&amp;"11komm",Административные!$K$26:$K$65,0),2),"")=0,"",IFERROR(INDEX(Административные!$K$26:$L$65,MATCH($F56&amp;"11komm",Административные!$K$26:$K$65,0),2),""))</f>
        <v/>
      </c>
      <c r="BP56" s="1138"/>
      <c r="BS56" s="966" t="s">
        <v>1060</v>
      </c>
    </row>
    <row r="57" spans="2:75" ht="14.65" hidden="1" customHeight="1">
      <c r="C57" s="26"/>
      <c r="D57" s="26"/>
      <c r="E57" s="538">
        <v>15</v>
      </c>
      <c r="F57" s="3" cm="1">
        <f t="array" aca="1" ref="F57" ca="1">OFFSET(E57,-1,1)</f>
        <v>0</v>
      </c>
      <c r="G57" s="26" t="s">
        <v>1061</v>
      </c>
      <c r="H57" s="771"/>
      <c r="I57" s="771" t="s">
        <v>1819</v>
      </c>
      <c r="J57" s="26"/>
      <c r="K57" s="290" t="s">
        <v>1819</v>
      </c>
      <c r="L57" s="882"/>
      <c r="M57" s="26"/>
      <c r="N57" s="26"/>
      <c r="O57" s="26"/>
      <c r="P57" s="26"/>
      <c r="Q57" s="26"/>
      <c r="R57" s="26"/>
      <c r="S57" s="26"/>
      <c r="T57" s="381" t="b" cm="1">
        <f t="array" ref="T57">T56</f>
        <v>0</v>
      </c>
      <c r="U57" s="26"/>
      <c r="V57" s="26"/>
      <c r="W57" s="26"/>
      <c r="X57" s="1787"/>
      <c r="Z57" s="1735"/>
      <c r="AB57" s="216" t="s">
        <v>1820</v>
      </c>
      <c r="AC57" s="682" t="s">
        <v>1062</v>
      </c>
      <c r="AD57" s="216" t="s">
        <v>766</v>
      </c>
      <c r="AE57" s="1015">
        <f ca="1">SUMIFS(Административные!AE$25:AE$65,Административные!$F$25:$F$65,$F57,Административные!$G$25:$G$65,$G57)</f>
        <v>0</v>
      </c>
      <c r="AF57" s="1015">
        <f ca="1">SUMIFS(Административные!AF$25:AF$65,Административные!$F$25:$F$65,$F57,Административные!$G$25:$G$65,$G57)</f>
        <v>0</v>
      </c>
      <c r="AG57" s="1015">
        <f ca="1">SUMIFS(Административные!AG$25:AG$65,Административные!$F$25:$F$65,$F57,Административные!$G$25:$G$65,$G57)</f>
        <v>0</v>
      </c>
      <c r="AH57" s="1015">
        <f t="shared" ca="1" si="2"/>
        <v>0</v>
      </c>
      <c r="AI57" s="1015">
        <f ca="1">SUMIFS(Административные!AH$25:AH$65,Административные!$F$25:$F$65,$F57,Административные!$G$25:$G$65,$G57)</f>
        <v>0</v>
      </c>
      <c r="AJ57" s="1015">
        <f ca="1">SUMIFS(Административные!AI$25:AI$65,Административные!$F$25:$F$65,$F57,Административные!$G$25:$G$65,$G57)</f>
        <v>0</v>
      </c>
      <c r="AK57" s="1016"/>
      <c r="AL57" s="1016"/>
      <c r="AM57" s="1016"/>
      <c r="AN57" s="1016"/>
      <c r="AO57" s="1016"/>
      <c r="AP57" s="1016"/>
      <c r="AQ57" s="1016"/>
      <c r="AR57" s="1016"/>
      <c r="AS57" s="1016"/>
      <c r="AT57" s="1015">
        <f ca="1">SUMIFS(Административные!AJ$25:AJ$65,Административные!$F$25:$F$65,$F57,Административные!$G$25:$G$65,$G57)</f>
        <v>0</v>
      </c>
      <c r="AU57" s="1016"/>
      <c r="AV57" s="1016"/>
      <c r="AW57" s="1016"/>
      <c r="AX57" s="1016"/>
      <c r="AY57" s="1016"/>
      <c r="AZ57" s="1016"/>
      <c r="BA57" s="1016"/>
      <c r="BB57" s="1016"/>
      <c r="BC57" s="1016"/>
      <c r="BD57" s="1015">
        <f t="shared" ca="1" si="5"/>
        <v>0</v>
      </c>
      <c r="BE57" s="1016"/>
      <c r="BF57" s="1016"/>
      <c r="BG57" s="1016"/>
      <c r="BH57" s="1016"/>
      <c r="BI57" s="1016"/>
      <c r="BJ57" s="1016"/>
      <c r="BK57" s="1016"/>
      <c r="BL57" s="1016"/>
      <c r="BM57" s="1016"/>
      <c r="BN57" s="1138"/>
      <c r="BO57" s="1142" t="str">
        <f ca="1">IF(IFERROR(INDEX(Административные!$K$26:$L$65,MATCH($F57&amp;"12komm",Административные!$K$26:$K$65,0),2),"")=0,"",IFERROR(INDEX(Административные!$K$26:$L$65,MATCH($F57&amp;"12komm",Административные!$K$26:$K$65,0),2),""))</f>
        <v/>
      </c>
      <c r="BP57" s="1138"/>
      <c r="BS57" s="966" t="s">
        <v>1063</v>
      </c>
    </row>
    <row r="58" spans="2:75" ht="14.65" hidden="1" customHeight="1">
      <c r="C58" s="26"/>
      <c r="D58" s="26"/>
      <c r="E58" s="538">
        <v>15</v>
      </c>
      <c r="F58" s="3" cm="1">
        <f t="array" aca="1" ref="F58" ca="1">OFFSET(E58,-1,1)</f>
        <v>0</v>
      </c>
      <c r="G58" s="26" t="s">
        <v>1064</v>
      </c>
      <c r="H58" s="771"/>
      <c r="I58" s="771" t="s">
        <v>1821</v>
      </c>
      <c r="J58" s="26"/>
      <c r="K58" s="290" t="s">
        <v>1821</v>
      </c>
      <c r="L58" s="882"/>
      <c r="M58" s="26"/>
      <c r="N58" s="26"/>
      <c r="O58" s="26"/>
      <c r="P58" s="26"/>
      <c r="Q58" s="26"/>
      <c r="R58" s="26"/>
      <c r="S58" s="26"/>
      <c r="T58" s="381" t="b" cm="1">
        <f t="array" ref="T58">T57</f>
        <v>0</v>
      </c>
      <c r="U58" s="26"/>
      <c r="V58" s="26"/>
      <c r="W58" s="26"/>
      <c r="X58" s="1787"/>
      <c r="Z58" s="1735"/>
      <c r="AB58" s="216" t="s">
        <v>1822</v>
      </c>
      <c r="AC58" s="682" t="s">
        <v>1065</v>
      </c>
      <c r="AD58" s="216" t="s">
        <v>766</v>
      </c>
      <c r="AE58" s="1015">
        <f ca="1">SUMIFS(Административные!AE$25:AE$65,Административные!$F$25:$F$65,$F58,Административные!$G$25:$G$65,$G58)</f>
        <v>0</v>
      </c>
      <c r="AF58" s="1015">
        <f ca="1">SUMIFS(Административные!AF$25:AF$65,Административные!$F$25:$F$65,$F58,Административные!$G$25:$G$65,$G58)</f>
        <v>0</v>
      </c>
      <c r="AG58" s="1015">
        <f ca="1">SUMIFS(Административные!AG$25:AG$65,Административные!$F$25:$F$65,$F58,Административные!$G$25:$G$65,$G58)</f>
        <v>0</v>
      </c>
      <c r="AH58" s="1015">
        <f t="shared" ca="1" si="2"/>
        <v>0</v>
      </c>
      <c r="AI58" s="1015">
        <f ca="1">SUMIFS(Административные!AH$25:AH$65,Административные!$F$25:$F$65,$F58,Административные!$G$25:$G$65,$G58)</f>
        <v>0</v>
      </c>
      <c r="AJ58" s="1015">
        <f ca="1">SUMIFS(Административные!AI$25:AI$65,Административные!$F$25:$F$65,$F58,Административные!$G$25:$G$65,$G58)</f>
        <v>0</v>
      </c>
      <c r="AK58" s="1016"/>
      <c r="AL58" s="1016"/>
      <c r="AM58" s="1016"/>
      <c r="AN58" s="1016"/>
      <c r="AO58" s="1016"/>
      <c r="AP58" s="1016"/>
      <c r="AQ58" s="1016"/>
      <c r="AR58" s="1016"/>
      <c r="AS58" s="1016"/>
      <c r="AT58" s="1015">
        <f ca="1">SUMIFS(Административные!AJ$25:AJ$65,Административные!$F$25:$F$65,$F58,Административные!$G$25:$G$65,$G58)</f>
        <v>0</v>
      </c>
      <c r="AU58" s="1016"/>
      <c r="AV58" s="1016"/>
      <c r="AW58" s="1016"/>
      <c r="AX58" s="1016"/>
      <c r="AY58" s="1016"/>
      <c r="AZ58" s="1016"/>
      <c r="BA58" s="1016"/>
      <c r="BB58" s="1016"/>
      <c r="BC58" s="1016"/>
      <c r="BD58" s="1015">
        <f t="shared" ca="1" si="5"/>
        <v>0</v>
      </c>
      <c r="BE58" s="1016"/>
      <c r="BF58" s="1016"/>
      <c r="BG58" s="1016"/>
      <c r="BH58" s="1016"/>
      <c r="BI58" s="1016"/>
      <c r="BJ58" s="1016"/>
      <c r="BK58" s="1016"/>
      <c r="BL58" s="1016"/>
      <c r="BM58" s="1016"/>
      <c r="BN58" s="1138"/>
      <c r="BO58" s="1142" t="str">
        <f ca="1">IF(IFERROR(INDEX(Административные!$K$26:$L$65,MATCH($F58&amp;"13komm",Административные!$K$26:$K$65,0),2),"")=0,"",IFERROR(INDEX(Административные!$K$26:$L$65,MATCH($F58&amp;"13komm",Административные!$K$26:$K$65,0),2),""))</f>
        <v/>
      </c>
      <c r="BP58" s="1138"/>
      <c r="BS58" s="966" t="s">
        <v>1066</v>
      </c>
    </row>
    <row r="59" spans="2:75" ht="14.65" hidden="1" customHeight="1">
      <c r="C59" s="26"/>
      <c r="D59" s="26"/>
      <c r="E59" s="538">
        <v>15</v>
      </c>
      <c r="F59" s="3" cm="1">
        <f t="array" aca="1" ref="F59" ca="1">OFFSET(E59,-1,1)</f>
        <v>0</v>
      </c>
      <c r="G59" s="26" t="s">
        <v>1067</v>
      </c>
      <c r="H59" s="771"/>
      <c r="I59" s="771" t="s">
        <v>1823</v>
      </c>
      <c r="J59" s="26"/>
      <c r="K59" s="290" t="s">
        <v>1823</v>
      </c>
      <c r="L59" s="882"/>
      <c r="M59" s="26"/>
      <c r="N59" s="26"/>
      <c r="O59" s="26"/>
      <c r="P59" s="26"/>
      <c r="Q59" s="26"/>
      <c r="R59" s="26"/>
      <c r="S59" s="26"/>
      <c r="T59" s="381" t="b" cm="1">
        <f t="array" ref="T59">T58</f>
        <v>0</v>
      </c>
      <c r="U59" s="26"/>
      <c r="V59" s="26"/>
      <c r="W59" s="26"/>
      <c r="X59" s="1787"/>
      <c r="Z59" s="1735"/>
      <c r="AB59" s="216" t="s">
        <v>1824</v>
      </c>
      <c r="AC59" s="682" t="s">
        <v>1068</v>
      </c>
      <c r="AD59" s="216" t="s">
        <v>766</v>
      </c>
      <c r="AE59" s="701">
        <f ca="1">SUMIFS(Административные!AE$25:AE$65,Административные!$F$25:$F$65,$F59,Административные!$G$25:$G$65,$G59)</f>
        <v>0</v>
      </c>
      <c r="AF59" s="701">
        <f ca="1">SUMIFS(Административные!AF$25:AF$65,Административные!$F$25:$F$65,$F59,Административные!$G$25:$G$65,$G59)</f>
        <v>0</v>
      </c>
      <c r="AG59" s="701">
        <f ca="1">SUMIFS(Административные!AG$25:AG$65,Административные!$F$25:$F$65,$F59,Административные!$G$25:$G$65,$G59)</f>
        <v>0</v>
      </c>
      <c r="AH59" s="681">
        <f t="shared" ca="1" si="2"/>
        <v>0</v>
      </c>
      <c r="AI59" s="701">
        <f ca="1">SUMIFS(Административные!AH$25:AH$65,Административные!$F$25:$F$65,$F59,Административные!$G$25:$G$65,$G59)</f>
        <v>0</v>
      </c>
      <c r="AJ59" s="701">
        <f ca="1">SUMIFS(Административные!AI$25:AI$65,Административные!$F$25:$F$65,$F59,Административные!$G$25:$G$65,$G59)</f>
        <v>0</v>
      </c>
      <c r="AK59" s="677"/>
      <c r="AL59" s="677"/>
      <c r="AM59" s="677"/>
      <c r="AN59" s="677"/>
      <c r="AO59" s="677"/>
      <c r="AP59" s="677"/>
      <c r="AQ59" s="677"/>
      <c r="AR59" s="677"/>
      <c r="AS59" s="677"/>
      <c r="AT59" s="701">
        <f ca="1">SUMIFS(Административные!AJ$25:AJ$65,Административные!$F$25:$F$65,$F59,Административные!$G$25:$G$65,$G59)</f>
        <v>0</v>
      </c>
      <c r="AU59" s="1016"/>
      <c r="AV59" s="1016"/>
      <c r="AW59" s="1016"/>
      <c r="AX59" s="1016"/>
      <c r="AY59" s="1016"/>
      <c r="AZ59" s="1016"/>
      <c r="BA59" s="1016"/>
      <c r="BB59" s="1016"/>
      <c r="BC59" s="1016"/>
      <c r="BD59" s="1015">
        <f t="shared" ca="1" si="5"/>
        <v>0</v>
      </c>
      <c r="BE59" s="1016"/>
      <c r="BF59" s="1016"/>
      <c r="BG59" s="1016"/>
      <c r="BH59" s="1016"/>
      <c r="BI59" s="1016"/>
      <c r="BJ59" s="1016"/>
      <c r="BK59" s="1016"/>
      <c r="BL59" s="1016"/>
      <c r="BM59" s="1016"/>
      <c r="BN59" s="1138"/>
      <c r="BO59" s="1142" t="str">
        <f ca="1">IF(IFERROR(INDEX(Административные!$K$26:$L$65,MATCH($F59&amp;"14komm",Административные!$K$26:$K$65,0),2),"")=0,"",IFERROR(INDEX(Административные!$K$26:$L$65,MATCH($F59&amp;"14komm",Административные!$K$26:$K$65,0),2),""))</f>
        <v/>
      </c>
      <c r="BP59" s="1138"/>
      <c r="BS59" s="966" t="s">
        <v>1825</v>
      </c>
    </row>
    <row r="60" spans="2:75" ht="14.65" hidden="1" customHeight="1">
      <c r="C60" s="26"/>
      <c r="D60" s="26"/>
      <c r="E60" s="538">
        <v>15</v>
      </c>
      <c r="F60" s="3" cm="1">
        <f t="array" aca="1" ref="F60" ca="1">OFFSET(E60,-1,1)</f>
        <v>0</v>
      </c>
      <c r="G60" s="26" t="s">
        <v>1070</v>
      </c>
      <c r="H60" s="771"/>
      <c r="I60" s="771" t="s">
        <v>1826</v>
      </c>
      <c r="J60" s="26"/>
      <c r="K60" s="290" t="s">
        <v>1826</v>
      </c>
      <c r="L60" s="882"/>
      <c r="M60" s="26"/>
      <c r="N60" s="26"/>
      <c r="O60" s="26"/>
      <c r="P60" s="26"/>
      <c r="Q60" s="26"/>
      <c r="R60" s="26"/>
      <c r="S60" s="26"/>
      <c r="T60" s="381" t="b" cm="1">
        <f t="array" ref="T60">T59</f>
        <v>0</v>
      </c>
      <c r="U60" s="26"/>
      <c r="V60" s="26"/>
      <c r="W60" s="26"/>
      <c r="X60" s="1787"/>
      <c r="Z60" s="1735"/>
      <c r="AB60" s="216" t="s">
        <v>1827</v>
      </c>
      <c r="AC60" s="682" t="s">
        <v>1073</v>
      </c>
      <c r="AD60" s="216" t="s">
        <v>766</v>
      </c>
      <c r="AE60" s="1015">
        <f ca="1">SUMIFS(Административные!AE$25:AE$65,Административные!$F$25:$F$65,$F60,Административные!$G$25:$G$65,$G60)</f>
        <v>0</v>
      </c>
      <c r="AF60" s="1015">
        <f ca="1">SUMIFS(Административные!AF$25:AF$65,Административные!$F$25:$F$65,$F60,Административные!$G$25:$G$65,$G60)</f>
        <v>0</v>
      </c>
      <c r="AG60" s="1015">
        <f ca="1">SUMIFS(Административные!AG$25:AG$65,Административные!$F$25:$F$65,$F60,Административные!$G$25:$G$65,$G60)</f>
        <v>0</v>
      </c>
      <c r="AH60" s="1015">
        <f t="shared" ref="AH60:AH91" ca="1" si="7">AG60-AF60</f>
        <v>0</v>
      </c>
      <c r="AI60" s="1015">
        <f ca="1">SUMIFS(Административные!AH$25:AH$65,Административные!$F$25:$F$65,$F60,Административные!$G$25:$G$65,$G60)</f>
        <v>0</v>
      </c>
      <c r="AJ60" s="1015">
        <f ca="1">SUMIFS(Административные!AI$25:AI$65,Административные!$F$25:$F$65,$F60,Административные!$G$25:$G$65,$G60)</f>
        <v>0</v>
      </c>
      <c r="AK60" s="1016"/>
      <c r="AL60" s="1016"/>
      <c r="AM60" s="1016"/>
      <c r="AN60" s="1016"/>
      <c r="AO60" s="1016"/>
      <c r="AP60" s="1016"/>
      <c r="AQ60" s="1016"/>
      <c r="AR60" s="1016"/>
      <c r="AS60" s="1016"/>
      <c r="AT60" s="1015">
        <f ca="1">SUMIFS(Административные!AJ$25:AJ$65,Административные!$F$25:$F$65,$F60,Административные!$G$25:$G$65,$G60)</f>
        <v>0</v>
      </c>
      <c r="AU60" s="1016"/>
      <c r="AV60" s="1016"/>
      <c r="AW60" s="1016"/>
      <c r="AX60" s="1016"/>
      <c r="AY60" s="1016"/>
      <c r="AZ60" s="1016"/>
      <c r="BA60" s="1016"/>
      <c r="BB60" s="1016"/>
      <c r="BC60" s="1016"/>
      <c r="BD60" s="1015">
        <f t="shared" ref="BD60:BD76" ca="1" si="8">IF(AI60=0,0,(AT60-AI60)/AI60*100)</f>
        <v>0</v>
      </c>
      <c r="BE60" s="1016"/>
      <c r="BF60" s="1016"/>
      <c r="BG60" s="1016"/>
      <c r="BH60" s="1016"/>
      <c r="BI60" s="1016"/>
      <c r="BJ60" s="1016"/>
      <c r="BK60" s="1016"/>
      <c r="BL60" s="1016"/>
      <c r="BM60" s="1016"/>
      <c r="BN60" s="1138"/>
      <c r="BO60" s="1142" t="str">
        <f ca="1">IF(IFERROR(INDEX(Административные!$K$26:$L$65,MATCH($F60&amp;"15komm",Административные!$K$26:$K$65,0),2),"")=0,"",IFERROR(INDEX(Административные!$K$26:$L$65,MATCH($F60&amp;"15komm",Административные!$K$26:$K$65,0),2),""))</f>
        <v/>
      </c>
      <c r="BP60" s="1138"/>
      <c r="BS60" s="966" t="s">
        <v>1074</v>
      </c>
    </row>
    <row r="61" spans="2:75" ht="14.65" hidden="1" customHeight="1">
      <c r="C61" s="26"/>
      <c r="D61" s="26"/>
      <c r="E61" s="538">
        <v>15</v>
      </c>
      <c r="F61" s="3" cm="1">
        <f t="array" aca="1" ref="F61" ca="1">OFFSET(E61,-1,1)</f>
        <v>0</v>
      </c>
      <c r="G61" s="26" t="s">
        <v>1075</v>
      </c>
      <c r="H61" s="771"/>
      <c r="I61" s="771" t="s">
        <v>1828</v>
      </c>
      <c r="J61" s="26"/>
      <c r="K61" s="290" t="s">
        <v>1828</v>
      </c>
      <c r="L61" s="882"/>
      <c r="M61" s="26"/>
      <c r="N61" s="26"/>
      <c r="O61" s="26"/>
      <c r="P61" s="26"/>
      <c r="Q61" s="26"/>
      <c r="R61" s="26"/>
      <c r="S61" s="26"/>
      <c r="T61" s="381" t="b" cm="1">
        <f t="array" ref="T61">T60</f>
        <v>0</v>
      </c>
      <c r="U61" s="26"/>
      <c r="V61" s="26"/>
      <c r="W61" s="26"/>
      <c r="X61" s="1787"/>
      <c r="Z61" s="1735"/>
      <c r="AB61" s="216" t="s">
        <v>1829</v>
      </c>
      <c r="AC61" s="682" t="s">
        <v>1078</v>
      </c>
      <c r="AD61" s="216" t="s">
        <v>766</v>
      </c>
      <c r="AE61" s="1015">
        <f ca="1">SUMIFS(Административные!AE$25:AE$65,Административные!$F$25:$F$65,$F61,Административные!$G$25:$G$65,$G61)</f>
        <v>0</v>
      </c>
      <c r="AF61" s="1015">
        <f ca="1">SUMIFS(Административные!AF$25:AF$65,Административные!$F$25:$F$65,$F61,Административные!$G$25:$G$65,$G61)</f>
        <v>0</v>
      </c>
      <c r="AG61" s="1015">
        <f ca="1">SUMIFS(Административные!AG$25:AG$65,Административные!$F$25:$F$65,$F61,Административные!$G$25:$G$65,$G61)</f>
        <v>0</v>
      </c>
      <c r="AH61" s="1015">
        <f t="shared" ca="1" si="7"/>
        <v>0</v>
      </c>
      <c r="AI61" s="1015">
        <f ca="1">SUMIFS(Административные!AH$25:AH$65,Административные!$F$25:$F$65,$F61,Административные!$G$25:$G$65,$G61)</f>
        <v>0</v>
      </c>
      <c r="AJ61" s="1015">
        <f ca="1">SUMIFS(Административные!AI$25:AI$65,Административные!$F$25:$F$65,$F61,Административные!$G$25:$G$65,$G61)</f>
        <v>0</v>
      </c>
      <c r="AK61" s="1016"/>
      <c r="AL61" s="1016"/>
      <c r="AM61" s="1016"/>
      <c r="AN61" s="1016"/>
      <c r="AO61" s="1016"/>
      <c r="AP61" s="1016"/>
      <c r="AQ61" s="1016"/>
      <c r="AR61" s="1016"/>
      <c r="AS61" s="1016"/>
      <c r="AT61" s="1015">
        <f ca="1">SUMIFS(Административные!AJ$25:AJ$65,Административные!$F$25:$F$65,$F61,Административные!$G$25:$G$65,$G61)</f>
        <v>0</v>
      </c>
      <c r="AU61" s="1016"/>
      <c r="AV61" s="1016"/>
      <c r="AW61" s="1016"/>
      <c r="AX61" s="1016"/>
      <c r="AY61" s="1016"/>
      <c r="AZ61" s="1016"/>
      <c r="BA61" s="1016"/>
      <c r="BB61" s="1016"/>
      <c r="BC61" s="1016"/>
      <c r="BD61" s="1015">
        <f t="shared" ca="1" si="8"/>
        <v>0</v>
      </c>
      <c r="BE61" s="1016"/>
      <c r="BF61" s="1016"/>
      <c r="BG61" s="1016"/>
      <c r="BH61" s="1016"/>
      <c r="BI61" s="1016"/>
      <c r="BJ61" s="1016"/>
      <c r="BK61" s="1016"/>
      <c r="BL61" s="1016"/>
      <c r="BM61" s="1016"/>
      <c r="BN61" s="1138"/>
      <c r="BO61" s="1142" t="str">
        <f ca="1">IF(IFERROR(INDEX(Административные!$K$26:$L$65,MATCH($F61&amp;"16komm",Административные!$K$26:$K$65,0),2),"")=0,"",IFERROR(INDEX(Административные!$K$26:$L$65,MATCH($F61&amp;"16komm",Административные!$K$26:$K$65,0),2),""))</f>
        <v/>
      </c>
      <c r="BP61" s="1138"/>
      <c r="BS61" s="966" t="s">
        <v>1830</v>
      </c>
    </row>
    <row r="62" spans="2:75" ht="21.95" hidden="1" customHeight="1">
      <c r="C62" s="26"/>
      <c r="D62" s="26"/>
      <c r="E62" s="538">
        <v>22.5</v>
      </c>
      <c r="F62" s="3" cm="1">
        <f t="array" aca="1" ref="F62" ca="1">OFFSET(E62,-1,1)</f>
        <v>0</v>
      </c>
      <c r="G62" s="26"/>
      <c r="H62" s="771"/>
      <c r="I62" s="771" t="s">
        <v>1214</v>
      </c>
      <c r="J62" s="26"/>
      <c r="K62" s="290" t="s">
        <v>1214</v>
      </c>
      <c r="L62" s="882" t="s">
        <v>853</v>
      </c>
      <c r="M62" s="26"/>
      <c r="N62" s="26"/>
      <c r="O62" s="26"/>
      <c r="P62" s="26"/>
      <c r="Q62" s="26"/>
      <c r="R62" s="26"/>
      <c r="S62" s="26"/>
      <c r="T62" s="381" t="b" cm="1">
        <f t="array" ref="T62">T61</f>
        <v>0</v>
      </c>
      <c r="U62" s="26"/>
      <c r="V62" s="26"/>
      <c r="W62" s="26"/>
      <c r="X62" s="1787"/>
      <c r="Z62" s="1735"/>
      <c r="AB62" s="216" t="s">
        <v>944</v>
      </c>
      <c r="AC62" s="679" t="s">
        <v>1831</v>
      </c>
      <c r="AD62" s="216" t="s">
        <v>766</v>
      </c>
      <c r="AE62" s="1017">
        <f ca="1">AE63+AE64</f>
        <v>0</v>
      </c>
      <c r="AF62" s="1017">
        <f ca="1">AF63+AF64</f>
        <v>0</v>
      </c>
      <c r="AG62" s="1017">
        <f ca="1">AG63+AG64</f>
        <v>0</v>
      </c>
      <c r="AH62" s="1015">
        <f t="shared" ca="1" si="7"/>
        <v>0</v>
      </c>
      <c r="AI62" s="1017">
        <f ca="1">AI63+AI64</f>
        <v>0</v>
      </c>
      <c r="AJ62" s="1017">
        <f ca="1">AJ63+AJ64</f>
        <v>0</v>
      </c>
      <c r="AK62" s="1016"/>
      <c r="AL62" s="1016"/>
      <c r="AM62" s="1016"/>
      <c r="AN62" s="1016"/>
      <c r="AO62" s="1016"/>
      <c r="AP62" s="1016"/>
      <c r="AQ62" s="1016"/>
      <c r="AR62" s="1016"/>
      <c r="AS62" s="1016"/>
      <c r="AT62" s="1017">
        <f ca="1">AT63+AT64</f>
        <v>0</v>
      </c>
      <c r="AU62" s="1016"/>
      <c r="AV62" s="1016"/>
      <c r="AW62" s="1016"/>
      <c r="AX62" s="1016"/>
      <c r="AY62" s="1016"/>
      <c r="AZ62" s="1016"/>
      <c r="BA62" s="1016"/>
      <c r="BB62" s="1016"/>
      <c r="BC62" s="1016"/>
      <c r="BD62" s="1015">
        <f t="shared" ca="1" si="8"/>
        <v>0</v>
      </c>
      <c r="BE62" s="1016"/>
      <c r="BF62" s="1016"/>
      <c r="BG62" s="1016"/>
      <c r="BH62" s="1016"/>
      <c r="BI62" s="1016"/>
      <c r="BJ62" s="1016"/>
      <c r="BK62" s="1016"/>
      <c r="BL62" s="1016"/>
      <c r="BM62" s="1016"/>
      <c r="BN62" s="1138"/>
      <c r="BO62" s="1138"/>
      <c r="BP62" s="1138"/>
      <c r="BS62" s="964" t="s">
        <v>1630</v>
      </c>
    </row>
    <row r="63" spans="2:75" ht="14.65" hidden="1" customHeight="1">
      <c r="C63" s="26"/>
      <c r="D63" s="26"/>
      <c r="E63" s="538">
        <v>15</v>
      </c>
      <c r="F63" s="3" cm="1">
        <f t="array" aca="1" ref="F63" ca="1">OFFSET(E63,-1,1)</f>
        <v>0</v>
      </c>
      <c r="G63" s="26" t="s">
        <v>1034</v>
      </c>
      <c r="H63" s="771"/>
      <c r="I63" s="771" t="s">
        <v>1832</v>
      </c>
      <c r="J63" s="26"/>
      <c r="K63" s="290" t="s">
        <v>1832</v>
      </c>
      <c r="L63" s="882" t="s">
        <v>463</v>
      </c>
      <c r="M63" s="26"/>
      <c r="N63" s="26"/>
      <c r="O63" s="26"/>
      <c r="P63" s="26"/>
      <c r="Q63" s="26"/>
      <c r="R63" s="26"/>
      <c r="S63" s="26"/>
      <c r="T63" s="381" t="b" cm="1">
        <f t="array" ref="T63">T62</f>
        <v>0</v>
      </c>
      <c r="U63" s="26"/>
      <c r="V63" s="26"/>
      <c r="W63" s="26"/>
      <c r="X63" s="1787"/>
      <c r="Z63" s="1735"/>
      <c r="AB63" s="216" t="s">
        <v>1833</v>
      </c>
      <c r="AC63" s="682" t="s">
        <v>1631</v>
      </c>
      <c r="AD63" s="685" t="s">
        <v>766</v>
      </c>
      <c r="AE63" s="1015">
        <f ca="1">SUMIFS(ФОТ!AE$25:AE$77,ФОТ!$F$25:$F$77,$F63,ФОТ!$G$25:$G$77,$G63)</f>
        <v>0</v>
      </c>
      <c r="AF63" s="1015">
        <f ca="1">SUMIFS(ФОТ!AF$25:AF$77,ФОТ!$F$25:$F$77,$F63,ФОТ!$G$25:$G$77,$G63)</f>
        <v>0</v>
      </c>
      <c r="AG63" s="1015">
        <f ca="1">SUMIFS(ФОТ!AG$25:AG$77,ФОТ!$F$25:$F$77,$F63,ФОТ!$G$25:$G$77,$G63)</f>
        <v>0</v>
      </c>
      <c r="AH63" s="1015">
        <f t="shared" ca="1" si="7"/>
        <v>0</v>
      </c>
      <c r="AI63" s="1015">
        <f ca="1">SUMIFS(ФОТ!AH$25:AH$77,ФОТ!$F$25:$F$77,$F63,ФОТ!$G$25:$G$77,$G63)</f>
        <v>0</v>
      </c>
      <c r="AJ63" s="1015">
        <f ca="1">SUMIFS(ФОТ!AI$25:AI$77,ФОТ!$F$25:$F$77,$F63,ФОТ!$G$25:$G$77,$G63)</f>
        <v>0</v>
      </c>
      <c r="AK63" s="1016"/>
      <c r="AL63" s="1016"/>
      <c r="AM63" s="1016"/>
      <c r="AN63" s="1016"/>
      <c r="AO63" s="1016"/>
      <c r="AP63" s="1016"/>
      <c r="AQ63" s="1016"/>
      <c r="AR63" s="1016"/>
      <c r="AS63" s="1016"/>
      <c r="AT63" s="1015">
        <f ca="1">SUMIFS(ФОТ!AJ$25:AJ$77,ФОТ!$F$25:$F$77,$F63,ФОТ!$G$25:$G$77,$G63)</f>
        <v>0</v>
      </c>
      <c r="AU63" s="1016"/>
      <c r="AV63" s="1016"/>
      <c r="AW63" s="1016"/>
      <c r="AX63" s="1016"/>
      <c r="AY63" s="1016"/>
      <c r="AZ63" s="1016"/>
      <c r="BA63" s="1016"/>
      <c r="BB63" s="1016"/>
      <c r="BC63" s="1016"/>
      <c r="BD63" s="1015">
        <f t="shared" ca="1" si="8"/>
        <v>0</v>
      </c>
      <c r="BE63" s="1016"/>
      <c r="BF63" s="1016"/>
      <c r="BG63" s="1016"/>
      <c r="BH63" s="1016"/>
      <c r="BI63" s="1016"/>
      <c r="BJ63" s="1016"/>
      <c r="BK63" s="1016"/>
      <c r="BL63" s="1016"/>
      <c r="BM63" s="1016"/>
      <c r="BN63" s="1138"/>
      <c r="BO63" s="1142" t="str">
        <f ca="1">IF(IFERROR(INDEX(ФОТ!$K$26:$L$77,MATCH($F63&amp;"5komm",ФОТ!$K$26:$K$77,0),2),"")=0,"",IFERROR(INDEX(ФОТ!$K$26:$L$77,MATCH($F63&amp;"5komm",ФОТ!$K$26:$K$77,0),2),""))</f>
        <v/>
      </c>
      <c r="BP63" s="1138"/>
      <c r="BS63" s="964" t="s">
        <v>1051</v>
      </c>
    </row>
    <row r="64" spans="2:75" ht="21.95" hidden="1" customHeight="1">
      <c r="C64" s="26"/>
      <c r="D64" s="26"/>
      <c r="E64" s="538">
        <v>22.5</v>
      </c>
      <c r="F64" s="3" cm="1">
        <f t="array" aca="1" ref="F64" ca="1">OFFSET(E64,-1,1)</f>
        <v>0</v>
      </c>
      <c r="G64" s="26" t="s">
        <v>1039</v>
      </c>
      <c r="H64" s="771"/>
      <c r="I64" s="771" t="s">
        <v>1834</v>
      </c>
      <c r="J64" s="26"/>
      <c r="K64" s="290" t="s">
        <v>1834</v>
      </c>
      <c r="L64" s="882" t="s">
        <v>468</v>
      </c>
      <c r="M64" s="26"/>
      <c r="N64" s="26"/>
      <c r="O64" s="26"/>
      <c r="P64" s="26"/>
      <c r="Q64" s="26"/>
      <c r="R64" s="26"/>
      <c r="S64" s="26"/>
      <c r="T64" s="381" t="b" cm="1">
        <f t="array" ref="T64">T63</f>
        <v>0</v>
      </c>
      <c r="U64" s="26"/>
      <c r="V64" s="26"/>
      <c r="W64" s="26"/>
      <c r="X64" s="1787"/>
      <c r="Z64" s="1735"/>
      <c r="AB64" s="216" t="s">
        <v>1835</v>
      </c>
      <c r="AC64" s="682" t="s">
        <v>1836</v>
      </c>
      <c r="AD64" s="216" t="s">
        <v>766</v>
      </c>
      <c r="AE64" s="1015">
        <f ca="1">SUMIFS(ФОТ!AE$25:AE$77,ФОТ!$F$25:$F$77,$F64,ФОТ!$G$25:$G$77,$G64)</f>
        <v>0</v>
      </c>
      <c r="AF64" s="1015">
        <f ca="1">SUMIFS(ФОТ!AF$25:AF$77,ФОТ!$F$25:$F$77,$F64,ФОТ!$G$25:$G$77,$G64)</f>
        <v>0</v>
      </c>
      <c r="AG64" s="1015">
        <f ca="1">SUMIFS(ФОТ!AG$25:AG$77,ФОТ!$F$25:$F$77,$F64,ФОТ!$G$25:$G$77,$G64)</f>
        <v>0</v>
      </c>
      <c r="AH64" s="1015">
        <f t="shared" ca="1" si="7"/>
        <v>0</v>
      </c>
      <c r="AI64" s="1015">
        <f ca="1">SUMIFS(ФОТ!AH$25:AH$77,ФОТ!$F$25:$F$77,$F64,ФОТ!$G$25:$G$77,$G64)</f>
        <v>0</v>
      </c>
      <c r="AJ64" s="1015">
        <f ca="1">SUMIFS(ФОТ!AI$25:AI$77,ФОТ!$F$25:$F$77,$F64,ФОТ!$G$25:$G$77,$G64)</f>
        <v>0</v>
      </c>
      <c r="AK64" s="1016"/>
      <c r="AL64" s="1016"/>
      <c r="AM64" s="1016"/>
      <c r="AN64" s="1016"/>
      <c r="AO64" s="1016"/>
      <c r="AP64" s="1016"/>
      <c r="AQ64" s="1016"/>
      <c r="AR64" s="1016"/>
      <c r="AS64" s="1016"/>
      <c r="AT64" s="1015">
        <f ca="1">SUMIFS(ФОТ!AJ$25:AJ$77,ФОТ!$F$25:$F$77,$F64,ФОТ!$G$25:$G$77,$G64)</f>
        <v>0</v>
      </c>
      <c r="AU64" s="1016"/>
      <c r="AV64" s="1016"/>
      <c r="AW64" s="1016"/>
      <c r="AX64" s="1016"/>
      <c r="AY64" s="1016"/>
      <c r="AZ64" s="1016"/>
      <c r="BA64" s="1016"/>
      <c r="BB64" s="1016"/>
      <c r="BC64" s="1016"/>
      <c r="BD64" s="1015">
        <f t="shared" ca="1" si="8"/>
        <v>0</v>
      </c>
      <c r="BE64" s="1016"/>
      <c r="BF64" s="1016"/>
      <c r="BG64" s="1016"/>
      <c r="BH64" s="1016"/>
      <c r="BI64" s="1016"/>
      <c r="BJ64" s="1016"/>
      <c r="BK64" s="1016"/>
      <c r="BL64" s="1016"/>
      <c r="BM64" s="1016"/>
      <c r="BN64" s="1138"/>
      <c r="BO64" s="1142" t="str">
        <f ca="1">IF(IFERROR(INDEX(ФОТ!$K$26:$L$77,MATCH($F64&amp;"6komm",ФОТ!$K$26:$K$77,0),2),"")=0,"",IFERROR(INDEX(ФОТ!$K$26:$L$77,MATCH($F64&amp;"6komm",ФОТ!$K$26:$K$77,0),2),""))</f>
        <v/>
      </c>
      <c r="BP64" s="1138"/>
      <c r="BS64" s="964" t="s">
        <v>1633</v>
      </c>
    </row>
    <row r="65" spans="2:75" ht="32.85" hidden="1" customHeight="1">
      <c r="C65" s="26"/>
      <c r="D65" s="26"/>
      <c r="E65" s="538">
        <v>33.75</v>
      </c>
      <c r="F65" s="3" cm="1">
        <f t="array" aca="1" ref="F65" ca="1">OFFSET(E65,-1,1)</f>
        <v>0</v>
      </c>
      <c r="G65" s="762" t="s">
        <v>1080</v>
      </c>
      <c r="H65" s="771"/>
      <c r="I65" s="771" t="s">
        <v>1217</v>
      </c>
      <c r="J65" s="26"/>
      <c r="K65" s="290" t="s">
        <v>1217</v>
      </c>
      <c r="L65" s="882" t="s">
        <v>855</v>
      </c>
      <c r="M65" s="26"/>
      <c r="N65" s="26"/>
      <c r="O65" s="26"/>
      <c r="P65" s="26"/>
      <c r="Q65" s="26"/>
      <c r="R65" s="26"/>
      <c r="S65" s="26"/>
      <c r="T65" s="381" t="b" cm="1">
        <f t="array" ref="T65">T64</f>
        <v>0</v>
      </c>
      <c r="U65" s="26"/>
      <c r="V65" s="26"/>
      <c r="W65" s="26"/>
      <c r="X65" s="1787"/>
      <c r="Z65" s="1735"/>
      <c r="AB65" s="216" t="s">
        <v>1218</v>
      </c>
      <c r="AC65" s="679" t="s">
        <v>1837</v>
      </c>
      <c r="AD65" s="216" t="s">
        <v>766</v>
      </c>
      <c r="AE65" s="1015">
        <f ca="1">SUMIFS(Административные!AE$25:AE$65,Административные!$F$25:$F$65,$F65,Административные!$G$25:$G$65,$G65)</f>
        <v>0</v>
      </c>
      <c r="AF65" s="1015">
        <f ca="1">SUMIFS(Административные!AF$25:AF$65,Административные!$F$25:$F$65,$F65,Административные!$G$25:$G$65,$G65)</f>
        <v>0</v>
      </c>
      <c r="AG65" s="1015">
        <f ca="1">SUMIFS(Административные!AG$25:AG$65,Административные!$F$25:$F$65,$F65,Административные!$G$25:$G$65,$G65)</f>
        <v>0</v>
      </c>
      <c r="AH65" s="1015">
        <f t="shared" ca="1" si="7"/>
        <v>0</v>
      </c>
      <c r="AI65" s="1015">
        <f ca="1">SUMIFS(Административные!AH$25:AH$65,Административные!$F$25:$F$65,$F65,Административные!$G$25:$G$65,$G65)</f>
        <v>0</v>
      </c>
      <c r="AJ65" s="1015">
        <f ca="1">SUMIFS(Административные!AI$25:AI$65,Административные!$F$25:$F$65,$F65,Административные!$G$25:$G$65,$G65)</f>
        <v>0</v>
      </c>
      <c r="AK65" s="1016"/>
      <c r="AL65" s="1016"/>
      <c r="AM65" s="1016"/>
      <c r="AN65" s="1016"/>
      <c r="AO65" s="1016"/>
      <c r="AP65" s="1016"/>
      <c r="AQ65" s="1016"/>
      <c r="AR65" s="1016"/>
      <c r="AS65" s="1016"/>
      <c r="AT65" s="1015">
        <f ca="1">SUMIFS(Административные!AJ$25:AJ$65,Административные!$F$25:$F$65,$F65,Административные!$G$25:$G$65,$G65)</f>
        <v>0</v>
      </c>
      <c r="AU65" s="1016"/>
      <c r="AV65" s="1016"/>
      <c r="AW65" s="1016"/>
      <c r="AX65" s="1016"/>
      <c r="AY65" s="1016"/>
      <c r="AZ65" s="1016"/>
      <c r="BA65" s="1016"/>
      <c r="BB65" s="1016"/>
      <c r="BC65" s="1016"/>
      <c r="BD65" s="1015">
        <f t="shared" ca="1" si="8"/>
        <v>0</v>
      </c>
      <c r="BE65" s="1016"/>
      <c r="BF65" s="1016"/>
      <c r="BG65" s="1016"/>
      <c r="BH65" s="1016"/>
      <c r="BI65" s="1016"/>
      <c r="BJ65" s="1016"/>
      <c r="BK65" s="1016"/>
      <c r="BL65" s="1016"/>
      <c r="BM65" s="1016"/>
      <c r="BN65" s="1138"/>
      <c r="BO65" s="1142" t="str">
        <f ca="1">IF(IFERROR(INDEX(Административные!$K$26:$L$65,MATCH($F65&amp;"2komm",Административные!$K$26:$K$65,0),2),"")=0,"",IFERROR(INDEX(Административные!$K$26:$L$65,MATCH($F65&amp;"2komm",Административные!$K$26:$K$65,0),2),""))</f>
        <v/>
      </c>
      <c r="BP65" s="1138"/>
      <c r="BS65" s="964" t="s">
        <v>1082</v>
      </c>
    </row>
    <row r="66" spans="2:75" ht="14.65" hidden="1" customHeight="1">
      <c r="C66" s="26"/>
      <c r="D66" s="26"/>
      <c r="E66" s="538">
        <v>15</v>
      </c>
      <c r="F66" s="3" cm="1">
        <f t="array" aca="1" ref="F66" ca="1">OFFSET(E66,-1,1)</f>
        <v>0</v>
      </c>
      <c r="G66" s="762" t="s">
        <v>1083</v>
      </c>
      <c r="H66" s="771"/>
      <c r="I66" s="771" t="s">
        <v>1221</v>
      </c>
      <c r="J66" s="26"/>
      <c r="K66" s="290" t="s">
        <v>1221</v>
      </c>
      <c r="L66" s="882" t="s">
        <v>857</v>
      </c>
      <c r="M66" s="26"/>
      <c r="N66" s="26"/>
      <c r="O66" s="26"/>
      <c r="P66" s="26"/>
      <c r="Q66" s="26"/>
      <c r="R66" s="26"/>
      <c r="S66" s="26"/>
      <c r="T66" s="381" t="b" cm="1">
        <f t="array" ref="T66">T65</f>
        <v>0</v>
      </c>
      <c r="U66" s="26"/>
      <c r="V66" s="26"/>
      <c r="W66" s="26"/>
      <c r="X66" s="1787"/>
      <c r="Z66" s="1735"/>
      <c r="AB66" s="216" t="s">
        <v>1222</v>
      </c>
      <c r="AC66" s="679" t="s">
        <v>1838</v>
      </c>
      <c r="AD66" s="216" t="s">
        <v>766</v>
      </c>
      <c r="AE66" s="1015">
        <f ca="1">SUMIFS(Административные!AE$25:AE$65,Административные!$F$25:$F$65,$F66,Административные!$G$25:$G$65,$G66)</f>
        <v>0</v>
      </c>
      <c r="AF66" s="1015">
        <f ca="1">SUMIFS(Административные!AF$25:AF$65,Административные!$F$25:$F$65,$F66,Административные!$G$25:$G$65,$G66)</f>
        <v>0</v>
      </c>
      <c r="AG66" s="1015">
        <f ca="1">SUMIFS(Административные!AG$25:AG$65,Административные!$F$25:$F$65,$F66,Административные!$G$25:$G$65,$G66)</f>
        <v>0</v>
      </c>
      <c r="AH66" s="1015">
        <f t="shared" ca="1" si="7"/>
        <v>0</v>
      </c>
      <c r="AI66" s="1015">
        <f ca="1">SUMIFS(Административные!AH$25:AH$65,Административные!$F$25:$F$65,$F66,Административные!$G$25:$G$65,$G66)</f>
        <v>0</v>
      </c>
      <c r="AJ66" s="1015">
        <f ca="1">SUMIFS(Административные!AI$25:AI$65,Административные!$F$25:$F$65,$F66,Административные!$G$25:$G$65,$G66)</f>
        <v>0</v>
      </c>
      <c r="AK66" s="1016"/>
      <c r="AL66" s="1016"/>
      <c r="AM66" s="1016"/>
      <c r="AN66" s="1016"/>
      <c r="AO66" s="1016"/>
      <c r="AP66" s="1016"/>
      <c r="AQ66" s="1016"/>
      <c r="AR66" s="1016"/>
      <c r="AS66" s="1016"/>
      <c r="AT66" s="1015">
        <f ca="1">SUMIFS(Административные!AJ$25:AJ$65,Административные!$F$25:$F$65,$F66,Административные!$G$25:$G$65,$G66)</f>
        <v>0</v>
      </c>
      <c r="AU66" s="1016"/>
      <c r="AV66" s="1016"/>
      <c r="AW66" s="1016"/>
      <c r="AX66" s="1016"/>
      <c r="AY66" s="1016"/>
      <c r="AZ66" s="1016"/>
      <c r="BA66" s="1016"/>
      <c r="BB66" s="1016"/>
      <c r="BC66" s="1016"/>
      <c r="BD66" s="1015">
        <f t="shared" ca="1" si="8"/>
        <v>0</v>
      </c>
      <c r="BE66" s="1016"/>
      <c r="BF66" s="1016"/>
      <c r="BG66" s="1016"/>
      <c r="BH66" s="1016"/>
      <c r="BI66" s="1016"/>
      <c r="BJ66" s="1016"/>
      <c r="BK66" s="1016"/>
      <c r="BL66" s="1016"/>
      <c r="BM66" s="1016"/>
      <c r="BN66" s="1138"/>
      <c r="BO66" s="1142" t="str">
        <f ca="1">IF(IFERROR(INDEX(Административные!$K$26:$L$65,MATCH($F66&amp;"3komm",Административные!$K$26:$K$65,0),2),"")=0,"",IFERROR(INDEX(Административные!$K$26:$L$65,MATCH($F66&amp;"3komm",Административные!$K$26:$K$65,0),2),""))</f>
        <v/>
      </c>
      <c r="BP66" s="1138"/>
      <c r="BS66" s="964" t="s">
        <v>1085</v>
      </c>
    </row>
    <row r="67" spans="2:75" ht="14.65" hidden="1" customHeight="1">
      <c r="C67" s="26"/>
      <c r="D67" s="26"/>
      <c r="E67" s="538">
        <v>15</v>
      </c>
      <c r="F67" s="3" cm="1">
        <f t="array" aca="1" ref="F67" ca="1">OFFSET(E67,-1,1)</f>
        <v>0</v>
      </c>
      <c r="G67" s="762" t="s">
        <v>1086</v>
      </c>
      <c r="H67" s="771"/>
      <c r="I67" s="771" t="s">
        <v>1839</v>
      </c>
      <c r="J67" s="26"/>
      <c r="K67" s="290" t="s">
        <v>1839</v>
      </c>
      <c r="L67" s="882" t="s">
        <v>860</v>
      </c>
      <c r="M67" s="26"/>
      <c r="N67" s="26"/>
      <c r="O67" s="26"/>
      <c r="P67" s="26"/>
      <c r="Q67" s="26"/>
      <c r="R67" s="26"/>
      <c r="S67" s="26"/>
      <c r="T67" s="381" t="b" cm="1">
        <f t="array" ref="T67">T66</f>
        <v>0</v>
      </c>
      <c r="U67" s="26"/>
      <c r="V67" s="26"/>
      <c r="W67" s="26"/>
      <c r="X67" s="1787"/>
      <c r="Z67" s="1735"/>
      <c r="AB67" s="216" t="s">
        <v>1840</v>
      </c>
      <c r="AC67" s="679" t="s">
        <v>1841</v>
      </c>
      <c r="AD67" s="216" t="s">
        <v>766</v>
      </c>
      <c r="AE67" s="1015">
        <f ca="1">SUMIFS(Административные!AE$25:AE$65,Административные!$F$25:$F$65,$F67,Административные!$G$25:$G$65,$G67)</f>
        <v>0</v>
      </c>
      <c r="AF67" s="1015">
        <f ca="1">SUMIFS(Административные!AF$25:AF$65,Административные!$F$25:$F$65,$F67,Административные!$G$25:$G$65,$G67)</f>
        <v>0</v>
      </c>
      <c r="AG67" s="1015">
        <f ca="1">SUMIFS(Административные!AG$25:AG$65,Административные!$F$25:$F$65,$F67,Административные!$G$25:$G$65,$G67)</f>
        <v>0</v>
      </c>
      <c r="AH67" s="1015">
        <f t="shared" ca="1" si="7"/>
        <v>0</v>
      </c>
      <c r="AI67" s="1015">
        <f ca="1">SUMIFS(Административные!AH$25:AH$65,Административные!$F$25:$F$65,$F67,Административные!$G$25:$G$65,$G67)</f>
        <v>0</v>
      </c>
      <c r="AJ67" s="1015">
        <f ca="1">SUMIFS(Административные!AI$25:AI$65,Административные!$F$25:$F$65,$F67,Административные!$G$25:$G$65,$G67)</f>
        <v>0</v>
      </c>
      <c r="AK67" s="1016"/>
      <c r="AL67" s="1016"/>
      <c r="AM67" s="1016"/>
      <c r="AN67" s="1016"/>
      <c r="AO67" s="1016"/>
      <c r="AP67" s="1016"/>
      <c r="AQ67" s="1016"/>
      <c r="AR67" s="1016"/>
      <c r="AS67" s="1016"/>
      <c r="AT67" s="1015">
        <f ca="1">SUMIFS(Административные!AJ$25:AJ$65,Административные!$F$25:$F$65,$F67,Административные!$G$25:$G$65,$G67)</f>
        <v>0</v>
      </c>
      <c r="AU67" s="1016"/>
      <c r="AV67" s="1016"/>
      <c r="AW67" s="1016"/>
      <c r="AX67" s="1016"/>
      <c r="AY67" s="1016"/>
      <c r="AZ67" s="1016"/>
      <c r="BA67" s="1016"/>
      <c r="BB67" s="1016"/>
      <c r="BC67" s="1016"/>
      <c r="BD67" s="1015">
        <f t="shared" ca="1" si="8"/>
        <v>0</v>
      </c>
      <c r="BE67" s="1016"/>
      <c r="BF67" s="1016"/>
      <c r="BG67" s="1016"/>
      <c r="BH67" s="1016"/>
      <c r="BI67" s="1016"/>
      <c r="BJ67" s="1016"/>
      <c r="BK67" s="1016"/>
      <c r="BL67" s="1016"/>
      <c r="BM67" s="1016"/>
      <c r="BN67" s="1138"/>
      <c r="BO67" s="1142" t="str">
        <f ca="1">IF(IFERROR(INDEX(Административные!$K$26:$L$65,MATCH($F67&amp;"4komm",Административные!$K$26:$K$65,0),2),"")=0,"",IFERROR(INDEX(Административные!$K$26:$L$65,MATCH($F67&amp;"4komm",Административные!$K$26:$K$65,0),2),""))</f>
        <v/>
      </c>
      <c r="BP67" s="1138"/>
      <c r="BS67" s="964" t="s">
        <v>1088</v>
      </c>
    </row>
    <row r="68" spans="2:75" ht="14.65" hidden="1" customHeight="1">
      <c r="C68" s="26"/>
      <c r="D68" s="26"/>
      <c r="E68" s="538">
        <v>15</v>
      </c>
      <c r="F68" s="3" cm="1">
        <f t="array" aca="1" ref="F68" ca="1">OFFSET(E68,-1,1)</f>
        <v>0</v>
      </c>
      <c r="G68" s="762" t="s">
        <v>1089</v>
      </c>
      <c r="H68" s="771"/>
      <c r="I68" s="771" t="s">
        <v>1842</v>
      </c>
      <c r="J68" s="26"/>
      <c r="K68" s="290" t="s">
        <v>1842</v>
      </c>
      <c r="L68" s="882" t="s">
        <v>1071</v>
      </c>
      <c r="M68" s="26"/>
      <c r="N68" s="26"/>
      <c r="O68" s="26"/>
      <c r="P68" s="26"/>
      <c r="Q68" s="26"/>
      <c r="R68" s="26"/>
      <c r="S68" s="26"/>
      <c r="T68" s="381" t="b" cm="1">
        <f t="array" ref="T68">T67</f>
        <v>0</v>
      </c>
      <c r="U68" s="26"/>
      <c r="V68" s="26"/>
      <c r="W68" s="26"/>
      <c r="X68" s="1787"/>
      <c r="Z68" s="1735"/>
      <c r="AB68" s="216" t="s">
        <v>1843</v>
      </c>
      <c r="AC68" s="679" t="s">
        <v>1844</v>
      </c>
      <c r="AD68" s="216" t="s">
        <v>766</v>
      </c>
      <c r="AE68" s="1015">
        <f ca="1">SUMIFS(Административные!AE$25:AE$65,Административные!$F$25:$F$65,$F68,Административные!$G$25:$G$65,$G68)</f>
        <v>0</v>
      </c>
      <c r="AF68" s="1015">
        <f ca="1">SUMIFS(Административные!AF$25:AF$65,Административные!$F$25:$F$65,$F68,Административные!$G$25:$G$65,$G68)</f>
        <v>0</v>
      </c>
      <c r="AG68" s="1015">
        <f ca="1">SUMIFS(Административные!AG$25:AG$65,Административные!$F$25:$F$65,$F68,Административные!$G$25:$G$65,$G68)</f>
        <v>0</v>
      </c>
      <c r="AH68" s="1015">
        <f t="shared" ca="1" si="7"/>
        <v>0</v>
      </c>
      <c r="AI68" s="1015">
        <f ca="1">SUMIFS(Административные!AH$25:AH$65,Административные!$F$25:$F$65,$F68,Административные!$G$25:$G$65,$G68)</f>
        <v>0</v>
      </c>
      <c r="AJ68" s="1015">
        <f ca="1">SUMIFS(Административные!AI$25:AI$65,Административные!$F$25:$F$65,$F68,Административные!$G$25:$G$65,$G68)</f>
        <v>0</v>
      </c>
      <c r="AK68" s="1016"/>
      <c r="AL68" s="1016"/>
      <c r="AM68" s="1016"/>
      <c r="AN68" s="1016"/>
      <c r="AO68" s="1016"/>
      <c r="AP68" s="1016"/>
      <c r="AQ68" s="1016"/>
      <c r="AR68" s="1016"/>
      <c r="AS68" s="1016"/>
      <c r="AT68" s="1015">
        <f ca="1">SUMIFS(Административные!AJ$25:AJ$65,Административные!$F$25:$F$65,$F68,Административные!$G$25:$G$65,$G68)</f>
        <v>0</v>
      </c>
      <c r="AU68" s="1016"/>
      <c r="AV68" s="1016"/>
      <c r="AW68" s="1016"/>
      <c r="AX68" s="1016"/>
      <c r="AY68" s="1016"/>
      <c r="AZ68" s="1016"/>
      <c r="BA68" s="1016"/>
      <c r="BB68" s="1016"/>
      <c r="BC68" s="1016"/>
      <c r="BD68" s="1015">
        <f t="shared" ca="1" si="8"/>
        <v>0</v>
      </c>
      <c r="BE68" s="1016"/>
      <c r="BF68" s="1016"/>
      <c r="BG68" s="1016"/>
      <c r="BH68" s="1016"/>
      <c r="BI68" s="1016"/>
      <c r="BJ68" s="1016"/>
      <c r="BK68" s="1016"/>
      <c r="BL68" s="1016"/>
      <c r="BM68" s="1016"/>
      <c r="BN68" s="1138"/>
      <c r="BO68" s="1142" t="str">
        <f ca="1">IF(IFERROR(INDEX(Административные!$K$26:$L$65,MATCH($F68&amp;"5komm",Административные!$K$26:$K$65,0),2),"")=0,"",IFERROR(INDEX(Административные!$K$26:$L$65,MATCH($F68&amp;"5komm",Административные!$K$26:$K$65,0),2),""))</f>
        <v/>
      </c>
      <c r="BP68" s="1138"/>
      <c r="BS68" s="964" t="s">
        <v>1635</v>
      </c>
    </row>
    <row r="69" spans="2:75" ht="14.65" hidden="1" customHeight="1">
      <c r="C69" s="26"/>
      <c r="D69" s="26"/>
      <c r="E69" s="538">
        <v>15</v>
      </c>
      <c r="F69" s="3" cm="1">
        <f t="array" aca="1" ref="F69" ca="1">OFFSET(E69,-1,1)</f>
        <v>0</v>
      </c>
      <c r="G69" s="762" t="s">
        <v>1092</v>
      </c>
      <c r="H69" s="771"/>
      <c r="I69" s="771" t="s">
        <v>1845</v>
      </c>
      <c r="J69" s="26"/>
      <c r="K69" s="290" t="s">
        <v>1845</v>
      </c>
      <c r="L69" s="882" t="s">
        <v>1076</v>
      </c>
      <c r="M69" s="26"/>
      <c r="N69" s="26"/>
      <c r="O69" s="26"/>
      <c r="P69" s="26"/>
      <c r="Q69" s="26"/>
      <c r="R69" s="26"/>
      <c r="S69" s="26"/>
      <c r="T69" s="381" t="b" cm="1">
        <f t="array" ref="T69">T68</f>
        <v>0</v>
      </c>
      <c r="U69" s="26"/>
      <c r="V69" s="26"/>
      <c r="W69" s="26"/>
      <c r="X69" s="1787"/>
      <c r="Z69" s="1735"/>
      <c r="AB69" s="216" t="s">
        <v>1846</v>
      </c>
      <c r="AC69" s="679" t="s">
        <v>1847</v>
      </c>
      <c r="AD69" s="216" t="s">
        <v>766</v>
      </c>
      <c r="AE69" s="1015">
        <f ca="1">SUMIFS(Административные!AE$25:AE$65,Административные!$F$25:$F$65,$F69,Административные!$G$25:$G$65,$G69)</f>
        <v>0</v>
      </c>
      <c r="AF69" s="1015">
        <f ca="1">SUMIFS(Административные!AF$25:AF$65,Административные!$F$25:$F$65,$F69,Административные!$G$25:$G$65,$G69)</f>
        <v>0</v>
      </c>
      <c r="AG69" s="1015">
        <f ca="1">SUMIFS(Административные!AG$25:AG$65,Административные!$F$25:$F$65,$F69,Административные!$G$25:$G$65,$G69)</f>
        <v>0</v>
      </c>
      <c r="AH69" s="1015">
        <f t="shared" ca="1" si="7"/>
        <v>0</v>
      </c>
      <c r="AI69" s="1015">
        <f ca="1">SUMIFS(Административные!AH$25:AH$65,Административные!$F$25:$F$65,$F69,Административные!$G$25:$G$65,$G69)</f>
        <v>0</v>
      </c>
      <c r="AJ69" s="1015">
        <f ca="1">SUMIFS(Административные!AI$25:AI$65,Административные!$F$25:$F$65,$F69,Административные!$G$25:$G$65,$G69)</f>
        <v>0</v>
      </c>
      <c r="AK69" s="1016"/>
      <c r="AL69" s="1016"/>
      <c r="AM69" s="1016"/>
      <c r="AN69" s="1016"/>
      <c r="AO69" s="1016"/>
      <c r="AP69" s="1016"/>
      <c r="AQ69" s="1016"/>
      <c r="AR69" s="1016"/>
      <c r="AS69" s="1016"/>
      <c r="AT69" s="1015">
        <f ca="1">SUMIFS(Административные!AJ$25:AJ$65,Административные!$F$25:$F$65,$F69,Административные!$G$25:$G$65,$G69)</f>
        <v>0</v>
      </c>
      <c r="AU69" s="1016"/>
      <c r="AV69" s="1016"/>
      <c r="AW69" s="1016"/>
      <c r="AX69" s="1016"/>
      <c r="AY69" s="1016"/>
      <c r="AZ69" s="1016"/>
      <c r="BA69" s="1016"/>
      <c r="BB69" s="1016"/>
      <c r="BC69" s="1016"/>
      <c r="BD69" s="1015">
        <f t="shared" ca="1" si="8"/>
        <v>0</v>
      </c>
      <c r="BE69" s="1016"/>
      <c r="BF69" s="1016"/>
      <c r="BG69" s="1016"/>
      <c r="BH69" s="1016"/>
      <c r="BI69" s="1016"/>
      <c r="BJ69" s="1016"/>
      <c r="BK69" s="1016"/>
      <c r="BL69" s="1016"/>
      <c r="BM69" s="1016"/>
      <c r="BN69" s="1138"/>
      <c r="BO69" s="1142" t="str">
        <f ca="1">IF(IFERROR(INDEX(Административные!$K$26:$L$65,MATCH($F69&amp;"6komm",Административные!$K$26:$K$65,0),2),"")=0,"",IFERROR(INDEX(Административные!$K$26:$L$65,MATCH($F69&amp;"6komm",Административные!$K$26:$K$65,0),2),""))</f>
        <v/>
      </c>
      <c r="BP69" s="1138"/>
      <c r="BS69" s="964" t="s">
        <v>1637</v>
      </c>
    </row>
    <row r="70" spans="2:75" ht="14.65" hidden="1" customHeight="1">
      <c r="C70" s="26"/>
      <c r="D70" s="26"/>
      <c r="E70" s="538">
        <v>15</v>
      </c>
      <c r="F70" s="3" cm="1">
        <f t="array" aca="1" ref="F70" ca="1">OFFSET(E70,-1,1)</f>
        <v>0</v>
      </c>
      <c r="G70" s="762" t="s">
        <v>1094</v>
      </c>
      <c r="H70" s="771"/>
      <c r="I70" s="771" t="s">
        <v>1848</v>
      </c>
      <c r="J70" s="26"/>
      <c r="K70" s="290" t="s">
        <v>1848</v>
      </c>
      <c r="L70" s="882" t="s">
        <v>1638</v>
      </c>
      <c r="M70" s="26"/>
      <c r="N70" s="26"/>
      <c r="O70" s="26"/>
      <c r="P70" s="26"/>
      <c r="Q70" s="26"/>
      <c r="R70" s="26"/>
      <c r="S70" s="26"/>
      <c r="T70" s="381" t="b" cm="1">
        <f t="array" ref="T70">T69</f>
        <v>0</v>
      </c>
      <c r="U70" s="26"/>
      <c r="V70" s="26"/>
      <c r="W70" s="26"/>
      <c r="X70" s="1787"/>
      <c r="Z70" s="1735"/>
      <c r="AB70" s="216" t="s">
        <v>1849</v>
      </c>
      <c r="AC70" s="682" t="s">
        <v>1640</v>
      </c>
      <c r="AD70" s="216" t="s">
        <v>766</v>
      </c>
      <c r="AE70" s="1015">
        <f ca="1">SUMIFS(Административные!AE$25:AE$65,Административные!$F$25:$F$65,$F70,Административные!$G$25:$G$65,$G70)</f>
        <v>0</v>
      </c>
      <c r="AF70" s="1015">
        <f ca="1">SUMIFS(Административные!AF$25:AF$65,Административные!$F$25:$F$65,$F70,Административные!$G$25:$G$65,$G70)</f>
        <v>0</v>
      </c>
      <c r="AG70" s="1015">
        <f ca="1">SUMIFS(Административные!AG$25:AG$65,Административные!$F$25:$F$65,$F70,Административные!$G$25:$G$65,$G70)</f>
        <v>0</v>
      </c>
      <c r="AH70" s="1015">
        <f t="shared" ca="1" si="7"/>
        <v>0</v>
      </c>
      <c r="AI70" s="1015">
        <f ca="1">SUMIFS(Административные!AH$25:AH$65,Административные!$F$25:$F$65,$F70,Административные!$G$25:$G$65,$G70)</f>
        <v>0</v>
      </c>
      <c r="AJ70" s="1015">
        <f ca="1">SUMIFS(Административные!AI$25:AI$65,Административные!$F$25:$F$65,$F70,Административные!$G$25:$G$65,$G70)</f>
        <v>0</v>
      </c>
      <c r="AK70" s="1016"/>
      <c r="AL70" s="1016"/>
      <c r="AM70" s="1016"/>
      <c r="AN70" s="1016"/>
      <c r="AO70" s="1016"/>
      <c r="AP70" s="1016"/>
      <c r="AQ70" s="1016"/>
      <c r="AR70" s="1016"/>
      <c r="AS70" s="1016"/>
      <c r="AT70" s="1015">
        <f ca="1">SUMIFS(Административные!AJ$25:AJ$65,Административные!$F$25:$F$65,$F70,Административные!$G$25:$G$65,$G70)</f>
        <v>0</v>
      </c>
      <c r="AU70" s="1016"/>
      <c r="AV70" s="1016"/>
      <c r="AW70" s="1016"/>
      <c r="AX70" s="1016"/>
      <c r="AY70" s="1016"/>
      <c r="AZ70" s="1016"/>
      <c r="BA70" s="1016"/>
      <c r="BB70" s="1016"/>
      <c r="BC70" s="1016"/>
      <c r="BD70" s="1015">
        <f t="shared" ca="1" si="8"/>
        <v>0</v>
      </c>
      <c r="BE70" s="1016"/>
      <c r="BF70" s="1016"/>
      <c r="BG70" s="1016"/>
      <c r="BH70" s="1016"/>
      <c r="BI70" s="1016"/>
      <c r="BJ70" s="1016"/>
      <c r="BK70" s="1016"/>
      <c r="BL70" s="1016"/>
      <c r="BM70" s="1016"/>
      <c r="BN70" s="1138"/>
      <c r="BO70" s="1142" t="str">
        <f ca="1">IF(IFERROR(INDEX(Административные!$K$26:$L$65,MATCH($F70&amp;"7komm",Административные!$K$26:$K$65,0),2),"")=0,"",IFERROR(INDEX(Административные!$K$26:$L$65,MATCH($F70&amp;"7komm",Административные!$K$26:$K$65,0),2),""))</f>
        <v/>
      </c>
      <c r="BP70" s="1138"/>
      <c r="BS70" s="964" t="s">
        <v>1641</v>
      </c>
    </row>
    <row r="71" spans="2:75" ht="14.65" hidden="1" customHeight="1">
      <c r="C71" s="26"/>
      <c r="D71" s="26"/>
      <c r="E71" s="538">
        <v>15</v>
      </c>
      <c r="F71" s="3" cm="1">
        <f t="array" aca="1" ref="F71" ca="1">OFFSET(E71,-1,1)</f>
        <v>0</v>
      </c>
      <c r="G71" s="762" t="s">
        <v>1097</v>
      </c>
      <c r="H71" s="771"/>
      <c r="I71" s="771" t="s">
        <v>1850</v>
      </c>
      <c r="J71" s="26"/>
      <c r="K71" s="290" t="s">
        <v>1850</v>
      </c>
      <c r="L71" s="882" t="s">
        <v>1642</v>
      </c>
      <c r="M71" s="26"/>
      <c r="N71" s="26"/>
      <c r="O71" s="26"/>
      <c r="P71" s="26"/>
      <c r="Q71" s="26"/>
      <c r="R71" s="26"/>
      <c r="S71" s="26"/>
      <c r="T71" s="381" t="b" cm="1">
        <f t="array" ref="T71">T70</f>
        <v>0</v>
      </c>
      <c r="U71" s="26"/>
      <c r="V71" s="26"/>
      <c r="W71" s="26"/>
      <c r="X71" s="1787"/>
      <c r="Z71" s="1735"/>
      <c r="AB71" s="216" t="s">
        <v>1851</v>
      </c>
      <c r="AC71" s="682" t="s">
        <v>1098</v>
      </c>
      <c r="AD71" s="216" t="s">
        <v>766</v>
      </c>
      <c r="AE71" s="1015">
        <f ca="1">SUMIFS(Административные!AE$25:AE$65,Административные!$F$25:$F$65,$F71,Административные!$G$25:$G$65,$G71)</f>
        <v>0</v>
      </c>
      <c r="AF71" s="1015">
        <f ca="1">SUMIFS(Административные!AF$25:AF$65,Административные!$F$25:$F$65,$F71,Административные!$G$25:$G$65,$G71)</f>
        <v>0</v>
      </c>
      <c r="AG71" s="1015">
        <f ca="1">SUMIFS(Административные!AG$25:AG$65,Административные!$F$25:$F$65,$F71,Административные!$G$25:$G$65,$G71)</f>
        <v>0</v>
      </c>
      <c r="AH71" s="1015">
        <f t="shared" ca="1" si="7"/>
        <v>0</v>
      </c>
      <c r="AI71" s="1015">
        <f ca="1">SUMIFS(Административные!AH$25:AH$65,Административные!$F$25:$F$65,$F71,Административные!$G$25:$G$65,$G71)</f>
        <v>0</v>
      </c>
      <c r="AJ71" s="1015">
        <f ca="1">SUMIFS(Административные!AI$25:AI$65,Административные!$F$25:$F$65,$F71,Административные!$G$25:$G$65,$G71)</f>
        <v>0</v>
      </c>
      <c r="AK71" s="1016"/>
      <c r="AL71" s="1016"/>
      <c r="AM71" s="1016"/>
      <c r="AN71" s="1016"/>
      <c r="AO71" s="1016"/>
      <c r="AP71" s="1016"/>
      <c r="AQ71" s="1016"/>
      <c r="AR71" s="1016"/>
      <c r="AS71" s="1016"/>
      <c r="AT71" s="1015">
        <f ca="1">SUMIFS(Административные!AJ$25:AJ$65,Административные!$F$25:$F$65,$F71,Административные!$G$25:$G$65,$G71)</f>
        <v>0</v>
      </c>
      <c r="AU71" s="1016"/>
      <c r="AV71" s="1016"/>
      <c r="AW71" s="1016"/>
      <c r="AX71" s="1016"/>
      <c r="AY71" s="1016"/>
      <c r="AZ71" s="1016"/>
      <c r="BA71" s="1016"/>
      <c r="BB71" s="1016"/>
      <c r="BC71" s="1016"/>
      <c r="BD71" s="1015">
        <f t="shared" ca="1" si="8"/>
        <v>0</v>
      </c>
      <c r="BE71" s="1016"/>
      <c r="BF71" s="1016"/>
      <c r="BG71" s="1016"/>
      <c r="BH71" s="1016"/>
      <c r="BI71" s="1016"/>
      <c r="BJ71" s="1016"/>
      <c r="BK71" s="1016"/>
      <c r="BL71" s="1016"/>
      <c r="BM71" s="1016"/>
      <c r="BN71" s="1138"/>
      <c r="BO71" s="1142" t="str">
        <f ca="1">IF(IFERROR(INDEX(Административные!$K$26:$L$65,MATCH($F71&amp;"8komm",Административные!$K$26:$K$65,0),2),"")=0,"",IFERROR(INDEX(Административные!$K$26:$L$65,MATCH($F71&amp;"8komm",Административные!$K$26:$K$65,0),2),""))</f>
        <v/>
      </c>
      <c r="BP71" s="1138"/>
      <c r="BS71" s="964" t="s">
        <v>1644</v>
      </c>
    </row>
    <row r="72" spans="2:75" ht="14.65" hidden="1" customHeight="1">
      <c r="C72" s="26"/>
      <c r="D72" s="26"/>
      <c r="E72" s="538">
        <v>15</v>
      </c>
      <c r="F72" s="3" cm="1">
        <f t="array" aca="1" ref="F72" ca="1">OFFSET(E72,-1,1)</f>
        <v>0</v>
      </c>
      <c r="G72" s="26" t="s">
        <v>1100</v>
      </c>
      <c r="H72" s="771"/>
      <c r="I72" s="771" t="s">
        <v>1852</v>
      </c>
      <c r="J72" s="26"/>
      <c r="K72" s="290" t="s">
        <v>1852</v>
      </c>
      <c r="L72" s="882" t="s">
        <v>1645</v>
      </c>
      <c r="M72" s="26"/>
      <c r="N72" s="26"/>
      <c r="O72" s="26"/>
      <c r="P72" s="26"/>
      <c r="Q72" s="26"/>
      <c r="R72" s="26"/>
      <c r="S72" s="26"/>
      <c r="T72" s="381" t="b" cm="1">
        <f t="array" ref="T72">T71</f>
        <v>0</v>
      </c>
      <c r="U72" s="26"/>
      <c r="V72" s="26"/>
      <c r="W72" s="26"/>
      <c r="X72" s="1787"/>
      <c r="Z72" s="1735"/>
      <c r="AB72" s="216" t="s">
        <v>1853</v>
      </c>
      <c r="AC72" s="682" t="s">
        <v>1101</v>
      </c>
      <c r="AD72" s="216" t="s">
        <v>766</v>
      </c>
      <c r="AE72" s="1015">
        <f ca="1">SUMIFS(Административные!AE$25:AE$65,Административные!$F$25:$F$65,$F72,Административные!$G$25:$G$65,$G72)</f>
        <v>0</v>
      </c>
      <c r="AF72" s="1015">
        <f ca="1">SUMIFS(Административные!AF$25:AF$65,Административные!$F$25:$F$65,$F72,Административные!$G$25:$G$65,$G72)</f>
        <v>0</v>
      </c>
      <c r="AG72" s="1015">
        <f ca="1">SUMIFS(Административные!AG$25:AG$65,Административные!$F$25:$F$65,$F72,Административные!$G$25:$G$65,$G72)</f>
        <v>0</v>
      </c>
      <c r="AH72" s="1015">
        <f t="shared" ca="1" si="7"/>
        <v>0</v>
      </c>
      <c r="AI72" s="1015">
        <f ca="1">SUMIFS(Административные!AH$25:AH$65,Административные!$F$25:$F$65,$F72,Административные!$G$25:$G$65,$G72)</f>
        <v>0</v>
      </c>
      <c r="AJ72" s="1017">
        <f ca="1">SUMIFS(Административные!AI$25:AI$65,Административные!$F$25:$F$65,$F72,Административные!$G$25:$G$65,$G72)</f>
        <v>0</v>
      </c>
      <c r="AK72" s="1016"/>
      <c r="AL72" s="1016"/>
      <c r="AM72" s="1016"/>
      <c r="AN72" s="1016"/>
      <c r="AO72" s="1016"/>
      <c r="AP72" s="1016"/>
      <c r="AQ72" s="1016"/>
      <c r="AR72" s="1016"/>
      <c r="AS72" s="1016"/>
      <c r="AT72" s="1017">
        <f ca="1">SUMIFS(Административные!AJ$25:AJ$65,Административные!$F$25:$F$65,$F72,Административные!$G$25:$G$65,$G72)</f>
        <v>0</v>
      </c>
      <c r="AU72" s="1016"/>
      <c r="AV72" s="1016"/>
      <c r="AW72" s="1016"/>
      <c r="AX72" s="1016"/>
      <c r="AY72" s="1016"/>
      <c r="AZ72" s="1016"/>
      <c r="BA72" s="1016"/>
      <c r="BB72" s="1016"/>
      <c r="BC72" s="1016"/>
      <c r="BD72" s="1015">
        <f t="shared" ca="1" si="8"/>
        <v>0</v>
      </c>
      <c r="BE72" s="1016"/>
      <c r="BF72" s="1016"/>
      <c r="BG72" s="1016"/>
      <c r="BH72" s="1016"/>
      <c r="BI72" s="1016"/>
      <c r="BJ72" s="1016"/>
      <c r="BK72" s="1016"/>
      <c r="BL72" s="1016"/>
      <c r="BM72" s="1016"/>
      <c r="BN72" s="1138"/>
      <c r="BO72" s="1142" t="str">
        <f ca="1">IF(IFERROR(INDEX(Административные!$K$26:$L$65,MATCH($F72&amp;"9komm",Административные!$K$26:$K$65,0),2),"")=0,"",IFERROR(INDEX(Административные!$K$26:$L$65,MATCH($F72&amp;"9komm",Административные!$K$26:$K$65,0),2),""))</f>
        <v/>
      </c>
      <c r="BP72" s="1138"/>
      <c r="BS72" s="964" t="s">
        <v>1647</v>
      </c>
    </row>
    <row r="73" spans="2:75" ht="21.95" hidden="1" customHeight="1">
      <c r="B73" s="349" t="b">
        <f>STATUS_GO="да"</f>
        <v>1</v>
      </c>
      <c r="C73" s="26"/>
      <c r="D73" s="26"/>
      <c r="E73" s="538">
        <v>22.5</v>
      </c>
      <c r="F73" s="3" cm="1">
        <f t="array" aca="1" ref="F73" ca="1">OFFSET(E73,-1,1)</f>
        <v>0</v>
      </c>
      <c r="G73" s="26"/>
      <c r="H73" s="771"/>
      <c r="I73" s="771" t="s">
        <v>833</v>
      </c>
      <c r="J73" s="26"/>
      <c r="K73" s="290" t="s">
        <v>833</v>
      </c>
      <c r="L73" s="882" t="s">
        <v>327</v>
      </c>
      <c r="M73" s="26"/>
      <c r="N73" s="26"/>
      <c r="O73" s="26"/>
      <c r="P73" s="26"/>
      <c r="Q73" s="26"/>
      <c r="R73" s="26"/>
      <c r="S73" s="26"/>
      <c r="T73" s="381" t="b" cm="1">
        <f t="array" ref="T73">T72</f>
        <v>0</v>
      </c>
      <c r="U73" s="26"/>
      <c r="V73" s="26"/>
      <c r="W73" s="26"/>
      <c r="X73" s="1787"/>
      <c r="Z73" s="1735"/>
      <c r="AB73" s="216" t="s">
        <v>834</v>
      </c>
      <c r="AC73" s="676" t="s">
        <v>1854</v>
      </c>
      <c r="AD73" s="216" t="s">
        <v>766</v>
      </c>
      <c r="AE73" s="1015">
        <f ca="1">SUMIFS('Сбытовые расходы ГО'!AE$25:AE$51,'Сбытовые расходы ГО'!$F$25:$F$51,$F73,'Сбытовые расходы ГО'!$G$25:$G$51,"L0")-SUMIFS('Сбытовые расходы ГО'!AE$25:AE$51,'Сбытовые расходы ГО'!$F$25:$F$51,$F73,'Сбытовые расходы ГО'!$G$25:$G$51,"L1")</f>
        <v>0</v>
      </c>
      <c r="AF73" s="1015">
        <f ca="1">SUMIFS('Сбытовые расходы ГО'!AF$25:AF$51,'Сбытовые расходы ГО'!$F$25:$F$51,$F73,'Сбытовые расходы ГО'!$G$25:$G$51,"L0")-SUMIFS('Сбытовые расходы ГО'!AF$25:AF$51,'Сбытовые расходы ГО'!$F$25:$F$51,$F73,'Сбытовые расходы ГО'!$G$25:$G$51,"L1")</f>
        <v>0</v>
      </c>
      <c r="AG73" s="1015">
        <f ca="1">SUMIFS('Сбытовые расходы ГО'!AG$25:AG$51,'Сбытовые расходы ГО'!$F$25:$F$51,$F73,'Сбытовые расходы ГО'!$G$25:$G$51,"L0")-SUMIFS('Сбытовые расходы ГО'!AG$25:AG$51,'Сбытовые расходы ГО'!$F$25:$F$51,$F73,'Сбытовые расходы ГО'!$G$25:$G$51,"L1")</f>
        <v>0</v>
      </c>
      <c r="AH73" s="1015">
        <f t="shared" ca="1" si="7"/>
        <v>0</v>
      </c>
      <c r="AI73" s="1015">
        <f ca="1">SUMIFS('Сбытовые расходы ГО'!AH$25:AH$51,'Сбытовые расходы ГО'!$F$25:$F$51,$F73,'Сбытовые расходы ГО'!$G$25:$G$51,"L0")-SUMIFS('Сбытовые расходы ГО'!AH$25:AH$51,'Сбытовые расходы ГО'!$F$25:$F$51,$F73,'Сбытовые расходы ГО'!$G$25:$G$51,"L1")</f>
        <v>0</v>
      </c>
      <c r="AJ73" s="1015">
        <f ca="1">SUMIFS('Сбытовые расходы ГО'!AI$25:AI$51,'Сбытовые расходы ГО'!$F$25:$F$51,$F73,'Сбытовые расходы ГО'!$G$25:$G$51,"L0")-SUMIFS('Сбытовые расходы ГО'!AI$25:AI$51,'Сбытовые расходы ГО'!$F$25:$F$51,$F73,'Сбытовые расходы ГО'!$G$25:$G$51,"L1")</f>
        <v>0</v>
      </c>
      <c r="AK73" s="1016"/>
      <c r="AL73" s="1016"/>
      <c r="AM73" s="1016"/>
      <c r="AN73" s="1016"/>
      <c r="AO73" s="1016"/>
      <c r="AP73" s="1016"/>
      <c r="AQ73" s="1016"/>
      <c r="AR73" s="1016"/>
      <c r="AS73" s="1016"/>
      <c r="AT73" s="1015">
        <f ca="1">SUMIFS('Сбытовые расходы ГО'!AJ$25:AJ$51,'Сбытовые расходы ГО'!$F$25:$F$51,$F73,'Сбытовые расходы ГО'!$G$25:$G$51,"L0")-SUMIFS('Сбытовые расходы ГО'!AJ$25:AJ$51,'Сбытовые расходы ГО'!$F$25:$F$51,$F73,'Сбытовые расходы ГО'!$G$25:$G$51,"L1")</f>
        <v>0</v>
      </c>
      <c r="AU73" s="1016"/>
      <c r="AV73" s="1016"/>
      <c r="AW73" s="1016"/>
      <c r="AX73" s="1016"/>
      <c r="AY73" s="1016"/>
      <c r="AZ73" s="1016"/>
      <c r="BA73" s="1016"/>
      <c r="BB73" s="1016"/>
      <c r="BC73" s="1016"/>
      <c r="BD73" s="1015">
        <f t="shared" ca="1" si="8"/>
        <v>0</v>
      </c>
      <c r="BE73" s="1016"/>
      <c r="BF73" s="1016"/>
      <c r="BG73" s="1016"/>
      <c r="BH73" s="1016"/>
      <c r="BI73" s="1016"/>
      <c r="BJ73" s="1016"/>
      <c r="BK73" s="1016"/>
      <c r="BL73" s="1016"/>
      <c r="BM73" s="1016"/>
      <c r="BN73" s="1138"/>
      <c r="BO73" s="1138"/>
      <c r="BP73" s="1138"/>
      <c r="BS73" s="965" t="s">
        <v>1649</v>
      </c>
    </row>
    <row r="74" spans="2:75" ht="14.65" hidden="1" customHeight="1">
      <c r="C74" s="26"/>
      <c r="D74" s="26"/>
      <c r="E74" s="538">
        <v>15</v>
      </c>
      <c r="F74" s="3" cm="1">
        <f t="array" aca="1" ref="F74" ca="1">OFFSET(E74,-1,1)</f>
        <v>0</v>
      </c>
      <c r="G74" s="26"/>
      <c r="H74" s="771"/>
      <c r="I74" s="771" t="s">
        <v>1587</v>
      </c>
      <c r="J74" s="26"/>
      <c r="K74" s="290" t="s">
        <v>1587</v>
      </c>
      <c r="L74" s="882"/>
      <c r="M74" s="26"/>
      <c r="N74" s="26"/>
      <c r="O74" s="26"/>
      <c r="P74" s="26"/>
      <c r="Q74" s="26"/>
      <c r="R74" s="26"/>
      <c r="S74" s="26"/>
      <c r="T74" s="381" t="b" cm="1">
        <f t="array" ref="T74">T73</f>
        <v>0</v>
      </c>
      <c r="U74" s="26"/>
      <c r="V74" s="26"/>
      <c r="W74" s="26"/>
      <c r="X74" s="1787"/>
      <c r="Z74" s="1735"/>
      <c r="AB74" s="216" t="s">
        <v>1588</v>
      </c>
      <c r="AC74" s="676" t="s">
        <v>1855</v>
      </c>
      <c r="AD74" s="216" t="s">
        <v>766</v>
      </c>
      <c r="AE74" s="1141"/>
      <c r="AF74" s="1141"/>
      <c r="AG74" s="1141"/>
      <c r="AH74" s="1015">
        <f t="shared" si="7"/>
        <v>0</v>
      </c>
      <c r="AI74" s="1141"/>
      <c r="AJ74" s="1473"/>
      <c r="AK74" s="1016"/>
      <c r="AL74" s="1016"/>
      <c r="AM74" s="1016"/>
      <c r="AN74" s="1016"/>
      <c r="AO74" s="1016"/>
      <c r="AP74" s="1016"/>
      <c r="AQ74" s="1016"/>
      <c r="AR74" s="1016"/>
      <c r="AS74" s="1016"/>
      <c r="AT74" s="1473"/>
      <c r="AU74" s="1016"/>
      <c r="AV74" s="1016"/>
      <c r="AW74" s="1016"/>
      <c r="AX74" s="1016"/>
      <c r="AY74" s="1016"/>
      <c r="AZ74" s="1016"/>
      <c r="BA74" s="1016"/>
      <c r="BB74" s="1016"/>
      <c r="BC74" s="1016"/>
      <c r="BD74" s="1015">
        <f t="shared" si="8"/>
        <v>0</v>
      </c>
      <c r="BE74" s="1016"/>
      <c r="BF74" s="1016"/>
      <c r="BG74" s="1016"/>
      <c r="BH74" s="1016"/>
      <c r="BI74" s="1016"/>
      <c r="BJ74" s="1016"/>
      <c r="BK74" s="1016"/>
      <c r="BL74" s="1016"/>
      <c r="BM74" s="1016"/>
      <c r="BN74" s="1138"/>
      <c r="BO74" s="1138"/>
      <c r="BP74" s="1138"/>
      <c r="BS74" s="966" t="s">
        <v>1856</v>
      </c>
    </row>
    <row r="75" spans="2:75" s="617" customFormat="1" ht="20.45" hidden="1" customHeight="1">
      <c r="B75" s="352"/>
      <c r="C75" s="28"/>
      <c r="D75" s="28"/>
      <c r="E75" s="740">
        <v>21</v>
      </c>
      <c r="F75" s="3" cm="1">
        <f t="array" aca="1" ref="F75" ca="1">OFFSET(E75,-1,1)</f>
        <v>0</v>
      </c>
      <c r="G75" s="28"/>
      <c r="H75" s="771"/>
      <c r="I75" s="771" t="s">
        <v>1591</v>
      </c>
      <c r="J75" s="28"/>
      <c r="K75" s="290" t="s">
        <v>1591</v>
      </c>
      <c r="L75" s="887"/>
      <c r="M75" s="28"/>
      <c r="N75" s="28"/>
      <c r="O75" s="28"/>
      <c r="P75" s="28"/>
      <c r="Q75" s="28"/>
      <c r="R75" s="28"/>
      <c r="S75" s="28"/>
      <c r="T75" s="381" t="b">
        <f ca="1">AND(F75&gt;0,method_reg="Метод индексации")</f>
        <v>0</v>
      </c>
      <c r="U75" s="28"/>
      <c r="V75" s="28"/>
      <c r="W75" s="28"/>
      <c r="X75" s="1787"/>
      <c r="Z75" s="1735"/>
      <c r="AB75" s="129" t="s">
        <v>1592</v>
      </c>
      <c r="AC75" s="273" t="s">
        <v>1857</v>
      </c>
      <c r="AD75" s="129" t="s">
        <v>766</v>
      </c>
      <c r="AE75" s="131">
        <f>SUM(AE76:AE77)</f>
        <v>0</v>
      </c>
      <c r="AF75" s="131">
        <f>SUM(AF76:AF77)</f>
        <v>0</v>
      </c>
      <c r="AG75" s="131">
        <f>SUM(AG76:AG77)</f>
        <v>0</v>
      </c>
      <c r="AH75" s="692">
        <f t="shared" si="7"/>
        <v>0</v>
      </c>
      <c r="AI75" s="131">
        <f>SUM(AI76:AI77)</f>
        <v>0</v>
      </c>
      <c r="AJ75" s="131">
        <f>SUM(AJ76:AJ77)</f>
        <v>0</v>
      </c>
      <c r="AK75" s="134"/>
      <c r="AL75" s="134"/>
      <c r="AM75" s="134"/>
      <c r="AN75" s="134"/>
      <c r="AO75" s="134"/>
      <c r="AP75" s="134"/>
      <c r="AQ75" s="134"/>
      <c r="AR75" s="134"/>
      <c r="AS75" s="134"/>
      <c r="AT75" s="131">
        <f>SUM(AT76:AT77)</f>
        <v>0</v>
      </c>
      <c r="AU75" s="134"/>
      <c r="AV75" s="134"/>
      <c r="AW75" s="134"/>
      <c r="AX75" s="134"/>
      <c r="AY75" s="134"/>
      <c r="AZ75" s="134"/>
      <c r="BA75" s="134"/>
      <c r="BB75" s="134"/>
      <c r="BC75" s="134"/>
      <c r="BD75" s="692">
        <f t="shared" si="8"/>
        <v>0</v>
      </c>
      <c r="BE75" s="134"/>
      <c r="BF75" s="134"/>
      <c r="BG75" s="134"/>
      <c r="BH75" s="134"/>
      <c r="BI75" s="134"/>
      <c r="BJ75" s="134"/>
      <c r="BK75" s="134"/>
      <c r="BL75" s="134"/>
      <c r="BM75" s="134"/>
      <c r="BN75" s="1140"/>
      <c r="BO75" s="1140"/>
      <c r="BP75" s="1140"/>
      <c r="BS75" s="972" t="s">
        <v>1858</v>
      </c>
      <c r="BT75" s="972"/>
      <c r="BU75" s="972"/>
      <c r="BV75" s="624"/>
      <c r="BW75" s="624"/>
    </row>
    <row r="76" spans="2:75" ht="14.65" hidden="1" customHeight="1">
      <c r="B76" s="349" t="b">
        <f>method_reg="Метод индексации"</f>
        <v>0</v>
      </c>
      <c r="C76" s="26"/>
      <c r="D76" s="26"/>
      <c r="E76" s="538">
        <v>15</v>
      </c>
      <c r="F76" s="3" cm="1">
        <f t="array" aca="1" ref="F76" ca="1">OFFSET(E76,-1,1)</f>
        <v>0</v>
      </c>
      <c r="G76" s="26"/>
      <c r="H76" s="26"/>
      <c r="I76" s="771" t="s">
        <v>1591</v>
      </c>
      <c r="J76" s="26" cm="1">
        <f t="array" ref="J76">AC76</f>
        <v>0</v>
      </c>
      <c r="K76" s="290" t="s">
        <v>1591</v>
      </c>
      <c r="L76" s="882"/>
      <c r="M76" s="26"/>
      <c r="N76" s="26"/>
      <c r="O76" s="26"/>
      <c r="P76" s="26"/>
      <c r="Q76" s="26"/>
      <c r="R76" s="26"/>
      <c r="S76" s="26"/>
      <c r="T76" s="381" t="b">
        <f ca="1">AND(F76&gt;0,Y76&gt;0)</f>
        <v>0</v>
      </c>
      <c r="U76" s="26"/>
      <c r="V76" s="26"/>
      <c r="W76" s="26" t="s">
        <v>173</v>
      </c>
      <c r="X76" s="1787"/>
      <c r="Y76" s="77">
        <v>0</v>
      </c>
      <c r="Z76" s="1735"/>
      <c r="AA76" s="337" t="s">
        <v>174</v>
      </c>
      <c r="AB76" s="216" t="str">
        <f>"1.7."&amp;Y76</f>
        <v>1.7.0</v>
      </c>
      <c r="AC76" s="1143"/>
      <c r="AD76" s="216" t="s">
        <v>766</v>
      </c>
      <c r="AE76" s="1141"/>
      <c r="AF76" s="1141"/>
      <c r="AG76" s="1141"/>
      <c r="AH76" s="1015">
        <f t="shared" si="7"/>
        <v>0</v>
      </c>
      <c r="AI76" s="1141"/>
      <c r="AJ76" s="1473"/>
      <c r="AK76" s="1016"/>
      <c r="AL76" s="1016"/>
      <c r="AM76" s="1016"/>
      <c r="AN76" s="1016"/>
      <c r="AO76" s="1016"/>
      <c r="AP76" s="1016"/>
      <c r="AQ76" s="1016"/>
      <c r="AR76" s="1016"/>
      <c r="AS76" s="1016"/>
      <c r="AT76" s="1473"/>
      <c r="AU76" s="1016"/>
      <c r="AV76" s="1016"/>
      <c r="AW76" s="1016"/>
      <c r="AX76" s="1016"/>
      <c r="AY76" s="1016"/>
      <c r="AZ76" s="1016"/>
      <c r="BA76" s="1016"/>
      <c r="BB76" s="1016"/>
      <c r="BC76" s="1016"/>
      <c r="BD76" s="1015">
        <f t="shared" si="8"/>
        <v>0</v>
      </c>
      <c r="BE76" s="1016"/>
      <c r="BF76" s="1016"/>
      <c r="BG76" s="1016"/>
      <c r="BH76" s="1016"/>
      <c r="BI76" s="1016"/>
      <c r="BJ76" s="1016"/>
      <c r="BK76" s="1016"/>
      <c r="BL76" s="1016"/>
      <c r="BM76" s="1016"/>
      <c r="BN76" s="1138"/>
      <c r="BO76" s="1138"/>
      <c r="BP76" s="1138"/>
      <c r="BS76" s="966" t="s">
        <v>1858</v>
      </c>
      <c r="BT76" s="966" t="s">
        <v>1859</v>
      </c>
      <c r="BU76" s="966" cm="1">
        <f t="array" ref="BU76">AC76</f>
        <v>0</v>
      </c>
      <c r="BW76" s="620" t="b">
        <v>1</v>
      </c>
    </row>
    <row r="77" spans="2:75" ht="14.65" hidden="1" customHeight="1">
      <c r="B77" s="349" t="b" cm="1">
        <f t="array" ref="B77">B76</f>
        <v>0</v>
      </c>
      <c r="C77" s="26"/>
      <c r="D77" s="26"/>
      <c r="E77" s="538">
        <v>15</v>
      </c>
      <c r="F77" s="3" cm="1">
        <f t="array" aca="1" ref="F77" ca="1">OFFSET(E77,-1,1)</f>
        <v>0</v>
      </c>
      <c r="G77" s="396"/>
      <c r="H77" s="26"/>
      <c r="I77" s="26"/>
      <c r="J77" s="26" t="s">
        <v>1860</v>
      </c>
      <c r="L77" s="882"/>
      <c r="M77" s="26"/>
      <c r="N77" s="26"/>
      <c r="O77" s="26"/>
      <c r="P77" s="26"/>
      <c r="Q77" s="26"/>
      <c r="R77" s="26"/>
      <c r="S77" s="26"/>
      <c r="T77" s="381" t="b">
        <f ca="1">F77&gt;0</f>
        <v>0</v>
      </c>
      <c r="U77" s="26"/>
      <c r="V77" s="26"/>
      <c r="W77" s="743" t="s">
        <v>389</v>
      </c>
      <c r="X77" s="1787"/>
      <c r="Z77" s="1735"/>
      <c r="AB77" s="787"/>
      <c r="AC77" s="176" t="s">
        <v>177</v>
      </c>
      <c r="AD77" s="690"/>
      <c r="AE77" s="690"/>
      <c r="AF77" s="690"/>
      <c r="AG77" s="690"/>
      <c r="AH77" s="690"/>
      <c r="AI77" s="690"/>
      <c r="AJ77" s="690"/>
      <c r="AK77" s="690"/>
      <c r="AL77" s="690"/>
      <c r="AM77" s="690"/>
      <c r="AN77" s="690"/>
      <c r="AO77" s="690"/>
      <c r="AP77" s="690"/>
      <c r="AQ77" s="690"/>
      <c r="AR77" s="690"/>
      <c r="AS77" s="690"/>
      <c r="AT77" s="690"/>
      <c r="AU77" s="690"/>
      <c r="AV77" s="690"/>
      <c r="AW77" s="690"/>
      <c r="AX77" s="690"/>
      <c r="AY77" s="690"/>
      <c r="AZ77" s="690"/>
      <c r="BA77" s="690"/>
      <c r="BB77" s="690"/>
      <c r="BC77" s="690"/>
      <c r="BD77" s="690"/>
      <c r="BE77" s="690"/>
      <c r="BF77" s="690"/>
      <c r="BG77" s="690"/>
      <c r="BH77" s="690"/>
      <c r="BI77" s="690"/>
      <c r="BJ77" s="690"/>
      <c r="BK77" s="690"/>
      <c r="BL77" s="690"/>
      <c r="BM77" s="690"/>
      <c r="BN77" s="690"/>
      <c r="BO77" s="690"/>
      <c r="BP77" s="691"/>
      <c r="BV77" s="620" t="s">
        <v>1859</v>
      </c>
    </row>
    <row r="78" spans="2:75" s="617" customFormat="1" ht="20.45" hidden="1" customHeight="1">
      <c r="B78" s="352"/>
      <c r="C78" s="28"/>
      <c r="D78" s="28"/>
      <c r="E78" s="740">
        <v>21</v>
      </c>
      <c r="F78" s="3" cm="1">
        <f t="array" aca="1" ref="F78" ca="1">OFFSET(E78,-1,1)</f>
        <v>0</v>
      </c>
      <c r="G78" s="28"/>
      <c r="H78" s="26"/>
      <c r="I78" s="26" t="s">
        <v>324</v>
      </c>
      <c r="J78" s="28"/>
      <c r="K78" s="77" t="s">
        <v>324</v>
      </c>
      <c r="L78" s="887"/>
      <c r="M78" s="28"/>
      <c r="N78" s="28"/>
      <c r="O78" s="28"/>
      <c r="P78" s="28"/>
      <c r="Q78" s="28"/>
      <c r="R78" s="28"/>
      <c r="S78" s="28"/>
      <c r="T78" s="381" t="b">
        <f ca="1">F78&gt;0</f>
        <v>0</v>
      </c>
      <c r="U78" s="28"/>
      <c r="V78" s="28"/>
      <c r="W78" s="28"/>
      <c r="X78" s="1787"/>
      <c r="Z78" s="1735"/>
      <c r="AB78" s="152" t="s">
        <v>224</v>
      </c>
      <c r="AC78" s="130" t="s">
        <v>1861</v>
      </c>
      <c r="AD78" s="152" t="s">
        <v>766</v>
      </c>
      <c r="AE78" s="131">
        <f ca="1">AE79+AE91+AE92++AE103+AE104+AE105+AE107+AE108+AE109+AE110+AE113</f>
        <v>0</v>
      </c>
      <c r="AF78" s="131">
        <f ca="1">AF79+AF91+AF92++AF103+AF104+AF105+AF107+AF108+AF109+AF110+AF113</f>
        <v>0</v>
      </c>
      <c r="AG78" s="131">
        <f ca="1">AG79+AG91+AG92++AG103+AG104+AG105+AG107+AG108+AG109+AG110+AG113</f>
        <v>0</v>
      </c>
      <c r="AH78" s="692">
        <f t="shared" ref="AH78:AH123" ca="1" si="9">AG78-AF78</f>
        <v>0</v>
      </c>
      <c r="AI78" s="131">
        <f t="shared" ref="AI78:BC78" ca="1" si="10">AI79+AI91+AI92++AI103+AI104+AI105+AI107+AI108+AI109+AI110+AI113</f>
        <v>0</v>
      </c>
      <c r="AJ78" s="131">
        <f t="shared" ca="1" si="10"/>
        <v>0</v>
      </c>
      <c r="AK78" s="131">
        <f t="shared" ca="1" si="10"/>
        <v>0</v>
      </c>
      <c r="AL78" s="131">
        <f t="shared" ca="1" si="10"/>
        <v>0</v>
      </c>
      <c r="AM78" s="131">
        <f t="shared" ca="1" si="10"/>
        <v>0</v>
      </c>
      <c r="AN78" s="131">
        <f t="shared" ca="1" si="10"/>
        <v>0</v>
      </c>
      <c r="AO78" s="131">
        <f t="shared" ca="1" si="10"/>
        <v>0</v>
      </c>
      <c r="AP78" s="131">
        <f t="shared" ca="1" si="10"/>
        <v>0</v>
      </c>
      <c r="AQ78" s="131">
        <f t="shared" ca="1" si="10"/>
        <v>0</v>
      </c>
      <c r="AR78" s="131">
        <f t="shared" ca="1" si="10"/>
        <v>0</v>
      </c>
      <c r="AS78" s="131">
        <f t="shared" ca="1" si="10"/>
        <v>0</v>
      </c>
      <c r="AT78" s="131">
        <f t="shared" ca="1" si="10"/>
        <v>0</v>
      </c>
      <c r="AU78" s="131">
        <f t="shared" ca="1" si="10"/>
        <v>0</v>
      </c>
      <c r="AV78" s="131">
        <f t="shared" ca="1" si="10"/>
        <v>0</v>
      </c>
      <c r="AW78" s="131">
        <f t="shared" ca="1" si="10"/>
        <v>0</v>
      </c>
      <c r="AX78" s="131">
        <f t="shared" ca="1" si="10"/>
        <v>0</v>
      </c>
      <c r="AY78" s="131">
        <f t="shared" ca="1" si="10"/>
        <v>0</v>
      </c>
      <c r="AZ78" s="131">
        <f t="shared" ca="1" si="10"/>
        <v>0</v>
      </c>
      <c r="BA78" s="131">
        <f t="shared" ca="1" si="10"/>
        <v>0</v>
      </c>
      <c r="BB78" s="131">
        <f t="shared" ca="1" si="10"/>
        <v>0</v>
      </c>
      <c r="BC78" s="131">
        <f t="shared" ca="1" si="10"/>
        <v>0</v>
      </c>
      <c r="BD78" s="692">
        <f t="shared" ref="BD78:BD123" ca="1" si="11">IF(AI78=0,0,(AT78-AI78)/AI78*100)</f>
        <v>0</v>
      </c>
      <c r="BE78" s="692">
        <f t="shared" ref="BE78:BE123" ca="1" si="12">IF(AT78=0,0,(AU78-AT78)/AT78*100)</f>
        <v>0</v>
      </c>
      <c r="BF78" s="692">
        <f t="shared" ref="BF78:BF123" ca="1" si="13">IF(AU78=0,0,(AV78-AU78)/AU78*100)</f>
        <v>0</v>
      </c>
      <c r="BG78" s="692">
        <f t="shared" ref="BG78:BG123" ca="1" si="14">IF(AV78=0,0,(AW78-AV78)/AV78*100)</f>
        <v>0</v>
      </c>
      <c r="BH78" s="692">
        <f t="shared" ref="BH78:BH123" ca="1" si="15">IF(AW78=0,0,(AX78-AW78)/AW78*100)</f>
        <v>0</v>
      </c>
      <c r="BI78" s="692">
        <f t="shared" ref="BI78:BI123" ca="1" si="16">IF(AX78=0,0,(AY78-AX78)/AX78*100)</f>
        <v>0</v>
      </c>
      <c r="BJ78" s="692">
        <f t="shared" ref="BJ78:BJ123" ca="1" si="17">IF(AY78=0,0,(AZ78-AY78)/AY78*100)</f>
        <v>0</v>
      </c>
      <c r="BK78" s="692">
        <f t="shared" ref="BK78:BK123" ca="1" si="18">IF(AZ78=0,0,(BA78-AZ78)/AZ78*100)</f>
        <v>0</v>
      </c>
      <c r="BL78" s="692">
        <f t="shared" ref="BL78:BL123" ca="1" si="19">IF(BA78=0,0,(BB78-BA78)/BA78*100)</f>
        <v>0</v>
      </c>
      <c r="BM78" s="692">
        <f t="shared" ref="BM78:BM123" ca="1" si="20">IF(BB78=0,0,(BC78-BB78)/BB78*100)</f>
        <v>0</v>
      </c>
      <c r="BN78" s="1138"/>
      <c r="BO78" s="1138"/>
      <c r="BP78" s="1138"/>
      <c r="BQ78" s="79"/>
      <c r="BS78" s="972" t="s">
        <v>1862</v>
      </c>
      <c r="BT78" s="972"/>
      <c r="BU78" s="972"/>
      <c r="BV78" s="624"/>
      <c r="BW78" s="624"/>
    </row>
    <row r="79" spans="2:75" s="617" customFormat="1" ht="21.95" hidden="1" customHeight="1">
      <c r="B79" s="352"/>
      <c r="C79" s="28"/>
      <c r="D79" s="28"/>
      <c r="E79" s="740">
        <v>22.5</v>
      </c>
      <c r="F79" s="3" cm="1">
        <f t="array" aca="1" ref="F79" ca="1">OFFSET(E79,-1,1)</f>
        <v>0</v>
      </c>
      <c r="G79" s="286" cm="1">
        <f t="array" aca="1" ref="G79" ca="1">F78</f>
        <v>0</v>
      </c>
      <c r="H79" s="26"/>
      <c r="I79" s="26" t="s">
        <v>445</v>
      </c>
      <c r="J79" s="28"/>
      <c r="K79" s="77" t="s">
        <v>445</v>
      </c>
      <c r="L79" s="887" t="s">
        <v>431</v>
      </c>
      <c r="M79" s="28"/>
      <c r="N79" s="28"/>
      <c r="O79" s="28"/>
      <c r="P79" s="28"/>
      <c r="Q79" s="28"/>
      <c r="R79" s="28"/>
      <c r="S79" s="28"/>
      <c r="T79" s="381" t="b" cm="1">
        <f t="array" aca="1" ref="T79" ca="1">T78</f>
        <v>0</v>
      </c>
      <c r="U79" s="28"/>
      <c r="V79" s="28"/>
      <c r="W79" s="28"/>
      <c r="X79" s="1787"/>
      <c r="Z79" s="1735"/>
      <c r="AB79" s="129" t="s">
        <v>502</v>
      </c>
      <c r="AC79" s="273" t="s">
        <v>1863</v>
      </c>
      <c r="AD79" s="129" t="s">
        <v>766</v>
      </c>
      <c r="AE79" s="131">
        <f ca="1">SUM(AE80:AE90)</f>
        <v>0</v>
      </c>
      <c r="AF79" s="131">
        <f ca="1">SUM(AF80:AF90)</f>
        <v>0</v>
      </c>
      <c r="AG79" s="131">
        <f ca="1">SUM(AG80:AG90)</f>
        <v>0</v>
      </c>
      <c r="AH79" s="692">
        <f t="shared" ca="1" si="9"/>
        <v>0</v>
      </c>
      <c r="AI79" s="131">
        <f t="shared" ref="AI79:BC79" ca="1" si="21">SUM(AI80:AI90)</f>
        <v>0</v>
      </c>
      <c r="AJ79" s="131">
        <f t="shared" ca="1" si="21"/>
        <v>0</v>
      </c>
      <c r="AK79" s="131">
        <f t="shared" ca="1" si="21"/>
        <v>0</v>
      </c>
      <c r="AL79" s="131">
        <f t="shared" ca="1" si="21"/>
        <v>0</v>
      </c>
      <c r="AM79" s="131">
        <f t="shared" ca="1" si="21"/>
        <v>0</v>
      </c>
      <c r="AN79" s="131">
        <f t="shared" ca="1" si="21"/>
        <v>0</v>
      </c>
      <c r="AO79" s="131">
        <f t="shared" ca="1" si="21"/>
        <v>0</v>
      </c>
      <c r="AP79" s="131">
        <f t="shared" ca="1" si="21"/>
        <v>0</v>
      </c>
      <c r="AQ79" s="131">
        <f t="shared" ca="1" si="21"/>
        <v>0</v>
      </c>
      <c r="AR79" s="131">
        <f t="shared" ca="1" si="21"/>
        <v>0</v>
      </c>
      <c r="AS79" s="131">
        <f t="shared" ca="1" si="21"/>
        <v>0</v>
      </c>
      <c r="AT79" s="131">
        <f t="shared" ca="1" si="21"/>
        <v>0</v>
      </c>
      <c r="AU79" s="131">
        <f t="shared" ca="1" si="21"/>
        <v>0</v>
      </c>
      <c r="AV79" s="131">
        <f t="shared" ca="1" si="21"/>
        <v>0</v>
      </c>
      <c r="AW79" s="131">
        <f t="shared" ca="1" si="21"/>
        <v>0</v>
      </c>
      <c r="AX79" s="131">
        <f t="shared" ca="1" si="21"/>
        <v>0</v>
      </c>
      <c r="AY79" s="131">
        <f t="shared" ca="1" si="21"/>
        <v>0</v>
      </c>
      <c r="AZ79" s="131">
        <f t="shared" ca="1" si="21"/>
        <v>0</v>
      </c>
      <c r="BA79" s="131">
        <f t="shared" ca="1" si="21"/>
        <v>0</v>
      </c>
      <c r="BB79" s="131">
        <f t="shared" ca="1" si="21"/>
        <v>0</v>
      </c>
      <c r="BC79" s="131">
        <f t="shared" ca="1" si="21"/>
        <v>0</v>
      </c>
      <c r="BD79" s="692">
        <f t="shared" ca="1" si="11"/>
        <v>0</v>
      </c>
      <c r="BE79" s="692">
        <f t="shared" ca="1" si="12"/>
        <v>0</v>
      </c>
      <c r="BF79" s="692">
        <f t="shared" ca="1" si="13"/>
        <v>0</v>
      </c>
      <c r="BG79" s="692">
        <f t="shared" ca="1" si="14"/>
        <v>0</v>
      </c>
      <c r="BH79" s="692">
        <f t="shared" ca="1" si="15"/>
        <v>0</v>
      </c>
      <c r="BI79" s="692">
        <f t="shared" ca="1" si="16"/>
        <v>0</v>
      </c>
      <c r="BJ79" s="692">
        <f t="shared" ca="1" si="17"/>
        <v>0</v>
      </c>
      <c r="BK79" s="692">
        <f t="shared" ca="1" si="18"/>
        <v>0</v>
      </c>
      <c r="BL79" s="692">
        <f t="shared" ca="1" si="19"/>
        <v>0</v>
      </c>
      <c r="BM79" s="692">
        <f t="shared" ca="1" si="20"/>
        <v>0</v>
      </c>
      <c r="BN79" s="1140"/>
      <c r="BO79" s="1140"/>
      <c r="BP79" s="1140"/>
      <c r="BS79" s="972" t="s">
        <v>1864</v>
      </c>
      <c r="BT79" s="972"/>
      <c r="BU79" s="972"/>
      <c r="BV79" s="624"/>
      <c r="BW79" s="624"/>
    </row>
    <row r="80" spans="2:75" ht="14.65" hidden="1" customHeight="1">
      <c r="C80" s="26"/>
      <c r="D80" s="26"/>
      <c r="E80" s="538">
        <v>15</v>
      </c>
      <c r="F80" s="3" cm="1">
        <f t="array" aca="1" ref="F80" ca="1">OFFSET(E80,-1,1)</f>
        <v>0</v>
      </c>
      <c r="G80" s="26" t="s">
        <v>998</v>
      </c>
      <c r="H80" s="26"/>
      <c r="I80" s="26" t="s">
        <v>1412</v>
      </c>
      <c r="J80" s="26"/>
      <c r="K80" s="77" t="s">
        <v>1412</v>
      </c>
      <c r="L80" s="882" t="s">
        <v>1189</v>
      </c>
      <c r="M80" s="26"/>
      <c r="N80" s="26"/>
      <c r="O80" s="26"/>
      <c r="P80" s="26"/>
      <c r="Q80" s="26"/>
      <c r="R80" s="26"/>
      <c r="S80" s="26"/>
      <c r="T80" s="381" t="b" cm="1">
        <f t="array" aca="1" ref="T80" ca="1">T79</f>
        <v>0</v>
      </c>
      <c r="U80" s="26"/>
      <c r="V80" s="26"/>
      <c r="W80" s="26"/>
      <c r="X80" s="1787"/>
      <c r="Z80" s="1735"/>
      <c r="AB80" s="216" t="s">
        <v>453</v>
      </c>
      <c r="AC80" s="679" t="s">
        <v>1865</v>
      </c>
      <c r="AD80" s="216" t="s">
        <v>766</v>
      </c>
      <c r="AE80" s="1015">
        <f ca="1">SUMIFS(Покупка!AE$25:AE$90,Покупка!$F$25:$F$90,$F80,Покупка!$AC$25:$AC$90,$G80)</f>
        <v>0</v>
      </c>
      <c r="AF80" s="1015">
        <f ca="1">SUMIFS(Покупка!AF$25:AF$90,Покупка!$F$25:$F$90,$F80,Покупка!$AC$25:$AC$90,$G80)</f>
        <v>0</v>
      </c>
      <c r="AG80" s="1015">
        <f ca="1">SUMIFS(Покупка!AG$25:AG$90,Покупка!$F$25:$F$90,$F80,Покупка!$AC$25:$AC$90,$G80)</f>
        <v>0</v>
      </c>
      <c r="AH80" s="1015">
        <f t="shared" ca="1" si="9"/>
        <v>0</v>
      </c>
      <c r="AI80" s="1015">
        <f ca="1">SUMIFS(Покупка!AH$25:AH$90,Покупка!$F$25:$F$90,$F80,Покупка!$AC$25:$AC$90,$G80)</f>
        <v>0</v>
      </c>
      <c r="AJ80" s="1015">
        <f ca="1">SUMIFS(Покупка!AI$25:AI$90,Покупка!$F$25:$F$90,$F80,Покупка!$AC$25:$AC$90,$G80)</f>
        <v>0</v>
      </c>
      <c r="AK80" s="1015">
        <f ca="1">SUMIFS(Покупка!AJ$25:AJ$90,Покупка!$F$25:$F$90,$F80,Покупка!$AC$25:$AC$90,$G80)</f>
        <v>0</v>
      </c>
      <c r="AL80" s="1015">
        <f ca="1">SUMIFS(Покупка!AK$25:AK$90,Покупка!$F$25:$F$90,$F80,Покупка!$AC$25:$AC$90,$G80)</f>
        <v>0</v>
      </c>
      <c r="AM80" s="1015">
        <f ca="1">SUMIFS(Покупка!AL$25:AL$90,Покупка!$F$25:$F$90,$F80,Покупка!$AC$25:$AC$90,$G80)</f>
        <v>0</v>
      </c>
      <c r="AN80" s="1015">
        <f ca="1">SUMIFS(Покупка!AM$25:AM$90,Покупка!$F$25:$F$90,$F80,Покупка!$AC$25:$AC$90,$G80)</f>
        <v>0</v>
      </c>
      <c r="AO80" s="1015">
        <f ca="1">SUMIFS(Покупка!AN$25:AN$90,Покупка!$F$25:$F$90,$F80,Покупка!$AC$25:$AC$90,$G80)</f>
        <v>0</v>
      </c>
      <c r="AP80" s="1015">
        <f ca="1">SUMIFS(Покупка!AO$25:AO$90,Покупка!$F$25:$F$90,$F80,Покупка!$AC$25:$AC$90,$G80)</f>
        <v>0</v>
      </c>
      <c r="AQ80" s="1015">
        <f ca="1">SUMIFS(Покупка!AP$25:AP$90,Покупка!$F$25:$F$90,$F80,Покупка!$AC$25:$AC$90,$G80)</f>
        <v>0</v>
      </c>
      <c r="AR80" s="1015">
        <f ca="1">SUMIFS(Покупка!AQ$25:AQ$90,Покупка!$F$25:$F$90,$F80,Покупка!$AC$25:$AC$90,$G80)</f>
        <v>0</v>
      </c>
      <c r="AS80" s="1015">
        <f ca="1">SUMIFS(Покупка!AR$25:AR$90,Покупка!$F$25:$F$90,$F80,Покупка!$AC$25:$AC$90,$G80)</f>
        <v>0</v>
      </c>
      <c r="AT80" s="1015">
        <f ca="1">SUMIFS(Покупка!AS$25:AS$90,Покупка!$F$25:$F$90,$F80,Покупка!$AC$25:$AC$90,$G80)</f>
        <v>0</v>
      </c>
      <c r="AU80" s="1015">
        <f ca="1">SUMIFS(Покупка!AT$25:AT$90,Покупка!$F$25:$F$90,$F80,Покупка!$AC$25:$AC$90,$G80)</f>
        <v>0</v>
      </c>
      <c r="AV80" s="1015">
        <f ca="1">SUMIFS(Покупка!AU$25:AU$90,Покупка!$F$25:$F$90,$F80,Покупка!$AC$25:$AC$90,$G80)</f>
        <v>0</v>
      </c>
      <c r="AW80" s="1015">
        <f ca="1">SUMIFS(Покупка!AV$25:AV$90,Покупка!$F$25:$F$90,$F80,Покупка!$AC$25:$AC$90,$G80)</f>
        <v>0</v>
      </c>
      <c r="AX80" s="1015">
        <f ca="1">SUMIFS(Покупка!AW$25:AW$90,Покупка!$F$25:$F$90,$F80,Покупка!$AC$25:$AC$90,$G80)</f>
        <v>0</v>
      </c>
      <c r="AY80" s="1015">
        <f ca="1">SUMIFS(Покупка!AX$25:AX$90,Покупка!$F$25:$F$90,$F80,Покупка!$AC$25:$AC$90,$G80)</f>
        <v>0</v>
      </c>
      <c r="AZ80" s="1015">
        <f ca="1">SUMIFS(Покупка!AY$25:AY$90,Покупка!$F$25:$F$90,$F80,Покупка!$AC$25:$AC$90,$G80)</f>
        <v>0</v>
      </c>
      <c r="BA80" s="1015">
        <f ca="1">SUMIFS(Покупка!AZ$25:AZ$90,Покупка!$F$25:$F$90,$F80,Покупка!$AC$25:$AC$90,$G80)</f>
        <v>0</v>
      </c>
      <c r="BB80" s="1015">
        <f ca="1">SUMIFS(Покупка!BA$25:BA$90,Покупка!$F$25:$F$90,$F80,Покупка!$AC$25:$AC$90,$G80)</f>
        <v>0</v>
      </c>
      <c r="BC80" s="1015">
        <f ca="1">SUMIFS(Покупка!BB$25:BB$90,Покупка!$F$25:$F$90,$F80,Покупка!$AC$25:$AC$90,$G80)</f>
        <v>0</v>
      </c>
      <c r="BD80" s="1015">
        <f t="shared" ca="1" si="11"/>
        <v>0</v>
      </c>
      <c r="BE80" s="1015">
        <f t="shared" ca="1" si="12"/>
        <v>0</v>
      </c>
      <c r="BF80" s="1015">
        <f t="shared" ca="1" si="13"/>
        <v>0</v>
      </c>
      <c r="BG80" s="1015">
        <f t="shared" ca="1" si="14"/>
        <v>0</v>
      </c>
      <c r="BH80" s="1015">
        <f t="shared" ca="1" si="15"/>
        <v>0</v>
      </c>
      <c r="BI80" s="1015">
        <f t="shared" ca="1" si="16"/>
        <v>0</v>
      </c>
      <c r="BJ80" s="1015">
        <f t="shared" ca="1" si="17"/>
        <v>0</v>
      </c>
      <c r="BK80" s="1015">
        <f t="shared" ca="1" si="18"/>
        <v>0</v>
      </c>
      <c r="BL80" s="1015">
        <f t="shared" ca="1" si="19"/>
        <v>0</v>
      </c>
      <c r="BM80" s="1015">
        <f t="shared" ca="1" si="20"/>
        <v>0</v>
      </c>
      <c r="BN80" s="1138"/>
      <c r="BO80" s="1142" t="str">
        <f ca="1">IF(IFERROR(INDEX(Покупка!$K$26:$L$90,MATCH($F80&amp;"6komm",Покупка!$K$26:$K$90,0),2),"")=0,"",IFERROR(INDEX(Покупка!$K$26:$L$90,MATCH($F80&amp;"6komm",Покупка!$K$26:$K$90,0),2),""))</f>
        <v/>
      </c>
      <c r="BP80" s="1138"/>
      <c r="BS80" s="966" t="s">
        <v>999</v>
      </c>
    </row>
    <row r="81" spans="2:75" ht="14.65" hidden="1" customHeight="1">
      <c r="C81" s="26"/>
      <c r="D81" s="26"/>
      <c r="E81" s="538">
        <v>15</v>
      </c>
      <c r="F81" s="3" cm="1">
        <f t="array" aca="1" ref="F81" ca="1">OFFSET(E81,-1,1)</f>
        <v>0</v>
      </c>
      <c r="G81" s="26" t="s">
        <v>1000</v>
      </c>
      <c r="H81" s="26"/>
      <c r="I81" s="26" t="s">
        <v>1416</v>
      </c>
      <c r="J81" s="26"/>
      <c r="K81" s="26" t="s">
        <v>1416</v>
      </c>
      <c r="L81" s="882" t="s">
        <v>1193</v>
      </c>
      <c r="M81" s="26"/>
      <c r="N81" s="26"/>
      <c r="O81" s="26"/>
      <c r="P81" s="26"/>
      <c r="Q81" s="26"/>
      <c r="R81" s="26"/>
      <c r="S81" s="26"/>
      <c r="T81" s="381" t="b" cm="1">
        <f t="array" aca="1" ref="T81" ca="1">T80</f>
        <v>0</v>
      </c>
      <c r="U81" s="26"/>
      <c r="V81" s="26"/>
      <c r="W81" s="26"/>
      <c r="X81" s="1787"/>
      <c r="Z81" s="1735"/>
      <c r="AB81" s="216" t="s">
        <v>1866</v>
      </c>
      <c r="AC81" s="679" t="s">
        <v>1867</v>
      </c>
      <c r="AD81" s="216" t="s">
        <v>766</v>
      </c>
      <c r="AE81" s="1015">
        <f ca="1">SUMIFS(Покупка!AE$25:AE$90,Покупка!$F$25:$F$90,$F81,Покупка!$AC$25:$AC$90,$G81)</f>
        <v>0</v>
      </c>
      <c r="AF81" s="1015">
        <f ca="1">SUMIFS(Покупка!AF$25:AF$90,Покупка!$F$25:$F$90,$F81,Покупка!$AC$25:$AC$90,$G81)</f>
        <v>0</v>
      </c>
      <c r="AG81" s="1015">
        <f ca="1">SUMIFS(Покупка!AG$25:AG$90,Покупка!$F$25:$F$90,$F81,Покупка!$AC$25:$AC$90,$G81)</f>
        <v>0</v>
      </c>
      <c r="AH81" s="1015">
        <f t="shared" ca="1" si="9"/>
        <v>0</v>
      </c>
      <c r="AI81" s="1015">
        <f ca="1">SUMIFS(Покупка!AH$25:AH$90,Покупка!$F$25:$F$90,$F81,Покупка!$AC$25:$AC$90,$G81)</f>
        <v>0</v>
      </c>
      <c r="AJ81" s="1015">
        <f ca="1">SUMIFS(Покупка!AI$25:AI$90,Покупка!$F$25:$F$90,$F81,Покупка!$AC$25:$AC$90,$G81)</f>
        <v>0</v>
      </c>
      <c r="AK81" s="1015">
        <f ca="1">SUMIFS(Покупка!AJ$25:AJ$90,Покупка!$F$25:$F$90,$F81,Покупка!$AC$25:$AC$90,$G81)</f>
        <v>0</v>
      </c>
      <c r="AL81" s="1015">
        <f ca="1">SUMIFS(Покупка!AK$25:AK$90,Покупка!$F$25:$F$90,$F81,Покупка!$AC$25:$AC$90,$G81)</f>
        <v>0</v>
      </c>
      <c r="AM81" s="1015">
        <f ca="1">SUMIFS(Покупка!AL$25:AL$90,Покупка!$F$25:$F$90,$F81,Покупка!$AC$25:$AC$90,$G81)</f>
        <v>0</v>
      </c>
      <c r="AN81" s="1015">
        <f ca="1">SUMIFS(Покупка!AM$25:AM$90,Покупка!$F$25:$F$90,$F81,Покупка!$AC$25:$AC$90,$G81)</f>
        <v>0</v>
      </c>
      <c r="AO81" s="1015">
        <f ca="1">SUMIFS(Покупка!AN$25:AN$90,Покупка!$F$25:$F$90,$F81,Покупка!$AC$25:$AC$90,$G81)</f>
        <v>0</v>
      </c>
      <c r="AP81" s="1015">
        <f ca="1">SUMIFS(Покупка!AO$25:AO$90,Покупка!$F$25:$F$90,$F81,Покупка!$AC$25:$AC$90,$G81)</f>
        <v>0</v>
      </c>
      <c r="AQ81" s="1015">
        <f ca="1">SUMIFS(Покупка!AP$25:AP$90,Покупка!$F$25:$F$90,$F81,Покупка!$AC$25:$AC$90,$G81)</f>
        <v>0</v>
      </c>
      <c r="AR81" s="1015">
        <f ca="1">SUMIFS(Покупка!AQ$25:AQ$90,Покупка!$F$25:$F$90,$F81,Покупка!$AC$25:$AC$90,$G81)</f>
        <v>0</v>
      </c>
      <c r="AS81" s="1015">
        <f ca="1">SUMIFS(Покупка!AR$25:AR$90,Покупка!$F$25:$F$90,$F81,Покупка!$AC$25:$AC$90,$G81)</f>
        <v>0</v>
      </c>
      <c r="AT81" s="1015">
        <f ca="1">SUMIFS(Покупка!AS$25:AS$90,Покупка!$F$25:$F$90,$F81,Покупка!$AC$25:$AC$90,$G81)</f>
        <v>0</v>
      </c>
      <c r="AU81" s="1015">
        <f ca="1">SUMIFS(Покупка!AT$25:AT$90,Покупка!$F$25:$F$90,$F81,Покупка!$AC$25:$AC$90,$G81)</f>
        <v>0</v>
      </c>
      <c r="AV81" s="1015">
        <f ca="1">SUMIFS(Покупка!AU$25:AU$90,Покупка!$F$25:$F$90,$F81,Покупка!$AC$25:$AC$90,$G81)</f>
        <v>0</v>
      </c>
      <c r="AW81" s="1015">
        <f ca="1">SUMIFS(Покупка!AV$25:AV$90,Покупка!$F$25:$F$90,$F81,Покупка!$AC$25:$AC$90,$G81)</f>
        <v>0</v>
      </c>
      <c r="AX81" s="1015">
        <f ca="1">SUMIFS(Покупка!AW$25:AW$90,Покупка!$F$25:$F$90,$F81,Покупка!$AC$25:$AC$90,$G81)</f>
        <v>0</v>
      </c>
      <c r="AY81" s="1015">
        <f ca="1">SUMIFS(Покупка!AX$25:AX$90,Покупка!$F$25:$F$90,$F81,Покупка!$AC$25:$AC$90,$G81)</f>
        <v>0</v>
      </c>
      <c r="AZ81" s="1015">
        <f ca="1">SUMIFS(Покупка!AY$25:AY$90,Покупка!$F$25:$F$90,$F81,Покупка!$AC$25:$AC$90,$G81)</f>
        <v>0</v>
      </c>
      <c r="BA81" s="1015">
        <f ca="1">SUMIFS(Покупка!AZ$25:AZ$90,Покупка!$F$25:$F$90,$F81,Покупка!$AC$25:$AC$90,$G81)</f>
        <v>0</v>
      </c>
      <c r="BB81" s="1015">
        <f ca="1">SUMIFS(Покупка!BA$25:BA$90,Покупка!$F$25:$F$90,$F81,Покупка!$AC$25:$AC$90,$G81)</f>
        <v>0</v>
      </c>
      <c r="BC81" s="1015">
        <f ca="1">SUMIFS(Покупка!BB$25:BB$90,Покупка!$F$25:$F$90,$F81,Покупка!$AC$25:$AC$90,$G81)</f>
        <v>0</v>
      </c>
      <c r="BD81" s="1015">
        <f t="shared" ca="1" si="11"/>
        <v>0</v>
      </c>
      <c r="BE81" s="1015">
        <f t="shared" ca="1" si="12"/>
        <v>0</v>
      </c>
      <c r="BF81" s="1015">
        <f t="shared" ca="1" si="13"/>
        <v>0</v>
      </c>
      <c r="BG81" s="1015">
        <f t="shared" ca="1" si="14"/>
        <v>0</v>
      </c>
      <c r="BH81" s="1015">
        <f t="shared" ca="1" si="15"/>
        <v>0</v>
      </c>
      <c r="BI81" s="1015">
        <f t="shared" ca="1" si="16"/>
        <v>0</v>
      </c>
      <c r="BJ81" s="1015">
        <f t="shared" ca="1" si="17"/>
        <v>0</v>
      </c>
      <c r="BK81" s="1015">
        <f t="shared" ca="1" si="18"/>
        <v>0</v>
      </c>
      <c r="BL81" s="1015">
        <f t="shared" ca="1" si="19"/>
        <v>0</v>
      </c>
      <c r="BM81" s="1015">
        <f t="shared" ca="1" si="20"/>
        <v>0</v>
      </c>
      <c r="BN81" s="1138"/>
      <c r="BO81" s="1142" t="str">
        <f ca="1">IF(IFERROR(INDEX(Покупка!$K$26:$L$90,MATCH($F81&amp;"7komm",Покупка!$K$26:$K$90,0),2),"")=0,"",IFERROR(INDEX(Покупка!$K$26:$L$90,MATCH($F81&amp;"7komm",Покупка!$K$26:$K$90,0),2),""))</f>
        <v/>
      </c>
      <c r="BP81" s="1138"/>
      <c r="BS81" s="966" t="s">
        <v>1001</v>
      </c>
    </row>
    <row r="82" spans="2:75" ht="14.65" hidden="1" customHeight="1">
      <c r="C82" s="26"/>
      <c r="D82" s="26"/>
      <c r="E82" s="538">
        <v>15</v>
      </c>
      <c r="F82" s="3" cm="1">
        <f t="array" aca="1" ref="F82" ca="1">OFFSET(E82,-1,1)</f>
        <v>0</v>
      </c>
      <c r="G82" s="26" t="s">
        <v>975</v>
      </c>
      <c r="H82" s="26"/>
      <c r="I82" s="26" t="s">
        <v>1491</v>
      </c>
      <c r="J82" s="26"/>
      <c r="K82" s="26" t="s">
        <v>1491</v>
      </c>
      <c r="L82" s="882" t="s">
        <v>1361</v>
      </c>
      <c r="M82" s="26"/>
      <c r="N82" s="26"/>
      <c r="O82" s="26"/>
      <c r="P82" s="26"/>
      <c r="Q82" s="26"/>
      <c r="R82" s="26"/>
      <c r="S82" s="26"/>
      <c r="T82" s="381" t="b" cm="1">
        <f t="array" aca="1" ref="T82" ca="1">T81</f>
        <v>0</v>
      </c>
      <c r="U82" s="26"/>
      <c r="V82" s="26"/>
      <c r="W82" s="26"/>
      <c r="X82" s="1787"/>
      <c r="Z82" s="1735"/>
      <c r="AB82" s="216" t="s">
        <v>1868</v>
      </c>
      <c r="AC82" s="679" t="s">
        <v>1869</v>
      </c>
      <c r="AD82" s="216" t="s">
        <v>766</v>
      </c>
      <c r="AE82" s="1015">
        <f ca="1">SUMIFS(Покупка!AE$25:AE$90,Покупка!$F$25:$F$90,$F82,Покупка!$AC$25:$AC$90,$G82)</f>
        <v>0</v>
      </c>
      <c r="AF82" s="1015">
        <f ca="1">SUMIFS(Покупка!AF$25:AF$90,Покупка!$F$25:$F$90,$F82,Покупка!$AC$25:$AC$90,$G82)</f>
        <v>0</v>
      </c>
      <c r="AG82" s="1015">
        <f ca="1">SUMIFS(Покупка!AG$25:AG$90,Покупка!$F$25:$F$90,$F82,Покупка!$AC$25:$AC$90,$G82)</f>
        <v>0</v>
      </c>
      <c r="AH82" s="1015">
        <f t="shared" ca="1" si="9"/>
        <v>0</v>
      </c>
      <c r="AI82" s="1015">
        <f ca="1">SUMIFS(Покупка!AH$25:AH$90,Покупка!$F$25:$F$90,$F82,Покупка!$AC$25:$AC$90,$G82)</f>
        <v>0</v>
      </c>
      <c r="AJ82" s="1015">
        <f ca="1">SUMIFS(Покупка!AI$25:AI$90,Покупка!$F$25:$F$90,$F82,Покупка!$AC$25:$AC$90,$G82)</f>
        <v>0</v>
      </c>
      <c r="AK82" s="1015">
        <f ca="1">SUMIFS(Покупка!AJ$25:AJ$90,Покупка!$F$25:$F$90,$F82,Покупка!$AC$25:$AC$90,$G82)</f>
        <v>0</v>
      </c>
      <c r="AL82" s="1015">
        <f ca="1">SUMIFS(Покупка!AK$25:AK$90,Покупка!$F$25:$F$90,$F82,Покупка!$AC$25:$AC$90,$G82)</f>
        <v>0</v>
      </c>
      <c r="AM82" s="1015">
        <f ca="1">SUMIFS(Покупка!AL$25:AL$90,Покупка!$F$25:$F$90,$F82,Покупка!$AC$25:$AC$90,$G82)</f>
        <v>0</v>
      </c>
      <c r="AN82" s="1015">
        <f ca="1">SUMIFS(Покупка!AM$25:AM$90,Покупка!$F$25:$F$90,$F82,Покупка!$AC$25:$AC$90,$G82)</f>
        <v>0</v>
      </c>
      <c r="AO82" s="1015">
        <f ca="1">SUMIFS(Покупка!AN$25:AN$90,Покупка!$F$25:$F$90,$F82,Покупка!$AC$25:$AC$90,$G82)</f>
        <v>0</v>
      </c>
      <c r="AP82" s="1015">
        <f ca="1">SUMIFS(Покупка!AO$25:AO$90,Покупка!$F$25:$F$90,$F82,Покупка!$AC$25:$AC$90,$G82)</f>
        <v>0</v>
      </c>
      <c r="AQ82" s="1015">
        <f ca="1">SUMIFS(Покупка!AP$25:AP$90,Покупка!$F$25:$F$90,$F82,Покупка!$AC$25:$AC$90,$G82)</f>
        <v>0</v>
      </c>
      <c r="AR82" s="1015">
        <f ca="1">SUMIFS(Покупка!AQ$25:AQ$90,Покупка!$F$25:$F$90,$F82,Покупка!$AC$25:$AC$90,$G82)</f>
        <v>0</v>
      </c>
      <c r="AS82" s="1015">
        <f ca="1">SUMIFS(Покупка!AR$25:AR$90,Покупка!$F$25:$F$90,$F82,Покупка!$AC$25:$AC$90,$G82)</f>
        <v>0</v>
      </c>
      <c r="AT82" s="1015">
        <f ca="1">SUMIFS(Покупка!AS$25:AS$90,Покупка!$F$25:$F$90,$F82,Покупка!$AC$25:$AC$90,$G82)</f>
        <v>0</v>
      </c>
      <c r="AU82" s="1015">
        <f ca="1">SUMIFS(Покупка!AT$25:AT$90,Покупка!$F$25:$F$90,$F82,Покупка!$AC$25:$AC$90,$G82)</f>
        <v>0</v>
      </c>
      <c r="AV82" s="1015">
        <f ca="1">SUMIFS(Покупка!AU$25:AU$90,Покупка!$F$25:$F$90,$F82,Покупка!$AC$25:$AC$90,$G82)</f>
        <v>0</v>
      </c>
      <c r="AW82" s="1015">
        <f ca="1">SUMIFS(Покупка!AV$25:AV$90,Покупка!$F$25:$F$90,$F82,Покупка!$AC$25:$AC$90,$G82)</f>
        <v>0</v>
      </c>
      <c r="AX82" s="1015">
        <f ca="1">SUMIFS(Покупка!AW$25:AW$90,Покупка!$F$25:$F$90,$F82,Покупка!$AC$25:$AC$90,$G82)</f>
        <v>0</v>
      </c>
      <c r="AY82" s="1015">
        <f ca="1">SUMIFS(Покупка!AX$25:AX$90,Покупка!$F$25:$F$90,$F82,Покупка!$AC$25:$AC$90,$G82)</f>
        <v>0</v>
      </c>
      <c r="AZ82" s="1015">
        <f ca="1">SUMIFS(Покупка!AY$25:AY$90,Покупка!$F$25:$F$90,$F82,Покупка!$AC$25:$AC$90,$G82)</f>
        <v>0</v>
      </c>
      <c r="BA82" s="1015">
        <f ca="1">SUMIFS(Покупка!AZ$25:AZ$90,Покупка!$F$25:$F$90,$F82,Покупка!$AC$25:$AC$90,$G82)</f>
        <v>0</v>
      </c>
      <c r="BB82" s="1015">
        <f ca="1">SUMIFS(Покупка!BA$25:BA$90,Покупка!$F$25:$F$90,$F82,Покупка!$AC$25:$AC$90,$G82)</f>
        <v>0</v>
      </c>
      <c r="BC82" s="1015">
        <f ca="1">SUMIFS(Покупка!BB$25:BB$90,Покупка!$F$25:$F$90,$F82,Покупка!$AC$25:$AC$90,$G82)</f>
        <v>0</v>
      </c>
      <c r="BD82" s="1015">
        <f t="shared" ca="1" si="11"/>
        <v>0</v>
      </c>
      <c r="BE82" s="1015">
        <f t="shared" ca="1" si="12"/>
        <v>0</v>
      </c>
      <c r="BF82" s="1015">
        <f t="shared" ca="1" si="13"/>
        <v>0</v>
      </c>
      <c r="BG82" s="1015">
        <f t="shared" ca="1" si="14"/>
        <v>0</v>
      </c>
      <c r="BH82" s="1015">
        <f t="shared" ca="1" si="15"/>
        <v>0</v>
      </c>
      <c r="BI82" s="1015">
        <f t="shared" ca="1" si="16"/>
        <v>0</v>
      </c>
      <c r="BJ82" s="1015">
        <f t="shared" ca="1" si="17"/>
        <v>0</v>
      </c>
      <c r="BK82" s="1015">
        <f t="shared" ca="1" si="18"/>
        <v>0</v>
      </c>
      <c r="BL82" s="1015">
        <f t="shared" ca="1" si="19"/>
        <v>0</v>
      </c>
      <c r="BM82" s="1015">
        <f t="shared" ca="1" si="20"/>
        <v>0</v>
      </c>
      <c r="BN82" s="1138"/>
      <c r="BO82" s="1142" t="str">
        <f ca="1">IF(IFERROR(INDEX(Покупка!$K$26:$L$90,MATCH($F82&amp;"2komm",Покупка!$K$26:$K$90,0),2),"")=0,"",IFERROR(INDEX(Покупка!$K$26:$L$90,MATCH($F82&amp;"2komm",Покупка!$K$26:$K$90,0),2),""))</f>
        <v/>
      </c>
      <c r="BP82" s="1138"/>
      <c r="BS82" s="966" t="s">
        <v>1870</v>
      </c>
    </row>
    <row r="83" spans="2:75" ht="14.65" hidden="1" customHeight="1">
      <c r="C83" s="26"/>
      <c r="D83" s="26"/>
      <c r="E83" s="538">
        <v>15</v>
      </c>
      <c r="F83" s="3" cm="1">
        <f t="array" aca="1" ref="F83" ca="1">OFFSET(E83,-1,1)</f>
        <v>0</v>
      </c>
      <c r="G83" s="26" t="s">
        <v>966</v>
      </c>
      <c r="H83" s="26"/>
      <c r="I83" s="26" t="s">
        <v>1493</v>
      </c>
      <c r="J83" s="26"/>
      <c r="K83" s="26" t="s">
        <v>1493</v>
      </c>
      <c r="L83" s="882" t="s">
        <v>1356</v>
      </c>
      <c r="M83" s="26"/>
      <c r="N83" s="26"/>
      <c r="O83" s="26"/>
      <c r="P83" s="26"/>
      <c r="Q83" s="26"/>
      <c r="R83" s="26"/>
      <c r="S83" s="26"/>
      <c r="T83" s="381" t="b" cm="1">
        <f t="array" aca="1" ref="T83" ca="1">T82</f>
        <v>0</v>
      </c>
      <c r="U83" s="26"/>
      <c r="V83" s="26"/>
      <c r="W83" s="26"/>
      <c r="X83" s="1787"/>
      <c r="Z83" s="1735"/>
      <c r="AB83" s="216" t="s">
        <v>1871</v>
      </c>
      <c r="AC83" s="679" t="s">
        <v>1872</v>
      </c>
      <c r="AD83" s="216" t="s">
        <v>766</v>
      </c>
      <c r="AE83" s="1015">
        <f ca="1">SUMIFS(Покупка!AE$25:AE$90,Покупка!$F$25:$F$90,$F83,Покупка!$AC$25:$AC$90,$G83)</f>
        <v>0</v>
      </c>
      <c r="AF83" s="1015">
        <f ca="1">SUMIFS(Покупка!AF$25:AF$90,Покупка!$F$25:$F$90,$F83,Покупка!$AC$25:$AC$90,$G83)</f>
        <v>0</v>
      </c>
      <c r="AG83" s="1015">
        <f ca="1">SUMIFS(Покупка!AG$25:AG$90,Покупка!$F$25:$F$90,$F83,Покупка!$AC$25:$AC$90,$G83)</f>
        <v>0</v>
      </c>
      <c r="AH83" s="1015">
        <f t="shared" ca="1" si="9"/>
        <v>0</v>
      </c>
      <c r="AI83" s="1015">
        <f ca="1">SUMIFS(Покупка!AH$25:AH$90,Покупка!$F$25:$F$90,$F83,Покупка!$AC$25:$AC$90,$G83)</f>
        <v>0</v>
      </c>
      <c r="AJ83" s="1015">
        <f ca="1">SUMIFS(Покупка!AI$25:AI$90,Покупка!$F$25:$F$90,$F83,Покупка!$AC$25:$AC$90,$G83)</f>
        <v>0</v>
      </c>
      <c r="AK83" s="1015">
        <f ca="1">SUMIFS(Покупка!AJ$25:AJ$90,Покупка!$F$25:$F$90,$F83,Покупка!$AC$25:$AC$90,$G83)</f>
        <v>0</v>
      </c>
      <c r="AL83" s="1015">
        <f ca="1">SUMIFS(Покупка!AK$25:AK$90,Покупка!$F$25:$F$90,$F83,Покупка!$AC$25:$AC$90,$G83)</f>
        <v>0</v>
      </c>
      <c r="AM83" s="1015">
        <f ca="1">SUMIFS(Покупка!AL$25:AL$90,Покупка!$F$25:$F$90,$F83,Покупка!$AC$25:$AC$90,$G83)</f>
        <v>0</v>
      </c>
      <c r="AN83" s="1015">
        <f ca="1">SUMIFS(Покупка!AM$25:AM$90,Покупка!$F$25:$F$90,$F83,Покупка!$AC$25:$AC$90,$G83)</f>
        <v>0</v>
      </c>
      <c r="AO83" s="1015">
        <f ca="1">SUMIFS(Покупка!AN$25:AN$90,Покупка!$F$25:$F$90,$F83,Покупка!$AC$25:$AC$90,$G83)</f>
        <v>0</v>
      </c>
      <c r="AP83" s="1015">
        <f ca="1">SUMIFS(Покупка!AO$25:AO$90,Покупка!$F$25:$F$90,$F83,Покупка!$AC$25:$AC$90,$G83)</f>
        <v>0</v>
      </c>
      <c r="AQ83" s="1015">
        <f ca="1">SUMIFS(Покупка!AP$25:AP$90,Покупка!$F$25:$F$90,$F83,Покупка!$AC$25:$AC$90,$G83)</f>
        <v>0</v>
      </c>
      <c r="AR83" s="1015">
        <f ca="1">SUMIFS(Покупка!AQ$25:AQ$90,Покупка!$F$25:$F$90,$F83,Покупка!$AC$25:$AC$90,$G83)</f>
        <v>0</v>
      </c>
      <c r="AS83" s="1015">
        <f ca="1">SUMIFS(Покупка!AR$25:AR$90,Покупка!$F$25:$F$90,$F83,Покупка!$AC$25:$AC$90,$G83)</f>
        <v>0</v>
      </c>
      <c r="AT83" s="1015">
        <f ca="1">SUMIFS(Покупка!AS$25:AS$90,Покупка!$F$25:$F$90,$F83,Покупка!$AC$25:$AC$90,$G83)</f>
        <v>0</v>
      </c>
      <c r="AU83" s="1015">
        <f ca="1">SUMIFS(Покупка!AT$25:AT$90,Покупка!$F$25:$F$90,$F83,Покупка!$AC$25:$AC$90,$G83)</f>
        <v>0</v>
      </c>
      <c r="AV83" s="1015">
        <f ca="1">SUMIFS(Покупка!AU$25:AU$90,Покупка!$F$25:$F$90,$F83,Покупка!$AC$25:$AC$90,$G83)</f>
        <v>0</v>
      </c>
      <c r="AW83" s="1015">
        <f ca="1">SUMIFS(Покупка!AV$25:AV$90,Покупка!$F$25:$F$90,$F83,Покупка!$AC$25:$AC$90,$G83)</f>
        <v>0</v>
      </c>
      <c r="AX83" s="1015">
        <f ca="1">SUMIFS(Покупка!AW$25:AW$90,Покупка!$F$25:$F$90,$F83,Покупка!$AC$25:$AC$90,$G83)</f>
        <v>0</v>
      </c>
      <c r="AY83" s="1015">
        <f ca="1">SUMIFS(Покупка!AX$25:AX$90,Покупка!$F$25:$F$90,$F83,Покупка!$AC$25:$AC$90,$G83)</f>
        <v>0</v>
      </c>
      <c r="AZ83" s="1015">
        <f ca="1">SUMIFS(Покупка!AY$25:AY$90,Покупка!$F$25:$F$90,$F83,Покупка!$AC$25:$AC$90,$G83)</f>
        <v>0</v>
      </c>
      <c r="BA83" s="1015">
        <f ca="1">SUMIFS(Покупка!AZ$25:AZ$90,Покупка!$F$25:$F$90,$F83,Покупка!$AC$25:$AC$90,$G83)</f>
        <v>0</v>
      </c>
      <c r="BB83" s="1015">
        <f ca="1">SUMIFS(Покупка!BA$25:BA$90,Покупка!$F$25:$F$90,$F83,Покупка!$AC$25:$AC$90,$G83)</f>
        <v>0</v>
      </c>
      <c r="BC83" s="1015">
        <f ca="1">SUMIFS(Покупка!BB$25:BB$90,Покупка!$F$25:$F$90,$F83,Покупка!$AC$25:$AC$90,$G83)</f>
        <v>0</v>
      </c>
      <c r="BD83" s="1015">
        <f t="shared" ca="1" si="11"/>
        <v>0</v>
      </c>
      <c r="BE83" s="1015">
        <f t="shared" ca="1" si="12"/>
        <v>0</v>
      </c>
      <c r="BF83" s="1015">
        <f t="shared" ca="1" si="13"/>
        <v>0</v>
      </c>
      <c r="BG83" s="1015">
        <f t="shared" ca="1" si="14"/>
        <v>0</v>
      </c>
      <c r="BH83" s="1015">
        <f t="shared" ca="1" si="15"/>
        <v>0</v>
      </c>
      <c r="BI83" s="1015">
        <f t="shared" ca="1" si="16"/>
        <v>0</v>
      </c>
      <c r="BJ83" s="1015">
        <f t="shared" ca="1" si="17"/>
        <v>0</v>
      </c>
      <c r="BK83" s="1015">
        <f t="shared" ca="1" si="18"/>
        <v>0</v>
      </c>
      <c r="BL83" s="1015">
        <f t="shared" ca="1" si="19"/>
        <v>0</v>
      </c>
      <c r="BM83" s="1015">
        <f t="shared" ca="1" si="20"/>
        <v>0</v>
      </c>
      <c r="BN83" s="1138"/>
      <c r="BO83" s="1142" t="str">
        <f ca="1">IF(IFERROR(INDEX(Покупка!$K$26:$L$90,MATCH($F83&amp;"1komm",Покупка!$K$26:$K$90,0),2),"")=0,"",IFERROR(INDEX(Покупка!$K$26:$L$90,MATCH($F83&amp;"1komm",Покупка!$K$26:$K$90,0),2),""))</f>
        <v/>
      </c>
      <c r="BP83" s="1138"/>
      <c r="BS83" s="966" t="s">
        <v>1873</v>
      </c>
    </row>
    <row r="84" spans="2:75" ht="14.65" hidden="1" customHeight="1">
      <c r="C84" s="26"/>
      <c r="D84" s="26"/>
      <c r="E84" s="538">
        <v>15</v>
      </c>
      <c r="F84" s="3" cm="1">
        <f t="array" aca="1" ref="F84" ca="1">OFFSET(E84,-1,1)</f>
        <v>0</v>
      </c>
      <c r="G84" s="26" t="s">
        <v>1002</v>
      </c>
      <c r="H84" s="26"/>
      <c r="I84" s="26" t="s">
        <v>1496</v>
      </c>
      <c r="J84" s="26"/>
      <c r="K84" s="26" t="s">
        <v>1496</v>
      </c>
      <c r="L84" s="882"/>
      <c r="M84" s="26"/>
      <c r="N84" s="26"/>
      <c r="O84" s="26"/>
      <c r="P84" s="26"/>
      <c r="Q84" s="26"/>
      <c r="R84" s="26"/>
      <c r="S84" s="26"/>
      <c r="T84" s="381" t="b" cm="1">
        <f t="array" aca="1" ref="T84" ca="1">T83</f>
        <v>0</v>
      </c>
      <c r="U84" s="26"/>
      <c r="V84" s="26"/>
      <c r="W84" s="26"/>
      <c r="X84" s="1787"/>
      <c r="Z84" s="1735"/>
      <c r="AB84" s="216" t="s">
        <v>1874</v>
      </c>
      <c r="AC84" s="679" t="s">
        <v>1875</v>
      </c>
      <c r="AD84" s="216" t="s">
        <v>766</v>
      </c>
      <c r="AE84" s="1015">
        <f ca="1">SUMIFS(Покупка!AE$25:AE$90,Покупка!$F$25:$F$90,$F84,Покупка!$AC$25:$AC$90,$G84)</f>
        <v>0</v>
      </c>
      <c r="AF84" s="1015">
        <f ca="1">SUMIFS(Покупка!AF$25:AF$90,Покупка!$F$25:$F$90,$F84,Покупка!$AC$25:$AC$90,$G84)</f>
        <v>0</v>
      </c>
      <c r="AG84" s="1015">
        <f ca="1">SUMIFS(Покупка!AG$25:AG$90,Покупка!$F$25:$F$90,$F84,Покупка!$AC$25:$AC$90,$G84)</f>
        <v>0</v>
      </c>
      <c r="AH84" s="1015">
        <f t="shared" ca="1" si="9"/>
        <v>0</v>
      </c>
      <c r="AI84" s="1015">
        <f ca="1">SUMIFS(Покупка!AH$25:AH$90,Покупка!$F$25:$F$90,$F84,Покупка!$AC$25:$AC$90,$G84)</f>
        <v>0</v>
      </c>
      <c r="AJ84" s="1015">
        <f ca="1">SUMIFS(Покупка!AI$25:AI$90,Покупка!$F$25:$F$90,$F84,Покупка!$AC$25:$AC$90,$G84)</f>
        <v>0</v>
      </c>
      <c r="AK84" s="1015">
        <f ca="1">SUMIFS(Покупка!AJ$25:AJ$90,Покупка!$F$25:$F$90,$F84,Покупка!$AC$25:$AC$90,$G84)</f>
        <v>0</v>
      </c>
      <c r="AL84" s="1015">
        <f ca="1">SUMIFS(Покупка!AK$25:AK$90,Покупка!$F$25:$F$90,$F84,Покупка!$AC$25:$AC$90,$G84)</f>
        <v>0</v>
      </c>
      <c r="AM84" s="1015">
        <f ca="1">SUMIFS(Покупка!AL$25:AL$90,Покупка!$F$25:$F$90,$F84,Покупка!$AC$25:$AC$90,$G84)</f>
        <v>0</v>
      </c>
      <c r="AN84" s="1015">
        <f ca="1">SUMIFS(Покупка!AM$25:AM$90,Покупка!$F$25:$F$90,$F84,Покупка!$AC$25:$AC$90,$G84)</f>
        <v>0</v>
      </c>
      <c r="AO84" s="1015">
        <f ca="1">SUMIFS(Покупка!AN$25:AN$90,Покупка!$F$25:$F$90,$F84,Покупка!$AC$25:$AC$90,$G84)</f>
        <v>0</v>
      </c>
      <c r="AP84" s="1015">
        <f ca="1">SUMIFS(Покупка!AO$25:AO$90,Покупка!$F$25:$F$90,$F84,Покупка!$AC$25:$AC$90,$G84)</f>
        <v>0</v>
      </c>
      <c r="AQ84" s="1015">
        <f ca="1">SUMIFS(Покупка!AP$25:AP$90,Покупка!$F$25:$F$90,$F84,Покупка!$AC$25:$AC$90,$G84)</f>
        <v>0</v>
      </c>
      <c r="AR84" s="1015">
        <f ca="1">SUMIFS(Покупка!AQ$25:AQ$90,Покупка!$F$25:$F$90,$F84,Покупка!$AC$25:$AC$90,$G84)</f>
        <v>0</v>
      </c>
      <c r="AS84" s="1015">
        <f ca="1">SUMIFS(Покупка!AR$25:AR$90,Покупка!$F$25:$F$90,$F84,Покупка!$AC$25:$AC$90,$G84)</f>
        <v>0</v>
      </c>
      <c r="AT84" s="1015">
        <f ca="1">SUMIFS(Покупка!AS$25:AS$90,Покупка!$F$25:$F$90,$F84,Покупка!$AC$25:$AC$90,$G84)</f>
        <v>0</v>
      </c>
      <c r="AU84" s="1015">
        <f ca="1">SUMIFS(Покупка!AT$25:AT$90,Покупка!$F$25:$F$90,$F84,Покупка!$AC$25:$AC$90,$G84)</f>
        <v>0</v>
      </c>
      <c r="AV84" s="1015">
        <f ca="1">SUMIFS(Покупка!AU$25:AU$90,Покупка!$F$25:$F$90,$F84,Покупка!$AC$25:$AC$90,$G84)</f>
        <v>0</v>
      </c>
      <c r="AW84" s="1015">
        <f ca="1">SUMIFS(Покупка!AV$25:AV$90,Покупка!$F$25:$F$90,$F84,Покупка!$AC$25:$AC$90,$G84)</f>
        <v>0</v>
      </c>
      <c r="AX84" s="1015">
        <f ca="1">SUMIFS(Покупка!AW$25:AW$90,Покупка!$F$25:$F$90,$F84,Покупка!$AC$25:$AC$90,$G84)</f>
        <v>0</v>
      </c>
      <c r="AY84" s="1015">
        <f ca="1">SUMIFS(Покупка!AX$25:AX$90,Покупка!$F$25:$F$90,$F84,Покупка!$AC$25:$AC$90,$G84)</f>
        <v>0</v>
      </c>
      <c r="AZ84" s="1015">
        <f ca="1">SUMIFS(Покупка!AY$25:AY$90,Покупка!$F$25:$F$90,$F84,Покупка!$AC$25:$AC$90,$G84)</f>
        <v>0</v>
      </c>
      <c r="BA84" s="1015">
        <f ca="1">SUMIFS(Покупка!AZ$25:AZ$90,Покупка!$F$25:$F$90,$F84,Покупка!$AC$25:$AC$90,$G84)</f>
        <v>0</v>
      </c>
      <c r="BB84" s="1015">
        <f ca="1">SUMIFS(Покупка!BA$25:BA$90,Покупка!$F$25:$F$90,$F84,Покупка!$AC$25:$AC$90,$G84)</f>
        <v>0</v>
      </c>
      <c r="BC84" s="1015">
        <f ca="1">SUMIFS(Покупка!BB$25:BB$90,Покупка!$F$25:$F$90,$F84,Покупка!$AC$25:$AC$90,$G84)</f>
        <v>0</v>
      </c>
      <c r="BD84" s="1015">
        <f t="shared" ca="1" si="11"/>
        <v>0</v>
      </c>
      <c r="BE84" s="1015">
        <f t="shared" ca="1" si="12"/>
        <v>0</v>
      </c>
      <c r="BF84" s="1015">
        <f t="shared" ca="1" si="13"/>
        <v>0</v>
      </c>
      <c r="BG84" s="1015">
        <f t="shared" ca="1" si="14"/>
        <v>0</v>
      </c>
      <c r="BH84" s="1015">
        <f t="shared" ca="1" si="15"/>
        <v>0</v>
      </c>
      <c r="BI84" s="1015">
        <f t="shared" ca="1" si="16"/>
        <v>0</v>
      </c>
      <c r="BJ84" s="1015">
        <f t="shared" ca="1" si="17"/>
        <v>0</v>
      </c>
      <c r="BK84" s="1015">
        <f t="shared" ca="1" si="18"/>
        <v>0</v>
      </c>
      <c r="BL84" s="1015">
        <f t="shared" ca="1" si="19"/>
        <v>0</v>
      </c>
      <c r="BM84" s="1015">
        <f t="shared" ca="1" si="20"/>
        <v>0</v>
      </c>
      <c r="BN84" s="1138"/>
      <c r="BO84" s="1142" t="str">
        <f ca="1">IF(IFERROR(INDEX(Покупка!$K$26:$L$90,MATCH($F84&amp;"8komm",Покупка!$K$26:$K$90,0),2),"")=0,"",IFERROR(INDEX(Покупка!$K$26:$L$90,MATCH($F84&amp;"8komm",Покупка!$K$26:$K$90,0),2),""))</f>
        <v/>
      </c>
      <c r="BP84" s="1138"/>
      <c r="BS84" s="966" t="s">
        <v>1003</v>
      </c>
    </row>
    <row r="85" spans="2:75" ht="14.65" hidden="1" customHeight="1">
      <c r="C85" s="26"/>
      <c r="D85" s="26"/>
      <c r="E85" s="538">
        <v>15</v>
      </c>
      <c r="F85" s="3" cm="1">
        <f t="array" aca="1" ref="F85" ca="1">OFFSET(E85,-1,1)</f>
        <v>0</v>
      </c>
      <c r="G85" s="26"/>
      <c r="H85" s="26"/>
      <c r="I85" s="26" t="s">
        <v>1876</v>
      </c>
      <c r="J85" s="26"/>
      <c r="K85" s="26" t="s">
        <v>1876</v>
      </c>
      <c r="L85" s="882"/>
      <c r="M85" s="26"/>
      <c r="N85" s="26"/>
      <c r="O85" s="26"/>
      <c r="P85" s="26"/>
      <c r="Q85" s="26"/>
      <c r="R85" s="26"/>
      <c r="S85" s="26"/>
      <c r="T85" s="381" t="b" cm="1">
        <f t="array" aca="1" ref="T85" ca="1">T84</f>
        <v>0</v>
      </c>
      <c r="U85" s="26"/>
      <c r="V85" s="26"/>
      <c r="W85" s="26"/>
      <c r="X85" s="1787"/>
      <c r="Z85" s="1735"/>
      <c r="AB85" s="216" t="s">
        <v>1877</v>
      </c>
      <c r="AC85" s="679" t="s">
        <v>1878</v>
      </c>
      <c r="AD85" s="216" t="s">
        <v>766</v>
      </c>
      <c r="AE85" s="1141"/>
      <c r="AF85" s="1141"/>
      <c r="AG85" s="1141"/>
      <c r="AH85" s="1015">
        <f t="shared" si="9"/>
        <v>0</v>
      </c>
      <c r="AI85" s="1141"/>
      <c r="AJ85" s="1473"/>
      <c r="AK85" s="1141"/>
      <c r="AL85" s="1141"/>
      <c r="AM85" s="1141"/>
      <c r="AN85" s="1141"/>
      <c r="AO85" s="1141"/>
      <c r="AP85" s="1141"/>
      <c r="AQ85" s="1141"/>
      <c r="AR85" s="1141"/>
      <c r="AS85" s="1141"/>
      <c r="AT85" s="1473"/>
      <c r="AU85" s="1141"/>
      <c r="AV85" s="1141"/>
      <c r="AW85" s="1141"/>
      <c r="AX85" s="1141"/>
      <c r="AY85" s="1141"/>
      <c r="AZ85" s="1141"/>
      <c r="BA85" s="1141"/>
      <c r="BB85" s="1141"/>
      <c r="BC85" s="1141"/>
      <c r="BD85" s="1015">
        <f t="shared" si="11"/>
        <v>0</v>
      </c>
      <c r="BE85" s="1015">
        <f t="shared" si="12"/>
        <v>0</v>
      </c>
      <c r="BF85" s="1015">
        <f t="shared" si="13"/>
        <v>0</v>
      </c>
      <c r="BG85" s="1015">
        <f t="shared" si="14"/>
        <v>0</v>
      </c>
      <c r="BH85" s="1015">
        <f t="shared" si="15"/>
        <v>0</v>
      </c>
      <c r="BI85" s="1015">
        <f t="shared" si="16"/>
        <v>0</v>
      </c>
      <c r="BJ85" s="1015">
        <f t="shared" si="17"/>
        <v>0</v>
      </c>
      <c r="BK85" s="1015">
        <f t="shared" si="18"/>
        <v>0</v>
      </c>
      <c r="BL85" s="1015">
        <f t="shared" si="19"/>
        <v>0</v>
      </c>
      <c r="BM85" s="1015">
        <f t="shared" si="20"/>
        <v>0</v>
      </c>
      <c r="BN85" s="1138"/>
      <c r="BO85" s="1138"/>
      <c r="BP85" s="1138"/>
      <c r="BS85" s="966" t="s">
        <v>1879</v>
      </c>
    </row>
    <row r="86" spans="2:75" ht="14.65" hidden="1" customHeight="1">
      <c r="C86" s="26"/>
      <c r="D86" s="26"/>
      <c r="E86" s="538">
        <v>15</v>
      </c>
      <c r="F86" s="3" cm="1">
        <f t="array" aca="1" ref="F86" ca="1">OFFSET(E86,-1,1)</f>
        <v>0</v>
      </c>
      <c r="G86" s="26"/>
      <c r="H86" s="26"/>
      <c r="I86" s="26" t="s">
        <v>1880</v>
      </c>
      <c r="J86" s="26"/>
      <c r="K86" s="26" t="s">
        <v>1880</v>
      </c>
      <c r="L86" s="882"/>
      <c r="M86" s="26"/>
      <c r="N86" s="26"/>
      <c r="O86" s="26"/>
      <c r="P86" s="26"/>
      <c r="Q86" s="26"/>
      <c r="R86" s="26"/>
      <c r="S86" s="26"/>
      <c r="T86" s="381" t="b" cm="1">
        <f t="array" aca="1" ref="T86" ca="1">T85</f>
        <v>0</v>
      </c>
      <c r="U86" s="26"/>
      <c r="V86" s="26"/>
      <c r="W86" s="26"/>
      <c r="X86" s="1787"/>
      <c r="Z86" s="1735"/>
      <c r="AB86" s="216" t="s">
        <v>1881</v>
      </c>
      <c r="AC86" s="679" t="s">
        <v>1882</v>
      </c>
      <c r="AD86" s="216" t="s">
        <v>766</v>
      </c>
      <c r="AE86" s="1141"/>
      <c r="AF86" s="1141"/>
      <c r="AG86" s="1141"/>
      <c r="AH86" s="1015">
        <f t="shared" si="9"/>
        <v>0</v>
      </c>
      <c r="AI86" s="1141"/>
      <c r="AJ86" s="1473"/>
      <c r="AK86" s="1141"/>
      <c r="AL86" s="1141"/>
      <c r="AM86" s="1141"/>
      <c r="AN86" s="1141"/>
      <c r="AO86" s="1141"/>
      <c r="AP86" s="1141"/>
      <c r="AQ86" s="1141"/>
      <c r="AR86" s="1141"/>
      <c r="AS86" s="1141"/>
      <c r="AT86" s="1473"/>
      <c r="AU86" s="1141"/>
      <c r="AV86" s="1141"/>
      <c r="AW86" s="1141"/>
      <c r="AX86" s="1141"/>
      <c r="AY86" s="1141"/>
      <c r="AZ86" s="1141"/>
      <c r="BA86" s="1141"/>
      <c r="BB86" s="1141"/>
      <c r="BC86" s="1141"/>
      <c r="BD86" s="1015">
        <f t="shared" si="11"/>
        <v>0</v>
      </c>
      <c r="BE86" s="1015">
        <f t="shared" si="12"/>
        <v>0</v>
      </c>
      <c r="BF86" s="1015">
        <f t="shared" si="13"/>
        <v>0</v>
      </c>
      <c r="BG86" s="1015">
        <f t="shared" si="14"/>
        <v>0</v>
      </c>
      <c r="BH86" s="1015">
        <f t="shared" si="15"/>
        <v>0</v>
      </c>
      <c r="BI86" s="1015">
        <f t="shared" si="16"/>
        <v>0</v>
      </c>
      <c r="BJ86" s="1015">
        <f t="shared" si="17"/>
        <v>0</v>
      </c>
      <c r="BK86" s="1015">
        <f t="shared" si="18"/>
        <v>0</v>
      </c>
      <c r="BL86" s="1015">
        <f t="shared" si="19"/>
        <v>0</v>
      </c>
      <c r="BM86" s="1015">
        <f t="shared" si="20"/>
        <v>0</v>
      </c>
      <c r="BN86" s="1138"/>
      <c r="BO86" s="1138"/>
      <c r="BP86" s="1138"/>
      <c r="BS86" s="966" t="s">
        <v>1883</v>
      </c>
    </row>
    <row r="87" spans="2:75" ht="14.65" hidden="1" customHeight="1">
      <c r="C87" s="26"/>
      <c r="D87" s="26"/>
      <c r="E87" s="538">
        <v>15</v>
      </c>
      <c r="F87" s="3" cm="1">
        <f t="array" aca="1" ref="F87" ca="1">OFFSET(E87,-1,1)</f>
        <v>0</v>
      </c>
      <c r="G87" s="26" t="s">
        <v>980</v>
      </c>
      <c r="H87" s="26"/>
      <c r="I87" s="26" t="s">
        <v>1884</v>
      </c>
      <c r="J87" s="26"/>
      <c r="K87" s="26" t="s">
        <v>1884</v>
      </c>
      <c r="L87" s="882" t="s">
        <v>1370</v>
      </c>
      <c r="M87" s="26"/>
      <c r="N87" s="26"/>
      <c r="O87" s="26"/>
      <c r="P87" s="26"/>
      <c r="Q87" s="26"/>
      <c r="R87" s="26"/>
      <c r="S87" s="26"/>
      <c r="T87" s="381" t="b" cm="1">
        <f t="array" aca="1" ref="T87" ca="1">T86</f>
        <v>0</v>
      </c>
      <c r="U87" s="26"/>
      <c r="V87" s="26"/>
      <c r="W87" s="26"/>
      <c r="X87" s="1787"/>
      <c r="Z87" s="1735"/>
      <c r="AB87" s="216" t="s">
        <v>1885</v>
      </c>
      <c r="AC87" s="679" t="s">
        <v>1886</v>
      </c>
      <c r="AD87" s="216" t="s">
        <v>766</v>
      </c>
      <c r="AE87" s="1015">
        <f ca="1">SUMIFS(Покупка!AE$25:AE$90,Покупка!$F$25:$F$90,$F87,Покупка!$AC$25:$AC$90,$G87)</f>
        <v>0</v>
      </c>
      <c r="AF87" s="1015">
        <f ca="1">SUMIFS(Покупка!AF$25:AF$90,Покупка!$F$25:$F$90,$F87,Покупка!$AC$25:$AC$90,$G87)</f>
        <v>0</v>
      </c>
      <c r="AG87" s="1015">
        <f ca="1">SUMIFS(Покупка!AG$25:AG$90,Покупка!$F$25:$F$90,$F87,Покупка!$AC$25:$AC$90,$G87)</f>
        <v>0</v>
      </c>
      <c r="AH87" s="1015">
        <f t="shared" ca="1" si="9"/>
        <v>0</v>
      </c>
      <c r="AI87" s="1015">
        <f ca="1">SUMIFS(Покупка!AH$25:AH$90,Покупка!$F$25:$F$90,$F87,Покупка!$AC$25:$AC$90,$G87)</f>
        <v>0</v>
      </c>
      <c r="AJ87" s="1015">
        <f ca="1">SUMIFS(Покупка!AI$25:AI$90,Покупка!$F$25:$F$90,$F87,Покупка!$AC$25:$AC$90,$G87)</f>
        <v>0</v>
      </c>
      <c r="AK87" s="1015">
        <f ca="1">SUMIFS(Покупка!AJ$25:AJ$90,Покупка!$F$25:$F$90,$F87,Покупка!$AC$25:$AC$90,$G87)</f>
        <v>0</v>
      </c>
      <c r="AL87" s="1015">
        <f ca="1">SUMIFS(Покупка!AK$25:AK$90,Покупка!$F$25:$F$90,$F87,Покупка!$AC$25:$AC$90,$G87)</f>
        <v>0</v>
      </c>
      <c r="AM87" s="1015">
        <f ca="1">SUMIFS(Покупка!AL$25:AL$90,Покупка!$F$25:$F$90,$F87,Покупка!$AC$25:$AC$90,$G87)</f>
        <v>0</v>
      </c>
      <c r="AN87" s="1015">
        <f ca="1">SUMIFS(Покупка!AM$25:AM$90,Покупка!$F$25:$F$90,$F87,Покупка!$AC$25:$AC$90,$G87)</f>
        <v>0</v>
      </c>
      <c r="AO87" s="1015">
        <f ca="1">SUMIFS(Покупка!AN$25:AN$90,Покупка!$F$25:$F$90,$F87,Покупка!$AC$25:$AC$90,$G87)</f>
        <v>0</v>
      </c>
      <c r="AP87" s="1015">
        <f ca="1">SUMIFS(Покупка!AO$25:AO$90,Покупка!$F$25:$F$90,$F87,Покупка!$AC$25:$AC$90,$G87)</f>
        <v>0</v>
      </c>
      <c r="AQ87" s="1015">
        <f ca="1">SUMIFS(Покупка!AP$25:AP$90,Покупка!$F$25:$F$90,$F87,Покупка!$AC$25:$AC$90,$G87)</f>
        <v>0</v>
      </c>
      <c r="AR87" s="1015">
        <f ca="1">SUMIFS(Покупка!AQ$25:AQ$90,Покупка!$F$25:$F$90,$F87,Покупка!$AC$25:$AC$90,$G87)</f>
        <v>0</v>
      </c>
      <c r="AS87" s="1015">
        <f ca="1">SUMIFS(Покупка!AR$25:AR$90,Покупка!$F$25:$F$90,$F87,Покупка!$AC$25:$AC$90,$G87)</f>
        <v>0</v>
      </c>
      <c r="AT87" s="1015">
        <f ca="1">SUMIFS(Покупка!AS$25:AS$90,Покупка!$F$25:$F$90,$F87,Покупка!$AC$25:$AC$90,$G87)</f>
        <v>0</v>
      </c>
      <c r="AU87" s="1015">
        <f ca="1">SUMIFS(Покупка!AT$25:AT$90,Покупка!$F$25:$F$90,$F87,Покупка!$AC$25:$AC$90,$G87)</f>
        <v>0</v>
      </c>
      <c r="AV87" s="1015">
        <f ca="1">SUMIFS(Покупка!AU$25:AU$90,Покупка!$F$25:$F$90,$F87,Покупка!$AC$25:$AC$90,$G87)</f>
        <v>0</v>
      </c>
      <c r="AW87" s="1015">
        <f ca="1">SUMIFS(Покупка!AV$25:AV$90,Покупка!$F$25:$F$90,$F87,Покупка!$AC$25:$AC$90,$G87)</f>
        <v>0</v>
      </c>
      <c r="AX87" s="1015">
        <f ca="1">SUMIFS(Покупка!AW$25:AW$90,Покупка!$F$25:$F$90,$F87,Покупка!$AC$25:$AC$90,$G87)</f>
        <v>0</v>
      </c>
      <c r="AY87" s="1015">
        <f ca="1">SUMIFS(Покупка!AX$25:AX$90,Покупка!$F$25:$F$90,$F87,Покупка!$AC$25:$AC$90,$G87)</f>
        <v>0</v>
      </c>
      <c r="AZ87" s="1015">
        <f ca="1">SUMIFS(Покупка!AY$25:AY$90,Покупка!$F$25:$F$90,$F87,Покупка!$AC$25:$AC$90,$G87)</f>
        <v>0</v>
      </c>
      <c r="BA87" s="1015">
        <f ca="1">SUMIFS(Покупка!AZ$25:AZ$90,Покупка!$F$25:$F$90,$F87,Покупка!$AC$25:$AC$90,$G87)</f>
        <v>0</v>
      </c>
      <c r="BB87" s="1015">
        <f ca="1">SUMIFS(Покупка!BA$25:BA$90,Покупка!$F$25:$F$90,$F87,Покупка!$AC$25:$AC$90,$G87)</f>
        <v>0</v>
      </c>
      <c r="BC87" s="1015">
        <f ca="1">SUMIFS(Покупка!BB$25:BB$90,Покупка!$F$25:$F$90,$F87,Покупка!$AC$25:$AC$90,$G87)</f>
        <v>0</v>
      </c>
      <c r="BD87" s="1015">
        <f t="shared" ca="1" si="11"/>
        <v>0</v>
      </c>
      <c r="BE87" s="1015">
        <f t="shared" ca="1" si="12"/>
        <v>0</v>
      </c>
      <c r="BF87" s="1015">
        <f t="shared" ca="1" si="13"/>
        <v>0</v>
      </c>
      <c r="BG87" s="1015">
        <f t="shared" ca="1" si="14"/>
        <v>0</v>
      </c>
      <c r="BH87" s="1015">
        <f t="shared" ca="1" si="15"/>
        <v>0</v>
      </c>
      <c r="BI87" s="1015">
        <f t="shared" ca="1" si="16"/>
        <v>0</v>
      </c>
      <c r="BJ87" s="1015">
        <f t="shared" ca="1" si="17"/>
        <v>0</v>
      </c>
      <c r="BK87" s="1015">
        <f t="shared" ca="1" si="18"/>
        <v>0</v>
      </c>
      <c r="BL87" s="1015">
        <f t="shared" ca="1" si="19"/>
        <v>0</v>
      </c>
      <c r="BM87" s="1015">
        <f t="shared" ca="1" si="20"/>
        <v>0</v>
      </c>
      <c r="BN87" s="1138"/>
      <c r="BO87" s="1142" t="str">
        <f ca="1">IF(IFERROR(INDEX(Покупка!$K$26:$L$90,MATCH($F87&amp;"3komm",Покупка!$K$26:$K$90,0),2),"")=0,"",IFERROR(INDEX(Покупка!$K$26:$L$90,MATCH($F87&amp;"3komm",Покупка!$K$26:$K$90,0),2),""))</f>
        <v/>
      </c>
      <c r="BP87" s="1138"/>
      <c r="BS87" s="966" t="s">
        <v>1571</v>
      </c>
    </row>
    <row r="88" spans="2:75" ht="14.65" hidden="1" customHeight="1">
      <c r="C88" s="26"/>
      <c r="D88" s="26"/>
      <c r="E88" s="538">
        <v>15</v>
      </c>
      <c r="F88" s="3" cm="1">
        <f t="array" aca="1" ref="F88" ca="1">OFFSET(E88,-1,1)</f>
        <v>0</v>
      </c>
      <c r="G88" s="26" t="s">
        <v>986</v>
      </c>
      <c r="H88" s="26"/>
      <c r="I88" s="26" t="s">
        <v>1887</v>
      </c>
      <c r="J88" s="26"/>
      <c r="K88" s="26" t="s">
        <v>1887</v>
      </c>
      <c r="L88" s="882" t="s">
        <v>1375</v>
      </c>
      <c r="M88" s="26"/>
      <c r="N88" s="26"/>
      <c r="O88" s="26"/>
      <c r="P88" s="26"/>
      <c r="Q88" s="26"/>
      <c r="R88" s="26"/>
      <c r="S88" s="26"/>
      <c r="T88" s="381" t="b" cm="1">
        <f t="array" aca="1" ref="T88" ca="1">T87</f>
        <v>0</v>
      </c>
      <c r="U88" s="26"/>
      <c r="V88" s="26"/>
      <c r="W88" s="26"/>
      <c r="X88" s="1787"/>
      <c r="Z88" s="1735"/>
      <c r="AB88" s="216" t="s">
        <v>1888</v>
      </c>
      <c r="AC88" s="679" t="s">
        <v>1889</v>
      </c>
      <c r="AD88" s="216" t="s">
        <v>766</v>
      </c>
      <c r="AE88" s="1015">
        <f ca="1">SUMIFS(Покупка!AE$25:AE$90,Покупка!$F$25:$F$90,$F88,Покупка!$AC$25:$AC$90,$G88)</f>
        <v>0</v>
      </c>
      <c r="AF88" s="1015">
        <f ca="1">SUMIFS(Покупка!AF$25:AF$90,Покупка!$F$25:$F$90,$F88,Покупка!$AC$25:$AC$90,$G88)</f>
        <v>0</v>
      </c>
      <c r="AG88" s="1015">
        <f ca="1">SUMIFS(Покупка!AG$25:AG$90,Покупка!$F$25:$F$90,$F88,Покупка!$AC$25:$AC$90,$G88)</f>
        <v>0</v>
      </c>
      <c r="AH88" s="1015">
        <f t="shared" ca="1" si="9"/>
        <v>0</v>
      </c>
      <c r="AI88" s="1015">
        <f ca="1">SUMIFS(Покупка!AH$25:AH$90,Покупка!$F$25:$F$90,$F88,Покупка!$AC$25:$AC$90,$G88)</f>
        <v>0</v>
      </c>
      <c r="AJ88" s="1015">
        <f ca="1">SUMIFS(Покупка!AI$25:AI$90,Покупка!$F$25:$F$90,$F88,Покупка!$AC$25:$AC$90,$G88)</f>
        <v>0</v>
      </c>
      <c r="AK88" s="1015">
        <f ca="1">SUMIFS(Покупка!AJ$25:AJ$90,Покупка!$F$25:$F$90,$F88,Покупка!$AC$25:$AC$90,$G88)</f>
        <v>0</v>
      </c>
      <c r="AL88" s="1015">
        <f ca="1">SUMIFS(Покупка!AK$25:AK$90,Покупка!$F$25:$F$90,$F88,Покупка!$AC$25:$AC$90,$G88)</f>
        <v>0</v>
      </c>
      <c r="AM88" s="1015">
        <f ca="1">SUMIFS(Покупка!AL$25:AL$90,Покупка!$F$25:$F$90,$F88,Покупка!$AC$25:$AC$90,$G88)</f>
        <v>0</v>
      </c>
      <c r="AN88" s="1015">
        <f ca="1">SUMIFS(Покупка!AM$25:AM$90,Покупка!$F$25:$F$90,$F88,Покупка!$AC$25:$AC$90,$G88)</f>
        <v>0</v>
      </c>
      <c r="AO88" s="1015">
        <f ca="1">SUMIFS(Покупка!AN$25:AN$90,Покупка!$F$25:$F$90,$F88,Покупка!$AC$25:$AC$90,$G88)</f>
        <v>0</v>
      </c>
      <c r="AP88" s="1015">
        <f ca="1">SUMIFS(Покупка!AO$25:AO$90,Покупка!$F$25:$F$90,$F88,Покупка!$AC$25:$AC$90,$G88)</f>
        <v>0</v>
      </c>
      <c r="AQ88" s="1015">
        <f ca="1">SUMIFS(Покупка!AP$25:AP$90,Покупка!$F$25:$F$90,$F88,Покупка!$AC$25:$AC$90,$G88)</f>
        <v>0</v>
      </c>
      <c r="AR88" s="1015">
        <f ca="1">SUMIFS(Покупка!AQ$25:AQ$90,Покупка!$F$25:$F$90,$F88,Покупка!$AC$25:$AC$90,$G88)</f>
        <v>0</v>
      </c>
      <c r="AS88" s="1015">
        <f ca="1">SUMIFS(Покупка!AR$25:AR$90,Покупка!$F$25:$F$90,$F88,Покупка!$AC$25:$AC$90,$G88)</f>
        <v>0</v>
      </c>
      <c r="AT88" s="1015">
        <f ca="1">SUMIFS(Покупка!AS$25:AS$90,Покупка!$F$25:$F$90,$F88,Покупка!$AC$25:$AC$90,$G88)</f>
        <v>0</v>
      </c>
      <c r="AU88" s="1015">
        <f ca="1">SUMIFS(Покупка!AT$25:AT$90,Покупка!$F$25:$F$90,$F88,Покупка!$AC$25:$AC$90,$G88)</f>
        <v>0</v>
      </c>
      <c r="AV88" s="1015">
        <f ca="1">SUMIFS(Покупка!AU$25:AU$90,Покупка!$F$25:$F$90,$F88,Покупка!$AC$25:$AC$90,$G88)</f>
        <v>0</v>
      </c>
      <c r="AW88" s="1015">
        <f ca="1">SUMIFS(Покупка!AV$25:AV$90,Покупка!$F$25:$F$90,$F88,Покупка!$AC$25:$AC$90,$G88)</f>
        <v>0</v>
      </c>
      <c r="AX88" s="1015">
        <f ca="1">SUMIFS(Покупка!AW$25:AW$90,Покупка!$F$25:$F$90,$F88,Покупка!$AC$25:$AC$90,$G88)</f>
        <v>0</v>
      </c>
      <c r="AY88" s="1015">
        <f ca="1">SUMIFS(Покупка!AX$25:AX$90,Покупка!$F$25:$F$90,$F88,Покупка!$AC$25:$AC$90,$G88)</f>
        <v>0</v>
      </c>
      <c r="AZ88" s="1015">
        <f ca="1">SUMIFS(Покупка!AY$25:AY$90,Покупка!$F$25:$F$90,$F88,Покупка!$AC$25:$AC$90,$G88)</f>
        <v>0</v>
      </c>
      <c r="BA88" s="1015">
        <f ca="1">SUMIFS(Покупка!AZ$25:AZ$90,Покупка!$F$25:$F$90,$F88,Покупка!$AC$25:$AC$90,$G88)</f>
        <v>0</v>
      </c>
      <c r="BB88" s="1015">
        <f ca="1">SUMIFS(Покупка!BA$25:BA$90,Покупка!$F$25:$F$90,$F88,Покупка!$AC$25:$AC$90,$G88)</f>
        <v>0</v>
      </c>
      <c r="BC88" s="1015">
        <f ca="1">SUMIFS(Покупка!BB$25:BB$90,Покупка!$F$25:$F$90,$F88,Покупка!$AC$25:$AC$90,$G88)</f>
        <v>0</v>
      </c>
      <c r="BD88" s="1015">
        <f t="shared" ca="1" si="11"/>
        <v>0</v>
      </c>
      <c r="BE88" s="1015">
        <f t="shared" ca="1" si="12"/>
        <v>0</v>
      </c>
      <c r="BF88" s="1015">
        <f t="shared" ca="1" si="13"/>
        <v>0</v>
      </c>
      <c r="BG88" s="1015">
        <f t="shared" ca="1" si="14"/>
        <v>0</v>
      </c>
      <c r="BH88" s="1015">
        <f t="shared" ca="1" si="15"/>
        <v>0</v>
      </c>
      <c r="BI88" s="1015">
        <f t="shared" ca="1" si="16"/>
        <v>0</v>
      </c>
      <c r="BJ88" s="1015">
        <f t="shared" ca="1" si="17"/>
        <v>0</v>
      </c>
      <c r="BK88" s="1015">
        <f t="shared" ca="1" si="18"/>
        <v>0</v>
      </c>
      <c r="BL88" s="1015">
        <f t="shared" ca="1" si="19"/>
        <v>0</v>
      </c>
      <c r="BM88" s="1015">
        <f t="shared" ca="1" si="20"/>
        <v>0</v>
      </c>
      <c r="BN88" s="1138"/>
      <c r="BO88" s="1142" t="str">
        <f ca="1">IF(IFERROR(INDEX(Покупка!$K$26:$L$90,MATCH($F88&amp;"4komm",Покупка!$K$26:$K$90,0),2),"")=0,"",IFERROR(INDEX(Покупка!$K$26:$L$90,MATCH($F87&amp;"3komm",Покупка!$K$26:$K$90,0),2),""))</f>
        <v/>
      </c>
      <c r="BP88" s="1138"/>
      <c r="BS88" s="966" t="s">
        <v>1574</v>
      </c>
    </row>
    <row r="89" spans="2:75" ht="14.65" hidden="1" customHeight="1">
      <c r="C89" s="26"/>
      <c r="D89" s="26"/>
      <c r="E89" s="538">
        <v>15</v>
      </c>
      <c r="F89" s="3" cm="1">
        <f t="array" aca="1" ref="F89" ca="1">OFFSET(E89,-1,1)</f>
        <v>0</v>
      </c>
      <c r="G89" s="26" t="s">
        <v>992</v>
      </c>
      <c r="H89" s="26"/>
      <c r="I89" s="26" t="s">
        <v>1890</v>
      </c>
      <c r="J89" s="26"/>
      <c r="K89" s="26" t="s">
        <v>1890</v>
      </c>
      <c r="L89" s="882" t="s">
        <v>1385</v>
      </c>
      <c r="M89" s="26"/>
      <c r="N89" s="26"/>
      <c r="O89" s="26"/>
      <c r="P89" s="26"/>
      <c r="Q89" s="26"/>
      <c r="R89" s="26"/>
      <c r="S89" s="26"/>
      <c r="T89" s="381" t="b" cm="1">
        <f t="array" aca="1" ref="T89" ca="1">T88</f>
        <v>0</v>
      </c>
      <c r="U89" s="26"/>
      <c r="V89" s="26"/>
      <c r="W89" s="26"/>
      <c r="X89" s="1787"/>
      <c r="Z89" s="1735"/>
      <c r="AB89" s="216" t="s">
        <v>1891</v>
      </c>
      <c r="AC89" s="679" t="s">
        <v>1892</v>
      </c>
      <c r="AD89" s="216" t="s">
        <v>766</v>
      </c>
      <c r="AE89" s="1015">
        <f ca="1">SUMIFS(Покупка!AE$25:AE$90,Покупка!$F$25:$F$90,$F89,Покупка!$AC$25:$AC$90,$G89)</f>
        <v>0</v>
      </c>
      <c r="AF89" s="1015">
        <f ca="1">SUMIFS(Покупка!AF$25:AF$90,Покупка!$F$25:$F$90,$F89,Покупка!$AC$25:$AC$90,$G89)</f>
        <v>0</v>
      </c>
      <c r="AG89" s="1015">
        <f ca="1">SUMIFS(Покупка!AG$25:AG$90,Покупка!$F$25:$F$90,$F89,Покупка!$AC$25:$AC$90,$G89)</f>
        <v>0</v>
      </c>
      <c r="AH89" s="1015">
        <f t="shared" ca="1" si="9"/>
        <v>0</v>
      </c>
      <c r="AI89" s="1015">
        <f ca="1">SUMIFS(Покупка!AH$25:AH$90,Покупка!$F$25:$F$90,$F89,Покупка!$AC$25:$AC$90,$G89)</f>
        <v>0</v>
      </c>
      <c r="AJ89" s="1015">
        <f ca="1">SUMIFS(Покупка!AI$25:AI$90,Покупка!$F$25:$F$90,$F89,Покупка!$AC$25:$AC$90,$G89)</f>
        <v>0</v>
      </c>
      <c r="AK89" s="1015">
        <f ca="1">SUMIFS(Покупка!AJ$25:AJ$90,Покупка!$F$25:$F$90,$F89,Покупка!$AC$25:$AC$90,$G89)</f>
        <v>0</v>
      </c>
      <c r="AL89" s="1015">
        <f ca="1">SUMIFS(Покупка!AK$25:AK$90,Покупка!$F$25:$F$90,$F89,Покупка!$AC$25:$AC$90,$G89)</f>
        <v>0</v>
      </c>
      <c r="AM89" s="1015">
        <f ca="1">SUMIFS(Покупка!AL$25:AL$90,Покупка!$F$25:$F$90,$F89,Покупка!$AC$25:$AC$90,$G89)</f>
        <v>0</v>
      </c>
      <c r="AN89" s="1015">
        <f ca="1">SUMIFS(Покупка!AM$25:AM$90,Покупка!$F$25:$F$90,$F89,Покупка!$AC$25:$AC$90,$G89)</f>
        <v>0</v>
      </c>
      <c r="AO89" s="1015">
        <f ca="1">SUMIFS(Покупка!AN$25:AN$90,Покупка!$F$25:$F$90,$F89,Покупка!$AC$25:$AC$90,$G89)</f>
        <v>0</v>
      </c>
      <c r="AP89" s="1015">
        <f ca="1">SUMIFS(Покупка!AO$25:AO$90,Покупка!$F$25:$F$90,$F89,Покупка!$AC$25:$AC$90,$G89)</f>
        <v>0</v>
      </c>
      <c r="AQ89" s="1015">
        <f ca="1">SUMIFS(Покупка!AP$25:AP$90,Покупка!$F$25:$F$90,$F89,Покупка!$AC$25:$AC$90,$G89)</f>
        <v>0</v>
      </c>
      <c r="AR89" s="1015">
        <f ca="1">SUMIFS(Покупка!AQ$25:AQ$90,Покупка!$F$25:$F$90,$F89,Покупка!$AC$25:$AC$90,$G89)</f>
        <v>0</v>
      </c>
      <c r="AS89" s="1015">
        <f ca="1">SUMIFS(Покупка!AR$25:AR$90,Покупка!$F$25:$F$90,$F89,Покупка!$AC$25:$AC$90,$G89)</f>
        <v>0</v>
      </c>
      <c r="AT89" s="1015">
        <f ca="1">SUMIFS(Покупка!AS$25:AS$90,Покупка!$F$25:$F$90,$F89,Покупка!$AC$25:$AC$90,$G89)</f>
        <v>0</v>
      </c>
      <c r="AU89" s="1015">
        <f ca="1">SUMIFS(Покупка!AT$25:AT$90,Покупка!$F$25:$F$90,$F89,Покупка!$AC$25:$AC$90,$G89)</f>
        <v>0</v>
      </c>
      <c r="AV89" s="1015">
        <f ca="1">SUMIFS(Покупка!AU$25:AU$90,Покупка!$F$25:$F$90,$F89,Покупка!$AC$25:$AC$90,$G89)</f>
        <v>0</v>
      </c>
      <c r="AW89" s="1015">
        <f ca="1">SUMIFS(Покупка!AV$25:AV$90,Покупка!$F$25:$F$90,$F89,Покупка!$AC$25:$AC$90,$G89)</f>
        <v>0</v>
      </c>
      <c r="AX89" s="1015">
        <f ca="1">SUMIFS(Покупка!AW$25:AW$90,Покупка!$F$25:$F$90,$F89,Покупка!$AC$25:$AC$90,$G89)</f>
        <v>0</v>
      </c>
      <c r="AY89" s="1015">
        <f ca="1">SUMIFS(Покупка!AX$25:AX$90,Покупка!$F$25:$F$90,$F89,Покупка!$AC$25:$AC$90,$G89)</f>
        <v>0</v>
      </c>
      <c r="AZ89" s="1015">
        <f ca="1">SUMIFS(Покупка!AY$25:AY$90,Покупка!$F$25:$F$90,$F89,Покупка!$AC$25:$AC$90,$G89)</f>
        <v>0</v>
      </c>
      <c r="BA89" s="1015">
        <f ca="1">SUMIFS(Покупка!AZ$25:AZ$90,Покупка!$F$25:$F$90,$F89,Покупка!$AC$25:$AC$90,$G89)</f>
        <v>0</v>
      </c>
      <c r="BB89" s="1015">
        <f ca="1">SUMIFS(Покупка!BA$25:BA$90,Покупка!$F$25:$F$90,$F89,Покупка!$AC$25:$AC$90,$G89)</f>
        <v>0</v>
      </c>
      <c r="BC89" s="1015">
        <f ca="1">SUMIFS(Покупка!BB$25:BB$90,Покупка!$F$25:$F$90,$F89,Покупка!$AC$25:$AC$90,$G89)</f>
        <v>0</v>
      </c>
      <c r="BD89" s="1015">
        <f t="shared" ca="1" si="11"/>
        <v>0</v>
      </c>
      <c r="BE89" s="1015">
        <f t="shared" ca="1" si="12"/>
        <v>0</v>
      </c>
      <c r="BF89" s="1015">
        <f t="shared" ca="1" si="13"/>
        <v>0</v>
      </c>
      <c r="BG89" s="1015">
        <f t="shared" ca="1" si="14"/>
        <v>0</v>
      </c>
      <c r="BH89" s="1015">
        <f t="shared" ca="1" si="15"/>
        <v>0</v>
      </c>
      <c r="BI89" s="1015">
        <f t="shared" ca="1" si="16"/>
        <v>0</v>
      </c>
      <c r="BJ89" s="1015">
        <f t="shared" ca="1" si="17"/>
        <v>0</v>
      </c>
      <c r="BK89" s="1015">
        <f t="shared" ca="1" si="18"/>
        <v>0</v>
      </c>
      <c r="BL89" s="1015">
        <f t="shared" ca="1" si="19"/>
        <v>0</v>
      </c>
      <c r="BM89" s="1015">
        <f t="shared" ca="1" si="20"/>
        <v>0</v>
      </c>
      <c r="BN89" s="1138"/>
      <c r="BO89" s="1142" t="str">
        <f ca="1">IF(IFERROR(INDEX(Покупка!$K$26:$L$90,MATCH($F89&amp;"5komm",Покупка!$K$26:$K$90,0),2),"")=0,"",IFERROR(INDEX(Покупка!$K$26:$L$90,MATCH($F89&amp;"5komm",Покупка!$K$26:$K$90,0),2),""))</f>
        <v/>
      </c>
      <c r="BP89" s="1138"/>
      <c r="BS89" s="966" t="s">
        <v>1577</v>
      </c>
    </row>
    <row r="90" spans="2:75" ht="14.65" hidden="1" customHeight="1">
      <c r="C90" s="26"/>
      <c r="D90" s="26"/>
      <c r="E90" s="538">
        <v>15</v>
      </c>
      <c r="F90" s="3" cm="1">
        <f t="array" aca="1" ref="F90" ca="1">OFFSET(E90,-1,1)</f>
        <v>0</v>
      </c>
      <c r="G90" s="26" t="s">
        <v>1004</v>
      </c>
      <c r="H90" s="26"/>
      <c r="I90" s="26"/>
      <c r="J90" s="26"/>
      <c r="K90" s="26"/>
      <c r="L90" s="882" t="s">
        <v>1352</v>
      </c>
      <c r="M90" s="26"/>
      <c r="N90" s="26"/>
      <c r="O90" s="26"/>
      <c r="P90" s="26"/>
      <c r="Q90" s="26"/>
      <c r="R90" s="26"/>
      <c r="S90" s="26"/>
      <c r="T90" s="381" t="b" cm="1">
        <f t="array" aca="1" ref="T90" ca="1">T89</f>
        <v>0</v>
      </c>
      <c r="U90" s="26"/>
      <c r="V90" s="26"/>
      <c r="W90" s="26"/>
      <c r="X90" s="1787"/>
      <c r="Z90" s="1735"/>
      <c r="AB90" s="216" t="s">
        <v>1893</v>
      </c>
      <c r="AC90" s="679" t="s">
        <v>1894</v>
      </c>
      <c r="AD90" s="216" t="s">
        <v>766</v>
      </c>
      <c r="AE90" s="1015">
        <f ca="1">SUMIFS(Покупка!AE$25:AE$90,Покупка!$F$25:$F$90,$F90,Покупка!$AC$25:$AC$90,$G90)</f>
        <v>0</v>
      </c>
      <c r="AF90" s="1015">
        <f ca="1">SUMIFS(Покупка!AF$25:AF$90,Покупка!$F$25:$F$90,$F90,Покупка!$AC$25:$AC$90,$G90)</f>
        <v>0</v>
      </c>
      <c r="AG90" s="1015">
        <f ca="1">SUMIFS(Покупка!AG$25:AG$90,Покупка!$F$25:$F$90,$F90,Покупка!$AC$25:$AC$90,$G90)</f>
        <v>0</v>
      </c>
      <c r="AH90" s="1015">
        <f t="shared" ca="1" si="9"/>
        <v>0</v>
      </c>
      <c r="AI90" s="1015">
        <f ca="1">SUMIFS(Покупка!AH$25:AH$90,Покупка!$F$25:$F$90,$F90,Покупка!$AC$25:$AC$90,$G90)</f>
        <v>0</v>
      </c>
      <c r="AJ90" s="1015">
        <f ca="1">SUMIFS(Покупка!AI$25:AI$90,Покупка!$F$25:$F$90,$F90,Покупка!$AC$25:$AC$90,$G90)</f>
        <v>0</v>
      </c>
      <c r="AK90" s="1015">
        <f ca="1">SUMIFS(Покупка!AJ$25:AJ$90,Покупка!$F$25:$F$90,$F90,Покупка!$AC$25:$AC$90,$G90)</f>
        <v>0</v>
      </c>
      <c r="AL90" s="1015">
        <f ca="1">SUMIFS(Покупка!AK$25:AK$90,Покупка!$F$25:$F$90,$F90,Покупка!$AC$25:$AC$90,$G90)</f>
        <v>0</v>
      </c>
      <c r="AM90" s="1015">
        <f ca="1">SUMIFS(Покупка!AL$25:AL$90,Покупка!$F$25:$F$90,$F90,Покупка!$AC$25:$AC$90,$G90)</f>
        <v>0</v>
      </c>
      <c r="AN90" s="1015">
        <f ca="1">SUMIFS(Покупка!AM$25:AM$90,Покупка!$F$25:$F$90,$F90,Покупка!$AC$25:$AC$90,$G90)</f>
        <v>0</v>
      </c>
      <c r="AO90" s="1015">
        <f ca="1">SUMIFS(Покупка!AN$25:AN$90,Покупка!$F$25:$F$90,$F90,Покупка!$AC$25:$AC$90,$G90)</f>
        <v>0</v>
      </c>
      <c r="AP90" s="1015">
        <f ca="1">SUMIFS(Покупка!AO$25:AO$90,Покупка!$F$25:$F$90,$F90,Покупка!$AC$25:$AC$90,$G90)</f>
        <v>0</v>
      </c>
      <c r="AQ90" s="1015">
        <f ca="1">SUMIFS(Покупка!AP$25:AP$90,Покупка!$F$25:$F$90,$F90,Покупка!$AC$25:$AC$90,$G90)</f>
        <v>0</v>
      </c>
      <c r="AR90" s="1015">
        <f ca="1">SUMIFS(Покупка!AQ$25:AQ$90,Покупка!$F$25:$F$90,$F90,Покупка!$AC$25:$AC$90,$G90)</f>
        <v>0</v>
      </c>
      <c r="AS90" s="1015">
        <f ca="1">SUMIFS(Покупка!AR$25:AR$90,Покупка!$F$25:$F$90,$F90,Покупка!$AC$25:$AC$90,$G90)</f>
        <v>0</v>
      </c>
      <c r="AT90" s="1015">
        <f ca="1">SUMIFS(Покупка!AS$25:AS$90,Покупка!$F$25:$F$90,$F90,Покупка!$AC$25:$AC$90,$G90)</f>
        <v>0</v>
      </c>
      <c r="AU90" s="1015">
        <f ca="1">SUMIFS(Покупка!AT$25:AT$90,Покупка!$F$25:$F$90,$F90,Покупка!$AC$25:$AC$90,$G90)</f>
        <v>0</v>
      </c>
      <c r="AV90" s="1015">
        <f ca="1">SUMIFS(Покупка!AU$25:AU$90,Покупка!$F$25:$F$90,$F90,Покупка!$AC$25:$AC$90,$G90)</f>
        <v>0</v>
      </c>
      <c r="AW90" s="1015">
        <f ca="1">SUMIFS(Покупка!AV$25:AV$90,Покупка!$F$25:$F$90,$F90,Покупка!$AC$25:$AC$90,$G90)</f>
        <v>0</v>
      </c>
      <c r="AX90" s="1015">
        <f ca="1">SUMIFS(Покупка!AW$25:AW$90,Покупка!$F$25:$F$90,$F90,Покупка!$AC$25:$AC$90,$G90)</f>
        <v>0</v>
      </c>
      <c r="AY90" s="1015">
        <f ca="1">SUMIFS(Покупка!AX$25:AX$90,Покупка!$F$25:$F$90,$F90,Покупка!$AC$25:$AC$90,$G90)</f>
        <v>0</v>
      </c>
      <c r="AZ90" s="1015">
        <f ca="1">SUMIFS(Покупка!AY$25:AY$90,Покупка!$F$25:$F$90,$F90,Покупка!$AC$25:$AC$90,$G90)</f>
        <v>0</v>
      </c>
      <c r="BA90" s="1015">
        <f ca="1">SUMIFS(Покупка!AZ$25:AZ$90,Покупка!$F$25:$F$90,$F90,Покупка!$AC$25:$AC$90,$G90)</f>
        <v>0</v>
      </c>
      <c r="BB90" s="1015">
        <f ca="1">SUMIFS(Покупка!BA$25:BA$90,Покупка!$F$25:$F$90,$F90,Покупка!$AC$25:$AC$90,$G90)</f>
        <v>0</v>
      </c>
      <c r="BC90" s="1015">
        <f ca="1">SUMIFS(Покупка!BB$25:BB$90,Покупка!$F$25:$F$90,$F90,Покупка!$AC$25:$AC$90,$G90)</f>
        <v>0</v>
      </c>
      <c r="BD90" s="1015">
        <f t="shared" ca="1" si="11"/>
        <v>0</v>
      </c>
      <c r="BE90" s="1015">
        <f t="shared" ca="1" si="12"/>
        <v>0</v>
      </c>
      <c r="BF90" s="1015">
        <f t="shared" ca="1" si="13"/>
        <v>0</v>
      </c>
      <c r="BG90" s="1015">
        <f t="shared" ca="1" si="14"/>
        <v>0</v>
      </c>
      <c r="BH90" s="1015">
        <f t="shared" ca="1" si="15"/>
        <v>0</v>
      </c>
      <c r="BI90" s="1015">
        <f t="shared" ca="1" si="16"/>
        <v>0</v>
      </c>
      <c r="BJ90" s="1015">
        <f t="shared" ca="1" si="17"/>
        <v>0</v>
      </c>
      <c r="BK90" s="1015">
        <f t="shared" ca="1" si="18"/>
        <v>0</v>
      </c>
      <c r="BL90" s="1015">
        <f t="shared" ca="1" si="19"/>
        <v>0</v>
      </c>
      <c r="BM90" s="1015">
        <f t="shared" ca="1" si="20"/>
        <v>0</v>
      </c>
      <c r="BN90" s="1138"/>
      <c r="BO90" s="1142" t="str">
        <f ca="1">IF(IFERROR(INDEX(Покупка!$K$26:$L$90,MATCH($F90&amp;"9komm",Покупка!$K$26:$K$90,0),2),"")=0,"",IFERROR(INDEX(Покупка!$K$26:$L$90,MATCH($F90&amp;"9komm",Покупка!$K$26:$K$90,0),2),""))</f>
        <v/>
      </c>
      <c r="BP90" s="1138"/>
      <c r="BS90" s="966" t="s">
        <v>1005</v>
      </c>
    </row>
    <row r="91" spans="2:75" ht="14.65" hidden="1" customHeight="1">
      <c r="C91" s="26"/>
      <c r="D91" s="26"/>
      <c r="E91" s="538">
        <v>15</v>
      </c>
      <c r="F91" s="3" cm="1">
        <f t="array" aca="1" ref="F91" ca="1">OFFSET(E91,-1,1)</f>
        <v>0</v>
      </c>
      <c r="G91" s="26"/>
      <c r="H91" s="26"/>
      <c r="I91" s="26" t="s">
        <v>448</v>
      </c>
      <c r="J91" s="26"/>
      <c r="K91" s="26" t="s">
        <v>448</v>
      </c>
      <c r="L91" s="882"/>
      <c r="M91" s="26"/>
      <c r="N91" s="26"/>
      <c r="O91" s="26"/>
      <c r="P91" s="26"/>
      <c r="Q91" s="26"/>
      <c r="R91" s="26"/>
      <c r="S91" s="26"/>
      <c r="T91" s="381" t="b" cm="1">
        <f t="array" aca="1" ref="T91" ca="1">T90</f>
        <v>0</v>
      </c>
      <c r="U91" s="26"/>
      <c r="V91" s="26"/>
      <c r="W91" s="26"/>
      <c r="X91" s="1787"/>
      <c r="Z91" s="1735"/>
      <c r="AB91" s="216" t="s">
        <v>506</v>
      </c>
      <c r="AC91" s="676" t="s">
        <v>1895</v>
      </c>
      <c r="AD91" s="693" t="s">
        <v>766</v>
      </c>
      <c r="AE91" s="1015">
        <f ca="1">SUMIFS('Сырье и материалы'!AE$25:AE$35,'Сырье и материалы'!$F$25:$F$35,$F91,'Сырье и материалы'!$AC$25:$AC$35,"Всего по тарифу")</f>
        <v>0</v>
      </c>
      <c r="AF91" s="1015">
        <f ca="1">SUMIFS('Сырье и материалы'!AF$25:AF$35,'Сырье и материалы'!$F$25:$F$35,$F91,'Сырье и материалы'!$AC$25:$AC$35,"Всего по тарифу")</f>
        <v>0</v>
      </c>
      <c r="AG91" s="1015">
        <f ca="1">SUMIFS('Сырье и материалы'!AG$25:AG$35,'Сырье и материалы'!$F$25:$F$35,$F91,'Сырье и материалы'!$AC$25:$AC$35,"Всего по тарифу")</f>
        <v>0</v>
      </c>
      <c r="AH91" s="1015">
        <f t="shared" ca="1" si="9"/>
        <v>0</v>
      </c>
      <c r="AI91" s="1015">
        <f ca="1">SUMIFS('Сырье и материалы'!AH$25:AH$35,'Сырье и материалы'!$F$25:$F$35,$F91,'Сырье и материалы'!$AC$25:$AC$35,"Всего по тарифу")</f>
        <v>0</v>
      </c>
      <c r="AJ91" s="1015">
        <f ca="1">SUMIFS('Сырье и материалы'!AI$25:AI$35,'Сырье и материалы'!$F$25:$F$35,$F91,'Сырье и материалы'!$AC$25:$AC$35,"Всего по тарифу")</f>
        <v>0</v>
      </c>
      <c r="AK91" s="1015">
        <f ca="1">SUMIFS('Сырье и материалы'!AJ$25:AJ$35,'Сырье и материалы'!$F$25:$F$35,$F91,'Сырье и материалы'!$AC$25:$AC$35,"Всего по тарифу")</f>
        <v>0</v>
      </c>
      <c r="AL91" s="1015">
        <f ca="1">SUMIFS('Сырье и материалы'!AK$25:AK$35,'Сырье и материалы'!$F$25:$F$35,$F91,'Сырье и материалы'!$AC$25:$AC$35,"Всего по тарифу")</f>
        <v>0</v>
      </c>
      <c r="AM91" s="1015">
        <f ca="1">SUMIFS('Сырье и материалы'!AL$25:AL$35,'Сырье и материалы'!$F$25:$F$35,$F91,'Сырье и материалы'!$AC$25:$AC$35,"Всего по тарифу")</f>
        <v>0</v>
      </c>
      <c r="AN91" s="1015">
        <f ca="1">SUMIFS('Сырье и материалы'!AM$25:AM$35,'Сырье и материалы'!$F$25:$F$35,$F91,'Сырье и материалы'!$AC$25:$AC$35,"Всего по тарифу")</f>
        <v>0</v>
      </c>
      <c r="AO91" s="1015">
        <f ca="1">SUMIFS('Сырье и материалы'!AN$25:AN$35,'Сырье и материалы'!$F$25:$F$35,$F91,'Сырье и материалы'!$AC$25:$AC$35,"Всего по тарифу")</f>
        <v>0</v>
      </c>
      <c r="AP91" s="1015">
        <f ca="1">SUMIFS('Сырье и материалы'!AO$25:AO$35,'Сырье и материалы'!$F$25:$F$35,$F91,'Сырье и материалы'!$AC$25:$AC$35,"Всего по тарифу")</f>
        <v>0</v>
      </c>
      <c r="AQ91" s="1015">
        <f ca="1">SUMIFS('Сырье и материалы'!AP$25:AP$35,'Сырье и материалы'!$F$25:$F$35,$F91,'Сырье и материалы'!$AC$25:$AC$35,"Всего по тарифу")</f>
        <v>0</v>
      </c>
      <c r="AR91" s="1015">
        <f ca="1">SUMIFS('Сырье и материалы'!AQ$25:AQ$35,'Сырье и материалы'!$F$25:$F$35,$F91,'Сырье и материалы'!$AC$25:$AC$35,"Всего по тарифу")</f>
        <v>0</v>
      </c>
      <c r="AS91" s="1015">
        <f ca="1">SUMIFS('Сырье и материалы'!AR$25:AR$35,'Сырье и материалы'!$F$25:$F$35,$F91,'Сырье и материалы'!$AC$25:$AC$35,"Всего по тарифу")</f>
        <v>0</v>
      </c>
      <c r="AT91" s="1015">
        <f ca="1">SUMIFS('Сырье и материалы'!AS$25:AS$35,'Сырье и материалы'!$F$25:$F$35,$F91,'Сырье и материалы'!$AC$25:$AC$35,"Всего по тарифу")</f>
        <v>0</v>
      </c>
      <c r="AU91" s="1015">
        <f ca="1">SUMIFS('Сырье и материалы'!AT$25:AT$35,'Сырье и материалы'!$F$25:$F$35,$F91,'Сырье и материалы'!$AC$25:$AC$35,"Всего по тарифу")</f>
        <v>0</v>
      </c>
      <c r="AV91" s="1015">
        <f ca="1">SUMIFS('Сырье и материалы'!AU$25:AU$35,'Сырье и материалы'!$F$25:$F$35,$F91,'Сырье и материалы'!$AC$25:$AC$35,"Всего по тарифу")</f>
        <v>0</v>
      </c>
      <c r="AW91" s="1015">
        <f ca="1">SUMIFS('Сырье и материалы'!AV$25:AV$35,'Сырье и материалы'!$F$25:$F$35,$F91,'Сырье и материалы'!$AC$25:$AC$35,"Всего по тарифу")</f>
        <v>0</v>
      </c>
      <c r="AX91" s="1015">
        <f ca="1">SUMIFS('Сырье и материалы'!AW$25:AW$35,'Сырье и материалы'!$F$25:$F$35,$F91,'Сырье и материалы'!$AC$25:$AC$35,"Всего по тарифу")</f>
        <v>0</v>
      </c>
      <c r="AY91" s="1015">
        <f ca="1">SUMIFS('Сырье и материалы'!AX$25:AX$35,'Сырье и материалы'!$F$25:$F$35,$F91,'Сырье и материалы'!$AC$25:$AC$35,"Всего по тарифу")</f>
        <v>0</v>
      </c>
      <c r="AZ91" s="1015">
        <f ca="1">SUMIFS('Сырье и материалы'!AY$25:AY$35,'Сырье и материалы'!$F$25:$F$35,$F91,'Сырье и материалы'!$AC$25:$AC$35,"Всего по тарифу")</f>
        <v>0</v>
      </c>
      <c r="BA91" s="1015">
        <f ca="1">SUMIFS('Сырье и материалы'!AZ$25:AZ$35,'Сырье и материалы'!$F$25:$F$35,$F91,'Сырье и материалы'!$AC$25:$AC$35,"Всего по тарифу")</f>
        <v>0</v>
      </c>
      <c r="BB91" s="1015">
        <f ca="1">SUMIFS('Сырье и материалы'!BA$25:BA$35,'Сырье и материалы'!$F$25:$F$35,$F91,'Сырье и материалы'!$AC$25:$AC$35,"Всего по тарифу")</f>
        <v>0</v>
      </c>
      <c r="BC91" s="1015">
        <f ca="1">SUMIFS('Сырье и материалы'!BB$25:BB$35,'Сырье и материалы'!$F$25:$F$35,$F91,'Сырье и материалы'!$AC$25:$AC$35,"Всего по тарифу")</f>
        <v>0</v>
      </c>
      <c r="BD91" s="1015">
        <f t="shared" ca="1" si="11"/>
        <v>0</v>
      </c>
      <c r="BE91" s="1015">
        <f t="shared" ca="1" si="12"/>
        <v>0</v>
      </c>
      <c r="BF91" s="1015">
        <f t="shared" ca="1" si="13"/>
        <v>0</v>
      </c>
      <c r="BG91" s="1015">
        <f t="shared" ca="1" si="14"/>
        <v>0</v>
      </c>
      <c r="BH91" s="1015">
        <f t="shared" ca="1" si="15"/>
        <v>0</v>
      </c>
      <c r="BI91" s="1015">
        <f t="shared" ca="1" si="16"/>
        <v>0</v>
      </c>
      <c r="BJ91" s="1015">
        <f t="shared" ca="1" si="17"/>
        <v>0</v>
      </c>
      <c r="BK91" s="1015">
        <f t="shared" ca="1" si="18"/>
        <v>0</v>
      </c>
      <c r="BL91" s="1015">
        <f t="shared" ca="1" si="19"/>
        <v>0</v>
      </c>
      <c r="BM91" s="1015">
        <f t="shared" ca="1" si="20"/>
        <v>0</v>
      </c>
      <c r="BN91" s="1138"/>
      <c r="BO91" s="1142" t="str">
        <f ca="1">IF(IFERROR(INDEX('Сырье и материалы'!$K$26:$L$35,MATCH($F91&amp;"komm",'Сырье и материалы'!$K$26:$K$35,0),2),"")=0,"",IFERROR(INDEX('Сырье и материалы'!$K$26:$L$35,MATCH($F91&amp;"komm",'Сырье и материалы'!$K$26:$K$35,0),2),""))</f>
        <v/>
      </c>
      <c r="BP91" s="1138"/>
      <c r="BS91" s="966" t="s">
        <v>1550</v>
      </c>
    </row>
    <row r="92" spans="2:75" s="617" customFormat="1" ht="20.45" hidden="1" customHeight="1">
      <c r="B92" s="352"/>
      <c r="C92" s="28"/>
      <c r="D92" s="28"/>
      <c r="E92" s="740">
        <v>21</v>
      </c>
      <c r="F92" s="3" cm="1">
        <f t="array" aca="1" ref="F92" ca="1">OFFSET(E92,-1,1)</f>
        <v>0</v>
      </c>
      <c r="G92" s="28"/>
      <c r="H92" s="26"/>
      <c r="I92" s="26" t="s">
        <v>841</v>
      </c>
      <c r="J92" s="28"/>
      <c r="K92" s="26" t="s">
        <v>841</v>
      </c>
      <c r="L92" s="887" t="s">
        <v>481</v>
      </c>
      <c r="M92" s="28"/>
      <c r="N92" s="28"/>
      <c r="O92" s="28"/>
      <c r="P92" s="28"/>
      <c r="Q92" s="28"/>
      <c r="R92" s="28"/>
      <c r="S92" s="28"/>
      <c r="T92" s="381" t="b" cm="1">
        <f t="array" aca="1" ref="T92" ca="1">T91</f>
        <v>0</v>
      </c>
      <c r="U92" s="28"/>
      <c r="V92" s="28"/>
      <c r="W92" s="28"/>
      <c r="X92" s="1787"/>
      <c r="Z92" s="1735"/>
      <c r="AB92" s="129" t="s">
        <v>510</v>
      </c>
      <c r="AC92" s="273" t="s">
        <v>1896</v>
      </c>
      <c r="AD92" s="129" t="s">
        <v>766</v>
      </c>
      <c r="AE92" s="692">
        <f ca="1">SUM(AE93:AE102)</f>
        <v>0</v>
      </c>
      <c r="AF92" s="692">
        <f ca="1">SUM(AF93:AF102)</f>
        <v>0</v>
      </c>
      <c r="AG92" s="692">
        <f ca="1">SUM(AG93:AG102)</f>
        <v>0</v>
      </c>
      <c r="AH92" s="692">
        <f t="shared" ca="1" si="9"/>
        <v>0</v>
      </c>
      <c r="AI92" s="692">
        <f t="shared" ref="AI92:BC92" ca="1" si="22">SUM(AI93:AI102)</f>
        <v>0</v>
      </c>
      <c r="AJ92" s="131">
        <f t="shared" ca="1" si="22"/>
        <v>0</v>
      </c>
      <c r="AK92" s="692">
        <f t="shared" ca="1" si="22"/>
        <v>0</v>
      </c>
      <c r="AL92" s="692">
        <f t="shared" ca="1" si="22"/>
        <v>0</v>
      </c>
      <c r="AM92" s="692">
        <f t="shared" ca="1" si="22"/>
        <v>0</v>
      </c>
      <c r="AN92" s="692">
        <f t="shared" ca="1" si="22"/>
        <v>0</v>
      </c>
      <c r="AO92" s="692">
        <f t="shared" ca="1" si="22"/>
        <v>0</v>
      </c>
      <c r="AP92" s="692">
        <f t="shared" ca="1" si="22"/>
        <v>0</v>
      </c>
      <c r="AQ92" s="692">
        <f t="shared" ca="1" si="22"/>
        <v>0</v>
      </c>
      <c r="AR92" s="692">
        <f t="shared" ca="1" si="22"/>
        <v>0</v>
      </c>
      <c r="AS92" s="692">
        <f t="shared" ca="1" si="22"/>
        <v>0</v>
      </c>
      <c r="AT92" s="131">
        <f t="shared" ca="1" si="22"/>
        <v>0</v>
      </c>
      <c r="AU92" s="692">
        <f t="shared" ca="1" si="22"/>
        <v>0</v>
      </c>
      <c r="AV92" s="692">
        <f t="shared" ca="1" si="22"/>
        <v>0</v>
      </c>
      <c r="AW92" s="692">
        <f t="shared" ca="1" si="22"/>
        <v>0</v>
      </c>
      <c r="AX92" s="692">
        <f t="shared" ca="1" si="22"/>
        <v>0</v>
      </c>
      <c r="AY92" s="692">
        <f t="shared" ca="1" si="22"/>
        <v>0</v>
      </c>
      <c r="AZ92" s="692">
        <f t="shared" ca="1" si="22"/>
        <v>0</v>
      </c>
      <c r="BA92" s="692">
        <f t="shared" ca="1" si="22"/>
        <v>0</v>
      </c>
      <c r="BB92" s="692">
        <f t="shared" ca="1" si="22"/>
        <v>0</v>
      </c>
      <c r="BC92" s="692">
        <f t="shared" ca="1" si="22"/>
        <v>0</v>
      </c>
      <c r="BD92" s="692">
        <f t="shared" ca="1" si="11"/>
        <v>0</v>
      </c>
      <c r="BE92" s="692">
        <f t="shared" ca="1" si="12"/>
        <v>0</v>
      </c>
      <c r="BF92" s="692">
        <f t="shared" ca="1" si="13"/>
        <v>0</v>
      </c>
      <c r="BG92" s="692">
        <f t="shared" ca="1" si="14"/>
        <v>0</v>
      </c>
      <c r="BH92" s="692">
        <f t="shared" ca="1" si="15"/>
        <v>0</v>
      </c>
      <c r="BI92" s="692">
        <f t="shared" ca="1" si="16"/>
        <v>0</v>
      </c>
      <c r="BJ92" s="692">
        <f t="shared" ca="1" si="17"/>
        <v>0</v>
      </c>
      <c r="BK92" s="692">
        <f t="shared" ca="1" si="18"/>
        <v>0</v>
      </c>
      <c r="BL92" s="692">
        <f t="shared" ca="1" si="19"/>
        <v>0</v>
      </c>
      <c r="BM92" s="692">
        <f t="shared" ca="1" si="20"/>
        <v>0</v>
      </c>
      <c r="BN92" s="1140"/>
      <c r="BO92" s="1142" t="str">
        <f ca="1">IF(IFERROR(INDEX(Налоги!$K$26:$L$55,MATCH($F92&amp;"komm",Налоги!$K$26:$K$55,0),2),"")=0,"",IFERROR(INDEX(Налоги!$K$26:$L$55,MATCH($F92&amp;"komm",Налоги!$K$26:$K$55,0),2),""))</f>
        <v/>
      </c>
      <c r="BP92" s="1140"/>
      <c r="BS92" s="972" t="s">
        <v>1124</v>
      </c>
      <c r="BT92" s="972"/>
      <c r="BU92" s="972"/>
      <c r="BV92" s="624"/>
      <c r="BW92" s="624"/>
    </row>
    <row r="93" spans="2:75" ht="14.65" hidden="1" customHeight="1">
      <c r="C93" s="26"/>
      <c r="D93" s="26"/>
      <c r="E93" s="538">
        <v>15</v>
      </c>
      <c r="F93" s="3" cm="1">
        <f t="array" aca="1" ref="F93" ca="1">OFFSET(E93,-1,1)</f>
        <v>0</v>
      </c>
      <c r="G93" s="827">
        <v>7</v>
      </c>
      <c r="H93" s="26"/>
      <c r="I93" s="26" t="s">
        <v>1897</v>
      </c>
      <c r="J93" s="26"/>
      <c r="K93" s="26" t="s">
        <v>1897</v>
      </c>
      <c r="L93" s="882"/>
      <c r="M93" s="26"/>
      <c r="N93" s="26"/>
      <c r="O93" s="26"/>
      <c r="P93" s="26"/>
      <c r="Q93" s="26"/>
      <c r="R93" s="26"/>
      <c r="S93" s="26"/>
      <c r="T93" s="381" t="b" cm="1">
        <f t="array" aca="1" ref="T93" ca="1">T92</f>
        <v>0</v>
      </c>
      <c r="U93" s="26"/>
      <c r="V93" s="26"/>
      <c r="W93" s="26"/>
      <c r="X93" s="1787"/>
      <c r="Z93" s="1735"/>
      <c r="AB93" s="216" t="s">
        <v>464</v>
      </c>
      <c r="AC93" s="679" t="s">
        <v>1138</v>
      </c>
      <c r="AD93" s="216" t="s">
        <v>766</v>
      </c>
      <c r="AE93" s="1015">
        <f ca="1">SUMIFS(Налоги!AE$25:AE$55,Налоги!$F$25:$F$55,$F93,Налоги!$AB$25:$AB$55,$G93)</f>
        <v>0</v>
      </c>
      <c r="AF93" s="1015">
        <f ca="1">SUMIFS(Налоги!AF$25:AF$55,Налоги!$F$25:$F$55,$F93,Налоги!$AB$25:$AB$55,$G93)</f>
        <v>0</v>
      </c>
      <c r="AG93" s="1015">
        <f ca="1">SUMIFS(Налоги!AG$25:AG$55,Налоги!$F$25:$F$55,$F93,Налоги!$AB$25:$AB$55,$G93)</f>
        <v>0</v>
      </c>
      <c r="AH93" s="1015">
        <f t="shared" ca="1" si="9"/>
        <v>0</v>
      </c>
      <c r="AI93" s="1015">
        <f ca="1">SUMIFS(Налоги!AH$25:AH$55,Налоги!$F$25:$F$55,$F93,Налоги!$AB$25:$AB$55,$G93)</f>
        <v>0</v>
      </c>
      <c r="AJ93" s="1015">
        <f ca="1">SUMIFS(Налоги!AI$25:AI$55,Налоги!$F$25:$F$55,$F93,Налоги!$AB$25:$AB$55,$G93)</f>
        <v>0</v>
      </c>
      <c r="AK93" s="1015">
        <f ca="1">SUMIFS(Налоги!AJ$25:AJ$55,Налоги!$F$25:$F$55,$F93,Налоги!$AB$25:$AB$55,$G93)</f>
        <v>0</v>
      </c>
      <c r="AL93" s="1015">
        <f ca="1">SUMIFS(Налоги!AK$25:AK$55,Налоги!$F$25:$F$55,$F93,Налоги!$AB$25:$AB$55,$G93)</f>
        <v>0</v>
      </c>
      <c r="AM93" s="1015">
        <f ca="1">SUMIFS(Налоги!AL$25:AL$55,Налоги!$F$25:$F$55,$F93,Налоги!$AB$25:$AB$55,$G93)</f>
        <v>0</v>
      </c>
      <c r="AN93" s="1015">
        <f ca="1">SUMIFS(Налоги!AM$25:AM$55,Налоги!$F$25:$F$55,$F93,Налоги!$AB$25:$AB$55,$G93)</f>
        <v>0</v>
      </c>
      <c r="AO93" s="1015">
        <f ca="1">SUMIFS(Налоги!AN$25:AN$55,Налоги!$F$25:$F$55,$F93,Налоги!$AB$25:$AB$55,$G93)</f>
        <v>0</v>
      </c>
      <c r="AP93" s="1015">
        <f ca="1">SUMIFS(Налоги!AO$25:AO$55,Налоги!$F$25:$F$55,$F93,Налоги!$AB$25:$AB$55,$G93)</f>
        <v>0</v>
      </c>
      <c r="AQ93" s="1015">
        <f ca="1">SUMIFS(Налоги!AP$25:AP$55,Налоги!$F$25:$F$55,$F93,Налоги!$AB$25:$AB$55,$G93)</f>
        <v>0</v>
      </c>
      <c r="AR93" s="1015">
        <f ca="1">SUMIFS(Налоги!AQ$25:AQ$55,Налоги!$F$25:$F$55,$F93,Налоги!$AB$25:$AB$55,$G93)</f>
        <v>0</v>
      </c>
      <c r="AS93" s="1015">
        <f ca="1">SUMIFS(Налоги!AR$25:AR$55,Налоги!$F$25:$F$55,$F93,Налоги!$AB$25:$AB$55,$G93)</f>
        <v>0</v>
      </c>
      <c r="AT93" s="1015">
        <f ca="1">SUMIFS(Налоги!AS$25:AS$55,Налоги!$F$25:$F$55,$F93,Налоги!$AB$25:$AB$55,$G93)</f>
        <v>0</v>
      </c>
      <c r="AU93" s="1015">
        <f ca="1">SUMIFS(Налоги!AT$25:AT$55,Налоги!$F$25:$F$55,$F93,Налоги!$AB$25:$AB$55,$G93)</f>
        <v>0</v>
      </c>
      <c r="AV93" s="1015">
        <f ca="1">SUMIFS(Налоги!AU$25:AU$55,Налоги!$F$25:$F$55,$F93,Налоги!$AB$25:$AB$55,$G93)</f>
        <v>0</v>
      </c>
      <c r="AW93" s="1015">
        <f ca="1">SUMIFS(Налоги!AV$25:AV$55,Налоги!$F$25:$F$55,$F93,Налоги!$AB$25:$AB$55,$G93)</f>
        <v>0</v>
      </c>
      <c r="AX93" s="1015">
        <f ca="1">SUMIFS(Налоги!AW$25:AW$55,Налоги!$F$25:$F$55,$F93,Налоги!$AB$25:$AB$55,$G93)</f>
        <v>0</v>
      </c>
      <c r="AY93" s="1015">
        <f ca="1">SUMIFS(Налоги!AX$25:AX$55,Налоги!$F$25:$F$55,$F93,Налоги!$AB$25:$AB$55,$G93)</f>
        <v>0</v>
      </c>
      <c r="AZ93" s="1015">
        <f ca="1">SUMIFS(Налоги!AY$25:AY$55,Налоги!$F$25:$F$55,$F93,Налоги!$AB$25:$AB$55,$G93)</f>
        <v>0</v>
      </c>
      <c r="BA93" s="1015">
        <f ca="1">SUMIFS(Налоги!AZ$25:AZ$55,Налоги!$F$25:$F$55,$F93,Налоги!$AB$25:$AB$55,$G93)</f>
        <v>0</v>
      </c>
      <c r="BB93" s="1015">
        <f ca="1">SUMIFS(Налоги!BA$25:BA$55,Налоги!$F$25:$F$55,$F93,Налоги!$AB$25:$AB$55,$G93)</f>
        <v>0</v>
      </c>
      <c r="BC93" s="1015">
        <f ca="1">SUMIFS(Налоги!BB$25:BB$55,Налоги!$F$25:$F$55,$F93,Налоги!$AB$25:$AB$55,$G93)</f>
        <v>0</v>
      </c>
      <c r="BD93" s="1015">
        <f t="shared" ca="1" si="11"/>
        <v>0</v>
      </c>
      <c r="BE93" s="1015">
        <f t="shared" ca="1" si="12"/>
        <v>0</v>
      </c>
      <c r="BF93" s="1015">
        <f t="shared" ca="1" si="13"/>
        <v>0</v>
      </c>
      <c r="BG93" s="1015">
        <f t="shared" ca="1" si="14"/>
        <v>0</v>
      </c>
      <c r="BH93" s="1015">
        <f t="shared" ca="1" si="15"/>
        <v>0</v>
      </c>
      <c r="BI93" s="1015">
        <f t="shared" ca="1" si="16"/>
        <v>0</v>
      </c>
      <c r="BJ93" s="1015">
        <f t="shared" ca="1" si="17"/>
        <v>0</v>
      </c>
      <c r="BK93" s="1015">
        <f t="shared" ca="1" si="18"/>
        <v>0</v>
      </c>
      <c r="BL93" s="1015">
        <f t="shared" ca="1" si="19"/>
        <v>0</v>
      </c>
      <c r="BM93" s="1015">
        <f t="shared" ca="1" si="20"/>
        <v>0</v>
      </c>
      <c r="BN93" s="1138"/>
      <c r="BO93" s="1142" t="str">
        <f ca="1">IF(IFERROR(INDEX(Налоги!$K$26:$L$55,MATCH($F93&amp;"7komm",Налоги!$K$26:$K$55,0),2),"")=0,"",IFERROR(INDEX(Налоги!$K$26:$L$55,MATCH($F93&amp;"7komm",Налоги!$K$26:$K$55,0),2),""))</f>
        <v/>
      </c>
      <c r="BP93" s="1138"/>
      <c r="BS93" s="966" t="s">
        <v>1898</v>
      </c>
    </row>
    <row r="94" spans="2:75" ht="14.65" hidden="1" customHeight="1">
      <c r="C94" s="26"/>
      <c r="D94" s="26"/>
      <c r="E94" s="538">
        <v>15</v>
      </c>
      <c r="F94" s="3" cm="1">
        <f t="array" aca="1" ref="F94" ca="1">OFFSET(E94,-1,1)</f>
        <v>0</v>
      </c>
      <c r="G94" s="827">
        <v>6</v>
      </c>
      <c r="H94" s="26"/>
      <c r="I94" s="26" t="s">
        <v>1899</v>
      </c>
      <c r="J94" s="26"/>
      <c r="K94" s="26" t="s">
        <v>1899</v>
      </c>
      <c r="L94" s="882"/>
      <c r="M94" s="26"/>
      <c r="N94" s="26"/>
      <c r="O94" s="26"/>
      <c r="P94" s="26"/>
      <c r="Q94" s="26"/>
      <c r="R94" s="26"/>
      <c r="S94" s="26"/>
      <c r="T94" s="381" t="b" cm="1">
        <f t="array" aca="1" ref="T94" ca="1">T93</f>
        <v>0</v>
      </c>
      <c r="U94" s="26"/>
      <c r="V94" s="26"/>
      <c r="W94" s="26"/>
      <c r="X94" s="1787"/>
      <c r="Z94" s="1735"/>
      <c r="AB94" s="216" t="s">
        <v>1342</v>
      </c>
      <c r="AC94" s="679" t="s">
        <v>1900</v>
      </c>
      <c r="AD94" s="216" t="s">
        <v>766</v>
      </c>
      <c r="AE94" s="1015">
        <f ca="1">SUMIFS(Налоги!AE$25:AE$55,Налоги!$F$25:$F$55,$F94,Налоги!$AB$25:$AB$55,$G94)</f>
        <v>0</v>
      </c>
      <c r="AF94" s="1015">
        <f ca="1">SUMIFS(Налоги!AF$25:AF$55,Налоги!$F$25:$F$55,$F94,Налоги!$AB$25:$AB$55,$G94)</f>
        <v>0</v>
      </c>
      <c r="AG94" s="1015">
        <f ca="1">SUMIFS(Налоги!AG$25:AG$55,Налоги!$F$25:$F$55,$F94,Налоги!$AB$25:$AB$55,$G94)</f>
        <v>0</v>
      </c>
      <c r="AH94" s="1015">
        <f t="shared" ca="1" si="9"/>
        <v>0</v>
      </c>
      <c r="AI94" s="1015">
        <f ca="1">SUMIFS(Налоги!AH$25:AH$55,Налоги!$F$25:$F$55,$F94,Налоги!$AB$25:$AB$55,$G94)</f>
        <v>0</v>
      </c>
      <c r="AJ94" s="1015">
        <f ca="1">SUMIFS(Налоги!AI$25:AI$55,Налоги!$F$25:$F$55,$F94,Налоги!$AB$25:$AB$55,$G94)</f>
        <v>0</v>
      </c>
      <c r="AK94" s="1015">
        <f ca="1">SUMIFS(Налоги!AJ$25:AJ$55,Налоги!$F$25:$F$55,$F94,Налоги!$AB$25:$AB$55,$G94)</f>
        <v>0</v>
      </c>
      <c r="AL94" s="1015">
        <f ca="1">SUMIFS(Налоги!AK$25:AK$55,Налоги!$F$25:$F$55,$F94,Налоги!$AB$25:$AB$55,$G94)</f>
        <v>0</v>
      </c>
      <c r="AM94" s="1015">
        <f ca="1">SUMIFS(Налоги!AL$25:AL$55,Налоги!$F$25:$F$55,$F94,Налоги!$AB$25:$AB$55,$G94)</f>
        <v>0</v>
      </c>
      <c r="AN94" s="1015">
        <f ca="1">SUMIFS(Налоги!AM$25:AM$55,Налоги!$F$25:$F$55,$F94,Налоги!$AB$25:$AB$55,$G94)</f>
        <v>0</v>
      </c>
      <c r="AO94" s="1015">
        <f ca="1">SUMIFS(Налоги!AN$25:AN$55,Налоги!$F$25:$F$55,$F94,Налоги!$AB$25:$AB$55,$G94)</f>
        <v>0</v>
      </c>
      <c r="AP94" s="1015">
        <f ca="1">SUMIFS(Налоги!AO$25:AO$55,Налоги!$F$25:$F$55,$F94,Налоги!$AB$25:$AB$55,$G94)</f>
        <v>0</v>
      </c>
      <c r="AQ94" s="1015">
        <f ca="1">SUMIFS(Налоги!AP$25:AP$55,Налоги!$F$25:$F$55,$F94,Налоги!$AB$25:$AB$55,$G94)</f>
        <v>0</v>
      </c>
      <c r="AR94" s="1015">
        <f ca="1">SUMIFS(Налоги!AQ$25:AQ$55,Налоги!$F$25:$F$55,$F94,Налоги!$AB$25:$AB$55,$G94)</f>
        <v>0</v>
      </c>
      <c r="AS94" s="1015">
        <f ca="1">SUMIFS(Налоги!AR$25:AR$55,Налоги!$F$25:$F$55,$F94,Налоги!$AB$25:$AB$55,$G94)</f>
        <v>0</v>
      </c>
      <c r="AT94" s="1015">
        <f ca="1">SUMIFS(Налоги!AS$25:AS$55,Налоги!$F$25:$F$55,$F94,Налоги!$AB$25:$AB$55,$G94)</f>
        <v>0</v>
      </c>
      <c r="AU94" s="1015">
        <f ca="1">SUMIFS(Налоги!AT$25:AT$55,Налоги!$F$25:$F$55,$F94,Налоги!$AB$25:$AB$55,$G94)</f>
        <v>0</v>
      </c>
      <c r="AV94" s="1015">
        <f ca="1">SUMIFS(Налоги!AU$25:AU$55,Налоги!$F$25:$F$55,$F94,Налоги!$AB$25:$AB$55,$G94)</f>
        <v>0</v>
      </c>
      <c r="AW94" s="1015">
        <f ca="1">SUMIFS(Налоги!AV$25:AV$55,Налоги!$F$25:$F$55,$F94,Налоги!$AB$25:$AB$55,$G94)</f>
        <v>0</v>
      </c>
      <c r="AX94" s="1015">
        <f ca="1">SUMIFS(Налоги!AW$25:AW$55,Налоги!$F$25:$F$55,$F94,Налоги!$AB$25:$AB$55,$G94)</f>
        <v>0</v>
      </c>
      <c r="AY94" s="1015">
        <f ca="1">SUMIFS(Налоги!AX$25:AX$55,Налоги!$F$25:$F$55,$F94,Налоги!$AB$25:$AB$55,$G94)</f>
        <v>0</v>
      </c>
      <c r="AZ94" s="1015">
        <f ca="1">SUMIFS(Налоги!AY$25:AY$55,Налоги!$F$25:$F$55,$F94,Налоги!$AB$25:$AB$55,$G94)</f>
        <v>0</v>
      </c>
      <c r="BA94" s="1015">
        <f ca="1">SUMIFS(Налоги!AZ$25:AZ$55,Налоги!$F$25:$F$55,$F94,Налоги!$AB$25:$AB$55,$G94)</f>
        <v>0</v>
      </c>
      <c r="BB94" s="1015">
        <f ca="1">SUMIFS(Налоги!BA$25:BA$55,Налоги!$F$25:$F$55,$F94,Налоги!$AB$25:$AB$55,$G94)</f>
        <v>0</v>
      </c>
      <c r="BC94" s="1015">
        <f ca="1">SUMIFS(Налоги!BB$25:BB$55,Налоги!$F$25:$F$55,$F94,Налоги!$AB$25:$AB$55,$G94)</f>
        <v>0</v>
      </c>
      <c r="BD94" s="1015">
        <f t="shared" ca="1" si="11"/>
        <v>0</v>
      </c>
      <c r="BE94" s="1015">
        <f t="shared" ca="1" si="12"/>
        <v>0</v>
      </c>
      <c r="BF94" s="1015">
        <f t="shared" ca="1" si="13"/>
        <v>0</v>
      </c>
      <c r="BG94" s="1015">
        <f t="shared" ca="1" si="14"/>
        <v>0</v>
      </c>
      <c r="BH94" s="1015">
        <f t="shared" ca="1" si="15"/>
        <v>0</v>
      </c>
      <c r="BI94" s="1015">
        <f t="shared" ca="1" si="16"/>
        <v>0</v>
      </c>
      <c r="BJ94" s="1015">
        <f t="shared" ca="1" si="17"/>
        <v>0</v>
      </c>
      <c r="BK94" s="1015">
        <f t="shared" ca="1" si="18"/>
        <v>0</v>
      </c>
      <c r="BL94" s="1015">
        <f t="shared" ca="1" si="19"/>
        <v>0</v>
      </c>
      <c r="BM94" s="1015">
        <f t="shared" ca="1" si="20"/>
        <v>0</v>
      </c>
      <c r="BN94" s="1138"/>
      <c r="BO94" s="1142" t="str">
        <f ca="1">IF(IFERROR(INDEX(Налоги!$K$26:$L$55,MATCH($F94&amp;"6komm",Налоги!$K$26:$K$55,0),2),"")=0,"",IFERROR(INDEX(Налоги!$K$26:$L$55,MATCH($F94&amp;"6komm",Налоги!$K$26:$K$55,0),2),""))</f>
        <v/>
      </c>
      <c r="BP94" s="1138"/>
      <c r="BS94" s="966" t="s">
        <v>1901</v>
      </c>
    </row>
    <row r="95" spans="2:75" ht="14.65" hidden="1" customHeight="1">
      <c r="C95" s="26"/>
      <c r="D95" s="26"/>
      <c r="E95" s="538">
        <v>15</v>
      </c>
      <c r="F95" s="3" cm="1">
        <f t="array" aca="1" ref="F95" ca="1">OFFSET(E95,-1,1)</f>
        <v>0</v>
      </c>
      <c r="G95" s="827">
        <v>2</v>
      </c>
      <c r="H95" s="26"/>
      <c r="I95" s="26" t="s">
        <v>1902</v>
      </c>
      <c r="J95" s="26"/>
      <c r="K95" s="26" t="s">
        <v>1902</v>
      </c>
      <c r="L95" s="882"/>
      <c r="M95" s="26"/>
      <c r="N95" s="26"/>
      <c r="O95" s="26"/>
      <c r="P95" s="26"/>
      <c r="Q95" s="26"/>
      <c r="R95" s="26"/>
      <c r="S95" s="26"/>
      <c r="T95" s="381" t="b" cm="1">
        <f t="array" aca="1" ref="T95" ca="1">T94</f>
        <v>0</v>
      </c>
      <c r="U95" s="26"/>
      <c r="V95" s="26"/>
      <c r="W95" s="26"/>
      <c r="X95" s="1787"/>
      <c r="Z95" s="1735"/>
      <c r="AB95" s="216" t="s">
        <v>1347</v>
      </c>
      <c r="AC95" s="679" t="s">
        <v>1903</v>
      </c>
      <c r="AD95" s="216" t="s">
        <v>766</v>
      </c>
      <c r="AE95" s="1015">
        <f ca="1">SUMIFS(Налоги!AE$25:AE$55,Налоги!$F$25:$F$55,$F95,Налоги!$AB$25:$AB$55,$G95)</f>
        <v>0</v>
      </c>
      <c r="AF95" s="1015">
        <f ca="1">SUMIFS(Налоги!AF$25:AF$55,Налоги!$F$25:$F$55,$F95,Налоги!$AB$25:$AB$55,$G95)</f>
        <v>0</v>
      </c>
      <c r="AG95" s="1015">
        <f ca="1">SUMIFS(Налоги!AG$25:AG$55,Налоги!$F$25:$F$55,$F95,Налоги!$AB$25:$AB$55,$G95)</f>
        <v>0</v>
      </c>
      <c r="AH95" s="1015">
        <f t="shared" ca="1" si="9"/>
        <v>0</v>
      </c>
      <c r="AI95" s="1015">
        <f ca="1">SUMIFS(Налоги!AH$25:AH$55,Налоги!$F$25:$F$55,$F95,Налоги!$AB$25:$AB$55,$G95)</f>
        <v>0</v>
      </c>
      <c r="AJ95" s="1015">
        <f ca="1">SUMIFS(Налоги!AI$25:AI$55,Налоги!$F$25:$F$55,$F95,Налоги!$AB$25:$AB$55,$G95)</f>
        <v>0</v>
      </c>
      <c r="AK95" s="1015">
        <f ca="1">SUMIFS(Налоги!AJ$25:AJ$55,Налоги!$F$25:$F$55,$F95,Налоги!$AB$25:$AB$55,$G95)</f>
        <v>0</v>
      </c>
      <c r="AL95" s="1015">
        <f ca="1">SUMIFS(Налоги!AK$25:AK$55,Налоги!$F$25:$F$55,$F95,Налоги!$AB$25:$AB$55,$G95)</f>
        <v>0</v>
      </c>
      <c r="AM95" s="1015">
        <f ca="1">SUMIFS(Налоги!AL$25:AL$55,Налоги!$F$25:$F$55,$F95,Налоги!$AB$25:$AB$55,$G95)</f>
        <v>0</v>
      </c>
      <c r="AN95" s="1015">
        <f ca="1">SUMIFS(Налоги!AM$25:AM$55,Налоги!$F$25:$F$55,$F95,Налоги!$AB$25:$AB$55,$G95)</f>
        <v>0</v>
      </c>
      <c r="AO95" s="1015">
        <f ca="1">SUMIFS(Налоги!AN$25:AN$55,Налоги!$F$25:$F$55,$F95,Налоги!$AB$25:$AB$55,$G95)</f>
        <v>0</v>
      </c>
      <c r="AP95" s="1015">
        <f ca="1">SUMIFS(Налоги!AO$25:AO$55,Налоги!$F$25:$F$55,$F95,Налоги!$AB$25:$AB$55,$G95)</f>
        <v>0</v>
      </c>
      <c r="AQ95" s="1015">
        <f ca="1">SUMIFS(Налоги!AP$25:AP$55,Налоги!$F$25:$F$55,$F95,Налоги!$AB$25:$AB$55,$G95)</f>
        <v>0</v>
      </c>
      <c r="AR95" s="1015">
        <f ca="1">SUMIFS(Налоги!AQ$25:AQ$55,Налоги!$F$25:$F$55,$F95,Налоги!$AB$25:$AB$55,$G95)</f>
        <v>0</v>
      </c>
      <c r="AS95" s="1015">
        <f ca="1">SUMIFS(Налоги!AR$25:AR$55,Налоги!$F$25:$F$55,$F95,Налоги!$AB$25:$AB$55,$G95)</f>
        <v>0</v>
      </c>
      <c r="AT95" s="1015">
        <f ca="1">SUMIFS(Налоги!AS$25:AS$55,Налоги!$F$25:$F$55,$F95,Налоги!$AB$25:$AB$55,$G95)</f>
        <v>0</v>
      </c>
      <c r="AU95" s="1015">
        <f ca="1">SUMIFS(Налоги!AT$25:AT$55,Налоги!$F$25:$F$55,$F95,Налоги!$AB$25:$AB$55,$G95)</f>
        <v>0</v>
      </c>
      <c r="AV95" s="1015">
        <f ca="1">SUMIFS(Налоги!AU$25:AU$55,Налоги!$F$25:$F$55,$F95,Налоги!$AB$25:$AB$55,$G95)</f>
        <v>0</v>
      </c>
      <c r="AW95" s="1015">
        <f ca="1">SUMIFS(Налоги!AV$25:AV$55,Налоги!$F$25:$F$55,$F95,Налоги!$AB$25:$AB$55,$G95)</f>
        <v>0</v>
      </c>
      <c r="AX95" s="1015">
        <f ca="1">SUMIFS(Налоги!AW$25:AW$55,Налоги!$F$25:$F$55,$F95,Налоги!$AB$25:$AB$55,$G95)</f>
        <v>0</v>
      </c>
      <c r="AY95" s="1015">
        <f ca="1">SUMIFS(Налоги!AX$25:AX$55,Налоги!$F$25:$F$55,$F95,Налоги!$AB$25:$AB$55,$G95)</f>
        <v>0</v>
      </c>
      <c r="AZ95" s="1015">
        <f ca="1">SUMIFS(Налоги!AY$25:AY$55,Налоги!$F$25:$F$55,$F95,Налоги!$AB$25:$AB$55,$G95)</f>
        <v>0</v>
      </c>
      <c r="BA95" s="1015">
        <f ca="1">SUMIFS(Налоги!AZ$25:AZ$55,Налоги!$F$25:$F$55,$F95,Налоги!$AB$25:$AB$55,$G95)</f>
        <v>0</v>
      </c>
      <c r="BB95" s="1015">
        <f ca="1">SUMIFS(Налоги!BA$25:BA$55,Налоги!$F$25:$F$55,$F95,Налоги!$AB$25:$AB$55,$G95)</f>
        <v>0</v>
      </c>
      <c r="BC95" s="1015">
        <f ca="1">SUMIFS(Налоги!BB$25:BB$55,Налоги!$F$25:$F$55,$F95,Налоги!$AB$25:$AB$55,$G95)</f>
        <v>0</v>
      </c>
      <c r="BD95" s="1015">
        <f t="shared" ca="1" si="11"/>
        <v>0</v>
      </c>
      <c r="BE95" s="1015">
        <f t="shared" ca="1" si="12"/>
        <v>0</v>
      </c>
      <c r="BF95" s="1015">
        <f t="shared" ca="1" si="13"/>
        <v>0</v>
      </c>
      <c r="BG95" s="1015">
        <f t="shared" ca="1" si="14"/>
        <v>0</v>
      </c>
      <c r="BH95" s="1015">
        <f t="shared" ca="1" si="15"/>
        <v>0</v>
      </c>
      <c r="BI95" s="1015">
        <f t="shared" ca="1" si="16"/>
        <v>0</v>
      </c>
      <c r="BJ95" s="1015">
        <f t="shared" ca="1" si="17"/>
        <v>0</v>
      </c>
      <c r="BK95" s="1015">
        <f t="shared" ca="1" si="18"/>
        <v>0</v>
      </c>
      <c r="BL95" s="1015">
        <f t="shared" ca="1" si="19"/>
        <v>0</v>
      </c>
      <c r="BM95" s="1015">
        <f t="shared" ca="1" si="20"/>
        <v>0</v>
      </c>
      <c r="BN95" s="1138"/>
      <c r="BO95" s="1142" t="str">
        <f ca="1">IF(IFERROR(INDEX(Налоги!$K$26:$L$55,MATCH($F95&amp;"2komm",Налоги!$K$26:$K$55,0),2),"")=0,"",IFERROR(INDEX(Налоги!$K$26:$L$55,MATCH($F95&amp;"2komm",Налоги!$K$26:$K$55,0),2),""))</f>
        <v/>
      </c>
      <c r="BP95" s="1138"/>
      <c r="BS95" s="966" t="s">
        <v>1904</v>
      </c>
    </row>
    <row r="96" spans="2:75" ht="14.65" hidden="1" customHeight="1">
      <c r="C96" s="26"/>
      <c r="D96" s="26"/>
      <c r="E96" s="538">
        <v>15</v>
      </c>
      <c r="F96" s="3" cm="1">
        <f t="array" aca="1" ref="F96" ca="1">OFFSET(E96,-1,1)</f>
        <v>0</v>
      </c>
      <c r="G96" s="827">
        <v>4</v>
      </c>
      <c r="H96" s="26"/>
      <c r="I96" s="26" t="s">
        <v>1905</v>
      </c>
      <c r="J96" s="26"/>
      <c r="K96" s="26" t="s">
        <v>1905</v>
      </c>
      <c r="L96" s="882"/>
      <c r="M96" s="26"/>
      <c r="N96" s="26"/>
      <c r="O96" s="26"/>
      <c r="P96" s="26"/>
      <c r="Q96" s="26"/>
      <c r="R96" s="26"/>
      <c r="S96" s="26"/>
      <c r="T96" s="381" t="b" cm="1">
        <f t="array" aca="1" ref="T96" ca="1">T95</f>
        <v>0</v>
      </c>
      <c r="U96" s="26"/>
      <c r="V96" s="26"/>
      <c r="W96" s="26"/>
      <c r="X96" s="1787"/>
      <c r="Z96" s="1735"/>
      <c r="AB96" s="216" t="s">
        <v>1906</v>
      </c>
      <c r="AC96" s="679" t="s">
        <v>1907</v>
      </c>
      <c r="AD96" s="216" t="s">
        <v>766</v>
      </c>
      <c r="AE96" s="1015">
        <f ca="1">SUMIFS(Налоги!AE$25:AE$55,Налоги!$F$25:$F$55,$F96,Налоги!$AB$25:$AB$55,$G96)</f>
        <v>0</v>
      </c>
      <c r="AF96" s="1015">
        <f ca="1">SUMIFS(Налоги!AF$25:AF$55,Налоги!$F$25:$F$55,$F96,Налоги!$AB$25:$AB$55,$G96)</f>
        <v>0</v>
      </c>
      <c r="AG96" s="1015">
        <f ca="1">SUMIFS(Налоги!AG$25:AG$55,Налоги!$F$25:$F$55,$F96,Налоги!$AB$25:$AB$55,$G96)</f>
        <v>0</v>
      </c>
      <c r="AH96" s="1015">
        <f t="shared" ca="1" si="9"/>
        <v>0</v>
      </c>
      <c r="AI96" s="1015">
        <f ca="1">SUMIFS(Налоги!AH$25:AH$55,Налоги!$F$25:$F$55,$F96,Налоги!$AB$25:$AB$55,$G96)</f>
        <v>0</v>
      </c>
      <c r="AJ96" s="1015">
        <f ca="1">SUMIFS(Налоги!AI$25:AI$55,Налоги!$F$25:$F$55,$F96,Налоги!$AB$25:$AB$55,$G96)</f>
        <v>0</v>
      </c>
      <c r="AK96" s="1015">
        <f ca="1">SUMIFS(Налоги!AJ$25:AJ$55,Налоги!$F$25:$F$55,$F96,Налоги!$AB$25:$AB$55,$G96)</f>
        <v>0</v>
      </c>
      <c r="AL96" s="1015">
        <f ca="1">SUMIFS(Налоги!AK$25:AK$55,Налоги!$F$25:$F$55,$F96,Налоги!$AB$25:$AB$55,$G96)</f>
        <v>0</v>
      </c>
      <c r="AM96" s="1015">
        <f ca="1">SUMIFS(Налоги!AL$25:AL$55,Налоги!$F$25:$F$55,$F96,Налоги!$AB$25:$AB$55,$G96)</f>
        <v>0</v>
      </c>
      <c r="AN96" s="1015">
        <f ca="1">SUMIFS(Налоги!AM$25:AM$55,Налоги!$F$25:$F$55,$F96,Налоги!$AB$25:$AB$55,$G96)</f>
        <v>0</v>
      </c>
      <c r="AO96" s="1015">
        <f ca="1">SUMIFS(Налоги!AN$25:AN$55,Налоги!$F$25:$F$55,$F96,Налоги!$AB$25:$AB$55,$G96)</f>
        <v>0</v>
      </c>
      <c r="AP96" s="1015">
        <f ca="1">SUMIFS(Налоги!AO$25:AO$55,Налоги!$F$25:$F$55,$F96,Налоги!$AB$25:$AB$55,$G96)</f>
        <v>0</v>
      </c>
      <c r="AQ96" s="1015">
        <f ca="1">SUMIFS(Налоги!AP$25:AP$55,Налоги!$F$25:$F$55,$F96,Налоги!$AB$25:$AB$55,$G96)</f>
        <v>0</v>
      </c>
      <c r="AR96" s="1015">
        <f ca="1">SUMIFS(Налоги!AQ$25:AQ$55,Налоги!$F$25:$F$55,$F96,Налоги!$AB$25:$AB$55,$G96)</f>
        <v>0</v>
      </c>
      <c r="AS96" s="1015">
        <f ca="1">SUMIFS(Налоги!AR$25:AR$55,Налоги!$F$25:$F$55,$F96,Налоги!$AB$25:$AB$55,$G96)</f>
        <v>0</v>
      </c>
      <c r="AT96" s="1015">
        <f ca="1">SUMIFS(Налоги!AS$25:AS$55,Налоги!$F$25:$F$55,$F96,Налоги!$AB$25:$AB$55,$G96)</f>
        <v>0</v>
      </c>
      <c r="AU96" s="1015">
        <f ca="1">SUMIFS(Налоги!AT$25:AT$55,Налоги!$F$25:$F$55,$F96,Налоги!$AB$25:$AB$55,$G96)</f>
        <v>0</v>
      </c>
      <c r="AV96" s="1015">
        <f ca="1">SUMIFS(Налоги!AU$25:AU$55,Налоги!$F$25:$F$55,$F96,Налоги!$AB$25:$AB$55,$G96)</f>
        <v>0</v>
      </c>
      <c r="AW96" s="1015">
        <f ca="1">SUMIFS(Налоги!AV$25:AV$55,Налоги!$F$25:$F$55,$F96,Налоги!$AB$25:$AB$55,$G96)</f>
        <v>0</v>
      </c>
      <c r="AX96" s="1015">
        <f ca="1">SUMIFS(Налоги!AW$25:AW$55,Налоги!$F$25:$F$55,$F96,Налоги!$AB$25:$AB$55,$G96)</f>
        <v>0</v>
      </c>
      <c r="AY96" s="1015">
        <f ca="1">SUMIFS(Налоги!AX$25:AX$55,Налоги!$F$25:$F$55,$F96,Налоги!$AB$25:$AB$55,$G96)</f>
        <v>0</v>
      </c>
      <c r="AZ96" s="1015">
        <f ca="1">SUMIFS(Налоги!AY$25:AY$55,Налоги!$F$25:$F$55,$F96,Налоги!$AB$25:$AB$55,$G96)</f>
        <v>0</v>
      </c>
      <c r="BA96" s="1015">
        <f ca="1">SUMIFS(Налоги!AZ$25:AZ$55,Налоги!$F$25:$F$55,$F96,Налоги!$AB$25:$AB$55,$G96)</f>
        <v>0</v>
      </c>
      <c r="BB96" s="1015">
        <f ca="1">SUMIFS(Налоги!BA$25:BA$55,Налоги!$F$25:$F$55,$F96,Налоги!$AB$25:$AB$55,$G96)</f>
        <v>0</v>
      </c>
      <c r="BC96" s="1015">
        <f ca="1">SUMIFS(Налоги!BB$25:BB$55,Налоги!$F$25:$F$55,$F96,Налоги!$AB$25:$AB$55,$G96)</f>
        <v>0</v>
      </c>
      <c r="BD96" s="1015">
        <f t="shared" ca="1" si="11"/>
        <v>0</v>
      </c>
      <c r="BE96" s="1015">
        <f t="shared" ca="1" si="12"/>
        <v>0</v>
      </c>
      <c r="BF96" s="1015">
        <f t="shared" ca="1" si="13"/>
        <v>0</v>
      </c>
      <c r="BG96" s="1015">
        <f t="shared" ca="1" si="14"/>
        <v>0</v>
      </c>
      <c r="BH96" s="1015">
        <f t="shared" ca="1" si="15"/>
        <v>0</v>
      </c>
      <c r="BI96" s="1015">
        <f t="shared" ca="1" si="16"/>
        <v>0</v>
      </c>
      <c r="BJ96" s="1015">
        <f t="shared" ca="1" si="17"/>
        <v>0</v>
      </c>
      <c r="BK96" s="1015">
        <f t="shared" ca="1" si="18"/>
        <v>0</v>
      </c>
      <c r="BL96" s="1015">
        <f t="shared" ca="1" si="19"/>
        <v>0</v>
      </c>
      <c r="BM96" s="1015">
        <f t="shared" ca="1" si="20"/>
        <v>0</v>
      </c>
      <c r="BN96" s="1138"/>
      <c r="BO96" s="1142" t="str">
        <f ca="1">IF(IFERROR(INDEX(Налоги!$K$26:$L$55,MATCH($F96&amp;"4komm",Налоги!$K$26:$K$55,0),2),"")=0,"",IFERROR(INDEX(Налоги!$K$26:$L$55,MATCH($F96&amp;"4komm",Налоги!$K$26:$K$55,0),2),""))</f>
        <v/>
      </c>
      <c r="BP96" s="1138"/>
      <c r="BS96" s="966" t="s">
        <v>1908</v>
      </c>
    </row>
    <row r="97" spans="2:75" ht="14.65" hidden="1" customHeight="1">
      <c r="C97" s="26"/>
      <c r="D97" s="26"/>
      <c r="E97" s="538">
        <v>15</v>
      </c>
      <c r="F97" s="3" cm="1">
        <f t="array" aca="1" ref="F97" ca="1">OFFSET(E97,-1,1)</f>
        <v>0</v>
      </c>
      <c r="G97" s="827">
        <v>5</v>
      </c>
      <c r="H97" s="26"/>
      <c r="I97" s="26" t="s">
        <v>1909</v>
      </c>
      <c r="J97" s="26"/>
      <c r="K97" s="26" t="s">
        <v>1909</v>
      </c>
      <c r="L97" s="882"/>
      <c r="M97" s="26"/>
      <c r="N97" s="26"/>
      <c r="O97" s="26"/>
      <c r="P97" s="26"/>
      <c r="Q97" s="26"/>
      <c r="R97" s="26"/>
      <c r="S97" s="26"/>
      <c r="T97" s="381" t="b" cm="1">
        <f t="array" aca="1" ref="T97" ca="1">T96</f>
        <v>0</v>
      </c>
      <c r="U97" s="26"/>
      <c r="V97" s="26"/>
      <c r="W97" s="26"/>
      <c r="X97" s="1787"/>
      <c r="Z97" s="1735"/>
      <c r="AB97" s="216" t="s">
        <v>1910</v>
      </c>
      <c r="AC97" s="679" t="s">
        <v>1911</v>
      </c>
      <c r="AD97" s="216" t="s">
        <v>766</v>
      </c>
      <c r="AE97" s="1015">
        <f ca="1">SUMIFS(Налоги!AE$25:AE$55,Налоги!$F$25:$F$55,$F97,Налоги!$AB$25:$AB$55,$G97)</f>
        <v>0</v>
      </c>
      <c r="AF97" s="1015">
        <f ca="1">SUMIFS(Налоги!AF$25:AF$55,Налоги!$F$25:$F$55,$F97,Налоги!$AB$25:$AB$55,$G97)</f>
        <v>0</v>
      </c>
      <c r="AG97" s="1015">
        <f ca="1">SUMIFS(Налоги!AG$25:AG$55,Налоги!$F$25:$F$55,$F97,Налоги!$AB$25:$AB$55,$G97)</f>
        <v>0</v>
      </c>
      <c r="AH97" s="1015">
        <f t="shared" ca="1" si="9"/>
        <v>0</v>
      </c>
      <c r="AI97" s="1015">
        <f ca="1">SUMIFS(Налоги!AH$25:AH$55,Налоги!$F$25:$F$55,$F97,Налоги!$AB$25:$AB$55,$G97)</f>
        <v>0</v>
      </c>
      <c r="AJ97" s="1015">
        <f ca="1">SUMIFS(Налоги!AI$25:AI$55,Налоги!$F$25:$F$55,$F97,Налоги!$AB$25:$AB$55,$G97)</f>
        <v>0</v>
      </c>
      <c r="AK97" s="1015">
        <f ca="1">SUMIFS(Налоги!AJ$25:AJ$55,Налоги!$F$25:$F$55,$F97,Налоги!$AB$25:$AB$55,$G97)</f>
        <v>0</v>
      </c>
      <c r="AL97" s="1015">
        <f ca="1">SUMIFS(Налоги!AK$25:AK$55,Налоги!$F$25:$F$55,$F97,Налоги!$AB$25:$AB$55,$G97)</f>
        <v>0</v>
      </c>
      <c r="AM97" s="1015">
        <f ca="1">SUMIFS(Налоги!AL$25:AL$55,Налоги!$F$25:$F$55,$F97,Налоги!$AB$25:$AB$55,$G97)</f>
        <v>0</v>
      </c>
      <c r="AN97" s="1015">
        <f ca="1">SUMIFS(Налоги!AM$25:AM$55,Налоги!$F$25:$F$55,$F97,Налоги!$AB$25:$AB$55,$G97)</f>
        <v>0</v>
      </c>
      <c r="AO97" s="1015">
        <f ca="1">SUMIFS(Налоги!AN$25:AN$55,Налоги!$F$25:$F$55,$F97,Налоги!$AB$25:$AB$55,$G97)</f>
        <v>0</v>
      </c>
      <c r="AP97" s="1015">
        <f ca="1">SUMIFS(Налоги!AO$25:AO$55,Налоги!$F$25:$F$55,$F97,Налоги!$AB$25:$AB$55,$G97)</f>
        <v>0</v>
      </c>
      <c r="AQ97" s="1015">
        <f ca="1">SUMIFS(Налоги!AP$25:AP$55,Налоги!$F$25:$F$55,$F97,Налоги!$AB$25:$AB$55,$G97)</f>
        <v>0</v>
      </c>
      <c r="AR97" s="1015">
        <f ca="1">SUMIFS(Налоги!AQ$25:AQ$55,Налоги!$F$25:$F$55,$F97,Налоги!$AB$25:$AB$55,$G97)</f>
        <v>0</v>
      </c>
      <c r="AS97" s="1015">
        <f ca="1">SUMIFS(Налоги!AR$25:AR$55,Налоги!$F$25:$F$55,$F97,Налоги!$AB$25:$AB$55,$G97)</f>
        <v>0</v>
      </c>
      <c r="AT97" s="1015">
        <f ca="1">SUMIFS(Налоги!AS$25:AS$55,Налоги!$F$25:$F$55,$F97,Налоги!$AB$25:$AB$55,$G97)</f>
        <v>0</v>
      </c>
      <c r="AU97" s="1015">
        <f ca="1">SUMIFS(Налоги!AT$25:AT$55,Налоги!$F$25:$F$55,$F97,Налоги!$AB$25:$AB$55,$G97)</f>
        <v>0</v>
      </c>
      <c r="AV97" s="1015">
        <f ca="1">SUMIFS(Налоги!AU$25:AU$55,Налоги!$F$25:$F$55,$F97,Налоги!$AB$25:$AB$55,$G97)</f>
        <v>0</v>
      </c>
      <c r="AW97" s="1015">
        <f ca="1">SUMIFS(Налоги!AV$25:AV$55,Налоги!$F$25:$F$55,$F97,Налоги!$AB$25:$AB$55,$G97)</f>
        <v>0</v>
      </c>
      <c r="AX97" s="1015">
        <f ca="1">SUMIFS(Налоги!AW$25:AW$55,Налоги!$F$25:$F$55,$F97,Налоги!$AB$25:$AB$55,$G97)</f>
        <v>0</v>
      </c>
      <c r="AY97" s="1015">
        <f ca="1">SUMIFS(Налоги!AX$25:AX$55,Налоги!$F$25:$F$55,$F97,Налоги!$AB$25:$AB$55,$G97)</f>
        <v>0</v>
      </c>
      <c r="AZ97" s="1015">
        <f ca="1">SUMIFS(Налоги!AY$25:AY$55,Налоги!$F$25:$F$55,$F97,Налоги!$AB$25:$AB$55,$G97)</f>
        <v>0</v>
      </c>
      <c r="BA97" s="1015">
        <f ca="1">SUMIFS(Налоги!AZ$25:AZ$55,Налоги!$F$25:$F$55,$F97,Налоги!$AB$25:$AB$55,$G97)</f>
        <v>0</v>
      </c>
      <c r="BB97" s="1015">
        <f ca="1">SUMIFS(Налоги!BA$25:BA$55,Налоги!$F$25:$F$55,$F97,Налоги!$AB$25:$AB$55,$G97)</f>
        <v>0</v>
      </c>
      <c r="BC97" s="1015">
        <f ca="1">SUMIFS(Налоги!BB$25:BB$55,Налоги!$F$25:$F$55,$F97,Налоги!$AB$25:$AB$55,$G97)</f>
        <v>0</v>
      </c>
      <c r="BD97" s="1015">
        <f t="shared" ca="1" si="11"/>
        <v>0</v>
      </c>
      <c r="BE97" s="1015">
        <f t="shared" ca="1" si="12"/>
        <v>0</v>
      </c>
      <c r="BF97" s="1015">
        <f t="shared" ca="1" si="13"/>
        <v>0</v>
      </c>
      <c r="BG97" s="1015">
        <f t="shared" ca="1" si="14"/>
        <v>0</v>
      </c>
      <c r="BH97" s="1015">
        <f t="shared" ca="1" si="15"/>
        <v>0</v>
      </c>
      <c r="BI97" s="1015">
        <f t="shared" ca="1" si="16"/>
        <v>0</v>
      </c>
      <c r="BJ97" s="1015">
        <f t="shared" ca="1" si="17"/>
        <v>0</v>
      </c>
      <c r="BK97" s="1015">
        <f t="shared" ca="1" si="18"/>
        <v>0</v>
      </c>
      <c r="BL97" s="1015">
        <f t="shared" ca="1" si="19"/>
        <v>0</v>
      </c>
      <c r="BM97" s="1015">
        <f t="shared" ca="1" si="20"/>
        <v>0</v>
      </c>
      <c r="BN97" s="1138"/>
      <c r="BO97" s="1142" t="str">
        <f ca="1">IF(IFERROR(INDEX(Налоги!$K$26:$L$55,MATCH($F97&amp;"5komm",Налоги!$K$26:$K$55,0),2),"")=0,"",IFERROR(INDEX(Налоги!$K$26:$L$55,MATCH($F97&amp;"5komm",Налоги!$K$26:$K$55,0),2),""))</f>
        <v/>
      </c>
      <c r="BP97" s="1138"/>
      <c r="BS97" s="966" t="s">
        <v>1912</v>
      </c>
    </row>
    <row r="98" spans="2:75" ht="14.65" hidden="1" customHeight="1">
      <c r="C98" s="26"/>
      <c r="D98" s="26"/>
      <c r="E98" s="538">
        <v>15</v>
      </c>
      <c r="F98" s="3" cm="1">
        <f t="array" aca="1" ref="F98" ca="1">OFFSET(E98,-1,1)</f>
        <v>0</v>
      </c>
      <c r="G98" s="827">
        <v>1</v>
      </c>
      <c r="H98" s="26"/>
      <c r="I98" s="26" t="s">
        <v>1913</v>
      </c>
      <c r="J98" s="26"/>
      <c r="K98" s="26" t="s">
        <v>1913</v>
      </c>
      <c r="L98" s="882"/>
      <c r="M98" s="26"/>
      <c r="N98" s="26"/>
      <c r="O98" s="26"/>
      <c r="P98" s="26"/>
      <c r="Q98" s="26"/>
      <c r="R98" s="26"/>
      <c r="S98" s="26"/>
      <c r="T98" s="381" t="b" cm="1">
        <f t="array" aca="1" ref="T98" ca="1">T97</f>
        <v>0</v>
      </c>
      <c r="U98" s="26"/>
      <c r="V98" s="26"/>
      <c r="W98" s="26"/>
      <c r="X98" s="1787"/>
      <c r="Z98" s="1735"/>
      <c r="AB98" s="216" t="s">
        <v>1914</v>
      </c>
      <c r="AC98" s="679" t="s">
        <v>1915</v>
      </c>
      <c r="AD98" s="216" t="s">
        <v>766</v>
      </c>
      <c r="AE98" s="1015">
        <f ca="1">SUMIFS(Налоги!AE$25:AE$55,Налоги!$F$25:$F$55,$F98,Налоги!$AB$25:$AB$55,$G98)</f>
        <v>0</v>
      </c>
      <c r="AF98" s="1015">
        <f ca="1">SUMIFS(Налоги!AF$25:AF$55,Налоги!$F$25:$F$55,$F98,Налоги!$AB$25:$AB$55,$G98)</f>
        <v>0</v>
      </c>
      <c r="AG98" s="1015">
        <f ca="1">SUMIFS(Налоги!AG$25:AG$55,Налоги!$F$25:$F$55,$F98,Налоги!$AB$25:$AB$55,$G98)</f>
        <v>0</v>
      </c>
      <c r="AH98" s="1015">
        <f t="shared" ca="1" si="9"/>
        <v>0</v>
      </c>
      <c r="AI98" s="1015">
        <f ca="1">SUMIFS(Налоги!AH$25:AH$55,Налоги!$F$25:$F$55,$F98,Налоги!$AB$25:$AB$55,$G98)</f>
        <v>0</v>
      </c>
      <c r="AJ98" s="1015">
        <f ca="1">SUMIFS(Налоги!AI$25:AI$55,Налоги!$F$25:$F$55,$F98,Налоги!$AB$25:$AB$55,$G98)</f>
        <v>0</v>
      </c>
      <c r="AK98" s="1015">
        <f ca="1">SUMIFS(Налоги!AJ$25:AJ$55,Налоги!$F$25:$F$55,$F98,Налоги!$AB$25:$AB$55,$G98)</f>
        <v>0</v>
      </c>
      <c r="AL98" s="1015">
        <f ca="1">SUMIFS(Налоги!AK$25:AK$55,Налоги!$F$25:$F$55,$F98,Налоги!$AB$25:$AB$55,$G98)</f>
        <v>0</v>
      </c>
      <c r="AM98" s="1015">
        <f ca="1">SUMIFS(Налоги!AL$25:AL$55,Налоги!$F$25:$F$55,$F98,Налоги!$AB$25:$AB$55,$G98)</f>
        <v>0</v>
      </c>
      <c r="AN98" s="1015">
        <f ca="1">SUMIFS(Налоги!AM$25:AM$55,Налоги!$F$25:$F$55,$F98,Налоги!$AB$25:$AB$55,$G98)</f>
        <v>0</v>
      </c>
      <c r="AO98" s="1015">
        <f ca="1">SUMIFS(Налоги!AN$25:AN$55,Налоги!$F$25:$F$55,$F98,Налоги!$AB$25:$AB$55,$G98)</f>
        <v>0</v>
      </c>
      <c r="AP98" s="1015">
        <f ca="1">SUMIFS(Налоги!AO$25:AO$55,Налоги!$F$25:$F$55,$F98,Налоги!$AB$25:$AB$55,$G98)</f>
        <v>0</v>
      </c>
      <c r="AQ98" s="1015">
        <f ca="1">SUMIFS(Налоги!AP$25:AP$55,Налоги!$F$25:$F$55,$F98,Налоги!$AB$25:$AB$55,$G98)</f>
        <v>0</v>
      </c>
      <c r="AR98" s="1015">
        <f ca="1">SUMIFS(Налоги!AQ$25:AQ$55,Налоги!$F$25:$F$55,$F98,Налоги!$AB$25:$AB$55,$G98)</f>
        <v>0</v>
      </c>
      <c r="AS98" s="1015">
        <f ca="1">SUMIFS(Налоги!AR$25:AR$55,Налоги!$F$25:$F$55,$F98,Налоги!$AB$25:$AB$55,$G98)</f>
        <v>0</v>
      </c>
      <c r="AT98" s="1015">
        <f ca="1">SUMIFS(Налоги!AS$25:AS$55,Налоги!$F$25:$F$55,$F98,Налоги!$AB$25:$AB$55,$G98)</f>
        <v>0</v>
      </c>
      <c r="AU98" s="1015">
        <f ca="1">SUMIFS(Налоги!AT$25:AT$55,Налоги!$F$25:$F$55,$F98,Налоги!$AB$25:$AB$55,$G98)</f>
        <v>0</v>
      </c>
      <c r="AV98" s="1015">
        <f ca="1">SUMIFS(Налоги!AU$25:AU$55,Налоги!$F$25:$F$55,$F98,Налоги!$AB$25:$AB$55,$G98)</f>
        <v>0</v>
      </c>
      <c r="AW98" s="1015">
        <f ca="1">SUMIFS(Налоги!AV$25:AV$55,Налоги!$F$25:$F$55,$F98,Налоги!$AB$25:$AB$55,$G98)</f>
        <v>0</v>
      </c>
      <c r="AX98" s="1015">
        <f ca="1">SUMIFS(Налоги!AW$25:AW$55,Налоги!$F$25:$F$55,$F98,Налоги!$AB$25:$AB$55,$G98)</f>
        <v>0</v>
      </c>
      <c r="AY98" s="1015">
        <f ca="1">SUMIFS(Налоги!AX$25:AX$55,Налоги!$F$25:$F$55,$F98,Налоги!$AB$25:$AB$55,$G98)</f>
        <v>0</v>
      </c>
      <c r="AZ98" s="1015">
        <f ca="1">SUMIFS(Налоги!AY$25:AY$55,Налоги!$F$25:$F$55,$F98,Налоги!$AB$25:$AB$55,$G98)</f>
        <v>0</v>
      </c>
      <c r="BA98" s="1015">
        <f ca="1">SUMIFS(Налоги!AZ$25:AZ$55,Налоги!$F$25:$F$55,$F98,Налоги!$AB$25:$AB$55,$G98)</f>
        <v>0</v>
      </c>
      <c r="BB98" s="1015">
        <f ca="1">SUMIFS(Налоги!BA$25:BA$55,Налоги!$F$25:$F$55,$F98,Налоги!$AB$25:$AB$55,$G98)</f>
        <v>0</v>
      </c>
      <c r="BC98" s="1015">
        <f ca="1">SUMIFS(Налоги!BB$25:BB$55,Налоги!$F$25:$F$55,$F98,Налоги!$AB$25:$AB$55,$G98)</f>
        <v>0</v>
      </c>
      <c r="BD98" s="1015">
        <f t="shared" ca="1" si="11"/>
        <v>0</v>
      </c>
      <c r="BE98" s="1015">
        <f t="shared" ca="1" si="12"/>
        <v>0</v>
      </c>
      <c r="BF98" s="1015">
        <f t="shared" ca="1" si="13"/>
        <v>0</v>
      </c>
      <c r="BG98" s="1015">
        <f t="shared" ca="1" si="14"/>
        <v>0</v>
      </c>
      <c r="BH98" s="1015">
        <f t="shared" ca="1" si="15"/>
        <v>0</v>
      </c>
      <c r="BI98" s="1015">
        <f t="shared" ca="1" si="16"/>
        <v>0</v>
      </c>
      <c r="BJ98" s="1015">
        <f t="shared" ca="1" si="17"/>
        <v>0</v>
      </c>
      <c r="BK98" s="1015">
        <f t="shared" ca="1" si="18"/>
        <v>0</v>
      </c>
      <c r="BL98" s="1015">
        <f t="shared" ca="1" si="19"/>
        <v>0</v>
      </c>
      <c r="BM98" s="1015">
        <f t="shared" ca="1" si="20"/>
        <v>0</v>
      </c>
      <c r="BN98" s="1138"/>
      <c r="BO98" s="1142" t="str">
        <f ca="1">IF(IFERROR(INDEX(Налоги!$K$26:$L$55,MATCH($F98&amp;"1komm",Налоги!$K$26:$K$55,0),2),"")=0,"",IFERROR(INDEX(Налоги!$K$26:$L$55,MATCH($F98&amp;"1komm",Налоги!$K$26:$K$55,0),2),""))</f>
        <v/>
      </c>
      <c r="BP98" s="1138"/>
      <c r="BS98" s="966" t="s">
        <v>1916</v>
      </c>
    </row>
    <row r="99" spans="2:75" ht="14.65" hidden="1" customHeight="1">
      <c r="C99" s="26"/>
      <c r="D99" s="26"/>
      <c r="E99" s="538">
        <v>15</v>
      </c>
      <c r="F99" s="3" cm="1">
        <f t="array" aca="1" ref="F99" ca="1">OFFSET(E99,-1,1)</f>
        <v>0</v>
      </c>
      <c r="G99" s="827">
        <v>3</v>
      </c>
      <c r="H99" s="26"/>
      <c r="I99" s="26" t="s">
        <v>1917</v>
      </c>
      <c r="J99" s="26"/>
      <c r="K99" s="26" t="s">
        <v>1917</v>
      </c>
      <c r="L99" s="882"/>
      <c r="M99" s="26"/>
      <c r="N99" s="26"/>
      <c r="O99" s="26"/>
      <c r="P99" s="26"/>
      <c r="Q99" s="26"/>
      <c r="R99" s="26"/>
      <c r="S99" s="26"/>
      <c r="T99" s="381" t="b" cm="1">
        <f t="array" aca="1" ref="T99" ca="1">T98</f>
        <v>0</v>
      </c>
      <c r="U99" s="26"/>
      <c r="V99" s="26"/>
      <c r="W99" s="26"/>
      <c r="X99" s="1787"/>
      <c r="Z99" s="1735"/>
      <c r="AB99" s="216" t="s">
        <v>1918</v>
      </c>
      <c r="AC99" s="679" t="s">
        <v>1919</v>
      </c>
      <c r="AD99" s="216" t="s">
        <v>766</v>
      </c>
      <c r="AE99" s="1015">
        <f ca="1">SUMIFS(Налоги!AE$25:AE$55,Налоги!$F$25:$F$55,$F99,Налоги!$AB$25:$AB$55,$G99)</f>
        <v>0</v>
      </c>
      <c r="AF99" s="1015">
        <f ca="1">SUMIFS(Налоги!AF$25:AF$55,Налоги!$F$25:$F$55,$F99,Налоги!$AB$25:$AB$55,$G99)</f>
        <v>0</v>
      </c>
      <c r="AG99" s="1015">
        <f ca="1">SUMIFS(Налоги!AG$25:AG$55,Налоги!$F$25:$F$55,$F99,Налоги!$AB$25:$AB$55,$G99)</f>
        <v>0</v>
      </c>
      <c r="AH99" s="1015">
        <f t="shared" ca="1" si="9"/>
        <v>0</v>
      </c>
      <c r="AI99" s="1015">
        <f ca="1">SUMIFS(Налоги!AH$25:AH$55,Налоги!$F$25:$F$55,$F99,Налоги!$AB$25:$AB$55,$G99)</f>
        <v>0</v>
      </c>
      <c r="AJ99" s="1015">
        <f ca="1">SUMIFS(Налоги!AI$25:AI$55,Налоги!$F$25:$F$55,$F99,Налоги!$AB$25:$AB$55,$G99)</f>
        <v>0</v>
      </c>
      <c r="AK99" s="1015">
        <f ca="1">SUMIFS(Налоги!AJ$25:AJ$55,Налоги!$F$25:$F$55,$F99,Налоги!$AB$25:$AB$55,$G99)</f>
        <v>0</v>
      </c>
      <c r="AL99" s="1015">
        <f ca="1">SUMIFS(Налоги!AK$25:AK$55,Налоги!$F$25:$F$55,$F99,Налоги!$AB$25:$AB$55,$G99)</f>
        <v>0</v>
      </c>
      <c r="AM99" s="1015">
        <f ca="1">SUMIFS(Налоги!AL$25:AL$55,Налоги!$F$25:$F$55,$F99,Налоги!$AB$25:$AB$55,$G99)</f>
        <v>0</v>
      </c>
      <c r="AN99" s="1015">
        <f ca="1">SUMIFS(Налоги!AM$25:AM$55,Налоги!$F$25:$F$55,$F99,Налоги!$AB$25:$AB$55,$G99)</f>
        <v>0</v>
      </c>
      <c r="AO99" s="1015">
        <f ca="1">SUMIFS(Налоги!AN$25:AN$55,Налоги!$F$25:$F$55,$F99,Налоги!$AB$25:$AB$55,$G99)</f>
        <v>0</v>
      </c>
      <c r="AP99" s="1015">
        <f ca="1">SUMIFS(Налоги!AO$25:AO$55,Налоги!$F$25:$F$55,$F99,Налоги!$AB$25:$AB$55,$G99)</f>
        <v>0</v>
      </c>
      <c r="AQ99" s="1015">
        <f ca="1">SUMIFS(Налоги!AP$25:AP$55,Налоги!$F$25:$F$55,$F99,Налоги!$AB$25:$AB$55,$G99)</f>
        <v>0</v>
      </c>
      <c r="AR99" s="1015">
        <f ca="1">SUMIFS(Налоги!AQ$25:AQ$55,Налоги!$F$25:$F$55,$F99,Налоги!$AB$25:$AB$55,$G99)</f>
        <v>0</v>
      </c>
      <c r="AS99" s="1015">
        <f ca="1">SUMIFS(Налоги!AR$25:AR$55,Налоги!$F$25:$F$55,$F99,Налоги!$AB$25:$AB$55,$G99)</f>
        <v>0</v>
      </c>
      <c r="AT99" s="1015">
        <f ca="1">SUMIFS(Налоги!AS$25:AS$55,Налоги!$F$25:$F$55,$F99,Налоги!$AB$25:$AB$55,$G99)</f>
        <v>0</v>
      </c>
      <c r="AU99" s="1015">
        <f ca="1">SUMIFS(Налоги!AT$25:AT$55,Налоги!$F$25:$F$55,$F99,Налоги!$AB$25:$AB$55,$G99)</f>
        <v>0</v>
      </c>
      <c r="AV99" s="1015">
        <f ca="1">SUMIFS(Налоги!AU$25:AU$55,Налоги!$F$25:$F$55,$F99,Налоги!$AB$25:$AB$55,$G99)</f>
        <v>0</v>
      </c>
      <c r="AW99" s="1015">
        <f ca="1">SUMIFS(Налоги!AV$25:AV$55,Налоги!$F$25:$F$55,$F99,Налоги!$AB$25:$AB$55,$G99)</f>
        <v>0</v>
      </c>
      <c r="AX99" s="1015">
        <f ca="1">SUMIFS(Налоги!AW$25:AW$55,Налоги!$F$25:$F$55,$F99,Налоги!$AB$25:$AB$55,$G99)</f>
        <v>0</v>
      </c>
      <c r="AY99" s="1015">
        <f ca="1">SUMIFS(Налоги!AX$25:AX$55,Налоги!$F$25:$F$55,$F99,Налоги!$AB$25:$AB$55,$G99)</f>
        <v>0</v>
      </c>
      <c r="AZ99" s="1015">
        <f ca="1">SUMIFS(Налоги!AY$25:AY$55,Налоги!$F$25:$F$55,$F99,Налоги!$AB$25:$AB$55,$G99)</f>
        <v>0</v>
      </c>
      <c r="BA99" s="1015">
        <f ca="1">SUMIFS(Налоги!AZ$25:AZ$55,Налоги!$F$25:$F$55,$F99,Налоги!$AB$25:$AB$55,$G99)</f>
        <v>0</v>
      </c>
      <c r="BB99" s="1015">
        <f ca="1">SUMIFS(Налоги!BA$25:BA$55,Налоги!$F$25:$F$55,$F99,Налоги!$AB$25:$AB$55,$G99)</f>
        <v>0</v>
      </c>
      <c r="BC99" s="1015">
        <f ca="1">SUMIFS(Налоги!BB$25:BB$55,Налоги!$F$25:$F$55,$F99,Налоги!$AB$25:$AB$55,$G99)</f>
        <v>0</v>
      </c>
      <c r="BD99" s="1015">
        <f t="shared" ca="1" si="11"/>
        <v>0</v>
      </c>
      <c r="BE99" s="1015">
        <f t="shared" ca="1" si="12"/>
        <v>0</v>
      </c>
      <c r="BF99" s="1015">
        <f t="shared" ca="1" si="13"/>
        <v>0</v>
      </c>
      <c r="BG99" s="1015">
        <f t="shared" ca="1" si="14"/>
        <v>0</v>
      </c>
      <c r="BH99" s="1015">
        <f t="shared" ca="1" si="15"/>
        <v>0</v>
      </c>
      <c r="BI99" s="1015">
        <f t="shared" ca="1" si="16"/>
        <v>0</v>
      </c>
      <c r="BJ99" s="1015">
        <f t="shared" ca="1" si="17"/>
        <v>0</v>
      </c>
      <c r="BK99" s="1015">
        <f t="shared" ca="1" si="18"/>
        <v>0</v>
      </c>
      <c r="BL99" s="1015">
        <f t="shared" ca="1" si="19"/>
        <v>0</v>
      </c>
      <c r="BM99" s="1015">
        <f t="shared" ca="1" si="20"/>
        <v>0</v>
      </c>
      <c r="BN99" s="1138"/>
      <c r="BO99" s="1142" t="str">
        <f ca="1">IF(IFERROR(INDEX(Налоги!$K$26:$L$55,MATCH($F99&amp;"5komm",Налоги!$K$26:$K$55,0),2),"")=0,"",IFERROR(INDEX(Налоги!$K$26:$L$55,MATCH($F99&amp;"5komm",Налоги!$K$26:$K$55,0),2),""))</f>
        <v/>
      </c>
      <c r="BP99" s="1138"/>
      <c r="BS99" s="966" t="s">
        <v>1920</v>
      </c>
    </row>
    <row r="100" spans="2:75" ht="14.65" hidden="1" customHeight="1">
      <c r="C100" s="26"/>
      <c r="D100" s="26"/>
      <c r="E100" s="538">
        <v>15</v>
      </c>
      <c r="F100" s="3" cm="1">
        <f t="array" aca="1" ref="F100" ca="1">OFFSET(E100,-1,1)</f>
        <v>0</v>
      </c>
      <c r="G100" s="827">
        <v>8</v>
      </c>
      <c r="H100" s="26"/>
      <c r="I100" s="26" t="s">
        <v>1921</v>
      </c>
      <c r="J100" s="26"/>
      <c r="K100" s="26" t="s">
        <v>1921</v>
      </c>
      <c r="L100" s="882"/>
      <c r="M100" s="26"/>
      <c r="N100" s="26"/>
      <c r="O100" s="26"/>
      <c r="P100" s="26"/>
      <c r="Q100" s="26"/>
      <c r="R100" s="26"/>
      <c r="S100" s="26"/>
      <c r="T100" s="381" t="b" cm="1">
        <f t="array" aca="1" ref="T100" ca="1">T99</f>
        <v>0</v>
      </c>
      <c r="U100" s="26"/>
      <c r="V100" s="26"/>
      <c r="W100" s="26"/>
      <c r="X100" s="1787"/>
      <c r="Z100" s="1735"/>
      <c r="AB100" s="216" t="s">
        <v>1922</v>
      </c>
      <c r="AC100" s="679" t="s">
        <v>1923</v>
      </c>
      <c r="AD100" s="216" t="s">
        <v>766</v>
      </c>
      <c r="AE100" s="1015">
        <f ca="1">SUMIFS(Налоги!AE$25:AE$55,Налоги!$F$25:$F$55,$F100,Налоги!$AB$25:$AB$55,$G100)</f>
        <v>0</v>
      </c>
      <c r="AF100" s="1015">
        <f ca="1">SUMIFS(Налоги!AF$25:AF$55,Налоги!$F$25:$F$55,$F100,Налоги!$AB$25:$AB$55,$G100)</f>
        <v>0</v>
      </c>
      <c r="AG100" s="1015">
        <f ca="1">SUMIFS(Налоги!AG$25:AG$55,Налоги!$F$25:$F$55,$F100,Налоги!$AB$25:$AB$55,$G100)</f>
        <v>0</v>
      </c>
      <c r="AH100" s="1015">
        <f t="shared" ca="1" si="9"/>
        <v>0</v>
      </c>
      <c r="AI100" s="1015">
        <f ca="1">SUMIFS(Налоги!AH$25:AH$55,Налоги!$F$25:$F$55,$F100,Налоги!$AB$25:$AB$55,$G100)</f>
        <v>0</v>
      </c>
      <c r="AJ100" s="1015">
        <f ca="1">SUMIFS(Налоги!AI$25:AI$55,Налоги!$F$25:$F$55,$F100,Налоги!$AB$25:$AB$55,$G100)</f>
        <v>0</v>
      </c>
      <c r="AK100" s="1015">
        <f ca="1">SUMIFS(Налоги!AJ$25:AJ$55,Налоги!$F$25:$F$55,$F100,Налоги!$AB$25:$AB$55,$G100)</f>
        <v>0</v>
      </c>
      <c r="AL100" s="1015">
        <f ca="1">SUMIFS(Налоги!AK$25:AK$55,Налоги!$F$25:$F$55,$F100,Налоги!$AB$25:$AB$55,$G100)</f>
        <v>0</v>
      </c>
      <c r="AM100" s="1015">
        <f ca="1">SUMIFS(Налоги!AL$25:AL$55,Налоги!$F$25:$F$55,$F100,Налоги!$AB$25:$AB$55,$G100)</f>
        <v>0</v>
      </c>
      <c r="AN100" s="1015">
        <f ca="1">SUMIFS(Налоги!AM$25:AM$55,Налоги!$F$25:$F$55,$F100,Налоги!$AB$25:$AB$55,$G100)</f>
        <v>0</v>
      </c>
      <c r="AO100" s="1015">
        <f ca="1">SUMIFS(Налоги!AN$25:AN$55,Налоги!$F$25:$F$55,$F100,Налоги!$AB$25:$AB$55,$G100)</f>
        <v>0</v>
      </c>
      <c r="AP100" s="1015">
        <f ca="1">SUMIFS(Налоги!AO$25:AO$55,Налоги!$F$25:$F$55,$F100,Налоги!$AB$25:$AB$55,$G100)</f>
        <v>0</v>
      </c>
      <c r="AQ100" s="1015">
        <f ca="1">SUMIFS(Налоги!AP$25:AP$55,Налоги!$F$25:$F$55,$F100,Налоги!$AB$25:$AB$55,$G100)</f>
        <v>0</v>
      </c>
      <c r="AR100" s="1015">
        <f ca="1">SUMIFS(Налоги!AQ$25:AQ$55,Налоги!$F$25:$F$55,$F100,Налоги!$AB$25:$AB$55,$G100)</f>
        <v>0</v>
      </c>
      <c r="AS100" s="1015">
        <f ca="1">SUMIFS(Налоги!AR$25:AR$55,Налоги!$F$25:$F$55,$F100,Налоги!$AB$25:$AB$55,$G100)</f>
        <v>0</v>
      </c>
      <c r="AT100" s="1015">
        <f ca="1">SUMIFS(Налоги!AS$25:AS$55,Налоги!$F$25:$F$55,$F100,Налоги!$AB$25:$AB$55,$G100)</f>
        <v>0</v>
      </c>
      <c r="AU100" s="1015">
        <f ca="1">SUMIFS(Налоги!AT$25:AT$55,Налоги!$F$25:$F$55,$F100,Налоги!$AB$25:$AB$55,$G100)</f>
        <v>0</v>
      </c>
      <c r="AV100" s="1015">
        <f ca="1">SUMIFS(Налоги!AU$25:AU$55,Налоги!$F$25:$F$55,$F100,Налоги!$AB$25:$AB$55,$G100)</f>
        <v>0</v>
      </c>
      <c r="AW100" s="1015">
        <f ca="1">SUMIFS(Налоги!AV$25:AV$55,Налоги!$F$25:$F$55,$F100,Налоги!$AB$25:$AB$55,$G100)</f>
        <v>0</v>
      </c>
      <c r="AX100" s="1015">
        <f ca="1">SUMIFS(Налоги!AW$25:AW$55,Налоги!$F$25:$F$55,$F100,Налоги!$AB$25:$AB$55,$G100)</f>
        <v>0</v>
      </c>
      <c r="AY100" s="1015">
        <f ca="1">SUMIFS(Налоги!AX$25:AX$55,Налоги!$F$25:$F$55,$F100,Налоги!$AB$25:$AB$55,$G100)</f>
        <v>0</v>
      </c>
      <c r="AZ100" s="1015">
        <f ca="1">SUMIFS(Налоги!AY$25:AY$55,Налоги!$F$25:$F$55,$F100,Налоги!$AB$25:$AB$55,$G100)</f>
        <v>0</v>
      </c>
      <c r="BA100" s="1015">
        <f ca="1">SUMIFS(Налоги!AZ$25:AZ$55,Налоги!$F$25:$F$55,$F100,Налоги!$AB$25:$AB$55,$G100)</f>
        <v>0</v>
      </c>
      <c r="BB100" s="1015">
        <f ca="1">SUMIFS(Налоги!BA$25:BA$55,Налоги!$F$25:$F$55,$F100,Налоги!$AB$25:$AB$55,$G100)</f>
        <v>0</v>
      </c>
      <c r="BC100" s="1015">
        <f ca="1">SUMIFS(Налоги!BB$25:BB$55,Налоги!$F$25:$F$55,$F100,Налоги!$AB$25:$AB$55,$G100)</f>
        <v>0</v>
      </c>
      <c r="BD100" s="1015">
        <f t="shared" ca="1" si="11"/>
        <v>0</v>
      </c>
      <c r="BE100" s="1015">
        <f t="shared" ca="1" si="12"/>
        <v>0</v>
      </c>
      <c r="BF100" s="1015">
        <f t="shared" ca="1" si="13"/>
        <v>0</v>
      </c>
      <c r="BG100" s="1015">
        <f t="shared" ca="1" si="14"/>
        <v>0</v>
      </c>
      <c r="BH100" s="1015">
        <f t="shared" ca="1" si="15"/>
        <v>0</v>
      </c>
      <c r="BI100" s="1015">
        <f t="shared" ca="1" si="16"/>
        <v>0</v>
      </c>
      <c r="BJ100" s="1015">
        <f t="shared" ca="1" si="17"/>
        <v>0</v>
      </c>
      <c r="BK100" s="1015">
        <f t="shared" ca="1" si="18"/>
        <v>0</v>
      </c>
      <c r="BL100" s="1015">
        <f t="shared" ca="1" si="19"/>
        <v>0</v>
      </c>
      <c r="BM100" s="1015">
        <f t="shared" ca="1" si="20"/>
        <v>0</v>
      </c>
      <c r="BN100" s="1138"/>
      <c r="BO100" s="1142" t="str">
        <f ca="1">IF(IFERROR(INDEX(Налоги!$K$26:$L$55,MATCH($F100&amp;"8komm",Налоги!$K$26:$K$55,0),2),"")=0,"",IFERROR(INDEX(Налоги!$K$26:$L$55,MATCH($F100&amp;"8komm",Налоги!$K$26:$K$55,0),2),""))</f>
        <v/>
      </c>
      <c r="BP100" s="1138"/>
      <c r="BS100" s="966" t="s">
        <v>1142</v>
      </c>
    </row>
    <row r="101" spans="2:75" s="1133" customFormat="1" ht="14.65" hidden="1" customHeight="1">
      <c r="B101" s="667"/>
      <c r="C101" s="26"/>
      <c r="D101" s="26"/>
      <c r="E101" s="538">
        <v>15</v>
      </c>
      <c r="F101" s="3" cm="1">
        <f t="array" aca="1" ref="F101" ca="1">OFFSET(E101,-1,1)</f>
        <v>0</v>
      </c>
      <c r="G101" s="827">
        <v>9</v>
      </c>
      <c r="H101" s="26"/>
      <c r="I101" s="26"/>
      <c r="J101" s="26"/>
      <c r="K101" s="26"/>
      <c r="L101" s="882"/>
      <c r="M101" s="26"/>
      <c r="N101" s="26"/>
      <c r="O101" s="26"/>
      <c r="P101" s="26"/>
      <c r="Q101" s="26"/>
      <c r="R101" s="26"/>
      <c r="S101" s="26"/>
      <c r="T101" s="381" t="b" cm="1">
        <f t="array" aca="1" ref="T101" ca="1">T100</f>
        <v>0</v>
      </c>
      <c r="U101" s="26"/>
      <c r="V101" s="26"/>
      <c r="W101" s="26"/>
      <c r="X101" s="1787"/>
      <c r="Z101" s="1735"/>
      <c r="AB101" s="216" t="s">
        <v>1924</v>
      </c>
      <c r="AC101" s="694" t="s">
        <v>1925</v>
      </c>
      <c r="AD101" s="216" t="s">
        <v>766</v>
      </c>
      <c r="AE101" s="1015">
        <f ca="1">SUMIFS(Налоги!AE$25:AE$55,Налоги!$F$25:$F$55,$F101,Налоги!$AB$25:$AB$55,$G101)</f>
        <v>0</v>
      </c>
      <c r="AF101" s="1015">
        <f ca="1">SUMIFS(Налоги!AF$25:AF$55,Налоги!$F$25:$F$55,$F101,Налоги!$AB$25:$AB$55,$G101)</f>
        <v>0</v>
      </c>
      <c r="AG101" s="1015">
        <f ca="1">SUMIFS(Налоги!AG$25:AG$55,Налоги!$F$25:$F$55,$F101,Налоги!$AB$25:$AB$55,$G101)</f>
        <v>0</v>
      </c>
      <c r="AH101" s="1015">
        <f t="shared" ca="1" si="9"/>
        <v>0</v>
      </c>
      <c r="AI101" s="1015">
        <f ca="1">SUMIFS(Налоги!AH$25:AH$55,Налоги!$F$25:$F$55,$F101,Налоги!$AB$25:$AB$55,$G101)</f>
        <v>0</v>
      </c>
      <c r="AJ101" s="1015">
        <f ca="1">SUMIFS(Налоги!AI$25:AI$55,Налоги!$F$25:$F$55,$F101,Налоги!$AB$25:$AB$55,$G101)</f>
        <v>0</v>
      </c>
      <c r="AK101" s="1015">
        <f ca="1">SUMIFS(Налоги!AJ$25:AJ$55,Налоги!$F$25:$F$55,$F101,Налоги!$AB$25:$AB$55,$G101)</f>
        <v>0</v>
      </c>
      <c r="AL101" s="1015">
        <f ca="1">SUMIFS(Налоги!AK$25:AK$55,Налоги!$F$25:$F$55,$F101,Налоги!$AB$25:$AB$55,$G101)</f>
        <v>0</v>
      </c>
      <c r="AM101" s="1015">
        <f ca="1">SUMIFS(Налоги!AL$25:AL$55,Налоги!$F$25:$F$55,$F101,Налоги!$AB$25:$AB$55,$G101)</f>
        <v>0</v>
      </c>
      <c r="AN101" s="1015">
        <f ca="1">SUMIFS(Налоги!AM$25:AM$55,Налоги!$F$25:$F$55,$F101,Налоги!$AB$25:$AB$55,$G101)</f>
        <v>0</v>
      </c>
      <c r="AO101" s="1015">
        <f ca="1">SUMIFS(Налоги!AN$25:AN$55,Налоги!$F$25:$F$55,$F101,Налоги!$AB$25:$AB$55,$G101)</f>
        <v>0</v>
      </c>
      <c r="AP101" s="1015">
        <f ca="1">SUMIFS(Налоги!AO$25:AO$55,Налоги!$F$25:$F$55,$F101,Налоги!$AB$25:$AB$55,$G101)</f>
        <v>0</v>
      </c>
      <c r="AQ101" s="1015">
        <f ca="1">SUMIFS(Налоги!AP$25:AP$55,Налоги!$F$25:$F$55,$F101,Налоги!$AB$25:$AB$55,$G101)</f>
        <v>0</v>
      </c>
      <c r="AR101" s="1015">
        <f ca="1">SUMIFS(Налоги!AQ$25:AQ$55,Налоги!$F$25:$F$55,$F101,Налоги!$AB$25:$AB$55,$G101)</f>
        <v>0</v>
      </c>
      <c r="AS101" s="1015">
        <f ca="1">SUMIFS(Налоги!AR$25:AR$55,Налоги!$F$25:$F$55,$F101,Налоги!$AB$25:$AB$55,$G101)</f>
        <v>0</v>
      </c>
      <c r="AT101" s="1015">
        <f ca="1">SUMIFS(Налоги!AS$25:AS$55,Налоги!$F$25:$F$55,$F101,Налоги!$AB$25:$AB$55,$G101)</f>
        <v>0</v>
      </c>
      <c r="AU101" s="1015">
        <f ca="1">SUMIFS(Налоги!AT$25:AT$55,Налоги!$F$25:$F$55,$F101,Налоги!$AB$25:$AB$55,$G101)</f>
        <v>0</v>
      </c>
      <c r="AV101" s="1015">
        <f ca="1">SUMIFS(Налоги!AU$25:AU$55,Налоги!$F$25:$F$55,$F101,Налоги!$AB$25:$AB$55,$G101)</f>
        <v>0</v>
      </c>
      <c r="AW101" s="1015">
        <f ca="1">SUMIFS(Налоги!AV$25:AV$55,Налоги!$F$25:$F$55,$F101,Налоги!$AB$25:$AB$55,$G101)</f>
        <v>0</v>
      </c>
      <c r="AX101" s="1015">
        <f ca="1">SUMIFS(Налоги!AW$25:AW$55,Налоги!$F$25:$F$55,$F101,Налоги!$AB$25:$AB$55,$G101)</f>
        <v>0</v>
      </c>
      <c r="AY101" s="1015">
        <f ca="1">SUMIFS(Налоги!AX$25:AX$55,Налоги!$F$25:$F$55,$F101,Налоги!$AB$25:$AB$55,$G101)</f>
        <v>0</v>
      </c>
      <c r="AZ101" s="1015">
        <f ca="1">SUMIFS(Налоги!AY$25:AY$55,Налоги!$F$25:$F$55,$F101,Налоги!$AB$25:$AB$55,$G101)</f>
        <v>0</v>
      </c>
      <c r="BA101" s="1015">
        <f ca="1">SUMIFS(Налоги!AZ$25:AZ$55,Налоги!$F$25:$F$55,$F101,Налоги!$AB$25:$AB$55,$G101)</f>
        <v>0</v>
      </c>
      <c r="BB101" s="1015">
        <f ca="1">SUMIFS(Налоги!BA$25:BA$55,Налоги!$F$25:$F$55,$F101,Налоги!$AB$25:$AB$55,$G101)</f>
        <v>0</v>
      </c>
      <c r="BC101" s="1015">
        <f ca="1">SUMIFS(Налоги!BB$25:BB$55,Налоги!$F$25:$F$55,$F101,Налоги!$AB$25:$AB$55,$G101)</f>
        <v>0</v>
      </c>
      <c r="BD101" s="1015">
        <f t="shared" ca="1" si="11"/>
        <v>0</v>
      </c>
      <c r="BE101" s="1015">
        <f t="shared" ca="1" si="12"/>
        <v>0</v>
      </c>
      <c r="BF101" s="1015">
        <f t="shared" ca="1" si="13"/>
        <v>0</v>
      </c>
      <c r="BG101" s="1015">
        <f t="shared" ca="1" si="14"/>
        <v>0</v>
      </c>
      <c r="BH101" s="1015">
        <f t="shared" ca="1" si="15"/>
        <v>0</v>
      </c>
      <c r="BI101" s="1015">
        <f t="shared" ca="1" si="16"/>
        <v>0</v>
      </c>
      <c r="BJ101" s="1015">
        <f t="shared" ca="1" si="17"/>
        <v>0</v>
      </c>
      <c r="BK101" s="1015">
        <f t="shared" ca="1" si="18"/>
        <v>0</v>
      </c>
      <c r="BL101" s="1015">
        <f t="shared" ca="1" si="19"/>
        <v>0</v>
      </c>
      <c r="BM101" s="1015">
        <f t="shared" ca="1" si="20"/>
        <v>0</v>
      </c>
      <c r="BN101" s="1138"/>
      <c r="BO101" s="1142" t="str">
        <f ca="1">IF(IFERROR(INDEX(Налоги!$K$26:$L$55,MATCH($F101&amp;"9komm",Налоги!$K$26:$K$55,0),2),"")=0,"",IFERROR(INDEX(Налоги!$K$26:$L$55,MATCH($F101&amp;"9komm",Налоги!$K$26:$K$55,0),2),""))</f>
        <v/>
      </c>
      <c r="BP101" s="1138"/>
      <c r="BS101" s="973" t="s">
        <v>1926</v>
      </c>
      <c r="BT101" s="973"/>
      <c r="BU101" s="973"/>
      <c r="BV101" s="974"/>
      <c r="BW101" s="974"/>
    </row>
    <row r="102" spans="2:75" ht="14.65" hidden="1" customHeight="1">
      <c r="C102" s="26"/>
      <c r="D102" s="26"/>
      <c r="E102" s="538">
        <v>15</v>
      </c>
      <c r="F102" s="3" cm="1">
        <f t="array" aca="1" ref="F102" ca="1">OFFSET(E102,-1,1)</f>
        <v>0</v>
      </c>
      <c r="G102" s="827">
        <v>10</v>
      </c>
      <c r="H102" s="26"/>
      <c r="I102" s="26" t="s">
        <v>1927</v>
      </c>
      <c r="J102" s="26"/>
      <c r="K102" s="26" t="s">
        <v>1927</v>
      </c>
      <c r="L102" s="882"/>
      <c r="M102" s="26"/>
      <c r="N102" s="26"/>
      <c r="O102" s="26"/>
      <c r="P102" s="26"/>
      <c r="Q102" s="26"/>
      <c r="R102" s="26"/>
      <c r="S102" s="26"/>
      <c r="T102" s="381" t="b" cm="1">
        <f t="array" aca="1" ref="T102" ca="1">T101</f>
        <v>0</v>
      </c>
      <c r="U102" s="26"/>
      <c r="V102" s="26"/>
      <c r="W102" s="26"/>
      <c r="X102" s="1787"/>
      <c r="Z102" s="1735"/>
      <c r="AB102" s="216" t="s">
        <v>1928</v>
      </c>
      <c r="AC102" s="695" t="s">
        <v>1929</v>
      </c>
      <c r="AD102" s="216" t="s">
        <v>766</v>
      </c>
      <c r="AE102" s="1015">
        <f ca="1">SUMIFS(Налоги!AE$25:AE$55,Налоги!$F$25:$F$55,$F102,Налоги!$AB$25:$AB$55,$G102)</f>
        <v>0</v>
      </c>
      <c r="AF102" s="1015">
        <f ca="1">SUMIFS(Налоги!AF$25:AF$55,Налоги!$F$25:$F$55,$F102,Налоги!$AB$25:$AB$55,$G102)</f>
        <v>0</v>
      </c>
      <c r="AG102" s="1015">
        <f ca="1">SUMIFS(Налоги!AG$25:AG$55,Налоги!$F$25:$F$55,$F102,Налоги!$AB$25:$AB$55,$G102)</f>
        <v>0</v>
      </c>
      <c r="AH102" s="1015">
        <f t="shared" ca="1" si="9"/>
        <v>0</v>
      </c>
      <c r="AI102" s="1015">
        <f ca="1">SUMIFS(Налоги!AH$25:AH$55,Налоги!$F$25:$F$55,$F102,Налоги!$AB$25:$AB$55,$G102)</f>
        <v>0</v>
      </c>
      <c r="AJ102" s="1015">
        <f ca="1">SUMIFS(Налоги!AI$25:AI$55,Налоги!$F$25:$F$55,$F102,Налоги!$AB$25:$AB$55,$G102)</f>
        <v>0</v>
      </c>
      <c r="AK102" s="1015">
        <f ca="1">SUMIFS(Налоги!AJ$25:AJ$55,Налоги!$F$25:$F$55,$F102,Налоги!$AB$25:$AB$55,$G102)</f>
        <v>0</v>
      </c>
      <c r="AL102" s="1015">
        <f ca="1">SUMIFS(Налоги!AK$25:AK$55,Налоги!$F$25:$F$55,$F102,Налоги!$AB$25:$AB$55,$G102)</f>
        <v>0</v>
      </c>
      <c r="AM102" s="1015">
        <f ca="1">SUMIFS(Налоги!AL$25:AL$55,Налоги!$F$25:$F$55,$F102,Налоги!$AB$25:$AB$55,$G102)</f>
        <v>0</v>
      </c>
      <c r="AN102" s="1015">
        <f ca="1">SUMIFS(Налоги!AM$25:AM$55,Налоги!$F$25:$F$55,$F102,Налоги!$AB$25:$AB$55,$G102)</f>
        <v>0</v>
      </c>
      <c r="AO102" s="1015">
        <f ca="1">SUMIFS(Налоги!AN$25:AN$55,Налоги!$F$25:$F$55,$F102,Налоги!$AB$25:$AB$55,$G102)</f>
        <v>0</v>
      </c>
      <c r="AP102" s="1015">
        <f ca="1">SUMIFS(Налоги!AO$25:AO$55,Налоги!$F$25:$F$55,$F102,Налоги!$AB$25:$AB$55,$G102)</f>
        <v>0</v>
      </c>
      <c r="AQ102" s="1015">
        <f ca="1">SUMIFS(Налоги!AP$25:AP$55,Налоги!$F$25:$F$55,$F102,Налоги!$AB$25:$AB$55,$G102)</f>
        <v>0</v>
      </c>
      <c r="AR102" s="1015">
        <f ca="1">SUMIFS(Налоги!AQ$25:AQ$55,Налоги!$F$25:$F$55,$F102,Налоги!$AB$25:$AB$55,$G102)</f>
        <v>0</v>
      </c>
      <c r="AS102" s="1015">
        <f ca="1">SUMIFS(Налоги!AR$25:AR$55,Налоги!$F$25:$F$55,$F102,Налоги!$AB$25:$AB$55,$G102)</f>
        <v>0</v>
      </c>
      <c r="AT102" s="1015">
        <f ca="1">SUMIFS(Налоги!AS$25:AS$55,Налоги!$F$25:$F$55,$F102,Налоги!$AB$25:$AB$55,$G102)</f>
        <v>0</v>
      </c>
      <c r="AU102" s="1015">
        <f ca="1">SUMIFS(Налоги!AT$25:AT$55,Налоги!$F$25:$F$55,$F102,Налоги!$AB$25:$AB$55,$G102)</f>
        <v>0</v>
      </c>
      <c r="AV102" s="1015">
        <f ca="1">SUMIFS(Налоги!AU$25:AU$55,Налоги!$F$25:$F$55,$F102,Налоги!$AB$25:$AB$55,$G102)</f>
        <v>0</v>
      </c>
      <c r="AW102" s="1015">
        <f ca="1">SUMIFS(Налоги!AV$25:AV$55,Налоги!$F$25:$F$55,$F102,Налоги!$AB$25:$AB$55,$G102)</f>
        <v>0</v>
      </c>
      <c r="AX102" s="1015">
        <f ca="1">SUMIFS(Налоги!AW$25:AW$55,Налоги!$F$25:$F$55,$F102,Налоги!$AB$25:$AB$55,$G102)</f>
        <v>0</v>
      </c>
      <c r="AY102" s="1015">
        <f ca="1">SUMIFS(Налоги!AX$25:AX$55,Налоги!$F$25:$F$55,$F102,Налоги!$AB$25:$AB$55,$G102)</f>
        <v>0</v>
      </c>
      <c r="AZ102" s="1015">
        <f ca="1">SUMIFS(Налоги!AY$25:AY$55,Налоги!$F$25:$F$55,$F102,Налоги!$AB$25:$AB$55,$G102)</f>
        <v>0</v>
      </c>
      <c r="BA102" s="1015">
        <f ca="1">SUMIFS(Налоги!AZ$25:AZ$55,Налоги!$F$25:$F$55,$F102,Налоги!$AB$25:$AB$55,$G102)</f>
        <v>0</v>
      </c>
      <c r="BB102" s="1015">
        <f ca="1">SUMIFS(Налоги!BA$25:BA$55,Налоги!$F$25:$F$55,$F102,Налоги!$AB$25:$AB$55,$G102)</f>
        <v>0</v>
      </c>
      <c r="BC102" s="1015">
        <f ca="1">SUMIFS(Налоги!BB$25:BB$55,Налоги!$F$25:$F$55,$F102,Налоги!$AB$25:$AB$55,$G102)</f>
        <v>0</v>
      </c>
      <c r="BD102" s="1015">
        <f t="shared" ca="1" si="11"/>
        <v>0</v>
      </c>
      <c r="BE102" s="1015">
        <f t="shared" ca="1" si="12"/>
        <v>0</v>
      </c>
      <c r="BF102" s="1015">
        <f t="shared" ca="1" si="13"/>
        <v>0</v>
      </c>
      <c r="BG102" s="1015">
        <f t="shared" ca="1" si="14"/>
        <v>0</v>
      </c>
      <c r="BH102" s="1015">
        <f t="shared" ca="1" si="15"/>
        <v>0</v>
      </c>
      <c r="BI102" s="1015">
        <f t="shared" ca="1" si="16"/>
        <v>0</v>
      </c>
      <c r="BJ102" s="1015">
        <f t="shared" ca="1" si="17"/>
        <v>0</v>
      </c>
      <c r="BK102" s="1015">
        <f t="shared" ca="1" si="18"/>
        <v>0</v>
      </c>
      <c r="BL102" s="1015">
        <f t="shared" ca="1" si="19"/>
        <v>0</v>
      </c>
      <c r="BM102" s="1015">
        <f t="shared" ca="1" si="20"/>
        <v>0</v>
      </c>
      <c r="BN102" s="1138"/>
      <c r="BO102" s="1142" t="str">
        <f ca="1">IF(IFERROR(INDEX(Налоги!$K$26:$L$55,MATCH($F102&amp;"10komm",Налоги!$K$26:$K$55,0),2),"")=0,"",IFERROR(INDEX(Налоги!$K$26:$L$55,MATCH($F102&amp;"10komm",Налоги!$K$26:$K$55,0),2),""))</f>
        <v/>
      </c>
      <c r="BP102" s="1138"/>
      <c r="BS102" s="966" t="s">
        <v>1930</v>
      </c>
    </row>
    <row r="103" spans="2:75" ht="65.849999999999994" hidden="1" customHeight="1">
      <c r="C103" s="26"/>
      <c r="D103" s="26"/>
      <c r="E103" s="538">
        <v>67.5</v>
      </c>
      <c r="F103" s="3" cm="1">
        <f t="array" aca="1" ref="F103" ca="1">OFFSET(E103,-1,1)</f>
        <v>0</v>
      </c>
      <c r="G103" s="26" t="s">
        <v>1295</v>
      </c>
      <c r="H103" s="26"/>
      <c r="I103" s="26" t="s">
        <v>843</v>
      </c>
      <c r="J103" s="26"/>
      <c r="K103" s="77" t="s">
        <v>843</v>
      </c>
      <c r="L103" s="882"/>
      <c r="M103" s="26"/>
      <c r="N103" s="26"/>
      <c r="O103" s="26"/>
      <c r="P103" s="26"/>
      <c r="Q103" s="26"/>
      <c r="R103" s="26"/>
      <c r="S103" s="26"/>
      <c r="T103" s="381" t="b" cm="1">
        <f t="array" aca="1" ref="T103" ca="1">T102</f>
        <v>0</v>
      </c>
      <c r="U103" s="26"/>
      <c r="V103" s="26"/>
      <c r="W103" s="26"/>
      <c r="X103" s="1787"/>
      <c r="Z103" s="1735"/>
      <c r="AB103" s="216" t="s">
        <v>844</v>
      </c>
      <c r="AC103" s="696" t="s">
        <v>1298</v>
      </c>
      <c r="AD103" s="216" t="s">
        <v>766</v>
      </c>
      <c r="AE103" s="1144"/>
      <c r="AF103" s="1144"/>
      <c r="AG103" s="1144"/>
      <c r="AH103" s="1015">
        <f t="shared" si="9"/>
        <v>0</v>
      </c>
      <c r="AI103" s="1144"/>
      <c r="AJ103" s="1474"/>
      <c r="AK103" s="1144"/>
      <c r="AL103" s="1144"/>
      <c r="AM103" s="1144"/>
      <c r="AN103" s="1144"/>
      <c r="AO103" s="1144"/>
      <c r="AP103" s="1144"/>
      <c r="AQ103" s="1144"/>
      <c r="AR103" s="1144"/>
      <c r="AS103" s="1144"/>
      <c r="AT103" s="1474"/>
      <c r="AU103" s="1144"/>
      <c r="AV103" s="1144"/>
      <c r="AW103" s="1144"/>
      <c r="AX103" s="1144"/>
      <c r="AY103" s="1144"/>
      <c r="AZ103" s="1144"/>
      <c r="BA103" s="1144"/>
      <c r="BB103" s="1144"/>
      <c r="BC103" s="1144"/>
      <c r="BD103" s="1015">
        <f t="shared" si="11"/>
        <v>0</v>
      </c>
      <c r="BE103" s="1015">
        <f t="shared" si="12"/>
        <v>0</v>
      </c>
      <c r="BF103" s="1015">
        <f t="shared" si="13"/>
        <v>0</v>
      </c>
      <c r="BG103" s="1015">
        <f t="shared" si="14"/>
        <v>0</v>
      </c>
      <c r="BH103" s="1015">
        <f t="shared" si="15"/>
        <v>0</v>
      </c>
      <c r="BI103" s="1015">
        <f t="shared" si="16"/>
        <v>0</v>
      </c>
      <c r="BJ103" s="1015">
        <f t="shared" si="17"/>
        <v>0</v>
      </c>
      <c r="BK103" s="1015">
        <f t="shared" si="18"/>
        <v>0</v>
      </c>
      <c r="BL103" s="1015">
        <f t="shared" si="19"/>
        <v>0</v>
      </c>
      <c r="BM103" s="1015">
        <f t="shared" si="20"/>
        <v>0</v>
      </c>
      <c r="BN103" s="1138"/>
      <c r="BO103" s="1138"/>
      <c r="BP103" s="1138"/>
      <c r="BS103" s="966" t="s">
        <v>1931</v>
      </c>
    </row>
    <row r="104" spans="2:75" ht="14.65" hidden="1" customHeight="1">
      <c r="C104" s="26"/>
      <c r="D104" s="26"/>
      <c r="E104" s="538">
        <v>15</v>
      </c>
      <c r="F104" s="3" cm="1">
        <f t="array" aca="1" ref="F104" ca="1">OFFSET(E104,-1,1)</f>
        <v>0</v>
      </c>
      <c r="G104" s="26" t="s">
        <v>919</v>
      </c>
      <c r="H104" s="26"/>
      <c r="I104" s="26" t="s">
        <v>846</v>
      </c>
      <c r="J104" s="26"/>
      <c r="K104" s="77" t="s">
        <v>846</v>
      </c>
      <c r="L104" s="882" t="s">
        <v>477</v>
      </c>
      <c r="M104" s="26"/>
      <c r="N104" s="26"/>
      <c r="O104" s="26"/>
      <c r="P104" s="26"/>
      <c r="Q104" s="26"/>
      <c r="R104" s="26"/>
      <c r="S104" s="26"/>
      <c r="T104" s="381" t="b" cm="1">
        <f t="array" aca="1" ref="T104" ca="1">T103</f>
        <v>0</v>
      </c>
      <c r="U104" s="26"/>
      <c r="V104" s="26"/>
      <c r="W104" s="26"/>
      <c r="X104" s="1787"/>
      <c r="Z104" s="1735"/>
      <c r="AB104" s="216" t="s">
        <v>847</v>
      </c>
      <c r="AC104" s="676" t="s">
        <v>919</v>
      </c>
      <c r="AD104" s="216" t="s">
        <v>766</v>
      </c>
      <c r="AE104" s="1015">
        <f ca="1">SUMIFS(Аренда!AE$25:AE$47,Аренда!$F$25:$F$47,$F104,Аренда!$G$25:$G$47,"Арендная и концессионная плата, лизинговые платежи")</f>
        <v>0</v>
      </c>
      <c r="AF104" s="1015">
        <f ca="1">SUMIFS(Аренда!AF$25:AF$47,Аренда!$F$25:$F$47,$F104,Аренда!$G$25:$G$47,"Арендная и концессионная плата, лизинговые платежи")</f>
        <v>0</v>
      </c>
      <c r="AG104" s="1015">
        <f ca="1">SUMIFS(Аренда!AG$25:AG$47,Аренда!$F$25:$F$47,$F104,Аренда!$G$25:$G$47,"Арендная и концессионная плата, лизинговые платежи")</f>
        <v>0</v>
      </c>
      <c r="AH104" s="1015">
        <f t="shared" ca="1" si="9"/>
        <v>0</v>
      </c>
      <c r="AI104" s="1015">
        <f ca="1">SUMIFS(Аренда!AH$25:AH$47,Аренда!$F$25:$F$47,$F104,Аренда!$G$25:$G$47,"Арендная и концессионная плата, лизинговые платежи")</f>
        <v>0</v>
      </c>
      <c r="AJ104" s="1015">
        <f ca="1">SUMIFS(Аренда!AI$25:AI$47,Аренда!$F$25:$F$47,$F104,Аренда!$G$25:$G$47,"Арендная и концессионная плата, лизинговые платежи")</f>
        <v>0</v>
      </c>
      <c r="AK104" s="1015">
        <f ca="1">SUMIFS(Аренда!AJ$25:AJ$47,Аренда!$F$25:$F$47,$F104,Аренда!$G$25:$G$47,"Арендная и концессионная плата, лизинговые платежи")</f>
        <v>0</v>
      </c>
      <c r="AL104" s="1015">
        <f ca="1">SUMIFS(Аренда!AK$25:AK$47,Аренда!$F$25:$F$47,$F104,Аренда!$G$25:$G$47,"Арендная и концессионная плата, лизинговые платежи")</f>
        <v>0</v>
      </c>
      <c r="AM104" s="1015">
        <f ca="1">SUMIFS(Аренда!AL$25:AL$47,Аренда!$F$25:$F$47,$F104,Аренда!$G$25:$G$47,"Арендная и концессионная плата, лизинговые платежи")</f>
        <v>0</v>
      </c>
      <c r="AN104" s="1015">
        <f ca="1">SUMIFS(Аренда!AM$25:AM$47,Аренда!$F$25:$F$47,$F104,Аренда!$G$25:$G$47,"Арендная и концессионная плата, лизинговые платежи")</f>
        <v>0</v>
      </c>
      <c r="AO104" s="1015">
        <f ca="1">SUMIFS(Аренда!AN$25:AN$47,Аренда!$F$25:$F$47,$F104,Аренда!$G$25:$G$47,"Арендная и концессионная плата, лизинговые платежи")</f>
        <v>0</v>
      </c>
      <c r="AP104" s="1015">
        <f ca="1">SUMIFS(Аренда!AO$25:AO$47,Аренда!$F$25:$F$47,$F104,Аренда!$G$25:$G$47,"Арендная и концессионная плата, лизинговые платежи")</f>
        <v>0</v>
      </c>
      <c r="AQ104" s="1015">
        <f ca="1">SUMIFS(Аренда!AP$25:AP$47,Аренда!$F$25:$F$47,$F104,Аренда!$G$25:$G$47,"Арендная и концессионная плата, лизинговые платежи")</f>
        <v>0</v>
      </c>
      <c r="AR104" s="1015">
        <f ca="1">SUMIFS(Аренда!AQ$25:AQ$47,Аренда!$F$25:$F$47,$F104,Аренда!$G$25:$G$47,"Арендная и концессионная плата, лизинговые платежи")</f>
        <v>0</v>
      </c>
      <c r="AS104" s="1015">
        <f ca="1">SUMIFS(Аренда!AR$25:AR$47,Аренда!$F$25:$F$47,$F104,Аренда!$G$25:$G$47,"Арендная и концессионная плата, лизинговые платежи")</f>
        <v>0</v>
      </c>
      <c r="AT104" s="1015">
        <f ca="1">SUMIFS(Аренда!AS$25:AS$47,Аренда!$F$25:$F$47,$F104,Аренда!$G$25:$G$47,"Арендная и концессионная плата, лизинговые платежи")</f>
        <v>0</v>
      </c>
      <c r="AU104" s="1015">
        <f ca="1">SUMIFS(Аренда!AT$25:AT$47,Аренда!$F$25:$F$47,$F104,Аренда!$G$25:$G$47,"Арендная и концессионная плата, лизинговые платежи")</f>
        <v>0</v>
      </c>
      <c r="AV104" s="1015">
        <f ca="1">SUMIFS(Аренда!AU$25:AU$47,Аренда!$F$25:$F$47,$F104,Аренда!$G$25:$G$47,"Арендная и концессионная плата, лизинговые платежи")</f>
        <v>0</v>
      </c>
      <c r="AW104" s="1015">
        <f ca="1">SUMIFS(Аренда!AV$25:AV$47,Аренда!$F$25:$F$47,$F104,Аренда!$G$25:$G$47,"Арендная и концессионная плата, лизинговые платежи")</f>
        <v>0</v>
      </c>
      <c r="AX104" s="1015">
        <f ca="1">SUMIFS(Аренда!AW$25:AW$47,Аренда!$F$25:$F$47,$F104,Аренда!$G$25:$G$47,"Арендная и концессионная плата, лизинговые платежи")</f>
        <v>0</v>
      </c>
      <c r="AY104" s="1015">
        <f ca="1">SUMIFS(Аренда!AX$25:AX$47,Аренда!$F$25:$F$47,$F104,Аренда!$G$25:$G$47,"Арендная и концессионная плата, лизинговые платежи")</f>
        <v>0</v>
      </c>
      <c r="AZ104" s="1015">
        <f ca="1">SUMIFS(Аренда!AY$25:AY$47,Аренда!$F$25:$F$47,$F104,Аренда!$G$25:$G$47,"Арендная и концессионная плата, лизинговые платежи")</f>
        <v>0</v>
      </c>
      <c r="BA104" s="1015">
        <f ca="1">SUMIFS(Аренда!AZ$25:AZ$47,Аренда!$F$25:$F$47,$F104,Аренда!$G$25:$G$47,"Арендная и концессионная плата, лизинговые платежи")</f>
        <v>0</v>
      </c>
      <c r="BB104" s="1015">
        <f ca="1">SUMIFS(Аренда!BA$25:BA$47,Аренда!$F$25:$F$47,$F104,Аренда!$G$25:$G$47,"Арендная и концессионная плата, лизинговые платежи")</f>
        <v>0</v>
      </c>
      <c r="BC104" s="1015">
        <f ca="1">SUMIFS(Аренда!BB$25:BB$47,Аренда!$F$25:$F$47,$F104,Аренда!$G$25:$G$47,"Арендная и концессионная плата, лизинговые платежи")</f>
        <v>0</v>
      </c>
      <c r="BD104" s="1015">
        <f t="shared" ca="1" si="11"/>
        <v>0</v>
      </c>
      <c r="BE104" s="1015">
        <f t="shared" ca="1" si="12"/>
        <v>0</v>
      </c>
      <c r="BF104" s="1015">
        <f t="shared" ca="1" si="13"/>
        <v>0</v>
      </c>
      <c r="BG104" s="1015">
        <f t="shared" ca="1" si="14"/>
        <v>0</v>
      </c>
      <c r="BH104" s="1015">
        <f t="shared" ca="1" si="15"/>
        <v>0</v>
      </c>
      <c r="BI104" s="1015">
        <f t="shared" ca="1" si="16"/>
        <v>0</v>
      </c>
      <c r="BJ104" s="1015">
        <f t="shared" ca="1" si="17"/>
        <v>0</v>
      </c>
      <c r="BK104" s="1015">
        <f t="shared" ca="1" si="18"/>
        <v>0</v>
      </c>
      <c r="BL104" s="1015">
        <f t="shared" ca="1" si="19"/>
        <v>0</v>
      </c>
      <c r="BM104" s="1015">
        <f t="shared" ca="1" si="20"/>
        <v>0</v>
      </c>
      <c r="BN104" s="1138"/>
      <c r="BO104" s="1145" t="str">
        <f ca="1">IF(IFERROR(INDEX(Аренда!$K$26:$L$47,MATCH($F104&amp;"komm",Аренда!$K$26:$K$47,0),2),"")=0,"",IFERROR(INDEX(Аренда!$K$26:$L$47,MATCH($F104&amp;"komm",Аренда!$K$26:$K$47,0),2),""))</f>
        <v/>
      </c>
      <c r="BP104" s="1138"/>
      <c r="BS104" s="966" t="s">
        <v>1932</v>
      </c>
    </row>
    <row r="105" spans="2:75" ht="14.65" hidden="1" customHeight="1">
      <c r="B105" s="349" t="b">
        <f>STATUS_GO="да"</f>
        <v>1</v>
      </c>
      <c r="C105" s="26"/>
      <c r="D105" s="26"/>
      <c r="E105" s="538">
        <v>15</v>
      </c>
      <c r="F105" s="3" cm="1">
        <f t="array" aca="1" ref="F105" ca="1">OFFSET(E105,-1,1)</f>
        <v>0</v>
      </c>
      <c r="G105" s="26"/>
      <c r="H105" s="26"/>
      <c r="I105" s="26" t="s">
        <v>1933</v>
      </c>
      <c r="J105" s="26"/>
      <c r="K105" s="77" t="s">
        <v>1933</v>
      </c>
      <c r="L105" s="882"/>
      <c r="M105" s="26"/>
      <c r="N105" s="26"/>
      <c r="O105" s="26"/>
      <c r="P105" s="26"/>
      <c r="Q105" s="26"/>
      <c r="R105" s="26"/>
      <c r="S105" s="26"/>
      <c r="T105" s="381" t="b" cm="1">
        <f t="array" aca="1" ref="T105" ca="1">T104</f>
        <v>0</v>
      </c>
      <c r="U105" s="26"/>
      <c r="V105" s="26"/>
      <c r="W105" s="26"/>
      <c r="X105" s="1787"/>
      <c r="Z105" s="1735"/>
      <c r="AB105" s="216" t="s">
        <v>1362</v>
      </c>
      <c r="AC105" s="676" t="s">
        <v>1934</v>
      </c>
      <c r="AD105" s="216" t="s">
        <v>766</v>
      </c>
      <c r="AE105" s="1141" cm="1">
        <f t="array" aca="1" ref="AE105" ca="1">AE106</f>
        <v>0</v>
      </c>
      <c r="AF105" s="1141" cm="1">
        <f t="array" aca="1" ref="AF105" ca="1">AF106</f>
        <v>0</v>
      </c>
      <c r="AG105" s="1141" cm="1">
        <f t="array" aca="1" ref="AG105" ca="1">AG106</f>
        <v>0</v>
      </c>
      <c r="AH105" s="1015">
        <f t="shared" ca="1" si="9"/>
        <v>0</v>
      </c>
      <c r="AI105" s="1141" cm="1">
        <f t="array" aca="1" ref="AI105" ca="1">AI106</f>
        <v>0</v>
      </c>
      <c r="AJ105" s="1473" cm="1">
        <f t="array" aca="1" ref="AJ105" ca="1">AJ106</f>
        <v>0</v>
      </c>
      <c r="AK105" s="1141" cm="1">
        <f t="array" ref="AK105">AK106</f>
        <v>0</v>
      </c>
      <c r="AL105" s="1141" cm="1">
        <f t="array" ref="AL105">AL106</f>
        <v>0</v>
      </c>
      <c r="AM105" s="1141" cm="1">
        <f t="array" ref="AM105">AM106</f>
        <v>0</v>
      </c>
      <c r="AN105" s="1141" cm="1">
        <f t="array" ref="AN105">AN106</f>
        <v>0</v>
      </c>
      <c r="AO105" s="1141" cm="1">
        <f t="array" ref="AO105">AO106</f>
        <v>0</v>
      </c>
      <c r="AP105" s="1141" cm="1">
        <f t="array" ref="AP105">AP106</f>
        <v>0</v>
      </c>
      <c r="AQ105" s="1141" cm="1">
        <f t="array" ref="AQ105">AQ106</f>
        <v>0</v>
      </c>
      <c r="AR105" s="1141" cm="1">
        <f t="array" ref="AR105">AR106</f>
        <v>0</v>
      </c>
      <c r="AS105" s="1141" cm="1">
        <f t="array" ref="AS105">AS106</f>
        <v>0</v>
      </c>
      <c r="AT105" s="1473" cm="1">
        <f t="array" aca="1" ref="AT105" ca="1">AT106</f>
        <v>0</v>
      </c>
      <c r="AU105" s="1141" cm="1">
        <f t="array" ref="AU105">AU106</f>
        <v>0</v>
      </c>
      <c r="AV105" s="1141" cm="1">
        <f t="array" ref="AV105">AV106</f>
        <v>0</v>
      </c>
      <c r="AW105" s="1141" cm="1">
        <f t="array" ref="AW105">AW106</f>
        <v>0</v>
      </c>
      <c r="AX105" s="1141" cm="1">
        <f t="array" ref="AX105">AX106</f>
        <v>0</v>
      </c>
      <c r="AY105" s="1141" cm="1">
        <f t="array" ref="AY105">AY106</f>
        <v>0</v>
      </c>
      <c r="AZ105" s="1141" cm="1">
        <f t="array" ref="AZ105">AZ106</f>
        <v>0</v>
      </c>
      <c r="BA105" s="1141" cm="1">
        <f t="array" ref="BA105">BA106</f>
        <v>0</v>
      </c>
      <c r="BB105" s="1141" cm="1">
        <f t="array" ref="BB105">BB106</f>
        <v>0</v>
      </c>
      <c r="BC105" s="1141" cm="1">
        <f t="array" ref="BC105">BC106</f>
        <v>0</v>
      </c>
      <c r="BD105" s="1015">
        <f t="shared" ca="1" si="11"/>
        <v>0</v>
      </c>
      <c r="BE105" s="1015">
        <f t="shared" ca="1" si="12"/>
        <v>0</v>
      </c>
      <c r="BF105" s="1015">
        <f t="shared" si="13"/>
        <v>0</v>
      </c>
      <c r="BG105" s="1015">
        <f t="shared" si="14"/>
        <v>0</v>
      </c>
      <c r="BH105" s="1015">
        <f t="shared" si="15"/>
        <v>0</v>
      </c>
      <c r="BI105" s="1015">
        <f t="shared" si="16"/>
        <v>0</v>
      </c>
      <c r="BJ105" s="1015">
        <f t="shared" si="17"/>
        <v>0</v>
      </c>
      <c r="BK105" s="1015">
        <f t="shared" si="18"/>
        <v>0</v>
      </c>
      <c r="BL105" s="1015">
        <f t="shared" si="19"/>
        <v>0</v>
      </c>
      <c r="BM105" s="1015">
        <f t="shared" si="20"/>
        <v>0</v>
      </c>
      <c r="BN105" s="1138"/>
      <c r="BO105" s="1138"/>
      <c r="BP105" s="1138"/>
      <c r="BS105" s="966" t="s">
        <v>1935</v>
      </c>
    </row>
    <row r="106" spans="2:75" ht="14.65" hidden="1" customHeight="1">
      <c r="B106" s="349" t="b">
        <f>STATUS_GO="да"</f>
        <v>1</v>
      </c>
      <c r="C106" s="26"/>
      <c r="D106" s="26"/>
      <c r="E106" s="538">
        <v>15</v>
      </c>
      <c r="F106" s="3" cm="1">
        <f t="array" aca="1" ref="F106" ca="1">OFFSET(E106,-1,1)</f>
        <v>0</v>
      </c>
      <c r="G106" s="26" t="s">
        <v>1304</v>
      </c>
      <c r="H106" s="26"/>
      <c r="I106" s="26" t="s">
        <v>1936</v>
      </c>
      <c r="J106" s="26"/>
      <c r="K106" s="77" t="s">
        <v>1936</v>
      </c>
      <c r="L106" s="882"/>
      <c r="M106" s="26"/>
      <c r="N106" s="26"/>
      <c r="O106" s="26"/>
      <c r="P106" s="26"/>
      <c r="Q106" s="26"/>
      <c r="R106" s="26"/>
      <c r="S106" s="26"/>
      <c r="T106" s="381" t="b" cm="1">
        <f t="array" aca="1" ref="T106" ca="1">T105</f>
        <v>0</v>
      </c>
      <c r="U106" s="26"/>
      <c r="V106" s="26"/>
      <c r="W106" s="26"/>
      <c r="X106" s="1787"/>
      <c r="Z106" s="1735"/>
      <c r="AB106" s="216" t="s">
        <v>1937</v>
      </c>
      <c r="AC106" s="679" t="s">
        <v>1304</v>
      </c>
      <c r="AD106" s="216" t="s">
        <v>766</v>
      </c>
      <c r="AE106" s="1015">
        <f ca="1">SUMIFS('Сбытовые расходы ГО'!AE$25:AE$51,'Сбытовые расходы ГО'!$F$25:$F$51,$F106,'Сбытовые расходы ГО'!$G$25:$G$51,"l1")</f>
        <v>0</v>
      </c>
      <c r="AF106" s="1015">
        <f ca="1">SUMIFS('Сбытовые расходы ГО'!AF$25:AF$51,'Сбытовые расходы ГО'!$F$25:$F$51,$F106,'Сбытовые расходы ГО'!$G$25:$G$51,"l1")</f>
        <v>0</v>
      </c>
      <c r="AG106" s="1015">
        <f ca="1">SUMIFS('Сбытовые расходы ГО'!AG$25:AG$51,'Сбытовые расходы ГО'!$F$25:$F$51,$F106,'Сбытовые расходы ГО'!$G$25:$G$51,"l1")</f>
        <v>0</v>
      </c>
      <c r="AH106" s="1015">
        <f t="shared" ca="1" si="9"/>
        <v>0</v>
      </c>
      <c r="AI106" s="1015">
        <f ca="1">SUMIFS('Сбытовые расходы ГО'!AH$25:AH$51,'Сбытовые расходы ГО'!$F$25:$F$51,$F106,'Сбытовые расходы ГО'!$G$25:$G$51,"l1")</f>
        <v>0</v>
      </c>
      <c r="AJ106" s="1015">
        <f ca="1">SUMIFS('Сбытовые расходы ГО'!AI$25:AI$51,'Сбытовые расходы ГО'!$F$25:$F$51,$F106,'Сбытовые расходы ГО'!$G$25:$G$51,"l1")</f>
        <v>0</v>
      </c>
      <c r="AK106" s="1141"/>
      <c r="AL106" s="1141"/>
      <c r="AM106" s="1141"/>
      <c r="AN106" s="1141"/>
      <c r="AO106" s="1141"/>
      <c r="AP106" s="1141"/>
      <c r="AQ106" s="1141"/>
      <c r="AR106" s="1141"/>
      <c r="AS106" s="1141"/>
      <c r="AT106" s="1015">
        <f ca="1">SUMIFS('Сбытовые расходы ГО'!AJ$25:AJ$51,'Сбытовые расходы ГО'!$F$25:$F$51,$F106,'Сбытовые расходы ГО'!$G$25:$G$51,"l1")</f>
        <v>0</v>
      </c>
      <c r="AU106" s="1141"/>
      <c r="AV106" s="1141"/>
      <c r="AW106" s="1141"/>
      <c r="AX106" s="1141"/>
      <c r="AY106" s="1141"/>
      <c r="AZ106" s="1141"/>
      <c r="BA106" s="1141"/>
      <c r="BB106" s="1141"/>
      <c r="BC106" s="1141"/>
      <c r="BD106" s="1015">
        <f t="shared" ca="1" si="11"/>
        <v>0</v>
      </c>
      <c r="BE106" s="1015">
        <f t="shared" ca="1" si="12"/>
        <v>0</v>
      </c>
      <c r="BF106" s="1015">
        <f t="shared" si="13"/>
        <v>0</v>
      </c>
      <c r="BG106" s="1015">
        <f t="shared" si="14"/>
        <v>0</v>
      </c>
      <c r="BH106" s="1015">
        <f t="shared" si="15"/>
        <v>0</v>
      </c>
      <c r="BI106" s="1015">
        <f t="shared" si="16"/>
        <v>0</v>
      </c>
      <c r="BJ106" s="1015">
        <f t="shared" si="17"/>
        <v>0</v>
      </c>
      <c r="BK106" s="1015">
        <f t="shared" si="18"/>
        <v>0</v>
      </c>
      <c r="BL106" s="1015">
        <f t="shared" si="19"/>
        <v>0</v>
      </c>
      <c r="BM106" s="1015">
        <f t="shared" si="20"/>
        <v>0</v>
      </c>
      <c r="BN106" s="1138"/>
      <c r="BO106" s="1145" t="str">
        <f ca="1">IF(IFERROR(INDEX('Сбытовые расходы ГО'!$K$26:$M$51,MATCH($F106&amp;"komm",'Сбытовые расходы ГО'!$K$26:$K$51,0),2),"")=0,"",IFERROR(INDEX('Сбытовые расходы ГО'!$K$26:$M$51,MATCH($F106&amp;"komm",'Сбытовые расходы ГО'!$K$26:$K$51,0),2),""))</f>
        <v/>
      </c>
      <c r="BP106" s="1138"/>
      <c r="BS106" s="966" t="s">
        <v>1938</v>
      </c>
    </row>
    <row r="107" spans="2:75" ht="14.65" hidden="1" customHeight="1">
      <c r="C107" s="26"/>
      <c r="D107" s="26"/>
      <c r="E107" s="538">
        <v>15</v>
      </c>
      <c r="F107" s="3" cm="1">
        <f t="array" aca="1" ref="F107" ca="1">OFFSET(E107,-1,1)</f>
        <v>0</v>
      </c>
      <c r="G107" s="26" t="s">
        <v>1309</v>
      </c>
      <c r="H107" s="26"/>
      <c r="I107" s="26" t="s">
        <v>1939</v>
      </c>
      <c r="J107" s="26"/>
      <c r="K107" s="77" t="s">
        <v>1939</v>
      </c>
      <c r="L107" s="882"/>
      <c r="M107" s="26"/>
      <c r="N107" s="26"/>
      <c r="O107" s="26"/>
      <c r="P107" s="26"/>
      <c r="Q107" s="26"/>
      <c r="R107" s="26"/>
      <c r="S107" s="26"/>
      <c r="T107" s="381" t="b" cm="1">
        <f t="array" aca="1" ref="T107" ca="1">T106</f>
        <v>0</v>
      </c>
      <c r="U107" s="26"/>
      <c r="V107" s="26"/>
      <c r="W107" s="26"/>
      <c r="X107" s="1787"/>
      <c r="Z107" s="1735"/>
      <c r="AB107" s="216" t="s">
        <v>1367</v>
      </c>
      <c r="AC107" s="676" t="s">
        <v>1309</v>
      </c>
      <c r="AD107" s="216" t="s">
        <v>766</v>
      </c>
      <c r="AE107" s="1141"/>
      <c r="AF107" s="1141"/>
      <c r="AG107" s="1141"/>
      <c r="AH107" s="1015">
        <f t="shared" si="9"/>
        <v>0</v>
      </c>
      <c r="AI107" s="1141"/>
      <c r="AJ107" s="1473">
        <f ca="1">SUMIFS(Экономия_корр!AE$25:AE$43,Экономия_корр!$F$25:$F$43,$F107,Экономия_корр!$AC$25:$AC$43,"Экономия расходов с учетом ИПЦ")</f>
        <v>0</v>
      </c>
      <c r="AK107" s="1141">
        <f ca="1">SUMIFS(Экономия_корр!AF$25:AF$43,Экономия_корр!$F$25:$F$43,$F107,Экономия_корр!$AC$25:$AC$43,"Экономия расходов с учетом ИПЦ")</f>
        <v>0</v>
      </c>
      <c r="AL107" s="1141">
        <f ca="1">SUMIFS(Экономия_корр!AG$25:AG$43,Экономия_корр!$F$25:$F$43,$F107,Экономия_корр!$AC$25:$AC$43,"Экономия расходов с учетом ИПЦ")</f>
        <v>0</v>
      </c>
      <c r="AM107" s="1141">
        <f ca="1">SUMIFS(Экономия_корр!AH$25:AH$43,Экономия_корр!$F$25:$F$43,$F107,Экономия_корр!$AC$25:$AC$43,"Экономия расходов с учетом ИПЦ")</f>
        <v>0</v>
      </c>
      <c r="AN107" s="1141">
        <f ca="1">SUMIFS(Экономия_корр!AI$25:AI$43,Экономия_корр!$F$25:$F$43,$F107,Экономия_корр!$AC$25:$AC$43,"Экономия расходов с учетом ИПЦ")</f>
        <v>0</v>
      </c>
      <c r="AO107" s="1141">
        <f ca="1">SUMIFS(Экономия_корр!AJ$25:AJ$43,Экономия_корр!$F$25:$F$43,$F107,Экономия_корр!$AC$25:$AC$43,"Экономия расходов с учетом ИПЦ")</f>
        <v>0</v>
      </c>
      <c r="AP107" s="1141">
        <f ca="1">SUMIFS(Экономия_корр!AK$25:AK$43,Экономия_корр!$F$25:$F$43,$F107,Экономия_корр!$AC$25:$AC$43,"Экономия расходов с учетом ИПЦ")</f>
        <v>0</v>
      </c>
      <c r="AQ107" s="1141">
        <f ca="1">SUMIFS(Экономия_корр!AL$25:AL$43,Экономия_корр!$F$25:$F$43,$F107,Экономия_корр!$AC$25:$AC$43,"Экономия расходов с учетом ИПЦ")</f>
        <v>0</v>
      </c>
      <c r="AR107" s="1141">
        <f ca="1">SUMIFS(Экономия_корр!AM$25:AM$43,Экономия_корр!$F$25:$F$43,$F107,Экономия_корр!$AC$25:$AC$43,"Экономия расходов с учетом ИПЦ")</f>
        <v>0</v>
      </c>
      <c r="AS107" s="1141">
        <f ca="1">SUMIFS(Экономия_корр!AN$25:AN$43,Экономия_корр!$F$25:$F$43,$F107,Экономия_корр!$AC$25:$AC$43,"Экономия расходов с учетом ИПЦ")</f>
        <v>0</v>
      </c>
      <c r="AT107" s="1473">
        <f ca="1">SUMIFS(Экономия_корр!AO$25:AO$43,Экономия_корр!$F$25:$F$43,$F107,Экономия_корр!$AC$25:$AC$43,"Экономия расходов с учетом ИПЦ")</f>
        <v>0</v>
      </c>
      <c r="AU107" s="1141">
        <f ca="1">SUMIFS(Экономия_корр!AP$25:AP$43,Экономия_корр!$F$25:$F$43,$F107,Экономия_корр!$AC$25:$AC$43,"Экономия расходов с учетом ИПЦ")</f>
        <v>0</v>
      </c>
      <c r="AV107" s="1141">
        <f ca="1">SUMIFS(Экономия_корр!AQ$25:AQ$43,Экономия_корр!$F$25:$F$43,$F107,Экономия_корр!$AC$25:$AC$43,"Экономия расходов с учетом ИПЦ")</f>
        <v>0</v>
      </c>
      <c r="AW107" s="1141">
        <f ca="1">SUMIFS(Экономия_корр!AR$25:AR$43,Экономия_корр!$F$25:$F$43,$F107,Экономия_корр!$AC$25:$AC$43,"Экономия расходов с учетом ИПЦ")</f>
        <v>0</v>
      </c>
      <c r="AX107" s="1141">
        <f ca="1">SUMIFS(Экономия_корр!AS$25:AS$43,Экономия_корр!$F$25:$F$43,$F107,Экономия_корр!$AC$25:$AC$43,"Экономия расходов с учетом ИПЦ")</f>
        <v>0</v>
      </c>
      <c r="AY107" s="1141">
        <f ca="1">SUMIFS(Экономия_корр!AT$25:AT$43,Экономия_корр!$F$25:$F$43,$F107,Экономия_корр!$AC$25:$AC$43,"Экономия расходов с учетом ИПЦ")</f>
        <v>0</v>
      </c>
      <c r="AZ107" s="1141">
        <f ca="1">SUMIFS(Экономия_корр!AU$25:AU$43,Экономия_корр!$F$25:$F$43,$F107,Экономия_корр!$AC$25:$AC$43,"Экономия расходов с учетом ИПЦ")</f>
        <v>0</v>
      </c>
      <c r="BA107" s="1141">
        <f ca="1">SUMIFS(Экономия_корр!AV$25:AV$43,Экономия_корр!$F$25:$F$43,$F107,Экономия_корр!$AC$25:$AC$43,"Экономия расходов с учетом ИПЦ")</f>
        <v>0</v>
      </c>
      <c r="BB107" s="1141">
        <f ca="1">SUMIFS(Экономия_корр!AW$25:AW$43,Экономия_корр!$F$25:$F$43,$F107,Экономия_корр!$AC$25:$AC$43,"Экономия расходов с учетом ИПЦ")</f>
        <v>0</v>
      </c>
      <c r="BC107" s="1141">
        <f ca="1">SUMIFS(Экономия_корр!AX$25:AX$43,Экономия_корр!$F$25:$F$43,$F107,Экономия_корр!$AC$25:$AC$43,"Экономия расходов с учетом ИПЦ")</f>
        <v>0</v>
      </c>
      <c r="BD107" s="1015">
        <f t="shared" si="11"/>
        <v>0</v>
      </c>
      <c r="BE107" s="1015">
        <f t="shared" ca="1" si="12"/>
        <v>0</v>
      </c>
      <c r="BF107" s="1015">
        <f t="shared" ca="1" si="13"/>
        <v>0</v>
      </c>
      <c r="BG107" s="1015">
        <f t="shared" ca="1" si="14"/>
        <v>0</v>
      </c>
      <c r="BH107" s="1015">
        <f t="shared" ca="1" si="15"/>
        <v>0</v>
      </c>
      <c r="BI107" s="1015">
        <f t="shared" ca="1" si="16"/>
        <v>0</v>
      </c>
      <c r="BJ107" s="1015">
        <f t="shared" ca="1" si="17"/>
        <v>0</v>
      </c>
      <c r="BK107" s="1015">
        <f t="shared" ca="1" si="18"/>
        <v>0</v>
      </c>
      <c r="BL107" s="1015">
        <f t="shared" ca="1" si="19"/>
        <v>0</v>
      </c>
      <c r="BM107" s="1015">
        <f t="shared" ca="1" si="20"/>
        <v>0</v>
      </c>
      <c r="BN107" s="1138"/>
      <c r="BO107" s="1138"/>
      <c r="BP107" s="1138"/>
      <c r="BS107" s="966" t="s">
        <v>1940</v>
      </c>
    </row>
    <row r="108" spans="2:75" ht="14.65" hidden="1" customHeight="1">
      <c r="C108" s="26"/>
      <c r="D108" s="26"/>
      <c r="E108" s="538">
        <v>15</v>
      </c>
      <c r="F108" s="3" cm="1">
        <f t="array" aca="1" ref="F108" ca="1">OFFSET(E108,-1,1)</f>
        <v>0</v>
      </c>
      <c r="G108" s="26" t="s">
        <v>1314</v>
      </c>
      <c r="H108" s="26"/>
      <c r="I108" s="26" t="s">
        <v>1941</v>
      </c>
      <c r="J108" s="26"/>
      <c r="K108" s="77" t="s">
        <v>1941</v>
      </c>
      <c r="L108" s="882"/>
      <c r="M108" s="26"/>
      <c r="N108" s="26"/>
      <c r="O108" s="26"/>
      <c r="P108" s="26"/>
      <c r="Q108" s="26"/>
      <c r="R108" s="26"/>
      <c r="S108" s="26"/>
      <c r="T108" s="381" t="b" cm="1">
        <f t="array" aca="1" ref="T108" ca="1">T107</f>
        <v>0</v>
      </c>
      <c r="U108" s="26"/>
      <c r="V108" s="26"/>
      <c r="W108" s="26"/>
      <c r="X108" s="1787"/>
      <c r="Z108" s="1735"/>
      <c r="AB108" s="216" t="s">
        <v>1942</v>
      </c>
      <c r="AC108" s="676" t="s">
        <v>1314</v>
      </c>
      <c r="AD108" s="216" t="s">
        <v>766</v>
      </c>
      <c r="AE108" s="1141"/>
      <c r="AF108" s="1141"/>
      <c r="AG108" s="1141"/>
      <c r="AH108" s="1015">
        <f t="shared" si="9"/>
        <v>0</v>
      </c>
      <c r="AI108" s="1141"/>
      <c r="AJ108" s="1473"/>
      <c r="AK108" s="1141"/>
      <c r="AL108" s="1141"/>
      <c r="AM108" s="1141"/>
      <c r="AN108" s="1141"/>
      <c r="AO108" s="1141"/>
      <c r="AP108" s="1141"/>
      <c r="AQ108" s="1141"/>
      <c r="AR108" s="1141"/>
      <c r="AS108" s="1141"/>
      <c r="AT108" s="1473"/>
      <c r="AU108" s="1141"/>
      <c r="AV108" s="1141"/>
      <c r="AW108" s="1141"/>
      <c r="AX108" s="1141"/>
      <c r="AY108" s="1141"/>
      <c r="AZ108" s="1141"/>
      <c r="BA108" s="1141"/>
      <c r="BB108" s="1141"/>
      <c r="BC108" s="1141"/>
      <c r="BD108" s="1015">
        <f t="shared" si="11"/>
        <v>0</v>
      </c>
      <c r="BE108" s="1015">
        <f t="shared" si="12"/>
        <v>0</v>
      </c>
      <c r="BF108" s="1015">
        <f t="shared" si="13"/>
        <v>0</v>
      </c>
      <c r="BG108" s="1015">
        <f t="shared" si="14"/>
        <v>0</v>
      </c>
      <c r="BH108" s="1015">
        <f t="shared" si="15"/>
        <v>0</v>
      </c>
      <c r="BI108" s="1015">
        <f t="shared" si="16"/>
        <v>0</v>
      </c>
      <c r="BJ108" s="1015">
        <f t="shared" si="17"/>
        <v>0</v>
      </c>
      <c r="BK108" s="1015">
        <f t="shared" si="18"/>
        <v>0</v>
      </c>
      <c r="BL108" s="1015">
        <f t="shared" si="19"/>
        <v>0</v>
      </c>
      <c r="BM108" s="1015">
        <f t="shared" si="20"/>
        <v>0</v>
      </c>
      <c r="BN108" s="1138"/>
      <c r="BO108" s="1138"/>
      <c r="BP108" s="1138"/>
      <c r="BS108" s="966" t="s">
        <v>1664</v>
      </c>
    </row>
    <row r="109" spans="2:75" ht="14.65" hidden="1" customHeight="1">
      <c r="C109" s="26"/>
      <c r="D109" s="26"/>
      <c r="E109" s="538">
        <v>15</v>
      </c>
      <c r="F109" s="3" cm="1">
        <f t="array" aca="1" ref="F109" ca="1">OFFSET(E109,-1,1)</f>
        <v>0</v>
      </c>
      <c r="G109" s="26" t="s">
        <v>1319</v>
      </c>
      <c r="H109" s="26"/>
      <c r="I109" s="26" t="s">
        <v>1943</v>
      </c>
      <c r="J109" s="26"/>
      <c r="K109" s="77" t="s">
        <v>1943</v>
      </c>
      <c r="L109" s="882"/>
      <c r="M109" s="26"/>
      <c r="N109" s="26"/>
      <c r="O109" s="26"/>
      <c r="P109" s="26"/>
      <c r="Q109" s="26"/>
      <c r="R109" s="26"/>
      <c r="S109" s="26"/>
      <c r="T109" s="381" t="b" cm="1">
        <f t="array" aca="1" ref="T109" ca="1">T108</f>
        <v>0</v>
      </c>
      <c r="U109" s="26"/>
      <c r="V109" s="26"/>
      <c r="W109" s="26"/>
      <c r="X109" s="1787"/>
      <c r="Z109" s="1735"/>
      <c r="AB109" s="216" t="s">
        <v>1386</v>
      </c>
      <c r="AC109" s="676" t="s">
        <v>1319</v>
      </c>
      <c r="AD109" s="216" t="s">
        <v>766</v>
      </c>
      <c r="AE109" s="1141"/>
      <c r="AF109" s="1141"/>
      <c r="AG109" s="1141"/>
      <c r="AH109" s="1015">
        <f t="shared" si="9"/>
        <v>0</v>
      </c>
      <c r="AI109" s="1141"/>
      <c r="AJ109" s="1473"/>
      <c r="AK109" s="1141"/>
      <c r="AL109" s="1141"/>
      <c r="AM109" s="1141"/>
      <c r="AN109" s="1141"/>
      <c r="AO109" s="1141"/>
      <c r="AP109" s="1141"/>
      <c r="AQ109" s="1141"/>
      <c r="AR109" s="1141"/>
      <c r="AS109" s="1141"/>
      <c r="AT109" s="1473"/>
      <c r="AU109" s="1141"/>
      <c r="AV109" s="1141"/>
      <c r="AW109" s="1141"/>
      <c r="AX109" s="1141"/>
      <c r="AY109" s="1141"/>
      <c r="AZ109" s="1141"/>
      <c r="BA109" s="1141"/>
      <c r="BB109" s="1141"/>
      <c r="BC109" s="1141"/>
      <c r="BD109" s="1015">
        <f t="shared" si="11"/>
        <v>0</v>
      </c>
      <c r="BE109" s="1015">
        <f t="shared" si="12"/>
        <v>0</v>
      </c>
      <c r="BF109" s="1015">
        <f t="shared" si="13"/>
        <v>0</v>
      </c>
      <c r="BG109" s="1015">
        <f t="shared" si="14"/>
        <v>0</v>
      </c>
      <c r="BH109" s="1015">
        <f t="shared" si="15"/>
        <v>0</v>
      </c>
      <c r="BI109" s="1015">
        <f t="shared" si="16"/>
        <v>0</v>
      </c>
      <c r="BJ109" s="1015">
        <f t="shared" si="17"/>
        <v>0</v>
      </c>
      <c r="BK109" s="1015">
        <f t="shared" si="18"/>
        <v>0</v>
      </c>
      <c r="BL109" s="1015">
        <f t="shared" si="19"/>
        <v>0</v>
      </c>
      <c r="BM109" s="1015">
        <f t="shared" si="20"/>
        <v>0</v>
      </c>
      <c r="BN109" s="1138"/>
      <c r="BO109" s="1138"/>
      <c r="BP109" s="1138"/>
      <c r="BS109" s="966" t="s">
        <v>1944</v>
      </c>
    </row>
    <row r="110" spans="2:75" ht="14.65" hidden="1" customHeight="1">
      <c r="C110" s="26"/>
      <c r="D110" s="26"/>
      <c r="E110" s="538">
        <v>15</v>
      </c>
      <c r="F110" s="3" cm="1">
        <f t="array" aca="1" ref="F110" ca="1">OFFSET(E110,-1,1)</f>
        <v>0</v>
      </c>
      <c r="G110" s="26" t="s">
        <v>1324</v>
      </c>
      <c r="H110" s="26"/>
      <c r="I110" s="26" t="s">
        <v>1945</v>
      </c>
      <c r="J110" s="26"/>
      <c r="K110" s="77" t="s">
        <v>1945</v>
      </c>
      <c r="L110" s="882"/>
      <c r="M110" s="26"/>
      <c r="N110" s="26"/>
      <c r="O110" s="26"/>
      <c r="P110" s="26"/>
      <c r="Q110" s="26"/>
      <c r="R110" s="26"/>
      <c r="S110" s="26"/>
      <c r="T110" s="381" t="b" cm="1">
        <f t="array" aca="1" ref="T110" ca="1">T109</f>
        <v>0</v>
      </c>
      <c r="U110" s="26"/>
      <c r="V110" s="26"/>
      <c r="W110" s="26"/>
      <c r="X110" s="1787"/>
      <c r="Z110" s="1735"/>
      <c r="AB110" s="216" t="s">
        <v>1390</v>
      </c>
      <c r="AC110" s="676" t="s">
        <v>1324</v>
      </c>
      <c r="AD110" s="216" t="s">
        <v>766</v>
      </c>
      <c r="AE110" s="1017">
        <f>SUM(AE111,AE112)</f>
        <v>0</v>
      </c>
      <c r="AF110" s="1015">
        <f>SUM(AF111,AF112)</f>
        <v>0</v>
      </c>
      <c r="AG110" s="1015">
        <f>SUM(AG111,AG112)</f>
        <v>0</v>
      </c>
      <c r="AH110" s="1015">
        <f t="shared" si="9"/>
        <v>0</v>
      </c>
      <c r="AI110" s="1015">
        <f t="shared" ref="AI110:BC110" si="23">SUM(AI111,AI112)</f>
        <v>0</v>
      </c>
      <c r="AJ110" s="1017">
        <f t="shared" si="23"/>
        <v>0</v>
      </c>
      <c r="AK110" s="1015">
        <f t="shared" si="23"/>
        <v>0</v>
      </c>
      <c r="AL110" s="1015">
        <f t="shared" si="23"/>
        <v>0</v>
      </c>
      <c r="AM110" s="1015">
        <f t="shared" si="23"/>
        <v>0</v>
      </c>
      <c r="AN110" s="1015">
        <f t="shared" si="23"/>
        <v>0</v>
      </c>
      <c r="AO110" s="1015">
        <f t="shared" si="23"/>
        <v>0</v>
      </c>
      <c r="AP110" s="1015">
        <f t="shared" si="23"/>
        <v>0</v>
      </c>
      <c r="AQ110" s="1015">
        <f t="shared" si="23"/>
        <v>0</v>
      </c>
      <c r="AR110" s="1015">
        <f t="shared" si="23"/>
        <v>0</v>
      </c>
      <c r="AS110" s="1015">
        <f t="shared" si="23"/>
        <v>0</v>
      </c>
      <c r="AT110" s="1017">
        <f t="shared" si="23"/>
        <v>0</v>
      </c>
      <c r="AU110" s="1015">
        <f t="shared" si="23"/>
        <v>0</v>
      </c>
      <c r="AV110" s="1015">
        <f t="shared" si="23"/>
        <v>0</v>
      </c>
      <c r="AW110" s="1015">
        <f t="shared" si="23"/>
        <v>0</v>
      </c>
      <c r="AX110" s="1015">
        <f t="shared" si="23"/>
        <v>0</v>
      </c>
      <c r="AY110" s="1015">
        <f t="shared" si="23"/>
        <v>0</v>
      </c>
      <c r="AZ110" s="1015">
        <f t="shared" si="23"/>
        <v>0</v>
      </c>
      <c r="BA110" s="1015">
        <f t="shared" si="23"/>
        <v>0</v>
      </c>
      <c r="BB110" s="1015">
        <f t="shared" si="23"/>
        <v>0</v>
      </c>
      <c r="BC110" s="1015">
        <f t="shared" si="23"/>
        <v>0</v>
      </c>
      <c r="BD110" s="1015">
        <f t="shared" si="11"/>
        <v>0</v>
      </c>
      <c r="BE110" s="1015">
        <f t="shared" si="12"/>
        <v>0</v>
      </c>
      <c r="BF110" s="1015">
        <f t="shared" si="13"/>
        <v>0</v>
      </c>
      <c r="BG110" s="1015">
        <f t="shared" si="14"/>
        <v>0</v>
      </c>
      <c r="BH110" s="1015">
        <f t="shared" si="15"/>
        <v>0</v>
      </c>
      <c r="BI110" s="1015">
        <f t="shared" si="16"/>
        <v>0</v>
      </c>
      <c r="BJ110" s="1015">
        <f t="shared" si="17"/>
        <v>0</v>
      </c>
      <c r="BK110" s="1015">
        <f t="shared" si="18"/>
        <v>0</v>
      </c>
      <c r="BL110" s="1015">
        <f t="shared" si="19"/>
        <v>0</v>
      </c>
      <c r="BM110" s="1015">
        <f t="shared" si="20"/>
        <v>0</v>
      </c>
      <c r="BN110" s="1138"/>
      <c r="BO110" s="1138"/>
      <c r="BP110" s="1138"/>
      <c r="BS110" s="966" t="s">
        <v>1946</v>
      </c>
    </row>
    <row r="111" spans="2:75" ht="14.65" hidden="1" customHeight="1">
      <c r="C111" s="26"/>
      <c r="D111" s="26"/>
      <c r="E111" s="538">
        <v>15</v>
      </c>
      <c r="F111" s="3" cm="1">
        <f t="array" aca="1" ref="F111" ca="1">OFFSET(E111,-1,1)</f>
        <v>0</v>
      </c>
      <c r="G111" s="26"/>
      <c r="H111" s="26"/>
      <c r="I111" s="26" t="s">
        <v>1947</v>
      </c>
      <c r="J111" s="26"/>
      <c r="K111" s="77" t="s">
        <v>1947</v>
      </c>
      <c r="L111" s="882"/>
      <c r="M111" s="26"/>
      <c r="N111" s="26"/>
      <c r="O111" s="26"/>
      <c r="P111" s="26"/>
      <c r="Q111" s="26"/>
      <c r="R111" s="26"/>
      <c r="S111" s="26"/>
      <c r="T111" s="381" t="b" cm="1">
        <f t="array" aca="1" ref="T111" ca="1">T110</f>
        <v>0</v>
      </c>
      <c r="U111" s="26"/>
      <c r="V111" s="26"/>
      <c r="W111" s="26"/>
      <c r="X111" s="1787"/>
      <c r="Z111" s="1735"/>
      <c r="AB111" s="216" t="s">
        <v>1948</v>
      </c>
      <c r="AC111" s="679" t="s">
        <v>1949</v>
      </c>
      <c r="AD111" s="216" t="s">
        <v>766</v>
      </c>
      <c r="AE111" s="1141"/>
      <c r="AF111" s="1141"/>
      <c r="AG111" s="1141"/>
      <c r="AH111" s="1015">
        <f t="shared" si="9"/>
        <v>0</v>
      </c>
      <c r="AI111" s="1141"/>
      <c r="AJ111" s="1473"/>
      <c r="AK111" s="1141"/>
      <c r="AL111" s="1141"/>
      <c r="AM111" s="1141"/>
      <c r="AN111" s="1141"/>
      <c r="AO111" s="1141"/>
      <c r="AP111" s="1141"/>
      <c r="AQ111" s="1141"/>
      <c r="AR111" s="1141"/>
      <c r="AS111" s="1141"/>
      <c r="AT111" s="1473"/>
      <c r="AU111" s="1141"/>
      <c r="AV111" s="1141"/>
      <c r="AW111" s="1141"/>
      <c r="AX111" s="1141"/>
      <c r="AY111" s="1141"/>
      <c r="AZ111" s="1141"/>
      <c r="BA111" s="1141"/>
      <c r="BB111" s="1141"/>
      <c r="BC111" s="1141"/>
      <c r="BD111" s="1015">
        <f t="shared" si="11"/>
        <v>0</v>
      </c>
      <c r="BE111" s="1015">
        <f t="shared" si="12"/>
        <v>0</v>
      </c>
      <c r="BF111" s="1015">
        <f t="shared" si="13"/>
        <v>0</v>
      </c>
      <c r="BG111" s="1015">
        <f t="shared" si="14"/>
        <v>0</v>
      </c>
      <c r="BH111" s="1015">
        <f t="shared" si="15"/>
        <v>0</v>
      </c>
      <c r="BI111" s="1015">
        <f t="shared" si="16"/>
        <v>0</v>
      </c>
      <c r="BJ111" s="1015">
        <f t="shared" si="17"/>
        <v>0</v>
      </c>
      <c r="BK111" s="1015">
        <f t="shared" si="18"/>
        <v>0</v>
      </c>
      <c r="BL111" s="1015">
        <f t="shared" si="19"/>
        <v>0</v>
      </c>
      <c r="BM111" s="1015">
        <f t="shared" si="20"/>
        <v>0</v>
      </c>
      <c r="BN111" s="1138"/>
      <c r="BO111" s="1138"/>
      <c r="BP111" s="1138"/>
      <c r="BS111" s="966" t="s">
        <v>1117</v>
      </c>
    </row>
    <row r="112" spans="2:75" ht="14.65" hidden="1" customHeight="1">
      <c r="C112" s="26"/>
      <c r="D112" s="26"/>
      <c r="E112" s="538">
        <v>15</v>
      </c>
      <c r="F112" s="3" cm="1">
        <f t="array" aca="1" ref="F112" ca="1">OFFSET(E112,-1,1)</f>
        <v>0</v>
      </c>
      <c r="G112" s="26"/>
      <c r="H112" s="26"/>
      <c r="I112" s="26" t="s">
        <v>1950</v>
      </c>
      <c r="J112" s="26"/>
      <c r="K112" s="77" t="s">
        <v>1950</v>
      </c>
      <c r="L112" s="882" t="s">
        <v>833</v>
      </c>
      <c r="M112" s="26"/>
      <c r="N112" s="26"/>
      <c r="O112" s="26"/>
      <c r="P112" s="26"/>
      <c r="Q112" s="26"/>
      <c r="R112" s="26"/>
      <c r="S112" s="26"/>
      <c r="T112" s="381" t="b" cm="1">
        <f t="array" aca="1" ref="T112" ca="1">T111</f>
        <v>0</v>
      </c>
      <c r="U112" s="26"/>
      <c r="V112" s="26"/>
      <c r="W112" s="26"/>
      <c r="X112" s="1787"/>
      <c r="Z112" s="1735"/>
      <c r="AB112" s="216" t="s">
        <v>1951</v>
      </c>
      <c r="AC112" s="679" t="s">
        <v>1952</v>
      </c>
      <c r="AD112" s="216" t="s">
        <v>766</v>
      </c>
      <c r="AE112" s="1141"/>
      <c r="AF112" s="1141"/>
      <c r="AG112" s="1141"/>
      <c r="AH112" s="1015">
        <f t="shared" si="9"/>
        <v>0</v>
      </c>
      <c r="AI112" s="1141"/>
      <c r="AJ112" s="1473"/>
      <c r="AK112" s="1141"/>
      <c r="AL112" s="1141"/>
      <c r="AM112" s="1141"/>
      <c r="AN112" s="1141"/>
      <c r="AO112" s="1141"/>
      <c r="AP112" s="1141"/>
      <c r="AQ112" s="1141"/>
      <c r="AR112" s="1141"/>
      <c r="AS112" s="1141"/>
      <c r="AT112" s="1473"/>
      <c r="AU112" s="1141"/>
      <c r="AV112" s="1141"/>
      <c r="AW112" s="1141"/>
      <c r="AX112" s="1141"/>
      <c r="AY112" s="1141"/>
      <c r="AZ112" s="1141"/>
      <c r="BA112" s="1141"/>
      <c r="BB112" s="1141"/>
      <c r="BC112" s="1141"/>
      <c r="BD112" s="1015">
        <f t="shared" si="11"/>
        <v>0</v>
      </c>
      <c r="BE112" s="1015">
        <f t="shared" si="12"/>
        <v>0</v>
      </c>
      <c r="BF112" s="1015">
        <f t="shared" si="13"/>
        <v>0</v>
      </c>
      <c r="BG112" s="1015">
        <f t="shared" si="14"/>
        <v>0</v>
      </c>
      <c r="BH112" s="1015">
        <f t="shared" si="15"/>
        <v>0</v>
      </c>
      <c r="BI112" s="1015">
        <f t="shared" si="16"/>
        <v>0</v>
      </c>
      <c r="BJ112" s="1015">
        <f t="shared" si="17"/>
        <v>0</v>
      </c>
      <c r="BK112" s="1015">
        <f t="shared" si="18"/>
        <v>0</v>
      </c>
      <c r="BL112" s="1015">
        <f t="shared" si="19"/>
        <v>0</v>
      </c>
      <c r="BM112" s="1015">
        <f t="shared" si="20"/>
        <v>0</v>
      </c>
      <c r="BN112" s="1138"/>
      <c r="BO112" s="1138"/>
      <c r="BP112" s="1138"/>
      <c r="BS112" s="966" t="s">
        <v>1953</v>
      </c>
    </row>
    <row r="113" spans="2:75" ht="21.95" hidden="1" customHeight="1">
      <c r="C113" s="26"/>
      <c r="D113" s="26"/>
      <c r="E113" s="538">
        <v>22.5</v>
      </c>
      <c r="F113" s="3" cm="1">
        <f t="array" aca="1" ref="F113" ca="1">OFFSET(E113,-1,1)</f>
        <v>0</v>
      </c>
      <c r="G113" s="26" t="s">
        <v>1329</v>
      </c>
      <c r="H113" s="26"/>
      <c r="I113" s="26" t="s">
        <v>1954</v>
      </c>
      <c r="J113" s="26"/>
      <c r="K113" s="77" t="s">
        <v>1954</v>
      </c>
      <c r="L113" s="882"/>
      <c r="M113" s="26"/>
      <c r="N113" s="26"/>
      <c r="O113" s="26"/>
      <c r="P113" s="26"/>
      <c r="Q113" s="26"/>
      <c r="R113" s="26"/>
      <c r="S113" s="26"/>
      <c r="T113" s="381" t="b" cm="1">
        <f t="array" aca="1" ref="T113" ca="1">T112</f>
        <v>0</v>
      </c>
      <c r="U113" s="26"/>
      <c r="V113" s="26"/>
      <c r="W113" s="26"/>
      <c r="X113" s="1787"/>
      <c r="Z113" s="1735"/>
      <c r="AB113" s="216" t="s">
        <v>1393</v>
      </c>
      <c r="AC113" s="676" t="s">
        <v>1955</v>
      </c>
      <c r="AD113" s="216" t="s">
        <v>766</v>
      </c>
      <c r="AE113" s="1141"/>
      <c r="AF113" s="1141"/>
      <c r="AG113" s="1141"/>
      <c r="AH113" s="1015">
        <f t="shared" si="9"/>
        <v>0</v>
      </c>
      <c r="AI113" s="1141"/>
      <c r="AJ113" s="1473"/>
      <c r="AK113" s="1141"/>
      <c r="AL113" s="1141"/>
      <c r="AM113" s="1141"/>
      <c r="AN113" s="1141"/>
      <c r="AO113" s="1141"/>
      <c r="AP113" s="1141"/>
      <c r="AQ113" s="1141"/>
      <c r="AR113" s="1141"/>
      <c r="AS113" s="1141"/>
      <c r="AT113" s="1473"/>
      <c r="AU113" s="1141"/>
      <c r="AV113" s="1141"/>
      <c r="AW113" s="1141"/>
      <c r="AX113" s="1141"/>
      <c r="AY113" s="1141"/>
      <c r="AZ113" s="1141"/>
      <c r="BA113" s="1141"/>
      <c r="BB113" s="1141"/>
      <c r="BC113" s="1141"/>
      <c r="BD113" s="1015">
        <f t="shared" si="11"/>
        <v>0</v>
      </c>
      <c r="BE113" s="1015">
        <f t="shared" si="12"/>
        <v>0</v>
      </c>
      <c r="BF113" s="1015">
        <f t="shared" si="13"/>
        <v>0</v>
      </c>
      <c r="BG113" s="1015">
        <f t="shared" si="14"/>
        <v>0</v>
      </c>
      <c r="BH113" s="1015">
        <f t="shared" si="15"/>
        <v>0</v>
      </c>
      <c r="BI113" s="1015">
        <f t="shared" si="16"/>
        <v>0</v>
      </c>
      <c r="BJ113" s="1015">
        <f t="shared" si="17"/>
        <v>0</v>
      </c>
      <c r="BK113" s="1015">
        <f t="shared" si="18"/>
        <v>0</v>
      </c>
      <c r="BL113" s="1015">
        <f t="shared" si="19"/>
        <v>0</v>
      </c>
      <c r="BM113" s="1015">
        <f t="shared" si="20"/>
        <v>0</v>
      </c>
      <c r="BN113" s="1138"/>
      <c r="BO113" s="1138"/>
      <c r="BP113" s="1138"/>
      <c r="BS113" s="966" t="s">
        <v>1956</v>
      </c>
    </row>
    <row r="114" spans="2:75" s="617" customFormat="1" ht="20.45" hidden="1" customHeight="1">
      <c r="B114" s="352"/>
      <c r="C114" s="28"/>
      <c r="D114" s="28"/>
      <c r="E114" s="740">
        <v>21</v>
      </c>
      <c r="F114" s="3" cm="1">
        <f t="array" aca="1" ref="F114" ca="1">OFFSET(E114,-1,1)</f>
        <v>0</v>
      </c>
      <c r="G114" s="26" t="s">
        <v>1957</v>
      </c>
      <c r="H114" s="26"/>
      <c r="I114" s="26" t="s">
        <v>325</v>
      </c>
      <c r="J114" s="28"/>
      <c r="K114" s="77" t="s">
        <v>325</v>
      </c>
      <c r="L114" s="887" t="s">
        <v>1186</v>
      </c>
      <c r="M114" s="28"/>
      <c r="N114" s="28"/>
      <c r="O114" s="28"/>
      <c r="P114" s="28"/>
      <c r="Q114" s="28"/>
      <c r="R114" s="28"/>
      <c r="S114" s="28"/>
      <c r="T114" s="381" t="b" cm="1">
        <f t="array" aca="1" ref="T114" ca="1">T113</f>
        <v>0</v>
      </c>
      <c r="U114" s="28"/>
      <c r="V114" s="28"/>
      <c r="W114" s="28"/>
      <c r="X114" s="1787"/>
      <c r="Z114" s="1735"/>
      <c r="AB114" s="129" t="s">
        <v>321</v>
      </c>
      <c r="AC114" s="130" t="s">
        <v>1958</v>
      </c>
      <c r="AD114" s="129" t="s">
        <v>766</v>
      </c>
      <c r="AE114" s="692">
        <f ca="1">SUMIFS(ЭЭ!AE$25:AE$67,ЭЭ!$F$25:$F$67,$F114,ЭЭ!$AC$25:$AC$67,"Всего по тарифу")</f>
        <v>0</v>
      </c>
      <c r="AF114" s="692">
        <f ca="1">SUMIFS(ЭЭ!AF$25:AF$67,ЭЭ!$F$25:$F$67,$F114,ЭЭ!$AC$25:$AC$67,"Всего по тарифу")</f>
        <v>0</v>
      </c>
      <c r="AG114" s="692">
        <f ca="1">SUMIFS(ЭЭ!AG$25:AG$67,ЭЭ!$F$25:$F$67,$F114,ЭЭ!$AC$25:$AC$67,"Всего по тарифу")</f>
        <v>0</v>
      </c>
      <c r="AH114" s="692">
        <f t="shared" ca="1" si="9"/>
        <v>0</v>
      </c>
      <c r="AI114" s="692">
        <f ca="1">SUMIFS(ЭЭ!AH$25:AH$67,ЭЭ!$F$25:$F$67,$F114,ЭЭ!$AC$25:$AC$67,"Всего по тарифу")</f>
        <v>0</v>
      </c>
      <c r="AJ114" s="692">
        <f ca="1">SUMIFS(ЭЭ!AI$25:AI$67,ЭЭ!$F$25:$F$67,$F114,ЭЭ!$AC$25:$AC$67,"Всего по тарифу")</f>
        <v>0</v>
      </c>
      <c r="AK114" s="692">
        <f ca="1">SUMIFS(ЭЭ!AJ$25:AJ$67,ЭЭ!$F$25:$F$67,$F114,ЭЭ!$AC$25:$AC$67,"Всего по тарифу")</f>
        <v>0</v>
      </c>
      <c r="AL114" s="692">
        <f ca="1">SUMIFS(ЭЭ!AK$25:AK$67,ЭЭ!$F$25:$F$67,$F114,ЭЭ!$AC$25:$AC$67,"Всего по тарифу")</f>
        <v>0</v>
      </c>
      <c r="AM114" s="692">
        <f ca="1">SUMIFS(ЭЭ!AL$25:AL$67,ЭЭ!$F$25:$F$67,$F114,ЭЭ!$AC$25:$AC$67,"Всего по тарифу")</f>
        <v>0</v>
      </c>
      <c r="AN114" s="692">
        <f ca="1">SUMIFS(ЭЭ!AM$25:AM$67,ЭЭ!$F$25:$F$67,$F114,ЭЭ!$AC$25:$AC$67,"Всего по тарифу")</f>
        <v>0</v>
      </c>
      <c r="AO114" s="692">
        <f ca="1">SUMIFS(ЭЭ!AN$25:AN$67,ЭЭ!$F$25:$F$67,$F114,ЭЭ!$AC$25:$AC$67,"Всего по тарифу")</f>
        <v>0</v>
      </c>
      <c r="AP114" s="692">
        <f ca="1">SUMIFS(ЭЭ!AO$25:AO$67,ЭЭ!$F$25:$F$67,$F114,ЭЭ!$AC$25:$AC$67,"Всего по тарифу")</f>
        <v>0</v>
      </c>
      <c r="AQ114" s="692">
        <f ca="1">SUMIFS(ЭЭ!AP$25:AP$67,ЭЭ!$F$25:$F$67,$F114,ЭЭ!$AC$25:$AC$67,"Всего по тарифу")</f>
        <v>0</v>
      </c>
      <c r="AR114" s="692">
        <f ca="1">SUMIFS(ЭЭ!AQ$25:AQ$67,ЭЭ!$F$25:$F$67,$F114,ЭЭ!$AC$25:$AC$67,"Всего по тарифу")</f>
        <v>0</v>
      </c>
      <c r="AS114" s="692">
        <f ca="1">SUMIFS(ЭЭ!AR$25:AR$67,ЭЭ!$F$25:$F$67,$F114,ЭЭ!$AC$25:$AC$67,"Всего по тарифу")</f>
        <v>0</v>
      </c>
      <c r="AT114" s="692">
        <f ca="1">SUMIFS(ЭЭ!AS$25:AS$67,ЭЭ!$F$25:$F$67,$F114,ЭЭ!$AC$25:$AC$67,"Всего по тарифу")</f>
        <v>0</v>
      </c>
      <c r="AU114" s="692">
        <f ca="1">SUMIFS(ЭЭ!AT$25:AT$67,ЭЭ!$F$25:$F$67,$F114,ЭЭ!$AC$25:$AC$67,"Всего по тарифу")</f>
        <v>0</v>
      </c>
      <c r="AV114" s="692">
        <f ca="1">SUMIFS(ЭЭ!AU$25:AU$67,ЭЭ!$F$25:$F$67,$F114,ЭЭ!$AC$25:$AC$67,"Всего по тарифу")</f>
        <v>0</v>
      </c>
      <c r="AW114" s="692">
        <f ca="1">SUMIFS(ЭЭ!AV$25:AV$67,ЭЭ!$F$25:$F$67,$F114,ЭЭ!$AC$25:$AC$67,"Всего по тарифу")</f>
        <v>0</v>
      </c>
      <c r="AX114" s="692">
        <f ca="1">SUMIFS(ЭЭ!AW$25:AW$67,ЭЭ!$F$25:$F$67,$F114,ЭЭ!$AC$25:$AC$67,"Всего по тарифу")</f>
        <v>0</v>
      </c>
      <c r="AY114" s="692">
        <f ca="1">SUMIFS(ЭЭ!AX$25:AX$67,ЭЭ!$F$25:$F$67,$F114,ЭЭ!$AC$25:$AC$67,"Всего по тарифу")</f>
        <v>0</v>
      </c>
      <c r="AZ114" s="692">
        <f ca="1">SUMIFS(ЭЭ!AY$25:AY$67,ЭЭ!$F$25:$F$67,$F114,ЭЭ!$AC$25:$AC$67,"Всего по тарифу")</f>
        <v>0</v>
      </c>
      <c r="BA114" s="692">
        <f ca="1">SUMIFS(ЭЭ!AZ$25:AZ$67,ЭЭ!$F$25:$F$67,$F114,ЭЭ!$AC$25:$AC$67,"Всего по тарифу")</f>
        <v>0</v>
      </c>
      <c r="BB114" s="692">
        <f ca="1">SUMIFS(ЭЭ!BA$25:BA$67,ЭЭ!$F$25:$F$67,$F114,ЭЭ!$AC$25:$AC$67,"Всего по тарифу")</f>
        <v>0</v>
      </c>
      <c r="BC114" s="692">
        <f ca="1">SUMIFS(ЭЭ!BB$25:BB$67,ЭЭ!$F$25:$F$67,$F114,ЭЭ!$AC$25:$AC$67,"Всего по тарифу")</f>
        <v>0</v>
      </c>
      <c r="BD114" s="692">
        <f t="shared" ca="1" si="11"/>
        <v>0</v>
      </c>
      <c r="BE114" s="692">
        <f t="shared" ca="1" si="12"/>
        <v>0</v>
      </c>
      <c r="BF114" s="692">
        <f t="shared" ca="1" si="13"/>
        <v>0</v>
      </c>
      <c r="BG114" s="692">
        <f t="shared" ca="1" si="14"/>
        <v>0</v>
      </c>
      <c r="BH114" s="692">
        <f t="shared" ca="1" si="15"/>
        <v>0</v>
      </c>
      <c r="BI114" s="692">
        <f t="shared" ca="1" si="16"/>
        <v>0</v>
      </c>
      <c r="BJ114" s="692">
        <f t="shared" ca="1" si="17"/>
        <v>0</v>
      </c>
      <c r="BK114" s="692">
        <f t="shared" ca="1" si="18"/>
        <v>0</v>
      </c>
      <c r="BL114" s="692">
        <f t="shared" ca="1" si="19"/>
        <v>0</v>
      </c>
      <c r="BM114" s="692">
        <f t="shared" ca="1" si="20"/>
        <v>0</v>
      </c>
      <c r="BN114" s="1138"/>
      <c r="BO114" s="1145" t="str">
        <f ca="1">IF(IFERROR(INDEX(ЭЭ!$K$26:$L$67,MATCH($F114&amp;"komm",ЭЭ!$K$26:$K$67,0),2),"")=0,"",IFERROR(INDEX(ЭЭ!$K$26:$L$67,MATCH($F114&amp;"komm",ЭЭ!$K$26:$K$67,0),2),""))</f>
        <v/>
      </c>
      <c r="BP114" s="1138"/>
      <c r="BS114" s="972" t="s">
        <v>1558</v>
      </c>
      <c r="BT114" s="972"/>
      <c r="BU114" s="972"/>
      <c r="BV114" s="624"/>
      <c r="BW114" s="624"/>
    </row>
    <row r="115" spans="2:75" s="617" customFormat="1" ht="21.95" hidden="1" customHeight="1">
      <c r="B115" s="81" t="b">
        <f>method_reg="Метод индексации"</f>
        <v>0</v>
      </c>
      <c r="C115" s="28"/>
      <c r="D115" s="28"/>
      <c r="E115" s="740">
        <v>22.5</v>
      </c>
      <c r="F115" s="3" cm="1">
        <f t="array" aca="1" ref="F115" ca="1">OFFSET(E115,-1,1)</f>
        <v>0</v>
      </c>
      <c r="G115" s="26" t="s">
        <v>1351</v>
      </c>
      <c r="H115" s="26"/>
      <c r="I115" s="26" t="s">
        <v>327</v>
      </c>
      <c r="J115" s="28"/>
      <c r="K115" s="77"/>
      <c r="L115" s="887" t="s">
        <v>326</v>
      </c>
      <c r="M115" s="28"/>
      <c r="N115" s="28"/>
      <c r="O115" s="28"/>
      <c r="P115" s="28"/>
      <c r="Q115" s="28"/>
      <c r="R115" s="28"/>
      <c r="S115" s="28"/>
      <c r="T115" s="381" t="b" cm="1">
        <f t="array" aca="1" ref="T115" ca="1">T114</f>
        <v>0</v>
      </c>
      <c r="U115" s="28"/>
      <c r="V115" s="28"/>
      <c r="W115" s="28"/>
      <c r="X115" s="1787"/>
      <c r="Z115" s="1735"/>
      <c r="AB115" s="129" t="s">
        <v>523</v>
      </c>
      <c r="AC115" s="130" t="s">
        <v>1959</v>
      </c>
      <c r="AD115" s="129" t="s">
        <v>766</v>
      </c>
      <c r="AE115" s="692">
        <f ca="1">SUMIFS(Амортизация!AE$25:AE$125,Амортизация!$F$25:$F$125,$F115,Амортизация!$AC$25:$AC$125,"Сумма амортизационных отчислений")</f>
        <v>0</v>
      </c>
      <c r="AF115" s="692">
        <f ca="1">SUMIFS(Амортизация!AF$25:AF$125,Амортизация!$F$25:$F$125,$F115,Амортизация!$AC$25:$AC$125,"Сумма амортизационных отчислений")</f>
        <v>0</v>
      </c>
      <c r="AG115" s="692">
        <f ca="1">SUMIFS(Амортизация!AG$25:AG$125,Амортизация!$F$25:$F$125,$F115,Амортизация!$AC$25:$AC$125,"Сумма амортизационных отчислений")</f>
        <v>0</v>
      </c>
      <c r="AH115" s="692">
        <f t="shared" ca="1" si="9"/>
        <v>0</v>
      </c>
      <c r="AI115" s="692">
        <f ca="1">SUMIFS(Амортизация!AH$25:AH$125,Амортизация!$F$25:$F$125,$F115,Амортизация!$AC$25:$AC$125,"Сумма амортизационных отчислений")</f>
        <v>0</v>
      </c>
      <c r="AJ115" s="692">
        <f ca="1">SUMIFS(Амортизация!AI$25:AI$125,Амортизация!$F$25:$F$125,$F115,Амортизация!$AC$25:$AC$125,"Сумма амортизационных отчислений")</f>
        <v>0</v>
      </c>
      <c r="AK115" s="692">
        <f ca="1">SUMIFS(Амортизация!AJ$25:AJ$125,Амортизация!$F$25:$F$125,$F115,Амортизация!$AC$25:$AC$125,"Сумма амортизационных отчислений")</f>
        <v>0</v>
      </c>
      <c r="AL115" s="692">
        <f ca="1">SUMIFS(Амортизация!AK$25:AK$125,Амортизация!$F$25:$F$125,$F115,Амортизация!$AC$25:$AC$125,"Сумма амортизационных отчислений")</f>
        <v>0</v>
      </c>
      <c r="AM115" s="692">
        <f ca="1">SUMIFS(Амортизация!AL$25:AL$125,Амортизация!$F$25:$F$125,$F115,Амортизация!$AC$25:$AC$125,"Сумма амортизационных отчислений")</f>
        <v>0</v>
      </c>
      <c r="AN115" s="692">
        <f ca="1">SUMIFS(Амортизация!AM$25:AM$125,Амортизация!$F$25:$F$125,$F115,Амортизация!$AC$25:$AC$125,"Сумма амортизационных отчислений")</f>
        <v>0</v>
      </c>
      <c r="AO115" s="692">
        <f ca="1">SUMIFS(Амортизация!AN$25:AN$125,Амортизация!$F$25:$F$125,$F115,Амортизация!$AC$25:$AC$125,"Сумма амортизационных отчислений")</f>
        <v>0</v>
      </c>
      <c r="AP115" s="692">
        <f ca="1">SUMIFS(Амортизация!AO$25:AO$125,Амортизация!$F$25:$F$125,$F115,Амортизация!$AC$25:$AC$125,"Сумма амортизационных отчислений")</f>
        <v>0</v>
      </c>
      <c r="AQ115" s="692">
        <f ca="1">SUMIFS(Амортизация!AP$25:AP$125,Амортизация!$F$25:$F$125,$F115,Амортизация!$AC$25:$AC$125,"Сумма амортизационных отчислений")</f>
        <v>0</v>
      </c>
      <c r="AR115" s="692">
        <f ca="1">SUMIFS(Амортизация!AQ$25:AQ$125,Амортизация!$F$25:$F$125,$F115,Амортизация!$AC$25:$AC$125,"Сумма амортизационных отчислений")</f>
        <v>0</v>
      </c>
      <c r="AS115" s="692">
        <f ca="1">SUMIFS(Амортизация!AR$25:AR$125,Амортизация!$F$25:$F$125,$F115,Амортизация!$AC$25:$AC$125,"Сумма амортизационных отчислений")</f>
        <v>0</v>
      </c>
      <c r="AT115" s="692">
        <f ca="1">SUMIFS(Амортизация!AS$25:AS$125,Амортизация!$F$25:$F$125,$F115,Амортизация!$AC$25:$AC$125,"Сумма амортизационных отчислений")</f>
        <v>0</v>
      </c>
      <c r="AU115" s="692">
        <f ca="1">SUMIFS(Амортизация!AT$25:AT$125,Амортизация!$F$25:$F$125,$F115,Амортизация!$AC$25:$AC$125,"Сумма амортизационных отчислений")</f>
        <v>0</v>
      </c>
      <c r="AV115" s="692">
        <f ca="1">SUMIFS(Амортизация!AU$25:AU$125,Амортизация!$F$25:$F$125,$F115,Амортизация!$AC$25:$AC$125,"Сумма амортизационных отчислений")</f>
        <v>0</v>
      </c>
      <c r="AW115" s="692">
        <f ca="1">SUMIFS(Амортизация!AV$25:AV$125,Амортизация!$F$25:$F$125,$F115,Амортизация!$AC$25:$AC$125,"Сумма амортизационных отчислений")</f>
        <v>0</v>
      </c>
      <c r="AX115" s="692">
        <f ca="1">SUMIFS(Амортизация!AW$25:AW$125,Амортизация!$F$25:$F$125,$F115,Амортизация!$AC$25:$AC$125,"Сумма амортизационных отчислений")</f>
        <v>0</v>
      </c>
      <c r="AY115" s="692">
        <f ca="1">SUMIFS(Амортизация!AX$25:AX$125,Амортизация!$F$25:$F$125,$F115,Амортизация!$AC$25:$AC$125,"Сумма амортизационных отчислений")</f>
        <v>0</v>
      </c>
      <c r="AZ115" s="692">
        <f ca="1">SUMIFS(Амортизация!AY$25:AY$125,Амортизация!$F$25:$F$125,$F115,Амортизация!$AC$25:$AC$125,"Сумма амортизационных отчислений")</f>
        <v>0</v>
      </c>
      <c r="BA115" s="692">
        <f ca="1">SUMIFS(Амортизация!AZ$25:AZ$125,Амортизация!$F$25:$F$125,$F115,Амортизация!$AC$25:$AC$125,"Сумма амортизационных отчислений")</f>
        <v>0</v>
      </c>
      <c r="BB115" s="692">
        <f ca="1">SUMIFS(Амортизация!BA$25:BA$125,Амортизация!$F$25:$F$125,$F115,Амортизация!$AC$25:$AC$125,"Сумма амортизационных отчислений")</f>
        <v>0</v>
      </c>
      <c r="BC115" s="692">
        <f ca="1">SUMIFS(Амортизация!BB$25:BB$125,Амортизация!$F$25:$F$125,$F115,Амортизация!$AC$25:$AC$125,"Сумма амортизационных отчислений")</f>
        <v>0</v>
      </c>
      <c r="BD115" s="692">
        <f t="shared" ca="1" si="11"/>
        <v>0</v>
      </c>
      <c r="BE115" s="692">
        <f t="shared" ca="1" si="12"/>
        <v>0</v>
      </c>
      <c r="BF115" s="692">
        <f t="shared" ca="1" si="13"/>
        <v>0</v>
      </c>
      <c r="BG115" s="692">
        <f t="shared" ca="1" si="14"/>
        <v>0</v>
      </c>
      <c r="BH115" s="692">
        <f t="shared" ca="1" si="15"/>
        <v>0</v>
      </c>
      <c r="BI115" s="692">
        <f t="shared" ca="1" si="16"/>
        <v>0</v>
      </c>
      <c r="BJ115" s="692">
        <f t="shared" ca="1" si="17"/>
        <v>0</v>
      </c>
      <c r="BK115" s="692">
        <f t="shared" ca="1" si="18"/>
        <v>0</v>
      </c>
      <c r="BL115" s="692">
        <f t="shared" ca="1" si="19"/>
        <v>0</v>
      </c>
      <c r="BM115" s="692">
        <f t="shared" ca="1" si="20"/>
        <v>0</v>
      </c>
      <c r="BN115" s="1138"/>
      <c r="BO115" s="1142" t="str">
        <f ca="1">IF(IFERROR(INDEX(Амортизация!$K$26:$L$125,MATCH($F115&amp;"komm",Амортизация!$K$26:$K$125,0),2),"")=0,"",IFERROR(INDEX(Амортизация!$K$26:$L$125,MATCH($F115&amp;"komm",Амортизация!$K$26:$K$125,0),2),""))</f>
        <v/>
      </c>
      <c r="BP115" s="1138"/>
      <c r="BS115" s="972" t="s">
        <v>1096</v>
      </c>
      <c r="BT115" s="972"/>
      <c r="BU115" s="972"/>
      <c r="BV115" s="624"/>
      <c r="BW115" s="624"/>
    </row>
    <row r="116" spans="2:75" ht="14.65" hidden="1" customHeight="1">
      <c r="B116" s="349" t="b" cm="1">
        <f t="array" ref="B116">B115</f>
        <v>0</v>
      </c>
      <c r="C116" s="26"/>
      <c r="D116" s="26"/>
      <c r="E116" s="538">
        <v>15</v>
      </c>
      <c r="F116" s="3" cm="1">
        <f t="array" aca="1" ref="F116" ca="1">OFFSET(E116,-1,1)</f>
        <v>0</v>
      </c>
      <c r="G116" s="26"/>
      <c r="H116" s="26"/>
      <c r="I116" s="26" t="s">
        <v>501</v>
      </c>
      <c r="J116" s="26"/>
      <c r="L116" s="882" t="s">
        <v>515</v>
      </c>
      <c r="M116" s="26"/>
      <c r="N116" s="26"/>
      <c r="O116" s="26"/>
      <c r="P116" s="26"/>
      <c r="Q116" s="26"/>
      <c r="R116" s="26"/>
      <c r="S116" s="26"/>
      <c r="T116" s="381" t="b" cm="1">
        <f t="array" aca="1" ref="T116" ca="1">T115</f>
        <v>0</v>
      </c>
      <c r="U116" s="26"/>
      <c r="V116" s="26"/>
      <c r="W116" s="26"/>
      <c r="X116" s="1787"/>
      <c r="Z116" s="1735"/>
      <c r="AB116" s="216" t="s">
        <v>639</v>
      </c>
      <c r="AC116" s="676" t="s">
        <v>1651</v>
      </c>
      <c r="AD116" s="216" t="s">
        <v>766</v>
      </c>
      <c r="AE116" s="1141">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1141">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1141">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1015">
        <f t="shared" ca="1" si="9"/>
        <v>0</v>
      </c>
      <c r="AI116" s="1141">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473">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1141">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1141">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1141">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1141">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1141">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1141">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1141">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1141">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1141">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473">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1141">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1141">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1141">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1141">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1141">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1141">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1141">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1141">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1141">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1015">
        <f t="shared" ca="1" si="11"/>
        <v>0</v>
      </c>
      <c r="BE116" s="1015">
        <f t="shared" ca="1" si="12"/>
        <v>0</v>
      </c>
      <c r="BF116" s="1015">
        <f t="shared" ca="1" si="13"/>
        <v>0</v>
      </c>
      <c r="BG116" s="1015">
        <f t="shared" ca="1" si="14"/>
        <v>0</v>
      </c>
      <c r="BH116" s="1015">
        <f t="shared" ca="1" si="15"/>
        <v>0</v>
      </c>
      <c r="BI116" s="1015">
        <f t="shared" ca="1" si="16"/>
        <v>0</v>
      </c>
      <c r="BJ116" s="1015">
        <f t="shared" ca="1" si="17"/>
        <v>0</v>
      </c>
      <c r="BK116" s="1015">
        <f t="shared" ca="1" si="18"/>
        <v>0</v>
      </c>
      <c r="BL116" s="1015">
        <f t="shared" ca="1" si="19"/>
        <v>0</v>
      </c>
      <c r="BM116" s="1015">
        <f t="shared" ca="1" si="20"/>
        <v>0</v>
      </c>
      <c r="BN116" s="1138"/>
      <c r="BO116" s="1138"/>
      <c r="BP116" s="1138"/>
      <c r="BS116" s="966" t="s">
        <v>1652</v>
      </c>
    </row>
    <row r="117" spans="2:75" s="617" customFormat="1" ht="20.45" hidden="1" customHeight="1">
      <c r="B117" s="349" t="b" cm="1">
        <f t="array" ref="B117">B116</f>
        <v>0</v>
      </c>
      <c r="C117" s="28"/>
      <c r="D117" s="28"/>
      <c r="E117" s="740">
        <v>21</v>
      </c>
      <c r="F117" s="3" cm="1">
        <f t="array" aca="1" ref="F117" ca="1">OFFSET(E117,-1,1)</f>
        <v>0</v>
      </c>
      <c r="G117" s="26" t="s">
        <v>1355</v>
      </c>
      <c r="H117" s="26"/>
      <c r="I117" s="26" t="s">
        <v>326</v>
      </c>
      <c r="J117" s="28"/>
      <c r="K117" s="77"/>
      <c r="L117" s="887" t="s">
        <v>528</v>
      </c>
      <c r="M117" s="28"/>
      <c r="N117" s="28"/>
      <c r="O117" s="28"/>
      <c r="P117" s="28"/>
      <c r="Q117" s="28"/>
      <c r="R117" s="28"/>
      <c r="S117" s="28"/>
      <c r="T117" s="381" t="b" cm="1">
        <f t="array" aca="1" ref="T117" ca="1">T116</f>
        <v>0</v>
      </c>
      <c r="U117" s="28"/>
      <c r="V117" s="28"/>
      <c r="W117" s="28"/>
      <c r="X117" s="1787"/>
      <c r="Z117" s="1735"/>
      <c r="AB117" s="129" t="s">
        <v>478</v>
      </c>
      <c r="AC117" s="130" t="s">
        <v>1355</v>
      </c>
      <c r="AD117" s="152" t="s">
        <v>766</v>
      </c>
      <c r="AE117" s="131">
        <f ca="1">AE118+AE119+AE120+AE121</f>
        <v>0</v>
      </c>
      <c r="AF117" s="131">
        <f ca="1">AF118+AF119+AF120+AF121</f>
        <v>0</v>
      </c>
      <c r="AG117" s="131">
        <f ca="1">AG118+AG119+AG120+AG121</f>
        <v>0</v>
      </c>
      <c r="AH117" s="131">
        <f t="shared" ca="1" si="9"/>
        <v>0</v>
      </c>
      <c r="AI117" s="131">
        <f t="shared" ref="AI117:BC117" ca="1" si="24">AI118+AI119+AI120+AI121</f>
        <v>0</v>
      </c>
      <c r="AJ117" s="131">
        <f t="shared" ca="1" si="24"/>
        <v>0</v>
      </c>
      <c r="AK117" s="131">
        <f t="shared" ca="1" si="24"/>
        <v>0</v>
      </c>
      <c r="AL117" s="131">
        <f t="shared" ca="1" si="24"/>
        <v>0</v>
      </c>
      <c r="AM117" s="131">
        <f t="shared" ca="1" si="24"/>
        <v>0</v>
      </c>
      <c r="AN117" s="131">
        <f t="shared" ca="1" si="24"/>
        <v>0</v>
      </c>
      <c r="AO117" s="131">
        <f t="shared" ca="1" si="24"/>
        <v>0</v>
      </c>
      <c r="AP117" s="131">
        <f t="shared" ca="1" si="24"/>
        <v>0</v>
      </c>
      <c r="AQ117" s="131">
        <f t="shared" ca="1" si="24"/>
        <v>0</v>
      </c>
      <c r="AR117" s="131">
        <f t="shared" ca="1" si="24"/>
        <v>0</v>
      </c>
      <c r="AS117" s="131">
        <f t="shared" ca="1" si="24"/>
        <v>0</v>
      </c>
      <c r="AT117" s="131">
        <f t="shared" ca="1" si="24"/>
        <v>0</v>
      </c>
      <c r="AU117" s="131">
        <f t="shared" ca="1" si="24"/>
        <v>0</v>
      </c>
      <c r="AV117" s="131">
        <f t="shared" ca="1" si="24"/>
        <v>0</v>
      </c>
      <c r="AW117" s="131">
        <f t="shared" ca="1" si="24"/>
        <v>0</v>
      </c>
      <c r="AX117" s="131">
        <f t="shared" ca="1" si="24"/>
        <v>0</v>
      </c>
      <c r="AY117" s="131">
        <f t="shared" ca="1" si="24"/>
        <v>0</v>
      </c>
      <c r="AZ117" s="131">
        <f t="shared" ca="1" si="24"/>
        <v>0</v>
      </c>
      <c r="BA117" s="131">
        <f t="shared" ca="1" si="24"/>
        <v>0</v>
      </c>
      <c r="BB117" s="131">
        <f t="shared" ca="1" si="24"/>
        <v>0</v>
      </c>
      <c r="BC117" s="131">
        <f t="shared" ca="1" si="24"/>
        <v>0</v>
      </c>
      <c r="BD117" s="692">
        <f t="shared" ca="1" si="11"/>
        <v>0</v>
      </c>
      <c r="BE117" s="692">
        <f t="shared" ca="1" si="12"/>
        <v>0</v>
      </c>
      <c r="BF117" s="692">
        <f t="shared" ca="1" si="13"/>
        <v>0</v>
      </c>
      <c r="BG117" s="692">
        <f t="shared" ca="1" si="14"/>
        <v>0</v>
      </c>
      <c r="BH117" s="692">
        <f t="shared" ca="1" si="15"/>
        <v>0</v>
      </c>
      <c r="BI117" s="692">
        <f t="shared" ca="1" si="16"/>
        <v>0</v>
      </c>
      <c r="BJ117" s="692">
        <f t="shared" ca="1" si="17"/>
        <v>0</v>
      </c>
      <c r="BK117" s="692">
        <f t="shared" ca="1" si="18"/>
        <v>0</v>
      </c>
      <c r="BL117" s="692">
        <f t="shared" ca="1" si="19"/>
        <v>0</v>
      </c>
      <c r="BM117" s="692">
        <f t="shared" ca="1" si="20"/>
        <v>0</v>
      </c>
      <c r="BN117" s="1138"/>
      <c r="BO117" s="1138"/>
      <c r="BP117" s="1138"/>
      <c r="BS117" s="965" t="s">
        <v>1359</v>
      </c>
      <c r="BT117" s="972"/>
      <c r="BU117" s="972"/>
      <c r="BV117" s="624"/>
      <c r="BW117" s="624"/>
    </row>
    <row r="118" spans="2:75" ht="14.65" hidden="1" customHeight="1">
      <c r="B118" s="349" t="b" cm="1">
        <f t="array" ref="B118">B117</f>
        <v>0</v>
      </c>
      <c r="C118" s="26"/>
      <c r="D118" s="26"/>
      <c r="E118" s="538">
        <v>15</v>
      </c>
      <c r="F118" s="3" cm="1">
        <f t="array" aca="1" ref="F118" ca="1">OFFSET(E118,-1,1)</f>
        <v>0</v>
      </c>
      <c r="G118" s="26"/>
      <c r="H118" s="26"/>
      <c r="I118" s="26" t="s">
        <v>515</v>
      </c>
      <c r="J118" s="26"/>
      <c r="L118" s="882"/>
      <c r="M118" s="26"/>
      <c r="N118" s="26"/>
      <c r="O118" s="26"/>
      <c r="P118" s="26"/>
      <c r="Q118" s="26"/>
      <c r="R118" s="26"/>
      <c r="S118" s="26"/>
      <c r="T118" s="381" t="b" cm="1">
        <f t="array" aca="1" ref="T118" ca="1">T117</f>
        <v>0</v>
      </c>
      <c r="U118" s="26"/>
      <c r="V118" s="26"/>
      <c r="W118" s="26"/>
      <c r="X118" s="1787"/>
      <c r="Z118" s="1735"/>
      <c r="AB118" s="216" t="s">
        <v>646</v>
      </c>
      <c r="AC118" s="676" t="s">
        <v>1960</v>
      </c>
      <c r="AD118" s="216" t="s">
        <v>766</v>
      </c>
      <c r="AE118" s="1141">
        <f ca="1">SUMIFS('ИП + источники'!AF$27:AF$87,'ИП + источники'!$F$27:$F$87,$F118,'ИП + источники'!$AC$27:$AC$87,"погашение займов и кредитов из нормативной прибыли")</f>
        <v>0</v>
      </c>
      <c r="AF118" s="1141">
        <f ca="1">SUMIFS('ИП + источники'!AG$27:AG$87,'ИП + источники'!$F$27:$F$87,$F118,'ИП + источники'!$AC$27:$AC$87,"погашение займов и кредитов из нормативной прибыли")</f>
        <v>0</v>
      </c>
      <c r="AG118" s="1141">
        <f ca="1">SUMIFS('ИП + источники'!AH$27:AH$87,'ИП + источники'!$F$27:$F$87,$F118,'ИП + источники'!$AC$27:$AC$87,"погашение займов и кредитов из нормативной прибыли")</f>
        <v>0</v>
      </c>
      <c r="AH118" s="1015">
        <f t="shared" ca="1" si="9"/>
        <v>0</v>
      </c>
      <c r="AI118" s="1141">
        <f ca="1">SUMIFS('ИП + источники'!AJ$27:AJ$87,'ИП + источники'!$F$27:$F$87,$F118,'ИП + источники'!$AC$27:$AC$87,"погашение займов и кредитов из нормативной прибыли")</f>
        <v>0</v>
      </c>
      <c r="AJ118" s="1473">
        <f ca="1">SUMIFS('ИП + источники'!AK$27:AK$87,'ИП + источники'!$F$27:$F$87,$F118,'ИП + источники'!$AC$27:$AC$87,"погашение займов и кредитов из нормативной прибыли")</f>
        <v>0</v>
      </c>
      <c r="AK118" s="1141">
        <f ca="1">SUMIFS('ИП + источники'!AL$27:AL$87,'ИП + источники'!$F$27:$F$87,$F118,'ИП + источники'!$AC$27:$AC$87,"погашение займов и кредитов из нормативной прибыли")</f>
        <v>0</v>
      </c>
      <c r="AL118" s="1141">
        <f ca="1">SUMIFS('ИП + источники'!AM$27:AM$87,'ИП + источники'!$F$27:$F$87,$F118,'ИП + источники'!$AC$27:$AC$87,"погашение займов и кредитов из нормативной прибыли")</f>
        <v>0</v>
      </c>
      <c r="AM118" s="1141">
        <f ca="1">SUMIFS('ИП + источники'!AN$27:AN$87,'ИП + источники'!$F$27:$F$87,$F118,'ИП + источники'!$AC$27:$AC$87,"погашение займов и кредитов из нормативной прибыли")</f>
        <v>0</v>
      </c>
      <c r="AN118" s="1141">
        <f ca="1">SUMIFS('ИП + источники'!AO$27:AO$87,'ИП + источники'!$F$27:$F$87,$F118,'ИП + источники'!$AC$27:$AC$87,"погашение займов и кредитов из нормативной прибыли")</f>
        <v>0</v>
      </c>
      <c r="AO118" s="1141">
        <f ca="1">SUMIFS('ИП + источники'!AP$27:AP$87,'ИП + источники'!$F$27:$F$87,$F118,'ИП + источники'!$AC$27:$AC$87,"погашение займов и кредитов из нормативной прибыли")</f>
        <v>0</v>
      </c>
      <c r="AP118" s="1141">
        <f ca="1">SUMIFS('ИП + источники'!AQ$27:AQ$87,'ИП + источники'!$F$27:$F$87,$F118,'ИП + источники'!$AC$27:$AC$87,"погашение займов и кредитов из нормативной прибыли")</f>
        <v>0</v>
      </c>
      <c r="AQ118" s="1141">
        <f ca="1">SUMIFS('ИП + источники'!AR$27:AR$87,'ИП + источники'!$F$27:$F$87,$F118,'ИП + источники'!$AC$27:$AC$87,"погашение займов и кредитов из нормативной прибыли")</f>
        <v>0</v>
      </c>
      <c r="AR118" s="1141">
        <f ca="1">SUMIFS('ИП + источники'!AS$27:AS$87,'ИП + источники'!$F$27:$F$87,$F118,'ИП + источники'!$AC$27:$AC$87,"погашение займов и кредитов из нормативной прибыли")</f>
        <v>0</v>
      </c>
      <c r="AS118" s="1141">
        <f ca="1">SUMIFS('ИП + источники'!AT$27:AT$87,'ИП + источники'!$F$27:$F$87,$F118,'ИП + источники'!$AC$27:$AC$87,"погашение займов и кредитов из нормативной прибыли")</f>
        <v>0</v>
      </c>
      <c r="AT118" s="1473">
        <f ca="1">SUMIFS('ИП + источники'!AU$27:AU$87,'ИП + источники'!$F$27:$F$87,$F118,'ИП + источники'!$AC$27:$AC$87,"погашение займов и кредитов из нормативной прибыли")</f>
        <v>0</v>
      </c>
      <c r="AU118" s="1141">
        <f ca="1">SUMIFS('ИП + источники'!AV$27:AV$87,'ИП + источники'!$F$27:$F$87,$F118,'ИП + источники'!$AC$27:$AC$87,"погашение займов и кредитов из нормативной прибыли")</f>
        <v>0</v>
      </c>
      <c r="AV118" s="1141">
        <f ca="1">SUMIFS('ИП + источники'!AW$27:AW$87,'ИП + источники'!$F$27:$F$87,$F118,'ИП + источники'!$AC$27:$AC$87,"погашение займов и кредитов из нормативной прибыли")</f>
        <v>0</v>
      </c>
      <c r="AW118" s="1141">
        <f ca="1">SUMIFS('ИП + источники'!AX$27:AX$87,'ИП + источники'!$F$27:$F$87,$F118,'ИП + источники'!$AC$27:$AC$87,"погашение займов и кредитов из нормативной прибыли")</f>
        <v>0</v>
      </c>
      <c r="AX118" s="1141">
        <f ca="1">SUMIFS('ИП + источники'!AY$27:AY$87,'ИП + источники'!$F$27:$F$87,$F118,'ИП + источники'!$AC$27:$AC$87,"погашение займов и кредитов из нормативной прибыли")</f>
        <v>0</v>
      </c>
      <c r="AY118" s="1141">
        <f ca="1">SUMIFS('ИП + источники'!AZ$27:AZ$87,'ИП + источники'!$F$27:$F$87,$F118,'ИП + источники'!$AC$27:$AC$87,"погашение займов и кредитов из нормативной прибыли")</f>
        <v>0</v>
      </c>
      <c r="AZ118" s="1141">
        <f ca="1">SUMIFS('ИП + источники'!BA$27:BA$87,'ИП + источники'!$F$27:$F$87,$F118,'ИП + источники'!$AC$27:$AC$87,"погашение займов и кредитов из нормативной прибыли")</f>
        <v>0</v>
      </c>
      <c r="BA118" s="1141">
        <f ca="1">SUMIFS('ИП + источники'!BB$27:BB$87,'ИП + источники'!$F$27:$F$87,$F118,'ИП + источники'!$AC$27:$AC$87,"погашение займов и кредитов из нормативной прибыли")</f>
        <v>0</v>
      </c>
      <c r="BB118" s="1141">
        <f ca="1">SUMIFS('ИП + источники'!BC$27:BC$87,'ИП + источники'!$F$27:$F$87,$F118,'ИП + источники'!$AC$27:$AC$87,"погашение займов и кредитов из нормативной прибыли")</f>
        <v>0</v>
      </c>
      <c r="BC118" s="1141">
        <f ca="1">SUMIFS('ИП + источники'!BD$27:BD$87,'ИП + источники'!$F$27:$F$87,$F118,'ИП + источники'!$AC$27:$AC$87,"погашение займов и кредитов из нормативной прибыли")</f>
        <v>0</v>
      </c>
      <c r="BD118" s="1015">
        <f t="shared" ca="1" si="11"/>
        <v>0</v>
      </c>
      <c r="BE118" s="1015">
        <f t="shared" ca="1" si="12"/>
        <v>0</v>
      </c>
      <c r="BF118" s="1015">
        <f t="shared" ca="1" si="13"/>
        <v>0</v>
      </c>
      <c r="BG118" s="1015">
        <f t="shared" ca="1" si="14"/>
        <v>0</v>
      </c>
      <c r="BH118" s="1015">
        <f t="shared" ca="1" si="15"/>
        <v>0</v>
      </c>
      <c r="BI118" s="1015">
        <f t="shared" ca="1" si="16"/>
        <v>0</v>
      </c>
      <c r="BJ118" s="1015">
        <f t="shared" ca="1" si="17"/>
        <v>0</v>
      </c>
      <c r="BK118" s="1015">
        <f t="shared" ca="1" si="18"/>
        <v>0</v>
      </c>
      <c r="BL118" s="1015">
        <f t="shared" ca="1" si="19"/>
        <v>0</v>
      </c>
      <c r="BM118" s="1015">
        <f t="shared" ca="1" si="20"/>
        <v>0</v>
      </c>
      <c r="BN118" s="1138"/>
      <c r="BO118" s="1142" t="str">
        <f ca="1">IF(IFERROR(INDEX('ИП + источники'!$K$28:$L$87,MATCH($F118&amp;"2komm",'ИП + источники'!$K$28:$K$87,0),2),"")=0,"",IFERROR(INDEX('ИП + источники'!$K$28:$L$87,MATCH($F118&amp;"2komm",'ИП + источники'!$K$28:$K$87,0),2),""))</f>
        <v/>
      </c>
      <c r="BP118" s="1138"/>
      <c r="BS118" s="966" t="s">
        <v>1961</v>
      </c>
    </row>
    <row r="119" spans="2:75" ht="14.65" hidden="1" customHeight="1">
      <c r="B119" s="349" t="b" cm="1">
        <f t="array" ref="B119">B118</f>
        <v>0</v>
      </c>
      <c r="C119" s="26"/>
      <c r="D119" s="26"/>
      <c r="E119" s="538">
        <v>15</v>
      </c>
      <c r="F119" s="3" cm="1">
        <f t="array" aca="1" ref="F119" ca="1">OFFSET(E119,-1,1)</f>
        <v>0</v>
      </c>
      <c r="G119" s="26"/>
      <c r="H119" s="26"/>
      <c r="I119" s="26" t="s">
        <v>519</v>
      </c>
      <c r="J119" s="26"/>
      <c r="L119" s="882"/>
      <c r="M119" s="26"/>
      <c r="N119" s="26"/>
      <c r="O119" s="26"/>
      <c r="P119" s="26"/>
      <c r="Q119" s="26"/>
      <c r="R119" s="26"/>
      <c r="S119" s="26"/>
      <c r="T119" s="381" t="b" cm="1">
        <f t="array" aca="1" ref="T119" ca="1">T118</f>
        <v>0</v>
      </c>
      <c r="U119" s="26"/>
      <c r="V119" s="26"/>
      <c r="W119" s="26"/>
      <c r="X119" s="1787"/>
      <c r="Z119" s="1735"/>
      <c r="AB119" s="216" t="s">
        <v>649</v>
      </c>
      <c r="AC119" s="676" t="s">
        <v>1962</v>
      </c>
      <c r="AD119" s="216" t="s">
        <v>766</v>
      </c>
      <c r="AE119" s="1141">
        <f ca="1">SUMIFS('ИП + источники'!AF$27:AF$87,'ИП + источники'!$F$27:$F$87,$F119,'ИП + источники'!$AC$27:$AC$87,"уплата процентов по кредитам из нормативной прибыли")</f>
        <v>0</v>
      </c>
      <c r="AF119" s="1141">
        <f ca="1">SUMIFS('ИП + источники'!AG$27:AG$87,'ИП + источники'!$F$27:$F$87,$F119,'ИП + источники'!$AC$27:$AC$87,"уплата процентов по кредитам из нормативной прибыли")</f>
        <v>0</v>
      </c>
      <c r="AG119" s="1141">
        <f ca="1">SUMIFS('ИП + источники'!AH$27:AH$87,'ИП + источники'!$F$27:$F$87,$F119,'ИП + источники'!$AC$27:$AC$87,"уплата процентов по кредитам из нормативной прибыли")</f>
        <v>0</v>
      </c>
      <c r="AH119" s="1015">
        <f t="shared" ca="1" si="9"/>
        <v>0</v>
      </c>
      <c r="AI119" s="1141">
        <f ca="1">SUMIFS('ИП + источники'!AJ$27:AJ$87,'ИП + источники'!$F$27:$F$87,$F119,'ИП + источники'!$AC$27:$AC$87,"уплата процентов по кредитам из нормативной прибыли")</f>
        <v>0</v>
      </c>
      <c r="AJ119" s="1473">
        <f ca="1">SUMIFS('ИП + источники'!AK$27:AK$87,'ИП + источники'!$F$27:$F$87,$F119,'ИП + источники'!$AC$27:$AC$87,"уплата процентов по кредитам из нормативной прибыли")</f>
        <v>0</v>
      </c>
      <c r="AK119" s="1141">
        <f ca="1">SUMIFS('ИП + источники'!AL$27:AL$87,'ИП + источники'!$F$27:$F$87,$F119,'ИП + источники'!$AC$27:$AC$87,"уплата процентов по кредитам из нормативной прибыли")</f>
        <v>0</v>
      </c>
      <c r="AL119" s="1141">
        <f ca="1">SUMIFS('ИП + источники'!AM$27:AM$87,'ИП + источники'!$F$27:$F$87,$F119,'ИП + источники'!$AC$27:$AC$87,"уплата процентов по кредитам из нормативной прибыли")</f>
        <v>0</v>
      </c>
      <c r="AM119" s="1141">
        <f ca="1">SUMIFS('ИП + источники'!AN$27:AN$87,'ИП + источники'!$F$27:$F$87,$F119,'ИП + источники'!$AC$27:$AC$87,"уплата процентов по кредитам из нормативной прибыли")</f>
        <v>0</v>
      </c>
      <c r="AN119" s="1141">
        <f ca="1">SUMIFS('ИП + источники'!AO$27:AO$87,'ИП + источники'!$F$27:$F$87,$F119,'ИП + источники'!$AC$27:$AC$87,"уплата процентов по кредитам из нормативной прибыли")</f>
        <v>0</v>
      </c>
      <c r="AO119" s="1141">
        <f ca="1">SUMIFS('ИП + источники'!AP$27:AP$87,'ИП + источники'!$F$27:$F$87,$F119,'ИП + источники'!$AC$27:$AC$87,"уплата процентов по кредитам из нормативной прибыли")</f>
        <v>0</v>
      </c>
      <c r="AP119" s="1141">
        <f ca="1">SUMIFS('ИП + источники'!AQ$27:AQ$87,'ИП + источники'!$F$27:$F$87,$F119,'ИП + источники'!$AC$27:$AC$87,"уплата процентов по кредитам из нормативной прибыли")</f>
        <v>0</v>
      </c>
      <c r="AQ119" s="1141">
        <f ca="1">SUMIFS('ИП + источники'!AR$27:AR$87,'ИП + источники'!$F$27:$F$87,$F119,'ИП + источники'!$AC$27:$AC$87,"уплата процентов по кредитам из нормативной прибыли")</f>
        <v>0</v>
      </c>
      <c r="AR119" s="1141">
        <f ca="1">SUMIFS('ИП + источники'!AS$27:AS$87,'ИП + источники'!$F$27:$F$87,$F119,'ИП + источники'!$AC$27:$AC$87,"уплата процентов по кредитам из нормативной прибыли")</f>
        <v>0</v>
      </c>
      <c r="AS119" s="1141">
        <f ca="1">SUMIFS('ИП + источники'!AT$27:AT$87,'ИП + источники'!$F$27:$F$87,$F119,'ИП + источники'!$AC$27:$AC$87,"уплата процентов по кредитам из нормативной прибыли")</f>
        <v>0</v>
      </c>
      <c r="AT119" s="1473">
        <f ca="1">SUMIFS('ИП + источники'!AU$27:AU$87,'ИП + источники'!$F$27:$F$87,$F119,'ИП + источники'!$AC$27:$AC$87,"уплата процентов по кредитам из нормативной прибыли")</f>
        <v>0</v>
      </c>
      <c r="AU119" s="1141">
        <f ca="1">SUMIFS('ИП + источники'!AV$27:AV$87,'ИП + источники'!$F$27:$F$87,$F119,'ИП + источники'!$AC$27:$AC$87,"уплата процентов по кредитам из нормативной прибыли")</f>
        <v>0</v>
      </c>
      <c r="AV119" s="1141">
        <f ca="1">SUMIFS('ИП + источники'!AW$27:AW$87,'ИП + источники'!$F$27:$F$87,$F119,'ИП + источники'!$AC$27:$AC$87,"уплата процентов по кредитам из нормативной прибыли")</f>
        <v>0</v>
      </c>
      <c r="AW119" s="1141">
        <f ca="1">SUMIFS('ИП + источники'!AX$27:AX$87,'ИП + источники'!$F$27:$F$87,$F119,'ИП + источники'!$AC$27:$AC$87,"уплата процентов по кредитам из нормативной прибыли")</f>
        <v>0</v>
      </c>
      <c r="AX119" s="1141">
        <f ca="1">SUMIFS('ИП + источники'!AY$27:AY$87,'ИП + источники'!$F$27:$F$87,$F119,'ИП + источники'!$AC$27:$AC$87,"уплата процентов по кредитам из нормативной прибыли")</f>
        <v>0</v>
      </c>
      <c r="AY119" s="1141">
        <f ca="1">SUMIFS('ИП + источники'!AZ$27:AZ$87,'ИП + источники'!$F$27:$F$87,$F119,'ИП + источники'!$AC$27:$AC$87,"уплата процентов по кредитам из нормативной прибыли")</f>
        <v>0</v>
      </c>
      <c r="AZ119" s="1141">
        <f ca="1">SUMIFS('ИП + источники'!BA$27:BA$87,'ИП + источники'!$F$27:$F$87,$F119,'ИП + источники'!$AC$27:$AC$87,"уплата процентов по кредитам из нормативной прибыли")</f>
        <v>0</v>
      </c>
      <c r="BA119" s="1141">
        <f ca="1">SUMIFS('ИП + источники'!BB$27:BB$87,'ИП + источники'!$F$27:$F$87,$F119,'ИП + источники'!$AC$27:$AC$87,"уплата процентов по кредитам из нормативной прибыли")</f>
        <v>0</v>
      </c>
      <c r="BB119" s="1141">
        <f ca="1">SUMIFS('ИП + источники'!BC$27:BC$87,'ИП + источники'!$F$27:$F$87,$F119,'ИП + источники'!$AC$27:$AC$87,"уплата процентов по кредитам из нормативной прибыли")</f>
        <v>0</v>
      </c>
      <c r="BC119" s="1141">
        <f ca="1">SUMIFS('ИП + источники'!BD$27:BD$87,'ИП + источники'!$F$27:$F$87,$F119,'ИП + источники'!$AC$27:$AC$87,"уплата процентов по кредитам из нормативной прибыли")</f>
        <v>0</v>
      </c>
      <c r="BD119" s="1015">
        <f t="shared" ca="1" si="11"/>
        <v>0</v>
      </c>
      <c r="BE119" s="1015">
        <f t="shared" ca="1" si="12"/>
        <v>0</v>
      </c>
      <c r="BF119" s="1015">
        <f t="shared" ca="1" si="13"/>
        <v>0</v>
      </c>
      <c r="BG119" s="1015">
        <f t="shared" ca="1" si="14"/>
        <v>0</v>
      </c>
      <c r="BH119" s="1015">
        <f t="shared" ca="1" si="15"/>
        <v>0</v>
      </c>
      <c r="BI119" s="1015">
        <f t="shared" ca="1" si="16"/>
        <v>0</v>
      </c>
      <c r="BJ119" s="1015">
        <f t="shared" ca="1" si="17"/>
        <v>0</v>
      </c>
      <c r="BK119" s="1015">
        <f t="shared" ca="1" si="18"/>
        <v>0</v>
      </c>
      <c r="BL119" s="1015">
        <f t="shared" ca="1" si="19"/>
        <v>0</v>
      </c>
      <c r="BM119" s="1015">
        <f t="shared" ca="1" si="20"/>
        <v>0</v>
      </c>
      <c r="BN119" s="1138"/>
      <c r="BO119" s="1142" t="str">
        <f ca="1">IF(IFERROR(INDEX('ИП + источники'!$K$28:$L$87,MATCH($F119&amp;"3komm",'ИП + источники'!$K$28:$K$87,0),2),"")=0,"",IFERROR(INDEX('ИП + источники'!$K$28:$L$87,MATCH($F119&amp;"3komm",'ИП + источники'!$K$28:$K$87,0),2),""))</f>
        <v/>
      </c>
      <c r="BP119" s="1138"/>
      <c r="BS119" s="966" t="s">
        <v>1963</v>
      </c>
    </row>
    <row r="120" spans="2:75" ht="14.65" hidden="1" customHeight="1">
      <c r="B120" s="349" t="b" cm="1">
        <f t="array" ref="B120">B119</f>
        <v>0</v>
      </c>
      <c r="C120" s="26"/>
      <c r="D120" s="26"/>
      <c r="E120" s="538">
        <v>15</v>
      </c>
      <c r="F120" s="3" cm="1">
        <f t="array" aca="1" ref="F120" ca="1">OFFSET(E120,-1,1)</f>
        <v>0</v>
      </c>
      <c r="G120" s="26"/>
      <c r="H120" s="26"/>
      <c r="I120" s="26" t="s">
        <v>736</v>
      </c>
      <c r="J120" s="26"/>
      <c r="L120" s="882" t="s">
        <v>535</v>
      </c>
      <c r="M120" s="26"/>
      <c r="N120" s="26"/>
      <c r="O120" s="26"/>
      <c r="P120" s="26"/>
      <c r="Q120" s="26"/>
      <c r="R120" s="26"/>
      <c r="S120" s="26"/>
      <c r="T120" s="381" t="b" cm="1">
        <f t="array" aca="1" ref="T120" ca="1">T119</f>
        <v>0</v>
      </c>
      <c r="U120" s="26"/>
      <c r="V120" s="26"/>
      <c r="W120" s="26"/>
      <c r="X120" s="1787"/>
      <c r="Z120" s="1735"/>
      <c r="AB120" s="216" t="s">
        <v>876</v>
      </c>
      <c r="AC120" s="676" t="s">
        <v>1964</v>
      </c>
      <c r="AD120" s="216" t="s">
        <v>766</v>
      </c>
      <c r="AE120" s="1141">
        <f ca="1">SUMIFS('ИП + источники'!AF$27:AF$87,'ИП + источники'!$F$27:$F$87,$F120,'ИП + источники'!$AC$27:$AC$87,"Прибыль на капвложения")</f>
        <v>0</v>
      </c>
      <c r="AF120" s="1141">
        <f ca="1">SUMIFS('ИП + источники'!AG$27:AG$87,'ИП + источники'!$F$27:$F$87,$F120,'ИП + источники'!$AC$27:$AC$87,"Прибыль на капвложения")</f>
        <v>0</v>
      </c>
      <c r="AG120" s="1141">
        <f ca="1">SUMIFS('ИП + источники'!AH$27:AH$87,'ИП + источники'!$F$27:$F$87,$F120,'ИП + источники'!$AC$27:$AC$87,"Прибыль на капвложения")</f>
        <v>0</v>
      </c>
      <c r="AH120" s="1015">
        <f t="shared" ca="1" si="9"/>
        <v>0</v>
      </c>
      <c r="AI120" s="1141">
        <f ca="1">SUMIFS('ИП + источники'!AJ$27:AJ$87,'ИП + источники'!$F$27:$F$87,$F120,'ИП + источники'!$AC$27:$AC$87,"Прибыль на капвложения")</f>
        <v>0</v>
      </c>
      <c r="AJ120" s="1473">
        <f ca="1">SUMIFS('ИП + источники'!AK$27:AK$87,'ИП + источники'!$F$27:$F$87,$F120,'ИП + источники'!$AC$27:$AC$87,"Прибыль на капвложения")</f>
        <v>0</v>
      </c>
      <c r="AK120" s="1141">
        <f ca="1">SUMIFS('ИП + источники'!AL$27:AL$87,'ИП + источники'!$F$27:$F$87,$F120,'ИП + источники'!$AC$27:$AC$87,"Прибыль на капвложения")</f>
        <v>0</v>
      </c>
      <c r="AL120" s="1141">
        <f ca="1">SUMIFS('ИП + источники'!AM$27:AM$87,'ИП + источники'!$F$27:$F$87,$F120,'ИП + источники'!$AC$27:$AC$87,"Прибыль на капвложения")</f>
        <v>0</v>
      </c>
      <c r="AM120" s="1141">
        <f ca="1">SUMIFS('ИП + источники'!AN$27:AN$87,'ИП + источники'!$F$27:$F$87,$F120,'ИП + источники'!$AC$27:$AC$87,"Прибыль на капвложения")</f>
        <v>0</v>
      </c>
      <c r="AN120" s="1141">
        <f ca="1">SUMIFS('ИП + источники'!AO$27:AO$87,'ИП + источники'!$F$27:$F$87,$F120,'ИП + источники'!$AC$27:$AC$87,"Прибыль на капвложения")</f>
        <v>0</v>
      </c>
      <c r="AO120" s="1141">
        <f ca="1">SUMIFS('ИП + источники'!AP$27:AP$87,'ИП + источники'!$F$27:$F$87,$F120,'ИП + источники'!$AC$27:$AC$87,"Прибыль на капвложения")</f>
        <v>0</v>
      </c>
      <c r="AP120" s="1141">
        <f ca="1">SUMIFS('ИП + источники'!AQ$27:AQ$87,'ИП + источники'!$F$27:$F$87,$F120,'ИП + источники'!$AC$27:$AC$87,"Прибыль на капвложения")</f>
        <v>0</v>
      </c>
      <c r="AQ120" s="1141">
        <f ca="1">SUMIFS('ИП + источники'!AR$27:AR$87,'ИП + источники'!$F$27:$F$87,$F120,'ИП + источники'!$AC$27:$AC$87,"Прибыль на капвложения")</f>
        <v>0</v>
      </c>
      <c r="AR120" s="1141">
        <f ca="1">SUMIFS('ИП + источники'!AS$27:AS$87,'ИП + источники'!$F$27:$F$87,$F120,'ИП + источники'!$AC$27:$AC$87,"Прибыль на капвложения")</f>
        <v>0</v>
      </c>
      <c r="AS120" s="1141">
        <f ca="1">SUMIFS('ИП + источники'!AT$27:AT$87,'ИП + источники'!$F$27:$F$87,$F120,'ИП + источники'!$AC$27:$AC$87,"Прибыль на капвложения")</f>
        <v>0</v>
      </c>
      <c r="AT120" s="1473">
        <f ca="1">SUMIFS('ИП + источники'!AU$27:AU$87,'ИП + источники'!$F$27:$F$87,$F120,'ИП + источники'!$AC$27:$AC$87,"Прибыль на капвложения")</f>
        <v>0</v>
      </c>
      <c r="AU120" s="1141">
        <f ca="1">SUMIFS('ИП + источники'!AV$27:AV$87,'ИП + источники'!$F$27:$F$87,$F120,'ИП + источники'!$AC$27:$AC$87,"Прибыль на капвложения")</f>
        <v>0</v>
      </c>
      <c r="AV120" s="1141">
        <f ca="1">SUMIFS('ИП + источники'!AW$27:AW$87,'ИП + источники'!$F$27:$F$87,$F120,'ИП + источники'!$AC$27:$AC$87,"Прибыль на капвложения")</f>
        <v>0</v>
      </c>
      <c r="AW120" s="1141">
        <f ca="1">SUMIFS('ИП + источники'!AX$27:AX$87,'ИП + источники'!$F$27:$F$87,$F120,'ИП + источники'!$AC$27:$AC$87,"Прибыль на капвложения")</f>
        <v>0</v>
      </c>
      <c r="AX120" s="1141">
        <f ca="1">SUMIFS('ИП + источники'!AY$27:AY$87,'ИП + источники'!$F$27:$F$87,$F120,'ИП + источники'!$AC$27:$AC$87,"Прибыль на капвложения")</f>
        <v>0</v>
      </c>
      <c r="AY120" s="1141">
        <f ca="1">SUMIFS('ИП + источники'!AZ$27:AZ$87,'ИП + источники'!$F$27:$F$87,$F120,'ИП + источники'!$AC$27:$AC$87,"Прибыль на капвложения")</f>
        <v>0</v>
      </c>
      <c r="AZ120" s="1141">
        <f ca="1">SUMIFS('ИП + источники'!BA$27:BA$87,'ИП + источники'!$F$27:$F$87,$F120,'ИП + источники'!$AC$27:$AC$87,"Прибыль на капвложения")</f>
        <v>0</v>
      </c>
      <c r="BA120" s="1141">
        <f ca="1">SUMIFS('ИП + источники'!BB$27:BB$87,'ИП + источники'!$F$27:$F$87,$F120,'ИП + источники'!$AC$27:$AC$87,"Прибыль на капвложения")</f>
        <v>0</v>
      </c>
      <c r="BB120" s="1141">
        <f ca="1">SUMIFS('ИП + источники'!BC$27:BC$87,'ИП + источники'!$F$27:$F$87,$F120,'ИП + источники'!$AC$27:$AC$87,"Прибыль на капвложения")</f>
        <v>0</v>
      </c>
      <c r="BC120" s="1141">
        <f ca="1">SUMIFS('ИП + источники'!BD$27:BD$87,'ИП + источники'!$F$27:$F$87,$F120,'ИП + источники'!$AC$27:$AC$87,"Прибыль на капвложения")</f>
        <v>0</v>
      </c>
      <c r="BD120" s="1015">
        <f t="shared" ca="1" si="11"/>
        <v>0</v>
      </c>
      <c r="BE120" s="1015">
        <f t="shared" ca="1" si="12"/>
        <v>0</v>
      </c>
      <c r="BF120" s="1015">
        <f t="shared" ca="1" si="13"/>
        <v>0</v>
      </c>
      <c r="BG120" s="1015">
        <f t="shared" ca="1" si="14"/>
        <v>0</v>
      </c>
      <c r="BH120" s="1015">
        <f t="shared" ca="1" si="15"/>
        <v>0</v>
      </c>
      <c r="BI120" s="1015">
        <f t="shared" ca="1" si="16"/>
        <v>0</v>
      </c>
      <c r="BJ120" s="1015">
        <f t="shared" ca="1" si="17"/>
        <v>0</v>
      </c>
      <c r="BK120" s="1015">
        <f t="shared" ca="1" si="18"/>
        <v>0</v>
      </c>
      <c r="BL120" s="1015">
        <f t="shared" ca="1" si="19"/>
        <v>0</v>
      </c>
      <c r="BM120" s="1015">
        <f t="shared" ca="1" si="20"/>
        <v>0</v>
      </c>
      <c r="BN120" s="1138"/>
      <c r="BO120" s="1142" t="str">
        <f ca="1">IF(IFERROR(INDEX('ИП + источники'!$K$28:$L$87,MATCH($F120&amp;"1komm",'ИП + источники'!$K$28:$K$87,0),2),"")=0,"",IFERROR(INDEX('ИП + источники'!$K$28:$L$87,MATCH($F120&amp;"1komm",'ИП + источники'!$K$28:$K$87,0),2),""))</f>
        <v/>
      </c>
      <c r="BP120" s="1138"/>
      <c r="BS120" s="966" t="s">
        <v>1659</v>
      </c>
    </row>
    <row r="121" spans="2:75" ht="21.95" hidden="1" customHeight="1">
      <c r="B121" s="349" t="b" cm="1">
        <f t="array" ref="B121">B120</f>
        <v>0</v>
      </c>
      <c r="C121" s="26"/>
      <c r="D121" s="26"/>
      <c r="E121" s="538">
        <v>22.5</v>
      </c>
      <c r="F121" s="3" cm="1">
        <f t="array" aca="1" ref="F121" ca="1">OFFSET(E121,-1,1)</f>
        <v>0</v>
      </c>
      <c r="G121" s="26" t="s">
        <v>1965</v>
      </c>
      <c r="H121" s="26"/>
      <c r="I121" s="26" t="s">
        <v>878</v>
      </c>
      <c r="J121" s="26"/>
      <c r="L121" s="882" t="s">
        <v>539</v>
      </c>
      <c r="M121" s="26"/>
      <c r="N121" s="26"/>
      <c r="O121" s="26"/>
      <c r="P121" s="26"/>
      <c r="Q121" s="26"/>
      <c r="R121" s="26"/>
      <c r="S121" s="26"/>
      <c r="T121" s="381" t="b" cm="1">
        <f t="array" aca="1" ref="T121" ca="1">T120</f>
        <v>0</v>
      </c>
      <c r="U121" s="26"/>
      <c r="V121" s="26"/>
      <c r="W121" s="26"/>
      <c r="X121" s="1787"/>
      <c r="Z121" s="1735"/>
      <c r="AB121" s="216" t="s">
        <v>879</v>
      </c>
      <c r="AC121" s="676" t="s">
        <v>1966</v>
      </c>
      <c r="AD121" s="216" t="s">
        <v>766</v>
      </c>
      <c r="AE121" s="1141"/>
      <c r="AF121" s="1141"/>
      <c r="AG121" s="1141"/>
      <c r="AH121" s="1015">
        <f t="shared" si="9"/>
        <v>0</v>
      </c>
      <c r="AI121" s="1141"/>
      <c r="AJ121" s="1473"/>
      <c r="AK121" s="1141"/>
      <c r="AL121" s="1141"/>
      <c r="AM121" s="1141"/>
      <c r="AN121" s="1141"/>
      <c r="AO121" s="1141"/>
      <c r="AP121" s="1141"/>
      <c r="AQ121" s="1141"/>
      <c r="AR121" s="1141"/>
      <c r="AS121" s="1141"/>
      <c r="AT121" s="1473"/>
      <c r="AU121" s="1141"/>
      <c r="AV121" s="1141"/>
      <c r="AW121" s="1141"/>
      <c r="AX121" s="1141"/>
      <c r="AY121" s="1141"/>
      <c r="AZ121" s="1141"/>
      <c r="BA121" s="1141"/>
      <c r="BB121" s="1141"/>
      <c r="BC121" s="1141"/>
      <c r="BD121" s="1015">
        <f t="shared" si="11"/>
        <v>0</v>
      </c>
      <c r="BE121" s="1015">
        <f t="shared" si="12"/>
        <v>0</v>
      </c>
      <c r="BF121" s="1015">
        <f t="shared" si="13"/>
        <v>0</v>
      </c>
      <c r="BG121" s="1015">
        <f t="shared" si="14"/>
        <v>0</v>
      </c>
      <c r="BH121" s="1015">
        <f t="shared" si="15"/>
        <v>0</v>
      </c>
      <c r="BI121" s="1015">
        <f t="shared" si="16"/>
        <v>0</v>
      </c>
      <c r="BJ121" s="1015">
        <f t="shared" si="17"/>
        <v>0</v>
      </c>
      <c r="BK121" s="1015">
        <f t="shared" si="18"/>
        <v>0</v>
      </c>
      <c r="BL121" s="1015">
        <f t="shared" si="19"/>
        <v>0</v>
      </c>
      <c r="BM121" s="1015">
        <f t="shared" si="20"/>
        <v>0</v>
      </c>
      <c r="BN121" s="1138"/>
      <c r="BO121" s="1138"/>
      <c r="BP121" s="1138"/>
      <c r="BS121" s="966" t="s">
        <v>1967</v>
      </c>
    </row>
    <row r="122" spans="2:75" ht="14.65" hidden="1" customHeight="1">
      <c r="B122" s="349" t="b">
        <f>AND(method_reg="Метод индексации",STATUS_GO="да")</f>
        <v>0</v>
      </c>
      <c r="C122" s="26"/>
      <c r="D122" s="26"/>
      <c r="E122" s="538">
        <v>15</v>
      </c>
      <c r="F122" s="3" cm="1">
        <f t="array" aca="1" ref="F122" ca="1">OFFSET(E122,-1,1)</f>
        <v>0</v>
      </c>
      <c r="G122" s="26" t="s">
        <v>1662</v>
      </c>
      <c r="H122" s="26"/>
      <c r="I122" s="26" t="s">
        <v>477</v>
      </c>
      <c r="J122" s="26"/>
      <c r="L122" s="882" t="s">
        <v>543</v>
      </c>
      <c r="M122" s="26"/>
      <c r="N122" s="26"/>
      <c r="O122" s="26"/>
      <c r="P122" s="26"/>
      <c r="Q122" s="26"/>
      <c r="R122" s="26"/>
      <c r="S122" s="26"/>
      <c r="T122" s="381" t="b" cm="1">
        <f t="array" aca="1" ref="T122" ca="1">T121</f>
        <v>0</v>
      </c>
      <c r="U122" s="26"/>
      <c r="V122" s="26"/>
      <c r="W122" s="26"/>
      <c r="X122" s="1787"/>
      <c r="Z122" s="1735"/>
      <c r="AB122" s="216" t="s">
        <v>482</v>
      </c>
      <c r="AC122" s="369" t="s">
        <v>1662</v>
      </c>
      <c r="AD122" s="216" t="s">
        <v>766</v>
      </c>
      <c r="AE122" s="1141"/>
      <c r="AF122" s="1141"/>
      <c r="AG122" s="1141"/>
      <c r="AH122" s="1015">
        <f t="shared" si="9"/>
        <v>0</v>
      </c>
      <c r="AI122" s="1141"/>
      <c r="AJ122" s="1473"/>
      <c r="AK122" s="1141"/>
      <c r="AL122" s="1141"/>
      <c r="AM122" s="1141"/>
      <c r="AN122" s="1141"/>
      <c r="AO122" s="1141"/>
      <c r="AP122" s="1141"/>
      <c r="AQ122" s="1141"/>
      <c r="AR122" s="1141"/>
      <c r="AS122" s="1141"/>
      <c r="AT122" s="1473"/>
      <c r="AU122" s="1141"/>
      <c r="AV122" s="1141"/>
      <c r="AW122" s="1141"/>
      <c r="AX122" s="1141"/>
      <c r="AY122" s="1141"/>
      <c r="AZ122" s="1141"/>
      <c r="BA122" s="1141"/>
      <c r="BB122" s="1141"/>
      <c r="BC122" s="1141"/>
      <c r="BD122" s="1015">
        <f t="shared" si="11"/>
        <v>0</v>
      </c>
      <c r="BE122" s="1015">
        <f t="shared" si="12"/>
        <v>0</v>
      </c>
      <c r="BF122" s="1015">
        <f t="shared" si="13"/>
        <v>0</v>
      </c>
      <c r="BG122" s="1015">
        <f t="shared" si="14"/>
        <v>0</v>
      </c>
      <c r="BH122" s="1015">
        <f t="shared" si="15"/>
        <v>0</v>
      </c>
      <c r="BI122" s="1015">
        <f t="shared" si="16"/>
        <v>0</v>
      </c>
      <c r="BJ122" s="1015">
        <f t="shared" si="17"/>
        <v>0</v>
      </c>
      <c r="BK122" s="1015">
        <f t="shared" si="18"/>
        <v>0</v>
      </c>
      <c r="BL122" s="1015">
        <f t="shared" si="19"/>
        <v>0</v>
      </c>
      <c r="BM122" s="1015">
        <f t="shared" si="20"/>
        <v>0</v>
      </c>
      <c r="BN122" s="1138"/>
      <c r="BO122" s="1138"/>
      <c r="BP122" s="1138"/>
      <c r="BS122" s="966" t="s">
        <v>1663</v>
      </c>
    </row>
    <row r="123" spans="2:75" ht="14.65" hidden="1" customHeight="1">
      <c r="B123" s="774" t="b">
        <f>method_reg="Метод обеспечения доходности инвестированного капитала"</f>
        <v>0</v>
      </c>
      <c r="C123" s="26"/>
      <c r="D123" s="26"/>
      <c r="E123" s="538">
        <v>15</v>
      </c>
      <c r="F123" s="3" cm="1">
        <f t="array" aca="1" ref="F123" ca="1">OFFSET(E123,-1,1)</f>
        <v>0</v>
      </c>
      <c r="G123" s="26"/>
      <c r="H123" s="26"/>
      <c r="I123" s="26"/>
      <c r="J123" s="26"/>
      <c r="K123" s="26" t="s">
        <v>327</v>
      </c>
      <c r="L123" s="882"/>
      <c r="M123" s="26"/>
      <c r="N123" s="26"/>
      <c r="O123" s="26"/>
      <c r="P123" s="26"/>
      <c r="Q123" s="26"/>
      <c r="R123" s="26"/>
      <c r="S123" s="26"/>
      <c r="T123" s="774" t="b" cm="1">
        <f t="array" aca="1" ref="T123" ca="1">T122</f>
        <v>0</v>
      </c>
      <c r="U123" s="26"/>
      <c r="V123" s="26"/>
      <c r="W123" s="26"/>
      <c r="X123" s="1787"/>
      <c r="Z123" s="1735"/>
      <c r="AB123" s="708" t="s">
        <v>523</v>
      </c>
      <c r="AC123" s="707" t="s">
        <v>1968</v>
      </c>
      <c r="AD123" s="708" t="s">
        <v>766</v>
      </c>
      <c r="AE123" s="1146"/>
      <c r="AF123" s="1146"/>
      <c r="AG123" s="1146"/>
      <c r="AH123" s="675">
        <f t="shared" si="9"/>
        <v>0</v>
      </c>
      <c r="AI123" s="1146"/>
      <c r="AJ123" s="1475"/>
      <c r="AK123" s="1146"/>
      <c r="AL123" s="1146"/>
      <c r="AM123" s="1146"/>
      <c r="AN123" s="1146"/>
      <c r="AO123" s="1146"/>
      <c r="AP123" s="1146"/>
      <c r="AQ123" s="1146"/>
      <c r="AR123" s="1146"/>
      <c r="AS123" s="1146"/>
      <c r="AT123" s="1475"/>
      <c r="AU123" s="1146"/>
      <c r="AV123" s="1146"/>
      <c r="AW123" s="1146"/>
      <c r="AX123" s="1146"/>
      <c r="AY123" s="1146"/>
      <c r="AZ123" s="1146"/>
      <c r="BA123" s="1146"/>
      <c r="BB123" s="1146"/>
      <c r="BC123" s="1146"/>
      <c r="BD123" s="675">
        <f t="shared" si="11"/>
        <v>0</v>
      </c>
      <c r="BE123" s="675">
        <f t="shared" si="12"/>
        <v>0</v>
      </c>
      <c r="BF123" s="675">
        <f t="shared" si="13"/>
        <v>0</v>
      </c>
      <c r="BG123" s="675">
        <f t="shared" si="14"/>
        <v>0</v>
      </c>
      <c r="BH123" s="675">
        <f t="shared" si="15"/>
        <v>0</v>
      </c>
      <c r="BI123" s="675">
        <f t="shared" si="16"/>
        <v>0</v>
      </c>
      <c r="BJ123" s="675">
        <f t="shared" si="17"/>
        <v>0</v>
      </c>
      <c r="BK123" s="675">
        <f t="shared" si="18"/>
        <v>0</v>
      </c>
      <c r="BL123" s="675">
        <f t="shared" si="19"/>
        <v>0</v>
      </c>
      <c r="BM123" s="675">
        <f t="shared" si="20"/>
        <v>0</v>
      </c>
      <c r="BN123" s="1147"/>
      <c r="BO123" s="1147"/>
      <c r="BP123" s="1147"/>
      <c r="BS123" s="966" t="s">
        <v>1969</v>
      </c>
    </row>
    <row r="124" spans="2:75" ht="14.65" hidden="1" customHeight="1">
      <c r="B124" s="774" t="b" cm="1">
        <f t="array" ref="B124">B123</f>
        <v>0</v>
      </c>
      <c r="C124" s="26"/>
      <c r="D124" s="26"/>
      <c r="E124" s="538">
        <v>15</v>
      </c>
      <c r="F124" s="3" cm="1">
        <f t="array" aca="1" ref="F124" ca="1">OFFSET(E124,-1,1)</f>
        <v>0</v>
      </c>
      <c r="G124" s="26"/>
      <c r="H124" s="26"/>
      <c r="I124" s="26"/>
      <c r="J124" s="26"/>
      <c r="K124" s="26" t="s">
        <v>501</v>
      </c>
      <c r="L124" s="882"/>
      <c r="M124" s="26"/>
      <c r="N124" s="26"/>
      <c r="O124" s="26"/>
      <c r="P124" s="26"/>
      <c r="Q124" s="26"/>
      <c r="R124" s="26"/>
      <c r="S124" s="26"/>
      <c r="T124" s="774" t="b" cm="1">
        <f t="array" aca="1" ref="T124" ca="1">T123</f>
        <v>0</v>
      </c>
      <c r="U124" s="26"/>
      <c r="V124" s="26"/>
      <c r="W124" s="26"/>
      <c r="X124" s="1787"/>
      <c r="Z124" s="1735"/>
      <c r="AB124" s="711" t="s">
        <v>639</v>
      </c>
      <c r="AC124" s="710" t="s">
        <v>1970</v>
      </c>
      <c r="AD124" s="711" t="s">
        <v>766</v>
      </c>
      <c r="AE124" s="1148"/>
      <c r="AF124" s="1148"/>
      <c r="AG124" s="1148"/>
      <c r="AH124" s="677"/>
      <c r="AI124" s="1148"/>
      <c r="AJ124" s="1476"/>
      <c r="AK124" s="1148"/>
      <c r="AL124" s="1148"/>
      <c r="AM124" s="1148"/>
      <c r="AN124" s="1148"/>
      <c r="AO124" s="1148"/>
      <c r="AP124" s="1148"/>
      <c r="AQ124" s="1148"/>
      <c r="AR124" s="1148"/>
      <c r="AS124" s="1148"/>
      <c r="AT124" s="1476"/>
      <c r="AU124" s="1148"/>
      <c r="AV124" s="1148"/>
      <c r="AW124" s="1148"/>
      <c r="AX124" s="1148"/>
      <c r="AY124" s="1148"/>
      <c r="AZ124" s="1148"/>
      <c r="BA124" s="1148"/>
      <c r="BB124" s="1148"/>
      <c r="BC124" s="1148"/>
      <c r="BD124" s="677"/>
      <c r="BE124" s="677"/>
      <c r="BF124" s="677"/>
      <c r="BG124" s="677"/>
      <c r="BH124" s="677"/>
      <c r="BI124" s="677"/>
      <c r="BJ124" s="677"/>
      <c r="BK124" s="677"/>
      <c r="BL124" s="677"/>
      <c r="BM124" s="677"/>
      <c r="BN124" s="1149"/>
      <c r="BO124" s="1149"/>
      <c r="BP124" s="1149"/>
      <c r="BS124" s="966" t="s">
        <v>1971</v>
      </c>
    </row>
    <row r="125" spans="2:75" ht="14.65" hidden="1" customHeight="1">
      <c r="B125" s="774" t="b" cm="1">
        <f t="array" ref="B125">B124</f>
        <v>0</v>
      </c>
      <c r="C125" s="26"/>
      <c r="D125" s="26"/>
      <c r="E125" s="538">
        <v>15</v>
      </c>
      <c r="F125" s="3" cm="1">
        <f t="array" aca="1" ref="F125" ca="1">OFFSET(E125,-1,1)</f>
        <v>0</v>
      </c>
      <c r="G125" s="26"/>
      <c r="H125" s="26"/>
      <c r="I125" s="26"/>
      <c r="J125" s="26"/>
      <c r="K125" s="26" t="s">
        <v>505</v>
      </c>
      <c r="L125" s="882"/>
      <c r="M125" s="26"/>
      <c r="N125" s="26"/>
      <c r="O125" s="26"/>
      <c r="P125" s="26"/>
      <c r="Q125" s="26"/>
      <c r="R125" s="26"/>
      <c r="S125" s="26"/>
      <c r="T125" s="774" t="b" cm="1">
        <f t="array" aca="1" ref="T125" ca="1">T124</f>
        <v>0</v>
      </c>
      <c r="U125" s="26"/>
      <c r="V125" s="26"/>
      <c r="W125" s="26"/>
      <c r="X125" s="1787"/>
      <c r="Z125" s="1735"/>
      <c r="AB125" s="711" t="s">
        <v>642</v>
      </c>
      <c r="AC125" s="710" t="s">
        <v>1972</v>
      </c>
      <c r="AD125" s="711" t="s">
        <v>1973</v>
      </c>
      <c r="AE125" s="1148"/>
      <c r="AF125" s="1148"/>
      <c r="AG125" s="1148"/>
      <c r="AH125" s="677"/>
      <c r="AI125" s="1148"/>
      <c r="AJ125" s="1476"/>
      <c r="AK125" s="1148"/>
      <c r="AL125" s="1148"/>
      <c r="AM125" s="1148"/>
      <c r="AN125" s="1148"/>
      <c r="AO125" s="1148"/>
      <c r="AP125" s="1148"/>
      <c r="AQ125" s="1148"/>
      <c r="AR125" s="1148"/>
      <c r="AS125" s="1148"/>
      <c r="AT125" s="1476"/>
      <c r="AU125" s="1148"/>
      <c r="AV125" s="1148"/>
      <c r="AW125" s="1148"/>
      <c r="AX125" s="1148"/>
      <c r="AY125" s="1148"/>
      <c r="AZ125" s="1148"/>
      <c r="BA125" s="1148"/>
      <c r="BB125" s="1148"/>
      <c r="BC125" s="1148"/>
      <c r="BD125" s="677"/>
      <c r="BE125" s="677"/>
      <c r="BF125" s="677"/>
      <c r="BG125" s="677"/>
      <c r="BH125" s="677"/>
      <c r="BI125" s="677"/>
      <c r="BJ125" s="677"/>
      <c r="BK125" s="677"/>
      <c r="BL125" s="677"/>
      <c r="BM125" s="677"/>
      <c r="BN125" s="1149"/>
      <c r="BO125" s="1149"/>
      <c r="BP125" s="1149"/>
      <c r="BS125" s="966" t="s">
        <v>1974</v>
      </c>
    </row>
    <row r="126" spans="2:75" ht="14.65" hidden="1" customHeight="1">
      <c r="B126" s="774" t="b" cm="1">
        <f t="array" ref="B126">B125</f>
        <v>0</v>
      </c>
      <c r="C126" s="26"/>
      <c r="D126" s="26"/>
      <c r="E126" s="538">
        <v>15</v>
      </c>
      <c r="F126" s="3" cm="1">
        <f t="array" aca="1" ref="F126" ca="1">OFFSET(E126,-1,1)</f>
        <v>0</v>
      </c>
      <c r="G126" s="26"/>
      <c r="H126" s="26"/>
      <c r="I126" s="26"/>
      <c r="J126" s="26"/>
      <c r="K126" s="26" t="s">
        <v>326</v>
      </c>
      <c r="L126" s="882"/>
      <c r="M126" s="26"/>
      <c r="N126" s="26"/>
      <c r="O126" s="26"/>
      <c r="P126" s="26"/>
      <c r="Q126" s="26"/>
      <c r="R126" s="26"/>
      <c r="S126" s="26"/>
      <c r="T126" s="774" t="b" cm="1">
        <f t="array" aca="1" ref="T126" ca="1">T125</f>
        <v>0</v>
      </c>
      <c r="U126" s="26"/>
      <c r="V126" s="26"/>
      <c r="W126" s="26"/>
      <c r="X126" s="1787"/>
      <c r="Z126" s="1735"/>
      <c r="AB126" s="708" t="s">
        <v>478</v>
      </c>
      <c r="AC126" s="707" t="s">
        <v>1975</v>
      </c>
      <c r="AD126" s="708" t="s">
        <v>766</v>
      </c>
      <c r="AE126" s="1146"/>
      <c r="AF126" s="1146"/>
      <c r="AG126" s="1146"/>
      <c r="AH126" s="675">
        <f>AG126-AF126</f>
        <v>0</v>
      </c>
      <c r="AI126" s="1146"/>
      <c r="AJ126" s="1475"/>
      <c r="AK126" s="1146"/>
      <c r="AL126" s="1146"/>
      <c r="AM126" s="1146"/>
      <c r="AN126" s="1146"/>
      <c r="AO126" s="1146"/>
      <c r="AP126" s="1146"/>
      <c r="AQ126" s="1146"/>
      <c r="AR126" s="1146"/>
      <c r="AS126" s="1146"/>
      <c r="AT126" s="1475"/>
      <c r="AU126" s="1146"/>
      <c r="AV126" s="1146"/>
      <c r="AW126" s="1146"/>
      <c r="AX126" s="1146"/>
      <c r="AY126" s="1146"/>
      <c r="AZ126" s="1146"/>
      <c r="BA126" s="1146"/>
      <c r="BB126" s="1146"/>
      <c r="BC126" s="1146"/>
      <c r="BD126" s="675">
        <f>IF(AI126=0,0,(AT126-AI126)/AI126*100)</f>
        <v>0</v>
      </c>
      <c r="BE126" s="675">
        <f t="shared" ref="BE126:BM126" si="25">IF(AT126=0,0,(AU126-AT126)/AT126*100)</f>
        <v>0</v>
      </c>
      <c r="BF126" s="675">
        <f t="shared" si="25"/>
        <v>0</v>
      </c>
      <c r="BG126" s="675">
        <f t="shared" si="25"/>
        <v>0</v>
      </c>
      <c r="BH126" s="675">
        <f t="shared" si="25"/>
        <v>0</v>
      </c>
      <c r="BI126" s="675">
        <f t="shared" si="25"/>
        <v>0</v>
      </c>
      <c r="BJ126" s="675">
        <f t="shared" si="25"/>
        <v>0</v>
      </c>
      <c r="BK126" s="675">
        <f t="shared" si="25"/>
        <v>0</v>
      </c>
      <c r="BL126" s="675">
        <f t="shared" si="25"/>
        <v>0</v>
      </c>
      <c r="BM126" s="675">
        <f t="shared" si="25"/>
        <v>0</v>
      </c>
      <c r="BN126" s="1147"/>
      <c r="BO126" s="1147"/>
      <c r="BP126" s="1147"/>
      <c r="BS126" s="966" t="s">
        <v>1976</v>
      </c>
    </row>
    <row r="127" spans="2:75" ht="14.65" hidden="1" customHeight="1">
      <c r="B127" s="774" t="b" cm="1">
        <f t="array" ref="B127">B126</f>
        <v>0</v>
      </c>
      <c r="C127" s="26"/>
      <c r="D127" s="26"/>
      <c r="E127" s="538">
        <v>15</v>
      </c>
      <c r="F127" s="3" cm="1">
        <f t="array" aca="1" ref="F127" ca="1">OFFSET(E127,-1,1)</f>
        <v>0</v>
      </c>
      <c r="G127" s="26"/>
      <c r="H127" s="26"/>
      <c r="I127" s="26"/>
      <c r="J127" s="26"/>
      <c r="K127" s="26" t="s">
        <v>515</v>
      </c>
      <c r="L127" s="882"/>
      <c r="M127" s="26"/>
      <c r="N127" s="26"/>
      <c r="O127" s="26"/>
      <c r="P127" s="26"/>
      <c r="Q127" s="26"/>
      <c r="R127" s="26"/>
      <c r="S127" s="26"/>
      <c r="T127" s="774" t="b" cm="1">
        <f t="array" aca="1" ref="T127" ca="1">T126</f>
        <v>0</v>
      </c>
      <c r="U127" s="26"/>
      <c r="V127" s="26"/>
      <c r="W127" s="26"/>
      <c r="X127" s="1787"/>
      <c r="Z127" s="1735"/>
      <c r="AB127" s="711" t="s">
        <v>646</v>
      </c>
      <c r="AC127" s="710" t="s">
        <v>1977</v>
      </c>
      <c r="AD127" s="711" t="s">
        <v>766</v>
      </c>
      <c r="AE127" s="1148"/>
      <c r="AF127" s="1148"/>
      <c r="AG127" s="1148"/>
      <c r="AH127" s="677"/>
      <c r="AI127" s="1148"/>
      <c r="AJ127" s="1476"/>
      <c r="AK127" s="1148"/>
      <c r="AL127" s="1148"/>
      <c r="AM127" s="1148"/>
      <c r="AN127" s="1148"/>
      <c r="AO127" s="1148"/>
      <c r="AP127" s="1148"/>
      <c r="AQ127" s="1148"/>
      <c r="AR127" s="1148"/>
      <c r="AS127" s="1148"/>
      <c r="AT127" s="1476"/>
      <c r="AU127" s="1148"/>
      <c r="AV127" s="1148"/>
      <c r="AW127" s="1148"/>
      <c r="AX127" s="1148"/>
      <c r="AY127" s="1148"/>
      <c r="AZ127" s="1148"/>
      <c r="BA127" s="1148"/>
      <c r="BB127" s="1148"/>
      <c r="BC127" s="1148"/>
      <c r="BD127" s="677"/>
      <c r="BE127" s="677"/>
      <c r="BF127" s="677"/>
      <c r="BG127" s="677"/>
      <c r="BH127" s="677"/>
      <c r="BI127" s="677"/>
      <c r="BJ127" s="677"/>
      <c r="BK127" s="677"/>
      <c r="BL127" s="677"/>
      <c r="BM127" s="677"/>
      <c r="BN127" s="1149"/>
      <c r="BO127" s="1149"/>
      <c r="BP127" s="1149"/>
      <c r="BS127" s="966" t="s">
        <v>1978</v>
      </c>
    </row>
    <row r="128" spans="2:75" ht="14.65" hidden="1" customHeight="1">
      <c r="B128" s="774" t="b" cm="1">
        <f t="array" ref="B128">B127</f>
        <v>0</v>
      </c>
      <c r="C128" s="26"/>
      <c r="D128" s="26"/>
      <c r="E128" s="538">
        <v>15</v>
      </c>
      <c r="F128" s="3" cm="1">
        <f t="array" aca="1" ref="F128" ca="1">OFFSET(E128,-1,1)</f>
        <v>0</v>
      </c>
      <c r="G128" s="26"/>
      <c r="H128" s="26"/>
      <c r="I128" s="26"/>
      <c r="J128" s="26"/>
      <c r="K128" s="26" t="s">
        <v>519</v>
      </c>
      <c r="L128" s="882"/>
      <c r="M128" s="26"/>
      <c r="N128" s="26"/>
      <c r="O128" s="26"/>
      <c r="P128" s="26"/>
      <c r="Q128" s="26"/>
      <c r="R128" s="26"/>
      <c r="S128" s="26"/>
      <c r="T128" s="774" t="b" cm="1">
        <f t="array" aca="1" ref="T128" ca="1">T127</f>
        <v>0</v>
      </c>
      <c r="U128" s="26"/>
      <c r="V128" s="26"/>
      <c r="W128" s="26"/>
      <c r="X128" s="1787"/>
      <c r="Z128" s="1735"/>
      <c r="AB128" s="711" t="s">
        <v>649</v>
      </c>
      <c r="AC128" s="710" t="s">
        <v>1979</v>
      </c>
      <c r="AD128" s="711" t="s">
        <v>423</v>
      </c>
      <c r="AE128" s="1148"/>
      <c r="AF128" s="1148"/>
      <c r="AG128" s="1148"/>
      <c r="AH128" s="677"/>
      <c r="AI128" s="1148"/>
      <c r="AJ128" s="1476"/>
      <c r="AK128" s="1148"/>
      <c r="AL128" s="1148"/>
      <c r="AM128" s="1148"/>
      <c r="AN128" s="1148"/>
      <c r="AO128" s="1148"/>
      <c r="AP128" s="1148"/>
      <c r="AQ128" s="1148"/>
      <c r="AR128" s="1148"/>
      <c r="AS128" s="1148"/>
      <c r="AT128" s="1476"/>
      <c r="AU128" s="1148"/>
      <c r="AV128" s="1148"/>
      <c r="AW128" s="1148"/>
      <c r="AX128" s="1148"/>
      <c r="AY128" s="1148"/>
      <c r="AZ128" s="1148"/>
      <c r="BA128" s="1148"/>
      <c r="BB128" s="1148"/>
      <c r="BC128" s="1148"/>
      <c r="BD128" s="677"/>
      <c r="BE128" s="677"/>
      <c r="BF128" s="677"/>
      <c r="BG128" s="677"/>
      <c r="BH128" s="677"/>
      <c r="BI128" s="677"/>
      <c r="BJ128" s="677"/>
      <c r="BK128" s="677"/>
      <c r="BL128" s="677"/>
      <c r="BM128" s="677"/>
      <c r="BN128" s="1149"/>
      <c r="BO128" s="1149"/>
      <c r="BP128" s="1149"/>
      <c r="BS128" s="966" t="s">
        <v>1980</v>
      </c>
    </row>
    <row r="129" spans="2:75" ht="14.65" hidden="1" customHeight="1">
      <c r="B129" s="774" t="b" cm="1">
        <f t="array" ref="B129">B128</f>
        <v>0</v>
      </c>
      <c r="C129" s="26"/>
      <c r="D129" s="26"/>
      <c r="E129" s="538">
        <v>15</v>
      </c>
      <c r="F129" s="3" cm="1">
        <f t="array" aca="1" ref="F129" ca="1">OFFSET(E129,-1,1)</f>
        <v>0</v>
      </c>
      <c r="G129" s="26"/>
      <c r="H129" s="26"/>
      <c r="I129" s="26"/>
      <c r="J129" s="26"/>
      <c r="K129" s="26" t="s">
        <v>736</v>
      </c>
      <c r="L129" s="882"/>
      <c r="M129" s="26"/>
      <c r="N129" s="26"/>
      <c r="O129" s="26"/>
      <c r="P129" s="26"/>
      <c r="Q129" s="26"/>
      <c r="R129" s="26"/>
      <c r="S129" s="26"/>
      <c r="T129" s="774" t="b" cm="1">
        <f t="array" aca="1" ref="T129" ca="1">T128</f>
        <v>0</v>
      </c>
      <c r="U129" s="26"/>
      <c r="V129" s="26"/>
      <c r="W129" s="26"/>
      <c r="X129" s="1787"/>
      <c r="Z129" s="1735"/>
      <c r="AB129" s="711" t="s">
        <v>876</v>
      </c>
      <c r="AC129" s="710" t="s">
        <v>1981</v>
      </c>
      <c r="AD129" s="711" t="s">
        <v>766</v>
      </c>
      <c r="AE129" s="1148"/>
      <c r="AF129" s="1148"/>
      <c r="AG129" s="1148"/>
      <c r="AH129" s="677"/>
      <c r="AI129" s="1148"/>
      <c r="AJ129" s="1476"/>
      <c r="AK129" s="1148"/>
      <c r="AL129" s="1148"/>
      <c r="AM129" s="1148"/>
      <c r="AN129" s="1148"/>
      <c r="AO129" s="1148"/>
      <c r="AP129" s="1148"/>
      <c r="AQ129" s="1148"/>
      <c r="AR129" s="1148"/>
      <c r="AS129" s="1148"/>
      <c r="AT129" s="1476"/>
      <c r="AU129" s="1148"/>
      <c r="AV129" s="1148"/>
      <c r="AW129" s="1148"/>
      <c r="AX129" s="1148"/>
      <c r="AY129" s="1148"/>
      <c r="AZ129" s="1148"/>
      <c r="BA129" s="1148"/>
      <c r="BB129" s="1148"/>
      <c r="BC129" s="1148"/>
      <c r="BD129" s="677"/>
      <c r="BE129" s="677"/>
      <c r="BF129" s="677"/>
      <c r="BG129" s="677"/>
      <c r="BH129" s="677"/>
      <c r="BI129" s="677"/>
      <c r="BJ129" s="677"/>
      <c r="BK129" s="677"/>
      <c r="BL129" s="677"/>
      <c r="BM129" s="677"/>
      <c r="BN129" s="1149"/>
      <c r="BO129" s="1149"/>
      <c r="BP129" s="1149"/>
      <c r="BS129" s="966" t="s">
        <v>1982</v>
      </c>
    </row>
    <row r="130" spans="2:75" ht="14.65" hidden="1" customHeight="1">
      <c r="B130" s="774" t="b" cm="1">
        <f t="array" ref="B130">B129</f>
        <v>0</v>
      </c>
      <c r="C130" s="26"/>
      <c r="D130" s="26"/>
      <c r="E130" s="538">
        <v>15</v>
      </c>
      <c r="F130" s="3" cm="1">
        <f t="array" aca="1" ref="F130" ca="1">OFFSET(E130,-1,1)</f>
        <v>0</v>
      </c>
      <c r="G130" s="26"/>
      <c r="H130" s="26"/>
      <c r="I130" s="26"/>
      <c r="J130" s="26"/>
      <c r="K130" s="26" t="s">
        <v>878</v>
      </c>
      <c r="L130" s="882"/>
      <c r="M130" s="26"/>
      <c r="N130" s="26"/>
      <c r="O130" s="26"/>
      <c r="P130" s="26"/>
      <c r="Q130" s="26"/>
      <c r="R130" s="26"/>
      <c r="S130" s="26"/>
      <c r="T130" s="774" t="b" cm="1">
        <f t="array" aca="1" ref="T130" ca="1">T129</f>
        <v>0</v>
      </c>
      <c r="U130" s="26"/>
      <c r="V130" s="26"/>
      <c r="W130" s="26"/>
      <c r="X130" s="1787"/>
      <c r="Z130" s="1735"/>
      <c r="AB130" s="711" t="s">
        <v>879</v>
      </c>
      <c r="AC130" s="710" t="s">
        <v>1983</v>
      </c>
      <c r="AD130" s="711" t="s">
        <v>766</v>
      </c>
      <c r="AE130" s="1148"/>
      <c r="AF130" s="1148"/>
      <c r="AG130" s="1148"/>
      <c r="AH130" s="677"/>
      <c r="AI130" s="1148"/>
      <c r="AJ130" s="1476"/>
      <c r="AK130" s="1148"/>
      <c r="AL130" s="1148"/>
      <c r="AM130" s="1148"/>
      <c r="AN130" s="1148"/>
      <c r="AO130" s="1148"/>
      <c r="AP130" s="1148"/>
      <c r="AQ130" s="1148"/>
      <c r="AR130" s="1148"/>
      <c r="AS130" s="1148"/>
      <c r="AT130" s="1476"/>
      <c r="AU130" s="1148"/>
      <c r="AV130" s="1148"/>
      <c r="AW130" s="1148"/>
      <c r="AX130" s="1148"/>
      <c r="AY130" s="1148"/>
      <c r="AZ130" s="1148"/>
      <c r="BA130" s="1148"/>
      <c r="BB130" s="1148"/>
      <c r="BC130" s="1148"/>
      <c r="BD130" s="677"/>
      <c r="BE130" s="677"/>
      <c r="BF130" s="677"/>
      <c r="BG130" s="677"/>
      <c r="BH130" s="677"/>
      <c r="BI130" s="677"/>
      <c r="BJ130" s="677"/>
      <c r="BK130" s="677"/>
      <c r="BL130" s="677"/>
      <c r="BM130" s="677"/>
      <c r="BN130" s="1149"/>
      <c r="BO130" s="1149"/>
      <c r="BP130" s="1149"/>
      <c r="BS130" s="966" t="s">
        <v>1984</v>
      </c>
    </row>
    <row r="131" spans="2:75" ht="14.65" hidden="1" customHeight="1">
      <c r="B131" s="774" t="b" cm="1">
        <f t="array" ref="B131">B130</f>
        <v>0</v>
      </c>
      <c r="C131" s="26"/>
      <c r="D131" s="26"/>
      <c r="E131" s="538">
        <v>15</v>
      </c>
      <c r="F131" s="3" cm="1">
        <f t="array" aca="1" ref="F131" ca="1">OFFSET(E131,-1,1)</f>
        <v>0</v>
      </c>
      <c r="G131" s="26"/>
      <c r="H131" s="26"/>
      <c r="I131" s="26"/>
      <c r="J131" s="26"/>
      <c r="K131" s="26" t="s">
        <v>1985</v>
      </c>
      <c r="L131" s="882"/>
      <c r="M131" s="26"/>
      <c r="N131" s="26"/>
      <c r="O131" s="26"/>
      <c r="P131" s="26"/>
      <c r="Q131" s="26"/>
      <c r="R131" s="26"/>
      <c r="S131" s="26"/>
      <c r="T131" s="774" t="b" cm="1">
        <f t="array" aca="1" ref="T131" ca="1">T130</f>
        <v>0</v>
      </c>
      <c r="U131" s="26"/>
      <c r="V131" s="26"/>
      <c r="W131" s="26"/>
      <c r="X131" s="1787"/>
      <c r="Z131" s="1735"/>
      <c r="AB131" s="711" t="s">
        <v>1986</v>
      </c>
      <c r="AC131" s="712" t="s">
        <v>1987</v>
      </c>
      <c r="AD131" s="711" t="s">
        <v>423</v>
      </c>
      <c r="AE131" s="1148"/>
      <c r="AF131" s="1148"/>
      <c r="AG131" s="1148"/>
      <c r="AH131" s="677"/>
      <c r="AI131" s="1148"/>
      <c r="AJ131" s="1476"/>
      <c r="AK131" s="1148"/>
      <c r="AL131" s="1148"/>
      <c r="AM131" s="1148"/>
      <c r="AN131" s="1148"/>
      <c r="AO131" s="1148"/>
      <c r="AP131" s="1148"/>
      <c r="AQ131" s="1148"/>
      <c r="AR131" s="1148"/>
      <c r="AS131" s="1148"/>
      <c r="AT131" s="1476"/>
      <c r="AU131" s="1148"/>
      <c r="AV131" s="1148"/>
      <c r="AW131" s="1148"/>
      <c r="AX131" s="1148"/>
      <c r="AY131" s="1148"/>
      <c r="AZ131" s="1148"/>
      <c r="BA131" s="1148"/>
      <c r="BB131" s="1148"/>
      <c r="BC131" s="1148"/>
      <c r="BD131" s="677"/>
      <c r="BE131" s="677"/>
      <c r="BF131" s="677"/>
      <c r="BG131" s="677"/>
      <c r="BH131" s="677"/>
      <c r="BI131" s="677"/>
      <c r="BJ131" s="677"/>
      <c r="BK131" s="677"/>
      <c r="BL131" s="677"/>
      <c r="BM131" s="677"/>
      <c r="BN131" s="1149"/>
      <c r="BO131" s="1149"/>
      <c r="BP131" s="1149"/>
      <c r="BS131" s="966" t="s">
        <v>1988</v>
      </c>
    </row>
    <row r="132" spans="2:75" ht="14.65" hidden="1" customHeight="1">
      <c r="B132" s="774" t="b" cm="1">
        <f t="array" ref="B132">B131</f>
        <v>0</v>
      </c>
      <c r="C132" s="26"/>
      <c r="D132" s="26"/>
      <c r="E132" s="538">
        <v>15</v>
      </c>
      <c r="F132" s="3" cm="1">
        <f t="array" aca="1" ref="F132" ca="1">OFFSET(E132,-1,1)</f>
        <v>0</v>
      </c>
      <c r="G132" s="26"/>
      <c r="H132" s="26"/>
      <c r="I132" s="26"/>
      <c r="J132" s="26"/>
      <c r="K132" s="26" t="s">
        <v>881</v>
      </c>
      <c r="L132" s="882"/>
      <c r="M132" s="26"/>
      <c r="N132" s="26"/>
      <c r="O132" s="26"/>
      <c r="P132" s="26"/>
      <c r="Q132" s="26"/>
      <c r="R132" s="26"/>
      <c r="S132" s="26"/>
      <c r="T132" s="774" t="b" cm="1">
        <f t="array" aca="1" ref="T132" ca="1">T131</f>
        <v>0</v>
      </c>
      <c r="U132" s="26"/>
      <c r="V132" s="26"/>
      <c r="W132" s="26"/>
      <c r="X132" s="1787"/>
      <c r="Z132" s="1735"/>
      <c r="AB132" s="711" t="s">
        <v>882</v>
      </c>
      <c r="AC132" s="710" t="s">
        <v>1989</v>
      </c>
      <c r="AD132" s="711" t="s">
        <v>423</v>
      </c>
      <c r="AE132" s="1148"/>
      <c r="AF132" s="1148"/>
      <c r="AG132" s="1148"/>
      <c r="AH132" s="677"/>
      <c r="AI132" s="1148"/>
      <c r="AJ132" s="1476"/>
      <c r="AK132" s="1148"/>
      <c r="AL132" s="1148"/>
      <c r="AM132" s="1148"/>
      <c r="AN132" s="1148"/>
      <c r="AO132" s="1148"/>
      <c r="AP132" s="1148"/>
      <c r="AQ132" s="1148"/>
      <c r="AR132" s="1148"/>
      <c r="AS132" s="1148"/>
      <c r="AT132" s="1476"/>
      <c r="AU132" s="1148"/>
      <c r="AV132" s="1148"/>
      <c r="AW132" s="1148"/>
      <c r="AX132" s="1148"/>
      <c r="AY132" s="1148"/>
      <c r="AZ132" s="1148"/>
      <c r="BA132" s="1148"/>
      <c r="BB132" s="1148"/>
      <c r="BC132" s="1148"/>
      <c r="BD132" s="677"/>
      <c r="BE132" s="677"/>
      <c r="BF132" s="677"/>
      <c r="BG132" s="677"/>
      <c r="BH132" s="677"/>
      <c r="BI132" s="677"/>
      <c r="BJ132" s="677"/>
      <c r="BK132" s="677"/>
      <c r="BL132" s="677"/>
      <c r="BM132" s="677"/>
      <c r="BN132" s="1149"/>
      <c r="BO132" s="1149"/>
      <c r="BP132" s="1149"/>
      <c r="BS132" s="966" t="s">
        <v>1990</v>
      </c>
    </row>
    <row r="133" spans="2:75" ht="14.65" hidden="1" customHeight="1">
      <c r="B133" s="774" t="b" cm="1">
        <f t="array" ref="B133">B132</f>
        <v>0</v>
      </c>
      <c r="C133" s="26"/>
      <c r="D133" s="26"/>
      <c r="E133" s="538">
        <v>15</v>
      </c>
      <c r="F133" s="3" cm="1">
        <f t="array" aca="1" ref="F133" ca="1">OFFSET(E133,-1,1)</f>
        <v>0</v>
      </c>
      <c r="G133" s="26"/>
      <c r="H133" s="26"/>
      <c r="I133" s="26"/>
      <c r="J133" s="26"/>
      <c r="K133" s="26" t="s">
        <v>1991</v>
      </c>
      <c r="L133" s="882"/>
      <c r="M133" s="26"/>
      <c r="N133" s="26"/>
      <c r="O133" s="26"/>
      <c r="P133" s="26"/>
      <c r="Q133" s="26"/>
      <c r="R133" s="26"/>
      <c r="S133" s="26"/>
      <c r="T133" s="774" t="b" cm="1">
        <f t="array" aca="1" ref="T133" ca="1">T132</f>
        <v>0</v>
      </c>
      <c r="U133" s="26"/>
      <c r="V133" s="26"/>
      <c r="W133" s="26"/>
      <c r="X133" s="1787"/>
      <c r="Z133" s="1735"/>
      <c r="AB133" s="711" t="s">
        <v>1992</v>
      </c>
      <c r="AC133" s="712" t="s">
        <v>1993</v>
      </c>
      <c r="AD133" s="711" t="s">
        <v>423</v>
      </c>
      <c r="AE133" s="1148"/>
      <c r="AF133" s="1148"/>
      <c r="AG133" s="1148"/>
      <c r="AH133" s="677"/>
      <c r="AI133" s="1148"/>
      <c r="AJ133" s="1476"/>
      <c r="AK133" s="1148"/>
      <c r="AL133" s="1148"/>
      <c r="AM133" s="1148"/>
      <c r="AN133" s="1148"/>
      <c r="AO133" s="1148"/>
      <c r="AP133" s="1148"/>
      <c r="AQ133" s="1148"/>
      <c r="AR133" s="1148"/>
      <c r="AS133" s="1148"/>
      <c r="AT133" s="1476"/>
      <c r="AU133" s="1148"/>
      <c r="AV133" s="1148"/>
      <c r="AW133" s="1148"/>
      <c r="AX133" s="1148"/>
      <c r="AY133" s="1148"/>
      <c r="AZ133" s="1148"/>
      <c r="BA133" s="1148"/>
      <c r="BB133" s="1148"/>
      <c r="BC133" s="1148"/>
      <c r="BD133" s="677"/>
      <c r="BE133" s="677"/>
      <c r="BF133" s="677"/>
      <c r="BG133" s="677"/>
      <c r="BH133" s="677"/>
      <c r="BI133" s="677"/>
      <c r="BJ133" s="677"/>
      <c r="BK133" s="677"/>
      <c r="BL133" s="677"/>
      <c r="BM133" s="677"/>
      <c r="BN133" s="1149"/>
      <c r="BO133" s="1149"/>
      <c r="BP133" s="1149"/>
      <c r="BS133" s="966" t="s">
        <v>1994</v>
      </c>
    </row>
    <row r="134" spans="2:75" ht="14.65" hidden="1" customHeight="1">
      <c r="B134" s="774" t="b" cm="1">
        <f t="array" ref="B134">B133</f>
        <v>0</v>
      </c>
      <c r="C134" s="26"/>
      <c r="D134" s="26"/>
      <c r="E134" s="538">
        <v>15</v>
      </c>
      <c r="F134" s="3" cm="1">
        <f t="array" aca="1" ref="F134" ca="1">OFFSET(E134,-1,1)</f>
        <v>0</v>
      </c>
      <c r="G134" s="26"/>
      <c r="H134" s="26"/>
      <c r="I134" s="26"/>
      <c r="J134" s="26"/>
      <c r="K134" s="26" t="s">
        <v>1995</v>
      </c>
      <c r="L134" s="882"/>
      <c r="M134" s="26"/>
      <c r="N134" s="26"/>
      <c r="O134" s="26"/>
      <c r="P134" s="26"/>
      <c r="Q134" s="26"/>
      <c r="R134" s="26"/>
      <c r="S134" s="26"/>
      <c r="T134" s="774" t="b" cm="1">
        <f t="array" aca="1" ref="T134" ca="1">T133</f>
        <v>0</v>
      </c>
      <c r="U134" s="26"/>
      <c r="V134" s="26"/>
      <c r="W134" s="26"/>
      <c r="X134" s="1787"/>
      <c r="Z134" s="1735"/>
      <c r="AB134" s="711" t="s">
        <v>1996</v>
      </c>
      <c r="AC134" s="712" t="s">
        <v>1997</v>
      </c>
      <c r="AD134" s="711" t="s">
        <v>423</v>
      </c>
      <c r="AE134" s="1148"/>
      <c r="AF134" s="1148"/>
      <c r="AG134" s="1148"/>
      <c r="AH134" s="677"/>
      <c r="AI134" s="1148"/>
      <c r="AJ134" s="1476"/>
      <c r="AK134" s="1148"/>
      <c r="AL134" s="1148"/>
      <c r="AM134" s="1148"/>
      <c r="AN134" s="1148"/>
      <c r="AO134" s="1148"/>
      <c r="AP134" s="1148"/>
      <c r="AQ134" s="1148"/>
      <c r="AR134" s="1148"/>
      <c r="AS134" s="1148"/>
      <c r="AT134" s="1476"/>
      <c r="AU134" s="1148"/>
      <c r="AV134" s="1148"/>
      <c r="AW134" s="1148"/>
      <c r="AX134" s="1148"/>
      <c r="AY134" s="1148"/>
      <c r="AZ134" s="1148"/>
      <c r="BA134" s="1148"/>
      <c r="BB134" s="1148"/>
      <c r="BC134" s="1148"/>
      <c r="BD134" s="677"/>
      <c r="BE134" s="677"/>
      <c r="BF134" s="677"/>
      <c r="BG134" s="677"/>
      <c r="BH134" s="677"/>
      <c r="BI134" s="677"/>
      <c r="BJ134" s="677"/>
      <c r="BK134" s="677"/>
      <c r="BL134" s="677"/>
      <c r="BM134" s="677"/>
      <c r="BN134" s="1149"/>
      <c r="BO134" s="1149"/>
      <c r="BP134" s="1149"/>
      <c r="BS134" s="966" t="s">
        <v>1998</v>
      </c>
    </row>
    <row r="135" spans="2:75" s="617" customFormat="1" ht="20.45" hidden="1" customHeight="1">
      <c r="B135" s="352"/>
      <c r="C135" s="28"/>
      <c r="D135" s="28" t="str">
        <f>IF(B134,"6","7")</f>
        <v>7</v>
      </c>
      <c r="E135" s="740">
        <v>21</v>
      </c>
      <c r="F135" s="3" cm="1">
        <f t="array" aca="1" ref="F135" ca="1">OFFSET(E135,-1,1)</f>
        <v>0</v>
      </c>
      <c r="G135" s="26" t="s">
        <v>1999</v>
      </c>
      <c r="H135" s="26"/>
      <c r="I135" s="296" t="s">
        <v>2000</v>
      </c>
      <c r="J135" s="28"/>
      <c r="K135" s="292" t="s">
        <v>2000</v>
      </c>
      <c r="L135" s="887"/>
      <c r="M135" s="28"/>
      <c r="N135" s="28"/>
      <c r="O135" s="28"/>
      <c r="P135" s="28"/>
      <c r="Q135" s="28"/>
      <c r="R135" s="28"/>
      <c r="S135" s="28"/>
      <c r="T135" s="381" t="b" cm="1">
        <f t="array" aca="1" ref="T135" ca="1">T134</f>
        <v>0</v>
      </c>
      <c r="U135" s="28"/>
      <c r="V135" s="28"/>
      <c r="W135" s="28"/>
      <c r="X135" s="1787"/>
      <c r="Z135" s="1735"/>
      <c r="AB135" s="129" t="str" cm="1">
        <f t="array" ref="AB135">D135</f>
        <v>7</v>
      </c>
      <c r="AC135" s="137" t="s">
        <v>1440</v>
      </c>
      <c r="AD135" s="129" t="s">
        <v>766</v>
      </c>
      <c r="AE135" s="1137"/>
      <c r="AF135" s="1137"/>
      <c r="AG135" s="1137"/>
      <c r="AH135" s="692">
        <f>AG135-AF135</f>
        <v>0</v>
      </c>
      <c r="AI135" s="1137"/>
      <c r="AJ135" s="1473">
        <f ca="1">SUMIFS('Корректировка НВВ'!$AF$25:$AF$129,'Корректировка НВВ'!$F$25:$F$129,$F135,'Корректировка НВВ'!$I$25:$I$129,$G135)</f>
        <v>0</v>
      </c>
      <c r="AK135" s="1137"/>
      <c r="AL135" s="1137"/>
      <c r="AM135" s="1137"/>
      <c r="AN135" s="1137"/>
      <c r="AO135" s="1137"/>
      <c r="AP135" s="1137"/>
      <c r="AQ135" s="1137"/>
      <c r="AR135" s="1137"/>
      <c r="AS135" s="1137"/>
      <c r="AT135" s="1473">
        <f ca="1">SUMIFS('Корректировка НВВ'!$AG$25:$AG$129,'Корректировка НВВ'!$F$25:$F$129,$F135,'Корректировка НВВ'!$I$25:$I$129,$G135)</f>
        <v>0</v>
      </c>
      <c r="AU135" s="1137"/>
      <c r="AV135" s="1137"/>
      <c r="AW135" s="1137"/>
      <c r="AX135" s="1137"/>
      <c r="AY135" s="1137"/>
      <c r="AZ135" s="1137"/>
      <c r="BA135" s="1137"/>
      <c r="BB135" s="1137"/>
      <c r="BC135" s="1137"/>
      <c r="BD135" s="692">
        <f>IF(AI135=0,0,(AT135-AI135)/AI135*100)</f>
        <v>0</v>
      </c>
      <c r="BE135" s="692">
        <f t="shared" ref="BE135:BM135" ca="1" si="26">IF(AT135=0,0,(AU135-AT135)/AT135*100)</f>
        <v>0</v>
      </c>
      <c r="BF135" s="692">
        <f t="shared" si="26"/>
        <v>0</v>
      </c>
      <c r="BG135" s="692">
        <f t="shared" si="26"/>
        <v>0</v>
      </c>
      <c r="BH135" s="692">
        <f t="shared" si="26"/>
        <v>0</v>
      </c>
      <c r="BI135" s="692">
        <f t="shared" si="26"/>
        <v>0</v>
      </c>
      <c r="BJ135" s="692">
        <f t="shared" si="26"/>
        <v>0</v>
      </c>
      <c r="BK135" s="692">
        <f t="shared" si="26"/>
        <v>0</v>
      </c>
      <c r="BL135" s="692">
        <f t="shared" si="26"/>
        <v>0</v>
      </c>
      <c r="BM135" s="692">
        <f t="shared" si="26"/>
        <v>0</v>
      </c>
      <c r="BN135" s="1140"/>
      <c r="BO135" s="1142" t="str">
        <f ca="1">IF(IFERROR(INDEX('Корректировка НВВ'!$K$26:$L$129,MATCH($F135&amp;"11komm",'Корректировка НВВ'!$K$26:$K$129,0),2),"")=0,"",IFERROR(INDEX('Корректировка НВВ'!$K$26:$L$129,MATCH($F135&amp;"11komm",'Корректировка НВВ'!$K$26:$K$129,0),2),""))</f>
        <v/>
      </c>
      <c r="BP135" s="1140"/>
      <c r="BS135" s="972" t="s">
        <v>2001</v>
      </c>
      <c r="BT135" s="972"/>
      <c r="BU135" s="972"/>
      <c r="BV135" s="624"/>
      <c r="BW135" s="624"/>
    </row>
    <row r="136" spans="2:75" ht="14.65" hidden="1" customHeight="1">
      <c r="C136" s="26"/>
      <c r="D136" s="26" t="str" cm="1">
        <f t="array" ref="D136">D135</f>
        <v>7</v>
      </c>
      <c r="E136" s="538">
        <v>15</v>
      </c>
      <c r="F136" s="3" cm="1">
        <f t="array" aca="1" ref="F136" ca="1">OFFSET(E136,-1,1)</f>
        <v>0</v>
      </c>
      <c r="G136" s="26"/>
      <c r="H136" s="26"/>
      <c r="I136" s="26"/>
      <c r="J136" s="26"/>
      <c r="L136" s="882"/>
      <c r="M136" s="26"/>
      <c r="N136" s="26"/>
      <c r="O136" s="26"/>
      <c r="P136" s="26"/>
      <c r="Q136" s="26"/>
      <c r="R136" s="26"/>
      <c r="S136" s="26"/>
      <c r="T136" s="381" t="b" cm="1">
        <f t="array" aca="1" ref="T136" ca="1">T135</f>
        <v>0</v>
      </c>
      <c r="U136" s="26"/>
      <c r="V136" s="26"/>
      <c r="W136" s="26"/>
      <c r="X136" s="1787"/>
      <c r="Z136" s="1735"/>
      <c r="AB136" s="216"/>
      <c r="AC136" s="369" t="s">
        <v>2002</v>
      </c>
      <c r="AD136" s="216"/>
      <c r="AE136" s="1016"/>
      <c r="AF136" s="1016"/>
      <c r="AG136" s="1016"/>
      <c r="AH136" s="1016"/>
      <c r="AI136" s="1016"/>
      <c r="AJ136" s="1016"/>
      <c r="AK136" s="1016"/>
      <c r="AL136" s="1016"/>
      <c r="AM136" s="1016"/>
      <c r="AN136" s="1016"/>
      <c r="AO136" s="1016"/>
      <c r="AP136" s="1016"/>
      <c r="AQ136" s="1016"/>
      <c r="AR136" s="1016"/>
      <c r="AS136" s="1016"/>
      <c r="AT136" s="1016"/>
      <c r="AU136" s="1016"/>
      <c r="AV136" s="1016"/>
      <c r="AW136" s="1016"/>
      <c r="AX136" s="1016"/>
      <c r="AY136" s="1016"/>
      <c r="AZ136" s="1016"/>
      <c r="BA136" s="1016"/>
      <c r="BB136" s="1016"/>
      <c r="BC136" s="1016"/>
      <c r="BD136" s="1016"/>
      <c r="BE136" s="1016"/>
      <c r="BF136" s="1016"/>
      <c r="BG136" s="1016"/>
      <c r="BH136" s="1016"/>
      <c r="BI136" s="1016"/>
      <c r="BJ136" s="1016"/>
      <c r="BK136" s="1016"/>
      <c r="BL136" s="1016"/>
      <c r="BM136" s="1016"/>
      <c r="BN136" s="1018"/>
      <c r="BO136" s="1018"/>
      <c r="BP136" s="1018"/>
    </row>
    <row r="137" spans="2:75" ht="21.95" hidden="1" customHeight="1">
      <c r="C137" s="26"/>
      <c r="D137" s="26" t="str" cm="1">
        <f t="array" ref="D137">D136</f>
        <v>7</v>
      </c>
      <c r="E137" s="538">
        <v>22.5</v>
      </c>
      <c r="F137" s="3" cm="1">
        <f t="array" aca="1" ref="F137" ca="1">OFFSET(E137,-1,1)</f>
        <v>0</v>
      </c>
      <c r="G137" s="26" t="s">
        <v>365</v>
      </c>
      <c r="H137" s="26"/>
      <c r="I137" s="26" t="s">
        <v>481</v>
      </c>
      <c r="J137" s="26"/>
      <c r="K137" s="77" t="s">
        <v>481</v>
      </c>
      <c r="L137" s="882"/>
      <c r="M137" s="26"/>
      <c r="N137" s="26"/>
      <c r="O137" s="26"/>
      <c r="P137" s="26"/>
      <c r="Q137" s="26"/>
      <c r="R137" s="26"/>
      <c r="S137" s="26"/>
      <c r="T137" s="381" t="b" cm="1">
        <f t="array" aca="1" ref="T137" ca="1">T136</f>
        <v>0</v>
      </c>
      <c r="U137" s="26"/>
      <c r="V137" s="26"/>
      <c r="W137" s="26"/>
      <c r="X137" s="1787"/>
      <c r="Z137" s="1735"/>
      <c r="AB137" s="216" t="str">
        <f>D137&amp;".1"</f>
        <v>7.1</v>
      </c>
      <c r="AC137" s="676" t="s">
        <v>2003</v>
      </c>
      <c r="AD137" s="216" t="s">
        <v>766</v>
      </c>
      <c r="AE137" s="1141"/>
      <c r="AF137" s="1141"/>
      <c r="AG137" s="1141"/>
      <c r="AH137" s="1015">
        <f t="shared" ref="AH137:AH150" si="27">AG137-AF137</f>
        <v>0</v>
      </c>
      <c r="AI137" s="1141"/>
      <c r="AJ137" s="1473">
        <f ca="1">SUMIFS('Корректировка НВВ'!$AF$25:$AF$129,'Корректировка НВВ'!$F$25:$F$129,$F137,'Корректировка НВВ'!$I$25:$I$129,$G137)</f>
        <v>0</v>
      </c>
      <c r="AK137" s="1141"/>
      <c r="AL137" s="1141"/>
      <c r="AM137" s="1141"/>
      <c r="AN137" s="1141"/>
      <c r="AO137" s="1141"/>
      <c r="AP137" s="1141"/>
      <c r="AQ137" s="1141"/>
      <c r="AR137" s="1141"/>
      <c r="AS137" s="1141"/>
      <c r="AT137" s="1473">
        <f ca="1">SUMIFS('Корректировка НВВ'!$AG$25:$AG$129,'Корректировка НВВ'!$F$25:$F$129,$F137,'Корректировка НВВ'!$I$25:$I$129,$G137)</f>
        <v>0</v>
      </c>
      <c r="AU137" s="1141"/>
      <c r="AV137" s="1141"/>
      <c r="AW137" s="1141"/>
      <c r="AX137" s="1141"/>
      <c r="AY137" s="1141"/>
      <c r="AZ137" s="1141"/>
      <c r="BA137" s="1141"/>
      <c r="BB137" s="1141"/>
      <c r="BC137" s="1141"/>
      <c r="BD137" s="1016"/>
      <c r="BE137" s="1016"/>
      <c r="BF137" s="1016"/>
      <c r="BG137" s="1016"/>
      <c r="BH137" s="1016"/>
      <c r="BI137" s="1016"/>
      <c r="BJ137" s="1016"/>
      <c r="BK137" s="1016"/>
      <c r="BL137" s="1016"/>
      <c r="BM137" s="1016"/>
      <c r="BN137" s="1138"/>
      <c r="BO137" s="1142" t="str">
        <f ca="1">IF(IFERROR(INDEX('Корректировка НВВ'!$K$26:$L$129,MATCH($F137&amp;"1komm",'Корректировка НВВ'!$K$26:$K$129,0),2),"")=0,"",IFERROR(INDEX('Корректировка НВВ'!$K$26:$L$129,MATCH($F137&amp;"1komm",'Корректировка НВВ'!$K$26:$K$129,0),2),""))</f>
        <v/>
      </c>
      <c r="BP137" s="1138"/>
      <c r="BS137" s="966" t="s">
        <v>2004</v>
      </c>
    </row>
    <row r="138" spans="2:75" ht="98.65" hidden="1" customHeight="1">
      <c r="C138" s="26"/>
      <c r="D138" s="26" t="str" cm="1">
        <f t="array" ref="D138">D137</f>
        <v>7</v>
      </c>
      <c r="E138" s="538">
        <v>101.25</v>
      </c>
      <c r="F138" s="3" cm="1">
        <f t="array" aca="1" ref="F138" ca="1">OFFSET(E138,-1,1)</f>
        <v>0</v>
      </c>
      <c r="G138" s="26" t="s">
        <v>2005</v>
      </c>
      <c r="H138" s="26"/>
      <c r="I138" s="26" t="s">
        <v>528</v>
      </c>
      <c r="J138" s="26"/>
      <c r="K138" s="77" t="s">
        <v>528</v>
      </c>
      <c r="L138" s="882"/>
      <c r="M138" s="26"/>
      <c r="N138" s="26"/>
      <c r="O138" s="26"/>
      <c r="P138" s="26"/>
      <c r="Q138" s="26"/>
      <c r="R138" s="26"/>
      <c r="S138" s="26"/>
      <c r="T138" s="381" t="b" cm="1">
        <f t="array" aca="1" ref="T138" ca="1">T137</f>
        <v>0</v>
      </c>
      <c r="U138" s="26"/>
      <c r="V138" s="26"/>
      <c r="W138" s="26"/>
      <c r="X138" s="1787"/>
      <c r="Z138" s="1735"/>
      <c r="AB138" s="216" t="str">
        <f>D138&amp;".2"</f>
        <v>7.2</v>
      </c>
      <c r="AC138" s="676" t="s">
        <v>2006</v>
      </c>
      <c r="AD138" s="216" t="s">
        <v>766</v>
      </c>
      <c r="AE138" s="1141"/>
      <c r="AF138" s="1141"/>
      <c r="AG138" s="1141"/>
      <c r="AH138" s="1015">
        <f t="shared" si="27"/>
        <v>0</v>
      </c>
      <c r="AI138" s="1141"/>
      <c r="AJ138" s="1473">
        <f ca="1">SUMIFS('Корректировка НВВ'!$AF$25:$AF$129,'Корректировка НВВ'!$F$25:$F$129,$F138,'Корректировка НВВ'!$I$25:$I$129,$G138)</f>
        <v>0</v>
      </c>
      <c r="AK138" s="1141"/>
      <c r="AL138" s="1141"/>
      <c r="AM138" s="1141"/>
      <c r="AN138" s="1141"/>
      <c r="AO138" s="1141"/>
      <c r="AP138" s="1141"/>
      <c r="AQ138" s="1141"/>
      <c r="AR138" s="1141"/>
      <c r="AS138" s="1141"/>
      <c r="AT138" s="1473">
        <f ca="1">SUMIFS('Корректировка НВВ'!$AG$25:$AG$129,'Корректировка НВВ'!$F$25:$F$129,$F138,'Корректировка НВВ'!$I$25:$I$129,$G138)</f>
        <v>0</v>
      </c>
      <c r="AU138" s="1141"/>
      <c r="AV138" s="1141"/>
      <c r="AW138" s="1141"/>
      <c r="AX138" s="1141"/>
      <c r="AY138" s="1141"/>
      <c r="AZ138" s="1141"/>
      <c r="BA138" s="1141"/>
      <c r="BB138" s="1141"/>
      <c r="BC138" s="1141"/>
      <c r="BD138" s="1016"/>
      <c r="BE138" s="1016"/>
      <c r="BF138" s="1016"/>
      <c r="BG138" s="1016"/>
      <c r="BH138" s="1016"/>
      <c r="BI138" s="1016"/>
      <c r="BJ138" s="1016"/>
      <c r="BK138" s="1016"/>
      <c r="BL138" s="1016"/>
      <c r="BM138" s="1016"/>
      <c r="BN138" s="1138"/>
      <c r="BO138" s="1142" t="str">
        <f ca="1">IF(IFERROR(INDEX('Корректировка НВВ'!$K$26:$L$129,MATCH($F138&amp;"2komm",'Корректировка НВВ'!$K$26:$K$129,0),2),"")=0,"",IFERROR(INDEX('Корректировка НВВ'!$K$26:$L$129,MATCH($F138&amp;"2komm",'Корректировка НВВ'!$K$26:$K$129,0),2),""))</f>
        <v/>
      </c>
      <c r="BP138" s="1138"/>
      <c r="BS138" s="966" t="s">
        <v>2007</v>
      </c>
    </row>
    <row r="139" spans="2:75" ht="43.9" hidden="1" customHeight="1">
      <c r="C139" s="26"/>
      <c r="D139" s="26" t="str" cm="1">
        <f t="array" ref="D139">D138</f>
        <v>7</v>
      </c>
      <c r="E139" s="538">
        <v>45</v>
      </c>
      <c r="F139" s="3" cm="1">
        <f t="array" aca="1" ref="F139" ca="1">OFFSET(E139,-1,1)</f>
        <v>0</v>
      </c>
      <c r="G139" s="26"/>
      <c r="H139" s="26"/>
      <c r="I139" s="26" t="s">
        <v>543</v>
      </c>
      <c r="J139" s="26"/>
      <c r="K139" s="77" t="s">
        <v>543</v>
      </c>
      <c r="L139" s="882"/>
      <c r="M139" s="26"/>
      <c r="N139" s="26"/>
      <c r="O139" s="26"/>
      <c r="P139" s="26"/>
      <c r="Q139" s="26"/>
      <c r="R139" s="26"/>
      <c r="S139" s="26"/>
      <c r="T139" s="381" t="b" cm="1">
        <f t="array" aca="1" ref="T139" ca="1">T138</f>
        <v>0</v>
      </c>
      <c r="U139" s="26"/>
      <c r="V139" s="26"/>
      <c r="W139" s="26"/>
      <c r="X139" s="1787"/>
      <c r="Z139" s="1735"/>
      <c r="AB139" s="216" t="str">
        <f>D139&amp;".3"</f>
        <v>7.3</v>
      </c>
      <c r="AC139" s="676" t="s">
        <v>2008</v>
      </c>
      <c r="AD139" s="216" t="s">
        <v>766</v>
      </c>
      <c r="AE139" s="1141"/>
      <c r="AF139" s="1141"/>
      <c r="AG139" s="1141"/>
      <c r="AH139" s="1015">
        <f t="shared" si="27"/>
        <v>0</v>
      </c>
      <c r="AI139" s="1141"/>
      <c r="AJ139" s="1473">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1141"/>
      <c r="AL139" s="1141"/>
      <c r="AM139" s="1141"/>
      <c r="AN139" s="1141"/>
      <c r="AO139" s="1141"/>
      <c r="AP139" s="1141"/>
      <c r="AQ139" s="1141"/>
      <c r="AR139" s="1141"/>
      <c r="AS139" s="1141"/>
      <c r="AT139" s="1473">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1141"/>
      <c r="AV139" s="1141"/>
      <c r="AW139" s="1141"/>
      <c r="AX139" s="1141"/>
      <c r="AY139" s="1141"/>
      <c r="AZ139" s="1141"/>
      <c r="BA139" s="1141"/>
      <c r="BB139" s="1141"/>
      <c r="BC139" s="1141"/>
      <c r="BD139" s="1016"/>
      <c r="BE139" s="1016"/>
      <c r="BF139" s="1016"/>
      <c r="BG139" s="1016"/>
      <c r="BH139" s="1016"/>
      <c r="BI139" s="1016"/>
      <c r="BJ139" s="1016"/>
      <c r="BK139" s="1016"/>
      <c r="BL139" s="1016"/>
      <c r="BM139" s="1016"/>
      <c r="BN139" s="1138"/>
      <c r="BO139" s="1142"/>
      <c r="BP139" s="1138"/>
      <c r="BS139" s="966" t="s">
        <v>2009</v>
      </c>
    </row>
    <row r="140" spans="2:75" ht="87.75" hidden="1" customHeight="1">
      <c r="B140" s="362" t="b">
        <f>S27="Водоотведение"</f>
        <v>0</v>
      </c>
      <c r="C140" s="26"/>
      <c r="D140" s="26" t="str" cm="1">
        <f t="array" ref="D140">D139</f>
        <v>7</v>
      </c>
      <c r="E140" s="538">
        <v>90</v>
      </c>
      <c r="F140" s="3" cm="1">
        <f t="array" aca="1" ref="F140" ca="1">OFFSET(E140,-1,1)</f>
        <v>0</v>
      </c>
      <c r="G140" s="26" t="s">
        <v>2010</v>
      </c>
      <c r="H140" s="762"/>
      <c r="I140" s="26" t="s">
        <v>712</v>
      </c>
      <c r="J140" s="26"/>
      <c r="K140" s="77" t="s">
        <v>712</v>
      </c>
      <c r="L140" s="882" t="s">
        <v>709</v>
      </c>
      <c r="M140" s="26"/>
      <c r="N140" s="26"/>
      <c r="O140" s="26"/>
      <c r="P140" s="26"/>
      <c r="Q140" s="26"/>
      <c r="R140" s="26"/>
      <c r="S140" s="26"/>
      <c r="T140" s="381" t="b" cm="1">
        <f t="array" aca="1" ref="T140" ca="1">T139</f>
        <v>0</v>
      </c>
      <c r="U140" s="26"/>
      <c r="V140" s="26"/>
      <c r="W140" s="26"/>
      <c r="X140" s="1787"/>
      <c r="Z140" s="1735"/>
      <c r="AB140" s="216" t="str">
        <f>D140&amp;".4"</f>
        <v>7.4</v>
      </c>
      <c r="AC140" s="676" t="s">
        <v>1665</v>
      </c>
      <c r="AD140" s="680" t="s">
        <v>766</v>
      </c>
      <c r="AE140" s="1141"/>
      <c r="AF140" s="1141"/>
      <c r="AG140" s="1141"/>
      <c r="AH140" s="1015">
        <f t="shared" si="27"/>
        <v>0</v>
      </c>
      <c r="AI140" s="1141"/>
      <c r="AJ140" s="1473">
        <f ca="1">SUMIFS('Корректировка НВВ'!$AF$25:$AF$129,'Корректировка НВВ'!$F$25:$F$129,$F140,'Корректировка НВВ'!$I$25:$I$129,$G140)</f>
        <v>0</v>
      </c>
      <c r="AK140" s="1141"/>
      <c r="AL140" s="1141"/>
      <c r="AM140" s="1141"/>
      <c r="AN140" s="1141"/>
      <c r="AO140" s="1141"/>
      <c r="AP140" s="1141"/>
      <c r="AQ140" s="1141"/>
      <c r="AR140" s="1141"/>
      <c r="AS140" s="1141"/>
      <c r="AT140" s="1473">
        <f ca="1">SUMIFS('Корректировка НВВ'!$AG$25:$AG$129,'Корректировка НВВ'!$F$25:$F$129,$F140,'Корректировка НВВ'!$I$25:$I$129,$G140)</f>
        <v>0</v>
      </c>
      <c r="AU140" s="1141"/>
      <c r="AV140" s="1141"/>
      <c r="AW140" s="1141"/>
      <c r="AX140" s="1141"/>
      <c r="AY140" s="1141"/>
      <c r="AZ140" s="1141"/>
      <c r="BA140" s="1141"/>
      <c r="BB140" s="1141"/>
      <c r="BC140" s="1141"/>
      <c r="BD140" s="1016"/>
      <c r="BE140" s="1016"/>
      <c r="BF140" s="1016"/>
      <c r="BG140" s="1016"/>
      <c r="BH140" s="1016"/>
      <c r="BI140" s="1016"/>
      <c r="BJ140" s="1016"/>
      <c r="BK140" s="1016"/>
      <c r="BL140" s="1016"/>
      <c r="BM140" s="1016"/>
      <c r="BN140" s="1138"/>
      <c r="BO140" s="1142" t="str">
        <f ca="1">IF(IFERROR(INDEX('Корректировка НВВ'!$K$26:$L$129,MATCH($F140&amp;"3komm",'Корректировка НВВ'!$K$26:$K$129,0),2),"")=0,"",IFERROR(INDEX('Корректировка НВВ'!$K$26:$L$129,MATCH($F140&amp;"3komm",'Корректировка НВВ'!$K$26:$K$129,0),2),""))</f>
        <v/>
      </c>
      <c r="BP140" s="1138"/>
      <c r="BS140" s="966" t="s">
        <v>1216</v>
      </c>
    </row>
    <row r="141" spans="2:75" ht="54.75" hidden="1" customHeight="1">
      <c r="B141" s="362" t="b" cm="1">
        <f t="array" ref="B141">B140</f>
        <v>0</v>
      </c>
      <c r="C141" s="26"/>
      <c r="D141" s="26" t="str" cm="1">
        <f t="array" ref="D141">D140</f>
        <v>7</v>
      </c>
      <c r="E141" s="538">
        <v>56.25</v>
      </c>
      <c r="F141" s="3" cm="1">
        <f t="array" aca="1" ref="F141" ca="1">OFFSET(E141,-1,1)</f>
        <v>0</v>
      </c>
      <c r="G141" s="26" t="s">
        <v>2011</v>
      </c>
      <c r="H141" s="762"/>
      <c r="I141" s="26" t="s">
        <v>744</v>
      </c>
      <c r="J141" s="26"/>
      <c r="K141" s="77" t="s">
        <v>744</v>
      </c>
      <c r="L141" s="882" t="s">
        <v>712</v>
      </c>
      <c r="M141" s="26"/>
      <c r="N141" s="26"/>
      <c r="O141" s="26"/>
      <c r="P141" s="26"/>
      <c r="Q141" s="26"/>
      <c r="R141" s="26"/>
      <c r="S141" s="26"/>
      <c r="T141" s="381" t="b" cm="1">
        <f t="array" aca="1" ref="T141" ca="1">T140</f>
        <v>0</v>
      </c>
      <c r="U141" s="26"/>
      <c r="V141" s="26"/>
      <c r="W141" s="26"/>
      <c r="X141" s="1787"/>
      <c r="Z141" s="1735"/>
      <c r="AB141" s="216" t="str">
        <f>D141&amp;".5"</f>
        <v>7.5</v>
      </c>
      <c r="AC141" s="676" t="s">
        <v>1667</v>
      </c>
      <c r="AD141" s="680" t="s">
        <v>766</v>
      </c>
      <c r="AE141" s="1141"/>
      <c r="AF141" s="1141"/>
      <c r="AG141" s="1141"/>
      <c r="AH141" s="1015">
        <f t="shared" si="27"/>
        <v>0</v>
      </c>
      <c r="AI141" s="1141"/>
      <c r="AJ141" s="1473">
        <f ca="1">SUMIFS('Корректировка НВВ'!$AF$25:$AF$129,'Корректировка НВВ'!$F$25:$F$129,$F141,'Корректировка НВВ'!$I$25:$I$129,$G141)</f>
        <v>0</v>
      </c>
      <c r="AK141" s="1141"/>
      <c r="AL141" s="1141"/>
      <c r="AM141" s="1141"/>
      <c r="AN141" s="1141"/>
      <c r="AO141" s="1141"/>
      <c r="AP141" s="1141"/>
      <c r="AQ141" s="1141"/>
      <c r="AR141" s="1141"/>
      <c r="AS141" s="1141"/>
      <c r="AT141" s="1473">
        <f ca="1">SUMIFS('Корректировка НВВ'!$AG$25:$AG$129,'Корректировка НВВ'!$F$25:$F$129,$F141,'Корректировка НВВ'!$I$25:$I$129,$G141)</f>
        <v>0</v>
      </c>
      <c r="AU141" s="1141"/>
      <c r="AV141" s="1141"/>
      <c r="AW141" s="1141"/>
      <c r="AX141" s="1141"/>
      <c r="AY141" s="1141"/>
      <c r="AZ141" s="1141"/>
      <c r="BA141" s="1141"/>
      <c r="BB141" s="1141"/>
      <c r="BC141" s="1141"/>
      <c r="BD141" s="1016"/>
      <c r="BE141" s="1016"/>
      <c r="BF141" s="1016"/>
      <c r="BG141" s="1016"/>
      <c r="BH141" s="1016"/>
      <c r="BI141" s="1016"/>
      <c r="BJ141" s="1016"/>
      <c r="BK141" s="1016"/>
      <c r="BL141" s="1016"/>
      <c r="BM141" s="1016"/>
      <c r="BN141" s="1138"/>
      <c r="BO141" s="1142" t="str">
        <f ca="1">IF(IFERROR(INDEX('Корректировка НВВ'!$K$26:$L$129,MATCH($F141&amp;"4komm",'Корректировка НВВ'!$K$26:$K$129,0),2),"")=0,"",IFERROR(INDEX('Корректировка НВВ'!$K$26:$L$129,MATCH($F141&amp;"4komm",'Корректировка НВВ'!$K$26:$K$129,0),2),""))</f>
        <v/>
      </c>
      <c r="BP141" s="1138"/>
      <c r="BS141" s="966" t="s">
        <v>1220</v>
      </c>
    </row>
    <row r="142" spans="2:75" ht="14.65" hidden="1" customHeight="1">
      <c r="B142" s="344"/>
      <c r="C142" s="26"/>
      <c r="D142" s="26" t="str" cm="1">
        <f t="array" ref="D142">D141</f>
        <v>7</v>
      </c>
      <c r="E142" s="538">
        <v>15</v>
      </c>
      <c r="F142" s="3" cm="1">
        <f t="array" aca="1" ref="F142" ca="1">OFFSET(E142,-1,1)</f>
        <v>0</v>
      </c>
      <c r="G142" s="26" t="s">
        <v>2012</v>
      </c>
      <c r="H142" s="26"/>
      <c r="I142" s="26" t="s">
        <v>745</v>
      </c>
      <c r="J142" s="26"/>
      <c r="K142" s="77" t="s">
        <v>745</v>
      </c>
      <c r="L142" s="882" t="s">
        <v>744</v>
      </c>
      <c r="M142" s="26"/>
      <c r="N142" s="26"/>
      <c r="O142" s="26"/>
      <c r="P142" s="26"/>
      <c r="Q142" s="26"/>
      <c r="R142" s="26"/>
      <c r="S142" s="26"/>
      <c r="T142" s="381" t="b" cm="1">
        <f t="array" aca="1" ref="T142" ca="1">T141</f>
        <v>0</v>
      </c>
      <c r="U142" s="26"/>
      <c r="V142" s="26"/>
      <c r="W142" s="26"/>
      <c r="X142" s="1787"/>
      <c r="Z142" s="1735"/>
      <c r="AB142" s="216" t="str">
        <f>IF(B141,D142&amp;".6",D142&amp;".4")</f>
        <v>7.4</v>
      </c>
      <c r="AC142" s="676" t="s">
        <v>1433</v>
      </c>
      <c r="AD142" s="216" t="s">
        <v>766</v>
      </c>
      <c r="AE142" s="1141"/>
      <c r="AF142" s="1141"/>
      <c r="AG142" s="1141"/>
      <c r="AH142" s="1015">
        <f t="shared" si="27"/>
        <v>0</v>
      </c>
      <c r="AI142" s="1141"/>
      <c r="AJ142" s="1473">
        <f ca="1">SUMIFS('Корректировка НВВ'!$AF$25:$AF$129,'Корректировка НВВ'!$F$25:$F$129,$F142,'Корректировка НВВ'!$I$25:$I$129,$G142)</f>
        <v>0</v>
      </c>
      <c r="AK142" s="1141"/>
      <c r="AL142" s="1141"/>
      <c r="AM142" s="1141"/>
      <c r="AN142" s="1141"/>
      <c r="AO142" s="1141"/>
      <c r="AP142" s="1141"/>
      <c r="AQ142" s="1141"/>
      <c r="AR142" s="1141"/>
      <c r="AS142" s="1141"/>
      <c r="AT142" s="1473">
        <f ca="1">SUMIFS('Корректировка НВВ'!$AG$25:$AG$129,'Корректировка НВВ'!$F$25:$F$129,$F142,'Корректировка НВВ'!$I$25:$I$129,$G142)</f>
        <v>0</v>
      </c>
      <c r="AU142" s="1141"/>
      <c r="AV142" s="1141"/>
      <c r="AW142" s="1141"/>
      <c r="AX142" s="1141"/>
      <c r="AY142" s="1141"/>
      <c r="AZ142" s="1141"/>
      <c r="BA142" s="1141"/>
      <c r="BB142" s="1141"/>
      <c r="BC142" s="1141"/>
      <c r="BD142" s="1016"/>
      <c r="BE142" s="1016"/>
      <c r="BF142" s="1016"/>
      <c r="BG142" s="1016"/>
      <c r="BH142" s="1016"/>
      <c r="BI142" s="1016"/>
      <c r="BJ142" s="1016"/>
      <c r="BK142" s="1016"/>
      <c r="BL142" s="1016"/>
      <c r="BM142" s="1016"/>
      <c r="BN142" s="1138"/>
      <c r="BO142" s="1142" t="str">
        <f ca="1">IF(IFERROR(INDEX('Корректировка НВВ'!$K$26:$L$129,MATCH($F142&amp;"5komm",'Корректировка НВВ'!$K$26:$K$129,0),2),"")=0,"",IFERROR(INDEX('Корректировка НВВ'!$K$26:$L$129,MATCH($F142&amp;"5komm",'Корректировка НВВ'!$K$26:$K$129,0),2),""))</f>
        <v/>
      </c>
      <c r="BP142" s="1138"/>
      <c r="BS142" s="966" t="s">
        <v>2013</v>
      </c>
    </row>
    <row r="143" spans="2:75" ht="14.65" hidden="1" customHeight="1">
      <c r="C143" s="26"/>
      <c r="D143" s="26" t="str" cm="1">
        <f t="array" ref="D143">D142</f>
        <v>7</v>
      </c>
      <c r="E143" s="538">
        <v>15</v>
      </c>
      <c r="F143" s="3" cm="1">
        <f t="array" aca="1" ref="F143" ca="1">OFFSET(E143,-1,1)</f>
        <v>0</v>
      </c>
      <c r="G143" s="26" t="s">
        <v>2014</v>
      </c>
      <c r="H143" s="26"/>
      <c r="I143" s="26" t="s">
        <v>1677</v>
      </c>
      <c r="J143" s="26"/>
      <c r="K143" s="77" t="s">
        <v>1677</v>
      </c>
      <c r="L143" s="882" t="s">
        <v>745</v>
      </c>
      <c r="M143" s="26"/>
      <c r="N143" s="26"/>
      <c r="O143" s="26"/>
      <c r="P143" s="26"/>
      <c r="Q143" s="26"/>
      <c r="R143" s="26"/>
      <c r="S143" s="26"/>
      <c r="T143" s="381" t="b" cm="1">
        <f t="array" aca="1" ref="T143" ca="1">T142</f>
        <v>0</v>
      </c>
      <c r="U143" s="26"/>
      <c r="V143" s="26"/>
      <c r="W143" s="26"/>
      <c r="X143" s="1787"/>
      <c r="Z143" s="1735"/>
      <c r="AB143" s="216" t="str">
        <f>IF(B141,D142&amp;".7",D142&amp;".5")</f>
        <v>7.5</v>
      </c>
      <c r="AC143" s="676" t="s">
        <v>1395</v>
      </c>
      <c r="AD143" s="216" t="s">
        <v>766</v>
      </c>
      <c r="AE143" s="1141">
        <f>AE144+AE145</f>
        <v>0</v>
      </c>
      <c r="AF143" s="1141">
        <f>AF144+AF145</f>
        <v>0</v>
      </c>
      <c r="AG143" s="1141">
        <f>AG144+AG145</f>
        <v>0</v>
      </c>
      <c r="AH143" s="1015">
        <f t="shared" si="27"/>
        <v>0</v>
      </c>
      <c r="AI143" s="1141">
        <f>AI144+AI145</f>
        <v>0</v>
      </c>
      <c r="AJ143" s="1473">
        <f ca="1">SUMIFS('Корректировка НВВ'!$AF$25:$AF$129,'Корректировка НВВ'!$F$25:$F$129,$F143,'Корректировка НВВ'!$I$25:$I$129,$G143)</f>
        <v>0</v>
      </c>
      <c r="AK143" s="1141">
        <f t="shared" ref="AK143:AS143" si="28">AK144+AK145</f>
        <v>0</v>
      </c>
      <c r="AL143" s="1141">
        <f t="shared" si="28"/>
        <v>0</v>
      </c>
      <c r="AM143" s="1141">
        <f t="shared" si="28"/>
        <v>0</v>
      </c>
      <c r="AN143" s="1141">
        <f t="shared" si="28"/>
        <v>0</v>
      </c>
      <c r="AO143" s="1141">
        <f t="shared" si="28"/>
        <v>0</v>
      </c>
      <c r="AP143" s="1141">
        <f t="shared" si="28"/>
        <v>0</v>
      </c>
      <c r="AQ143" s="1141">
        <f t="shared" si="28"/>
        <v>0</v>
      </c>
      <c r="AR143" s="1141">
        <f t="shared" si="28"/>
        <v>0</v>
      </c>
      <c r="AS143" s="1141">
        <f t="shared" si="28"/>
        <v>0</v>
      </c>
      <c r="AT143" s="1473">
        <f ca="1">SUMIFS('Корректировка НВВ'!$AG$25:$AG$129,'Корректировка НВВ'!$F$25:$F$129,$F143,'Корректировка НВВ'!$I$25:$I$129,$G143)</f>
        <v>0</v>
      </c>
      <c r="AU143" s="1141">
        <f t="shared" ref="AU143:BC143" si="29">AU144+AU145</f>
        <v>0</v>
      </c>
      <c r="AV143" s="1141">
        <f t="shared" si="29"/>
        <v>0</v>
      </c>
      <c r="AW143" s="1141">
        <f t="shared" si="29"/>
        <v>0</v>
      </c>
      <c r="AX143" s="1141">
        <f t="shared" si="29"/>
        <v>0</v>
      </c>
      <c r="AY143" s="1141">
        <f t="shared" si="29"/>
        <v>0</v>
      </c>
      <c r="AZ143" s="1141">
        <f t="shared" si="29"/>
        <v>0</v>
      </c>
      <c r="BA143" s="1141">
        <f t="shared" si="29"/>
        <v>0</v>
      </c>
      <c r="BB143" s="1141">
        <f t="shared" si="29"/>
        <v>0</v>
      </c>
      <c r="BC143" s="1141">
        <f t="shared" si="29"/>
        <v>0</v>
      </c>
      <c r="BD143" s="1015">
        <f>IF(AI143=0,0,(AT143-AI143)/AI143*100)</f>
        <v>0</v>
      </c>
      <c r="BE143" s="1015">
        <f t="shared" ref="BE143:BM143" ca="1" si="30">IF(AT143=0,0,(AU143-AT143)/AT143*100)</f>
        <v>0</v>
      </c>
      <c r="BF143" s="1015">
        <f t="shared" si="30"/>
        <v>0</v>
      </c>
      <c r="BG143" s="1015">
        <f t="shared" si="30"/>
        <v>0</v>
      </c>
      <c r="BH143" s="1015">
        <f t="shared" si="30"/>
        <v>0</v>
      </c>
      <c r="BI143" s="1015">
        <f t="shared" si="30"/>
        <v>0</v>
      </c>
      <c r="BJ143" s="1015">
        <f t="shared" si="30"/>
        <v>0</v>
      </c>
      <c r="BK143" s="1015">
        <f t="shared" si="30"/>
        <v>0</v>
      </c>
      <c r="BL143" s="1015">
        <f t="shared" si="30"/>
        <v>0</v>
      </c>
      <c r="BM143" s="1015">
        <f t="shared" si="30"/>
        <v>0</v>
      </c>
      <c r="BN143" s="1138"/>
      <c r="BO143" s="1142" t="str">
        <f ca="1">IF(IFERROR(INDEX('Корректировка НВВ'!$K$26:$L$129,MATCH($F143&amp;"6komm",'Корректировка НВВ'!$K$26:$K$129,0),2),"")=0,"",IFERROR(INDEX('Корректировка НВВ'!$K$26:$L$129,MATCH($F143&amp;"6komm",'Корректировка НВВ'!$K$26:$K$129,0),2),""))</f>
        <v/>
      </c>
      <c r="BP143" s="1138"/>
      <c r="BS143" s="966" t="s">
        <v>1397</v>
      </c>
    </row>
    <row r="144" spans="2:75" ht="21.95" hidden="1" customHeight="1">
      <c r="C144" s="26"/>
      <c r="D144" s="26" t="str" cm="1">
        <f t="array" ref="D144">D143</f>
        <v>7</v>
      </c>
      <c r="E144" s="538">
        <v>22.5</v>
      </c>
      <c r="F144" s="3" cm="1">
        <f t="array" aca="1" ref="F144" ca="1">OFFSET(E144,-1,1)</f>
        <v>0</v>
      </c>
      <c r="G144" s="26" t="s">
        <v>2015</v>
      </c>
      <c r="H144" s="26"/>
      <c r="I144" s="26" t="s">
        <v>2016</v>
      </c>
      <c r="J144" s="26"/>
      <c r="K144" s="77" t="s">
        <v>2016</v>
      </c>
      <c r="L144" s="882" t="s">
        <v>1672</v>
      </c>
      <c r="M144" s="26"/>
      <c r="N144" s="26"/>
      <c r="O144" s="26"/>
      <c r="P144" s="26"/>
      <c r="Q144" s="26"/>
      <c r="R144" s="26"/>
      <c r="S144" s="26"/>
      <c r="T144" s="381" t="b" cm="1">
        <f t="array" aca="1" ref="T144" ca="1">T143</f>
        <v>0</v>
      </c>
      <c r="U144" s="26"/>
      <c r="V144" s="26"/>
      <c r="W144" s="26"/>
      <c r="X144" s="1787"/>
      <c r="Z144" s="1735"/>
      <c r="AB144" s="216" t="str">
        <f>AB143&amp;".1"</f>
        <v>7.5.1</v>
      </c>
      <c r="AC144" s="695" t="s">
        <v>1398</v>
      </c>
      <c r="AD144" s="216" t="s">
        <v>766</v>
      </c>
      <c r="AE144" s="1141"/>
      <c r="AF144" s="1141"/>
      <c r="AG144" s="1141"/>
      <c r="AH144" s="1015">
        <f t="shared" si="27"/>
        <v>0</v>
      </c>
      <c r="AI144" s="1141"/>
      <c r="AJ144" s="1473">
        <f ca="1">SUMIFS('Корректировка НВВ'!$AF$25:$AF$129,'Корректировка НВВ'!$F$25:$F$129,$F144,'Корректировка НВВ'!$I$25:$I$129,$G144)</f>
        <v>0</v>
      </c>
      <c r="AK144" s="1141"/>
      <c r="AL144" s="1141"/>
      <c r="AM144" s="1141"/>
      <c r="AN144" s="1141"/>
      <c r="AO144" s="1141"/>
      <c r="AP144" s="1141"/>
      <c r="AQ144" s="1141"/>
      <c r="AR144" s="1141"/>
      <c r="AS144" s="1141"/>
      <c r="AT144" s="1473">
        <f ca="1">SUMIFS('Корректировка НВВ'!$AG$25:$AG$129,'Корректировка НВВ'!$F$25:$F$129,$F144,'Корректировка НВВ'!$I$25:$I$129,$G144)</f>
        <v>0</v>
      </c>
      <c r="AU144" s="1141"/>
      <c r="AV144" s="1141"/>
      <c r="AW144" s="1141"/>
      <c r="AX144" s="1141"/>
      <c r="AY144" s="1141"/>
      <c r="AZ144" s="1141"/>
      <c r="BA144" s="1141"/>
      <c r="BB144" s="1141"/>
      <c r="BC144" s="1141"/>
      <c r="BD144" s="1016"/>
      <c r="BE144" s="1016"/>
      <c r="BF144" s="1016"/>
      <c r="BG144" s="1016"/>
      <c r="BH144" s="1016"/>
      <c r="BI144" s="1016"/>
      <c r="BJ144" s="1016"/>
      <c r="BK144" s="1016"/>
      <c r="BL144" s="1016"/>
      <c r="BM144" s="1016"/>
      <c r="BN144" s="1138"/>
      <c r="BO144" s="1142" t="str">
        <f ca="1">IF(IFERROR(INDEX('Корректировка НВВ'!$K$26:$L$129,MATCH($F144&amp;"7komm",'Корректировка НВВ'!$K$26:$K$129,0),2),"")=0,"",IFERROR(INDEX('Корректировка НВВ'!$K$26:$L$129,MATCH($F144&amp;"7komm",'Корректировка НВВ'!$K$26:$K$129,0),2),""))</f>
        <v/>
      </c>
      <c r="BP144" s="1138"/>
      <c r="BS144" s="966" t="s">
        <v>1399</v>
      </c>
    </row>
    <row r="145" spans="2:75" ht="21.95" hidden="1" customHeight="1">
      <c r="C145" s="26"/>
      <c r="D145" s="26" t="str" cm="1">
        <f t="array" ref="D145">D144</f>
        <v>7</v>
      </c>
      <c r="E145" s="538">
        <v>22.5</v>
      </c>
      <c r="F145" s="3" cm="1">
        <f t="array" aca="1" ref="F145" ca="1">OFFSET(E145,-1,1)</f>
        <v>0</v>
      </c>
      <c r="G145" s="26" t="s">
        <v>2017</v>
      </c>
      <c r="H145" s="26"/>
      <c r="I145" s="26" t="s">
        <v>2018</v>
      </c>
      <c r="J145" s="26"/>
      <c r="K145" s="77" t="s">
        <v>2018</v>
      </c>
      <c r="L145" s="882" t="s">
        <v>1674</v>
      </c>
      <c r="M145" s="26"/>
      <c r="N145" s="26"/>
      <c r="O145" s="26"/>
      <c r="P145" s="26"/>
      <c r="Q145" s="26"/>
      <c r="R145" s="26"/>
      <c r="S145" s="26"/>
      <c r="T145" s="381" t="b" cm="1">
        <f t="array" aca="1" ref="T145" ca="1">T144</f>
        <v>0</v>
      </c>
      <c r="U145" s="26"/>
      <c r="V145" s="26"/>
      <c r="W145" s="26"/>
      <c r="X145" s="1787"/>
      <c r="Z145" s="1735"/>
      <c r="AB145" s="216" t="str">
        <f>AB143&amp;".2"</f>
        <v>7.5.2</v>
      </c>
      <c r="AC145" s="695" t="s">
        <v>1400</v>
      </c>
      <c r="AD145" s="216" t="s">
        <v>766</v>
      </c>
      <c r="AE145" s="1141"/>
      <c r="AF145" s="1141"/>
      <c r="AG145" s="1141"/>
      <c r="AH145" s="1015">
        <f t="shared" si="27"/>
        <v>0</v>
      </c>
      <c r="AI145" s="1141"/>
      <c r="AJ145" s="1473">
        <f ca="1">SUMIFS('Корректировка НВВ'!$AF$25:$AF$129,'Корректировка НВВ'!$F$25:$F$129,$F145,'Корректировка НВВ'!$I$25:$I$129,$G145)</f>
        <v>0</v>
      </c>
      <c r="AK145" s="1141"/>
      <c r="AL145" s="1141"/>
      <c r="AM145" s="1141"/>
      <c r="AN145" s="1141"/>
      <c r="AO145" s="1141"/>
      <c r="AP145" s="1141"/>
      <c r="AQ145" s="1141"/>
      <c r="AR145" s="1141"/>
      <c r="AS145" s="1141"/>
      <c r="AT145" s="1473">
        <f ca="1">SUMIFS('Корректировка НВВ'!$AG$25:$AG$129,'Корректировка НВВ'!$F$25:$F$129,$F145,'Корректировка НВВ'!$I$25:$I$129,$G145)</f>
        <v>0</v>
      </c>
      <c r="AU145" s="1141"/>
      <c r="AV145" s="1141"/>
      <c r="AW145" s="1141"/>
      <c r="AX145" s="1141"/>
      <c r="AY145" s="1141"/>
      <c r="AZ145" s="1141"/>
      <c r="BA145" s="1141"/>
      <c r="BB145" s="1141"/>
      <c r="BC145" s="1141"/>
      <c r="BD145" s="1016"/>
      <c r="BE145" s="1016"/>
      <c r="BF145" s="1016"/>
      <c r="BG145" s="1016"/>
      <c r="BH145" s="1016"/>
      <c r="BI145" s="1016"/>
      <c r="BJ145" s="1016"/>
      <c r="BK145" s="1016"/>
      <c r="BL145" s="1016"/>
      <c r="BM145" s="1016"/>
      <c r="BN145" s="1138"/>
      <c r="BO145" s="1142" t="str">
        <f ca="1">IF(IFERROR(INDEX('Корректировка НВВ'!$K$26:$L$129,MATCH($F145&amp;"8komm",'Корректировка НВВ'!$K$26:$K$129,0),2),"")=0,"",IFERROR(INDEX('Корректировка НВВ'!$K$26:$L$129,MATCH($F145&amp;"8komm",'Корректировка НВВ'!$K$26:$K$129,0),2),""))</f>
        <v/>
      </c>
      <c r="BP145" s="1138"/>
      <c r="BS145" s="966" t="s">
        <v>1401</v>
      </c>
    </row>
    <row r="146" spans="2:75" ht="14.65" hidden="1" customHeight="1">
      <c r="C146" s="26"/>
      <c r="D146" s="26" t="str" cm="1">
        <f t="array" ref="D146">D145</f>
        <v>7</v>
      </c>
      <c r="E146" s="538">
        <v>15</v>
      </c>
      <c r="F146" s="3" cm="1">
        <f t="array" aca="1" ref="F146" ca="1">OFFSET(E146,-1,1)</f>
        <v>0</v>
      </c>
      <c r="G146" s="26" t="s">
        <v>310</v>
      </c>
      <c r="H146" s="26"/>
      <c r="I146" s="26" t="s">
        <v>1678</v>
      </c>
      <c r="J146" s="26"/>
      <c r="K146" s="77" t="s">
        <v>1678</v>
      </c>
      <c r="L146" s="882" t="s">
        <v>1677</v>
      </c>
      <c r="M146" s="26"/>
      <c r="N146" s="26"/>
      <c r="O146" s="26"/>
      <c r="P146" s="26"/>
      <c r="Q146" s="26"/>
      <c r="R146" s="26"/>
      <c r="S146" s="26"/>
      <c r="T146" s="381" t="b" cm="1">
        <f t="array" aca="1" ref="T146" ca="1">T145</f>
        <v>0</v>
      </c>
      <c r="U146" s="26"/>
      <c r="V146" s="26"/>
      <c r="W146" s="26"/>
      <c r="X146" s="1787"/>
      <c r="Z146" s="1735"/>
      <c r="AB146" s="216" t="str">
        <f>IF(B141,D142&amp;".8",D142&amp;".6")</f>
        <v>7.6</v>
      </c>
      <c r="AC146" s="696" t="s">
        <v>1402</v>
      </c>
      <c r="AD146" s="216" t="s">
        <v>766</v>
      </c>
      <c r="AE146" s="1141"/>
      <c r="AF146" s="1141"/>
      <c r="AG146" s="1141"/>
      <c r="AH146" s="1015">
        <f t="shared" si="27"/>
        <v>0</v>
      </c>
      <c r="AI146" s="1141"/>
      <c r="AJ146" s="1473">
        <f ca="1">SUMIFS('Корректировка НВВ'!$AF$25:$AF$129,'Корректировка НВВ'!$F$25:$F$129,$F146,'Корректировка НВВ'!$I$25:$I$129,$G146)</f>
        <v>0</v>
      </c>
      <c r="AK146" s="1141"/>
      <c r="AL146" s="1141"/>
      <c r="AM146" s="1141"/>
      <c r="AN146" s="1141"/>
      <c r="AO146" s="1141"/>
      <c r="AP146" s="1141"/>
      <c r="AQ146" s="1141"/>
      <c r="AR146" s="1141"/>
      <c r="AS146" s="1141"/>
      <c r="AT146" s="1473">
        <f ca="1">SUMIFS('Корректировка НВВ'!$AG$25:$AG$129,'Корректировка НВВ'!$F$25:$F$129,$F146,'Корректировка НВВ'!$I$25:$I$129,$G146)</f>
        <v>0</v>
      </c>
      <c r="AU146" s="1141"/>
      <c r="AV146" s="1141"/>
      <c r="AW146" s="1141"/>
      <c r="AX146" s="1141"/>
      <c r="AY146" s="1141"/>
      <c r="AZ146" s="1141"/>
      <c r="BA146" s="1141"/>
      <c r="BB146" s="1141"/>
      <c r="BC146" s="1141"/>
      <c r="BD146" s="1016"/>
      <c r="BE146" s="1016"/>
      <c r="BF146" s="1016"/>
      <c r="BG146" s="1016"/>
      <c r="BH146" s="1016"/>
      <c r="BI146" s="1016"/>
      <c r="BJ146" s="1016"/>
      <c r="BK146" s="1016"/>
      <c r="BL146" s="1016"/>
      <c r="BM146" s="1016"/>
      <c r="BN146" s="1138"/>
      <c r="BO146" s="1142" t="str">
        <f ca="1">IF(IFERROR(INDEX('Корректировка НВВ'!$K$26:$L$129,MATCH($F146&amp;"9komm",'Корректировка НВВ'!$K$26:$K$129,0),2),"")=0,"",IFERROR(INDEX('Корректировка НВВ'!$K$26:$L$129,MATCH($F146&amp;"9komm",'Корректировка НВВ'!$K$26:$K$129,0),2),""))</f>
        <v/>
      </c>
      <c r="BP146" s="1138"/>
      <c r="BS146" s="966" t="s">
        <v>2019</v>
      </c>
    </row>
    <row r="147" spans="2:75" ht="14.65" hidden="1" customHeight="1">
      <c r="C147" s="26"/>
      <c r="D147" s="26" t="str" cm="1">
        <f t="array" ref="D147">D146</f>
        <v>7</v>
      </c>
      <c r="E147" s="538">
        <v>15</v>
      </c>
      <c r="F147" s="3" cm="1">
        <f t="array" aca="1" ref="F147" ca="1">OFFSET(E147,-1,1)</f>
        <v>0</v>
      </c>
      <c r="G147" s="26" t="s">
        <v>2020</v>
      </c>
      <c r="H147" s="26"/>
      <c r="I147" s="26" t="s">
        <v>1680</v>
      </c>
      <c r="J147" s="26"/>
      <c r="K147" s="77" t="s">
        <v>1680</v>
      </c>
      <c r="L147" s="882" t="s">
        <v>1678</v>
      </c>
      <c r="M147" s="26"/>
      <c r="N147" s="26"/>
      <c r="O147" s="26"/>
      <c r="P147" s="26"/>
      <c r="Q147" s="26"/>
      <c r="R147" s="26"/>
      <c r="S147" s="26"/>
      <c r="T147" s="381" t="b" cm="1">
        <f t="array" aca="1" ref="T147" ca="1">T146</f>
        <v>0</v>
      </c>
      <c r="U147" s="26"/>
      <c r="V147" s="26"/>
      <c r="W147" s="26"/>
      <c r="X147" s="1787"/>
      <c r="Z147" s="1735"/>
      <c r="AB147" s="216" t="str">
        <f>IF(B141,D142&amp;".9",D142&amp;".7")</f>
        <v>7.7</v>
      </c>
      <c r="AC147" s="696" t="s">
        <v>1404</v>
      </c>
      <c r="AD147" s="216" t="s">
        <v>766</v>
      </c>
      <c r="AE147" s="1141"/>
      <c r="AF147" s="1141"/>
      <c r="AG147" s="1141"/>
      <c r="AH147" s="1015">
        <f t="shared" si="27"/>
        <v>0</v>
      </c>
      <c r="AI147" s="1141"/>
      <c r="AJ147" s="1473">
        <f ca="1">SUMIFS('Корректировка НВВ'!$AF$25:$AF$129,'Корректировка НВВ'!$F$25:$F$129,$F147,'Корректировка НВВ'!$I$25:$I$129,$G147)</f>
        <v>0</v>
      </c>
      <c r="AK147" s="1141"/>
      <c r="AL147" s="1141"/>
      <c r="AM147" s="1141"/>
      <c r="AN147" s="1141"/>
      <c r="AO147" s="1141"/>
      <c r="AP147" s="1141"/>
      <c r="AQ147" s="1141"/>
      <c r="AR147" s="1141"/>
      <c r="AS147" s="1141"/>
      <c r="AT147" s="1473">
        <f ca="1">SUMIFS('Корректировка НВВ'!$AG$25:$AG$129,'Корректировка НВВ'!$F$25:$F$129,$F147,'Корректировка НВВ'!$I$25:$I$129,$G147)</f>
        <v>0</v>
      </c>
      <c r="AU147" s="1141"/>
      <c r="AV147" s="1141"/>
      <c r="AW147" s="1141"/>
      <c r="AX147" s="1141"/>
      <c r="AY147" s="1141"/>
      <c r="AZ147" s="1141"/>
      <c r="BA147" s="1141"/>
      <c r="BB147" s="1141"/>
      <c r="BC147" s="1141"/>
      <c r="BD147" s="1016"/>
      <c r="BE147" s="1016"/>
      <c r="BF147" s="1016"/>
      <c r="BG147" s="1016"/>
      <c r="BH147" s="1016"/>
      <c r="BI147" s="1016"/>
      <c r="BJ147" s="1016"/>
      <c r="BK147" s="1016"/>
      <c r="BL147" s="1016"/>
      <c r="BM147" s="1016"/>
      <c r="BN147" s="1138"/>
      <c r="BO147" s="1142" t="str">
        <f ca="1">IF(IFERROR(INDEX('Корректировка НВВ'!$K$26:$L$129,MATCH($F147&amp;"10komm",'Корректировка НВВ'!$K$26:$K$129,0),2),"")=0,"",IFERROR(INDEX('Корректировка НВВ'!$K$26:$L$129,MATCH($F147&amp;"10komm",'Корректировка НВВ'!$K$26:$K$129,0),2),""))</f>
        <v/>
      </c>
      <c r="BP147" s="1138"/>
      <c r="BS147" s="966" t="s">
        <v>1405</v>
      </c>
    </row>
    <row r="148" spans="2:75" s="617" customFormat="1" ht="20.45" hidden="1" customHeight="1">
      <c r="B148" s="352"/>
      <c r="C148" s="28"/>
      <c r="D148" s="28">
        <f>D147+1</f>
        <v>8</v>
      </c>
      <c r="E148" s="740">
        <v>21</v>
      </c>
      <c r="F148" s="3" cm="1">
        <f t="array" aca="1" ref="F148" ca="1">OFFSET(E148,-1,1)</f>
        <v>0</v>
      </c>
      <c r="G148" s="28"/>
      <c r="H148" s="28"/>
      <c r="I148" s="28" t="s">
        <v>551</v>
      </c>
      <c r="J148" s="28"/>
      <c r="K148" s="81" t="s">
        <v>551</v>
      </c>
      <c r="L148" s="887"/>
      <c r="M148" s="28"/>
      <c r="N148" s="28"/>
      <c r="O148" s="28"/>
      <c r="P148" s="28"/>
      <c r="Q148" s="28"/>
      <c r="R148" s="28"/>
      <c r="S148" s="28"/>
      <c r="T148" s="381" t="b" cm="1">
        <f t="array" aca="1" ref="T148" ca="1">T147</f>
        <v>0</v>
      </c>
      <c r="U148" s="28"/>
      <c r="V148" s="28"/>
      <c r="W148" s="28"/>
      <c r="X148" s="1787"/>
      <c r="Z148" s="1735"/>
      <c r="AB148" s="129" cm="1">
        <f t="array" ref="AB148">D148</f>
        <v>8</v>
      </c>
      <c r="AC148" s="130" t="s">
        <v>2021</v>
      </c>
      <c r="AD148" s="129" t="s">
        <v>766</v>
      </c>
      <c r="AE148" s="1137"/>
      <c r="AF148" s="1137"/>
      <c r="AG148" s="1137"/>
      <c r="AH148" s="692">
        <f t="shared" si="27"/>
        <v>0</v>
      </c>
      <c r="AI148" s="1137"/>
      <c r="AJ148" s="1477"/>
      <c r="AK148" s="1137"/>
      <c r="AL148" s="1137"/>
      <c r="AM148" s="1137"/>
      <c r="AN148" s="1137"/>
      <c r="AO148" s="1137"/>
      <c r="AP148" s="1137"/>
      <c r="AQ148" s="1137"/>
      <c r="AR148" s="1137"/>
      <c r="AS148" s="1137"/>
      <c r="AT148" s="1477"/>
      <c r="AU148" s="1137"/>
      <c r="AV148" s="1137"/>
      <c r="AW148" s="1137"/>
      <c r="AX148" s="1137"/>
      <c r="AY148" s="1137"/>
      <c r="AZ148" s="1137"/>
      <c r="BA148" s="1137"/>
      <c r="BB148" s="1137"/>
      <c r="BC148" s="1137"/>
      <c r="BD148" s="134"/>
      <c r="BE148" s="134"/>
      <c r="BF148" s="134"/>
      <c r="BG148" s="134"/>
      <c r="BH148" s="134"/>
      <c r="BI148" s="134"/>
      <c r="BJ148" s="134"/>
      <c r="BK148" s="134"/>
      <c r="BL148" s="134"/>
      <c r="BM148" s="134"/>
      <c r="BN148" s="1140"/>
      <c r="BO148" s="1140"/>
      <c r="BP148" s="1140"/>
      <c r="BS148" s="972" t="s">
        <v>2022</v>
      </c>
      <c r="BT148" s="972"/>
      <c r="BU148" s="972"/>
      <c r="BV148" s="624"/>
      <c r="BW148" s="624"/>
    </row>
    <row r="149" spans="2:75" ht="14.65" hidden="1" customHeight="1">
      <c r="C149" s="26"/>
      <c r="D149" s="28" cm="1">
        <f t="array" ref="D149">D148</f>
        <v>8</v>
      </c>
      <c r="E149" s="538">
        <v>15</v>
      </c>
      <c r="F149" s="3" cm="1">
        <f t="array" aca="1" ref="F149" ca="1">OFFSET(E149,-1,1)</f>
        <v>0</v>
      </c>
      <c r="G149" s="26"/>
      <c r="H149" s="26"/>
      <c r="I149" s="26" t="s">
        <v>555</v>
      </c>
      <c r="J149" s="26"/>
      <c r="K149" s="77" t="s">
        <v>555</v>
      </c>
      <c r="L149" s="882"/>
      <c r="M149" s="26"/>
      <c r="N149" s="26"/>
      <c r="O149" s="26"/>
      <c r="P149" s="26"/>
      <c r="Q149" s="26"/>
      <c r="R149" s="26"/>
      <c r="S149" s="26"/>
      <c r="T149" s="381" t="b" cm="1">
        <f t="array" aca="1" ref="T149" ca="1">T148</f>
        <v>0</v>
      </c>
      <c r="U149" s="26"/>
      <c r="V149" s="26"/>
      <c r="W149" s="26"/>
      <c r="X149" s="1787"/>
      <c r="Z149" s="1735"/>
      <c r="AB149" s="216" t="str">
        <f>D149&amp;".1"</f>
        <v>8.1</v>
      </c>
      <c r="AC149" s="676" t="s">
        <v>2023</v>
      </c>
      <c r="AD149" s="216" t="s">
        <v>423</v>
      </c>
      <c r="AE149" s="1015">
        <f ca="1">IF(AE150=0,0,AE148/(AE150+AE135)*100)</f>
        <v>0</v>
      </c>
      <c r="AF149" s="1015">
        <f ca="1">IF(AF150=0,0,AF148/(AF150+AF135)*100)</f>
        <v>0</v>
      </c>
      <c r="AG149" s="1015">
        <f ca="1">IF(AG150=0,0,AG148/(AG150+AG135)*100)</f>
        <v>0</v>
      </c>
      <c r="AH149" s="1015">
        <f t="shared" ca="1" si="27"/>
        <v>0</v>
      </c>
      <c r="AI149" s="1015">
        <f t="shared" ref="AI149:BC149" ca="1" si="31">IF(AI150=0,0,AI148/(AI150+AI135)*100)</f>
        <v>0</v>
      </c>
      <c r="AJ149" s="1015">
        <f t="shared" ca="1" si="31"/>
        <v>0</v>
      </c>
      <c r="AK149" s="1015">
        <f t="shared" ca="1" si="31"/>
        <v>0</v>
      </c>
      <c r="AL149" s="1015">
        <f t="shared" ca="1" si="31"/>
        <v>0</v>
      </c>
      <c r="AM149" s="1015">
        <f t="shared" ca="1" si="31"/>
        <v>0</v>
      </c>
      <c r="AN149" s="1015">
        <f t="shared" ca="1" si="31"/>
        <v>0</v>
      </c>
      <c r="AO149" s="1015">
        <f t="shared" ca="1" si="31"/>
        <v>0</v>
      </c>
      <c r="AP149" s="1015">
        <f t="shared" ca="1" si="31"/>
        <v>0</v>
      </c>
      <c r="AQ149" s="1015">
        <f t="shared" ca="1" si="31"/>
        <v>0</v>
      </c>
      <c r="AR149" s="1015">
        <f t="shared" ca="1" si="31"/>
        <v>0</v>
      </c>
      <c r="AS149" s="1015">
        <f t="shared" ca="1" si="31"/>
        <v>0</v>
      </c>
      <c r="AT149" s="1015">
        <f t="shared" ca="1" si="31"/>
        <v>0</v>
      </c>
      <c r="AU149" s="1015">
        <f t="shared" ca="1" si="31"/>
        <v>0</v>
      </c>
      <c r="AV149" s="1015">
        <f t="shared" ca="1" si="31"/>
        <v>0</v>
      </c>
      <c r="AW149" s="1015">
        <f t="shared" ca="1" si="31"/>
        <v>0</v>
      </c>
      <c r="AX149" s="1015">
        <f t="shared" ca="1" si="31"/>
        <v>0</v>
      </c>
      <c r="AY149" s="1015">
        <f t="shared" ca="1" si="31"/>
        <v>0</v>
      </c>
      <c r="AZ149" s="1015">
        <f t="shared" ca="1" si="31"/>
        <v>0</v>
      </c>
      <c r="BA149" s="1015">
        <f t="shared" ca="1" si="31"/>
        <v>0</v>
      </c>
      <c r="BB149" s="1015">
        <f t="shared" ca="1" si="31"/>
        <v>0</v>
      </c>
      <c r="BC149" s="1015">
        <f t="shared" ca="1" si="31"/>
        <v>0</v>
      </c>
      <c r="BD149" s="1016"/>
      <c r="BE149" s="1016"/>
      <c r="BF149" s="1016"/>
      <c r="BG149" s="1016"/>
      <c r="BH149" s="1016"/>
      <c r="BI149" s="1016"/>
      <c r="BJ149" s="1016"/>
      <c r="BK149" s="1016"/>
      <c r="BL149" s="1016"/>
      <c r="BM149" s="1016"/>
      <c r="BN149" s="1138"/>
      <c r="BO149" s="1138"/>
      <c r="BP149" s="1138"/>
      <c r="BS149" s="966" t="s">
        <v>2024</v>
      </c>
    </row>
    <row r="150" spans="2:75" s="617" customFormat="1" ht="20.45" hidden="1" customHeight="1">
      <c r="B150" s="352"/>
      <c r="C150" s="28"/>
      <c r="D150" s="28">
        <f>D149+1</f>
        <v>9</v>
      </c>
      <c r="E150" s="740">
        <v>21</v>
      </c>
      <c r="F150" s="3" cm="1">
        <f t="array" aca="1" ref="F150" ca="1">OFFSET(E150,-1,1)</f>
        <v>0</v>
      </c>
      <c r="G150" s="28"/>
      <c r="H150" s="26"/>
      <c r="I150" s="26" t="s">
        <v>709</v>
      </c>
      <c r="J150" s="28"/>
      <c r="K150" s="77" t="s">
        <v>709</v>
      </c>
      <c r="L150" s="887" t="s">
        <v>1680</v>
      </c>
      <c r="M150" s="28"/>
      <c r="N150" s="28"/>
      <c r="O150" s="28"/>
      <c r="P150" s="28"/>
      <c r="Q150" s="28"/>
      <c r="R150" s="28"/>
      <c r="S150" s="28"/>
      <c r="T150" s="381" t="b" cm="1">
        <f t="array" aca="1" ref="T150" ca="1">T149</f>
        <v>0</v>
      </c>
      <c r="U150" s="28"/>
      <c r="V150" s="28"/>
      <c r="W150" s="28"/>
      <c r="X150" s="1787"/>
      <c r="Z150" s="1735"/>
      <c r="AB150" s="129" cm="1">
        <f t="array" ref="AB150">D150</f>
        <v>9</v>
      </c>
      <c r="AC150" s="130" t="s">
        <v>1682</v>
      </c>
      <c r="AD150" s="152" t="s">
        <v>766</v>
      </c>
      <c r="AE150" s="131">
        <f ca="1">AE28+AE78+AE114+AE115+AE117+AE122+AE123+AE126</f>
        <v>0</v>
      </c>
      <c r="AF150" s="131">
        <f ca="1">AF28+AF78+AF114+AF115+AF117+AF122+AF123+AF126</f>
        <v>0</v>
      </c>
      <c r="AG150" s="131">
        <f ca="1">AG28+AG78+AG114+AG115+AG117+AG122+AG123+AG126</f>
        <v>0</v>
      </c>
      <c r="AH150" s="692">
        <f t="shared" ca="1" si="27"/>
        <v>0</v>
      </c>
      <c r="AI150" s="131">
        <f t="shared" ref="AI150:BC150" ca="1" si="32">AI28+AI78+AI114+AI115+AI117+AI122+AI123+AI126</f>
        <v>0</v>
      </c>
      <c r="AJ150" s="131">
        <f t="shared" ca="1" si="32"/>
        <v>0</v>
      </c>
      <c r="AK150" s="131">
        <f t="shared" ca="1" si="32"/>
        <v>0</v>
      </c>
      <c r="AL150" s="131">
        <f t="shared" ca="1" si="32"/>
        <v>0</v>
      </c>
      <c r="AM150" s="131">
        <f t="shared" ca="1" si="32"/>
        <v>0</v>
      </c>
      <c r="AN150" s="131">
        <f t="shared" ca="1" si="32"/>
        <v>0</v>
      </c>
      <c r="AO150" s="131">
        <f t="shared" ca="1" si="32"/>
        <v>0</v>
      </c>
      <c r="AP150" s="131">
        <f t="shared" ca="1" si="32"/>
        <v>0</v>
      </c>
      <c r="AQ150" s="131">
        <f t="shared" ca="1" si="32"/>
        <v>0</v>
      </c>
      <c r="AR150" s="131">
        <f t="shared" ca="1" si="32"/>
        <v>0</v>
      </c>
      <c r="AS150" s="131">
        <f t="shared" ca="1" si="32"/>
        <v>0</v>
      </c>
      <c r="AT150" s="131">
        <f t="shared" ca="1" si="32"/>
        <v>0</v>
      </c>
      <c r="AU150" s="131">
        <f t="shared" ca="1" si="32"/>
        <v>0</v>
      </c>
      <c r="AV150" s="131">
        <f t="shared" ca="1" si="32"/>
        <v>0</v>
      </c>
      <c r="AW150" s="131">
        <f t="shared" ca="1" si="32"/>
        <v>0</v>
      </c>
      <c r="AX150" s="131">
        <f t="shared" ca="1" si="32"/>
        <v>0</v>
      </c>
      <c r="AY150" s="131">
        <f t="shared" ca="1" si="32"/>
        <v>0</v>
      </c>
      <c r="AZ150" s="131">
        <f t="shared" ca="1" si="32"/>
        <v>0</v>
      </c>
      <c r="BA150" s="131">
        <f t="shared" ca="1" si="32"/>
        <v>0</v>
      </c>
      <c r="BB150" s="131">
        <f t="shared" ca="1" si="32"/>
        <v>0</v>
      </c>
      <c r="BC150" s="131">
        <f t="shared" ca="1" si="32"/>
        <v>0</v>
      </c>
      <c r="BD150" s="692">
        <f ca="1">IF(AI150=0,0,(AT150-AI150)/AI150*100)</f>
        <v>0</v>
      </c>
      <c r="BE150" s="692">
        <f t="shared" ref="BE150:BM151" ca="1" si="33">IF(AT150=0,0,(AU150-AT150)/AT150*100)</f>
        <v>0</v>
      </c>
      <c r="BF150" s="692">
        <f t="shared" ca="1" si="33"/>
        <v>0</v>
      </c>
      <c r="BG150" s="692">
        <f t="shared" ca="1" si="33"/>
        <v>0</v>
      </c>
      <c r="BH150" s="692">
        <f t="shared" ca="1" si="33"/>
        <v>0</v>
      </c>
      <c r="BI150" s="692">
        <f t="shared" ca="1" si="33"/>
        <v>0</v>
      </c>
      <c r="BJ150" s="692">
        <f t="shared" ca="1" si="33"/>
        <v>0</v>
      </c>
      <c r="BK150" s="692">
        <f t="shared" ca="1" si="33"/>
        <v>0</v>
      </c>
      <c r="BL150" s="692">
        <f t="shared" ca="1" si="33"/>
        <v>0</v>
      </c>
      <c r="BM150" s="692">
        <f t="shared" ca="1" si="33"/>
        <v>0</v>
      </c>
      <c r="BN150" s="1138"/>
      <c r="BO150" s="1138"/>
      <c r="BP150" s="1138"/>
      <c r="BS150" s="972" t="s">
        <v>1683</v>
      </c>
      <c r="BT150" s="972"/>
      <c r="BU150" s="972"/>
      <c r="BV150" s="624"/>
      <c r="BW150" s="624"/>
    </row>
    <row r="151" spans="2:75" s="617" customFormat="1" ht="20.45" hidden="1" customHeight="1">
      <c r="B151" s="352"/>
      <c r="C151" s="28"/>
      <c r="D151" s="28">
        <f>D150+1</f>
        <v>10</v>
      </c>
      <c r="E151" s="740">
        <v>21</v>
      </c>
      <c r="F151" s="3" cm="1">
        <f t="array" aca="1" ref="F151" ca="1">OFFSET(E151,-1,1)</f>
        <v>0</v>
      </c>
      <c r="G151" s="28"/>
      <c r="H151" s="26"/>
      <c r="I151" s="26" t="s">
        <v>1692</v>
      </c>
      <c r="J151" s="28"/>
      <c r="K151" s="77" t="s">
        <v>1692</v>
      </c>
      <c r="L151" s="887"/>
      <c r="M151" s="28"/>
      <c r="N151" s="28"/>
      <c r="O151" s="28"/>
      <c r="P151" s="28"/>
      <c r="Q151" s="28"/>
      <c r="R151" s="28"/>
      <c r="S151" s="28"/>
      <c r="T151" s="381" t="b" cm="1">
        <f t="array" aca="1" ref="T151" ca="1">T150</f>
        <v>0</v>
      </c>
      <c r="U151" s="28"/>
      <c r="V151" s="28"/>
      <c r="W151" s="28"/>
      <c r="X151" s="1787"/>
      <c r="Z151" s="1735"/>
      <c r="AB151" s="129" cm="1">
        <f t="array" ref="AB151">D151</f>
        <v>10</v>
      </c>
      <c r="AC151" s="130" t="s">
        <v>2025</v>
      </c>
      <c r="AD151" s="129" t="s">
        <v>766</v>
      </c>
      <c r="AE151" s="131">
        <f t="shared" ref="AE151:BC151" ca="1" si="34">AE150+AE135+AE148</f>
        <v>0</v>
      </c>
      <c r="AF151" s="131">
        <f t="shared" ca="1" si="34"/>
        <v>0</v>
      </c>
      <c r="AG151" s="131">
        <f t="shared" ca="1" si="34"/>
        <v>0</v>
      </c>
      <c r="AH151" s="131">
        <f t="shared" ca="1" si="34"/>
        <v>0</v>
      </c>
      <c r="AI151" s="131">
        <f t="shared" ca="1" si="34"/>
        <v>0</v>
      </c>
      <c r="AJ151" s="131">
        <f t="shared" ca="1" si="34"/>
        <v>0</v>
      </c>
      <c r="AK151" s="131">
        <f t="shared" ca="1" si="34"/>
        <v>0</v>
      </c>
      <c r="AL151" s="131">
        <f t="shared" ca="1" si="34"/>
        <v>0</v>
      </c>
      <c r="AM151" s="131">
        <f t="shared" ca="1" si="34"/>
        <v>0</v>
      </c>
      <c r="AN151" s="131">
        <f t="shared" ca="1" si="34"/>
        <v>0</v>
      </c>
      <c r="AO151" s="131">
        <f t="shared" ca="1" si="34"/>
        <v>0</v>
      </c>
      <c r="AP151" s="131">
        <f t="shared" ca="1" si="34"/>
        <v>0</v>
      </c>
      <c r="AQ151" s="131">
        <f t="shared" ca="1" si="34"/>
        <v>0</v>
      </c>
      <c r="AR151" s="131">
        <f t="shared" ca="1" si="34"/>
        <v>0</v>
      </c>
      <c r="AS151" s="131">
        <f t="shared" ca="1" si="34"/>
        <v>0</v>
      </c>
      <c r="AT151" s="131">
        <f t="shared" ca="1" si="34"/>
        <v>0</v>
      </c>
      <c r="AU151" s="131">
        <f t="shared" ca="1" si="34"/>
        <v>0</v>
      </c>
      <c r="AV151" s="131">
        <f t="shared" ca="1" si="34"/>
        <v>0</v>
      </c>
      <c r="AW151" s="131">
        <f t="shared" ca="1" si="34"/>
        <v>0</v>
      </c>
      <c r="AX151" s="131">
        <f t="shared" ca="1" si="34"/>
        <v>0</v>
      </c>
      <c r="AY151" s="131">
        <f t="shared" ca="1" si="34"/>
        <v>0</v>
      </c>
      <c r="AZ151" s="131">
        <f t="shared" ca="1" si="34"/>
        <v>0</v>
      </c>
      <c r="BA151" s="131">
        <f t="shared" ca="1" si="34"/>
        <v>0</v>
      </c>
      <c r="BB151" s="131">
        <f t="shared" ca="1" si="34"/>
        <v>0</v>
      </c>
      <c r="BC151" s="131">
        <f t="shared" ca="1" si="34"/>
        <v>0</v>
      </c>
      <c r="BD151" s="692">
        <f ca="1">IF(AI151=0,0,(AT151-AI151)/AI151*100)</f>
        <v>0</v>
      </c>
      <c r="BE151" s="692">
        <f t="shared" ca="1" si="33"/>
        <v>0</v>
      </c>
      <c r="BF151" s="692">
        <f t="shared" ca="1" si="33"/>
        <v>0</v>
      </c>
      <c r="BG151" s="692">
        <f t="shared" ca="1" si="33"/>
        <v>0</v>
      </c>
      <c r="BH151" s="692">
        <f t="shared" ca="1" si="33"/>
        <v>0</v>
      </c>
      <c r="BI151" s="692">
        <f t="shared" ca="1" si="33"/>
        <v>0</v>
      </c>
      <c r="BJ151" s="692">
        <f t="shared" ca="1" si="33"/>
        <v>0</v>
      </c>
      <c r="BK151" s="692">
        <f t="shared" ca="1" si="33"/>
        <v>0</v>
      </c>
      <c r="BL151" s="692">
        <f t="shared" ca="1" si="33"/>
        <v>0</v>
      </c>
      <c r="BM151" s="692">
        <f t="shared" ca="1" si="33"/>
        <v>0</v>
      </c>
      <c r="BN151" s="1138"/>
      <c r="BO151" s="1138"/>
      <c r="BP151" s="1138"/>
      <c r="BS151" s="972" t="s">
        <v>2026</v>
      </c>
      <c r="BT151" s="972"/>
      <c r="BU151" s="972"/>
      <c r="BV151" s="624"/>
      <c r="BW151" s="624"/>
    </row>
    <row r="152" spans="2:75" ht="14.65" hidden="1" customHeight="1">
      <c r="B152" s="362" t="b">
        <f>A27="двухставочный"</f>
        <v>0</v>
      </c>
      <c r="C152" s="26"/>
      <c r="D152" s="26" cm="1">
        <f t="array" ref="D152">D151</f>
        <v>10</v>
      </c>
      <c r="E152" s="538">
        <v>15</v>
      </c>
      <c r="F152" s="3" cm="1">
        <f t="array" aca="1" ref="F152" ca="1">OFFSET(E152,-1,1)</f>
        <v>0</v>
      </c>
      <c r="G152" s="26"/>
      <c r="H152" s="762"/>
      <c r="I152" s="762" t="s">
        <v>1696</v>
      </c>
      <c r="J152" s="26"/>
      <c r="K152" s="291" t="s">
        <v>1696</v>
      </c>
      <c r="L152" s="882" t="s">
        <v>1684</v>
      </c>
      <c r="M152" s="26"/>
      <c r="N152" s="26"/>
      <c r="O152" s="26"/>
      <c r="P152" s="26"/>
      <c r="Q152" s="26"/>
      <c r="R152" s="26"/>
      <c r="S152" s="26"/>
      <c r="T152" s="381" t="b" cm="1">
        <f t="array" aca="1" ref="T152" ca="1">T151</f>
        <v>0</v>
      </c>
      <c r="U152" s="26"/>
      <c r="V152" s="26"/>
      <c r="W152" s="26"/>
      <c r="X152" s="1787"/>
      <c r="Z152" s="1735"/>
      <c r="AB152" s="216" t="str">
        <f>D152&amp;".1"</f>
        <v>10.1</v>
      </c>
      <c r="AC152" s="1013" t="s">
        <v>1686</v>
      </c>
      <c r="AD152" s="216" t="s">
        <v>766</v>
      </c>
      <c r="AE152" s="1141"/>
      <c r="AF152" s="1141"/>
      <c r="AG152" s="1141"/>
      <c r="AH152" s="1015">
        <f t="shared" ref="AH152:AH158" si="35">AG152-AF152</f>
        <v>0</v>
      </c>
      <c r="AI152" s="1141"/>
      <c r="AJ152" s="1473"/>
      <c r="AK152" s="1141"/>
      <c r="AL152" s="1141"/>
      <c r="AM152" s="1141"/>
      <c r="AN152" s="1141"/>
      <c r="AO152" s="1141"/>
      <c r="AP152" s="1141"/>
      <c r="AQ152" s="1141"/>
      <c r="AR152" s="1141"/>
      <c r="AS152" s="1141"/>
      <c r="AT152" s="1473"/>
      <c r="AU152" s="1141"/>
      <c r="AV152" s="1141"/>
      <c r="AW152" s="1141"/>
      <c r="AX152" s="1141"/>
      <c r="AY152" s="1141"/>
      <c r="AZ152" s="1141"/>
      <c r="BA152" s="1141"/>
      <c r="BB152" s="1141"/>
      <c r="BC152" s="1141"/>
      <c r="BD152" s="1016"/>
      <c r="BE152" s="1016"/>
      <c r="BF152" s="1016"/>
      <c r="BG152" s="1016"/>
      <c r="BH152" s="1016"/>
      <c r="BI152" s="1016"/>
      <c r="BJ152" s="1016"/>
      <c r="BK152" s="1016"/>
      <c r="BL152" s="1016"/>
      <c r="BM152" s="1016"/>
      <c r="BN152" s="1138"/>
      <c r="BO152" s="1138"/>
      <c r="BP152" s="1138"/>
      <c r="BS152" s="964" t="s">
        <v>1687</v>
      </c>
    </row>
    <row r="153" spans="2:75" ht="14.65" hidden="1" customHeight="1">
      <c r="B153" s="362" t="b">
        <f>A27="двухставочный"</f>
        <v>0</v>
      </c>
      <c r="C153" s="26"/>
      <c r="D153" s="26" cm="1">
        <f t="array" ref="D153">D152</f>
        <v>10</v>
      </c>
      <c r="E153" s="538">
        <v>15</v>
      </c>
      <c r="F153" s="3" cm="1">
        <f t="array" aca="1" ref="F153" ca="1">OFFSET(E153,-1,1)</f>
        <v>0</v>
      </c>
      <c r="G153" s="26"/>
      <c r="H153" s="762"/>
      <c r="I153" s="762" t="s">
        <v>1700</v>
      </c>
      <c r="J153" s="26"/>
      <c r="K153" s="291" t="s">
        <v>1700</v>
      </c>
      <c r="L153" s="882" t="s">
        <v>1688</v>
      </c>
      <c r="M153" s="26"/>
      <c r="N153" s="26"/>
      <c r="O153" s="26"/>
      <c r="P153" s="26"/>
      <c r="Q153" s="26"/>
      <c r="R153" s="26"/>
      <c r="S153" s="26"/>
      <c r="T153" s="381" t="b" cm="1">
        <f t="array" aca="1" ref="T153" ca="1">T152</f>
        <v>0</v>
      </c>
      <c r="U153" s="26"/>
      <c r="V153" s="26"/>
      <c r="W153" s="26"/>
      <c r="X153" s="1787"/>
      <c r="Z153" s="1735"/>
      <c r="AB153" s="216" t="str">
        <f>D153&amp;".2"</f>
        <v>10.2</v>
      </c>
      <c r="AC153" s="1013" t="s">
        <v>1690</v>
      </c>
      <c r="AD153" s="216" t="s">
        <v>766</v>
      </c>
      <c r="AE153" s="1141"/>
      <c r="AF153" s="1141"/>
      <c r="AG153" s="1141"/>
      <c r="AH153" s="1015">
        <f t="shared" si="35"/>
        <v>0</v>
      </c>
      <c r="AI153" s="1141"/>
      <c r="AJ153" s="1473"/>
      <c r="AK153" s="1141"/>
      <c r="AL153" s="1141"/>
      <c r="AM153" s="1141"/>
      <c r="AN153" s="1141"/>
      <c r="AO153" s="1141"/>
      <c r="AP153" s="1141"/>
      <c r="AQ153" s="1141"/>
      <c r="AR153" s="1141"/>
      <c r="AS153" s="1141"/>
      <c r="AT153" s="1473"/>
      <c r="AU153" s="1141"/>
      <c r="AV153" s="1141"/>
      <c r="AW153" s="1141"/>
      <c r="AX153" s="1141"/>
      <c r="AY153" s="1141"/>
      <c r="AZ153" s="1141"/>
      <c r="BA153" s="1141"/>
      <c r="BB153" s="1141"/>
      <c r="BC153" s="1141"/>
      <c r="BD153" s="1016"/>
      <c r="BE153" s="1016"/>
      <c r="BF153" s="1016"/>
      <c r="BG153" s="1016"/>
      <c r="BH153" s="1016"/>
      <c r="BI153" s="1016"/>
      <c r="BJ153" s="1016"/>
      <c r="BK153" s="1016"/>
      <c r="BL153" s="1016"/>
      <c r="BM153" s="1016"/>
      <c r="BN153" s="1138"/>
      <c r="BO153" s="1138"/>
      <c r="BP153" s="1138"/>
      <c r="BS153" s="964" t="s">
        <v>1691</v>
      </c>
    </row>
    <row r="154" spans="2:75" s="617" customFormat="1" ht="20.45" hidden="1" customHeight="1">
      <c r="B154" s="352"/>
      <c r="C154" s="28"/>
      <c r="D154" s="28">
        <f>D153+1</f>
        <v>11</v>
      </c>
      <c r="E154" s="740">
        <v>21</v>
      </c>
      <c r="F154" s="3" cm="1">
        <f t="array" aca="1" ref="F154" ca="1">OFFSET(E154,-1,1)</f>
        <v>0</v>
      </c>
      <c r="G154" s="26" t="s">
        <v>1463</v>
      </c>
      <c r="H154" s="26"/>
      <c r="I154" s="26" t="s">
        <v>1720</v>
      </c>
      <c r="J154" s="28"/>
      <c r="K154" s="77" t="s">
        <v>1720</v>
      </c>
      <c r="L154" s="887" t="s">
        <v>1692</v>
      </c>
      <c r="M154" s="28"/>
      <c r="N154" s="28"/>
      <c r="O154" s="28"/>
      <c r="P154" s="28"/>
      <c r="Q154" s="28"/>
      <c r="R154" s="28"/>
      <c r="S154" s="28"/>
      <c r="T154" s="381" t="b" cm="1">
        <f t="array" aca="1" ref="T154" ca="1">T153</f>
        <v>0</v>
      </c>
      <c r="U154" s="28"/>
      <c r="V154" s="28"/>
      <c r="W154" s="28"/>
      <c r="X154" s="1787"/>
      <c r="Z154" s="1735"/>
      <c r="AB154" s="129" cm="1">
        <f t="array" ref="AB154">D154</f>
        <v>11</v>
      </c>
      <c r="AC154" s="130" t="s">
        <v>1694</v>
      </c>
      <c r="AD154" s="129" t="s">
        <v>499</v>
      </c>
      <c r="AE154" s="699">
        <f ca="1">SUMIFS(Баланс!AE$26:AE$209,Баланс!$F$26:$F$209,$F154,Баланс!$G$26:$G$209,"ПО")</f>
        <v>0</v>
      </c>
      <c r="AF154" s="699">
        <f ca="1">SUMIFS(Баланс!AF$26:AF$209,Баланс!$F$26:$F$209,$F154,Баланс!$G$26:$G$209,"ПО")</f>
        <v>0</v>
      </c>
      <c r="AG154" s="699">
        <f ca="1">SUMIFS(Баланс!AG$26:AG$209,Баланс!$F$26:$F$209,$F154,Баланс!$G$26:$G$209,"ПО")</f>
        <v>0</v>
      </c>
      <c r="AH154" s="699">
        <f t="shared" ca="1" si="35"/>
        <v>0</v>
      </c>
      <c r="AI154" s="699">
        <f ca="1">SUMIFS(Баланс!AH$26:AH$209,Баланс!$F$26:$F$209,$F154,Баланс!$G$26:$G$209,"ПО")</f>
        <v>0</v>
      </c>
      <c r="AJ154" s="699">
        <f ca="1">SUMIFS(Баланс!AI$26:AI$209,Баланс!$F$26:$F$209,$F154,Баланс!$G$26:$G$209,"ПО")</f>
        <v>0</v>
      </c>
      <c r="AK154" s="699">
        <f ca="1">SUMIFS(Баланс!AJ$26:AJ$209,Баланс!$F$26:$F$209,$F154,Баланс!$G$26:$G$209,"ПО")</f>
        <v>0</v>
      </c>
      <c r="AL154" s="699">
        <f ca="1">SUMIFS(Баланс!AK$26:AK$209,Баланс!$F$26:$F$209,$F154,Баланс!$G$26:$G$209,"ПО")</f>
        <v>0</v>
      </c>
      <c r="AM154" s="699">
        <f ca="1">SUMIFS(Баланс!AL$26:AL$209,Баланс!$F$26:$F$209,$F154,Баланс!$G$26:$G$209,"ПО")</f>
        <v>0</v>
      </c>
      <c r="AN154" s="699">
        <f ca="1">SUMIFS(Баланс!AM$26:AM$209,Баланс!$F$26:$F$209,$F154,Баланс!$G$26:$G$209,"ПО")</f>
        <v>0</v>
      </c>
      <c r="AO154" s="699">
        <f ca="1">SUMIFS(Баланс!AN$26:AN$209,Баланс!$F$26:$F$209,$F154,Баланс!$G$26:$G$209,"ПО")</f>
        <v>0</v>
      </c>
      <c r="AP154" s="699">
        <f ca="1">SUMIFS(Баланс!AO$26:AO$209,Баланс!$F$26:$F$209,$F154,Баланс!$G$26:$G$209,"ПО")</f>
        <v>0</v>
      </c>
      <c r="AQ154" s="699">
        <f ca="1">SUMIFS(Баланс!AP$26:AP$209,Баланс!$F$26:$F$209,$F154,Баланс!$G$26:$G$209,"ПО")</f>
        <v>0</v>
      </c>
      <c r="AR154" s="699">
        <f ca="1">SUMIFS(Баланс!AQ$26:AQ$209,Баланс!$F$26:$F$209,$F154,Баланс!$G$26:$G$209,"ПО")</f>
        <v>0</v>
      </c>
      <c r="AS154" s="699">
        <f ca="1">SUMIFS(Баланс!AR$26:AR$209,Баланс!$F$26:$F$209,$F154,Баланс!$G$26:$G$209,"ПО")</f>
        <v>0</v>
      </c>
      <c r="AT154" s="699">
        <f ca="1">SUMIFS(Баланс!AS$26:AS$209,Баланс!$F$26:$F$209,$F154,Баланс!$G$26:$G$209,"ПО")</f>
        <v>0</v>
      </c>
      <c r="AU154" s="699">
        <f ca="1">SUMIFS(Баланс!AT$26:AT$209,Баланс!$F$26:$F$209,$F154,Баланс!$G$26:$G$209,"ПО")</f>
        <v>0</v>
      </c>
      <c r="AV154" s="699">
        <f ca="1">SUMIFS(Баланс!AU$26:AU$209,Баланс!$F$26:$F$209,$F154,Баланс!$G$26:$G$209,"ПО")</f>
        <v>0</v>
      </c>
      <c r="AW154" s="699">
        <f ca="1">SUMIFS(Баланс!AV$26:AV$209,Баланс!$F$26:$F$209,$F154,Баланс!$G$26:$G$209,"ПО")</f>
        <v>0</v>
      </c>
      <c r="AX154" s="699">
        <f ca="1">SUMIFS(Баланс!AW$26:AW$209,Баланс!$F$26:$F$209,$F154,Баланс!$G$26:$G$209,"ПО")</f>
        <v>0</v>
      </c>
      <c r="AY154" s="699">
        <f ca="1">SUMIFS(Баланс!AX$26:AX$209,Баланс!$F$26:$F$209,$F154,Баланс!$G$26:$G$209,"ПО")</f>
        <v>0</v>
      </c>
      <c r="AZ154" s="699">
        <f ca="1">SUMIFS(Баланс!AY$26:AY$209,Баланс!$F$26:$F$209,$F154,Баланс!$G$26:$G$209,"ПО")</f>
        <v>0</v>
      </c>
      <c r="BA154" s="699">
        <f ca="1">SUMIFS(Баланс!AZ$26:AZ$209,Баланс!$F$26:$F$209,$F154,Баланс!$G$26:$G$209,"ПО")</f>
        <v>0</v>
      </c>
      <c r="BB154" s="699">
        <f ca="1">SUMIFS(Баланс!BA$26:BA$209,Баланс!$F$26:$F$209,$F154,Баланс!$G$26:$G$209,"ПО")</f>
        <v>0</v>
      </c>
      <c r="BC154" s="699">
        <f ca="1">SUMIFS(Баланс!BB$26:BB$209,Баланс!$F$26:$F$209,$F154,Баланс!$G$26:$G$209,"ПО")</f>
        <v>0</v>
      </c>
      <c r="BD154" s="134"/>
      <c r="BE154" s="134"/>
      <c r="BF154" s="134"/>
      <c r="BG154" s="134"/>
      <c r="BH154" s="134"/>
      <c r="BI154" s="134"/>
      <c r="BJ154" s="134"/>
      <c r="BK154" s="134"/>
      <c r="BL154" s="134"/>
      <c r="BM154" s="134"/>
      <c r="BN154" s="1138"/>
      <c r="BO154" s="1138"/>
      <c r="BP154" s="1138"/>
      <c r="BS154" s="965" t="s">
        <v>1695</v>
      </c>
      <c r="BT154" s="972"/>
      <c r="BU154" s="972"/>
      <c r="BV154" s="624"/>
      <c r="BW154" s="624"/>
    </row>
    <row r="155" spans="2:75" ht="14.65" hidden="1" customHeight="1">
      <c r="C155" s="26"/>
      <c r="D155" s="26" cm="1">
        <f t="array" ref="D155">D154</f>
        <v>11</v>
      </c>
      <c r="E155" s="538">
        <v>15</v>
      </c>
      <c r="F155" s="3" cm="1">
        <f t="array" aca="1" ref="F155" ca="1">OFFSET(E155,-1,1)</f>
        <v>0</v>
      </c>
      <c r="G155" s="26" t="s">
        <v>1490</v>
      </c>
      <c r="H155" s="26"/>
      <c r="I155" s="26" t="s">
        <v>2027</v>
      </c>
      <c r="J155" s="26"/>
      <c r="K155" s="77" t="s">
        <v>2027</v>
      </c>
      <c r="L155" s="882" t="s">
        <v>1696</v>
      </c>
      <c r="M155" s="26"/>
      <c r="N155" s="26"/>
      <c r="O155" s="26"/>
      <c r="P155" s="26"/>
      <c r="Q155" s="26"/>
      <c r="R155" s="26"/>
      <c r="S155" s="26"/>
      <c r="T155" s="381" t="b" cm="1">
        <f t="array" aca="1" ref="T155" ca="1">T154</f>
        <v>0</v>
      </c>
      <c r="U155" s="26"/>
      <c r="V155" s="26"/>
      <c r="W155" s="26"/>
      <c r="X155" s="1787"/>
      <c r="Z155" s="1735"/>
      <c r="AB155" s="216" t="str">
        <f>D155&amp;".1"</f>
        <v>11.1</v>
      </c>
      <c r="AC155" s="1012" t="s">
        <v>1698</v>
      </c>
      <c r="AD155" s="216" t="s">
        <v>499</v>
      </c>
      <c r="AE155" s="1139">
        <f ca="1">AE154/2</f>
        <v>0</v>
      </c>
      <c r="AF155" s="1139">
        <f ca="1">AF154/2</f>
        <v>0</v>
      </c>
      <c r="AG155" s="1139">
        <f ca="1">AG154/2</f>
        <v>0</v>
      </c>
      <c r="AH155" s="1014">
        <f t="shared" ca="1" si="35"/>
        <v>0</v>
      </c>
      <c r="AI155" s="1139">
        <f ca="1">AI154/2</f>
        <v>0</v>
      </c>
      <c r="AJ155" s="1472">
        <f ca="1">IF(god=2026,AJ154/12*9,AJ154/2)</f>
        <v>0</v>
      </c>
      <c r="AK155" s="1139">
        <f ca="1">IF(god=2025,AK154/12*9,AK154/2)</f>
        <v>0</v>
      </c>
      <c r="AL155" s="1139">
        <f t="shared" ref="AL155:AS155" ca="1" si="36">AL154/2</f>
        <v>0</v>
      </c>
      <c r="AM155" s="1139">
        <f t="shared" ca="1" si="36"/>
        <v>0</v>
      </c>
      <c r="AN155" s="1139">
        <f t="shared" ca="1" si="36"/>
        <v>0</v>
      </c>
      <c r="AO155" s="1139">
        <f t="shared" ca="1" si="36"/>
        <v>0</v>
      </c>
      <c r="AP155" s="1139">
        <f t="shared" ca="1" si="36"/>
        <v>0</v>
      </c>
      <c r="AQ155" s="1139">
        <f t="shared" ca="1" si="36"/>
        <v>0</v>
      </c>
      <c r="AR155" s="1139">
        <f t="shared" ca="1" si="36"/>
        <v>0</v>
      </c>
      <c r="AS155" s="1139">
        <f t="shared" ca="1" si="36"/>
        <v>0</v>
      </c>
      <c r="AT155" s="1478">
        <f ca="1">IF(god=2026,AT154/12*9,AT154/2)</f>
        <v>0</v>
      </c>
      <c r="AU155" s="1161">
        <f ca="1">IF(god=2025,AU154/12*9,AU154/2)</f>
        <v>0</v>
      </c>
      <c r="AV155" s="1139">
        <f t="shared" ref="AV155:BC155" ca="1" si="37">AV154/2</f>
        <v>0</v>
      </c>
      <c r="AW155" s="1139">
        <f t="shared" ca="1" si="37"/>
        <v>0</v>
      </c>
      <c r="AX155" s="1139">
        <f t="shared" ca="1" si="37"/>
        <v>0</v>
      </c>
      <c r="AY155" s="1139">
        <f t="shared" ca="1" si="37"/>
        <v>0</v>
      </c>
      <c r="AZ155" s="1139">
        <f t="shared" ca="1" si="37"/>
        <v>0</v>
      </c>
      <c r="BA155" s="1139">
        <f t="shared" ca="1" si="37"/>
        <v>0</v>
      </c>
      <c r="BB155" s="1139">
        <f t="shared" ca="1" si="37"/>
        <v>0</v>
      </c>
      <c r="BC155" s="1139">
        <f t="shared" ca="1" si="37"/>
        <v>0</v>
      </c>
      <c r="BD155" s="1016"/>
      <c r="BE155" s="1016"/>
      <c r="BF155" s="1016"/>
      <c r="BG155" s="1016"/>
      <c r="BH155" s="1016"/>
      <c r="BI155" s="1016"/>
      <c r="BJ155" s="1016"/>
      <c r="BK155" s="1016"/>
      <c r="BL155" s="1016"/>
      <c r="BM155" s="1016"/>
      <c r="BN155" s="1138"/>
      <c r="BO155" s="1138"/>
      <c r="BP155" s="1138"/>
      <c r="BS155" s="964" t="s">
        <v>1699</v>
      </c>
    </row>
    <row r="156" spans="2:75" ht="14.65" hidden="1" customHeight="1">
      <c r="C156" s="26"/>
      <c r="D156" s="26" cm="1">
        <f t="array" ref="D156">D155</f>
        <v>11</v>
      </c>
      <c r="E156" s="538">
        <v>15</v>
      </c>
      <c r="F156" s="3" cm="1">
        <f t="array" aca="1" ref="F156" ca="1">OFFSET(E156,-1,1)</f>
        <v>0</v>
      </c>
      <c r="G156" s="26" t="s">
        <v>1451</v>
      </c>
      <c r="H156" s="26"/>
      <c r="I156" s="26" t="s">
        <v>2028</v>
      </c>
      <c r="J156" s="26"/>
      <c r="K156" s="77" t="s">
        <v>2028</v>
      </c>
      <c r="L156" s="882" t="s">
        <v>1700</v>
      </c>
      <c r="M156" s="26"/>
      <c r="N156" s="26"/>
      <c r="O156" s="26"/>
      <c r="P156" s="26"/>
      <c r="Q156" s="26"/>
      <c r="R156" s="26"/>
      <c r="S156" s="26"/>
      <c r="T156" s="381" t="b" cm="1">
        <f t="array" aca="1" ref="T156" ca="1">T155</f>
        <v>0</v>
      </c>
      <c r="U156" s="26"/>
      <c r="V156" s="26"/>
      <c r="W156" s="26"/>
      <c r="X156" s="1787"/>
      <c r="Z156" s="1735"/>
      <c r="AB156" s="216" t="str">
        <f>D156&amp;".2"</f>
        <v>11.2</v>
      </c>
      <c r="AC156" s="1012" t="s">
        <v>1702</v>
      </c>
      <c r="AD156" s="216" t="s">
        <v>1454</v>
      </c>
      <c r="AE156" s="1141"/>
      <c r="AF156" s="1141"/>
      <c r="AG156" s="1141"/>
      <c r="AH156" s="1015">
        <f t="shared" si="35"/>
        <v>0</v>
      </c>
      <c r="AI156" s="1141"/>
      <c r="AJ156" s="1473"/>
      <c r="AK156" s="1141"/>
      <c r="AL156" s="1141"/>
      <c r="AM156" s="1141"/>
      <c r="AN156" s="1141"/>
      <c r="AO156" s="1141"/>
      <c r="AP156" s="1141"/>
      <c r="AQ156" s="1141"/>
      <c r="AR156" s="1141"/>
      <c r="AS156" s="1141"/>
      <c r="AT156" s="1473"/>
      <c r="AU156" s="1141" cm="1">
        <f t="array" aca="1" ref="AU156" ca="1">AT158</f>
        <v>0</v>
      </c>
      <c r="AV156" s="1141" cm="1">
        <f t="array" aca="1" ref="AV156" ca="1">AU158</f>
        <v>0</v>
      </c>
      <c r="AW156" s="1141" cm="1">
        <f t="array" aca="1" ref="AW156" ca="1">AV158</f>
        <v>0</v>
      </c>
      <c r="AX156" s="1141" cm="1">
        <f t="array" aca="1" ref="AX156" ca="1">AW158</f>
        <v>0</v>
      </c>
      <c r="AY156" s="1141" cm="1">
        <f t="array" aca="1" ref="AY156" ca="1">AX158</f>
        <v>0</v>
      </c>
      <c r="AZ156" s="1141" cm="1">
        <f t="array" aca="1" ref="AZ156" ca="1">AY158</f>
        <v>0</v>
      </c>
      <c r="BA156" s="1141" cm="1">
        <f t="array" aca="1" ref="BA156" ca="1">AZ158</f>
        <v>0</v>
      </c>
      <c r="BB156" s="1141" cm="1">
        <f t="array" aca="1" ref="BB156" ca="1">BA158</f>
        <v>0</v>
      </c>
      <c r="BC156" s="1141" cm="1">
        <f t="array" aca="1" ref="BC156" ca="1">BB158</f>
        <v>0</v>
      </c>
      <c r="BD156" s="1016"/>
      <c r="BE156" s="1016"/>
      <c r="BF156" s="1016"/>
      <c r="BG156" s="1016"/>
      <c r="BH156" s="1016"/>
      <c r="BI156" s="1016"/>
      <c r="BJ156" s="1016"/>
      <c r="BK156" s="1016"/>
      <c r="BL156" s="1016"/>
      <c r="BM156" s="1016"/>
      <c r="BN156" s="1138"/>
      <c r="BO156" s="1138"/>
      <c r="BP156" s="1138"/>
      <c r="BS156" s="964" t="s">
        <v>1703</v>
      </c>
    </row>
    <row r="157" spans="2:75" ht="14.65" hidden="1" customHeight="1">
      <c r="C157" s="26"/>
      <c r="D157" s="26" cm="1">
        <f t="array" ref="D157">D156</f>
        <v>11</v>
      </c>
      <c r="E157" s="538">
        <v>15</v>
      </c>
      <c r="F157" s="3" cm="1">
        <f t="array" aca="1" ref="F157" ca="1">OFFSET(E157,-1,1)</f>
        <v>0</v>
      </c>
      <c r="G157" s="26" t="s">
        <v>1503</v>
      </c>
      <c r="H157" s="26"/>
      <c r="I157" s="26" t="s">
        <v>2029</v>
      </c>
      <c r="J157" s="26"/>
      <c r="K157" s="77" t="s">
        <v>2029</v>
      </c>
      <c r="L157" s="882" t="s">
        <v>1704</v>
      </c>
      <c r="M157" s="26"/>
      <c r="N157" s="26"/>
      <c r="O157" s="26"/>
      <c r="P157" s="26"/>
      <c r="Q157" s="26"/>
      <c r="R157" s="26"/>
      <c r="S157" s="26"/>
      <c r="T157" s="381" t="b" cm="1">
        <f t="array" aca="1" ref="T157" ca="1">T156</f>
        <v>0</v>
      </c>
      <c r="U157" s="26"/>
      <c r="V157" s="26"/>
      <c r="W157" s="26"/>
      <c r="X157" s="1787"/>
      <c r="Z157" s="1735"/>
      <c r="AB157" s="216" t="str">
        <f>D157&amp;".3"</f>
        <v>11.3</v>
      </c>
      <c r="AC157" s="1012" t="s">
        <v>2030</v>
      </c>
      <c r="AD157" s="216" t="s">
        <v>499</v>
      </c>
      <c r="AE157" s="1014">
        <f ca="1">AE154-AE155</f>
        <v>0</v>
      </c>
      <c r="AF157" s="1014">
        <f ca="1">AF154-AF155</f>
        <v>0</v>
      </c>
      <c r="AG157" s="1014">
        <f ca="1">AG154-AG155</f>
        <v>0</v>
      </c>
      <c r="AH157" s="1014">
        <f t="shared" ca="1" si="35"/>
        <v>0</v>
      </c>
      <c r="AI157" s="1014">
        <f t="shared" ref="AI157:BC157" ca="1" si="38">AI154-AI155</f>
        <v>0</v>
      </c>
      <c r="AJ157" s="1014">
        <f t="shared" ca="1" si="38"/>
        <v>0</v>
      </c>
      <c r="AK157" s="1014">
        <f t="shared" ca="1" si="38"/>
        <v>0</v>
      </c>
      <c r="AL157" s="1014">
        <f t="shared" ca="1" si="38"/>
        <v>0</v>
      </c>
      <c r="AM157" s="1014">
        <f t="shared" ca="1" si="38"/>
        <v>0</v>
      </c>
      <c r="AN157" s="1014">
        <f t="shared" ca="1" si="38"/>
        <v>0</v>
      </c>
      <c r="AO157" s="1014">
        <f t="shared" ca="1" si="38"/>
        <v>0</v>
      </c>
      <c r="AP157" s="1014">
        <f t="shared" ca="1" si="38"/>
        <v>0</v>
      </c>
      <c r="AQ157" s="1014">
        <f t="shared" ca="1" si="38"/>
        <v>0</v>
      </c>
      <c r="AR157" s="1014">
        <f t="shared" ca="1" si="38"/>
        <v>0</v>
      </c>
      <c r="AS157" s="1014">
        <f t="shared" ca="1" si="38"/>
        <v>0</v>
      </c>
      <c r="AT157" s="1014">
        <f t="shared" ca="1" si="38"/>
        <v>0</v>
      </c>
      <c r="AU157" s="1014">
        <f t="shared" ca="1" si="38"/>
        <v>0</v>
      </c>
      <c r="AV157" s="1014">
        <f t="shared" ca="1" si="38"/>
        <v>0</v>
      </c>
      <c r="AW157" s="1014">
        <f t="shared" ca="1" si="38"/>
        <v>0</v>
      </c>
      <c r="AX157" s="1014">
        <f t="shared" ca="1" si="38"/>
        <v>0</v>
      </c>
      <c r="AY157" s="1014">
        <f t="shared" ca="1" si="38"/>
        <v>0</v>
      </c>
      <c r="AZ157" s="1014">
        <f t="shared" ca="1" si="38"/>
        <v>0</v>
      </c>
      <c r="BA157" s="1014">
        <f t="shared" ca="1" si="38"/>
        <v>0</v>
      </c>
      <c r="BB157" s="1014">
        <f t="shared" ca="1" si="38"/>
        <v>0</v>
      </c>
      <c r="BC157" s="1014">
        <f t="shared" ca="1" si="38"/>
        <v>0</v>
      </c>
      <c r="BD157" s="1016"/>
      <c r="BE157" s="1016"/>
      <c r="BF157" s="1016"/>
      <c r="BG157" s="1016"/>
      <c r="BH157" s="1016"/>
      <c r="BI157" s="1016"/>
      <c r="BJ157" s="1016"/>
      <c r="BK157" s="1016"/>
      <c r="BL157" s="1016"/>
      <c r="BM157" s="1016"/>
      <c r="BN157" s="1138"/>
      <c r="BO157" s="1138"/>
      <c r="BP157" s="1138"/>
      <c r="BS157" s="964" t="s">
        <v>1707</v>
      </c>
    </row>
    <row r="158" spans="2:75" ht="14.65" hidden="1" customHeight="1">
      <c r="C158" s="26"/>
      <c r="D158" s="26" cm="1">
        <f t="array" ref="D158">D157</f>
        <v>11</v>
      </c>
      <c r="E158" s="538">
        <v>15</v>
      </c>
      <c r="F158" s="3" cm="1">
        <f t="array" aca="1" ref="F158" ca="1">OFFSET(E158,-1,1)</f>
        <v>0</v>
      </c>
      <c r="G158" s="26" t="s">
        <v>1456</v>
      </c>
      <c r="H158" s="26"/>
      <c r="I158" s="26" t="s">
        <v>2031</v>
      </c>
      <c r="J158" s="26"/>
      <c r="K158" s="77" t="s">
        <v>2031</v>
      </c>
      <c r="L158" s="882" t="s">
        <v>1708</v>
      </c>
      <c r="M158" s="26"/>
      <c r="N158" s="26"/>
      <c r="O158" s="26"/>
      <c r="P158" s="26"/>
      <c r="Q158" s="26"/>
      <c r="R158" s="26"/>
      <c r="S158" s="26"/>
      <c r="T158" s="381" t="b" cm="1">
        <f t="array" aca="1" ref="T158" ca="1">T157</f>
        <v>0</v>
      </c>
      <c r="U158" s="26"/>
      <c r="V158" s="26"/>
      <c r="W158" s="26"/>
      <c r="X158" s="1787"/>
      <c r="Z158" s="1735"/>
      <c r="AB158" s="216" t="str">
        <f>D158&amp;".4"</f>
        <v>11.4</v>
      </c>
      <c r="AC158" s="1012" t="s">
        <v>1710</v>
      </c>
      <c r="AD158" s="216" t="s">
        <v>1454</v>
      </c>
      <c r="AE158" s="1141">
        <f ca="1">IF(AE157=0,0,(AE151-AE155*AE156)/AE157)</f>
        <v>0</v>
      </c>
      <c r="AF158" s="1141">
        <f ca="1">IF(AF157=0,0,(AF151-AF155*AF156)/AF157)</f>
        <v>0</v>
      </c>
      <c r="AG158" s="1141">
        <f ca="1">IF(AG157=0,0,(AG151-AG155*AG156)/AG157)</f>
        <v>0</v>
      </c>
      <c r="AH158" s="1015">
        <f t="shared" ca="1" si="35"/>
        <v>0</v>
      </c>
      <c r="AI158" s="1141">
        <f t="shared" ref="AI158:BC158" ca="1" si="39">IF(AI157=0,0,(AI151-AI155*AI156)/AI157)</f>
        <v>0</v>
      </c>
      <c r="AJ158" s="1473">
        <f t="shared" ca="1" si="39"/>
        <v>0</v>
      </c>
      <c r="AK158" s="1141">
        <f t="shared" ca="1" si="39"/>
        <v>0</v>
      </c>
      <c r="AL158" s="1141">
        <f t="shared" ca="1" si="39"/>
        <v>0</v>
      </c>
      <c r="AM158" s="1141">
        <f t="shared" ca="1" si="39"/>
        <v>0</v>
      </c>
      <c r="AN158" s="1141">
        <f t="shared" ca="1" si="39"/>
        <v>0</v>
      </c>
      <c r="AO158" s="1141">
        <f t="shared" ca="1" si="39"/>
        <v>0</v>
      </c>
      <c r="AP158" s="1141">
        <f t="shared" ca="1" si="39"/>
        <v>0</v>
      </c>
      <c r="AQ158" s="1141">
        <f t="shared" ca="1" si="39"/>
        <v>0</v>
      </c>
      <c r="AR158" s="1141">
        <f t="shared" ca="1" si="39"/>
        <v>0</v>
      </c>
      <c r="AS158" s="1141">
        <f t="shared" ca="1" si="39"/>
        <v>0</v>
      </c>
      <c r="AT158" s="1473">
        <f t="shared" ca="1" si="39"/>
        <v>0</v>
      </c>
      <c r="AU158" s="1141">
        <f t="shared" ca="1" si="39"/>
        <v>0</v>
      </c>
      <c r="AV158" s="1141">
        <f t="shared" ca="1" si="39"/>
        <v>0</v>
      </c>
      <c r="AW158" s="1141">
        <f t="shared" ca="1" si="39"/>
        <v>0</v>
      </c>
      <c r="AX158" s="1141">
        <f t="shared" ca="1" si="39"/>
        <v>0</v>
      </c>
      <c r="AY158" s="1141">
        <f t="shared" ca="1" si="39"/>
        <v>0</v>
      </c>
      <c r="AZ158" s="1141">
        <f t="shared" ca="1" si="39"/>
        <v>0</v>
      </c>
      <c r="BA158" s="1141">
        <f t="shared" ca="1" si="39"/>
        <v>0</v>
      </c>
      <c r="BB158" s="1141">
        <f t="shared" ca="1" si="39"/>
        <v>0</v>
      </c>
      <c r="BC158" s="1141">
        <f t="shared" ca="1" si="39"/>
        <v>0</v>
      </c>
      <c r="BD158" s="1016"/>
      <c r="BE158" s="1016"/>
      <c r="BF158" s="1016"/>
      <c r="BG158" s="1016"/>
      <c r="BH158" s="1016"/>
      <c r="BI158" s="1016"/>
      <c r="BJ158" s="1016"/>
      <c r="BK158" s="1016"/>
      <c r="BL158" s="1016"/>
      <c r="BM158" s="1016"/>
      <c r="BN158" s="1138"/>
      <c r="BO158" s="1138"/>
      <c r="BP158" s="1138"/>
      <c r="BS158" s="964" t="s">
        <v>1711</v>
      </c>
    </row>
    <row r="159" spans="2:75" ht="14.65" hidden="1" customHeight="1">
      <c r="C159" s="26"/>
      <c r="D159" s="26" cm="1">
        <f t="array" ref="D159">D158</f>
        <v>11</v>
      </c>
      <c r="E159" s="538">
        <v>15</v>
      </c>
      <c r="F159" s="3" cm="1">
        <f t="array" aca="1" ref="F159" ca="1">OFFSET(E159,-1,1)</f>
        <v>0</v>
      </c>
      <c r="G159" s="26"/>
      <c r="H159" s="26"/>
      <c r="I159" s="26" t="s">
        <v>2032</v>
      </c>
      <c r="J159" s="26"/>
      <c r="K159" s="77" t="s">
        <v>2032</v>
      </c>
      <c r="L159" s="882" t="s">
        <v>1712</v>
      </c>
      <c r="M159" s="26"/>
      <c r="N159" s="26"/>
      <c r="O159" s="26"/>
      <c r="P159" s="26"/>
      <c r="Q159" s="26"/>
      <c r="R159" s="26"/>
      <c r="S159" s="26"/>
      <c r="T159" s="381" t="b" cm="1">
        <f t="array" aca="1" ref="T159" ca="1">T158</f>
        <v>0</v>
      </c>
      <c r="U159" s="26"/>
      <c r="V159" s="26"/>
      <c r="W159" s="26"/>
      <c r="X159" s="1787"/>
      <c r="Z159" s="1735"/>
      <c r="AB159" s="216" t="str">
        <f>D159&amp;".5"</f>
        <v>11.5</v>
      </c>
      <c r="AC159" s="1012" t="s">
        <v>1714</v>
      </c>
      <c r="AD159" s="216" t="s">
        <v>423</v>
      </c>
      <c r="AE159" s="1015">
        <f>IF(AE156=0,0,AE158/AE156*100)</f>
        <v>0</v>
      </c>
      <c r="AF159" s="1015">
        <f>IF(AF156=0,0,AF158/AF156*100)</f>
        <v>0</v>
      </c>
      <c r="AG159" s="1015">
        <f>IF(AG156=0,0,AG158/AG156*100)</f>
        <v>0</v>
      </c>
      <c r="AH159" s="1016"/>
      <c r="AI159" s="1015">
        <f t="shared" ref="AI159:BC159" si="40">IF(AI156=0,0,AI158/AI156*100)</f>
        <v>0</v>
      </c>
      <c r="AJ159" s="1015">
        <f t="shared" si="40"/>
        <v>0</v>
      </c>
      <c r="AK159" s="1015">
        <f t="shared" si="40"/>
        <v>0</v>
      </c>
      <c r="AL159" s="1015">
        <f t="shared" si="40"/>
        <v>0</v>
      </c>
      <c r="AM159" s="1015">
        <f t="shared" si="40"/>
        <v>0</v>
      </c>
      <c r="AN159" s="1015">
        <f t="shared" si="40"/>
        <v>0</v>
      </c>
      <c r="AO159" s="1015">
        <f t="shared" si="40"/>
        <v>0</v>
      </c>
      <c r="AP159" s="1015">
        <f t="shared" si="40"/>
        <v>0</v>
      </c>
      <c r="AQ159" s="1015">
        <f t="shared" si="40"/>
        <v>0</v>
      </c>
      <c r="AR159" s="1015">
        <f t="shared" si="40"/>
        <v>0</v>
      </c>
      <c r="AS159" s="1015">
        <f t="shared" si="40"/>
        <v>0</v>
      </c>
      <c r="AT159" s="1015">
        <f t="shared" si="40"/>
        <v>0</v>
      </c>
      <c r="AU159" s="1015">
        <f t="shared" ca="1" si="40"/>
        <v>0</v>
      </c>
      <c r="AV159" s="1015">
        <f t="shared" ca="1" si="40"/>
        <v>0</v>
      </c>
      <c r="AW159" s="1015">
        <f t="shared" ca="1" si="40"/>
        <v>0</v>
      </c>
      <c r="AX159" s="1015">
        <f t="shared" ca="1" si="40"/>
        <v>0</v>
      </c>
      <c r="AY159" s="1015">
        <f t="shared" ca="1" si="40"/>
        <v>0</v>
      </c>
      <c r="AZ159" s="1015">
        <f t="shared" ca="1" si="40"/>
        <v>0</v>
      </c>
      <c r="BA159" s="1015">
        <f t="shared" ca="1" si="40"/>
        <v>0</v>
      </c>
      <c r="BB159" s="1015">
        <f t="shared" ca="1" si="40"/>
        <v>0</v>
      </c>
      <c r="BC159" s="1015">
        <f t="shared" ca="1" si="40"/>
        <v>0</v>
      </c>
      <c r="BD159" s="1016"/>
      <c r="BE159" s="1016"/>
      <c r="BF159" s="1016"/>
      <c r="BG159" s="1016"/>
      <c r="BH159" s="1016"/>
      <c r="BI159" s="1016"/>
      <c r="BJ159" s="1016"/>
      <c r="BK159" s="1016"/>
      <c r="BL159" s="1016"/>
      <c r="BM159" s="1016"/>
      <c r="BN159" s="1138"/>
      <c r="BO159" s="1138"/>
      <c r="BP159" s="1138"/>
      <c r="BS159" s="964" t="s">
        <v>1715</v>
      </c>
    </row>
    <row r="160" spans="2:75" ht="14.65" hidden="1" customHeight="1">
      <c r="C160" s="26"/>
      <c r="D160" s="26" cm="1">
        <f t="array" ref="D160">D159</f>
        <v>11</v>
      </c>
      <c r="E160" s="538">
        <v>15</v>
      </c>
      <c r="F160" s="3" cm="1">
        <f t="array" aca="1" ref="F160" ca="1">OFFSET(E160,-1,1)</f>
        <v>0</v>
      </c>
      <c r="G160" s="26"/>
      <c r="H160" s="26"/>
      <c r="I160" s="26" t="s">
        <v>2033</v>
      </c>
      <c r="J160" s="26"/>
      <c r="K160" s="77" t="s">
        <v>2033</v>
      </c>
      <c r="L160" s="882" t="s">
        <v>1716</v>
      </c>
      <c r="M160" s="26"/>
      <c r="N160" s="26"/>
      <c r="O160" s="26"/>
      <c r="P160" s="26"/>
      <c r="Q160" s="26"/>
      <c r="R160" s="26"/>
      <c r="S160" s="26"/>
      <c r="T160" s="381" t="b" cm="1">
        <f t="array" aca="1" ref="T160" ca="1">T159</f>
        <v>0</v>
      </c>
      <c r="U160" s="26"/>
      <c r="V160" s="26"/>
      <c r="W160" s="26"/>
      <c r="X160" s="1787"/>
      <c r="Z160" s="1735"/>
      <c r="AB160" s="216" t="str">
        <f>D160&amp;".6"</f>
        <v>11.6</v>
      </c>
      <c r="AC160" s="1012" t="s">
        <v>1718</v>
      </c>
      <c r="AD160" s="216" t="s">
        <v>1454</v>
      </c>
      <c r="AE160" s="1141">
        <f ca="1">IF(AE154=0,0,AE151/AE154)</f>
        <v>0</v>
      </c>
      <c r="AF160" s="1141">
        <f ca="1">IF(AF154=0,0,AF151/AF154)</f>
        <v>0</v>
      </c>
      <c r="AG160" s="1141">
        <f ca="1">IF(AG154=0,0,AG151/AG154)</f>
        <v>0</v>
      </c>
      <c r="AH160" s="1015">
        <f ca="1">AG160-AF160</f>
        <v>0</v>
      </c>
      <c r="AI160" s="1141">
        <f t="shared" ref="AI160:BC160" ca="1" si="41">IF(AI154=0,0,AI151/AI154)</f>
        <v>0</v>
      </c>
      <c r="AJ160" s="1473">
        <f t="shared" ca="1" si="41"/>
        <v>0</v>
      </c>
      <c r="AK160" s="1141">
        <f t="shared" ca="1" si="41"/>
        <v>0</v>
      </c>
      <c r="AL160" s="1141">
        <f t="shared" ca="1" si="41"/>
        <v>0</v>
      </c>
      <c r="AM160" s="1141">
        <f t="shared" ca="1" si="41"/>
        <v>0</v>
      </c>
      <c r="AN160" s="1141">
        <f t="shared" ca="1" si="41"/>
        <v>0</v>
      </c>
      <c r="AO160" s="1141">
        <f t="shared" ca="1" si="41"/>
        <v>0</v>
      </c>
      <c r="AP160" s="1141">
        <f t="shared" ca="1" si="41"/>
        <v>0</v>
      </c>
      <c r="AQ160" s="1141">
        <f t="shared" ca="1" si="41"/>
        <v>0</v>
      </c>
      <c r="AR160" s="1141">
        <f t="shared" ca="1" si="41"/>
        <v>0</v>
      </c>
      <c r="AS160" s="1141">
        <f t="shared" ca="1" si="41"/>
        <v>0</v>
      </c>
      <c r="AT160" s="1473">
        <f t="shared" ca="1" si="41"/>
        <v>0</v>
      </c>
      <c r="AU160" s="1141">
        <f t="shared" ca="1" si="41"/>
        <v>0</v>
      </c>
      <c r="AV160" s="1141">
        <f t="shared" ca="1" si="41"/>
        <v>0</v>
      </c>
      <c r="AW160" s="1141">
        <f t="shared" ca="1" si="41"/>
        <v>0</v>
      </c>
      <c r="AX160" s="1141">
        <f t="shared" ca="1" si="41"/>
        <v>0</v>
      </c>
      <c r="AY160" s="1141">
        <f t="shared" ca="1" si="41"/>
        <v>0</v>
      </c>
      <c r="AZ160" s="1141">
        <f t="shared" ca="1" si="41"/>
        <v>0</v>
      </c>
      <c r="BA160" s="1141">
        <f t="shared" ca="1" si="41"/>
        <v>0</v>
      </c>
      <c r="BB160" s="1141">
        <f t="shared" ca="1" si="41"/>
        <v>0</v>
      </c>
      <c r="BC160" s="1141">
        <f t="shared" ca="1" si="41"/>
        <v>0</v>
      </c>
      <c r="BD160" s="1016"/>
      <c r="BE160" s="1016"/>
      <c r="BF160" s="1016"/>
      <c r="BG160" s="1016"/>
      <c r="BH160" s="1016"/>
      <c r="BI160" s="1016"/>
      <c r="BJ160" s="1016"/>
      <c r="BK160" s="1016"/>
      <c r="BL160" s="1016"/>
      <c r="BM160" s="1016"/>
      <c r="BN160" s="1138"/>
      <c r="BO160" s="1138"/>
      <c r="BP160" s="1138"/>
      <c r="BS160" s="964" t="s">
        <v>1719</v>
      </c>
    </row>
    <row r="161" spans="1:75" s="617" customFormat="1" ht="20.45" hidden="1" customHeight="1">
      <c r="B161" s="352"/>
      <c r="C161" s="28"/>
      <c r="D161" s="28">
        <f>D160+1</f>
        <v>12</v>
      </c>
      <c r="E161" s="740">
        <v>21</v>
      </c>
      <c r="F161" s="3" cm="1">
        <f t="array" aca="1" ref="F161" ca="1">OFFSET(E161,-1,1)</f>
        <v>0</v>
      </c>
      <c r="G161" s="28"/>
      <c r="H161" s="26"/>
      <c r="I161" s="26" t="s">
        <v>1724</v>
      </c>
      <c r="J161" s="28"/>
      <c r="K161" s="77" t="s">
        <v>1724</v>
      </c>
      <c r="L161" s="887" t="s">
        <v>1720</v>
      </c>
      <c r="M161" s="28"/>
      <c r="N161" s="28"/>
      <c r="O161" s="28"/>
      <c r="P161" s="28"/>
      <c r="Q161" s="28"/>
      <c r="R161" s="28"/>
      <c r="S161" s="28"/>
      <c r="T161" s="381" t="b" cm="1">
        <f t="array" aca="1" ref="T161" ca="1">T160</f>
        <v>0</v>
      </c>
      <c r="U161" s="28"/>
      <c r="V161" s="28"/>
      <c r="W161" s="28"/>
      <c r="X161" s="1787"/>
      <c r="Z161" s="1735"/>
      <c r="AB161" s="129" cm="1">
        <f t="array" ref="AB161">D161</f>
        <v>12</v>
      </c>
      <c r="AC161" s="130" t="s">
        <v>1722</v>
      </c>
      <c r="AD161" s="129" t="s">
        <v>766</v>
      </c>
      <c r="AE161" s="1150">
        <f ca="1">IF(AE154=0,0,AE151/AE154*AE162)</f>
        <v>0</v>
      </c>
      <c r="AF161" s="1150">
        <f ca="1">IF(AF154=0,0,AF151/AF154*AF162)</f>
        <v>0</v>
      </c>
      <c r="AG161" s="1150">
        <f ca="1">IF(AG154=0,0,AG151/AG154*AG162)</f>
        <v>0</v>
      </c>
      <c r="AH161" s="131">
        <f ca="1">AH163*AH164+AH165*AH166</f>
        <v>0</v>
      </c>
      <c r="AI161" s="1150">
        <f t="shared" ref="AI161:BC161" ca="1" si="42">IF(AI154=0,0,AI151/AI154*AI162)</f>
        <v>0</v>
      </c>
      <c r="AJ161" s="1479">
        <f t="shared" ca="1" si="42"/>
        <v>0</v>
      </c>
      <c r="AK161" s="1150">
        <f t="shared" ca="1" si="42"/>
        <v>0</v>
      </c>
      <c r="AL161" s="1150">
        <f t="shared" ca="1" si="42"/>
        <v>0</v>
      </c>
      <c r="AM161" s="1150">
        <f t="shared" ca="1" si="42"/>
        <v>0</v>
      </c>
      <c r="AN161" s="1150">
        <f t="shared" ca="1" si="42"/>
        <v>0</v>
      </c>
      <c r="AO161" s="1150">
        <f t="shared" ca="1" si="42"/>
        <v>0</v>
      </c>
      <c r="AP161" s="1150">
        <f t="shared" ca="1" si="42"/>
        <v>0</v>
      </c>
      <c r="AQ161" s="1150">
        <f t="shared" ca="1" si="42"/>
        <v>0</v>
      </c>
      <c r="AR161" s="1150">
        <f t="shared" ca="1" si="42"/>
        <v>0</v>
      </c>
      <c r="AS161" s="1150">
        <f t="shared" ca="1" si="42"/>
        <v>0</v>
      </c>
      <c r="AT161" s="1479">
        <f t="shared" ca="1" si="42"/>
        <v>0</v>
      </c>
      <c r="AU161" s="1150">
        <f t="shared" ca="1" si="42"/>
        <v>0</v>
      </c>
      <c r="AV161" s="1150">
        <f t="shared" ca="1" si="42"/>
        <v>0</v>
      </c>
      <c r="AW161" s="1150">
        <f t="shared" ca="1" si="42"/>
        <v>0</v>
      </c>
      <c r="AX161" s="1150">
        <f t="shared" ca="1" si="42"/>
        <v>0</v>
      </c>
      <c r="AY161" s="1150">
        <f t="shared" ca="1" si="42"/>
        <v>0</v>
      </c>
      <c r="AZ161" s="1150">
        <f t="shared" ca="1" si="42"/>
        <v>0</v>
      </c>
      <c r="BA161" s="1150">
        <f t="shared" ca="1" si="42"/>
        <v>0</v>
      </c>
      <c r="BB161" s="1150">
        <f t="shared" ca="1" si="42"/>
        <v>0</v>
      </c>
      <c r="BC161" s="1150">
        <f t="shared" ca="1" si="42"/>
        <v>0</v>
      </c>
      <c r="BD161" s="692">
        <f ca="1">IF(AI161=0,0,(AT161-AI161)/AI161*100)</f>
        <v>0</v>
      </c>
      <c r="BE161" s="692">
        <f t="shared" ref="BE161:BM161" ca="1" si="43">IF(AT161=0,0,(AU161-AT161)/AT161*100)</f>
        <v>0</v>
      </c>
      <c r="BF161" s="692">
        <f t="shared" ca="1" si="43"/>
        <v>0</v>
      </c>
      <c r="BG161" s="692">
        <f t="shared" ca="1" si="43"/>
        <v>0</v>
      </c>
      <c r="BH161" s="692">
        <f t="shared" ca="1" si="43"/>
        <v>0</v>
      </c>
      <c r="BI161" s="692">
        <f t="shared" ca="1" si="43"/>
        <v>0</v>
      </c>
      <c r="BJ161" s="692">
        <f t="shared" ca="1" si="43"/>
        <v>0</v>
      </c>
      <c r="BK161" s="692">
        <f t="shared" ca="1" si="43"/>
        <v>0</v>
      </c>
      <c r="BL161" s="692">
        <f t="shared" ca="1" si="43"/>
        <v>0</v>
      </c>
      <c r="BM161" s="692">
        <f t="shared" ca="1" si="43"/>
        <v>0</v>
      </c>
      <c r="BN161" s="1138"/>
      <c r="BO161" s="1138"/>
      <c r="BP161" s="1138"/>
      <c r="BS161" s="965" t="s">
        <v>1723</v>
      </c>
      <c r="BT161" s="972"/>
      <c r="BU161" s="972"/>
      <c r="BV161" s="624"/>
      <c r="BW161" s="624"/>
    </row>
    <row r="162" spans="1:75" s="617" customFormat="1" ht="20.45" hidden="1" customHeight="1">
      <c r="B162" s="352"/>
      <c r="C162" s="28"/>
      <c r="D162" s="28">
        <f>D161+1</f>
        <v>13</v>
      </c>
      <c r="E162" s="740">
        <v>21</v>
      </c>
      <c r="F162" s="3" cm="1">
        <f t="array" aca="1" ref="F162" ca="1">OFFSET(E162,-1,1)</f>
        <v>0</v>
      </c>
      <c r="G162" s="26" t="s">
        <v>1476</v>
      </c>
      <c r="H162" s="26"/>
      <c r="I162" s="26" t="s">
        <v>2034</v>
      </c>
      <c r="J162" s="28"/>
      <c r="K162" s="77" t="s">
        <v>2034</v>
      </c>
      <c r="L162" s="887" t="s">
        <v>1724</v>
      </c>
      <c r="M162" s="28"/>
      <c r="N162" s="28"/>
      <c r="O162" s="28"/>
      <c r="P162" s="28"/>
      <c r="Q162" s="28"/>
      <c r="R162" s="28"/>
      <c r="S162" s="28"/>
      <c r="T162" s="381" t="b" cm="1">
        <f t="array" aca="1" ref="T162" ca="1">T161</f>
        <v>0</v>
      </c>
      <c r="U162" s="28"/>
      <c r="V162" s="28"/>
      <c r="W162" s="28"/>
      <c r="X162" s="1787"/>
      <c r="Z162" s="1735"/>
      <c r="AB162" s="129" cm="1">
        <f t="array" ref="AB162">D162</f>
        <v>13</v>
      </c>
      <c r="AC162" s="130" t="s">
        <v>1726</v>
      </c>
      <c r="AD162" s="129" t="s">
        <v>499</v>
      </c>
      <c r="AE162" s="699">
        <f ca="1">SUMIFS(Баланс!AE$26:AE$209,Баланс!$F$26:$F$209,$F162,Баланс!$G$26:$G$209,"население")</f>
        <v>0</v>
      </c>
      <c r="AF162" s="699">
        <f ca="1">SUMIFS(Баланс!AF$26:AF$209,Баланс!$F$26:$F$209,$F162,Баланс!$G$26:$G$209,"население")</f>
        <v>0</v>
      </c>
      <c r="AG162" s="699">
        <f ca="1">SUMIFS(Баланс!AG$26:AG$209,Баланс!$F$26:$F$209,$F162,Баланс!$G$26:$G$209,"население")</f>
        <v>0</v>
      </c>
      <c r="AH162" s="699">
        <f t="shared" ref="AH162:AH170" ca="1" si="44">AG162-AF162</f>
        <v>0</v>
      </c>
      <c r="AI162" s="699">
        <f ca="1">SUMIFS(Баланс!AH$26:AH$209,Баланс!$F$26:$F$209,$F162,Баланс!$G$26:$G$209,"население")</f>
        <v>0</v>
      </c>
      <c r="AJ162" s="699">
        <f ca="1">SUMIFS(Баланс!AI$26:AI$209,Баланс!$F$26:$F$209,$F162,Баланс!$G$26:$G$209,"население")</f>
        <v>0</v>
      </c>
      <c r="AK162" s="699">
        <f ca="1">SUMIFS(Баланс!AJ$26:AJ$209,Баланс!$F$26:$F$209,$F162,Баланс!$G$26:$G$209,"население")</f>
        <v>0</v>
      </c>
      <c r="AL162" s="699">
        <f ca="1">SUMIFS(Баланс!AK$26:AK$209,Баланс!$F$26:$F$209,$F162,Баланс!$G$26:$G$209,"население")</f>
        <v>0</v>
      </c>
      <c r="AM162" s="699">
        <f ca="1">SUMIFS(Баланс!AL$26:AL$209,Баланс!$F$26:$F$209,$F162,Баланс!$G$26:$G$209,"население")</f>
        <v>0</v>
      </c>
      <c r="AN162" s="699">
        <f ca="1">SUMIFS(Баланс!AM$26:AM$209,Баланс!$F$26:$F$209,$F162,Баланс!$G$26:$G$209,"население")</f>
        <v>0</v>
      </c>
      <c r="AO162" s="699">
        <f ca="1">SUMIFS(Баланс!AN$26:AN$209,Баланс!$F$26:$F$209,$F162,Баланс!$G$26:$G$209,"население")</f>
        <v>0</v>
      </c>
      <c r="AP162" s="699">
        <f ca="1">SUMIFS(Баланс!AO$26:AO$209,Баланс!$F$26:$F$209,$F162,Баланс!$G$26:$G$209,"население")</f>
        <v>0</v>
      </c>
      <c r="AQ162" s="699">
        <f ca="1">SUMIFS(Баланс!AP$26:AP$209,Баланс!$F$26:$F$209,$F162,Баланс!$G$26:$G$209,"население")</f>
        <v>0</v>
      </c>
      <c r="AR162" s="699">
        <f ca="1">SUMIFS(Баланс!AQ$26:AQ$209,Баланс!$F$26:$F$209,$F162,Баланс!$G$26:$G$209,"население")</f>
        <v>0</v>
      </c>
      <c r="AS162" s="699">
        <f ca="1">SUMIFS(Баланс!AR$26:AR$209,Баланс!$F$26:$F$209,$F162,Баланс!$G$26:$G$209,"население")</f>
        <v>0</v>
      </c>
      <c r="AT162" s="699">
        <f ca="1">SUMIFS(Баланс!AS$26:AS$209,Баланс!$F$26:$F$209,$F162,Баланс!$G$26:$G$209,"население")</f>
        <v>0</v>
      </c>
      <c r="AU162" s="699">
        <f ca="1">SUMIFS(Баланс!AT$26:AT$209,Баланс!$F$26:$F$209,$F162,Баланс!$G$26:$G$209,"население")</f>
        <v>0</v>
      </c>
      <c r="AV162" s="699">
        <f ca="1">SUMIFS(Баланс!AU$26:AU$209,Баланс!$F$26:$F$209,$F162,Баланс!$G$26:$G$209,"население")</f>
        <v>0</v>
      </c>
      <c r="AW162" s="699">
        <f ca="1">SUMIFS(Баланс!AV$26:AV$209,Баланс!$F$26:$F$209,$F162,Баланс!$G$26:$G$209,"население")</f>
        <v>0</v>
      </c>
      <c r="AX162" s="699">
        <f ca="1">SUMIFS(Баланс!AW$26:AW$209,Баланс!$F$26:$F$209,$F162,Баланс!$G$26:$G$209,"население")</f>
        <v>0</v>
      </c>
      <c r="AY162" s="699">
        <f ca="1">SUMIFS(Баланс!AX$26:AX$209,Баланс!$F$26:$F$209,$F162,Баланс!$G$26:$G$209,"население")</f>
        <v>0</v>
      </c>
      <c r="AZ162" s="699">
        <f ca="1">SUMIFS(Баланс!AY$26:AY$209,Баланс!$F$26:$F$209,$F162,Баланс!$G$26:$G$209,"население")</f>
        <v>0</v>
      </c>
      <c r="BA162" s="699">
        <f ca="1">SUMIFS(Баланс!AZ$26:AZ$209,Баланс!$F$26:$F$209,$F162,Баланс!$G$26:$G$209,"население")</f>
        <v>0</v>
      </c>
      <c r="BB162" s="699">
        <f ca="1">SUMIFS(Баланс!BA$26:BA$209,Баланс!$F$26:$F$209,$F162,Баланс!$G$26:$G$209,"население")</f>
        <v>0</v>
      </c>
      <c r="BC162" s="699">
        <f ca="1">SUMIFS(Баланс!BB$26:BB$209,Баланс!$F$26:$F$209,$F162,Баланс!$G$26:$G$209,"население")</f>
        <v>0</v>
      </c>
      <c r="BD162" s="134"/>
      <c r="BE162" s="134"/>
      <c r="BF162" s="134"/>
      <c r="BG162" s="134"/>
      <c r="BH162" s="134"/>
      <c r="BI162" s="134"/>
      <c r="BJ162" s="134"/>
      <c r="BK162" s="134"/>
      <c r="BL162" s="134"/>
      <c r="BM162" s="134"/>
      <c r="BN162" s="1138"/>
      <c r="BO162" s="1138"/>
      <c r="BP162" s="1138"/>
      <c r="BS162" s="965" t="s">
        <v>1727</v>
      </c>
      <c r="BT162" s="972"/>
      <c r="BU162" s="972"/>
      <c r="BV162" s="624"/>
      <c r="BW162" s="624"/>
    </row>
    <row r="163" spans="1:75" ht="14.65" hidden="1" customHeight="1">
      <c r="C163" s="26"/>
      <c r="D163" s="26" cm="1">
        <f t="array" ref="D163">D162</f>
        <v>13</v>
      </c>
      <c r="E163" s="538">
        <v>15</v>
      </c>
      <c r="F163" s="3" cm="1">
        <f t="array" aca="1" ref="F163" ca="1">OFFSET(E163,-1,1)</f>
        <v>0</v>
      </c>
      <c r="G163" s="26" t="s">
        <v>1510</v>
      </c>
      <c r="H163" s="26"/>
      <c r="I163" s="26" t="s">
        <v>2035</v>
      </c>
      <c r="J163" s="26"/>
      <c r="K163" s="77" t="s">
        <v>2035</v>
      </c>
      <c r="L163" s="882" t="s">
        <v>1728</v>
      </c>
      <c r="M163" s="26"/>
      <c r="N163" s="26"/>
      <c r="O163" s="26"/>
      <c r="P163" s="26"/>
      <c r="Q163" s="26"/>
      <c r="R163" s="26"/>
      <c r="S163" s="26"/>
      <c r="T163" s="381" t="b" cm="1">
        <f t="array" aca="1" ref="T163" ca="1">T162</f>
        <v>0</v>
      </c>
      <c r="U163" s="26"/>
      <c r="V163" s="26"/>
      <c r="W163" s="26"/>
      <c r="X163" s="1787"/>
      <c r="Z163" s="1735"/>
      <c r="AB163" s="216" t="str">
        <f>D163&amp;".1"</f>
        <v>13.1</v>
      </c>
      <c r="AC163" s="1012" t="s">
        <v>1730</v>
      </c>
      <c r="AD163" s="216" t="s">
        <v>499</v>
      </c>
      <c r="AE163" s="1139">
        <f ca="1">AE162/2</f>
        <v>0</v>
      </c>
      <c r="AF163" s="1139">
        <f ca="1">AF162/2</f>
        <v>0</v>
      </c>
      <c r="AG163" s="1139">
        <f ca="1">AG162/2</f>
        <v>0</v>
      </c>
      <c r="AH163" s="1014">
        <f t="shared" ca="1" si="44"/>
        <v>0</v>
      </c>
      <c r="AI163" s="1139">
        <f ca="1">AI162/2</f>
        <v>0</v>
      </c>
      <c r="AJ163" s="1472">
        <f ca="1">IF(god=2026,AJ162/12*9,AJ162/2)</f>
        <v>0</v>
      </c>
      <c r="AK163" s="1139">
        <f ca="1">IF(god=2025,AK162/12*9,AK162/2)</f>
        <v>0</v>
      </c>
      <c r="AL163" s="1139">
        <f t="shared" ref="AL163:AS163" ca="1" si="45">AL162/2</f>
        <v>0</v>
      </c>
      <c r="AM163" s="1139">
        <f t="shared" ca="1" si="45"/>
        <v>0</v>
      </c>
      <c r="AN163" s="1139">
        <f t="shared" ca="1" si="45"/>
        <v>0</v>
      </c>
      <c r="AO163" s="1139">
        <f t="shared" ca="1" si="45"/>
        <v>0</v>
      </c>
      <c r="AP163" s="1139">
        <f t="shared" ca="1" si="45"/>
        <v>0</v>
      </c>
      <c r="AQ163" s="1139">
        <f t="shared" ca="1" si="45"/>
        <v>0</v>
      </c>
      <c r="AR163" s="1139">
        <f t="shared" ca="1" si="45"/>
        <v>0</v>
      </c>
      <c r="AS163" s="1139">
        <f t="shared" ca="1" si="45"/>
        <v>0</v>
      </c>
      <c r="AT163" s="1478">
        <f ca="1">IF(god=2026,AT162/12*9,AT162/2)</f>
        <v>0</v>
      </c>
      <c r="AU163" s="1161">
        <f ca="1">IF(god=2025,AU162/12*9,AU162/2)</f>
        <v>0</v>
      </c>
      <c r="AV163" s="1139">
        <f t="shared" ref="AV163:BC163" ca="1" si="46">AV162/2</f>
        <v>0</v>
      </c>
      <c r="AW163" s="1139">
        <f t="shared" ca="1" si="46"/>
        <v>0</v>
      </c>
      <c r="AX163" s="1139">
        <f t="shared" ca="1" si="46"/>
        <v>0</v>
      </c>
      <c r="AY163" s="1139">
        <f t="shared" ca="1" si="46"/>
        <v>0</v>
      </c>
      <c r="AZ163" s="1139">
        <f t="shared" ca="1" si="46"/>
        <v>0</v>
      </c>
      <c r="BA163" s="1139">
        <f t="shared" ca="1" si="46"/>
        <v>0</v>
      </c>
      <c r="BB163" s="1139">
        <f t="shared" ca="1" si="46"/>
        <v>0</v>
      </c>
      <c r="BC163" s="1139">
        <f t="shared" ca="1" si="46"/>
        <v>0</v>
      </c>
      <c r="BD163" s="1016"/>
      <c r="BE163" s="1016"/>
      <c r="BF163" s="1016"/>
      <c r="BG163" s="1016"/>
      <c r="BH163" s="1016"/>
      <c r="BI163" s="1016"/>
      <c r="BJ163" s="1016"/>
      <c r="BK163" s="1016"/>
      <c r="BL163" s="1016"/>
      <c r="BM163" s="1016"/>
      <c r="BN163" s="1138"/>
      <c r="BO163" s="1138"/>
      <c r="BP163" s="1138"/>
      <c r="BS163" s="964" t="s">
        <v>1731</v>
      </c>
    </row>
    <row r="164" spans="1:75" ht="14.65" hidden="1" customHeight="1">
      <c r="C164" s="26"/>
      <c r="D164" s="26" cm="1">
        <f t="array" ref="D164">D163</f>
        <v>13</v>
      </c>
      <c r="E164" s="538">
        <v>15</v>
      </c>
      <c r="F164" s="3" cm="1">
        <f t="array" aca="1" ref="F164" ca="1">OFFSET(E164,-1,1)</f>
        <v>0</v>
      </c>
      <c r="G164" s="26" t="s">
        <v>1466</v>
      </c>
      <c r="H164" s="26"/>
      <c r="I164" s="26" t="s">
        <v>2036</v>
      </c>
      <c r="J164" s="26"/>
      <c r="K164" s="77" t="s">
        <v>2036</v>
      </c>
      <c r="L164" s="882" t="s">
        <v>1732</v>
      </c>
      <c r="M164" s="26"/>
      <c r="N164" s="26"/>
      <c r="O164" s="26"/>
      <c r="P164" s="26"/>
      <c r="Q164" s="26"/>
      <c r="R164" s="26"/>
      <c r="S164" s="26"/>
      <c r="T164" s="381" t="b" cm="1">
        <f t="array" aca="1" ref="T164" ca="1">T163</f>
        <v>0</v>
      </c>
      <c r="U164" s="26"/>
      <c r="V164" s="26"/>
      <c r="W164" s="26"/>
      <c r="X164" s="1787"/>
      <c r="Z164" s="1735"/>
      <c r="AB164" s="216" t="str">
        <f>D164&amp;".2"</f>
        <v>13.2</v>
      </c>
      <c r="AC164" s="1012" t="s">
        <v>1734</v>
      </c>
      <c r="AD164" s="216" t="s">
        <v>1454</v>
      </c>
      <c r="AE164" s="1141">
        <f ca="1">IF(AE162=0,0,AE156*(1+Сценарии!AE$26))</f>
        <v>0</v>
      </c>
      <c r="AF164" s="1162">
        <f ca="1">IF(AF162=0,0,AF156*(1+Сценарии!AF$26))</f>
        <v>0</v>
      </c>
      <c r="AG164" s="1162">
        <f ca="1">IF(AG162=0,0,AG156*(1+Сценарии!AG$26))</f>
        <v>0</v>
      </c>
      <c r="AH164" s="1015">
        <f t="shared" ca="1" si="44"/>
        <v>0</v>
      </c>
      <c r="AI164" s="1141">
        <f ca="1">IF(AI162=0,0,AI156*(1+Сценарии!AI$26))</f>
        <v>0</v>
      </c>
      <c r="AJ164" s="1480">
        <f ca="1">IF(AJ162=0,0,AJ156*(1+Сценарии!AJ$26))</f>
        <v>0</v>
      </c>
      <c r="AK164" s="1162">
        <f ca="1">IF(AK162=0,0,AK156*(1+Сценарии!AO$26))</f>
        <v>0</v>
      </c>
      <c r="AL164" s="1162">
        <f ca="1">IF(AL162=0,0,AL156*(1+Сценарии!AP$26))</f>
        <v>0</v>
      </c>
      <c r="AM164" s="1162">
        <f ca="1">IF(AM162=0,0,AM156*(1+Сценарии!AQ$26))</f>
        <v>0</v>
      </c>
      <c r="AN164" s="1162">
        <f ca="1">IF(AN162=0,0,AN156*(1+Сценарии!AR$26))</f>
        <v>0</v>
      </c>
      <c r="AO164" s="1162">
        <f ca="1">IF(AO162=0,0,AO156*(1+Сценарии!AS$26))</f>
        <v>0</v>
      </c>
      <c r="AP164" s="1162">
        <f ca="1">IF(AP162=0,0,AP156*(1+Сценарии!AT$26))</f>
        <v>0</v>
      </c>
      <c r="AQ164" s="1162">
        <f ca="1">IF(AQ162=0,0,AQ156*(1+Сценарии!AU$26))</f>
        <v>0</v>
      </c>
      <c r="AR164" s="1162">
        <f ca="1">IF(AR162=0,0,AR156*(1+Сценарии!AV$26))</f>
        <v>0</v>
      </c>
      <c r="AS164" s="1162">
        <f ca="1">IF(AS162=0,0,AS156*(1+Сценарии!AW$26))</f>
        <v>0</v>
      </c>
      <c r="AT164" s="1473">
        <f ca="1">IF(AT162=0,0,AT156*(1+Сценарии!AK$26))</f>
        <v>0</v>
      </c>
      <c r="AU164" s="1141">
        <f ca="1">IF(AU162=0,0,AU156*(1+Сценарии!AX$26))</f>
        <v>0</v>
      </c>
      <c r="AV164" s="1162">
        <f ca="1">IF(AV162=0,0,AV156*(1+Сценарии!AY$26))</f>
        <v>0</v>
      </c>
      <c r="AW164" s="1162">
        <f ca="1">IF(AW162=0,0,AW156*(1+Сценарии!AZ$26))</f>
        <v>0</v>
      </c>
      <c r="AX164" s="1162">
        <f ca="1">IF(AX162=0,0,AX156*(1+Сценарии!BA$26))</f>
        <v>0</v>
      </c>
      <c r="AY164" s="1162">
        <f ca="1">IF(AY162=0,0,AY156*(1+Сценарии!BB$26))</f>
        <v>0</v>
      </c>
      <c r="AZ164" s="1162">
        <f ca="1">IF(AZ162=0,0,AZ156*(1+Сценарии!BC$26))</f>
        <v>0</v>
      </c>
      <c r="BA164" s="1162">
        <f ca="1">IF(BA162=0,0,BA156*(1+Сценарии!BD$26))</f>
        <v>0</v>
      </c>
      <c r="BB164" s="1162">
        <f ca="1">IF(BB162=0,0,BB156*(1+Сценарии!BE$26))</f>
        <v>0</v>
      </c>
      <c r="BC164" s="1162">
        <f ca="1">IF(BC162=0,0,BC156*(1+Сценарии!BF$26))</f>
        <v>0</v>
      </c>
      <c r="BD164" s="1016"/>
      <c r="BE164" s="1016"/>
      <c r="BF164" s="1016"/>
      <c r="BG164" s="1016"/>
      <c r="BH164" s="1016"/>
      <c r="BI164" s="1016"/>
      <c r="BJ164" s="1016"/>
      <c r="BK164" s="1016"/>
      <c r="BL164" s="1016"/>
      <c r="BM164" s="1016"/>
      <c r="BN164" s="1138"/>
      <c r="BO164" s="1138"/>
      <c r="BP164" s="1138"/>
      <c r="BS164" s="964" t="s">
        <v>1735</v>
      </c>
    </row>
    <row r="165" spans="1:75" ht="14.65" hidden="1" customHeight="1">
      <c r="C165" s="26"/>
      <c r="D165" s="26" cm="1">
        <f t="array" ref="D165">D164</f>
        <v>13</v>
      </c>
      <c r="E165" s="538">
        <v>15</v>
      </c>
      <c r="F165" s="3" cm="1">
        <f t="array" aca="1" ref="F165" ca="1">OFFSET(E165,-1,1)</f>
        <v>0</v>
      </c>
      <c r="G165" s="26" t="s">
        <v>1517</v>
      </c>
      <c r="H165" s="26"/>
      <c r="I165" s="26" t="s">
        <v>2037</v>
      </c>
      <c r="J165" s="26"/>
      <c r="K165" s="26" t="s">
        <v>2037</v>
      </c>
      <c r="L165" s="882" t="s">
        <v>1736</v>
      </c>
      <c r="M165" s="26"/>
      <c r="N165" s="26"/>
      <c r="O165" s="26"/>
      <c r="P165" s="26"/>
      <c r="Q165" s="26"/>
      <c r="R165" s="26"/>
      <c r="S165" s="26"/>
      <c r="T165" s="381" t="b" cm="1">
        <f t="array" aca="1" ref="T165" ca="1">T164</f>
        <v>0</v>
      </c>
      <c r="U165" s="26"/>
      <c r="V165" s="26"/>
      <c r="W165" s="26"/>
      <c r="X165" s="1787"/>
      <c r="Z165" s="1735"/>
      <c r="AB165" s="216" t="str">
        <f>D165&amp;".3"</f>
        <v>13.3</v>
      </c>
      <c r="AC165" s="1012" t="s">
        <v>1706</v>
      </c>
      <c r="AD165" s="216" t="s">
        <v>499</v>
      </c>
      <c r="AE165" s="1014">
        <f ca="1">AE162-AE163</f>
        <v>0</v>
      </c>
      <c r="AF165" s="1014">
        <f ca="1">AF162-AF163</f>
        <v>0</v>
      </c>
      <c r="AG165" s="1014">
        <f ca="1">AG162-AG163</f>
        <v>0</v>
      </c>
      <c r="AH165" s="1014">
        <f t="shared" ca="1" si="44"/>
        <v>0</v>
      </c>
      <c r="AI165" s="1014">
        <f t="shared" ref="AI165:BC165" ca="1" si="47">AI162-AI163</f>
        <v>0</v>
      </c>
      <c r="AJ165" s="1014">
        <f t="shared" ca="1" si="47"/>
        <v>0</v>
      </c>
      <c r="AK165" s="1014">
        <f t="shared" ca="1" si="47"/>
        <v>0</v>
      </c>
      <c r="AL165" s="1014">
        <f t="shared" ca="1" si="47"/>
        <v>0</v>
      </c>
      <c r="AM165" s="1014">
        <f t="shared" ca="1" si="47"/>
        <v>0</v>
      </c>
      <c r="AN165" s="1014">
        <f t="shared" ca="1" si="47"/>
        <v>0</v>
      </c>
      <c r="AO165" s="1014">
        <f t="shared" ca="1" si="47"/>
        <v>0</v>
      </c>
      <c r="AP165" s="1014">
        <f t="shared" ca="1" si="47"/>
        <v>0</v>
      </c>
      <c r="AQ165" s="1014">
        <f t="shared" ca="1" si="47"/>
        <v>0</v>
      </c>
      <c r="AR165" s="1014">
        <f t="shared" ca="1" si="47"/>
        <v>0</v>
      </c>
      <c r="AS165" s="1014">
        <f t="shared" ca="1" si="47"/>
        <v>0</v>
      </c>
      <c r="AT165" s="1014">
        <f t="shared" ca="1" si="47"/>
        <v>0</v>
      </c>
      <c r="AU165" s="1014">
        <f t="shared" ca="1" si="47"/>
        <v>0</v>
      </c>
      <c r="AV165" s="1014">
        <f t="shared" ca="1" si="47"/>
        <v>0</v>
      </c>
      <c r="AW165" s="1014">
        <f t="shared" ca="1" si="47"/>
        <v>0</v>
      </c>
      <c r="AX165" s="1014">
        <f t="shared" ca="1" si="47"/>
        <v>0</v>
      </c>
      <c r="AY165" s="1014">
        <f t="shared" ca="1" si="47"/>
        <v>0</v>
      </c>
      <c r="AZ165" s="1014">
        <f t="shared" ca="1" si="47"/>
        <v>0</v>
      </c>
      <c r="BA165" s="1014">
        <f t="shared" ca="1" si="47"/>
        <v>0</v>
      </c>
      <c r="BB165" s="1014">
        <f t="shared" ca="1" si="47"/>
        <v>0</v>
      </c>
      <c r="BC165" s="1014">
        <f t="shared" ca="1" si="47"/>
        <v>0</v>
      </c>
      <c r="BD165" s="1016"/>
      <c r="BE165" s="1016"/>
      <c r="BF165" s="1016"/>
      <c r="BG165" s="1016"/>
      <c r="BH165" s="1016"/>
      <c r="BI165" s="1016"/>
      <c r="BJ165" s="1016"/>
      <c r="BK165" s="1016"/>
      <c r="BL165" s="1016"/>
      <c r="BM165" s="1016"/>
      <c r="BN165" s="1138"/>
      <c r="BO165" s="1138"/>
      <c r="BP165" s="1138"/>
      <c r="BS165" s="964" t="s">
        <v>1738</v>
      </c>
    </row>
    <row r="166" spans="1:75" ht="14.65" hidden="1" customHeight="1">
      <c r="C166" s="26"/>
      <c r="D166" s="26" cm="1">
        <f t="array" ref="D166">D165</f>
        <v>13</v>
      </c>
      <c r="E166" s="538">
        <v>15</v>
      </c>
      <c r="F166" s="3" cm="1">
        <f t="array" aca="1" ref="F166" ca="1">OFFSET(E166,-1,1)</f>
        <v>0</v>
      </c>
      <c r="G166" s="26" t="s">
        <v>1470</v>
      </c>
      <c r="H166" s="26"/>
      <c r="I166" s="26" t="s">
        <v>2038</v>
      </c>
      <c r="J166" s="26"/>
      <c r="K166" s="26" t="s">
        <v>2038</v>
      </c>
      <c r="L166" s="882" t="s">
        <v>1739</v>
      </c>
      <c r="M166" s="26"/>
      <c r="N166" s="26"/>
      <c r="O166" s="26"/>
      <c r="P166" s="26"/>
      <c r="Q166" s="26"/>
      <c r="R166" s="26"/>
      <c r="S166" s="26"/>
      <c r="T166" s="381" t="b" cm="1">
        <f t="array" aca="1" ref="T166" ca="1">T165</f>
        <v>0</v>
      </c>
      <c r="U166" s="26"/>
      <c r="V166" s="26"/>
      <c r="W166" s="26"/>
      <c r="X166" s="1787"/>
      <c r="Z166" s="1735"/>
      <c r="AB166" s="216" t="str">
        <f>D166&amp;".4"</f>
        <v>13.4</v>
      </c>
      <c r="AC166" s="1012" t="s">
        <v>1710</v>
      </c>
      <c r="AD166" s="216" t="s">
        <v>1454</v>
      </c>
      <c r="AE166" s="1141">
        <f ca="1">IF(AE162=0,0,AE158*(1+Сценарии!AE$26))</f>
        <v>0</v>
      </c>
      <c r="AF166" s="1162">
        <f ca="1">IF(AF162=0,0,AF158*(1+Сценарии!AF$26))</f>
        <v>0</v>
      </c>
      <c r="AG166" s="1162">
        <f ca="1">IF(AG162=0,0,AG158*(1+Сценарии!AG$26))</f>
        <v>0</v>
      </c>
      <c r="AH166" s="1015">
        <f t="shared" ca="1" si="44"/>
        <v>0</v>
      </c>
      <c r="AI166" s="1141">
        <f ca="1">IF(AI162=0,0,AI158*(1+Сценарии!AI$26))</f>
        <v>0</v>
      </c>
      <c r="AJ166" s="1480">
        <f ca="1">IF(AJ162=0,0,AJ158*(1+Сценарии!AJ$26))</f>
        <v>0</v>
      </c>
      <c r="AK166" s="1141">
        <f ca="1">IF(AK162=0,0,AK158*(1+Сценарии!AO$26))</f>
        <v>0</v>
      </c>
      <c r="AL166" s="1162">
        <f ca="1">IF(AL162=0,0,AL158*(1+Сценарии!AP$26))</f>
        <v>0</v>
      </c>
      <c r="AM166" s="1162">
        <f ca="1">IF(AM162=0,0,AM158*(1+Сценарии!AQ$26))</f>
        <v>0</v>
      </c>
      <c r="AN166" s="1162">
        <f ca="1">IF(AN162=0,0,AN158*(1+Сценарии!AR$26))</f>
        <v>0</v>
      </c>
      <c r="AO166" s="1162">
        <f ca="1">IF(AO162=0,0,AO158*(1+Сценарии!AS$26))</f>
        <v>0</v>
      </c>
      <c r="AP166" s="1162">
        <f ca="1">IF(AP162=0,0,AP158*(1+Сценарии!AT$26))</f>
        <v>0</v>
      </c>
      <c r="AQ166" s="1162">
        <f ca="1">IF(AQ162=0,0,AQ158*(1+Сценарии!AU$26))</f>
        <v>0</v>
      </c>
      <c r="AR166" s="1162">
        <f ca="1">IF(AR162=0,0,AR158*(1+Сценарии!AV$26))</f>
        <v>0</v>
      </c>
      <c r="AS166" s="1162">
        <f ca="1">IF(AS162=0,0,AS158*(1+Сценарии!AW$26))</f>
        <v>0</v>
      </c>
      <c r="AT166" s="1473">
        <f ca="1">IF(AT162=0,0,AT158*(1+Сценарии!AK$26))</f>
        <v>0</v>
      </c>
      <c r="AU166" s="1141">
        <f ca="1">IF(AU162=0,0,AU158*(1+Сценарии!AX$26))</f>
        <v>0</v>
      </c>
      <c r="AV166" s="1162">
        <f ca="1">IF(AV162=0,0,AV158*(1+Сценарии!AY$26))</f>
        <v>0</v>
      </c>
      <c r="AW166" s="1162">
        <f ca="1">IF(AW162=0,0,AW158*(1+Сценарии!AZ$26))</f>
        <v>0</v>
      </c>
      <c r="AX166" s="1162">
        <f ca="1">IF(AX162=0,0,AX158*(1+Сценарии!BA$26))</f>
        <v>0</v>
      </c>
      <c r="AY166" s="1162">
        <f ca="1">IF(AY162=0,0,AY158*(1+Сценарии!BB$26))</f>
        <v>0</v>
      </c>
      <c r="AZ166" s="1162">
        <f ca="1">IF(AZ162=0,0,AZ158*(1+Сценарии!BC$26))</f>
        <v>0</v>
      </c>
      <c r="BA166" s="1162">
        <f ca="1">IF(BA162=0,0,BA158*(1+Сценарии!BD$26))</f>
        <v>0</v>
      </c>
      <c r="BB166" s="1162">
        <f ca="1">IF(BB162=0,0,BB158*(1+Сценарии!BE$26))</f>
        <v>0</v>
      </c>
      <c r="BC166" s="1162">
        <f ca="1">IF(BC162=0,0,BC158*(1+Сценарии!BF$26))</f>
        <v>0</v>
      </c>
      <c r="BD166" s="1016"/>
      <c r="BE166" s="1016"/>
      <c r="BF166" s="1016"/>
      <c r="BG166" s="1016"/>
      <c r="BH166" s="1016"/>
      <c r="BI166" s="1016"/>
      <c r="BJ166" s="1016"/>
      <c r="BK166" s="1016"/>
      <c r="BL166" s="1016"/>
      <c r="BM166" s="1016"/>
      <c r="BN166" s="1138"/>
      <c r="BO166" s="1138"/>
      <c r="BP166" s="1138"/>
      <c r="BS166" s="964" t="s">
        <v>1742</v>
      </c>
    </row>
    <row r="167" spans="1:75" ht="14.65" hidden="1" customHeight="1">
      <c r="C167" s="26"/>
      <c r="D167" s="26">
        <f>D166+1</f>
        <v>14</v>
      </c>
      <c r="E167" s="538">
        <v>15</v>
      </c>
      <c r="F167" s="3" cm="1">
        <f t="array" aca="1" ref="F167" ca="1">OFFSET(E167,-1,1)</f>
        <v>0</v>
      </c>
      <c r="G167" s="26"/>
      <c r="H167" s="26"/>
      <c r="I167" s="26"/>
      <c r="J167" s="26"/>
      <c r="K167" s="26"/>
      <c r="L167" s="882"/>
      <c r="M167" s="26"/>
      <c r="N167" s="26"/>
      <c r="O167" s="26"/>
      <c r="P167" s="26"/>
      <c r="Q167" s="26"/>
      <c r="R167" s="26"/>
      <c r="S167" s="26"/>
      <c r="T167" s="381" t="b" cm="1">
        <f t="array" aca="1" ref="T167" ca="1">T166</f>
        <v>0</v>
      </c>
      <c r="U167" s="26"/>
      <c r="V167" s="26"/>
      <c r="W167" s="26"/>
      <c r="X167" s="1787"/>
      <c r="Z167" s="1735"/>
      <c r="AB167" s="129" cm="1">
        <f t="array" ref="AB167">D167</f>
        <v>14</v>
      </c>
      <c r="AC167" s="130" t="s">
        <v>1744</v>
      </c>
      <c r="AD167" s="129" t="s">
        <v>766</v>
      </c>
      <c r="AE167" s="1141"/>
      <c r="AF167" s="1141"/>
      <c r="AG167" s="1141"/>
      <c r="AH167" s="1015">
        <f t="shared" si="44"/>
        <v>0</v>
      </c>
      <c r="AI167" s="1141"/>
      <c r="AJ167" s="1473"/>
      <c r="AK167" s="1141"/>
      <c r="AL167" s="1141"/>
      <c r="AM167" s="1141"/>
      <c r="AN167" s="1141"/>
      <c r="AO167" s="1141"/>
      <c r="AP167" s="1141"/>
      <c r="AQ167" s="1141"/>
      <c r="AR167" s="1141"/>
      <c r="AS167" s="1141"/>
      <c r="AT167" s="1473"/>
      <c r="AU167" s="1141"/>
      <c r="AV167" s="1141"/>
      <c r="AW167" s="1141"/>
      <c r="AX167" s="1141"/>
      <c r="AY167" s="1141"/>
      <c r="AZ167" s="1141"/>
      <c r="BA167" s="1141"/>
      <c r="BB167" s="1141"/>
      <c r="BC167" s="1141"/>
      <c r="BD167" s="1016"/>
      <c r="BE167" s="1016"/>
      <c r="BF167" s="1016"/>
      <c r="BG167" s="1016"/>
      <c r="BH167" s="1016"/>
      <c r="BI167" s="1016"/>
      <c r="BJ167" s="1016"/>
      <c r="BK167" s="1016"/>
      <c r="BL167" s="1016"/>
      <c r="BM167" s="1016"/>
      <c r="BN167" s="1138"/>
      <c r="BO167" s="1138"/>
      <c r="BP167" s="1138"/>
      <c r="BS167" s="964" t="s">
        <v>1745</v>
      </c>
    </row>
    <row r="168" spans="1:75" s="1133" customFormat="1" ht="20.45" hidden="1" customHeight="1">
      <c r="B168" s="667"/>
      <c r="C168" s="26"/>
      <c r="D168" s="26" cm="1">
        <f t="array" ref="D168">D167</f>
        <v>14</v>
      </c>
      <c r="E168" s="538">
        <v>21</v>
      </c>
      <c r="F168" s="3" cm="1">
        <f t="array" aca="1" ref="F168" ca="1">OFFSET(E168,-1,1)</f>
        <v>0</v>
      </c>
      <c r="G168" s="26"/>
      <c r="H168" s="26"/>
      <c r="I168" s="26"/>
      <c r="J168" s="26"/>
      <c r="K168" s="26"/>
      <c r="L168" s="882"/>
      <c r="M168" s="26"/>
      <c r="N168" s="26"/>
      <c r="O168" s="26"/>
      <c r="P168" s="26"/>
      <c r="Q168" s="26"/>
      <c r="R168" s="26"/>
      <c r="S168" s="26"/>
      <c r="T168" s="381" t="b" cm="1">
        <f t="array" aca="1" ref="T168" ca="1">T167</f>
        <v>0</v>
      </c>
      <c r="U168" s="26"/>
      <c r="V168" s="26"/>
      <c r="W168" s="26"/>
      <c r="X168" s="1787"/>
      <c r="Z168" s="1735"/>
      <c r="AB168" s="216" t="str">
        <f>D168&amp;".1"</f>
        <v>14.1</v>
      </c>
      <c r="AC168" s="676" t="s">
        <v>1747</v>
      </c>
      <c r="AD168" s="216" t="s">
        <v>766</v>
      </c>
      <c r="AE168" s="1141"/>
      <c r="AF168" s="1141"/>
      <c r="AG168" s="1141"/>
      <c r="AH168" s="1015">
        <f t="shared" si="44"/>
        <v>0</v>
      </c>
      <c r="AI168" s="1141"/>
      <c r="AJ168" s="1473"/>
      <c r="AK168" s="1141"/>
      <c r="AL168" s="1141"/>
      <c r="AM168" s="1141"/>
      <c r="AN168" s="1141"/>
      <c r="AO168" s="1141"/>
      <c r="AP168" s="1141"/>
      <c r="AQ168" s="1141"/>
      <c r="AR168" s="1141"/>
      <c r="AS168" s="1141"/>
      <c r="AT168" s="1473"/>
      <c r="AU168" s="1141"/>
      <c r="AV168" s="1141"/>
      <c r="AW168" s="1141"/>
      <c r="AX168" s="1141"/>
      <c r="AY168" s="1141"/>
      <c r="AZ168" s="1141"/>
      <c r="BA168" s="1141"/>
      <c r="BB168" s="1141"/>
      <c r="BC168" s="1141"/>
      <c r="BD168" s="1016"/>
      <c r="BE168" s="1016"/>
      <c r="BF168" s="1016"/>
      <c r="BG168" s="1016"/>
      <c r="BH168" s="1016"/>
      <c r="BI168" s="1016"/>
      <c r="BJ168" s="1016"/>
      <c r="BK168" s="1016"/>
      <c r="BL168" s="1016"/>
      <c r="BM168" s="1016"/>
      <c r="BN168" s="1138"/>
      <c r="BO168" s="1138"/>
      <c r="BP168" s="1138"/>
      <c r="BS168" s="964" t="s">
        <v>1748</v>
      </c>
      <c r="BT168" s="973"/>
      <c r="BU168" s="973"/>
      <c r="BV168" s="974"/>
      <c r="BW168" s="974"/>
    </row>
    <row r="169" spans="1:75" s="1133" customFormat="1" ht="64.900000000000006" hidden="1" customHeight="1">
      <c r="B169" s="667"/>
      <c r="C169" s="26"/>
      <c r="D169" s="26" cm="1">
        <f t="array" ref="D169">D168</f>
        <v>14</v>
      </c>
      <c r="E169" s="538">
        <v>66.599999999999994</v>
      </c>
      <c r="F169" s="3" cm="1">
        <f t="array" aca="1" ref="F169" ca="1">OFFSET(E169,-1,1)</f>
        <v>0</v>
      </c>
      <c r="G169" s="26"/>
      <c r="H169" s="26"/>
      <c r="I169" s="26"/>
      <c r="J169" s="26"/>
      <c r="K169" s="26"/>
      <c r="L169" s="882"/>
      <c r="M169" s="26"/>
      <c r="N169" s="26"/>
      <c r="O169" s="26"/>
      <c r="P169" s="26"/>
      <c r="Q169" s="26"/>
      <c r="R169" s="26"/>
      <c r="S169" s="26"/>
      <c r="T169" s="381" t="b" cm="1">
        <f t="array" aca="1" ref="T169" ca="1">T168</f>
        <v>0</v>
      </c>
      <c r="U169" s="26"/>
      <c r="V169" s="26"/>
      <c r="W169" s="26"/>
      <c r="X169" s="1787"/>
      <c r="Z169" s="1735"/>
      <c r="AB169" s="216" t="str">
        <f>D169&amp;".2"</f>
        <v>14.2</v>
      </c>
      <c r="AC169" s="676" t="s">
        <v>1750</v>
      </c>
      <c r="AD169" s="216" t="s">
        <v>766</v>
      </c>
      <c r="AE169" s="1141"/>
      <c r="AF169" s="1141"/>
      <c r="AG169" s="1141"/>
      <c r="AH169" s="1015">
        <f t="shared" si="44"/>
        <v>0</v>
      </c>
      <c r="AI169" s="1141"/>
      <c r="AJ169" s="1473"/>
      <c r="AK169" s="1141"/>
      <c r="AL169" s="1141"/>
      <c r="AM169" s="1141"/>
      <c r="AN169" s="1141"/>
      <c r="AO169" s="1141"/>
      <c r="AP169" s="1141"/>
      <c r="AQ169" s="1141"/>
      <c r="AR169" s="1141"/>
      <c r="AS169" s="1141"/>
      <c r="AT169" s="1473"/>
      <c r="AU169" s="1141"/>
      <c r="AV169" s="1141"/>
      <c r="AW169" s="1141"/>
      <c r="AX169" s="1141"/>
      <c r="AY169" s="1141"/>
      <c r="AZ169" s="1141"/>
      <c r="BA169" s="1141"/>
      <c r="BB169" s="1141"/>
      <c r="BC169" s="1141"/>
      <c r="BD169" s="1016"/>
      <c r="BE169" s="1016"/>
      <c r="BF169" s="1016"/>
      <c r="BG169" s="1016"/>
      <c r="BH169" s="1016"/>
      <c r="BI169" s="1016"/>
      <c r="BJ169" s="1016"/>
      <c r="BK169" s="1016"/>
      <c r="BL169" s="1016"/>
      <c r="BM169" s="1016"/>
      <c r="BN169" s="1138"/>
      <c r="BO169" s="1138"/>
      <c r="BP169" s="1138"/>
      <c r="BS169" s="964" t="s">
        <v>1751</v>
      </c>
      <c r="BT169" s="973"/>
      <c r="BU169" s="973"/>
      <c r="BV169" s="974"/>
      <c r="BW169" s="974"/>
    </row>
    <row r="170" spans="1:75" s="1133" customFormat="1" ht="44.45" hidden="1" customHeight="1">
      <c r="B170" s="667"/>
      <c r="C170" s="26"/>
      <c r="D170" s="26" cm="1">
        <f t="array" ref="D170">D169</f>
        <v>14</v>
      </c>
      <c r="E170" s="538">
        <v>45.6</v>
      </c>
      <c r="F170" s="3" cm="1">
        <f t="array" aca="1" ref="F170" ca="1">OFFSET(E170,-1,1)</f>
        <v>0</v>
      </c>
      <c r="G170" s="26"/>
      <c r="H170" s="26"/>
      <c r="I170" s="26"/>
      <c r="J170" s="26"/>
      <c r="K170" s="26"/>
      <c r="L170" s="882"/>
      <c r="M170" s="26"/>
      <c r="N170" s="26"/>
      <c r="O170" s="26"/>
      <c r="P170" s="26"/>
      <c r="Q170" s="26"/>
      <c r="R170" s="26"/>
      <c r="S170" s="26"/>
      <c r="T170" s="381" t="b" cm="1">
        <f t="array" aca="1" ref="T170" ca="1">T169</f>
        <v>0</v>
      </c>
      <c r="U170" s="26"/>
      <c r="V170" s="26"/>
      <c r="W170" s="26"/>
      <c r="X170" s="1787"/>
      <c r="Z170" s="1735"/>
      <c r="AB170" s="216" t="str">
        <f>D170&amp;".3"</f>
        <v>14.3</v>
      </c>
      <c r="AC170" s="676" t="s">
        <v>2039</v>
      </c>
      <c r="AD170" s="216" t="s">
        <v>766</v>
      </c>
      <c r="AE170" s="1016"/>
      <c r="AF170" s="1141"/>
      <c r="AG170" s="1141"/>
      <c r="AH170" s="1015">
        <f t="shared" si="44"/>
        <v>0</v>
      </c>
      <c r="AI170" s="1016"/>
      <c r="AJ170" s="1016"/>
      <c r="AK170" s="1016"/>
      <c r="AL170" s="1016"/>
      <c r="AM170" s="1016"/>
      <c r="AN170" s="1016"/>
      <c r="AO170" s="1016"/>
      <c r="AP170" s="1016"/>
      <c r="AQ170" s="1016"/>
      <c r="AR170" s="1016"/>
      <c r="AS170" s="1016"/>
      <c r="AT170" s="1016"/>
      <c r="AU170" s="1016"/>
      <c r="AV170" s="1016"/>
      <c r="AW170" s="1016"/>
      <c r="AX170" s="1016"/>
      <c r="AY170" s="1016"/>
      <c r="AZ170" s="1016"/>
      <c r="BA170" s="1016"/>
      <c r="BB170" s="1016"/>
      <c r="BC170" s="1016"/>
      <c r="BD170" s="1016"/>
      <c r="BE170" s="1016"/>
      <c r="BF170" s="1016"/>
      <c r="BG170" s="1016"/>
      <c r="BH170" s="1016"/>
      <c r="BI170" s="1016"/>
      <c r="BJ170" s="1016"/>
      <c r="BK170" s="1016"/>
      <c r="BL170" s="1016"/>
      <c r="BM170" s="1016"/>
      <c r="BN170" s="1138"/>
      <c r="BO170" s="1138"/>
      <c r="BP170" s="1138"/>
      <c r="BS170" s="973" t="s">
        <v>2040</v>
      </c>
      <c r="BT170" s="973"/>
      <c r="BU170" s="973"/>
      <c r="BV170" s="974"/>
      <c r="BW170" s="974"/>
    </row>
    <row r="171" spans="1:75" s="454" customFormat="1" ht="14.25" customHeight="1">
      <c r="A171" s="1210"/>
      <c r="B171" s="345"/>
      <c r="C171" s="343"/>
      <c r="D171" s="343"/>
      <c r="E171" s="536">
        <v>15</v>
      </c>
      <c r="F171" s="409" t="str" cm="1">
        <f t="array" ref="F171">X171</f>
        <v>1</v>
      </c>
      <c r="G171" s="409" t="str" cm="1">
        <f t="array" ref="G171">INDEX('Общие сведения'!$AK$179:$AK$208,MATCH($X171,'Общие сведения'!$Z$179:$Z$208,0))</f>
        <v>одноставочный</v>
      </c>
      <c r="H171" s="343"/>
      <c r="I171" s="409"/>
      <c r="J171" s="343"/>
      <c r="K171" s="343"/>
      <c r="L171" s="884"/>
      <c r="M171" s="343"/>
      <c r="N171" s="343"/>
      <c r="O171" s="343"/>
      <c r="P171" s="343"/>
      <c r="Q171" s="343"/>
      <c r="R171" s="343"/>
      <c r="S171" s="343" t="str" cm="1">
        <f t="array" ref="S171">INDEX('Общие сведения'!$AE$179:$AE$208,MATCH($X171,'Общие сведения'!$Z$179:$Z$208,0))</f>
        <v>Водоснабжение</v>
      </c>
      <c r="T171" s="381" t="b">
        <f>X171&gt;0</f>
        <v>1</v>
      </c>
      <c r="U171" s="343"/>
      <c r="V171" s="343" t="str" cm="1">
        <f t="array" ref="V171">'Калькуляция (МЭОР)'!$AB$112</f>
        <v>Тариф 1 (Водоснабжение) - тариф на питьевую воду</v>
      </c>
      <c r="W171" s="343"/>
      <c r="X171" s="1787" t="s">
        <v>281</v>
      </c>
      <c r="Y171" s="1210"/>
      <c r="Z171" s="1735"/>
      <c r="AA171" s="1210"/>
      <c r="AB171" s="293" t="str" cm="1">
        <f t="array" ref="AB171">'Калькуляция (МЭОР)'!$AB$112</f>
        <v>Тариф 1 (Водоснабжение) - тариф на питьевую воду</v>
      </c>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69"/>
      <c r="BF171" s="169"/>
      <c r="BG171" s="169"/>
      <c r="BH171" s="169"/>
      <c r="BI171" s="169"/>
      <c r="BJ171" s="169"/>
      <c r="BK171" s="169"/>
      <c r="BL171" s="169"/>
      <c r="BM171" s="169"/>
      <c r="BN171" s="169"/>
      <c r="BO171" s="169"/>
      <c r="BP171" s="169"/>
      <c r="BQ171" s="1210"/>
      <c r="BR171" s="1210"/>
      <c r="BS171" s="899"/>
      <c r="BT171" s="899"/>
      <c r="BU171" s="899"/>
      <c r="BV171" s="535"/>
      <c r="BW171" s="535"/>
    </row>
    <row r="172" spans="1:75" s="1481" customFormat="1" ht="20.25" customHeight="1">
      <c r="A172" s="80"/>
      <c r="B172" s="351"/>
      <c r="C172" s="769"/>
      <c r="D172" s="769"/>
      <c r="E172" s="770">
        <v>21</v>
      </c>
      <c r="F172" s="3" t="str" cm="1">
        <f t="array" aca="1" ref="F172" ca="1">OFFSET(E172,-1,1)</f>
        <v>1</v>
      </c>
      <c r="G172" s="769"/>
      <c r="H172" s="31"/>
      <c r="I172" s="31" t="s">
        <v>323</v>
      </c>
      <c r="J172" s="769"/>
      <c r="K172" s="289" t="s">
        <v>323</v>
      </c>
      <c r="L172" s="885"/>
      <c r="M172" s="769"/>
      <c r="N172" s="769"/>
      <c r="O172" s="769"/>
      <c r="P172" s="769"/>
      <c r="Q172" s="769"/>
      <c r="R172" s="769"/>
      <c r="S172" s="769"/>
      <c r="T172" s="381" t="b" cm="1">
        <f t="array" ref="T172">T171</f>
        <v>1</v>
      </c>
      <c r="U172" s="769"/>
      <c r="V172" s="769"/>
      <c r="W172" s="769"/>
      <c r="X172" s="1787"/>
      <c r="Y172" s="80"/>
      <c r="Z172" s="1735"/>
      <c r="AA172" s="80"/>
      <c r="AB172" s="152" t="s">
        <v>281</v>
      </c>
      <c r="AC172" s="130" t="s">
        <v>1764</v>
      </c>
      <c r="AD172" s="152" t="s">
        <v>766</v>
      </c>
      <c r="AE172" s="692">
        <f ca="1">SUM(AE174,AE191,AE197,AE217,AE218,AE219)</f>
        <v>0</v>
      </c>
      <c r="AF172" s="692">
        <f ca="1">SUM(AF174,AF191,AF197,AF217,AF218,AF219)</f>
        <v>0</v>
      </c>
      <c r="AG172" s="692">
        <f ca="1">SUM(AG174,AG191,AG197,AG217,AG218,AG219)</f>
        <v>0</v>
      </c>
      <c r="AH172" s="692">
        <f t="shared" ref="AH172:AH203" ca="1" si="48">AG172-AF172</f>
        <v>0</v>
      </c>
      <c r="AI172" s="692">
        <f ca="1">SUM(AI174,AI191,AI197,AI217,AI218,AI219)</f>
        <v>0</v>
      </c>
      <c r="AJ172" s="692">
        <f ca="1">SUM(AJ174,AJ191,AJ197,AJ217,AJ218,AJ219)</f>
        <v>0</v>
      </c>
      <c r="AK172" s="1477">
        <f t="shared" ref="AK172:AS172" ca="1" si="49">AJ172*AK173</f>
        <v>0</v>
      </c>
      <c r="AL172" s="1477">
        <f t="shared" ca="1" si="49"/>
        <v>0</v>
      </c>
      <c r="AM172" s="1477">
        <f t="shared" ca="1" si="49"/>
        <v>0</v>
      </c>
      <c r="AN172" s="1477">
        <f t="shared" ca="1" si="49"/>
        <v>0</v>
      </c>
      <c r="AO172" s="1477">
        <f t="shared" ca="1" si="49"/>
        <v>0</v>
      </c>
      <c r="AP172" s="1477">
        <f t="shared" ca="1" si="49"/>
        <v>0</v>
      </c>
      <c r="AQ172" s="1477">
        <f t="shared" ca="1" si="49"/>
        <v>0</v>
      </c>
      <c r="AR172" s="1477">
        <f t="shared" ca="1" si="49"/>
        <v>0</v>
      </c>
      <c r="AS172" s="1477">
        <f t="shared" ca="1" si="49"/>
        <v>0</v>
      </c>
      <c r="AT172" s="692">
        <f ca="1">SUM(AT174,AT191,AT197,AT217,AT218,AT219)</f>
        <v>0</v>
      </c>
      <c r="AU172" s="1477">
        <f t="shared" ref="AU172:BC172" ca="1" si="50">AT172*AU173</f>
        <v>0</v>
      </c>
      <c r="AV172" s="1477">
        <f t="shared" ca="1" si="50"/>
        <v>0</v>
      </c>
      <c r="AW172" s="1477">
        <f t="shared" ca="1" si="50"/>
        <v>0</v>
      </c>
      <c r="AX172" s="1477">
        <f t="shared" ca="1" si="50"/>
        <v>0</v>
      </c>
      <c r="AY172" s="1477">
        <f t="shared" ca="1" si="50"/>
        <v>0</v>
      </c>
      <c r="AZ172" s="1477">
        <f t="shared" ca="1" si="50"/>
        <v>0</v>
      </c>
      <c r="BA172" s="1477">
        <f t="shared" ca="1" si="50"/>
        <v>0</v>
      </c>
      <c r="BB172" s="1477">
        <f t="shared" ca="1" si="50"/>
        <v>0</v>
      </c>
      <c r="BC172" s="1477">
        <f t="shared" ca="1" si="50"/>
        <v>0</v>
      </c>
      <c r="BD172" s="692">
        <f t="shared" ref="BD172:BD203" ca="1" si="51">IF(AI172=0,0,(AT172-AI172)/AI172*100)</f>
        <v>0</v>
      </c>
      <c r="BE172" s="692">
        <f t="shared" ref="BE172:BM172" ca="1" si="52">IF(AT172=0,0,(AU172-AT172)/AT172*100)</f>
        <v>0</v>
      </c>
      <c r="BF172" s="692">
        <f t="shared" ca="1" si="52"/>
        <v>0</v>
      </c>
      <c r="BG172" s="692">
        <f t="shared" ca="1" si="52"/>
        <v>0</v>
      </c>
      <c r="BH172" s="692">
        <f t="shared" ca="1" si="52"/>
        <v>0</v>
      </c>
      <c r="BI172" s="692">
        <f t="shared" ca="1" si="52"/>
        <v>0</v>
      </c>
      <c r="BJ172" s="692">
        <f t="shared" ca="1" si="52"/>
        <v>0</v>
      </c>
      <c r="BK172" s="692">
        <f t="shared" ca="1" si="52"/>
        <v>0</v>
      </c>
      <c r="BL172" s="692">
        <f t="shared" ca="1" si="52"/>
        <v>0</v>
      </c>
      <c r="BM172" s="692">
        <f t="shared" ca="1" si="52"/>
        <v>0</v>
      </c>
      <c r="BN172" s="1482"/>
      <c r="BO172" s="1482"/>
      <c r="BP172" s="1482"/>
      <c r="BQ172" s="79"/>
      <c r="BR172" s="80"/>
      <c r="BS172" s="970" t="s">
        <v>491</v>
      </c>
      <c r="BT172" s="970"/>
      <c r="BU172" s="970"/>
      <c r="BV172" s="622"/>
      <c r="BW172" s="622"/>
    </row>
    <row r="173" spans="1:75" s="1327" customFormat="1" ht="14.25" customHeight="1">
      <c r="A173" s="1177"/>
      <c r="B173" s="880"/>
      <c r="C173" s="26"/>
      <c r="D173" s="26"/>
      <c r="E173" s="538">
        <v>15</v>
      </c>
      <c r="F173" s="3" t="str" cm="1">
        <f t="array" aca="1" ref="F173" ca="1">OFFSET(E173,-1,1)</f>
        <v>1</v>
      </c>
      <c r="G173" s="26"/>
      <c r="H173" s="771"/>
      <c r="I173" s="771" t="s">
        <v>427</v>
      </c>
      <c r="J173" s="26"/>
      <c r="K173" s="290" t="s">
        <v>427</v>
      </c>
      <c r="L173" s="882"/>
      <c r="M173" s="26"/>
      <c r="N173" s="26"/>
      <c r="O173" s="26"/>
      <c r="P173" s="26"/>
      <c r="Q173" s="26"/>
      <c r="R173" s="26"/>
      <c r="S173" s="26"/>
      <c r="T173" s="381" t="b" cm="1">
        <f t="array" ref="T173">T172</f>
        <v>1</v>
      </c>
      <c r="U173" s="26"/>
      <c r="V173" s="26"/>
      <c r="W173" s="26"/>
      <c r="X173" s="1787"/>
      <c r="Y173" s="1177"/>
      <c r="Z173" s="1735"/>
      <c r="AA173" s="1177"/>
      <c r="AB173" s="216" t="s">
        <v>821</v>
      </c>
      <c r="AC173" s="676" t="s">
        <v>1765</v>
      </c>
      <c r="AD173" s="216"/>
      <c r="AE173" s="1472"/>
      <c r="AF173" s="1472"/>
      <c r="AG173" s="1472"/>
      <c r="AH173" s="1014">
        <f t="shared" si="48"/>
        <v>0</v>
      </c>
      <c r="AI173" s="1472"/>
      <c r="AJ173" s="1472"/>
      <c r="AK173" s="1472">
        <f ca="1">SUMIFS(INDEX(Сценарии!$AE$25:$BF$82,,MATCH(AK$8,Сценарии!$AE$8:$BF$8,0)),Сценарии!$F$25:$F$82,$F173,Сценарии!$G$25:$G$82,"ИОР")</f>
        <v>1</v>
      </c>
      <c r="AL173" s="1472">
        <f ca="1">SUMIFS(INDEX(Сценарии!$AE$25:$BF$82,,MATCH(AL$8,Сценарии!$AE$8:$BF$8,0)),Сценарии!$F$25:$F$82,$F173,Сценарии!$G$25:$G$82,"ИОР")</f>
        <v>1</v>
      </c>
      <c r="AM173" s="1472">
        <f ca="1">SUMIFS(INDEX(Сценарии!$AE$25:$BF$82,,MATCH(AM$8,Сценарии!$AE$8:$BF$8,0)),Сценарии!$F$25:$F$82,$F173,Сценарии!$G$25:$G$82,"ИОР")</f>
        <v>1</v>
      </c>
      <c r="AN173" s="1472">
        <f ca="1">SUMIFS(INDEX(Сценарии!$AE$25:$BF$82,,MATCH(AN$8,Сценарии!$AE$8:$BF$8,0)),Сценарии!$F$25:$F$82,$F173,Сценарии!$G$25:$G$82,"ИОР")</f>
        <v>1</v>
      </c>
      <c r="AO173" s="1472">
        <f ca="1">SUMIFS(INDEX(Сценарии!$AE$25:$BF$82,,MATCH(AO$8,Сценарии!$AE$8:$BF$8,0)),Сценарии!$F$25:$F$82,$F173,Сценарии!$G$25:$G$82,"ИОР")</f>
        <v>1</v>
      </c>
      <c r="AP173" s="1472">
        <f ca="1">SUMIFS(INDEX(Сценарии!$AE$25:$BF$82,,MATCH(AP$8,Сценарии!$AE$8:$BF$8,0)),Сценарии!$F$25:$F$82,$F173,Сценарии!$G$25:$G$82,"ИОР")</f>
        <v>1</v>
      </c>
      <c r="AQ173" s="1472">
        <f ca="1">SUMIFS(INDEX(Сценарии!$AE$25:$BF$82,,MATCH(AQ$8,Сценарии!$AE$8:$BF$8,0)),Сценарии!$F$25:$F$82,$F173,Сценарии!$G$25:$G$82,"ИОР")</f>
        <v>1</v>
      </c>
      <c r="AR173" s="1472">
        <f ca="1">SUMIFS(INDEX(Сценарии!$AE$25:$BF$82,,MATCH(AR$8,Сценарии!$AE$8:$BF$8,0)),Сценарии!$F$25:$F$82,$F173,Сценарии!$G$25:$G$82,"ИОР")</f>
        <v>1</v>
      </c>
      <c r="AS173" s="1472">
        <f ca="1">SUMIFS(INDEX(Сценарии!$AE$25:$BF$82,,MATCH(AS$8,Сценарии!$AE$8:$BF$8,0)),Сценарии!$F$25:$F$82,$F173,Сценарии!$G$25:$G$82,"ИОР")</f>
        <v>1</v>
      </c>
      <c r="AT173" s="1472"/>
      <c r="AU173" s="1472">
        <f ca="1">SUMIFS(INDEX(Сценарии!$AE$25:$BF$82,,MATCH(AU$8,Сценарии!$AE$8:$BF$8,0)),Сценарии!$F$25:$F$82,$F173,Сценарии!$G$25:$G$82,"ИОР")</f>
        <v>1</v>
      </c>
      <c r="AV173" s="1472">
        <f ca="1">SUMIFS(INDEX(Сценарии!$AE$25:$BF$82,,MATCH(AV$8,Сценарии!$AE$8:$BF$8,0)),Сценарии!$F$25:$F$82,$F173,Сценарии!$G$25:$G$82,"ИОР")</f>
        <v>1</v>
      </c>
      <c r="AW173" s="1472">
        <f ca="1">SUMIFS(INDEX(Сценарии!$AE$25:$BF$82,,MATCH(AW$8,Сценарии!$AE$8:$BF$8,0)),Сценарии!$F$25:$F$82,$F173,Сценарии!$G$25:$G$82,"ИОР")</f>
        <v>1</v>
      </c>
      <c r="AX173" s="1472">
        <f ca="1">SUMIFS(INDEX(Сценарии!$AE$25:$BF$82,,MATCH(AX$8,Сценарии!$AE$8:$BF$8,0)),Сценарии!$F$25:$F$82,$F173,Сценарии!$G$25:$G$82,"ИОР")</f>
        <v>1</v>
      </c>
      <c r="AY173" s="1472">
        <f ca="1">SUMIFS(INDEX(Сценарии!$AE$25:$BF$82,,MATCH(AY$8,Сценарии!$AE$8:$BF$8,0)),Сценарии!$F$25:$F$82,$F173,Сценарии!$G$25:$G$82,"ИОР")</f>
        <v>1</v>
      </c>
      <c r="AZ173" s="1472">
        <f ca="1">SUMIFS(INDEX(Сценарии!$AE$25:$BF$82,,MATCH(AZ$8,Сценарии!$AE$8:$BF$8,0)),Сценарии!$F$25:$F$82,$F173,Сценарии!$G$25:$G$82,"ИОР")</f>
        <v>1</v>
      </c>
      <c r="BA173" s="1472">
        <f ca="1">SUMIFS(INDEX(Сценарии!$AE$25:$BF$82,,MATCH(BA$8,Сценарии!$AE$8:$BF$8,0)),Сценарии!$F$25:$F$82,$F173,Сценарии!$G$25:$G$82,"ИОР")</f>
        <v>1</v>
      </c>
      <c r="BB173" s="1472">
        <f ca="1">SUMIFS(INDEX(Сценарии!$AE$25:$BF$82,,MATCH(BB$8,Сценарии!$AE$8:$BF$8,0)),Сценарии!$F$25:$F$82,$F173,Сценарии!$G$25:$G$82,"ИОР")</f>
        <v>1</v>
      </c>
      <c r="BC173" s="1472">
        <f ca="1">SUMIFS(INDEX(Сценарии!$AE$25:$BF$82,,MATCH(BC$8,Сценарии!$AE$8:$BF$8,0)),Сценарии!$F$25:$F$82,$F173,Сценарии!$G$25:$G$82,"ИОР")</f>
        <v>1</v>
      </c>
      <c r="BD173" s="1015">
        <f t="shared" si="51"/>
        <v>0</v>
      </c>
      <c r="BE173" s="1016"/>
      <c r="BF173" s="1016"/>
      <c r="BG173" s="1016"/>
      <c r="BH173" s="1016"/>
      <c r="BI173" s="1016"/>
      <c r="BJ173" s="1016"/>
      <c r="BK173" s="1016"/>
      <c r="BL173" s="1016"/>
      <c r="BM173" s="1016"/>
      <c r="BN173" s="1482"/>
      <c r="BO173" s="1482"/>
      <c r="BP173" s="1482"/>
      <c r="BQ173" s="1177"/>
      <c r="BR173" s="1177"/>
      <c r="BS173" s="966" t="s">
        <v>1766</v>
      </c>
      <c r="BT173" s="966"/>
      <c r="BU173" s="966"/>
      <c r="BV173" s="881"/>
      <c r="BW173" s="881"/>
    </row>
    <row r="174" spans="1:75" s="351" customFormat="1" ht="20.25" customHeight="1">
      <c r="A174" s="79"/>
      <c r="C174" s="772"/>
      <c r="D174" s="772"/>
      <c r="E174" s="773">
        <v>21</v>
      </c>
      <c r="F174" s="3" t="str" cm="1">
        <f t="array" aca="1" ref="F174" ca="1">OFFSET(E174,-1,1)</f>
        <v>1</v>
      </c>
      <c r="G174" s="772"/>
      <c r="H174" s="31"/>
      <c r="I174" s="31" t="s">
        <v>431</v>
      </c>
      <c r="J174" s="772"/>
      <c r="K174" s="289" t="s">
        <v>431</v>
      </c>
      <c r="L174" s="886" t="s">
        <v>323</v>
      </c>
      <c r="M174" s="772"/>
      <c r="N174" s="772"/>
      <c r="O174" s="772"/>
      <c r="P174" s="772"/>
      <c r="Q174" s="772"/>
      <c r="R174" s="772"/>
      <c r="S174" s="772"/>
      <c r="T174" s="381" t="b" cm="1">
        <f t="array" ref="T174">T173</f>
        <v>1</v>
      </c>
      <c r="U174" s="772"/>
      <c r="V174" s="772"/>
      <c r="W174" s="772"/>
      <c r="X174" s="1787"/>
      <c r="Y174" s="79"/>
      <c r="Z174" s="1735"/>
      <c r="AA174" s="79"/>
      <c r="AB174" s="152" t="s">
        <v>824</v>
      </c>
      <c r="AC174" s="273" t="s">
        <v>1546</v>
      </c>
      <c r="AD174" s="152" t="s">
        <v>766</v>
      </c>
      <c r="AE174" s="692">
        <f ca="1">SUM(AE175,AE178,AE179,AE182,AE183)</f>
        <v>0</v>
      </c>
      <c r="AF174" s="692">
        <f ca="1">SUM(AF175,AF178,AF179,AF182,AF183)</f>
        <v>0</v>
      </c>
      <c r="AG174" s="692">
        <f ca="1">SUM(AG175,AG178,AG179,AG182,AG183)</f>
        <v>0</v>
      </c>
      <c r="AH174" s="692">
        <f t="shared" ca="1" si="48"/>
        <v>0</v>
      </c>
      <c r="AI174" s="692">
        <f ca="1">SUM(AI175,AI178,AI179,AI182,AI183)</f>
        <v>0</v>
      </c>
      <c r="AJ174" s="692">
        <f ca="1">SUM(AJ175,AJ178,AJ179,AJ182,AJ183)</f>
        <v>0</v>
      </c>
      <c r="AK174" s="134"/>
      <c r="AL174" s="134"/>
      <c r="AM174" s="134"/>
      <c r="AN174" s="134"/>
      <c r="AO174" s="134"/>
      <c r="AP174" s="134"/>
      <c r="AQ174" s="134"/>
      <c r="AR174" s="134"/>
      <c r="AS174" s="134"/>
      <c r="AT174" s="692">
        <f ca="1">SUM(AT175,AT178,AT179,AT182,AT183)</f>
        <v>0</v>
      </c>
      <c r="AU174" s="134"/>
      <c r="AV174" s="134"/>
      <c r="AW174" s="134"/>
      <c r="AX174" s="134"/>
      <c r="AY174" s="134"/>
      <c r="AZ174" s="134"/>
      <c r="BA174" s="134"/>
      <c r="BB174" s="134"/>
      <c r="BC174" s="134"/>
      <c r="BD174" s="692">
        <f t="shared" ca="1" si="51"/>
        <v>0</v>
      </c>
      <c r="BE174" s="134"/>
      <c r="BF174" s="134"/>
      <c r="BG174" s="134"/>
      <c r="BH174" s="134"/>
      <c r="BI174" s="134"/>
      <c r="BJ174" s="134"/>
      <c r="BK174" s="134"/>
      <c r="BL174" s="134"/>
      <c r="BM174" s="134"/>
      <c r="BN174" s="1483"/>
      <c r="BO174" s="1483"/>
      <c r="BP174" s="1483"/>
      <c r="BQ174" s="79"/>
      <c r="BR174" s="79"/>
      <c r="BS174" s="964" t="s">
        <v>484</v>
      </c>
      <c r="BT174" s="971"/>
      <c r="BU174" s="971"/>
      <c r="BV174" s="623"/>
      <c r="BW174" s="623"/>
    </row>
    <row r="175" spans="1:75" s="1327" customFormat="1" ht="14.25" customHeight="1">
      <c r="A175" s="1177"/>
      <c r="B175" s="880"/>
      <c r="C175" s="26"/>
      <c r="D175" s="26"/>
      <c r="E175" s="538">
        <v>15</v>
      </c>
      <c r="F175" s="3" t="str" cm="1">
        <f t="array" aca="1" ref="F175" ca="1">OFFSET(E175,-1,1)</f>
        <v>1</v>
      </c>
      <c r="G175" s="26"/>
      <c r="H175" s="771"/>
      <c r="I175" s="771" t="s">
        <v>1186</v>
      </c>
      <c r="J175" s="26"/>
      <c r="K175" s="290" t="s">
        <v>1186</v>
      </c>
      <c r="L175" s="882" t="s">
        <v>427</v>
      </c>
      <c r="M175" s="26"/>
      <c r="N175" s="26"/>
      <c r="O175" s="26"/>
      <c r="P175" s="26"/>
      <c r="Q175" s="26"/>
      <c r="R175" s="26"/>
      <c r="S175" s="26"/>
      <c r="T175" s="381" t="b" cm="1">
        <f t="array" ref="T175">T174</f>
        <v>1</v>
      </c>
      <c r="U175" s="26"/>
      <c r="V175" s="26"/>
      <c r="W175" s="26"/>
      <c r="X175" s="1787"/>
      <c r="Y175" s="1177"/>
      <c r="Z175" s="1735"/>
      <c r="AA175" s="1177"/>
      <c r="AB175" s="216" t="s">
        <v>1187</v>
      </c>
      <c r="AC175" s="679" t="s">
        <v>1767</v>
      </c>
      <c r="AD175" s="680" t="s">
        <v>766</v>
      </c>
      <c r="AE175" s="1015">
        <f>SUM(AE176,AE177)</f>
        <v>0</v>
      </c>
      <c r="AF175" s="1015">
        <f>SUM(AF176,AF177)</f>
        <v>0</v>
      </c>
      <c r="AG175" s="1015">
        <f>SUM(AG176,AG177)</f>
        <v>0</v>
      </c>
      <c r="AH175" s="1015">
        <f t="shared" si="48"/>
        <v>0</v>
      </c>
      <c r="AI175" s="1015">
        <f>SUM(AI176,AI177)</f>
        <v>0</v>
      </c>
      <c r="AJ175" s="1015">
        <f>SUM(AJ176,AJ177)</f>
        <v>0</v>
      </c>
      <c r="AK175" s="1016"/>
      <c r="AL175" s="1016"/>
      <c r="AM175" s="1016"/>
      <c r="AN175" s="1016"/>
      <c r="AO175" s="1016"/>
      <c r="AP175" s="1016"/>
      <c r="AQ175" s="1016"/>
      <c r="AR175" s="1016"/>
      <c r="AS175" s="1016"/>
      <c r="AT175" s="1015">
        <f>SUM(AT176,AT177)</f>
        <v>0</v>
      </c>
      <c r="AU175" s="1016"/>
      <c r="AV175" s="1016"/>
      <c r="AW175" s="1016"/>
      <c r="AX175" s="1016"/>
      <c r="AY175" s="1016"/>
      <c r="AZ175" s="1016"/>
      <c r="BA175" s="1016"/>
      <c r="BB175" s="1016"/>
      <c r="BC175" s="1016"/>
      <c r="BD175" s="1015">
        <f t="shared" si="51"/>
        <v>0</v>
      </c>
      <c r="BE175" s="1016"/>
      <c r="BF175" s="1016"/>
      <c r="BG175" s="1016"/>
      <c r="BH175" s="1016"/>
      <c r="BI175" s="1016"/>
      <c r="BJ175" s="1016"/>
      <c r="BK175" s="1016"/>
      <c r="BL175" s="1016"/>
      <c r="BM175" s="1016"/>
      <c r="BN175" s="1482"/>
      <c r="BO175" s="1482"/>
      <c r="BP175" s="1482"/>
      <c r="BQ175" s="29"/>
      <c r="BR175" s="1177"/>
      <c r="BS175" s="965" t="s">
        <v>1548</v>
      </c>
      <c r="BT175" s="966"/>
      <c r="BU175" s="966"/>
      <c r="BV175" s="881"/>
      <c r="BW175" s="881"/>
    </row>
    <row r="176" spans="1:75" s="1327" customFormat="1" ht="14.25" customHeight="1">
      <c r="A176" s="1177"/>
      <c r="B176" s="880"/>
      <c r="C176" s="26"/>
      <c r="D176" s="26"/>
      <c r="E176" s="538">
        <v>15</v>
      </c>
      <c r="F176" s="3" t="str" cm="1">
        <f t="array" aca="1" ref="F176" ca="1">OFFSET(E176,-1,1)</f>
        <v>1</v>
      </c>
      <c r="G176" s="26"/>
      <c r="H176" s="771"/>
      <c r="I176" s="771" t="s">
        <v>1768</v>
      </c>
      <c r="J176" s="26"/>
      <c r="K176" s="290" t="s">
        <v>1768</v>
      </c>
      <c r="L176" s="882" t="s">
        <v>928</v>
      </c>
      <c r="M176" s="26"/>
      <c r="N176" s="26"/>
      <c r="O176" s="26"/>
      <c r="P176" s="26"/>
      <c r="Q176" s="26"/>
      <c r="R176" s="26"/>
      <c r="S176" s="26"/>
      <c r="T176" s="381" t="b" cm="1">
        <f t="array" ref="T176">T175</f>
        <v>1</v>
      </c>
      <c r="U176" s="26"/>
      <c r="V176" s="26"/>
      <c r="W176" s="26"/>
      <c r="X176" s="1787"/>
      <c r="Y176" s="1177"/>
      <c r="Z176" s="1735"/>
      <c r="AA176" s="1177"/>
      <c r="AB176" s="216" t="s">
        <v>1769</v>
      </c>
      <c r="AC176" s="682" t="s">
        <v>1551</v>
      </c>
      <c r="AD176" s="680" t="s">
        <v>766</v>
      </c>
      <c r="AE176" s="1473"/>
      <c r="AF176" s="1473"/>
      <c r="AG176" s="1473"/>
      <c r="AH176" s="1015">
        <f t="shared" si="48"/>
        <v>0</v>
      </c>
      <c r="AI176" s="1473"/>
      <c r="AJ176" s="1473"/>
      <c r="AK176" s="1016"/>
      <c r="AL176" s="1016"/>
      <c r="AM176" s="1016"/>
      <c r="AN176" s="1016"/>
      <c r="AO176" s="1016"/>
      <c r="AP176" s="1016"/>
      <c r="AQ176" s="1016"/>
      <c r="AR176" s="1016"/>
      <c r="AS176" s="1016"/>
      <c r="AT176" s="1473"/>
      <c r="AU176" s="1016"/>
      <c r="AV176" s="1016"/>
      <c r="AW176" s="1016"/>
      <c r="AX176" s="1016"/>
      <c r="AY176" s="1016"/>
      <c r="AZ176" s="1016"/>
      <c r="BA176" s="1016"/>
      <c r="BB176" s="1016"/>
      <c r="BC176" s="1016"/>
      <c r="BD176" s="1015">
        <f t="shared" si="51"/>
        <v>0</v>
      </c>
      <c r="BE176" s="1016"/>
      <c r="BF176" s="1016"/>
      <c r="BG176" s="1016"/>
      <c r="BH176" s="1016"/>
      <c r="BI176" s="1016"/>
      <c r="BJ176" s="1016"/>
      <c r="BK176" s="1016"/>
      <c r="BL176" s="1016"/>
      <c r="BM176" s="1016"/>
      <c r="BN176" s="1482"/>
      <c r="BO176" s="1482"/>
      <c r="BP176" s="1482"/>
      <c r="BQ176" s="1177"/>
      <c r="BR176" s="1177"/>
      <c r="BS176" s="964" t="s">
        <v>1552</v>
      </c>
      <c r="BT176" s="966"/>
      <c r="BU176" s="966"/>
      <c r="BV176" s="881"/>
      <c r="BW176" s="881"/>
    </row>
    <row r="177" spans="1:75" s="1327" customFormat="1" ht="14.25" customHeight="1">
      <c r="A177" s="1177"/>
      <c r="B177" s="880"/>
      <c r="C177" s="26"/>
      <c r="D177" s="26"/>
      <c r="E177" s="538">
        <v>15</v>
      </c>
      <c r="F177" s="3" t="str" cm="1">
        <f t="array" aca="1" ref="F177" ca="1">OFFSET(E177,-1,1)</f>
        <v>1</v>
      </c>
      <c r="G177" s="26"/>
      <c r="H177" s="771"/>
      <c r="I177" s="771" t="s">
        <v>1770</v>
      </c>
      <c r="J177" s="26"/>
      <c r="K177" s="290" t="s">
        <v>1770</v>
      </c>
      <c r="L177" s="882" t="s">
        <v>1161</v>
      </c>
      <c r="M177" s="26"/>
      <c r="N177" s="26"/>
      <c r="O177" s="26"/>
      <c r="P177" s="26"/>
      <c r="Q177" s="26"/>
      <c r="R177" s="26"/>
      <c r="S177" s="26"/>
      <c r="T177" s="381" t="b" cm="1">
        <f t="array" ref="T177">T176</f>
        <v>1</v>
      </c>
      <c r="U177" s="26"/>
      <c r="V177" s="26"/>
      <c r="W177" s="26"/>
      <c r="X177" s="1787"/>
      <c r="Y177" s="1177"/>
      <c r="Z177" s="1735"/>
      <c r="AA177" s="1177"/>
      <c r="AB177" s="216" t="s">
        <v>1771</v>
      </c>
      <c r="AC177" s="682" t="s">
        <v>1553</v>
      </c>
      <c r="AD177" s="680" t="s">
        <v>766</v>
      </c>
      <c r="AE177" s="1473"/>
      <c r="AF177" s="1473"/>
      <c r="AG177" s="1473"/>
      <c r="AH177" s="1015">
        <f t="shared" si="48"/>
        <v>0</v>
      </c>
      <c r="AI177" s="1473"/>
      <c r="AJ177" s="1473"/>
      <c r="AK177" s="1016"/>
      <c r="AL177" s="1016"/>
      <c r="AM177" s="1016"/>
      <c r="AN177" s="1016"/>
      <c r="AO177" s="1016"/>
      <c r="AP177" s="1016"/>
      <c r="AQ177" s="1016"/>
      <c r="AR177" s="1016"/>
      <c r="AS177" s="1016"/>
      <c r="AT177" s="1473"/>
      <c r="AU177" s="1016"/>
      <c r="AV177" s="1016"/>
      <c r="AW177" s="1016"/>
      <c r="AX177" s="1016"/>
      <c r="AY177" s="1016"/>
      <c r="AZ177" s="1016"/>
      <c r="BA177" s="1016"/>
      <c r="BB177" s="1016"/>
      <c r="BC177" s="1016"/>
      <c r="BD177" s="1015">
        <f t="shared" si="51"/>
        <v>0</v>
      </c>
      <c r="BE177" s="1016"/>
      <c r="BF177" s="1016"/>
      <c r="BG177" s="1016"/>
      <c r="BH177" s="1016"/>
      <c r="BI177" s="1016"/>
      <c r="BJ177" s="1016"/>
      <c r="BK177" s="1016"/>
      <c r="BL177" s="1016"/>
      <c r="BM177" s="1016"/>
      <c r="BN177" s="1482"/>
      <c r="BO177" s="1482"/>
      <c r="BP177" s="1482"/>
      <c r="BQ177" s="1177"/>
      <c r="BR177" s="1177"/>
      <c r="BS177" s="964" t="s">
        <v>1554</v>
      </c>
      <c r="BT177" s="966"/>
      <c r="BU177" s="966"/>
      <c r="BV177" s="881"/>
      <c r="BW177" s="881"/>
    </row>
    <row r="178" spans="1:75" s="1327" customFormat="1" ht="21.75" customHeight="1">
      <c r="A178" s="1177"/>
      <c r="B178" s="880"/>
      <c r="C178" s="26"/>
      <c r="D178" s="26"/>
      <c r="E178" s="538">
        <v>22.5</v>
      </c>
      <c r="F178" s="3" t="str" cm="1">
        <f t="array" aca="1" ref="F178" ca="1">OFFSET(E178,-1,1)</f>
        <v>1</v>
      </c>
      <c r="G178" s="26"/>
      <c r="H178" s="771"/>
      <c r="I178" s="771" t="s">
        <v>1189</v>
      </c>
      <c r="J178" s="26"/>
      <c r="K178" s="290" t="s">
        <v>1189</v>
      </c>
      <c r="L178" s="882" t="s">
        <v>434</v>
      </c>
      <c r="M178" s="26"/>
      <c r="N178" s="26"/>
      <c r="O178" s="26"/>
      <c r="P178" s="26"/>
      <c r="Q178" s="26"/>
      <c r="R178" s="26"/>
      <c r="S178" s="26"/>
      <c r="T178" s="381" t="b" cm="1">
        <f t="array" ref="T178">T177</f>
        <v>1</v>
      </c>
      <c r="U178" s="26"/>
      <c r="V178" s="26"/>
      <c r="W178" s="26"/>
      <c r="X178" s="1787"/>
      <c r="Y178" s="1177"/>
      <c r="Z178" s="1735"/>
      <c r="AA178" s="1177"/>
      <c r="AB178" s="216" t="s">
        <v>1190</v>
      </c>
      <c r="AC178" s="679" t="s">
        <v>1772</v>
      </c>
      <c r="AD178" s="680" t="s">
        <v>766</v>
      </c>
      <c r="AE178" s="1473"/>
      <c r="AF178" s="1473"/>
      <c r="AG178" s="1473"/>
      <c r="AH178" s="1015">
        <f t="shared" si="48"/>
        <v>0</v>
      </c>
      <c r="AI178" s="1473"/>
      <c r="AJ178" s="1473"/>
      <c r="AK178" s="1016"/>
      <c r="AL178" s="1016"/>
      <c r="AM178" s="1016"/>
      <c r="AN178" s="1016"/>
      <c r="AO178" s="1016"/>
      <c r="AP178" s="1016"/>
      <c r="AQ178" s="1016"/>
      <c r="AR178" s="1016"/>
      <c r="AS178" s="1016"/>
      <c r="AT178" s="1473"/>
      <c r="AU178" s="1016"/>
      <c r="AV178" s="1016"/>
      <c r="AW178" s="1016"/>
      <c r="AX178" s="1016"/>
      <c r="AY178" s="1016"/>
      <c r="AZ178" s="1016"/>
      <c r="BA178" s="1016"/>
      <c r="BB178" s="1016"/>
      <c r="BC178" s="1016"/>
      <c r="BD178" s="1015">
        <f t="shared" si="51"/>
        <v>0</v>
      </c>
      <c r="BE178" s="1016"/>
      <c r="BF178" s="1016"/>
      <c r="BG178" s="1016"/>
      <c r="BH178" s="1016"/>
      <c r="BI178" s="1016"/>
      <c r="BJ178" s="1016"/>
      <c r="BK178" s="1016"/>
      <c r="BL178" s="1016"/>
      <c r="BM178" s="1016"/>
      <c r="BN178" s="1482"/>
      <c r="BO178" s="1482"/>
      <c r="BP178" s="1482"/>
      <c r="BQ178" s="1177"/>
      <c r="BR178" s="1177"/>
      <c r="BS178" s="965" t="s">
        <v>1579</v>
      </c>
      <c r="BT178" s="966"/>
      <c r="BU178" s="966"/>
      <c r="BV178" s="881"/>
      <c r="BW178" s="881"/>
    </row>
    <row r="179" spans="1:75" s="1327" customFormat="1" ht="21.75" customHeight="1">
      <c r="A179" s="1177"/>
      <c r="B179" s="880"/>
      <c r="C179" s="26"/>
      <c r="D179" s="26"/>
      <c r="E179" s="538">
        <v>22.5</v>
      </c>
      <c r="F179" s="3" t="str" cm="1">
        <f t="array" aca="1" ref="F179" ca="1">OFFSET(E179,-1,1)</f>
        <v>1</v>
      </c>
      <c r="G179" s="26"/>
      <c r="H179" s="771"/>
      <c r="I179" s="771" t="s">
        <v>1193</v>
      </c>
      <c r="J179" s="26"/>
      <c r="K179" s="290" t="s">
        <v>1193</v>
      </c>
      <c r="L179" s="882" t="s">
        <v>438</v>
      </c>
      <c r="M179" s="26"/>
      <c r="N179" s="26"/>
      <c r="O179" s="26"/>
      <c r="P179" s="26"/>
      <c r="Q179" s="26"/>
      <c r="R179" s="26"/>
      <c r="S179" s="26"/>
      <c r="T179" s="381" t="b" cm="1">
        <f t="array" ref="T179">T178</f>
        <v>1</v>
      </c>
      <c r="U179" s="26"/>
      <c r="V179" s="26"/>
      <c r="W179" s="26"/>
      <c r="X179" s="1787"/>
      <c r="Y179" s="1177"/>
      <c r="Z179" s="1735"/>
      <c r="AA179" s="1177"/>
      <c r="AB179" s="216" t="s">
        <v>1194</v>
      </c>
      <c r="AC179" s="679" t="s">
        <v>1773</v>
      </c>
      <c r="AD179" s="680" t="s">
        <v>766</v>
      </c>
      <c r="AE179" s="1017">
        <f ca="1">AE180+AE181</f>
        <v>0</v>
      </c>
      <c r="AF179" s="1017">
        <f ca="1">AF180+AF181</f>
        <v>0</v>
      </c>
      <c r="AG179" s="1017">
        <f ca="1">AG180+AG181</f>
        <v>0</v>
      </c>
      <c r="AH179" s="1015">
        <f t="shared" ca="1" si="48"/>
        <v>0</v>
      </c>
      <c r="AI179" s="1017">
        <f ca="1">AI180+AI181</f>
        <v>0</v>
      </c>
      <c r="AJ179" s="1017">
        <f ca="1">AJ180+AJ181</f>
        <v>0</v>
      </c>
      <c r="AK179" s="1016"/>
      <c r="AL179" s="1016"/>
      <c r="AM179" s="1016"/>
      <c r="AN179" s="1016"/>
      <c r="AO179" s="1016"/>
      <c r="AP179" s="1016"/>
      <c r="AQ179" s="1016"/>
      <c r="AR179" s="1016"/>
      <c r="AS179" s="1016"/>
      <c r="AT179" s="1017">
        <f ca="1">AT180+AT181</f>
        <v>0</v>
      </c>
      <c r="AU179" s="1016"/>
      <c r="AV179" s="1016"/>
      <c r="AW179" s="1016"/>
      <c r="AX179" s="1016"/>
      <c r="AY179" s="1016"/>
      <c r="AZ179" s="1016"/>
      <c r="BA179" s="1016"/>
      <c r="BB179" s="1016"/>
      <c r="BC179" s="1016"/>
      <c r="BD179" s="1015">
        <f t="shared" ca="1" si="51"/>
        <v>0</v>
      </c>
      <c r="BE179" s="1016"/>
      <c r="BF179" s="1016"/>
      <c r="BG179" s="1016"/>
      <c r="BH179" s="1016"/>
      <c r="BI179" s="1016"/>
      <c r="BJ179" s="1016"/>
      <c r="BK179" s="1016"/>
      <c r="BL179" s="1016"/>
      <c r="BM179" s="1016"/>
      <c r="BN179" s="1482"/>
      <c r="BO179" s="1482"/>
      <c r="BP179" s="1482"/>
      <c r="BQ179" s="1177"/>
      <c r="BR179" s="1177"/>
      <c r="BS179" s="965" t="s">
        <v>1774</v>
      </c>
      <c r="BT179" s="966"/>
      <c r="BU179" s="966"/>
      <c r="BV179" s="881"/>
      <c r="BW179" s="881"/>
    </row>
    <row r="180" spans="1:75" s="1327" customFormat="1" ht="14.25" customHeight="1">
      <c r="A180" s="1177"/>
      <c r="B180" s="880"/>
      <c r="C180" s="26"/>
      <c r="D180" s="26"/>
      <c r="E180" s="538">
        <v>15</v>
      </c>
      <c r="F180" s="3" t="str" cm="1">
        <f t="array" aca="1" ref="F180" ca="1">OFFSET(E180,-1,1)</f>
        <v>1</v>
      </c>
      <c r="G180" s="286" t="s">
        <v>1011</v>
      </c>
      <c r="H180" s="771"/>
      <c r="I180" s="771" t="s">
        <v>1337</v>
      </c>
      <c r="J180" s="26"/>
      <c r="K180" s="290" t="s">
        <v>1337</v>
      </c>
      <c r="L180" s="882" t="s">
        <v>1213</v>
      </c>
      <c r="M180" s="26"/>
      <c r="N180" s="26"/>
      <c r="O180" s="26"/>
      <c r="P180" s="26"/>
      <c r="Q180" s="26"/>
      <c r="R180" s="26"/>
      <c r="S180" s="26"/>
      <c r="T180" s="381" t="b" cm="1">
        <f t="array" ref="T180">T179</f>
        <v>1</v>
      </c>
      <c r="U180" s="26"/>
      <c r="V180" s="26"/>
      <c r="W180" s="26"/>
      <c r="X180" s="1787"/>
      <c r="Y180" s="1177"/>
      <c r="Z180" s="1735"/>
      <c r="AA180" s="1177"/>
      <c r="AB180" s="216" t="s">
        <v>1775</v>
      </c>
      <c r="AC180" s="682" t="s">
        <v>1582</v>
      </c>
      <c r="AD180" s="680" t="s">
        <v>766</v>
      </c>
      <c r="AE180" s="1015">
        <f ca="1">SUMIFS(ФОТ!AE$25:AE$77,ФОТ!$F$25:$F$77,$F180,ФОТ!$G$25:$G$77,$G180)</f>
        <v>0</v>
      </c>
      <c r="AF180" s="1015">
        <f ca="1">SUMIFS(ФОТ!AF$25:AF$77,ФОТ!$F$25:$F$77,$F180,ФОТ!$G$25:$G$77,$G180)</f>
        <v>0</v>
      </c>
      <c r="AG180" s="1015">
        <f ca="1">SUMIFS(ФОТ!AG$25:AG$77,ФОТ!$F$25:$F$77,$F180,ФОТ!$G$25:$G$77,$G180)</f>
        <v>0</v>
      </c>
      <c r="AH180" s="1015">
        <f t="shared" ca="1" si="48"/>
        <v>0</v>
      </c>
      <c r="AI180" s="1015">
        <f ca="1">SUMIFS(ФОТ!AH$25:AH$77,ФОТ!$F$25:$F$77,$F180,ФОТ!$G$25:$G$77,$G180)</f>
        <v>0</v>
      </c>
      <c r="AJ180" s="1015">
        <f ca="1">SUMIFS(ФОТ!AI$25:AI$77,ФОТ!$F$25:$F$77,$F180,ФОТ!$G$25:$G$77,$G180)</f>
        <v>0</v>
      </c>
      <c r="AK180" s="1016"/>
      <c r="AL180" s="1016"/>
      <c r="AM180" s="1016"/>
      <c r="AN180" s="1016"/>
      <c r="AO180" s="1016"/>
      <c r="AP180" s="1016"/>
      <c r="AQ180" s="1016"/>
      <c r="AR180" s="1016"/>
      <c r="AS180" s="1016"/>
      <c r="AT180" s="1015">
        <f ca="1">SUMIFS(ФОТ!AJ$25:AJ$77,ФОТ!$F$25:$F$77,$F180,ФОТ!$G$25:$G$77,$G180)</f>
        <v>0</v>
      </c>
      <c r="AU180" s="1016"/>
      <c r="AV180" s="1016"/>
      <c r="AW180" s="1016"/>
      <c r="AX180" s="1016"/>
      <c r="AY180" s="1016"/>
      <c r="AZ180" s="1016"/>
      <c r="BA180" s="1016"/>
      <c r="BB180" s="1016"/>
      <c r="BC180" s="1016"/>
      <c r="BD180" s="1015">
        <f t="shared" ca="1" si="51"/>
        <v>0</v>
      </c>
      <c r="BE180" s="1016"/>
      <c r="BF180" s="1016"/>
      <c r="BG180" s="1016"/>
      <c r="BH180" s="1016"/>
      <c r="BI180" s="1016"/>
      <c r="BJ180" s="1016"/>
      <c r="BK180" s="1016"/>
      <c r="BL180" s="1016"/>
      <c r="BM180" s="1016"/>
      <c r="BN180" s="1482"/>
      <c r="BO180" s="1484" t="str">
        <f ca="1">IF(IFERROR(INDEX(ФОТ!$K$26:$L$77,MATCH($F180&amp;"1komm",ФОТ!$K$26:$K$77,0),2),"")=0,"",IFERROR(INDEX(ФОТ!$K$26:$L$77,MATCH($F180&amp;"1komm",ФОТ!$K$26:$K$77,0),2),""))</f>
        <v/>
      </c>
      <c r="BP180" s="1482"/>
      <c r="BQ180" s="1177"/>
      <c r="BR180" s="1177"/>
      <c r="BS180" s="964" t="s">
        <v>1583</v>
      </c>
      <c r="BT180" s="966"/>
      <c r="BU180" s="966"/>
      <c r="BV180" s="881"/>
      <c r="BW180" s="881"/>
    </row>
    <row r="181" spans="1:75" s="1327" customFormat="1" ht="21.75" customHeight="1">
      <c r="A181" s="1177"/>
      <c r="B181" s="880"/>
      <c r="C181" s="26"/>
      <c r="D181" s="26"/>
      <c r="E181" s="538">
        <v>22.5</v>
      </c>
      <c r="F181" s="3" t="str" cm="1">
        <f t="array" aca="1" ref="F181" ca="1">OFFSET(E181,-1,1)</f>
        <v>1</v>
      </c>
      <c r="G181" s="286" t="s">
        <v>1023</v>
      </c>
      <c r="H181" s="771"/>
      <c r="I181" s="771" t="s">
        <v>1341</v>
      </c>
      <c r="J181" s="26"/>
      <c r="K181" s="290" t="s">
        <v>1341</v>
      </c>
      <c r="L181" s="882" t="s">
        <v>1214</v>
      </c>
      <c r="M181" s="26"/>
      <c r="N181" s="26"/>
      <c r="O181" s="26"/>
      <c r="P181" s="26"/>
      <c r="Q181" s="26"/>
      <c r="R181" s="26"/>
      <c r="S181" s="26"/>
      <c r="T181" s="381" t="b" cm="1">
        <f t="array" ref="T181">T180</f>
        <v>1</v>
      </c>
      <c r="U181" s="26"/>
      <c r="V181" s="26"/>
      <c r="W181" s="26"/>
      <c r="X181" s="1787"/>
      <c r="Y181" s="1177"/>
      <c r="Z181" s="1735"/>
      <c r="AA181" s="1177"/>
      <c r="AB181" s="216" t="s">
        <v>1776</v>
      </c>
      <c r="AC181" s="682" t="s">
        <v>1777</v>
      </c>
      <c r="AD181" s="680" t="s">
        <v>766</v>
      </c>
      <c r="AE181" s="1015">
        <f ca="1">SUMIFS(ФОТ!AE$25:AE$77,ФОТ!$F$25:$F$77,$F181,ФОТ!$G$25:$G$77,$G181)</f>
        <v>0</v>
      </c>
      <c r="AF181" s="1015">
        <f ca="1">SUMIFS(ФОТ!AF$25:AF$77,ФОТ!$F$25:$F$77,$F181,ФОТ!$G$25:$G$77,$G181)</f>
        <v>0</v>
      </c>
      <c r="AG181" s="1015">
        <f ca="1">SUMIFS(ФОТ!AG$25:AG$77,ФОТ!$F$25:$F$77,$F181,ФОТ!$G$25:$G$77,$G181)</f>
        <v>0</v>
      </c>
      <c r="AH181" s="1015">
        <f t="shared" ca="1" si="48"/>
        <v>0</v>
      </c>
      <c r="AI181" s="1015">
        <f ca="1">SUMIFS(ФОТ!AH$25:AH$77,ФОТ!$F$25:$F$77,$F181,ФОТ!$G$25:$G$77,$G181)</f>
        <v>0</v>
      </c>
      <c r="AJ181" s="1015">
        <f ca="1">SUMIFS(ФОТ!AI$25:AI$77,ФОТ!$F$25:$F$77,$F181,ФОТ!$G$25:$G$77,$G181)</f>
        <v>0</v>
      </c>
      <c r="AK181" s="1016"/>
      <c r="AL181" s="1016"/>
      <c r="AM181" s="1016"/>
      <c r="AN181" s="1016"/>
      <c r="AO181" s="1016"/>
      <c r="AP181" s="1016"/>
      <c r="AQ181" s="1016"/>
      <c r="AR181" s="1016"/>
      <c r="AS181" s="1016"/>
      <c r="AT181" s="1015">
        <f ca="1">SUMIFS(ФОТ!AJ$25:AJ$77,ФОТ!$F$25:$F$77,$F181,ФОТ!$G$25:$G$77,$G181)</f>
        <v>0</v>
      </c>
      <c r="AU181" s="1016"/>
      <c r="AV181" s="1016"/>
      <c r="AW181" s="1016"/>
      <c r="AX181" s="1016"/>
      <c r="AY181" s="1016"/>
      <c r="AZ181" s="1016"/>
      <c r="BA181" s="1016"/>
      <c r="BB181" s="1016"/>
      <c r="BC181" s="1016"/>
      <c r="BD181" s="1015">
        <f t="shared" ca="1" si="51"/>
        <v>0</v>
      </c>
      <c r="BE181" s="1016"/>
      <c r="BF181" s="1016"/>
      <c r="BG181" s="1016"/>
      <c r="BH181" s="1016"/>
      <c r="BI181" s="1016"/>
      <c r="BJ181" s="1016"/>
      <c r="BK181" s="1016"/>
      <c r="BL181" s="1016"/>
      <c r="BM181" s="1016"/>
      <c r="BN181" s="1482"/>
      <c r="BO181" s="1484" t="str">
        <f ca="1">IF(IFERROR(INDEX(ФОТ!$K$26:$L$77,MATCH($F181&amp;"2komm",ФОТ!$K$26:$K$77,0),2),"")=0,"",IFERROR(INDEX(ФОТ!$K$26:$L$77,MATCH($F181&amp;"2komm",ФОТ!$K$26:$K$77,0),2),""))</f>
        <v/>
      </c>
      <c r="BP181" s="1482"/>
      <c r="BQ181" s="1177"/>
      <c r="BR181" s="1177"/>
      <c r="BS181" s="964" t="s">
        <v>1585</v>
      </c>
      <c r="BT181" s="966"/>
      <c r="BU181" s="966"/>
      <c r="BV181" s="881"/>
      <c r="BW181" s="881"/>
    </row>
    <row r="182" spans="1:75" s="1327" customFormat="1" ht="14.25" customHeight="1">
      <c r="A182" s="1177"/>
      <c r="B182" s="880"/>
      <c r="C182" s="26"/>
      <c r="D182" s="26"/>
      <c r="E182" s="538">
        <v>15</v>
      </c>
      <c r="F182" s="3" t="str" cm="1">
        <f t="array" aca="1" ref="F182" ca="1">OFFSET(E182,-1,1)</f>
        <v>1</v>
      </c>
      <c r="G182" s="26"/>
      <c r="H182" s="771"/>
      <c r="I182" s="771" t="s">
        <v>1352</v>
      </c>
      <c r="J182" s="26"/>
      <c r="K182" s="290" t="s">
        <v>1352</v>
      </c>
      <c r="L182" s="882" t="s">
        <v>1587</v>
      </c>
      <c r="M182" s="26"/>
      <c r="N182" s="26"/>
      <c r="O182" s="26"/>
      <c r="P182" s="26"/>
      <c r="Q182" s="26"/>
      <c r="R182" s="26"/>
      <c r="S182" s="26"/>
      <c r="T182" s="381" t="b" cm="1">
        <f t="array" ref="T182">T181</f>
        <v>1</v>
      </c>
      <c r="U182" s="26"/>
      <c r="V182" s="26"/>
      <c r="W182" s="26"/>
      <c r="X182" s="1787"/>
      <c r="Y182" s="1177"/>
      <c r="Z182" s="1735"/>
      <c r="AA182" s="1177"/>
      <c r="AB182" s="216" t="s">
        <v>1561</v>
      </c>
      <c r="AC182" s="679" t="s">
        <v>1778</v>
      </c>
      <c r="AD182" s="680" t="s">
        <v>766</v>
      </c>
      <c r="AE182" s="1473"/>
      <c r="AF182" s="1473"/>
      <c r="AG182" s="1473"/>
      <c r="AH182" s="1015">
        <f t="shared" si="48"/>
        <v>0</v>
      </c>
      <c r="AI182" s="1473"/>
      <c r="AJ182" s="1473"/>
      <c r="AK182" s="1016"/>
      <c r="AL182" s="1016"/>
      <c r="AM182" s="1016"/>
      <c r="AN182" s="1016"/>
      <c r="AO182" s="1016"/>
      <c r="AP182" s="1016"/>
      <c r="AQ182" s="1016"/>
      <c r="AR182" s="1016"/>
      <c r="AS182" s="1016"/>
      <c r="AT182" s="1473"/>
      <c r="AU182" s="1016"/>
      <c r="AV182" s="1016"/>
      <c r="AW182" s="1016"/>
      <c r="AX182" s="1016"/>
      <c r="AY182" s="1016"/>
      <c r="AZ182" s="1016"/>
      <c r="BA182" s="1016"/>
      <c r="BB182" s="1016"/>
      <c r="BC182" s="1016"/>
      <c r="BD182" s="1015">
        <f t="shared" si="51"/>
        <v>0</v>
      </c>
      <c r="BE182" s="1016"/>
      <c r="BF182" s="1016"/>
      <c r="BG182" s="1016"/>
      <c r="BH182" s="1016"/>
      <c r="BI182" s="1016"/>
      <c r="BJ182" s="1016"/>
      <c r="BK182" s="1016"/>
      <c r="BL182" s="1016"/>
      <c r="BM182" s="1016"/>
      <c r="BN182" s="1482"/>
      <c r="BO182" s="1482"/>
      <c r="BP182" s="1482"/>
      <c r="BQ182" s="1177"/>
      <c r="BR182" s="1177"/>
      <c r="BS182" s="965" t="s">
        <v>1590</v>
      </c>
      <c r="BT182" s="966"/>
      <c r="BU182" s="966"/>
      <c r="BV182" s="881"/>
      <c r="BW182" s="881"/>
    </row>
    <row r="183" spans="1:75" s="1327" customFormat="1" ht="14.25" customHeight="1">
      <c r="A183" s="1177"/>
      <c r="B183" s="880"/>
      <c r="C183" s="26"/>
      <c r="D183" s="26"/>
      <c r="E183" s="538">
        <v>15</v>
      </c>
      <c r="F183" s="3" t="str" cm="1">
        <f t="array" aca="1" ref="F183" ca="1">OFFSET(E183,-1,1)</f>
        <v>1</v>
      </c>
      <c r="G183" s="26"/>
      <c r="H183" s="771"/>
      <c r="I183" s="771" t="s">
        <v>1356</v>
      </c>
      <c r="J183" s="26"/>
      <c r="K183" s="290" t="s">
        <v>1356</v>
      </c>
      <c r="L183" s="882" t="s">
        <v>1591</v>
      </c>
      <c r="M183" s="1177"/>
      <c r="N183" s="26"/>
      <c r="O183" s="26"/>
      <c r="P183" s="26"/>
      <c r="Q183" s="26"/>
      <c r="R183" s="26"/>
      <c r="S183" s="26"/>
      <c r="T183" s="381" t="b" cm="1">
        <f t="array" ref="T183">T182</f>
        <v>1</v>
      </c>
      <c r="U183" s="26"/>
      <c r="V183" s="26"/>
      <c r="W183" s="26"/>
      <c r="X183" s="1787"/>
      <c r="Y183" s="1177"/>
      <c r="Z183" s="1735"/>
      <c r="AA183" s="1177"/>
      <c r="AB183" s="216" t="s">
        <v>1563</v>
      </c>
      <c r="AC183" s="679" t="s">
        <v>1779</v>
      </c>
      <c r="AD183" s="216" t="s">
        <v>766</v>
      </c>
      <c r="AE183" s="1017">
        <f>SUM(AE184:AE190)</f>
        <v>0</v>
      </c>
      <c r="AF183" s="1017">
        <f>SUM(AF184:AF190)</f>
        <v>0</v>
      </c>
      <c r="AG183" s="1017">
        <f>SUM(AG184:AG190)</f>
        <v>0</v>
      </c>
      <c r="AH183" s="1015">
        <f t="shared" si="48"/>
        <v>0</v>
      </c>
      <c r="AI183" s="1017">
        <f>SUM(AI184:AI190)</f>
        <v>0</v>
      </c>
      <c r="AJ183" s="1017">
        <f>SUM(AJ184:AJ190)</f>
        <v>0</v>
      </c>
      <c r="AK183" s="1016"/>
      <c r="AL183" s="1016"/>
      <c r="AM183" s="1016"/>
      <c r="AN183" s="1016"/>
      <c r="AO183" s="1016"/>
      <c r="AP183" s="1016"/>
      <c r="AQ183" s="1016"/>
      <c r="AR183" s="1016"/>
      <c r="AS183" s="1016"/>
      <c r="AT183" s="1017">
        <f>SUM(AT184:AT190)</f>
        <v>0</v>
      </c>
      <c r="AU183" s="1016"/>
      <c r="AV183" s="1016"/>
      <c r="AW183" s="1016"/>
      <c r="AX183" s="1016"/>
      <c r="AY183" s="1016"/>
      <c r="AZ183" s="1016"/>
      <c r="BA183" s="1016"/>
      <c r="BB183" s="1016"/>
      <c r="BC183" s="1016"/>
      <c r="BD183" s="1015">
        <f t="shared" si="51"/>
        <v>0</v>
      </c>
      <c r="BE183" s="1016"/>
      <c r="BF183" s="1016"/>
      <c r="BG183" s="1016"/>
      <c r="BH183" s="1016"/>
      <c r="BI183" s="1016"/>
      <c r="BJ183" s="1016"/>
      <c r="BK183" s="1016"/>
      <c r="BL183" s="1016"/>
      <c r="BM183" s="1016"/>
      <c r="BN183" s="1482"/>
      <c r="BO183" s="1482"/>
      <c r="BP183" s="1482"/>
      <c r="BQ183" s="1177"/>
      <c r="BR183" s="1177"/>
      <c r="BS183" s="965" t="s">
        <v>1780</v>
      </c>
      <c r="BT183" s="966"/>
      <c r="BU183" s="966"/>
      <c r="BV183" s="881"/>
      <c r="BW183" s="881"/>
    </row>
    <row r="184" spans="1:75" s="1327" customFormat="1" ht="14.25" customHeight="1">
      <c r="A184" s="1177"/>
      <c r="B184" s="880"/>
      <c r="C184" s="26"/>
      <c r="D184" s="26"/>
      <c r="E184" s="538">
        <v>15</v>
      </c>
      <c r="F184" s="3" t="str" cm="1">
        <f t="array" aca="1" ref="F184" ca="1">OFFSET(E184,-1,1)</f>
        <v>1</v>
      </c>
      <c r="G184" s="26"/>
      <c r="H184" s="771"/>
      <c r="I184" s="771" t="s">
        <v>1781</v>
      </c>
      <c r="J184" s="26"/>
      <c r="K184" s="290" t="s">
        <v>1781</v>
      </c>
      <c r="L184" s="882" t="s">
        <v>1591</v>
      </c>
      <c r="M184" s="26" t="s">
        <v>1599</v>
      </c>
      <c r="N184" s="26"/>
      <c r="O184" s="26"/>
      <c r="P184" s="26"/>
      <c r="Q184" s="26"/>
      <c r="R184" s="26"/>
      <c r="S184" s="26"/>
      <c r="T184" s="381" t="b" cm="1">
        <f t="array" ref="T184">T183</f>
        <v>1</v>
      </c>
      <c r="U184" s="26"/>
      <c r="V184" s="26"/>
      <c r="W184" s="26"/>
      <c r="X184" s="1787"/>
      <c r="Y184" s="1177"/>
      <c r="Z184" s="1735"/>
      <c r="AA184" s="1177"/>
      <c r="AB184" s="216" t="s">
        <v>1782</v>
      </c>
      <c r="AC184" s="682" t="s">
        <v>1783</v>
      </c>
      <c r="AD184" s="216" t="s">
        <v>766</v>
      </c>
      <c r="AE184" s="1473"/>
      <c r="AF184" s="1473"/>
      <c r="AG184" s="1473"/>
      <c r="AH184" s="1015">
        <f t="shared" si="48"/>
        <v>0</v>
      </c>
      <c r="AI184" s="1473"/>
      <c r="AJ184" s="1473"/>
      <c r="AK184" s="1016"/>
      <c r="AL184" s="1016"/>
      <c r="AM184" s="1016"/>
      <c r="AN184" s="1016"/>
      <c r="AO184" s="1016"/>
      <c r="AP184" s="1016"/>
      <c r="AQ184" s="1016"/>
      <c r="AR184" s="1016"/>
      <c r="AS184" s="1016"/>
      <c r="AT184" s="1473"/>
      <c r="AU184" s="1016"/>
      <c r="AV184" s="1016"/>
      <c r="AW184" s="1016"/>
      <c r="AX184" s="1016"/>
      <c r="AY184" s="1016"/>
      <c r="AZ184" s="1016"/>
      <c r="BA184" s="1016"/>
      <c r="BB184" s="1016"/>
      <c r="BC184" s="1016"/>
      <c r="BD184" s="1015">
        <f t="shared" si="51"/>
        <v>0</v>
      </c>
      <c r="BE184" s="1016"/>
      <c r="BF184" s="1016"/>
      <c r="BG184" s="1016"/>
      <c r="BH184" s="1016"/>
      <c r="BI184" s="1016"/>
      <c r="BJ184" s="1016"/>
      <c r="BK184" s="1016"/>
      <c r="BL184" s="1016"/>
      <c r="BM184" s="1016"/>
      <c r="BN184" s="1482"/>
      <c r="BO184" s="1482"/>
      <c r="BP184" s="1482"/>
      <c r="BQ184" s="1177"/>
      <c r="BR184" s="1177"/>
      <c r="BS184" s="964" t="s">
        <v>1602</v>
      </c>
      <c r="BT184" s="966"/>
      <c r="BU184" s="966"/>
      <c r="BV184" s="881"/>
      <c r="BW184" s="881"/>
    </row>
    <row r="185" spans="1:75" s="1327" customFormat="1" ht="21.75" customHeight="1">
      <c r="A185" s="1177"/>
      <c r="B185" s="880"/>
      <c r="C185" s="26"/>
      <c r="D185" s="26"/>
      <c r="E185" s="538">
        <v>22.5</v>
      </c>
      <c r="F185" s="3" t="str" cm="1">
        <f t="array" aca="1" ref="F185" ca="1">OFFSET(E185,-1,1)</f>
        <v>1</v>
      </c>
      <c r="G185" s="26"/>
      <c r="H185" s="771"/>
      <c r="I185" s="771" t="s">
        <v>1784</v>
      </c>
      <c r="J185" s="26"/>
      <c r="K185" s="290" t="s">
        <v>1784</v>
      </c>
      <c r="L185" s="882" t="s">
        <v>1591</v>
      </c>
      <c r="M185" s="26" t="s">
        <v>1595</v>
      </c>
      <c r="N185" s="26"/>
      <c r="O185" s="26"/>
      <c r="P185" s="26"/>
      <c r="Q185" s="26"/>
      <c r="R185" s="26"/>
      <c r="S185" s="26"/>
      <c r="T185" s="381" t="b" cm="1">
        <f t="array" ref="T185">T184</f>
        <v>1</v>
      </c>
      <c r="U185" s="26"/>
      <c r="V185" s="26"/>
      <c r="W185" s="26"/>
      <c r="X185" s="1787"/>
      <c r="Y185" s="1177"/>
      <c r="Z185" s="1735"/>
      <c r="AA185" s="1177"/>
      <c r="AB185" s="216" t="s">
        <v>1785</v>
      </c>
      <c r="AC185" s="682" t="s">
        <v>1786</v>
      </c>
      <c r="AD185" s="216" t="s">
        <v>766</v>
      </c>
      <c r="AE185" s="1473"/>
      <c r="AF185" s="1473"/>
      <c r="AG185" s="1473"/>
      <c r="AH185" s="1015">
        <f t="shared" si="48"/>
        <v>0</v>
      </c>
      <c r="AI185" s="1473"/>
      <c r="AJ185" s="1473"/>
      <c r="AK185" s="1016"/>
      <c r="AL185" s="1016"/>
      <c r="AM185" s="1016"/>
      <c r="AN185" s="1016"/>
      <c r="AO185" s="1016"/>
      <c r="AP185" s="1016"/>
      <c r="AQ185" s="1016"/>
      <c r="AR185" s="1016"/>
      <c r="AS185" s="1016"/>
      <c r="AT185" s="1473"/>
      <c r="AU185" s="1016"/>
      <c r="AV185" s="1016"/>
      <c r="AW185" s="1016"/>
      <c r="AX185" s="1016"/>
      <c r="AY185" s="1016"/>
      <c r="AZ185" s="1016"/>
      <c r="BA185" s="1016"/>
      <c r="BB185" s="1016"/>
      <c r="BC185" s="1016"/>
      <c r="BD185" s="1015">
        <f t="shared" si="51"/>
        <v>0</v>
      </c>
      <c r="BE185" s="1016"/>
      <c r="BF185" s="1016"/>
      <c r="BG185" s="1016"/>
      <c r="BH185" s="1016"/>
      <c r="BI185" s="1016"/>
      <c r="BJ185" s="1016"/>
      <c r="BK185" s="1016"/>
      <c r="BL185" s="1016"/>
      <c r="BM185" s="1016"/>
      <c r="BN185" s="1482"/>
      <c r="BO185" s="1482"/>
      <c r="BP185" s="1482"/>
      <c r="BQ185" s="1177"/>
      <c r="BR185" s="1177"/>
      <c r="BS185" s="966" t="s">
        <v>1787</v>
      </c>
      <c r="BT185" s="966"/>
      <c r="BU185" s="966"/>
      <c r="BV185" s="881"/>
      <c r="BW185" s="881"/>
    </row>
    <row r="186" spans="1:75" s="1327" customFormat="1" ht="21.75" customHeight="1">
      <c r="A186" s="1177"/>
      <c r="B186" s="880"/>
      <c r="C186" s="26"/>
      <c r="D186" s="26"/>
      <c r="E186" s="538">
        <v>22.5</v>
      </c>
      <c r="F186" s="3" t="str" cm="1">
        <f t="array" aca="1" ref="F186" ca="1">OFFSET(E186,-1,1)</f>
        <v>1</v>
      </c>
      <c r="G186" s="26"/>
      <c r="H186" s="771"/>
      <c r="I186" s="771" t="s">
        <v>1788</v>
      </c>
      <c r="J186" s="26"/>
      <c r="K186" s="290" t="s">
        <v>1788</v>
      </c>
      <c r="L186" s="1177"/>
      <c r="M186" s="1177"/>
      <c r="N186" s="26"/>
      <c r="O186" s="26"/>
      <c r="P186" s="26"/>
      <c r="Q186" s="26"/>
      <c r="R186" s="26"/>
      <c r="S186" s="26"/>
      <c r="T186" s="381" t="b" cm="1">
        <f t="array" ref="T186">T185</f>
        <v>1</v>
      </c>
      <c r="U186" s="26"/>
      <c r="V186" s="26"/>
      <c r="W186" s="26"/>
      <c r="X186" s="1787"/>
      <c r="Y186" s="1177"/>
      <c r="Z186" s="1735"/>
      <c r="AA186" s="1177"/>
      <c r="AB186" s="216" t="s">
        <v>1789</v>
      </c>
      <c r="AC186" s="683" t="s">
        <v>1790</v>
      </c>
      <c r="AD186" s="216" t="s">
        <v>766</v>
      </c>
      <c r="AE186" s="1473"/>
      <c r="AF186" s="1473"/>
      <c r="AG186" s="1473"/>
      <c r="AH186" s="1015">
        <f t="shared" si="48"/>
        <v>0</v>
      </c>
      <c r="AI186" s="1473"/>
      <c r="AJ186" s="1473"/>
      <c r="AK186" s="1016"/>
      <c r="AL186" s="1016"/>
      <c r="AM186" s="1016"/>
      <c r="AN186" s="1016"/>
      <c r="AO186" s="1016"/>
      <c r="AP186" s="1016"/>
      <c r="AQ186" s="1016"/>
      <c r="AR186" s="1016"/>
      <c r="AS186" s="1016"/>
      <c r="AT186" s="1473"/>
      <c r="AU186" s="1016"/>
      <c r="AV186" s="1016"/>
      <c r="AW186" s="1016"/>
      <c r="AX186" s="1016"/>
      <c r="AY186" s="1016"/>
      <c r="AZ186" s="1016"/>
      <c r="BA186" s="1016"/>
      <c r="BB186" s="1016"/>
      <c r="BC186" s="1016"/>
      <c r="BD186" s="1015">
        <f t="shared" si="51"/>
        <v>0</v>
      </c>
      <c r="BE186" s="1016"/>
      <c r="BF186" s="1016"/>
      <c r="BG186" s="1016"/>
      <c r="BH186" s="1016"/>
      <c r="BI186" s="1016"/>
      <c r="BJ186" s="1016"/>
      <c r="BK186" s="1016"/>
      <c r="BL186" s="1016"/>
      <c r="BM186" s="1016"/>
      <c r="BN186" s="1482"/>
      <c r="BO186" s="1482"/>
      <c r="BP186" s="1482"/>
      <c r="BQ186" s="1177"/>
      <c r="BR186" s="1177"/>
      <c r="BS186" s="966" t="s">
        <v>1791</v>
      </c>
      <c r="BT186" s="966"/>
      <c r="BU186" s="966"/>
      <c r="BV186" s="881"/>
      <c r="BW186" s="881"/>
    </row>
    <row r="187" spans="1:75" s="1327" customFormat="1" ht="21.75" customHeight="1">
      <c r="A187" s="1177"/>
      <c r="B187" s="880"/>
      <c r="C187" s="26"/>
      <c r="D187" s="26"/>
      <c r="E187" s="538">
        <v>22.5</v>
      </c>
      <c r="F187" s="3" t="str" cm="1">
        <f t="array" aca="1" ref="F187" ca="1">OFFSET(E187,-1,1)</f>
        <v>1</v>
      </c>
      <c r="G187" s="26"/>
      <c r="H187" s="771"/>
      <c r="I187" s="771" t="s">
        <v>1792</v>
      </c>
      <c r="J187" s="26"/>
      <c r="K187" s="290" t="s">
        <v>1792</v>
      </c>
      <c r="L187" s="882"/>
      <c r="M187" s="1177"/>
      <c r="N187" s="26"/>
      <c r="O187" s="26"/>
      <c r="P187" s="26"/>
      <c r="Q187" s="26"/>
      <c r="R187" s="26"/>
      <c r="S187" s="26"/>
      <c r="T187" s="381" t="b" cm="1">
        <f t="array" ref="T187">T186</f>
        <v>1</v>
      </c>
      <c r="U187" s="26"/>
      <c r="V187" s="26"/>
      <c r="W187" s="26"/>
      <c r="X187" s="1787"/>
      <c r="Y187" s="1177"/>
      <c r="Z187" s="1735"/>
      <c r="AA187" s="1177"/>
      <c r="AB187" s="216" t="s">
        <v>1793</v>
      </c>
      <c r="AC187" s="683" t="s">
        <v>1794</v>
      </c>
      <c r="AD187" s="216" t="s">
        <v>766</v>
      </c>
      <c r="AE187" s="1473"/>
      <c r="AF187" s="1473"/>
      <c r="AG187" s="1473"/>
      <c r="AH187" s="1015">
        <f t="shared" si="48"/>
        <v>0</v>
      </c>
      <c r="AI187" s="1473"/>
      <c r="AJ187" s="1473"/>
      <c r="AK187" s="1016"/>
      <c r="AL187" s="1016"/>
      <c r="AM187" s="1016"/>
      <c r="AN187" s="1016"/>
      <c r="AO187" s="1016"/>
      <c r="AP187" s="1016"/>
      <c r="AQ187" s="1016"/>
      <c r="AR187" s="1016"/>
      <c r="AS187" s="1016"/>
      <c r="AT187" s="1473"/>
      <c r="AU187" s="1016"/>
      <c r="AV187" s="1016"/>
      <c r="AW187" s="1016"/>
      <c r="AX187" s="1016"/>
      <c r="AY187" s="1016"/>
      <c r="AZ187" s="1016"/>
      <c r="BA187" s="1016"/>
      <c r="BB187" s="1016"/>
      <c r="BC187" s="1016"/>
      <c r="BD187" s="1015">
        <f t="shared" si="51"/>
        <v>0</v>
      </c>
      <c r="BE187" s="1016"/>
      <c r="BF187" s="1016"/>
      <c r="BG187" s="1016"/>
      <c r="BH187" s="1016"/>
      <c r="BI187" s="1016"/>
      <c r="BJ187" s="1016"/>
      <c r="BK187" s="1016"/>
      <c r="BL187" s="1016"/>
      <c r="BM187" s="1016"/>
      <c r="BN187" s="1482"/>
      <c r="BO187" s="1482"/>
      <c r="BP187" s="1482"/>
      <c r="BQ187" s="1177"/>
      <c r="BR187" s="1177"/>
      <c r="BS187" s="966" t="s">
        <v>1795</v>
      </c>
      <c r="BT187" s="966"/>
      <c r="BU187" s="966"/>
      <c r="BV187" s="881"/>
      <c r="BW187" s="881"/>
    </row>
    <row r="188" spans="1:75" s="1327" customFormat="1" ht="43.5" customHeight="1">
      <c r="A188" s="1177"/>
      <c r="B188" s="880"/>
      <c r="C188" s="26"/>
      <c r="D188" s="26"/>
      <c r="E188" s="538">
        <v>45</v>
      </c>
      <c r="F188" s="3" t="str" cm="1">
        <f t="array" aca="1" ref="F188" ca="1">OFFSET(E188,-1,1)</f>
        <v>1</v>
      </c>
      <c r="G188" s="26"/>
      <c r="H188" s="771"/>
      <c r="I188" s="771" t="s">
        <v>1796</v>
      </c>
      <c r="J188" s="26"/>
      <c r="K188" s="290" t="s">
        <v>1796</v>
      </c>
      <c r="L188" s="882" t="s">
        <v>1591</v>
      </c>
      <c r="M188" s="26" t="s">
        <v>1603</v>
      </c>
      <c r="N188" s="26"/>
      <c r="O188" s="26"/>
      <c r="P188" s="26"/>
      <c r="Q188" s="26"/>
      <c r="R188" s="26"/>
      <c r="S188" s="26"/>
      <c r="T188" s="381" t="b" cm="1">
        <f t="array" ref="T188">T187</f>
        <v>1</v>
      </c>
      <c r="U188" s="26"/>
      <c r="V188" s="26"/>
      <c r="W188" s="26"/>
      <c r="X188" s="1787"/>
      <c r="Y188" s="1177"/>
      <c r="Z188" s="1735"/>
      <c r="AA188" s="1177"/>
      <c r="AB188" s="216" t="s">
        <v>1797</v>
      </c>
      <c r="AC188" s="682" t="s">
        <v>1798</v>
      </c>
      <c r="AD188" s="216" t="s">
        <v>766</v>
      </c>
      <c r="AE188" s="1473"/>
      <c r="AF188" s="1473"/>
      <c r="AG188" s="1473"/>
      <c r="AH188" s="1015">
        <f t="shared" si="48"/>
        <v>0</v>
      </c>
      <c r="AI188" s="1473"/>
      <c r="AJ188" s="1473"/>
      <c r="AK188" s="1016"/>
      <c r="AL188" s="1016"/>
      <c r="AM188" s="1016"/>
      <c r="AN188" s="1016"/>
      <c r="AO188" s="1016"/>
      <c r="AP188" s="1016"/>
      <c r="AQ188" s="1016"/>
      <c r="AR188" s="1016"/>
      <c r="AS188" s="1016"/>
      <c r="AT188" s="1473"/>
      <c r="AU188" s="1016"/>
      <c r="AV188" s="1016"/>
      <c r="AW188" s="1016"/>
      <c r="AX188" s="1016"/>
      <c r="AY188" s="1016"/>
      <c r="AZ188" s="1016"/>
      <c r="BA188" s="1016"/>
      <c r="BB188" s="1016"/>
      <c r="BC188" s="1016"/>
      <c r="BD188" s="1015">
        <f t="shared" si="51"/>
        <v>0</v>
      </c>
      <c r="BE188" s="1016"/>
      <c r="BF188" s="1016"/>
      <c r="BG188" s="1016"/>
      <c r="BH188" s="1016"/>
      <c r="BI188" s="1016"/>
      <c r="BJ188" s="1016"/>
      <c r="BK188" s="1016"/>
      <c r="BL188" s="1016"/>
      <c r="BM188" s="1016"/>
      <c r="BN188" s="1482"/>
      <c r="BO188" s="1482"/>
      <c r="BP188" s="1482"/>
      <c r="BQ188" s="1177"/>
      <c r="BR188" s="1177"/>
      <c r="BS188" s="966" t="s">
        <v>1606</v>
      </c>
      <c r="BT188" s="966"/>
      <c r="BU188" s="966"/>
      <c r="BV188" s="881"/>
      <c r="BW188" s="881"/>
    </row>
    <row r="189" spans="1:75" s="1327" customFormat="1" ht="14.25" customHeight="1">
      <c r="A189" s="1177"/>
      <c r="B189" s="880"/>
      <c r="C189" s="26"/>
      <c r="D189" s="26"/>
      <c r="E189" s="538">
        <v>15</v>
      </c>
      <c r="F189" s="3" t="str" cm="1">
        <f t="array" aca="1" ref="F189" ca="1">OFFSET(E189,-1,1)</f>
        <v>1</v>
      </c>
      <c r="G189" s="26"/>
      <c r="H189" s="771"/>
      <c r="I189" s="771" t="s">
        <v>1799</v>
      </c>
      <c r="J189" s="26"/>
      <c r="K189" s="290" t="s">
        <v>1799</v>
      </c>
      <c r="L189" s="882" t="s">
        <v>1591</v>
      </c>
      <c r="M189" s="26" t="s">
        <v>1607</v>
      </c>
      <c r="N189" s="26"/>
      <c r="O189" s="26"/>
      <c r="P189" s="26"/>
      <c r="Q189" s="26"/>
      <c r="R189" s="26"/>
      <c r="S189" s="26"/>
      <c r="T189" s="381" t="b" cm="1">
        <f t="array" ref="T189">T188</f>
        <v>1</v>
      </c>
      <c r="U189" s="26"/>
      <c r="V189" s="26"/>
      <c r="W189" s="26"/>
      <c r="X189" s="1787"/>
      <c r="Y189" s="1177"/>
      <c r="Z189" s="1735"/>
      <c r="AA189" s="1177"/>
      <c r="AB189" s="216" t="s">
        <v>1800</v>
      </c>
      <c r="AC189" s="682" t="s">
        <v>1609</v>
      </c>
      <c r="AD189" s="216" t="s">
        <v>766</v>
      </c>
      <c r="AE189" s="1473"/>
      <c r="AF189" s="1473"/>
      <c r="AG189" s="1473"/>
      <c r="AH189" s="1015">
        <f t="shared" si="48"/>
        <v>0</v>
      </c>
      <c r="AI189" s="1473"/>
      <c r="AJ189" s="1473"/>
      <c r="AK189" s="1016"/>
      <c r="AL189" s="1016"/>
      <c r="AM189" s="1016"/>
      <c r="AN189" s="1016"/>
      <c r="AO189" s="1016"/>
      <c r="AP189" s="1016"/>
      <c r="AQ189" s="1016"/>
      <c r="AR189" s="1016"/>
      <c r="AS189" s="1016"/>
      <c r="AT189" s="1473"/>
      <c r="AU189" s="1016"/>
      <c r="AV189" s="1016"/>
      <c r="AW189" s="1016"/>
      <c r="AX189" s="1016"/>
      <c r="AY189" s="1016"/>
      <c r="AZ189" s="1016"/>
      <c r="BA189" s="1016"/>
      <c r="BB189" s="1016"/>
      <c r="BC189" s="1016"/>
      <c r="BD189" s="1015">
        <f t="shared" si="51"/>
        <v>0</v>
      </c>
      <c r="BE189" s="1016"/>
      <c r="BF189" s="1016"/>
      <c r="BG189" s="1016"/>
      <c r="BH189" s="1016"/>
      <c r="BI189" s="1016"/>
      <c r="BJ189" s="1016"/>
      <c r="BK189" s="1016"/>
      <c r="BL189" s="1016"/>
      <c r="BM189" s="1016"/>
      <c r="BN189" s="1482"/>
      <c r="BO189" s="1482"/>
      <c r="BP189" s="1482"/>
      <c r="BQ189" s="1177"/>
      <c r="BR189" s="1177"/>
      <c r="BS189" s="966" t="s">
        <v>1610</v>
      </c>
      <c r="BT189" s="966"/>
      <c r="BU189" s="966"/>
      <c r="BV189" s="881"/>
      <c r="BW189" s="881"/>
    </row>
    <row r="190" spans="1:75" s="1327" customFormat="1" ht="14.25" customHeight="1">
      <c r="A190" s="1177"/>
      <c r="B190" s="880"/>
      <c r="C190" s="26"/>
      <c r="D190" s="26"/>
      <c r="E190" s="538">
        <v>15</v>
      </c>
      <c r="F190" s="3" t="str" cm="1">
        <f t="array" aca="1" ref="F190" ca="1">OFFSET(E190,-1,1)</f>
        <v>1</v>
      </c>
      <c r="G190" s="26"/>
      <c r="H190" s="771"/>
      <c r="I190" s="771" t="s">
        <v>1801</v>
      </c>
      <c r="J190" s="26"/>
      <c r="K190" s="290" t="s">
        <v>1801</v>
      </c>
      <c r="L190" s="882"/>
      <c r="M190" s="26"/>
      <c r="N190" s="26"/>
      <c r="O190" s="26"/>
      <c r="P190" s="26"/>
      <c r="Q190" s="26"/>
      <c r="R190" s="26"/>
      <c r="S190" s="26"/>
      <c r="T190" s="381" t="b" cm="1">
        <f t="array" ref="T190">T189</f>
        <v>1</v>
      </c>
      <c r="U190" s="26"/>
      <c r="V190" s="26"/>
      <c r="W190" s="26"/>
      <c r="X190" s="1787"/>
      <c r="Y190" s="1177"/>
      <c r="Z190" s="1735"/>
      <c r="AA190" s="1177"/>
      <c r="AB190" s="216" t="s">
        <v>1802</v>
      </c>
      <c r="AC190" s="682" t="s">
        <v>1803</v>
      </c>
      <c r="AD190" s="216" t="s">
        <v>766</v>
      </c>
      <c r="AE190" s="1473"/>
      <c r="AF190" s="1473"/>
      <c r="AG190" s="1473"/>
      <c r="AH190" s="1015">
        <f t="shared" si="48"/>
        <v>0</v>
      </c>
      <c r="AI190" s="1473"/>
      <c r="AJ190" s="1256"/>
      <c r="AK190" s="1016"/>
      <c r="AL190" s="1016"/>
      <c r="AM190" s="1016"/>
      <c r="AN190" s="1016"/>
      <c r="AO190" s="1016"/>
      <c r="AP190" s="1016"/>
      <c r="AQ190" s="1016"/>
      <c r="AR190" s="1016"/>
      <c r="AS190" s="1016"/>
      <c r="AT190" s="1320"/>
      <c r="AU190" s="1016"/>
      <c r="AV190" s="1016"/>
      <c r="AW190" s="1016"/>
      <c r="AX190" s="1016"/>
      <c r="AY190" s="1016"/>
      <c r="AZ190" s="1016"/>
      <c r="BA190" s="1016"/>
      <c r="BB190" s="1016"/>
      <c r="BC190" s="1016"/>
      <c r="BD190" s="1015">
        <f t="shared" si="51"/>
        <v>0</v>
      </c>
      <c r="BE190" s="1016"/>
      <c r="BF190" s="1016"/>
      <c r="BG190" s="1016"/>
      <c r="BH190" s="1016"/>
      <c r="BI190" s="1016"/>
      <c r="BJ190" s="1016"/>
      <c r="BK190" s="1016"/>
      <c r="BL190" s="1016"/>
      <c r="BM190" s="1016"/>
      <c r="BN190" s="1482"/>
      <c r="BO190" s="1482"/>
      <c r="BP190" s="1482"/>
      <c r="BQ190" s="1177"/>
      <c r="BR190" s="1177"/>
      <c r="BS190" s="966" t="s">
        <v>1594</v>
      </c>
      <c r="BT190" s="966"/>
      <c r="BU190" s="966"/>
      <c r="BV190" s="881"/>
      <c r="BW190" s="881"/>
    </row>
    <row r="191" spans="1:75" s="1485" customFormat="1" ht="20.25" customHeight="1">
      <c r="A191" s="617"/>
      <c r="B191" s="352"/>
      <c r="C191" s="28"/>
      <c r="D191" s="28"/>
      <c r="E191" s="740">
        <v>21</v>
      </c>
      <c r="F191" s="3" t="str" cm="1">
        <f t="array" aca="1" ref="F191" ca="1">OFFSET(E191,-1,1)</f>
        <v>1</v>
      </c>
      <c r="G191" s="28"/>
      <c r="H191" s="771"/>
      <c r="I191" s="771" t="s">
        <v>434</v>
      </c>
      <c r="J191" s="28"/>
      <c r="K191" s="290" t="s">
        <v>434</v>
      </c>
      <c r="L191" s="887"/>
      <c r="M191" s="28"/>
      <c r="N191" s="28"/>
      <c r="O191" s="28"/>
      <c r="P191" s="28"/>
      <c r="Q191" s="28"/>
      <c r="R191" s="28"/>
      <c r="S191" s="28"/>
      <c r="T191" s="381" t="b" cm="1">
        <f t="array" ref="T191">T190</f>
        <v>1</v>
      </c>
      <c r="U191" s="28"/>
      <c r="V191" s="28"/>
      <c r="W191" s="28"/>
      <c r="X191" s="1787"/>
      <c r="Y191" s="617"/>
      <c r="Z191" s="1735"/>
      <c r="AA191" s="617"/>
      <c r="AB191" s="129" t="s">
        <v>827</v>
      </c>
      <c r="AC191" s="273" t="s">
        <v>1614</v>
      </c>
      <c r="AD191" s="129" t="s">
        <v>766</v>
      </c>
      <c r="AE191" s="131">
        <f ca="1">AE192+AE193+AE194</f>
        <v>0</v>
      </c>
      <c r="AF191" s="131">
        <f ca="1">AF192+AF193+AF194</f>
        <v>0</v>
      </c>
      <c r="AG191" s="131">
        <f ca="1">AG192+AG193+AG194</f>
        <v>0</v>
      </c>
      <c r="AH191" s="692">
        <f t="shared" ca="1" si="48"/>
        <v>0</v>
      </c>
      <c r="AI191" s="131">
        <f ca="1">AI192+AI193+AI194</f>
        <v>0</v>
      </c>
      <c r="AJ191" s="131">
        <f ca="1">AJ192+AJ193+AJ194</f>
        <v>0</v>
      </c>
      <c r="AK191" s="134"/>
      <c r="AL191" s="134"/>
      <c r="AM191" s="134"/>
      <c r="AN191" s="134"/>
      <c r="AO191" s="134"/>
      <c r="AP191" s="134"/>
      <c r="AQ191" s="134"/>
      <c r="AR191" s="134"/>
      <c r="AS191" s="134"/>
      <c r="AT191" s="131">
        <f ca="1">AT192+AT193+AT194</f>
        <v>0</v>
      </c>
      <c r="AU191" s="134"/>
      <c r="AV191" s="134"/>
      <c r="AW191" s="134"/>
      <c r="AX191" s="134"/>
      <c r="AY191" s="134"/>
      <c r="AZ191" s="134"/>
      <c r="BA191" s="134"/>
      <c r="BB191" s="134"/>
      <c r="BC191" s="134"/>
      <c r="BD191" s="692">
        <f t="shared" ca="1" si="51"/>
        <v>0</v>
      </c>
      <c r="BE191" s="134"/>
      <c r="BF191" s="134"/>
      <c r="BG191" s="134"/>
      <c r="BH191" s="134"/>
      <c r="BI191" s="134"/>
      <c r="BJ191" s="134"/>
      <c r="BK191" s="134"/>
      <c r="BL191" s="134"/>
      <c r="BM191" s="134"/>
      <c r="BN191" s="1483"/>
      <c r="BO191" s="1483"/>
      <c r="BP191" s="1483"/>
      <c r="BQ191" s="617"/>
      <c r="BR191" s="617"/>
      <c r="BS191" s="965" t="s">
        <v>1615</v>
      </c>
      <c r="BT191" s="972"/>
      <c r="BU191" s="972"/>
      <c r="BV191" s="624"/>
      <c r="BW191" s="624"/>
    </row>
    <row r="192" spans="1:75" s="1327" customFormat="1" ht="21.75" customHeight="1">
      <c r="A192" s="1177"/>
      <c r="B192" s="880"/>
      <c r="C192" s="26"/>
      <c r="D192" s="26"/>
      <c r="E192" s="538">
        <v>22.5</v>
      </c>
      <c r="F192" s="3" t="str" cm="1">
        <f t="array" aca="1" ref="F192" ca="1">OFFSET(E192,-1,1)</f>
        <v>1</v>
      </c>
      <c r="G192" s="26"/>
      <c r="H192" s="771"/>
      <c r="I192" s="771" t="s">
        <v>1199</v>
      </c>
      <c r="J192" s="26"/>
      <c r="K192" s="290" t="s">
        <v>1199</v>
      </c>
      <c r="L192" s="882"/>
      <c r="M192" s="26"/>
      <c r="N192" s="26"/>
      <c r="O192" s="26"/>
      <c r="P192" s="26"/>
      <c r="Q192" s="26"/>
      <c r="R192" s="26"/>
      <c r="S192" s="26"/>
      <c r="T192" s="381" t="b" cm="1">
        <f t="array" ref="T192">T191</f>
        <v>1</v>
      </c>
      <c r="U192" s="26"/>
      <c r="V192" s="26"/>
      <c r="W192" s="26"/>
      <c r="X192" s="1787"/>
      <c r="Y192" s="1177"/>
      <c r="Z192" s="1735"/>
      <c r="AA192" s="1177"/>
      <c r="AB192" s="216" t="s">
        <v>1200</v>
      </c>
      <c r="AC192" s="679" t="s">
        <v>1804</v>
      </c>
      <c r="AD192" s="216" t="s">
        <v>766</v>
      </c>
      <c r="AE192" s="1473"/>
      <c r="AF192" s="1473"/>
      <c r="AG192" s="1473"/>
      <c r="AH192" s="1015">
        <f t="shared" si="48"/>
        <v>0</v>
      </c>
      <c r="AI192" s="1473"/>
      <c r="AJ192" s="1473"/>
      <c r="AK192" s="1016"/>
      <c r="AL192" s="1016"/>
      <c r="AM192" s="1016"/>
      <c r="AN192" s="1016"/>
      <c r="AO192" s="1016"/>
      <c r="AP192" s="1016"/>
      <c r="AQ192" s="1016"/>
      <c r="AR192" s="1016"/>
      <c r="AS192" s="1016"/>
      <c r="AT192" s="1473"/>
      <c r="AU192" s="1016"/>
      <c r="AV192" s="1016"/>
      <c r="AW192" s="1016"/>
      <c r="AX192" s="1016"/>
      <c r="AY192" s="1016"/>
      <c r="AZ192" s="1016"/>
      <c r="BA192" s="1016"/>
      <c r="BB192" s="1016"/>
      <c r="BC192" s="1016"/>
      <c r="BD192" s="1015">
        <f t="shared" si="51"/>
        <v>0</v>
      </c>
      <c r="BE192" s="1016"/>
      <c r="BF192" s="1016"/>
      <c r="BG192" s="1016"/>
      <c r="BH192" s="1016"/>
      <c r="BI192" s="1016"/>
      <c r="BJ192" s="1016"/>
      <c r="BK192" s="1016"/>
      <c r="BL192" s="1016"/>
      <c r="BM192" s="1016"/>
      <c r="BN192" s="1482"/>
      <c r="BO192" s="1482"/>
      <c r="BP192" s="1482"/>
      <c r="BQ192" s="1177"/>
      <c r="BR192" s="1177"/>
      <c r="BS192" s="964" t="s">
        <v>1617</v>
      </c>
      <c r="BT192" s="966"/>
      <c r="BU192" s="966"/>
      <c r="BV192" s="881"/>
      <c r="BW192" s="881"/>
    </row>
    <row r="193" spans="1:75" s="1327" customFormat="1" ht="21.75" customHeight="1">
      <c r="A193" s="1177"/>
      <c r="B193" s="880"/>
      <c r="C193" s="26"/>
      <c r="D193" s="26"/>
      <c r="E193" s="538">
        <v>22.5</v>
      </c>
      <c r="F193" s="3" t="str" cm="1">
        <f t="array" aca="1" ref="F193" ca="1">OFFSET(E193,-1,1)</f>
        <v>1</v>
      </c>
      <c r="G193" s="26"/>
      <c r="H193" s="771"/>
      <c r="I193" s="771" t="s">
        <v>1203</v>
      </c>
      <c r="J193" s="26"/>
      <c r="K193" s="290" t="s">
        <v>1203</v>
      </c>
      <c r="L193" s="882"/>
      <c r="M193" s="26"/>
      <c r="N193" s="26"/>
      <c r="O193" s="26"/>
      <c r="P193" s="26"/>
      <c r="Q193" s="26"/>
      <c r="R193" s="26"/>
      <c r="S193" s="26"/>
      <c r="T193" s="381" t="b" cm="1">
        <f t="array" ref="T193">T192</f>
        <v>1</v>
      </c>
      <c r="U193" s="26"/>
      <c r="V193" s="26"/>
      <c r="W193" s="26"/>
      <c r="X193" s="1787"/>
      <c r="Y193" s="1177"/>
      <c r="Z193" s="1735"/>
      <c r="AA193" s="1177"/>
      <c r="AB193" s="216" t="s">
        <v>1204</v>
      </c>
      <c r="AC193" s="679" t="s">
        <v>1805</v>
      </c>
      <c r="AD193" s="216" t="s">
        <v>766</v>
      </c>
      <c r="AE193" s="1473"/>
      <c r="AF193" s="1473"/>
      <c r="AG193" s="1473"/>
      <c r="AH193" s="1015">
        <f t="shared" si="48"/>
        <v>0</v>
      </c>
      <c r="AI193" s="1473"/>
      <c r="AJ193" s="1473"/>
      <c r="AK193" s="1016"/>
      <c r="AL193" s="1016"/>
      <c r="AM193" s="1016"/>
      <c r="AN193" s="1016"/>
      <c r="AO193" s="1016"/>
      <c r="AP193" s="1016"/>
      <c r="AQ193" s="1016"/>
      <c r="AR193" s="1016"/>
      <c r="AS193" s="1016"/>
      <c r="AT193" s="1473"/>
      <c r="AU193" s="1016"/>
      <c r="AV193" s="1016"/>
      <c r="AW193" s="1016"/>
      <c r="AX193" s="1016"/>
      <c r="AY193" s="1016"/>
      <c r="AZ193" s="1016"/>
      <c r="BA193" s="1016"/>
      <c r="BB193" s="1016"/>
      <c r="BC193" s="1016"/>
      <c r="BD193" s="1015">
        <f t="shared" si="51"/>
        <v>0</v>
      </c>
      <c r="BE193" s="1016"/>
      <c r="BF193" s="1016"/>
      <c r="BG193" s="1016"/>
      <c r="BH193" s="1016"/>
      <c r="BI193" s="1016"/>
      <c r="BJ193" s="1016"/>
      <c r="BK193" s="1016"/>
      <c r="BL193" s="1016"/>
      <c r="BM193" s="1016"/>
      <c r="BN193" s="1482"/>
      <c r="BO193" s="1482"/>
      <c r="BP193" s="1482"/>
      <c r="BQ193" s="1177"/>
      <c r="BR193" s="1177"/>
      <c r="BS193" s="966" t="s">
        <v>1806</v>
      </c>
      <c r="BT193" s="966"/>
      <c r="BU193" s="966"/>
      <c r="BV193" s="881"/>
      <c r="BW193" s="881"/>
    </row>
    <row r="194" spans="1:75" s="1327" customFormat="1" ht="21.75" customHeight="1">
      <c r="A194" s="1177"/>
      <c r="B194" s="880"/>
      <c r="C194" s="26"/>
      <c r="D194" s="26"/>
      <c r="E194" s="538">
        <v>22.5</v>
      </c>
      <c r="F194" s="3" t="str" cm="1">
        <f t="array" aca="1" ref="F194" ca="1">OFFSET(E194,-1,1)</f>
        <v>1</v>
      </c>
      <c r="G194" s="26"/>
      <c r="H194" s="771"/>
      <c r="I194" s="771" t="s">
        <v>1207</v>
      </c>
      <c r="J194" s="26"/>
      <c r="K194" s="290" t="s">
        <v>1207</v>
      </c>
      <c r="L194" s="882" t="s">
        <v>448</v>
      </c>
      <c r="M194" s="26"/>
      <c r="N194" s="26"/>
      <c r="O194" s="26"/>
      <c r="P194" s="26"/>
      <c r="Q194" s="26"/>
      <c r="R194" s="26"/>
      <c r="S194" s="26"/>
      <c r="T194" s="381" t="b" cm="1">
        <f t="array" ref="T194">T193</f>
        <v>1</v>
      </c>
      <c r="U194" s="26"/>
      <c r="V194" s="26"/>
      <c r="W194" s="26"/>
      <c r="X194" s="1787"/>
      <c r="Y194" s="1177"/>
      <c r="Z194" s="1735"/>
      <c r="AA194" s="1177"/>
      <c r="AB194" s="216" t="s">
        <v>1208</v>
      </c>
      <c r="AC194" s="679" t="s">
        <v>1807</v>
      </c>
      <c r="AD194" s="216" t="s">
        <v>766</v>
      </c>
      <c r="AE194" s="1017">
        <f ca="1">AE195+AE196</f>
        <v>0</v>
      </c>
      <c r="AF194" s="1017">
        <f ca="1">AF195+AF196</f>
        <v>0</v>
      </c>
      <c r="AG194" s="1017">
        <f ca="1">AG195+AG196</f>
        <v>0</v>
      </c>
      <c r="AH194" s="1015">
        <f t="shared" ca="1" si="48"/>
        <v>0</v>
      </c>
      <c r="AI194" s="1017">
        <f ca="1">AI195+AI196</f>
        <v>0</v>
      </c>
      <c r="AJ194" s="1017">
        <f ca="1">AJ195+AJ196</f>
        <v>0</v>
      </c>
      <c r="AK194" s="1016"/>
      <c r="AL194" s="1016"/>
      <c r="AM194" s="1016"/>
      <c r="AN194" s="1016"/>
      <c r="AO194" s="1016"/>
      <c r="AP194" s="1016"/>
      <c r="AQ194" s="1016"/>
      <c r="AR194" s="1016"/>
      <c r="AS194" s="1016"/>
      <c r="AT194" s="1017">
        <f ca="1">AT195+AT196</f>
        <v>0</v>
      </c>
      <c r="AU194" s="1016"/>
      <c r="AV194" s="1016"/>
      <c r="AW194" s="1016"/>
      <c r="AX194" s="1016"/>
      <c r="AY194" s="1016"/>
      <c r="AZ194" s="1016"/>
      <c r="BA194" s="1016"/>
      <c r="BB194" s="1016"/>
      <c r="BC194" s="1016"/>
      <c r="BD194" s="1015">
        <f t="shared" ca="1" si="51"/>
        <v>0</v>
      </c>
      <c r="BE194" s="1016"/>
      <c r="BF194" s="1016"/>
      <c r="BG194" s="1016"/>
      <c r="BH194" s="1016"/>
      <c r="BI194" s="1016"/>
      <c r="BJ194" s="1016"/>
      <c r="BK194" s="1016"/>
      <c r="BL194" s="1016"/>
      <c r="BM194" s="1016"/>
      <c r="BN194" s="1482"/>
      <c r="BO194" s="1482"/>
      <c r="BP194" s="1482"/>
      <c r="BQ194" s="1177"/>
      <c r="BR194" s="1177"/>
      <c r="BS194" s="964" t="s">
        <v>1619</v>
      </c>
      <c r="BT194" s="966"/>
      <c r="BU194" s="966"/>
      <c r="BV194" s="881"/>
      <c r="BW194" s="881"/>
    </row>
    <row r="195" spans="1:75" s="1327" customFormat="1" ht="14.25" customHeight="1">
      <c r="A195" s="1177"/>
      <c r="B195" s="880"/>
      <c r="C195" s="26"/>
      <c r="D195" s="26"/>
      <c r="E195" s="538">
        <v>15</v>
      </c>
      <c r="F195" s="3" t="str" cm="1">
        <f t="array" aca="1" ref="F195" ca="1">OFFSET(E195,-1,1)</f>
        <v>1</v>
      </c>
      <c r="G195" s="762" t="s">
        <v>1026</v>
      </c>
      <c r="H195" s="771"/>
      <c r="I195" s="771" t="s">
        <v>1808</v>
      </c>
      <c r="J195" s="26"/>
      <c r="K195" s="290" t="s">
        <v>1808</v>
      </c>
      <c r="L195" s="882" t="s">
        <v>1620</v>
      </c>
      <c r="M195" s="26"/>
      <c r="N195" s="26"/>
      <c r="O195" s="26"/>
      <c r="P195" s="26"/>
      <c r="Q195" s="26"/>
      <c r="R195" s="26"/>
      <c r="S195" s="26"/>
      <c r="T195" s="381" t="b" cm="1">
        <f t="array" ref="T195">T194</f>
        <v>1</v>
      </c>
      <c r="U195" s="26"/>
      <c r="V195" s="26"/>
      <c r="W195" s="26"/>
      <c r="X195" s="1787"/>
      <c r="Y195" s="1177"/>
      <c r="Z195" s="1735"/>
      <c r="AA195" s="1177"/>
      <c r="AB195" s="216" t="s">
        <v>1809</v>
      </c>
      <c r="AC195" s="682" t="s">
        <v>1621</v>
      </c>
      <c r="AD195" s="216" t="s">
        <v>766</v>
      </c>
      <c r="AE195" s="1015">
        <f ca="1">SUMIFS(ФОТ!AE$25:AE$77,ФОТ!$F$25:$F$77,$F195,ФОТ!$G$25:$G$77,$G195)</f>
        <v>0</v>
      </c>
      <c r="AF195" s="1015">
        <f ca="1">SUMIFS(ФОТ!AF$25:AF$77,ФОТ!$F$25:$F$77,$F195,ФОТ!$G$25:$G$77,$G195)</f>
        <v>0</v>
      </c>
      <c r="AG195" s="1015">
        <f ca="1">SUMIFS(ФОТ!AG$25:AG$77,ФОТ!$F$25:$F$77,$F195,ФОТ!$G$25:$G$77,$G195)</f>
        <v>0</v>
      </c>
      <c r="AH195" s="1015">
        <f t="shared" ca="1" si="48"/>
        <v>0</v>
      </c>
      <c r="AI195" s="1015">
        <f ca="1">SUMIFS(ФОТ!AH$25:AH$77,ФОТ!$F$25:$F$77,$F195,ФОТ!$G$25:$G$77,$G195)</f>
        <v>0</v>
      </c>
      <c r="AJ195" s="1015">
        <f ca="1">SUMIFS(ФОТ!AI$25:AI$77,ФОТ!$F$25:$F$77,$F195,ФОТ!$G$25:$G$77,$G195)</f>
        <v>0</v>
      </c>
      <c r="AK195" s="1016"/>
      <c r="AL195" s="1016"/>
      <c r="AM195" s="1016"/>
      <c r="AN195" s="1016"/>
      <c r="AO195" s="1016"/>
      <c r="AP195" s="1016"/>
      <c r="AQ195" s="1016"/>
      <c r="AR195" s="1016"/>
      <c r="AS195" s="1016"/>
      <c r="AT195" s="1015">
        <f ca="1">SUMIFS(ФОТ!AJ$25:AJ$77,ФОТ!$F$25:$F$77,$F195,ФОТ!$G$25:$G$77,$G195)</f>
        <v>0</v>
      </c>
      <c r="AU195" s="1016"/>
      <c r="AV195" s="1016"/>
      <c r="AW195" s="1016"/>
      <c r="AX195" s="1016"/>
      <c r="AY195" s="1016"/>
      <c r="AZ195" s="1016"/>
      <c r="BA195" s="1016"/>
      <c r="BB195" s="1016"/>
      <c r="BC195" s="1016"/>
      <c r="BD195" s="1015">
        <f t="shared" ca="1" si="51"/>
        <v>0</v>
      </c>
      <c r="BE195" s="1016"/>
      <c r="BF195" s="1016"/>
      <c r="BG195" s="1016"/>
      <c r="BH195" s="1016"/>
      <c r="BI195" s="1016"/>
      <c r="BJ195" s="1016"/>
      <c r="BK195" s="1016"/>
      <c r="BL195" s="1016"/>
      <c r="BM195" s="1016"/>
      <c r="BN195" s="1482"/>
      <c r="BO195" s="1484" t="str">
        <f ca="1">IF(IFERROR(INDEX(ФОТ!$K$26:$L$77,MATCH($F195&amp;"3komm",ФОТ!$K$26:$K$77,0),2),"")=0,"",IFERROR(INDEX(ФОТ!$K$26:$L$77,MATCH($F195&amp;"3komm",ФОТ!$K$26:$K$77,0),2),""))</f>
        <v/>
      </c>
      <c r="BP195" s="1482"/>
      <c r="BQ195" s="1177"/>
      <c r="BR195" s="1177"/>
      <c r="BS195" s="964" t="s">
        <v>1622</v>
      </c>
      <c r="BT195" s="966"/>
      <c r="BU195" s="966"/>
      <c r="BV195" s="881"/>
      <c r="BW195" s="881"/>
    </row>
    <row r="196" spans="1:75" s="1327" customFormat="1" ht="21.75" customHeight="1">
      <c r="A196" s="1177"/>
      <c r="B196" s="880"/>
      <c r="C196" s="26"/>
      <c r="D196" s="26"/>
      <c r="E196" s="538">
        <v>22.5</v>
      </c>
      <c r="F196" s="3" t="str" cm="1">
        <f t="array" aca="1" ref="F196" ca="1">OFFSET(E196,-1,1)</f>
        <v>1</v>
      </c>
      <c r="G196" s="762" t="s">
        <v>1031</v>
      </c>
      <c r="H196" s="771"/>
      <c r="I196" s="771" t="s">
        <v>1810</v>
      </c>
      <c r="J196" s="26"/>
      <c r="K196" s="290" t="s">
        <v>1810</v>
      </c>
      <c r="L196" s="882" t="s">
        <v>1623</v>
      </c>
      <c r="M196" s="26"/>
      <c r="N196" s="26"/>
      <c r="O196" s="26"/>
      <c r="P196" s="26"/>
      <c r="Q196" s="26"/>
      <c r="R196" s="26"/>
      <c r="S196" s="26"/>
      <c r="T196" s="381" t="b" cm="1">
        <f t="array" ref="T196">T195</f>
        <v>1</v>
      </c>
      <c r="U196" s="26"/>
      <c r="V196" s="26"/>
      <c r="W196" s="26"/>
      <c r="X196" s="1787"/>
      <c r="Y196" s="1177"/>
      <c r="Z196" s="1735"/>
      <c r="AA196" s="1177"/>
      <c r="AB196" s="216" t="s">
        <v>1811</v>
      </c>
      <c r="AC196" s="682" t="s">
        <v>1812</v>
      </c>
      <c r="AD196" s="216" t="s">
        <v>766</v>
      </c>
      <c r="AE196" s="1015">
        <f ca="1">SUMIFS(ФОТ!AE$25:AE$77,ФОТ!$F$25:$F$77,$F196,ФОТ!$G$25:$G$77,$G196)</f>
        <v>0</v>
      </c>
      <c r="AF196" s="1015">
        <f ca="1">SUMIFS(ФОТ!AF$25:AF$77,ФОТ!$F$25:$F$77,$F196,ФОТ!$G$25:$G$77,$G196)</f>
        <v>0</v>
      </c>
      <c r="AG196" s="1015">
        <f ca="1">SUMIFS(ФОТ!AG$25:AG$77,ФОТ!$F$25:$F$77,$F196,ФОТ!$G$25:$G$77,$G196)</f>
        <v>0</v>
      </c>
      <c r="AH196" s="1015">
        <f t="shared" ca="1" si="48"/>
        <v>0</v>
      </c>
      <c r="AI196" s="1015">
        <f ca="1">SUMIFS(ФОТ!AH$25:AH$77,ФОТ!$F$25:$F$77,$F196,ФОТ!$G$25:$G$77,$G196)</f>
        <v>0</v>
      </c>
      <c r="AJ196" s="1015">
        <f ca="1">SUMIFS(ФОТ!AI$25:AI$77,ФОТ!$F$25:$F$77,$F196,ФОТ!$G$25:$G$77,$G196)</f>
        <v>0</v>
      </c>
      <c r="AK196" s="1016"/>
      <c r="AL196" s="1016"/>
      <c r="AM196" s="1016"/>
      <c r="AN196" s="1016"/>
      <c r="AO196" s="1016"/>
      <c r="AP196" s="1016"/>
      <c r="AQ196" s="1016"/>
      <c r="AR196" s="1016"/>
      <c r="AS196" s="1016"/>
      <c r="AT196" s="1015">
        <f ca="1">SUMIFS(ФОТ!AJ$25:AJ$77,ФОТ!$F$25:$F$77,$F196,ФОТ!$G$25:$G$77,$G196)</f>
        <v>0</v>
      </c>
      <c r="AU196" s="1016"/>
      <c r="AV196" s="1016"/>
      <c r="AW196" s="1016"/>
      <c r="AX196" s="1016"/>
      <c r="AY196" s="1016"/>
      <c r="AZ196" s="1016"/>
      <c r="BA196" s="1016"/>
      <c r="BB196" s="1016"/>
      <c r="BC196" s="1016"/>
      <c r="BD196" s="1015">
        <f t="shared" ca="1" si="51"/>
        <v>0</v>
      </c>
      <c r="BE196" s="1016"/>
      <c r="BF196" s="1016"/>
      <c r="BG196" s="1016"/>
      <c r="BH196" s="1016"/>
      <c r="BI196" s="1016"/>
      <c r="BJ196" s="1016"/>
      <c r="BK196" s="1016"/>
      <c r="BL196" s="1016"/>
      <c r="BM196" s="1016"/>
      <c r="BN196" s="1482"/>
      <c r="BO196" s="1484" t="str">
        <f ca="1">IF(IFERROR(INDEX(ФОТ!$K$26:$L$77,MATCH($F196&amp;"4komm",ФОТ!$K$26:$K$77,0),2),"")=0,"",IFERROR(INDEX(ФОТ!$K$26:$L$77,MATCH($F196&amp;"4komm",ФОТ!$K$26:$K$77,0),2),""))</f>
        <v/>
      </c>
      <c r="BP196" s="1482"/>
      <c r="BQ196" s="1177"/>
      <c r="BR196" s="1177"/>
      <c r="BS196" s="964" t="s">
        <v>1625</v>
      </c>
      <c r="BT196" s="966"/>
      <c r="BU196" s="966"/>
      <c r="BV196" s="881"/>
      <c r="BW196" s="881"/>
    </row>
    <row r="197" spans="1:75" s="1486" customFormat="1" ht="20.25" customHeight="1">
      <c r="A197" s="617"/>
      <c r="B197" s="352"/>
      <c r="C197" s="28"/>
      <c r="D197" s="28"/>
      <c r="E197" s="740">
        <v>21</v>
      </c>
      <c r="F197" s="3" t="str" cm="1">
        <f t="array" aca="1" ref="F197" ca="1">OFFSET(E197,-1,1)</f>
        <v>1</v>
      </c>
      <c r="G197" s="28"/>
      <c r="H197" s="771"/>
      <c r="I197" s="771" t="s">
        <v>438</v>
      </c>
      <c r="J197" s="28"/>
      <c r="K197" s="290" t="s">
        <v>438</v>
      </c>
      <c r="L197" s="887" t="s">
        <v>325</v>
      </c>
      <c r="M197" s="28"/>
      <c r="N197" s="28"/>
      <c r="O197" s="28"/>
      <c r="P197" s="28"/>
      <c r="Q197" s="28"/>
      <c r="R197" s="28"/>
      <c r="S197" s="28"/>
      <c r="T197" s="381" t="b" cm="1">
        <f t="array" ref="T197">T196</f>
        <v>1</v>
      </c>
      <c r="U197" s="28"/>
      <c r="V197" s="28"/>
      <c r="W197" s="28"/>
      <c r="X197" s="1787"/>
      <c r="Y197" s="617"/>
      <c r="Z197" s="1735"/>
      <c r="AA197" s="617"/>
      <c r="AB197" s="129" t="s">
        <v>830</v>
      </c>
      <c r="AC197" s="273" t="s">
        <v>1813</v>
      </c>
      <c r="AD197" s="129" t="s">
        <v>766</v>
      </c>
      <c r="AE197" s="131">
        <f ca="1">AE198+AE206+AE209+AE210+AE211+AE212+AE213</f>
        <v>0</v>
      </c>
      <c r="AF197" s="131">
        <f ca="1">AF198+AF206+AF209+AF210+AF211+AF212+AF213</f>
        <v>0</v>
      </c>
      <c r="AG197" s="131">
        <f ca="1">AG198+AG206+AG209+AG210+AG211+AG212+AG213</f>
        <v>0</v>
      </c>
      <c r="AH197" s="692">
        <f t="shared" ca="1" si="48"/>
        <v>0</v>
      </c>
      <c r="AI197" s="131">
        <f ca="1">AI198+AI206+AI209+AI210+AI211+AI212+AI213</f>
        <v>0</v>
      </c>
      <c r="AJ197" s="131">
        <f ca="1">AJ198+AJ206+AJ209+AJ210+AJ211+AJ212+AJ213</f>
        <v>0</v>
      </c>
      <c r="AK197" s="134"/>
      <c r="AL197" s="134"/>
      <c r="AM197" s="134"/>
      <c r="AN197" s="134"/>
      <c r="AO197" s="134"/>
      <c r="AP197" s="134"/>
      <c r="AQ197" s="134"/>
      <c r="AR197" s="134"/>
      <c r="AS197" s="134"/>
      <c r="AT197" s="131">
        <f ca="1">AT198+AT206+AT209+AT210+AT211+AT212+AT213</f>
        <v>0</v>
      </c>
      <c r="AU197" s="134"/>
      <c r="AV197" s="134"/>
      <c r="AW197" s="134"/>
      <c r="AX197" s="134"/>
      <c r="AY197" s="134"/>
      <c r="AZ197" s="134"/>
      <c r="BA197" s="134"/>
      <c r="BB197" s="134"/>
      <c r="BC197" s="134"/>
      <c r="BD197" s="692">
        <f t="shared" ca="1" si="51"/>
        <v>0</v>
      </c>
      <c r="BE197" s="134"/>
      <c r="BF197" s="134"/>
      <c r="BG197" s="134"/>
      <c r="BH197" s="134"/>
      <c r="BI197" s="134"/>
      <c r="BJ197" s="134"/>
      <c r="BK197" s="134"/>
      <c r="BL197" s="134"/>
      <c r="BM197" s="134"/>
      <c r="BN197" s="1483"/>
      <c r="BO197" s="1483"/>
      <c r="BP197" s="1483"/>
      <c r="BQ197" s="617"/>
      <c r="BR197" s="617"/>
      <c r="BS197" s="965" t="s">
        <v>1627</v>
      </c>
      <c r="BT197" s="972"/>
      <c r="BU197" s="972"/>
      <c r="BV197" s="624"/>
      <c r="BW197" s="624"/>
    </row>
    <row r="198" spans="1:75" s="1327" customFormat="1" ht="21.75" customHeight="1">
      <c r="A198" s="1177"/>
      <c r="B198" s="880"/>
      <c r="C198" s="26"/>
      <c r="D198" s="26"/>
      <c r="E198" s="538">
        <v>22.5</v>
      </c>
      <c r="F198" s="3" t="str" cm="1">
        <f t="array" aca="1" ref="F198" ca="1">OFFSET(E198,-1,1)</f>
        <v>1</v>
      </c>
      <c r="G198" s="26" t="s">
        <v>1052</v>
      </c>
      <c r="H198" s="771"/>
      <c r="I198" s="771" t="s">
        <v>1213</v>
      </c>
      <c r="J198" s="26"/>
      <c r="K198" s="290" t="s">
        <v>1213</v>
      </c>
      <c r="L198" s="882" t="s">
        <v>851</v>
      </c>
      <c r="M198" s="26"/>
      <c r="N198" s="26"/>
      <c r="O198" s="26"/>
      <c r="P198" s="26"/>
      <c r="Q198" s="26"/>
      <c r="R198" s="26"/>
      <c r="S198" s="26"/>
      <c r="T198" s="381" t="b" cm="1">
        <f t="array" ref="T198">T197</f>
        <v>1</v>
      </c>
      <c r="U198" s="26"/>
      <c r="V198" s="26"/>
      <c r="W198" s="26"/>
      <c r="X198" s="1787"/>
      <c r="Y198" s="1177"/>
      <c r="Z198" s="1735"/>
      <c r="AA198" s="1177"/>
      <c r="AB198" s="216" t="s">
        <v>941</v>
      </c>
      <c r="AC198" s="679" t="s">
        <v>1814</v>
      </c>
      <c r="AD198" s="216" t="s">
        <v>766</v>
      </c>
      <c r="AE198" s="1015">
        <f ca="1">SUMIFS(Административные!AE$25:AE$65,Административные!$F$25:$F$65,$F198,Административные!$G$25:$G$65,$G198)</f>
        <v>0</v>
      </c>
      <c r="AF198" s="1015">
        <f ca="1">SUMIFS(Административные!AF$25:AF$65,Административные!$F$25:$F$65,$F198,Административные!$G$25:$G$65,$G198)</f>
        <v>0</v>
      </c>
      <c r="AG198" s="1015">
        <f ca="1">SUMIFS(Административные!AG$25:AG$65,Административные!$F$25:$F$65,$F198,Административные!$G$25:$G$65,$G198)</f>
        <v>0</v>
      </c>
      <c r="AH198" s="1015">
        <f t="shared" ca="1" si="48"/>
        <v>0</v>
      </c>
      <c r="AI198" s="1015">
        <f ca="1">SUMIFS(Административные!AH$25:AH$65,Административные!$F$25:$F$65,$F198,Административные!$G$25:$G$65,$G198)</f>
        <v>0</v>
      </c>
      <c r="AJ198" s="1015">
        <f ca="1">SUMIFS(Административные!AI$25:AI$65,Административные!$F$25:$F$65,$F198,Административные!$G$25:$G$65,$G198)</f>
        <v>0</v>
      </c>
      <c r="AK198" s="1016"/>
      <c r="AL198" s="1016"/>
      <c r="AM198" s="1016"/>
      <c r="AN198" s="1016"/>
      <c r="AO198" s="1016"/>
      <c r="AP198" s="1016"/>
      <c r="AQ198" s="1016"/>
      <c r="AR198" s="1016"/>
      <c r="AS198" s="1016"/>
      <c r="AT198" s="1015">
        <f ca="1">SUMIFS(Административные!AJ$25:AJ$65,Административные!$F$25:$F$65,$F198,Административные!$G$25:$G$65,$G198)</f>
        <v>0</v>
      </c>
      <c r="AU198" s="1016"/>
      <c r="AV198" s="1016"/>
      <c r="AW198" s="1016"/>
      <c r="AX198" s="1016"/>
      <c r="AY198" s="1016"/>
      <c r="AZ198" s="1016"/>
      <c r="BA198" s="1016"/>
      <c r="BB198" s="1016"/>
      <c r="BC198" s="1016"/>
      <c r="BD198" s="1015">
        <f t="shared" ca="1" si="51"/>
        <v>0</v>
      </c>
      <c r="BE198" s="1016"/>
      <c r="BF198" s="1016"/>
      <c r="BG198" s="1016"/>
      <c r="BH198" s="1016"/>
      <c r="BI198" s="1016"/>
      <c r="BJ198" s="1016"/>
      <c r="BK198" s="1016"/>
      <c r="BL198" s="1016"/>
      <c r="BM198" s="1016"/>
      <c r="BN198" s="1482"/>
      <c r="BO198" s="1484" t="str">
        <f ca="1">IF(IFERROR(INDEX(Административные!$K$26:$L$65,MATCH($F198&amp;"17komm",Административные!$K$26:$K$65,0),2),"")=0,"",IFERROR(INDEX(Административные!$K$26:$L$65,MATCH($F198&amp;"17komm",Административные!$K$26:$K$65,0),2),""))</f>
        <v/>
      </c>
      <c r="BP198" s="1482"/>
      <c r="BQ198" s="1177"/>
      <c r="BR198" s="1177"/>
      <c r="BS198" s="964" t="s">
        <v>1054</v>
      </c>
      <c r="BT198" s="966"/>
      <c r="BU198" s="966"/>
      <c r="BV198" s="881"/>
      <c r="BW198" s="881"/>
    </row>
    <row r="199" spans="1:75" s="1327" customFormat="1" ht="14.25" customHeight="1">
      <c r="A199" s="1177"/>
      <c r="B199" s="880"/>
      <c r="C199" s="26"/>
      <c r="D199" s="26"/>
      <c r="E199" s="538">
        <v>15</v>
      </c>
      <c r="F199" s="3" t="str" cm="1">
        <f t="array" aca="1" ref="F199" ca="1">OFFSET(E199,-1,1)</f>
        <v>1</v>
      </c>
      <c r="G199" s="26" t="s">
        <v>1055</v>
      </c>
      <c r="H199" s="771"/>
      <c r="I199" s="771" t="s">
        <v>1815</v>
      </c>
      <c r="J199" s="26"/>
      <c r="K199" s="290" t="s">
        <v>1815</v>
      </c>
      <c r="L199" s="882"/>
      <c r="M199" s="26"/>
      <c r="N199" s="26"/>
      <c r="O199" s="26"/>
      <c r="P199" s="26"/>
      <c r="Q199" s="26"/>
      <c r="R199" s="26"/>
      <c r="S199" s="26"/>
      <c r="T199" s="381" t="b" cm="1">
        <f t="array" ref="T199">T198</f>
        <v>1</v>
      </c>
      <c r="U199" s="26"/>
      <c r="V199" s="26"/>
      <c r="W199" s="26"/>
      <c r="X199" s="1787"/>
      <c r="Y199" s="1177"/>
      <c r="Z199" s="1735"/>
      <c r="AA199" s="1177"/>
      <c r="AB199" s="216" t="s">
        <v>1816</v>
      </c>
      <c r="AC199" s="682" t="s">
        <v>1056</v>
      </c>
      <c r="AD199" s="216" t="s">
        <v>766</v>
      </c>
      <c r="AE199" s="1015">
        <f ca="1">SUMIFS(Административные!AE$25:AE$65,Административные!$F$25:$F$65,$F199,Административные!$G$25:$G$65,$G199)</f>
        <v>0</v>
      </c>
      <c r="AF199" s="1015">
        <f ca="1">SUMIFS(Административные!AF$25:AF$65,Административные!$F$25:$F$65,$F199,Административные!$G$25:$G$65,$G199)</f>
        <v>0</v>
      </c>
      <c r="AG199" s="1015">
        <f ca="1">SUMIFS(Административные!AG$25:AG$65,Административные!$F$25:$F$65,$F199,Административные!$G$25:$G$65,$G199)</f>
        <v>0</v>
      </c>
      <c r="AH199" s="1015">
        <f t="shared" ca="1" si="48"/>
        <v>0</v>
      </c>
      <c r="AI199" s="1015">
        <f ca="1">SUMIFS(Административные!AH$25:AH$65,Административные!$F$25:$F$65,$F199,Административные!$G$25:$G$65,$G199)</f>
        <v>0</v>
      </c>
      <c r="AJ199" s="1015">
        <f ca="1">SUMIFS(Административные!AI$25:AI$65,Административные!$F$25:$F$65,$F199,Административные!$G$25:$G$65,$G199)</f>
        <v>0</v>
      </c>
      <c r="AK199" s="1016"/>
      <c r="AL199" s="1016"/>
      <c r="AM199" s="1016"/>
      <c r="AN199" s="1016"/>
      <c r="AO199" s="1016"/>
      <c r="AP199" s="1016"/>
      <c r="AQ199" s="1016"/>
      <c r="AR199" s="1016"/>
      <c r="AS199" s="1016"/>
      <c r="AT199" s="1015">
        <f ca="1">SUMIFS(Административные!AJ$25:AJ$65,Административные!$F$25:$F$65,$F199,Административные!$G$25:$G$65,$G199)</f>
        <v>0</v>
      </c>
      <c r="AU199" s="1016"/>
      <c r="AV199" s="1016"/>
      <c r="AW199" s="1016"/>
      <c r="AX199" s="1016"/>
      <c r="AY199" s="1016"/>
      <c r="AZ199" s="1016"/>
      <c r="BA199" s="1016"/>
      <c r="BB199" s="1016"/>
      <c r="BC199" s="1016"/>
      <c r="BD199" s="1015">
        <f t="shared" ca="1" si="51"/>
        <v>0</v>
      </c>
      <c r="BE199" s="1016"/>
      <c r="BF199" s="1016"/>
      <c r="BG199" s="1016"/>
      <c r="BH199" s="1016"/>
      <c r="BI199" s="1016"/>
      <c r="BJ199" s="1016"/>
      <c r="BK199" s="1016"/>
      <c r="BL199" s="1016"/>
      <c r="BM199" s="1016"/>
      <c r="BN199" s="1482"/>
      <c r="BO199" s="1484" t="str">
        <f ca="1">IF(IFERROR(INDEX(Административные!$K$26:$L$65,MATCH($F199&amp;"18komm",Административные!$K$26:$K$65,0),2),"")=0,"",IFERROR(INDEX(Административные!$K$26:$L$65,MATCH($F199&amp;"18komm",Административные!$K$26:$K$65,0),2),""))</f>
        <v/>
      </c>
      <c r="BP199" s="1482"/>
      <c r="BQ199" s="1177"/>
      <c r="BR199" s="1177"/>
      <c r="BS199" s="966" t="s">
        <v>1057</v>
      </c>
      <c r="BT199" s="966"/>
      <c r="BU199" s="966"/>
      <c r="BV199" s="881"/>
      <c r="BW199" s="881"/>
    </row>
    <row r="200" spans="1:75" s="1327" customFormat="1" ht="14.25" customHeight="1">
      <c r="A200" s="1177"/>
      <c r="B200" s="880"/>
      <c r="C200" s="26"/>
      <c r="D200" s="26"/>
      <c r="E200" s="538">
        <v>15</v>
      </c>
      <c r="F200" s="3" t="str" cm="1">
        <f t="array" aca="1" ref="F200" ca="1">OFFSET(E200,-1,1)</f>
        <v>1</v>
      </c>
      <c r="G200" s="26" t="s">
        <v>1058</v>
      </c>
      <c r="H200" s="771"/>
      <c r="I200" s="771" t="s">
        <v>1817</v>
      </c>
      <c r="J200" s="26"/>
      <c r="K200" s="290" t="s">
        <v>1817</v>
      </c>
      <c r="L200" s="882"/>
      <c r="M200" s="26"/>
      <c r="N200" s="26"/>
      <c r="O200" s="26"/>
      <c r="P200" s="26"/>
      <c r="Q200" s="26"/>
      <c r="R200" s="26"/>
      <c r="S200" s="26"/>
      <c r="T200" s="381" t="b" cm="1">
        <f t="array" ref="T200">T199</f>
        <v>1</v>
      </c>
      <c r="U200" s="26"/>
      <c r="V200" s="26"/>
      <c r="W200" s="26"/>
      <c r="X200" s="1787"/>
      <c r="Y200" s="1177"/>
      <c r="Z200" s="1735"/>
      <c r="AA200" s="1177"/>
      <c r="AB200" s="216" t="s">
        <v>1818</v>
      </c>
      <c r="AC200" s="682" t="s">
        <v>1059</v>
      </c>
      <c r="AD200" s="216" t="s">
        <v>766</v>
      </c>
      <c r="AE200" s="1015">
        <f ca="1">SUMIFS(Административные!AE$25:AE$65,Административные!$F$25:$F$65,$F200,Административные!$G$25:$G$65,$G200)</f>
        <v>0</v>
      </c>
      <c r="AF200" s="1015">
        <f ca="1">SUMIFS(Административные!AF$25:AF$65,Административные!$F$25:$F$65,$F200,Административные!$G$25:$G$65,$G200)</f>
        <v>0</v>
      </c>
      <c r="AG200" s="1015">
        <f ca="1">SUMIFS(Административные!AG$25:AG$65,Административные!$F$25:$F$65,$F200,Административные!$G$25:$G$65,$G200)</f>
        <v>0</v>
      </c>
      <c r="AH200" s="1015">
        <f t="shared" ca="1" si="48"/>
        <v>0</v>
      </c>
      <c r="AI200" s="1015">
        <f ca="1">SUMIFS(Административные!AH$25:AH$65,Административные!$F$25:$F$65,$F200,Административные!$G$25:$G$65,$G200)</f>
        <v>0</v>
      </c>
      <c r="AJ200" s="1015">
        <f ca="1">SUMIFS(Административные!AI$25:AI$65,Административные!$F$25:$F$65,$F200,Административные!$G$25:$G$65,$G200)</f>
        <v>0</v>
      </c>
      <c r="AK200" s="1016"/>
      <c r="AL200" s="1016"/>
      <c r="AM200" s="1016"/>
      <c r="AN200" s="1016"/>
      <c r="AO200" s="1016"/>
      <c r="AP200" s="1016"/>
      <c r="AQ200" s="1016"/>
      <c r="AR200" s="1016"/>
      <c r="AS200" s="1016"/>
      <c r="AT200" s="1015">
        <f ca="1">SUMIFS(Административные!AJ$25:AJ$65,Административные!$F$25:$F$65,$F200,Административные!$G$25:$G$65,$G200)</f>
        <v>0</v>
      </c>
      <c r="AU200" s="1016"/>
      <c r="AV200" s="1016"/>
      <c r="AW200" s="1016"/>
      <c r="AX200" s="1016"/>
      <c r="AY200" s="1016"/>
      <c r="AZ200" s="1016"/>
      <c r="BA200" s="1016"/>
      <c r="BB200" s="1016"/>
      <c r="BC200" s="1016"/>
      <c r="BD200" s="1015">
        <f t="shared" ca="1" si="51"/>
        <v>0</v>
      </c>
      <c r="BE200" s="1016"/>
      <c r="BF200" s="1016"/>
      <c r="BG200" s="1016"/>
      <c r="BH200" s="1016"/>
      <c r="BI200" s="1016"/>
      <c r="BJ200" s="1016"/>
      <c r="BK200" s="1016"/>
      <c r="BL200" s="1016"/>
      <c r="BM200" s="1016"/>
      <c r="BN200" s="1482"/>
      <c r="BO200" s="1484" t="str">
        <f ca="1">IF(IFERROR(INDEX(Административные!$K$26:$L$65,MATCH($F200&amp;"11komm",Административные!$K$26:$K$65,0),2),"")=0,"",IFERROR(INDEX(Административные!$K$26:$L$65,MATCH($F200&amp;"11komm",Административные!$K$26:$K$65,0),2),""))</f>
        <v/>
      </c>
      <c r="BP200" s="1482"/>
      <c r="BQ200" s="1177"/>
      <c r="BR200" s="1177"/>
      <c r="BS200" s="966" t="s">
        <v>1060</v>
      </c>
      <c r="BT200" s="966"/>
      <c r="BU200" s="966"/>
      <c r="BV200" s="881"/>
      <c r="BW200" s="881"/>
    </row>
    <row r="201" spans="1:75" s="1327" customFormat="1" ht="14.25" customHeight="1">
      <c r="A201" s="1177"/>
      <c r="B201" s="880"/>
      <c r="C201" s="26"/>
      <c r="D201" s="26"/>
      <c r="E201" s="538">
        <v>15</v>
      </c>
      <c r="F201" s="3" t="str" cm="1">
        <f t="array" aca="1" ref="F201" ca="1">OFFSET(E201,-1,1)</f>
        <v>1</v>
      </c>
      <c r="G201" s="26" t="s">
        <v>1061</v>
      </c>
      <c r="H201" s="771"/>
      <c r="I201" s="771" t="s">
        <v>1819</v>
      </c>
      <c r="J201" s="26"/>
      <c r="K201" s="290" t="s">
        <v>1819</v>
      </c>
      <c r="L201" s="882"/>
      <c r="M201" s="26"/>
      <c r="N201" s="26"/>
      <c r="O201" s="26"/>
      <c r="P201" s="26"/>
      <c r="Q201" s="26"/>
      <c r="R201" s="26"/>
      <c r="S201" s="26"/>
      <c r="T201" s="381" t="b" cm="1">
        <f t="array" ref="T201">T200</f>
        <v>1</v>
      </c>
      <c r="U201" s="26"/>
      <c r="V201" s="26"/>
      <c r="W201" s="26"/>
      <c r="X201" s="1787"/>
      <c r="Y201" s="1177"/>
      <c r="Z201" s="1735"/>
      <c r="AA201" s="1177"/>
      <c r="AB201" s="216" t="s">
        <v>1820</v>
      </c>
      <c r="AC201" s="682" t="s">
        <v>1062</v>
      </c>
      <c r="AD201" s="216" t="s">
        <v>766</v>
      </c>
      <c r="AE201" s="1015">
        <f ca="1">SUMIFS(Административные!AE$25:AE$65,Административные!$F$25:$F$65,$F201,Административные!$G$25:$G$65,$G201)</f>
        <v>0</v>
      </c>
      <c r="AF201" s="1015">
        <f ca="1">SUMIFS(Административные!AF$25:AF$65,Административные!$F$25:$F$65,$F201,Административные!$G$25:$G$65,$G201)</f>
        <v>0</v>
      </c>
      <c r="AG201" s="1015">
        <f ca="1">SUMIFS(Административные!AG$25:AG$65,Административные!$F$25:$F$65,$F201,Административные!$G$25:$G$65,$G201)</f>
        <v>0</v>
      </c>
      <c r="AH201" s="1015">
        <f t="shared" ca="1" si="48"/>
        <v>0</v>
      </c>
      <c r="AI201" s="1015">
        <f ca="1">SUMIFS(Административные!AH$25:AH$65,Административные!$F$25:$F$65,$F201,Административные!$G$25:$G$65,$G201)</f>
        <v>0</v>
      </c>
      <c r="AJ201" s="1015">
        <f ca="1">SUMIFS(Административные!AI$25:AI$65,Административные!$F$25:$F$65,$F201,Административные!$G$25:$G$65,$G201)</f>
        <v>0</v>
      </c>
      <c r="AK201" s="1016"/>
      <c r="AL201" s="1016"/>
      <c r="AM201" s="1016"/>
      <c r="AN201" s="1016"/>
      <c r="AO201" s="1016"/>
      <c r="AP201" s="1016"/>
      <c r="AQ201" s="1016"/>
      <c r="AR201" s="1016"/>
      <c r="AS201" s="1016"/>
      <c r="AT201" s="1015">
        <f ca="1">SUMIFS(Административные!AJ$25:AJ$65,Административные!$F$25:$F$65,$F201,Административные!$G$25:$G$65,$G201)</f>
        <v>0</v>
      </c>
      <c r="AU201" s="1016"/>
      <c r="AV201" s="1016"/>
      <c r="AW201" s="1016"/>
      <c r="AX201" s="1016"/>
      <c r="AY201" s="1016"/>
      <c r="AZ201" s="1016"/>
      <c r="BA201" s="1016"/>
      <c r="BB201" s="1016"/>
      <c r="BC201" s="1016"/>
      <c r="BD201" s="1015">
        <f t="shared" ca="1" si="51"/>
        <v>0</v>
      </c>
      <c r="BE201" s="1016"/>
      <c r="BF201" s="1016"/>
      <c r="BG201" s="1016"/>
      <c r="BH201" s="1016"/>
      <c r="BI201" s="1016"/>
      <c r="BJ201" s="1016"/>
      <c r="BK201" s="1016"/>
      <c r="BL201" s="1016"/>
      <c r="BM201" s="1016"/>
      <c r="BN201" s="1482"/>
      <c r="BO201" s="1484" t="str">
        <f ca="1">IF(IFERROR(INDEX(Административные!$K$26:$L$65,MATCH($F201&amp;"12komm",Административные!$K$26:$K$65,0),2),"")=0,"",IFERROR(INDEX(Административные!$K$26:$L$65,MATCH($F201&amp;"12komm",Административные!$K$26:$K$65,0),2),""))</f>
        <v/>
      </c>
      <c r="BP201" s="1482"/>
      <c r="BQ201" s="1177"/>
      <c r="BR201" s="1177"/>
      <c r="BS201" s="966" t="s">
        <v>1063</v>
      </c>
      <c r="BT201" s="966"/>
      <c r="BU201" s="966"/>
      <c r="BV201" s="881"/>
      <c r="BW201" s="881"/>
    </row>
    <row r="202" spans="1:75" s="1327" customFormat="1" ht="14.25" customHeight="1">
      <c r="A202" s="1177"/>
      <c r="B202" s="880"/>
      <c r="C202" s="26"/>
      <c r="D202" s="26"/>
      <c r="E202" s="538">
        <v>15</v>
      </c>
      <c r="F202" s="3" t="str" cm="1">
        <f t="array" aca="1" ref="F202" ca="1">OFFSET(E202,-1,1)</f>
        <v>1</v>
      </c>
      <c r="G202" s="26" t="s">
        <v>1064</v>
      </c>
      <c r="H202" s="771"/>
      <c r="I202" s="771" t="s">
        <v>1821</v>
      </c>
      <c r="J202" s="26"/>
      <c r="K202" s="290" t="s">
        <v>1821</v>
      </c>
      <c r="L202" s="882"/>
      <c r="M202" s="26"/>
      <c r="N202" s="26"/>
      <c r="O202" s="26"/>
      <c r="P202" s="26"/>
      <c r="Q202" s="26"/>
      <c r="R202" s="26"/>
      <c r="S202" s="26"/>
      <c r="T202" s="381" t="b" cm="1">
        <f t="array" ref="T202">T201</f>
        <v>1</v>
      </c>
      <c r="U202" s="26"/>
      <c r="V202" s="26"/>
      <c r="W202" s="26"/>
      <c r="X202" s="1787"/>
      <c r="Y202" s="1177"/>
      <c r="Z202" s="1735"/>
      <c r="AA202" s="1177"/>
      <c r="AB202" s="216" t="s">
        <v>1822</v>
      </c>
      <c r="AC202" s="682" t="s">
        <v>1065</v>
      </c>
      <c r="AD202" s="216" t="s">
        <v>766</v>
      </c>
      <c r="AE202" s="1015">
        <f ca="1">SUMIFS(Административные!AE$25:AE$65,Административные!$F$25:$F$65,$F202,Административные!$G$25:$G$65,$G202)</f>
        <v>0</v>
      </c>
      <c r="AF202" s="1015">
        <f ca="1">SUMIFS(Административные!AF$25:AF$65,Административные!$F$25:$F$65,$F202,Административные!$G$25:$G$65,$G202)</f>
        <v>0</v>
      </c>
      <c r="AG202" s="1015">
        <f ca="1">SUMIFS(Административные!AG$25:AG$65,Административные!$F$25:$F$65,$F202,Административные!$G$25:$G$65,$G202)</f>
        <v>0</v>
      </c>
      <c r="AH202" s="1015">
        <f t="shared" ca="1" si="48"/>
        <v>0</v>
      </c>
      <c r="AI202" s="1015">
        <f ca="1">SUMIFS(Административные!AH$25:AH$65,Административные!$F$25:$F$65,$F202,Административные!$G$25:$G$65,$G202)</f>
        <v>0</v>
      </c>
      <c r="AJ202" s="1015">
        <f ca="1">SUMIFS(Административные!AI$25:AI$65,Административные!$F$25:$F$65,$F202,Административные!$G$25:$G$65,$G202)</f>
        <v>0</v>
      </c>
      <c r="AK202" s="1016"/>
      <c r="AL202" s="1016"/>
      <c r="AM202" s="1016"/>
      <c r="AN202" s="1016"/>
      <c r="AO202" s="1016"/>
      <c r="AP202" s="1016"/>
      <c r="AQ202" s="1016"/>
      <c r="AR202" s="1016"/>
      <c r="AS202" s="1016"/>
      <c r="AT202" s="1015">
        <f ca="1">SUMIFS(Административные!AJ$25:AJ$65,Административные!$F$25:$F$65,$F202,Административные!$G$25:$G$65,$G202)</f>
        <v>0</v>
      </c>
      <c r="AU202" s="1016"/>
      <c r="AV202" s="1016"/>
      <c r="AW202" s="1016"/>
      <c r="AX202" s="1016"/>
      <c r="AY202" s="1016"/>
      <c r="AZ202" s="1016"/>
      <c r="BA202" s="1016"/>
      <c r="BB202" s="1016"/>
      <c r="BC202" s="1016"/>
      <c r="BD202" s="1015">
        <f t="shared" ca="1" si="51"/>
        <v>0</v>
      </c>
      <c r="BE202" s="1016"/>
      <c r="BF202" s="1016"/>
      <c r="BG202" s="1016"/>
      <c r="BH202" s="1016"/>
      <c r="BI202" s="1016"/>
      <c r="BJ202" s="1016"/>
      <c r="BK202" s="1016"/>
      <c r="BL202" s="1016"/>
      <c r="BM202" s="1016"/>
      <c r="BN202" s="1482"/>
      <c r="BO202" s="1484" t="str">
        <f ca="1">IF(IFERROR(INDEX(Административные!$K$26:$L$65,MATCH($F202&amp;"13komm",Административные!$K$26:$K$65,0),2),"")=0,"",IFERROR(INDEX(Административные!$K$26:$L$65,MATCH($F202&amp;"13komm",Административные!$K$26:$K$65,0),2),""))</f>
        <v/>
      </c>
      <c r="BP202" s="1482"/>
      <c r="BQ202" s="1177"/>
      <c r="BR202" s="1177"/>
      <c r="BS202" s="966" t="s">
        <v>1066</v>
      </c>
      <c r="BT202" s="966"/>
      <c r="BU202" s="966"/>
      <c r="BV202" s="881"/>
      <c r="BW202" s="881"/>
    </row>
    <row r="203" spans="1:75" s="1327" customFormat="1" ht="14.25" customHeight="1">
      <c r="A203" s="1177"/>
      <c r="B203" s="880"/>
      <c r="C203" s="26"/>
      <c r="D203" s="26"/>
      <c r="E203" s="538">
        <v>15</v>
      </c>
      <c r="F203" s="3" t="str" cm="1">
        <f t="array" aca="1" ref="F203" ca="1">OFFSET(E203,-1,1)</f>
        <v>1</v>
      </c>
      <c r="G203" s="26" t="s">
        <v>1067</v>
      </c>
      <c r="H203" s="771"/>
      <c r="I203" s="771" t="s">
        <v>1823</v>
      </c>
      <c r="J203" s="26"/>
      <c r="K203" s="290" t="s">
        <v>1823</v>
      </c>
      <c r="L203" s="882"/>
      <c r="M203" s="26"/>
      <c r="N203" s="26"/>
      <c r="O203" s="26"/>
      <c r="P203" s="26"/>
      <c r="Q203" s="26"/>
      <c r="R203" s="26"/>
      <c r="S203" s="26"/>
      <c r="T203" s="381" t="b" cm="1">
        <f t="array" ref="T203">T202</f>
        <v>1</v>
      </c>
      <c r="U203" s="26"/>
      <c r="V203" s="26"/>
      <c r="W203" s="26"/>
      <c r="X203" s="1787"/>
      <c r="Y203" s="1177"/>
      <c r="Z203" s="1735"/>
      <c r="AA203" s="1177"/>
      <c r="AB203" s="216" t="s">
        <v>1824</v>
      </c>
      <c r="AC203" s="682" t="s">
        <v>1068</v>
      </c>
      <c r="AD203" s="216" t="s">
        <v>766</v>
      </c>
      <c r="AE203" s="701">
        <f ca="1">SUMIFS(Административные!AE$25:AE$65,Административные!$F$25:$F$65,$F203,Административные!$G$25:$G$65,$G203)</f>
        <v>0</v>
      </c>
      <c r="AF203" s="701">
        <f ca="1">SUMIFS(Административные!AF$25:AF$65,Административные!$F$25:$F$65,$F203,Административные!$G$25:$G$65,$G203)</f>
        <v>0</v>
      </c>
      <c r="AG203" s="701">
        <f ca="1">SUMIFS(Административные!AG$25:AG$65,Административные!$F$25:$F$65,$F203,Административные!$G$25:$G$65,$G203)</f>
        <v>0</v>
      </c>
      <c r="AH203" s="681">
        <f t="shared" ca="1" si="48"/>
        <v>0</v>
      </c>
      <c r="AI203" s="701">
        <f ca="1">SUMIFS(Административные!AH$25:AH$65,Административные!$F$25:$F$65,$F203,Административные!$G$25:$G$65,$G203)</f>
        <v>0</v>
      </c>
      <c r="AJ203" s="701">
        <f ca="1">SUMIFS(Административные!AI$25:AI$65,Административные!$F$25:$F$65,$F203,Административные!$G$25:$G$65,$G203)</f>
        <v>0</v>
      </c>
      <c r="AK203" s="677"/>
      <c r="AL203" s="677"/>
      <c r="AM203" s="677"/>
      <c r="AN203" s="677"/>
      <c r="AO203" s="677"/>
      <c r="AP203" s="677"/>
      <c r="AQ203" s="677"/>
      <c r="AR203" s="677"/>
      <c r="AS203" s="677"/>
      <c r="AT203" s="701">
        <f ca="1">SUMIFS(Административные!AJ$25:AJ$65,Административные!$F$25:$F$65,$F203,Административные!$G$25:$G$65,$G203)</f>
        <v>0</v>
      </c>
      <c r="AU203" s="1016"/>
      <c r="AV203" s="1016"/>
      <c r="AW203" s="1016"/>
      <c r="AX203" s="1016"/>
      <c r="AY203" s="1016"/>
      <c r="AZ203" s="1016"/>
      <c r="BA203" s="1016"/>
      <c r="BB203" s="1016"/>
      <c r="BC203" s="1016"/>
      <c r="BD203" s="1015">
        <f t="shared" ca="1" si="51"/>
        <v>0</v>
      </c>
      <c r="BE203" s="1016"/>
      <c r="BF203" s="1016"/>
      <c r="BG203" s="1016"/>
      <c r="BH203" s="1016"/>
      <c r="BI203" s="1016"/>
      <c r="BJ203" s="1016"/>
      <c r="BK203" s="1016"/>
      <c r="BL203" s="1016"/>
      <c r="BM203" s="1016"/>
      <c r="BN203" s="1482"/>
      <c r="BO203" s="1484" t="str">
        <f ca="1">IF(IFERROR(INDEX(Административные!$K$26:$L$65,MATCH($F203&amp;"14komm",Административные!$K$26:$K$65,0),2),"")=0,"",IFERROR(INDEX(Административные!$K$26:$L$65,MATCH($F203&amp;"14komm",Административные!$K$26:$K$65,0),2),""))</f>
        <v/>
      </c>
      <c r="BP203" s="1482"/>
      <c r="BQ203" s="1177"/>
      <c r="BR203" s="1177"/>
      <c r="BS203" s="966" t="s">
        <v>1825</v>
      </c>
      <c r="BT203" s="966"/>
      <c r="BU203" s="966"/>
      <c r="BV203" s="881"/>
      <c r="BW203" s="881"/>
    </row>
    <row r="204" spans="1:75" s="1327" customFormat="1" ht="14.25" customHeight="1">
      <c r="A204" s="1177"/>
      <c r="B204" s="880"/>
      <c r="C204" s="26"/>
      <c r="D204" s="26"/>
      <c r="E204" s="538">
        <v>15</v>
      </c>
      <c r="F204" s="3" t="str" cm="1">
        <f t="array" aca="1" ref="F204" ca="1">OFFSET(E204,-1,1)</f>
        <v>1</v>
      </c>
      <c r="G204" s="26" t="s">
        <v>1070</v>
      </c>
      <c r="H204" s="771"/>
      <c r="I204" s="771" t="s">
        <v>1826</v>
      </c>
      <c r="J204" s="26"/>
      <c r="K204" s="290" t="s">
        <v>1826</v>
      </c>
      <c r="L204" s="882"/>
      <c r="M204" s="26"/>
      <c r="N204" s="26"/>
      <c r="O204" s="26"/>
      <c r="P204" s="26"/>
      <c r="Q204" s="26"/>
      <c r="R204" s="26"/>
      <c r="S204" s="26"/>
      <c r="T204" s="381" t="b" cm="1">
        <f t="array" ref="T204">T203</f>
        <v>1</v>
      </c>
      <c r="U204" s="26"/>
      <c r="V204" s="26"/>
      <c r="W204" s="26"/>
      <c r="X204" s="1787"/>
      <c r="Y204" s="1177"/>
      <c r="Z204" s="1735"/>
      <c r="AA204" s="1177"/>
      <c r="AB204" s="216" t="s">
        <v>1827</v>
      </c>
      <c r="AC204" s="682" t="s">
        <v>1073</v>
      </c>
      <c r="AD204" s="216" t="s">
        <v>766</v>
      </c>
      <c r="AE204" s="1015">
        <f ca="1">SUMIFS(Административные!AE$25:AE$65,Административные!$F$25:$F$65,$F204,Административные!$G$25:$G$65,$G204)</f>
        <v>0</v>
      </c>
      <c r="AF204" s="1015">
        <f ca="1">SUMIFS(Административные!AF$25:AF$65,Административные!$F$25:$F$65,$F204,Административные!$G$25:$G$65,$G204)</f>
        <v>0</v>
      </c>
      <c r="AG204" s="1015">
        <f ca="1">SUMIFS(Административные!AG$25:AG$65,Административные!$F$25:$F$65,$F204,Административные!$G$25:$G$65,$G204)</f>
        <v>0</v>
      </c>
      <c r="AH204" s="1015">
        <f t="shared" ref="AH204:AH235" ca="1" si="53">AG204-AF204</f>
        <v>0</v>
      </c>
      <c r="AI204" s="1015">
        <f ca="1">SUMIFS(Административные!AH$25:AH$65,Административные!$F$25:$F$65,$F204,Административные!$G$25:$G$65,$G204)</f>
        <v>0</v>
      </c>
      <c r="AJ204" s="1015">
        <f ca="1">SUMIFS(Административные!AI$25:AI$65,Административные!$F$25:$F$65,$F204,Административные!$G$25:$G$65,$G204)</f>
        <v>0</v>
      </c>
      <c r="AK204" s="1016"/>
      <c r="AL204" s="1016"/>
      <c r="AM204" s="1016"/>
      <c r="AN204" s="1016"/>
      <c r="AO204" s="1016"/>
      <c r="AP204" s="1016"/>
      <c r="AQ204" s="1016"/>
      <c r="AR204" s="1016"/>
      <c r="AS204" s="1016"/>
      <c r="AT204" s="1015">
        <f ca="1">SUMIFS(Административные!AJ$25:AJ$65,Административные!$F$25:$F$65,$F204,Административные!$G$25:$G$65,$G204)</f>
        <v>0</v>
      </c>
      <c r="AU204" s="1016"/>
      <c r="AV204" s="1016"/>
      <c r="AW204" s="1016"/>
      <c r="AX204" s="1016"/>
      <c r="AY204" s="1016"/>
      <c r="AZ204" s="1016"/>
      <c r="BA204" s="1016"/>
      <c r="BB204" s="1016"/>
      <c r="BC204" s="1016"/>
      <c r="BD204" s="1015">
        <f t="shared" ref="BD204:BD220" ca="1" si="54">IF(AI204=0,0,(AT204-AI204)/AI204*100)</f>
        <v>0</v>
      </c>
      <c r="BE204" s="1016"/>
      <c r="BF204" s="1016"/>
      <c r="BG204" s="1016"/>
      <c r="BH204" s="1016"/>
      <c r="BI204" s="1016"/>
      <c r="BJ204" s="1016"/>
      <c r="BK204" s="1016"/>
      <c r="BL204" s="1016"/>
      <c r="BM204" s="1016"/>
      <c r="BN204" s="1482"/>
      <c r="BO204" s="1484" t="str">
        <f ca="1">IF(IFERROR(INDEX(Административные!$K$26:$L$65,MATCH($F204&amp;"15komm",Административные!$K$26:$K$65,0),2),"")=0,"",IFERROR(INDEX(Административные!$K$26:$L$65,MATCH($F204&amp;"15komm",Административные!$K$26:$K$65,0),2),""))</f>
        <v/>
      </c>
      <c r="BP204" s="1482"/>
      <c r="BQ204" s="1177"/>
      <c r="BR204" s="1177"/>
      <c r="BS204" s="966" t="s">
        <v>1074</v>
      </c>
      <c r="BT204" s="966"/>
      <c r="BU204" s="966"/>
      <c r="BV204" s="881"/>
      <c r="BW204" s="881"/>
    </row>
    <row r="205" spans="1:75" s="1327" customFormat="1" ht="14.25" customHeight="1">
      <c r="A205" s="1177"/>
      <c r="B205" s="880"/>
      <c r="C205" s="26"/>
      <c r="D205" s="26"/>
      <c r="E205" s="538">
        <v>15</v>
      </c>
      <c r="F205" s="3" t="str" cm="1">
        <f t="array" aca="1" ref="F205" ca="1">OFFSET(E205,-1,1)</f>
        <v>1</v>
      </c>
      <c r="G205" s="26" t="s">
        <v>1075</v>
      </c>
      <c r="H205" s="771"/>
      <c r="I205" s="771" t="s">
        <v>1828</v>
      </c>
      <c r="J205" s="26"/>
      <c r="K205" s="290" t="s">
        <v>1828</v>
      </c>
      <c r="L205" s="882"/>
      <c r="M205" s="26"/>
      <c r="N205" s="26"/>
      <c r="O205" s="26"/>
      <c r="P205" s="26"/>
      <c r="Q205" s="26"/>
      <c r="R205" s="26"/>
      <c r="S205" s="26"/>
      <c r="T205" s="381" t="b" cm="1">
        <f t="array" ref="T205">T204</f>
        <v>1</v>
      </c>
      <c r="U205" s="26"/>
      <c r="V205" s="26"/>
      <c r="W205" s="26"/>
      <c r="X205" s="1787"/>
      <c r="Y205" s="1177"/>
      <c r="Z205" s="1735"/>
      <c r="AA205" s="1177"/>
      <c r="AB205" s="216" t="s">
        <v>1829</v>
      </c>
      <c r="AC205" s="682" t="s">
        <v>1078</v>
      </c>
      <c r="AD205" s="216" t="s">
        <v>766</v>
      </c>
      <c r="AE205" s="1015">
        <f ca="1">SUMIFS(Административные!AE$25:AE$65,Административные!$F$25:$F$65,$F205,Административные!$G$25:$G$65,$G205)</f>
        <v>0</v>
      </c>
      <c r="AF205" s="1015">
        <f ca="1">SUMIFS(Административные!AF$25:AF$65,Административные!$F$25:$F$65,$F205,Административные!$G$25:$G$65,$G205)</f>
        <v>0</v>
      </c>
      <c r="AG205" s="1015">
        <f ca="1">SUMIFS(Административные!AG$25:AG$65,Административные!$F$25:$F$65,$F205,Административные!$G$25:$G$65,$G205)</f>
        <v>0</v>
      </c>
      <c r="AH205" s="1015">
        <f t="shared" ca="1" si="53"/>
        <v>0</v>
      </c>
      <c r="AI205" s="1015">
        <f ca="1">SUMIFS(Административные!AH$25:AH$65,Административные!$F$25:$F$65,$F205,Административные!$G$25:$G$65,$G205)</f>
        <v>0</v>
      </c>
      <c r="AJ205" s="1015">
        <f ca="1">SUMIFS(Административные!AI$25:AI$65,Административные!$F$25:$F$65,$F205,Административные!$G$25:$G$65,$G205)</f>
        <v>0</v>
      </c>
      <c r="AK205" s="1016"/>
      <c r="AL205" s="1016"/>
      <c r="AM205" s="1016"/>
      <c r="AN205" s="1016"/>
      <c r="AO205" s="1016"/>
      <c r="AP205" s="1016"/>
      <c r="AQ205" s="1016"/>
      <c r="AR205" s="1016"/>
      <c r="AS205" s="1016"/>
      <c r="AT205" s="1015">
        <f ca="1">SUMIFS(Административные!AJ$25:AJ$65,Административные!$F$25:$F$65,$F205,Административные!$G$25:$G$65,$G205)</f>
        <v>0</v>
      </c>
      <c r="AU205" s="1016"/>
      <c r="AV205" s="1016"/>
      <c r="AW205" s="1016"/>
      <c r="AX205" s="1016"/>
      <c r="AY205" s="1016"/>
      <c r="AZ205" s="1016"/>
      <c r="BA205" s="1016"/>
      <c r="BB205" s="1016"/>
      <c r="BC205" s="1016"/>
      <c r="BD205" s="1015">
        <f t="shared" ca="1" si="54"/>
        <v>0</v>
      </c>
      <c r="BE205" s="1016"/>
      <c r="BF205" s="1016"/>
      <c r="BG205" s="1016"/>
      <c r="BH205" s="1016"/>
      <c r="BI205" s="1016"/>
      <c r="BJ205" s="1016"/>
      <c r="BK205" s="1016"/>
      <c r="BL205" s="1016"/>
      <c r="BM205" s="1016"/>
      <c r="BN205" s="1482"/>
      <c r="BO205" s="1484" t="str">
        <f ca="1">IF(IFERROR(INDEX(Административные!$K$26:$L$65,MATCH($F205&amp;"16komm",Административные!$K$26:$K$65,0),2),"")=0,"",IFERROR(INDEX(Административные!$K$26:$L$65,MATCH($F205&amp;"16komm",Административные!$K$26:$K$65,0),2),""))</f>
        <v/>
      </c>
      <c r="BP205" s="1482"/>
      <c r="BQ205" s="1177"/>
      <c r="BR205" s="1177"/>
      <c r="BS205" s="966" t="s">
        <v>1830</v>
      </c>
      <c r="BT205" s="966"/>
      <c r="BU205" s="966"/>
      <c r="BV205" s="881"/>
      <c r="BW205" s="881"/>
    </row>
    <row r="206" spans="1:75" s="1327" customFormat="1" ht="21.75" customHeight="1">
      <c r="A206" s="1177"/>
      <c r="B206" s="880"/>
      <c r="C206" s="26"/>
      <c r="D206" s="26"/>
      <c r="E206" s="538">
        <v>22.5</v>
      </c>
      <c r="F206" s="3" t="str" cm="1">
        <f t="array" aca="1" ref="F206" ca="1">OFFSET(E206,-1,1)</f>
        <v>1</v>
      </c>
      <c r="G206" s="26"/>
      <c r="H206" s="771"/>
      <c r="I206" s="771" t="s">
        <v>1214</v>
      </c>
      <c r="J206" s="26"/>
      <c r="K206" s="290" t="s">
        <v>1214</v>
      </c>
      <c r="L206" s="882" t="s">
        <v>853</v>
      </c>
      <c r="M206" s="26"/>
      <c r="N206" s="26"/>
      <c r="O206" s="26"/>
      <c r="P206" s="26"/>
      <c r="Q206" s="26"/>
      <c r="R206" s="26"/>
      <c r="S206" s="26"/>
      <c r="T206" s="381" t="b" cm="1">
        <f t="array" ref="T206">T205</f>
        <v>1</v>
      </c>
      <c r="U206" s="26"/>
      <c r="V206" s="26"/>
      <c r="W206" s="26"/>
      <c r="X206" s="1787"/>
      <c r="Y206" s="1177"/>
      <c r="Z206" s="1735"/>
      <c r="AA206" s="1177"/>
      <c r="AB206" s="216" t="s">
        <v>944</v>
      </c>
      <c r="AC206" s="679" t="s">
        <v>1831</v>
      </c>
      <c r="AD206" s="216" t="s">
        <v>766</v>
      </c>
      <c r="AE206" s="1017">
        <f ca="1">AE207+AE208</f>
        <v>0</v>
      </c>
      <c r="AF206" s="1017">
        <f ca="1">AF207+AF208</f>
        <v>0</v>
      </c>
      <c r="AG206" s="1017">
        <f ca="1">AG207+AG208</f>
        <v>0</v>
      </c>
      <c r="AH206" s="1015">
        <f t="shared" ca="1" si="53"/>
        <v>0</v>
      </c>
      <c r="AI206" s="1017">
        <f ca="1">AI207+AI208</f>
        <v>0</v>
      </c>
      <c r="AJ206" s="1017">
        <f ca="1">AJ207+AJ208</f>
        <v>0</v>
      </c>
      <c r="AK206" s="1016"/>
      <c r="AL206" s="1016"/>
      <c r="AM206" s="1016"/>
      <c r="AN206" s="1016"/>
      <c r="AO206" s="1016"/>
      <c r="AP206" s="1016"/>
      <c r="AQ206" s="1016"/>
      <c r="AR206" s="1016"/>
      <c r="AS206" s="1016"/>
      <c r="AT206" s="1017">
        <f ca="1">AT207+AT208</f>
        <v>0</v>
      </c>
      <c r="AU206" s="1016"/>
      <c r="AV206" s="1016"/>
      <c r="AW206" s="1016"/>
      <c r="AX206" s="1016"/>
      <c r="AY206" s="1016"/>
      <c r="AZ206" s="1016"/>
      <c r="BA206" s="1016"/>
      <c r="BB206" s="1016"/>
      <c r="BC206" s="1016"/>
      <c r="BD206" s="1015">
        <f t="shared" ca="1" si="54"/>
        <v>0</v>
      </c>
      <c r="BE206" s="1016"/>
      <c r="BF206" s="1016"/>
      <c r="BG206" s="1016"/>
      <c r="BH206" s="1016"/>
      <c r="BI206" s="1016"/>
      <c r="BJ206" s="1016"/>
      <c r="BK206" s="1016"/>
      <c r="BL206" s="1016"/>
      <c r="BM206" s="1016"/>
      <c r="BN206" s="1482"/>
      <c r="BO206" s="1482"/>
      <c r="BP206" s="1482"/>
      <c r="BQ206" s="1177"/>
      <c r="BR206" s="1177"/>
      <c r="BS206" s="964" t="s">
        <v>1630</v>
      </c>
      <c r="BT206" s="966"/>
      <c r="BU206" s="966"/>
      <c r="BV206" s="881"/>
      <c r="BW206" s="881"/>
    </row>
    <row r="207" spans="1:75" s="1327" customFormat="1" ht="14.25" customHeight="1">
      <c r="A207" s="1177"/>
      <c r="B207" s="880"/>
      <c r="C207" s="26"/>
      <c r="D207" s="26"/>
      <c r="E207" s="538">
        <v>15</v>
      </c>
      <c r="F207" s="3" t="str" cm="1">
        <f t="array" aca="1" ref="F207" ca="1">OFFSET(E207,-1,1)</f>
        <v>1</v>
      </c>
      <c r="G207" s="26" t="s">
        <v>1034</v>
      </c>
      <c r="H207" s="771"/>
      <c r="I207" s="771" t="s">
        <v>1832</v>
      </c>
      <c r="J207" s="26"/>
      <c r="K207" s="290" t="s">
        <v>1832</v>
      </c>
      <c r="L207" s="882" t="s">
        <v>463</v>
      </c>
      <c r="M207" s="26"/>
      <c r="N207" s="26"/>
      <c r="O207" s="26"/>
      <c r="P207" s="26"/>
      <c r="Q207" s="26"/>
      <c r="R207" s="26"/>
      <c r="S207" s="26"/>
      <c r="T207" s="381" t="b" cm="1">
        <f t="array" ref="T207">T206</f>
        <v>1</v>
      </c>
      <c r="U207" s="26"/>
      <c r="V207" s="26"/>
      <c r="W207" s="26"/>
      <c r="X207" s="1787"/>
      <c r="Y207" s="1177"/>
      <c r="Z207" s="1735"/>
      <c r="AA207" s="1177"/>
      <c r="AB207" s="216" t="s">
        <v>1833</v>
      </c>
      <c r="AC207" s="682" t="s">
        <v>1631</v>
      </c>
      <c r="AD207" s="685" t="s">
        <v>766</v>
      </c>
      <c r="AE207" s="1015">
        <f ca="1">SUMIFS(ФОТ!AE$25:AE$77,ФОТ!$F$25:$F$77,$F207,ФОТ!$G$25:$G$77,$G207)</f>
        <v>0</v>
      </c>
      <c r="AF207" s="1015">
        <f ca="1">SUMIFS(ФОТ!AF$25:AF$77,ФОТ!$F$25:$F$77,$F207,ФОТ!$G$25:$G$77,$G207)</f>
        <v>0</v>
      </c>
      <c r="AG207" s="1015">
        <f ca="1">SUMIFS(ФОТ!AG$25:AG$77,ФОТ!$F$25:$F$77,$F207,ФОТ!$G$25:$G$77,$G207)</f>
        <v>0</v>
      </c>
      <c r="AH207" s="1015">
        <f t="shared" ca="1" si="53"/>
        <v>0</v>
      </c>
      <c r="AI207" s="1015">
        <f ca="1">SUMIFS(ФОТ!AH$25:AH$77,ФОТ!$F$25:$F$77,$F207,ФОТ!$G$25:$G$77,$G207)</f>
        <v>0</v>
      </c>
      <c r="AJ207" s="1015">
        <f ca="1">SUMIFS(ФОТ!AI$25:AI$77,ФОТ!$F$25:$F$77,$F207,ФОТ!$G$25:$G$77,$G207)</f>
        <v>0</v>
      </c>
      <c r="AK207" s="1016"/>
      <c r="AL207" s="1016"/>
      <c r="AM207" s="1016"/>
      <c r="AN207" s="1016"/>
      <c r="AO207" s="1016"/>
      <c r="AP207" s="1016"/>
      <c r="AQ207" s="1016"/>
      <c r="AR207" s="1016"/>
      <c r="AS207" s="1016"/>
      <c r="AT207" s="1015">
        <f ca="1">SUMIFS(ФОТ!AJ$25:AJ$77,ФОТ!$F$25:$F$77,$F207,ФОТ!$G$25:$G$77,$G207)</f>
        <v>0</v>
      </c>
      <c r="AU207" s="1016"/>
      <c r="AV207" s="1016"/>
      <c r="AW207" s="1016"/>
      <c r="AX207" s="1016"/>
      <c r="AY207" s="1016"/>
      <c r="AZ207" s="1016"/>
      <c r="BA207" s="1016"/>
      <c r="BB207" s="1016"/>
      <c r="BC207" s="1016"/>
      <c r="BD207" s="1015">
        <f t="shared" ca="1" si="54"/>
        <v>0</v>
      </c>
      <c r="BE207" s="1016"/>
      <c r="BF207" s="1016"/>
      <c r="BG207" s="1016"/>
      <c r="BH207" s="1016"/>
      <c r="BI207" s="1016"/>
      <c r="BJ207" s="1016"/>
      <c r="BK207" s="1016"/>
      <c r="BL207" s="1016"/>
      <c r="BM207" s="1016"/>
      <c r="BN207" s="1482"/>
      <c r="BO207" s="1484" t="str">
        <f ca="1">IF(IFERROR(INDEX(ФОТ!$K$26:$L$77,MATCH($F207&amp;"5komm",ФОТ!$K$26:$K$77,0),2),"")=0,"",IFERROR(INDEX(ФОТ!$K$26:$L$77,MATCH($F207&amp;"5komm",ФОТ!$K$26:$K$77,0),2),""))</f>
        <v/>
      </c>
      <c r="BP207" s="1482"/>
      <c r="BQ207" s="1177"/>
      <c r="BR207" s="1177"/>
      <c r="BS207" s="964" t="s">
        <v>1051</v>
      </c>
      <c r="BT207" s="966"/>
      <c r="BU207" s="966"/>
      <c r="BV207" s="881"/>
      <c r="BW207" s="881"/>
    </row>
    <row r="208" spans="1:75" s="1327" customFormat="1" ht="21.75" customHeight="1">
      <c r="A208" s="1177"/>
      <c r="B208" s="880"/>
      <c r="C208" s="26"/>
      <c r="D208" s="26"/>
      <c r="E208" s="538">
        <v>22.5</v>
      </c>
      <c r="F208" s="3" t="str" cm="1">
        <f t="array" aca="1" ref="F208" ca="1">OFFSET(E208,-1,1)</f>
        <v>1</v>
      </c>
      <c r="G208" s="26" t="s">
        <v>1039</v>
      </c>
      <c r="H208" s="771"/>
      <c r="I208" s="771" t="s">
        <v>1834</v>
      </c>
      <c r="J208" s="26"/>
      <c r="K208" s="290" t="s">
        <v>1834</v>
      </c>
      <c r="L208" s="882" t="s">
        <v>468</v>
      </c>
      <c r="M208" s="26"/>
      <c r="N208" s="26"/>
      <c r="O208" s="26"/>
      <c r="P208" s="26"/>
      <c r="Q208" s="26"/>
      <c r="R208" s="26"/>
      <c r="S208" s="26"/>
      <c r="T208" s="381" t="b" cm="1">
        <f t="array" ref="T208">T207</f>
        <v>1</v>
      </c>
      <c r="U208" s="26"/>
      <c r="V208" s="26"/>
      <c r="W208" s="26"/>
      <c r="X208" s="1787"/>
      <c r="Y208" s="1177"/>
      <c r="Z208" s="1735"/>
      <c r="AA208" s="1177"/>
      <c r="AB208" s="216" t="s">
        <v>1835</v>
      </c>
      <c r="AC208" s="682" t="s">
        <v>1836</v>
      </c>
      <c r="AD208" s="216" t="s">
        <v>766</v>
      </c>
      <c r="AE208" s="1015">
        <f ca="1">SUMIFS(ФОТ!AE$25:AE$77,ФОТ!$F$25:$F$77,$F208,ФОТ!$G$25:$G$77,$G208)</f>
        <v>0</v>
      </c>
      <c r="AF208" s="1015">
        <f ca="1">SUMIFS(ФОТ!AF$25:AF$77,ФОТ!$F$25:$F$77,$F208,ФОТ!$G$25:$G$77,$G208)</f>
        <v>0</v>
      </c>
      <c r="AG208" s="1015">
        <f ca="1">SUMIFS(ФОТ!AG$25:AG$77,ФОТ!$F$25:$F$77,$F208,ФОТ!$G$25:$G$77,$G208)</f>
        <v>0</v>
      </c>
      <c r="AH208" s="1015">
        <f t="shared" ca="1" si="53"/>
        <v>0</v>
      </c>
      <c r="AI208" s="1015">
        <f ca="1">SUMIFS(ФОТ!AH$25:AH$77,ФОТ!$F$25:$F$77,$F208,ФОТ!$G$25:$G$77,$G208)</f>
        <v>0</v>
      </c>
      <c r="AJ208" s="1015">
        <f ca="1">SUMIFS(ФОТ!AI$25:AI$77,ФОТ!$F$25:$F$77,$F208,ФОТ!$G$25:$G$77,$G208)</f>
        <v>0</v>
      </c>
      <c r="AK208" s="1016"/>
      <c r="AL208" s="1016"/>
      <c r="AM208" s="1016"/>
      <c r="AN208" s="1016"/>
      <c r="AO208" s="1016"/>
      <c r="AP208" s="1016"/>
      <c r="AQ208" s="1016"/>
      <c r="AR208" s="1016"/>
      <c r="AS208" s="1016"/>
      <c r="AT208" s="1015">
        <f ca="1">SUMIFS(ФОТ!AJ$25:AJ$77,ФОТ!$F$25:$F$77,$F208,ФОТ!$G$25:$G$77,$G208)</f>
        <v>0</v>
      </c>
      <c r="AU208" s="1016"/>
      <c r="AV208" s="1016"/>
      <c r="AW208" s="1016"/>
      <c r="AX208" s="1016"/>
      <c r="AY208" s="1016"/>
      <c r="AZ208" s="1016"/>
      <c r="BA208" s="1016"/>
      <c r="BB208" s="1016"/>
      <c r="BC208" s="1016"/>
      <c r="BD208" s="1015">
        <f t="shared" ca="1" si="54"/>
        <v>0</v>
      </c>
      <c r="BE208" s="1016"/>
      <c r="BF208" s="1016"/>
      <c r="BG208" s="1016"/>
      <c r="BH208" s="1016"/>
      <c r="BI208" s="1016"/>
      <c r="BJ208" s="1016"/>
      <c r="BK208" s="1016"/>
      <c r="BL208" s="1016"/>
      <c r="BM208" s="1016"/>
      <c r="BN208" s="1482"/>
      <c r="BO208" s="1484" t="str">
        <f ca="1">IF(IFERROR(INDEX(ФОТ!$K$26:$L$77,MATCH($F208&amp;"6komm",ФОТ!$K$26:$K$77,0),2),"")=0,"",IFERROR(INDEX(ФОТ!$K$26:$L$77,MATCH($F208&amp;"6komm",ФОТ!$K$26:$K$77,0),2),""))</f>
        <v/>
      </c>
      <c r="BP208" s="1482"/>
      <c r="BQ208" s="1177"/>
      <c r="BR208" s="1177"/>
      <c r="BS208" s="964" t="s">
        <v>1633</v>
      </c>
      <c r="BT208" s="966"/>
      <c r="BU208" s="966"/>
      <c r="BV208" s="881"/>
      <c r="BW208" s="881"/>
    </row>
    <row r="209" spans="1:75" s="1327" customFormat="1" ht="32.25" customHeight="1">
      <c r="A209" s="1177"/>
      <c r="B209" s="880"/>
      <c r="C209" s="26"/>
      <c r="D209" s="26"/>
      <c r="E209" s="538">
        <v>33.75</v>
      </c>
      <c r="F209" s="3" t="str" cm="1">
        <f t="array" aca="1" ref="F209" ca="1">OFFSET(E209,-1,1)</f>
        <v>1</v>
      </c>
      <c r="G209" s="762" t="s">
        <v>1080</v>
      </c>
      <c r="H209" s="771"/>
      <c r="I209" s="771" t="s">
        <v>1217</v>
      </c>
      <c r="J209" s="26"/>
      <c r="K209" s="290" t="s">
        <v>1217</v>
      </c>
      <c r="L209" s="882" t="s">
        <v>855</v>
      </c>
      <c r="M209" s="26"/>
      <c r="N209" s="26"/>
      <c r="O209" s="26"/>
      <c r="P209" s="26"/>
      <c r="Q209" s="26"/>
      <c r="R209" s="26"/>
      <c r="S209" s="26"/>
      <c r="T209" s="381" t="b" cm="1">
        <f t="array" ref="T209">T208</f>
        <v>1</v>
      </c>
      <c r="U209" s="26"/>
      <c r="V209" s="26"/>
      <c r="W209" s="26"/>
      <c r="X209" s="1787"/>
      <c r="Y209" s="1177"/>
      <c r="Z209" s="1735"/>
      <c r="AA209" s="1177"/>
      <c r="AB209" s="216" t="s">
        <v>1218</v>
      </c>
      <c r="AC209" s="679" t="s">
        <v>1837</v>
      </c>
      <c r="AD209" s="216" t="s">
        <v>766</v>
      </c>
      <c r="AE209" s="1015">
        <f ca="1">SUMIFS(Административные!AE$25:AE$65,Административные!$F$25:$F$65,$F209,Административные!$G$25:$G$65,$G209)</f>
        <v>0</v>
      </c>
      <c r="AF209" s="1015">
        <f ca="1">SUMIFS(Административные!AF$25:AF$65,Административные!$F$25:$F$65,$F209,Административные!$G$25:$G$65,$G209)</f>
        <v>0</v>
      </c>
      <c r="AG209" s="1015">
        <f ca="1">SUMIFS(Административные!AG$25:AG$65,Административные!$F$25:$F$65,$F209,Административные!$G$25:$G$65,$G209)</f>
        <v>0</v>
      </c>
      <c r="AH209" s="1015">
        <f t="shared" ca="1" si="53"/>
        <v>0</v>
      </c>
      <c r="AI209" s="1015">
        <f ca="1">SUMIFS(Административные!AH$25:AH$65,Административные!$F$25:$F$65,$F209,Административные!$G$25:$G$65,$G209)</f>
        <v>0</v>
      </c>
      <c r="AJ209" s="1015">
        <f ca="1">SUMIFS(Административные!AI$25:AI$65,Административные!$F$25:$F$65,$F209,Административные!$G$25:$G$65,$G209)</f>
        <v>0</v>
      </c>
      <c r="AK209" s="1016"/>
      <c r="AL209" s="1016"/>
      <c r="AM209" s="1016"/>
      <c r="AN209" s="1016"/>
      <c r="AO209" s="1016"/>
      <c r="AP209" s="1016"/>
      <c r="AQ209" s="1016"/>
      <c r="AR209" s="1016"/>
      <c r="AS209" s="1016"/>
      <c r="AT209" s="1015">
        <f ca="1">SUMIFS(Административные!AJ$25:AJ$65,Административные!$F$25:$F$65,$F209,Административные!$G$25:$G$65,$G209)</f>
        <v>0</v>
      </c>
      <c r="AU209" s="1016"/>
      <c r="AV209" s="1016"/>
      <c r="AW209" s="1016"/>
      <c r="AX209" s="1016"/>
      <c r="AY209" s="1016"/>
      <c r="AZ209" s="1016"/>
      <c r="BA209" s="1016"/>
      <c r="BB209" s="1016"/>
      <c r="BC209" s="1016"/>
      <c r="BD209" s="1015">
        <f t="shared" ca="1" si="54"/>
        <v>0</v>
      </c>
      <c r="BE209" s="1016"/>
      <c r="BF209" s="1016"/>
      <c r="BG209" s="1016"/>
      <c r="BH209" s="1016"/>
      <c r="BI209" s="1016"/>
      <c r="BJ209" s="1016"/>
      <c r="BK209" s="1016"/>
      <c r="BL209" s="1016"/>
      <c r="BM209" s="1016"/>
      <c r="BN209" s="1482"/>
      <c r="BO209" s="1484" t="str">
        <f ca="1">IF(IFERROR(INDEX(Административные!$K$26:$L$65,MATCH($F209&amp;"2komm",Административные!$K$26:$K$65,0),2),"")=0,"",IFERROR(INDEX(Административные!$K$26:$L$65,MATCH($F209&amp;"2komm",Административные!$K$26:$K$65,0),2),""))</f>
        <v/>
      </c>
      <c r="BP209" s="1482"/>
      <c r="BQ209" s="1177"/>
      <c r="BR209" s="1177"/>
      <c r="BS209" s="964" t="s">
        <v>1082</v>
      </c>
      <c r="BT209" s="966"/>
      <c r="BU209" s="966"/>
      <c r="BV209" s="881"/>
      <c r="BW209" s="881"/>
    </row>
    <row r="210" spans="1:75" s="1327" customFormat="1" ht="14.25" customHeight="1">
      <c r="A210" s="1177"/>
      <c r="B210" s="880"/>
      <c r="C210" s="26"/>
      <c r="D210" s="26"/>
      <c r="E210" s="538">
        <v>15</v>
      </c>
      <c r="F210" s="3" t="str" cm="1">
        <f t="array" aca="1" ref="F210" ca="1">OFFSET(E210,-1,1)</f>
        <v>1</v>
      </c>
      <c r="G210" s="762" t="s">
        <v>1083</v>
      </c>
      <c r="H210" s="771"/>
      <c r="I210" s="771" t="s">
        <v>1221</v>
      </c>
      <c r="J210" s="26"/>
      <c r="K210" s="290" t="s">
        <v>1221</v>
      </c>
      <c r="L210" s="882" t="s">
        <v>857</v>
      </c>
      <c r="M210" s="26"/>
      <c r="N210" s="26"/>
      <c r="O210" s="26"/>
      <c r="P210" s="26"/>
      <c r="Q210" s="26"/>
      <c r="R210" s="26"/>
      <c r="S210" s="26"/>
      <c r="T210" s="381" t="b" cm="1">
        <f t="array" ref="T210">T209</f>
        <v>1</v>
      </c>
      <c r="U210" s="26"/>
      <c r="V210" s="26"/>
      <c r="W210" s="26"/>
      <c r="X210" s="1787"/>
      <c r="Y210" s="1177"/>
      <c r="Z210" s="1735"/>
      <c r="AA210" s="1177"/>
      <c r="AB210" s="216" t="s">
        <v>1222</v>
      </c>
      <c r="AC210" s="679" t="s">
        <v>1838</v>
      </c>
      <c r="AD210" s="216" t="s">
        <v>766</v>
      </c>
      <c r="AE210" s="1015">
        <f ca="1">SUMIFS(Административные!AE$25:AE$65,Административные!$F$25:$F$65,$F210,Административные!$G$25:$G$65,$G210)</f>
        <v>0</v>
      </c>
      <c r="AF210" s="1015">
        <f ca="1">SUMIFS(Административные!AF$25:AF$65,Административные!$F$25:$F$65,$F210,Административные!$G$25:$G$65,$G210)</f>
        <v>0</v>
      </c>
      <c r="AG210" s="1015">
        <f ca="1">SUMIFS(Административные!AG$25:AG$65,Административные!$F$25:$F$65,$F210,Административные!$G$25:$G$65,$G210)</f>
        <v>0</v>
      </c>
      <c r="AH210" s="1015">
        <f t="shared" ca="1" si="53"/>
        <v>0</v>
      </c>
      <c r="AI210" s="1015">
        <f ca="1">SUMIFS(Административные!AH$25:AH$65,Административные!$F$25:$F$65,$F210,Административные!$G$25:$G$65,$G210)</f>
        <v>0</v>
      </c>
      <c r="AJ210" s="1015">
        <f ca="1">SUMIFS(Административные!AI$25:AI$65,Административные!$F$25:$F$65,$F210,Административные!$G$25:$G$65,$G210)</f>
        <v>0</v>
      </c>
      <c r="AK210" s="1016"/>
      <c r="AL210" s="1016"/>
      <c r="AM210" s="1016"/>
      <c r="AN210" s="1016"/>
      <c r="AO210" s="1016"/>
      <c r="AP210" s="1016"/>
      <c r="AQ210" s="1016"/>
      <c r="AR210" s="1016"/>
      <c r="AS210" s="1016"/>
      <c r="AT210" s="1015">
        <f ca="1">SUMIFS(Административные!AJ$25:AJ$65,Административные!$F$25:$F$65,$F210,Административные!$G$25:$G$65,$G210)</f>
        <v>0</v>
      </c>
      <c r="AU210" s="1016"/>
      <c r="AV210" s="1016"/>
      <c r="AW210" s="1016"/>
      <c r="AX210" s="1016"/>
      <c r="AY210" s="1016"/>
      <c r="AZ210" s="1016"/>
      <c r="BA210" s="1016"/>
      <c r="BB210" s="1016"/>
      <c r="BC210" s="1016"/>
      <c r="BD210" s="1015">
        <f t="shared" ca="1" si="54"/>
        <v>0</v>
      </c>
      <c r="BE210" s="1016"/>
      <c r="BF210" s="1016"/>
      <c r="BG210" s="1016"/>
      <c r="BH210" s="1016"/>
      <c r="BI210" s="1016"/>
      <c r="BJ210" s="1016"/>
      <c r="BK210" s="1016"/>
      <c r="BL210" s="1016"/>
      <c r="BM210" s="1016"/>
      <c r="BN210" s="1482"/>
      <c r="BO210" s="1484" t="str">
        <f ca="1">IF(IFERROR(INDEX(Административные!$K$26:$L$65,MATCH($F210&amp;"3komm",Административные!$K$26:$K$65,0),2),"")=0,"",IFERROR(INDEX(Административные!$K$26:$L$65,MATCH($F210&amp;"3komm",Административные!$K$26:$K$65,0),2),""))</f>
        <v/>
      </c>
      <c r="BP210" s="1482"/>
      <c r="BQ210" s="1177"/>
      <c r="BR210" s="1177"/>
      <c r="BS210" s="964" t="s">
        <v>1085</v>
      </c>
      <c r="BT210" s="966"/>
      <c r="BU210" s="966"/>
      <c r="BV210" s="881"/>
      <c r="BW210" s="881"/>
    </row>
    <row r="211" spans="1:75" s="1327" customFormat="1" ht="14.25" customHeight="1">
      <c r="A211" s="1177"/>
      <c r="B211" s="880"/>
      <c r="C211" s="26"/>
      <c r="D211" s="26"/>
      <c r="E211" s="538">
        <v>15</v>
      </c>
      <c r="F211" s="3" t="str" cm="1">
        <f t="array" aca="1" ref="F211" ca="1">OFFSET(E211,-1,1)</f>
        <v>1</v>
      </c>
      <c r="G211" s="762" t="s">
        <v>1086</v>
      </c>
      <c r="H211" s="771"/>
      <c r="I211" s="771" t="s">
        <v>1839</v>
      </c>
      <c r="J211" s="26"/>
      <c r="K211" s="290" t="s">
        <v>1839</v>
      </c>
      <c r="L211" s="882" t="s">
        <v>860</v>
      </c>
      <c r="M211" s="26"/>
      <c r="N211" s="26"/>
      <c r="O211" s="26"/>
      <c r="P211" s="26"/>
      <c r="Q211" s="26"/>
      <c r="R211" s="26"/>
      <c r="S211" s="26"/>
      <c r="T211" s="381" t="b" cm="1">
        <f t="array" ref="T211">T210</f>
        <v>1</v>
      </c>
      <c r="U211" s="26"/>
      <c r="V211" s="26"/>
      <c r="W211" s="26"/>
      <c r="X211" s="1787"/>
      <c r="Y211" s="1177"/>
      <c r="Z211" s="1735"/>
      <c r="AA211" s="1177"/>
      <c r="AB211" s="216" t="s">
        <v>1840</v>
      </c>
      <c r="AC211" s="679" t="s">
        <v>1841</v>
      </c>
      <c r="AD211" s="216" t="s">
        <v>766</v>
      </c>
      <c r="AE211" s="1015">
        <f ca="1">SUMIFS(Административные!AE$25:AE$65,Административные!$F$25:$F$65,$F211,Административные!$G$25:$G$65,$G211)</f>
        <v>0</v>
      </c>
      <c r="AF211" s="1015">
        <f ca="1">SUMIFS(Административные!AF$25:AF$65,Административные!$F$25:$F$65,$F211,Административные!$G$25:$G$65,$G211)</f>
        <v>0</v>
      </c>
      <c r="AG211" s="1015">
        <f ca="1">SUMIFS(Административные!AG$25:AG$65,Административные!$F$25:$F$65,$F211,Административные!$G$25:$G$65,$G211)</f>
        <v>0</v>
      </c>
      <c r="AH211" s="1015">
        <f t="shared" ca="1" si="53"/>
        <v>0</v>
      </c>
      <c r="AI211" s="1015">
        <f ca="1">SUMIFS(Административные!AH$25:AH$65,Административные!$F$25:$F$65,$F211,Административные!$G$25:$G$65,$G211)</f>
        <v>0</v>
      </c>
      <c r="AJ211" s="1015">
        <f ca="1">SUMIFS(Административные!AI$25:AI$65,Административные!$F$25:$F$65,$F211,Административные!$G$25:$G$65,$G211)</f>
        <v>0</v>
      </c>
      <c r="AK211" s="1016"/>
      <c r="AL211" s="1016"/>
      <c r="AM211" s="1016"/>
      <c r="AN211" s="1016"/>
      <c r="AO211" s="1016"/>
      <c r="AP211" s="1016"/>
      <c r="AQ211" s="1016"/>
      <c r="AR211" s="1016"/>
      <c r="AS211" s="1016"/>
      <c r="AT211" s="1015">
        <f ca="1">SUMIFS(Административные!AJ$25:AJ$65,Административные!$F$25:$F$65,$F211,Административные!$G$25:$G$65,$G211)</f>
        <v>0</v>
      </c>
      <c r="AU211" s="1016"/>
      <c r="AV211" s="1016"/>
      <c r="AW211" s="1016"/>
      <c r="AX211" s="1016"/>
      <c r="AY211" s="1016"/>
      <c r="AZ211" s="1016"/>
      <c r="BA211" s="1016"/>
      <c r="BB211" s="1016"/>
      <c r="BC211" s="1016"/>
      <c r="BD211" s="1015">
        <f t="shared" ca="1" si="54"/>
        <v>0</v>
      </c>
      <c r="BE211" s="1016"/>
      <c r="BF211" s="1016"/>
      <c r="BG211" s="1016"/>
      <c r="BH211" s="1016"/>
      <c r="BI211" s="1016"/>
      <c r="BJ211" s="1016"/>
      <c r="BK211" s="1016"/>
      <c r="BL211" s="1016"/>
      <c r="BM211" s="1016"/>
      <c r="BN211" s="1482"/>
      <c r="BO211" s="1484" t="str">
        <f ca="1">IF(IFERROR(INDEX(Административные!$K$26:$L$65,MATCH($F211&amp;"4komm",Административные!$K$26:$K$65,0),2),"")=0,"",IFERROR(INDEX(Административные!$K$26:$L$65,MATCH($F211&amp;"4komm",Административные!$K$26:$K$65,0),2),""))</f>
        <v/>
      </c>
      <c r="BP211" s="1482"/>
      <c r="BQ211" s="1177"/>
      <c r="BR211" s="1177"/>
      <c r="BS211" s="964" t="s">
        <v>1088</v>
      </c>
      <c r="BT211" s="966"/>
      <c r="BU211" s="966"/>
      <c r="BV211" s="881"/>
      <c r="BW211" s="881"/>
    </row>
    <row r="212" spans="1:75" s="1327" customFormat="1" ht="14.25" customHeight="1">
      <c r="A212" s="1177"/>
      <c r="B212" s="880"/>
      <c r="C212" s="26"/>
      <c r="D212" s="26"/>
      <c r="E212" s="538">
        <v>15</v>
      </c>
      <c r="F212" s="3" t="str" cm="1">
        <f t="array" aca="1" ref="F212" ca="1">OFFSET(E212,-1,1)</f>
        <v>1</v>
      </c>
      <c r="G212" s="762" t="s">
        <v>1089</v>
      </c>
      <c r="H212" s="771"/>
      <c r="I212" s="771" t="s">
        <v>1842</v>
      </c>
      <c r="J212" s="26"/>
      <c r="K212" s="290" t="s">
        <v>1842</v>
      </c>
      <c r="L212" s="882" t="s">
        <v>1071</v>
      </c>
      <c r="M212" s="26"/>
      <c r="N212" s="26"/>
      <c r="O212" s="26"/>
      <c r="P212" s="26"/>
      <c r="Q212" s="26"/>
      <c r="R212" s="26"/>
      <c r="S212" s="26"/>
      <c r="T212" s="381" t="b" cm="1">
        <f t="array" ref="T212">T211</f>
        <v>1</v>
      </c>
      <c r="U212" s="26"/>
      <c r="V212" s="26"/>
      <c r="W212" s="26"/>
      <c r="X212" s="1787"/>
      <c r="Y212" s="1177"/>
      <c r="Z212" s="1735"/>
      <c r="AA212" s="1177"/>
      <c r="AB212" s="216" t="s">
        <v>1843</v>
      </c>
      <c r="AC212" s="679" t="s">
        <v>1844</v>
      </c>
      <c r="AD212" s="216" t="s">
        <v>766</v>
      </c>
      <c r="AE212" s="1015">
        <f ca="1">SUMIFS(Административные!AE$25:AE$65,Административные!$F$25:$F$65,$F212,Административные!$G$25:$G$65,$G212)</f>
        <v>0</v>
      </c>
      <c r="AF212" s="1015">
        <f ca="1">SUMIFS(Административные!AF$25:AF$65,Административные!$F$25:$F$65,$F212,Административные!$G$25:$G$65,$G212)</f>
        <v>0</v>
      </c>
      <c r="AG212" s="1015">
        <f ca="1">SUMIFS(Административные!AG$25:AG$65,Административные!$F$25:$F$65,$F212,Административные!$G$25:$G$65,$G212)</f>
        <v>0</v>
      </c>
      <c r="AH212" s="1015">
        <f t="shared" ca="1" si="53"/>
        <v>0</v>
      </c>
      <c r="AI212" s="1015">
        <f ca="1">SUMIFS(Административные!AH$25:AH$65,Административные!$F$25:$F$65,$F212,Административные!$G$25:$G$65,$G212)</f>
        <v>0</v>
      </c>
      <c r="AJ212" s="1015">
        <f ca="1">SUMIFS(Административные!AI$25:AI$65,Административные!$F$25:$F$65,$F212,Административные!$G$25:$G$65,$G212)</f>
        <v>0</v>
      </c>
      <c r="AK212" s="1016"/>
      <c r="AL212" s="1016"/>
      <c r="AM212" s="1016"/>
      <c r="AN212" s="1016"/>
      <c r="AO212" s="1016"/>
      <c r="AP212" s="1016"/>
      <c r="AQ212" s="1016"/>
      <c r="AR212" s="1016"/>
      <c r="AS212" s="1016"/>
      <c r="AT212" s="1015">
        <f ca="1">SUMIFS(Административные!AJ$25:AJ$65,Административные!$F$25:$F$65,$F212,Административные!$G$25:$G$65,$G212)</f>
        <v>0</v>
      </c>
      <c r="AU212" s="1016"/>
      <c r="AV212" s="1016"/>
      <c r="AW212" s="1016"/>
      <c r="AX212" s="1016"/>
      <c r="AY212" s="1016"/>
      <c r="AZ212" s="1016"/>
      <c r="BA212" s="1016"/>
      <c r="BB212" s="1016"/>
      <c r="BC212" s="1016"/>
      <c r="BD212" s="1015">
        <f t="shared" ca="1" si="54"/>
        <v>0</v>
      </c>
      <c r="BE212" s="1016"/>
      <c r="BF212" s="1016"/>
      <c r="BG212" s="1016"/>
      <c r="BH212" s="1016"/>
      <c r="BI212" s="1016"/>
      <c r="BJ212" s="1016"/>
      <c r="BK212" s="1016"/>
      <c r="BL212" s="1016"/>
      <c r="BM212" s="1016"/>
      <c r="BN212" s="1482"/>
      <c r="BO212" s="1484" t="str">
        <f ca="1">IF(IFERROR(INDEX(Административные!$K$26:$L$65,MATCH($F212&amp;"5komm",Административные!$K$26:$K$65,0),2),"")=0,"",IFERROR(INDEX(Административные!$K$26:$L$65,MATCH($F212&amp;"5komm",Административные!$K$26:$K$65,0),2),""))</f>
        <v/>
      </c>
      <c r="BP212" s="1482"/>
      <c r="BQ212" s="1177"/>
      <c r="BR212" s="1177"/>
      <c r="BS212" s="964" t="s">
        <v>1635</v>
      </c>
      <c r="BT212" s="966"/>
      <c r="BU212" s="966"/>
      <c r="BV212" s="881"/>
      <c r="BW212" s="881"/>
    </row>
    <row r="213" spans="1:75" s="1327" customFormat="1" ht="14.25" customHeight="1">
      <c r="A213" s="1177"/>
      <c r="B213" s="880"/>
      <c r="C213" s="26"/>
      <c r="D213" s="26"/>
      <c r="E213" s="538">
        <v>15</v>
      </c>
      <c r="F213" s="3" t="str" cm="1">
        <f t="array" aca="1" ref="F213" ca="1">OFFSET(E213,-1,1)</f>
        <v>1</v>
      </c>
      <c r="G213" s="762" t="s">
        <v>1092</v>
      </c>
      <c r="H213" s="771"/>
      <c r="I213" s="771" t="s">
        <v>1845</v>
      </c>
      <c r="J213" s="26"/>
      <c r="K213" s="290" t="s">
        <v>1845</v>
      </c>
      <c r="L213" s="882" t="s">
        <v>1076</v>
      </c>
      <c r="M213" s="26"/>
      <c r="N213" s="26"/>
      <c r="O213" s="26"/>
      <c r="P213" s="26"/>
      <c r="Q213" s="26"/>
      <c r="R213" s="26"/>
      <c r="S213" s="26"/>
      <c r="T213" s="381" t="b" cm="1">
        <f t="array" ref="T213">T212</f>
        <v>1</v>
      </c>
      <c r="U213" s="26"/>
      <c r="V213" s="26"/>
      <c r="W213" s="26"/>
      <c r="X213" s="1787"/>
      <c r="Y213" s="1177"/>
      <c r="Z213" s="1735"/>
      <c r="AA213" s="1177"/>
      <c r="AB213" s="216" t="s">
        <v>1846</v>
      </c>
      <c r="AC213" s="679" t="s">
        <v>1847</v>
      </c>
      <c r="AD213" s="216" t="s">
        <v>766</v>
      </c>
      <c r="AE213" s="1015">
        <f ca="1">SUMIFS(Административные!AE$25:AE$65,Административные!$F$25:$F$65,$F213,Административные!$G$25:$G$65,$G213)</f>
        <v>0</v>
      </c>
      <c r="AF213" s="1015">
        <f ca="1">SUMIFS(Административные!AF$25:AF$65,Административные!$F$25:$F$65,$F213,Административные!$G$25:$G$65,$G213)</f>
        <v>0</v>
      </c>
      <c r="AG213" s="1015">
        <f ca="1">SUMIFS(Административные!AG$25:AG$65,Административные!$F$25:$F$65,$F213,Административные!$G$25:$G$65,$G213)</f>
        <v>0</v>
      </c>
      <c r="AH213" s="1015">
        <f t="shared" ca="1" si="53"/>
        <v>0</v>
      </c>
      <c r="AI213" s="1015">
        <f ca="1">SUMIFS(Административные!AH$25:AH$65,Административные!$F$25:$F$65,$F213,Административные!$G$25:$G$65,$G213)</f>
        <v>0</v>
      </c>
      <c r="AJ213" s="1015">
        <f ca="1">SUMIFS(Административные!AI$25:AI$65,Административные!$F$25:$F$65,$F213,Административные!$G$25:$G$65,$G213)</f>
        <v>0</v>
      </c>
      <c r="AK213" s="1016"/>
      <c r="AL213" s="1016"/>
      <c r="AM213" s="1016"/>
      <c r="AN213" s="1016"/>
      <c r="AO213" s="1016"/>
      <c r="AP213" s="1016"/>
      <c r="AQ213" s="1016"/>
      <c r="AR213" s="1016"/>
      <c r="AS213" s="1016"/>
      <c r="AT213" s="1015">
        <f ca="1">SUMIFS(Административные!AJ$25:AJ$65,Административные!$F$25:$F$65,$F213,Административные!$G$25:$G$65,$G213)</f>
        <v>0</v>
      </c>
      <c r="AU213" s="1016"/>
      <c r="AV213" s="1016"/>
      <c r="AW213" s="1016"/>
      <c r="AX213" s="1016"/>
      <c r="AY213" s="1016"/>
      <c r="AZ213" s="1016"/>
      <c r="BA213" s="1016"/>
      <c r="BB213" s="1016"/>
      <c r="BC213" s="1016"/>
      <c r="BD213" s="1015">
        <f t="shared" ca="1" si="54"/>
        <v>0</v>
      </c>
      <c r="BE213" s="1016"/>
      <c r="BF213" s="1016"/>
      <c r="BG213" s="1016"/>
      <c r="BH213" s="1016"/>
      <c r="BI213" s="1016"/>
      <c r="BJ213" s="1016"/>
      <c r="BK213" s="1016"/>
      <c r="BL213" s="1016"/>
      <c r="BM213" s="1016"/>
      <c r="BN213" s="1482"/>
      <c r="BO213" s="1484" t="str">
        <f ca="1">IF(IFERROR(INDEX(Административные!$K$26:$L$65,MATCH($F213&amp;"6komm",Административные!$K$26:$K$65,0),2),"")=0,"",IFERROR(INDEX(Административные!$K$26:$L$65,MATCH($F213&amp;"6komm",Административные!$K$26:$K$65,0),2),""))</f>
        <v/>
      </c>
      <c r="BP213" s="1482"/>
      <c r="BQ213" s="1177"/>
      <c r="BR213" s="1177"/>
      <c r="BS213" s="964" t="s">
        <v>1637</v>
      </c>
      <c r="BT213" s="966"/>
      <c r="BU213" s="966"/>
      <c r="BV213" s="881"/>
      <c r="BW213" s="881"/>
    </row>
    <row r="214" spans="1:75" s="1327" customFormat="1" ht="14.25" customHeight="1">
      <c r="A214" s="1177"/>
      <c r="B214" s="880"/>
      <c r="C214" s="26"/>
      <c r="D214" s="26"/>
      <c r="E214" s="538">
        <v>15</v>
      </c>
      <c r="F214" s="3" t="str" cm="1">
        <f t="array" aca="1" ref="F214" ca="1">OFFSET(E214,-1,1)</f>
        <v>1</v>
      </c>
      <c r="G214" s="762" t="s">
        <v>1094</v>
      </c>
      <c r="H214" s="771"/>
      <c r="I214" s="771" t="s">
        <v>1848</v>
      </c>
      <c r="J214" s="26"/>
      <c r="K214" s="290" t="s">
        <v>1848</v>
      </c>
      <c r="L214" s="882" t="s">
        <v>1638</v>
      </c>
      <c r="M214" s="26"/>
      <c r="N214" s="26"/>
      <c r="O214" s="26"/>
      <c r="P214" s="26"/>
      <c r="Q214" s="26"/>
      <c r="R214" s="26"/>
      <c r="S214" s="26"/>
      <c r="T214" s="381" t="b" cm="1">
        <f t="array" ref="T214">T213</f>
        <v>1</v>
      </c>
      <c r="U214" s="26"/>
      <c r="V214" s="26"/>
      <c r="W214" s="26"/>
      <c r="X214" s="1787"/>
      <c r="Y214" s="1177"/>
      <c r="Z214" s="1735"/>
      <c r="AA214" s="1177"/>
      <c r="AB214" s="216" t="s">
        <v>1849</v>
      </c>
      <c r="AC214" s="682" t="s">
        <v>1640</v>
      </c>
      <c r="AD214" s="216" t="s">
        <v>766</v>
      </c>
      <c r="AE214" s="1015">
        <f ca="1">SUMIFS(Административные!AE$25:AE$65,Административные!$F$25:$F$65,$F214,Административные!$G$25:$G$65,$G214)</f>
        <v>0</v>
      </c>
      <c r="AF214" s="1015">
        <f ca="1">SUMIFS(Административные!AF$25:AF$65,Административные!$F$25:$F$65,$F214,Административные!$G$25:$G$65,$G214)</f>
        <v>0</v>
      </c>
      <c r="AG214" s="1015">
        <f ca="1">SUMIFS(Административные!AG$25:AG$65,Административные!$F$25:$F$65,$F214,Административные!$G$25:$G$65,$G214)</f>
        <v>0</v>
      </c>
      <c r="AH214" s="1015">
        <f t="shared" ca="1" si="53"/>
        <v>0</v>
      </c>
      <c r="AI214" s="1015">
        <f ca="1">SUMIFS(Административные!AH$25:AH$65,Административные!$F$25:$F$65,$F214,Административные!$G$25:$G$65,$G214)</f>
        <v>0</v>
      </c>
      <c r="AJ214" s="1015">
        <f ca="1">SUMIFS(Административные!AI$25:AI$65,Административные!$F$25:$F$65,$F214,Административные!$G$25:$G$65,$G214)</f>
        <v>0</v>
      </c>
      <c r="AK214" s="1016"/>
      <c r="AL214" s="1016"/>
      <c r="AM214" s="1016"/>
      <c r="AN214" s="1016"/>
      <c r="AO214" s="1016"/>
      <c r="AP214" s="1016"/>
      <c r="AQ214" s="1016"/>
      <c r="AR214" s="1016"/>
      <c r="AS214" s="1016"/>
      <c r="AT214" s="1015">
        <f ca="1">SUMIFS(Административные!AJ$25:AJ$65,Административные!$F$25:$F$65,$F214,Административные!$G$25:$G$65,$G214)</f>
        <v>0</v>
      </c>
      <c r="AU214" s="1016"/>
      <c r="AV214" s="1016"/>
      <c r="AW214" s="1016"/>
      <c r="AX214" s="1016"/>
      <c r="AY214" s="1016"/>
      <c r="AZ214" s="1016"/>
      <c r="BA214" s="1016"/>
      <c r="BB214" s="1016"/>
      <c r="BC214" s="1016"/>
      <c r="BD214" s="1015">
        <f t="shared" ca="1" si="54"/>
        <v>0</v>
      </c>
      <c r="BE214" s="1016"/>
      <c r="BF214" s="1016"/>
      <c r="BG214" s="1016"/>
      <c r="BH214" s="1016"/>
      <c r="BI214" s="1016"/>
      <c r="BJ214" s="1016"/>
      <c r="BK214" s="1016"/>
      <c r="BL214" s="1016"/>
      <c r="BM214" s="1016"/>
      <c r="BN214" s="1482"/>
      <c r="BO214" s="1484" t="str">
        <f ca="1">IF(IFERROR(INDEX(Административные!$K$26:$L$65,MATCH($F214&amp;"7komm",Административные!$K$26:$K$65,0),2),"")=0,"",IFERROR(INDEX(Административные!$K$26:$L$65,MATCH($F214&amp;"7komm",Административные!$K$26:$K$65,0),2),""))</f>
        <v/>
      </c>
      <c r="BP214" s="1482"/>
      <c r="BQ214" s="1177"/>
      <c r="BR214" s="1177"/>
      <c r="BS214" s="964" t="s">
        <v>1641</v>
      </c>
      <c r="BT214" s="966"/>
      <c r="BU214" s="966"/>
      <c r="BV214" s="881"/>
      <c r="BW214" s="881"/>
    </row>
    <row r="215" spans="1:75" s="1327" customFormat="1" ht="14.25" customHeight="1">
      <c r="A215" s="1177"/>
      <c r="B215" s="880"/>
      <c r="C215" s="26"/>
      <c r="D215" s="26"/>
      <c r="E215" s="538">
        <v>15</v>
      </c>
      <c r="F215" s="3" t="str" cm="1">
        <f t="array" aca="1" ref="F215" ca="1">OFFSET(E215,-1,1)</f>
        <v>1</v>
      </c>
      <c r="G215" s="762" t="s">
        <v>1097</v>
      </c>
      <c r="H215" s="771"/>
      <c r="I215" s="771" t="s">
        <v>1850</v>
      </c>
      <c r="J215" s="26"/>
      <c r="K215" s="290" t="s">
        <v>1850</v>
      </c>
      <c r="L215" s="882" t="s">
        <v>1642</v>
      </c>
      <c r="M215" s="26"/>
      <c r="N215" s="26"/>
      <c r="O215" s="26"/>
      <c r="P215" s="26"/>
      <c r="Q215" s="26"/>
      <c r="R215" s="26"/>
      <c r="S215" s="26"/>
      <c r="T215" s="381" t="b" cm="1">
        <f t="array" ref="T215">T214</f>
        <v>1</v>
      </c>
      <c r="U215" s="26"/>
      <c r="V215" s="26"/>
      <c r="W215" s="26"/>
      <c r="X215" s="1787"/>
      <c r="Y215" s="1177"/>
      <c r="Z215" s="1735"/>
      <c r="AA215" s="1177"/>
      <c r="AB215" s="216" t="s">
        <v>1851</v>
      </c>
      <c r="AC215" s="682" t="s">
        <v>1098</v>
      </c>
      <c r="AD215" s="216" t="s">
        <v>766</v>
      </c>
      <c r="AE215" s="1015">
        <f ca="1">SUMIFS(Административные!AE$25:AE$65,Административные!$F$25:$F$65,$F215,Административные!$G$25:$G$65,$G215)</f>
        <v>0</v>
      </c>
      <c r="AF215" s="1015">
        <f ca="1">SUMIFS(Административные!AF$25:AF$65,Административные!$F$25:$F$65,$F215,Административные!$G$25:$G$65,$G215)</f>
        <v>0</v>
      </c>
      <c r="AG215" s="1015">
        <f ca="1">SUMIFS(Административные!AG$25:AG$65,Административные!$F$25:$F$65,$F215,Административные!$G$25:$G$65,$G215)</f>
        <v>0</v>
      </c>
      <c r="AH215" s="1015">
        <f t="shared" ca="1" si="53"/>
        <v>0</v>
      </c>
      <c r="AI215" s="1015">
        <f ca="1">SUMIFS(Административные!AH$25:AH$65,Административные!$F$25:$F$65,$F215,Административные!$G$25:$G$65,$G215)</f>
        <v>0</v>
      </c>
      <c r="AJ215" s="1015">
        <f ca="1">SUMIFS(Административные!AI$25:AI$65,Административные!$F$25:$F$65,$F215,Административные!$G$25:$G$65,$G215)</f>
        <v>0</v>
      </c>
      <c r="AK215" s="1016"/>
      <c r="AL215" s="1016"/>
      <c r="AM215" s="1016"/>
      <c r="AN215" s="1016"/>
      <c r="AO215" s="1016"/>
      <c r="AP215" s="1016"/>
      <c r="AQ215" s="1016"/>
      <c r="AR215" s="1016"/>
      <c r="AS215" s="1016"/>
      <c r="AT215" s="1015">
        <f ca="1">SUMIFS(Административные!AJ$25:AJ$65,Административные!$F$25:$F$65,$F215,Административные!$G$25:$G$65,$G215)</f>
        <v>0</v>
      </c>
      <c r="AU215" s="1016"/>
      <c r="AV215" s="1016"/>
      <c r="AW215" s="1016"/>
      <c r="AX215" s="1016"/>
      <c r="AY215" s="1016"/>
      <c r="AZ215" s="1016"/>
      <c r="BA215" s="1016"/>
      <c r="BB215" s="1016"/>
      <c r="BC215" s="1016"/>
      <c r="BD215" s="1015">
        <f t="shared" ca="1" si="54"/>
        <v>0</v>
      </c>
      <c r="BE215" s="1016"/>
      <c r="BF215" s="1016"/>
      <c r="BG215" s="1016"/>
      <c r="BH215" s="1016"/>
      <c r="BI215" s="1016"/>
      <c r="BJ215" s="1016"/>
      <c r="BK215" s="1016"/>
      <c r="BL215" s="1016"/>
      <c r="BM215" s="1016"/>
      <c r="BN215" s="1482"/>
      <c r="BO215" s="1484" t="str">
        <f ca="1">IF(IFERROR(INDEX(Административные!$K$26:$L$65,MATCH($F215&amp;"8komm",Административные!$K$26:$K$65,0),2),"")=0,"",IFERROR(INDEX(Административные!$K$26:$L$65,MATCH($F215&amp;"8komm",Административные!$K$26:$K$65,0),2),""))</f>
        <v/>
      </c>
      <c r="BP215" s="1482"/>
      <c r="BQ215" s="1177"/>
      <c r="BR215" s="1177"/>
      <c r="BS215" s="964" t="s">
        <v>1644</v>
      </c>
      <c r="BT215" s="966"/>
      <c r="BU215" s="966"/>
      <c r="BV215" s="881"/>
      <c r="BW215" s="881"/>
    </row>
    <row r="216" spans="1:75" s="1327" customFormat="1" ht="14.25" customHeight="1">
      <c r="A216" s="1177"/>
      <c r="B216" s="880"/>
      <c r="C216" s="26"/>
      <c r="D216" s="26"/>
      <c r="E216" s="538">
        <v>15</v>
      </c>
      <c r="F216" s="3" t="str" cm="1">
        <f t="array" aca="1" ref="F216" ca="1">OFFSET(E216,-1,1)</f>
        <v>1</v>
      </c>
      <c r="G216" s="26" t="s">
        <v>1100</v>
      </c>
      <c r="H216" s="771"/>
      <c r="I216" s="771" t="s">
        <v>1852</v>
      </c>
      <c r="J216" s="26"/>
      <c r="K216" s="290" t="s">
        <v>1852</v>
      </c>
      <c r="L216" s="882" t="s">
        <v>1645</v>
      </c>
      <c r="M216" s="26"/>
      <c r="N216" s="26"/>
      <c r="O216" s="26"/>
      <c r="P216" s="26"/>
      <c r="Q216" s="26"/>
      <c r="R216" s="26"/>
      <c r="S216" s="26"/>
      <c r="T216" s="381" t="b" cm="1">
        <f t="array" ref="T216">T215</f>
        <v>1</v>
      </c>
      <c r="U216" s="26"/>
      <c r="V216" s="26"/>
      <c r="W216" s="26"/>
      <c r="X216" s="1787"/>
      <c r="Y216" s="1177"/>
      <c r="Z216" s="1735"/>
      <c r="AA216" s="1177"/>
      <c r="AB216" s="216" t="s">
        <v>1853</v>
      </c>
      <c r="AC216" s="682" t="s">
        <v>1101</v>
      </c>
      <c r="AD216" s="216" t="s">
        <v>766</v>
      </c>
      <c r="AE216" s="1015">
        <f ca="1">SUMIFS(Административные!AE$25:AE$65,Административные!$F$25:$F$65,$F216,Административные!$G$25:$G$65,$G216)</f>
        <v>0</v>
      </c>
      <c r="AF216" s="1015">
        <f ca="1">SUMIFS(Административные!AF$25:AF$65,Административные!$F$25:$F$65,$F216,Административные!$G$25:$G$65,$G216)</f>
        <v>0</v>
      </c>
      <c r="AG216" s="1015">
        <f ca="1">SUMIFS(Административные!AG$25:AG$65,Административные!$F$25:$F$65,$F216,Административные!$G$25:$G$65,$G216)</f>
        <v>0</v>
      </c>
      <c r="AH216" s="1015">
        <f t="shared" ca="1" si="53"/>
        <v>0</v>
      </c>
      <c r="AI216" s="1015">
        <f ca="1">SUMIFS(Административные!AH$25:AH$65,Административные!$F$25:$F$65,$F216,Административные!$G$25:$G$65,$G216)</f>
        <v>0</v>
      </c>
      <c r="AJ216" s="1017">
        <f ca="1">SUMIFS(Административные!AI$25:AI$65,Административные!$F$25:$F$65,$F216,Административные!$G$25:$G$65,$G216)</f>
        <v>0</v>
      </c>
      <c r="AK216" s="1016"/>
      <c r="AL216" s="1016"/>
      <c r="AM216" s="1016"/>
      <c r="AN216" s="1016"/>
      <c r="AO216" s="1016"/>
      <c r="AP216" s="1016"/>
      <c r="AQ216" s="1016"/>
      <c r="AR216" s="1016"/>
      <c r="AS216" s="1016"/>
      <c r="AT216" s="1017">
        <f ca="1">SUMIFS(Административные!AJ$25:AJ$65,Административные!$F$25:$F$65,$F216,Административные!$G$25:$G$65,$G216)</f>
        <v>0</v>
      </c>
      <c r="AU216" s="1016"/>
      <c r="AV216" s="1016"/>
      <c r="AW216" s="1016"/>
      <c r="AX216" s="1016"/>
      <c r="AY216" s="1016"/>
      <c r="AZ216" s="1016"/>
      <c r="BA216" s="1016"/>
      <c r="BB216" s="1016"/>
      <c r="BC216" s="1016"/>
      <c r="BD216" s="1015">
        <f t="shared" ca="1" si="54"/>
        <v>0</v>
      </c>
      <c r="BE216" s="1016"/>
      <c r="BF216" s="1016"/>
      <c r="BG216" s="1016"/>
      <c r="BH216" s="1016"/>
      <c r="BI216" s="1016"/>
      <c r="BJ216" s="1016"/>
      <c r="BK216" s="1016"/>
      <c r="BL216" s="1016"/>
      <c r="BM216" s="1016"/>
      <c r="BN216" s="1482"/>
      <c r="BO216" s="1484" t="str">
        <f ca="1">IF(IFERROR(INDEX(Административные!$K$26:$L$65,MATCH($F216&amp;"9komm",Административные!$K$26:$K$65,0),2),"")=0,"",IFERROR(INDEX(Административные!$K$26:$L$65,MATCH($F216&amp;"9komm",Административные!$K$26:$K$65,0),2),""))</f>
        <v/>
      </c>
      <c r="BP216" s="1482"/>
      <c r="BQ216" s="1177"/>
      <c r="BR216" s="1177"/>
      <c r="BS216" s="964" t="s">
        <v>1647</v>
      </c>
      <c r="BT216" s="966"/>
      <c r="BU216" s="966"/>
      <c r="BV216" s="881"/>
      <c r="BW216" s="881"/>
    </row>
    <row r="217" spans="1:75" s="1327" customFormat="1" ht="21.75" customHeight="1">
      <c r="A217" s="1177"/>
      <c r="B217" s="349" t="b">
        <f>STATUS_GO="да"</f>
        <v>1</v>
      </c>
      <c r="C217" s="26"/>
      <c r="D217" s="26"/>
      <c r="E217" s="538">
        <v>22.5</v>
      </c>
      <c r="F217" s="3" t="str" cm="1">
        <f t="array" aca="1" ref="F217" ca="1">OFFSET(E217,-1,1)</f>
        <v>1</v>
      </c>
      <c r="G217" s="26"/>
      <c r="H217" s="771"/>
      <c r="I217" s="771" t="s">
        <v>833</v>
      </c>
      <c r="J217" s="26"/>
      <c r="K217" s="290" t="s">
        <v>833</v>
      </c>
      <c r="L217" s="882" t="s">
        <v>327</v>
      </c>
      <c r="M217" s="26"/>
      <c r="N217" s="26"/>
      <c r="O217" s="26"/>
      <c r="P217" s="26"/>
      <c r="Q217" s="26"/>
      <c r="R217" s="26"/>
      <c r="S217" s="26"/>
      <c r="T217" s="381" t="b" cm="1">
        <f t="array" ref="T217">T216</f>
        <v>1</v>
      </c>
      <c r="U217" s="26"/>
      <c r="V217" s="26"/>
      <c r="W217" s="26"/>
      <c r="X217" s="1787"/>
      <c r="Y217" s="1177"/>
      <c r="Z217" s="1735"/>
      <c r="AA217" s="1177"/>
      <c r="AB217" s="216" t="s">
        <v>834</v>
      </c>
      <c r="AC217" s="676" t="s">
        <v>1854</v>
      </c>
      <c r="AD217" s="216" t="s">
        <v>766</v>
      </c>
      <c r="AE217" s="1015">
        <f ca="1">SUMIFS('Сбытовые расходы ГО'!AE$25:AE$51,'Сбытовые расходы ГО'!$F$25:$F$51,$F217,'Сбытовые расходы ГО'!$G$25:$G$51,"L0")-SUMIFS('Сбытовые расходы ГО'!AE$25:AE$51,'Сбытовые расходы ГО'!$F$25:$F$51,$F217,'Сбытовые расходы ГО'!$G$25:$G$51,"L1")</f>
        <v>0</v>
      </c>
      <c r="AF217" s="1015">
        <f ca="1">SUMIFS('Сбытовые расходы ГО'!AF$25:AF$51,'Сбытовые расходы ГО'!$F$25:$F$51,$F217,'Сбытовые расходы ГО'!$G$25:$G$51,"L0")-SUMIFS('Сбытовые расходы ГО'!AF$25:AF$51,'Сбытовые расходы ГО'!$F$25:$F$51,$F217,'Сбытовые расходы ГО'!$G$25:$G$51,"L1")</f>
        <v>0</v>
      </c>
      <c r="AG217" s="1015">
        <f ca="1">SUMIFS('Сбытовые расходы ГО'!AG$25:AG$51,'Сбытовые расходы ГО'!$F$25:$F$51,$F217,'Сбытовые расходы ГО'!$G$25:$G$51,"L0")-SUMIFS('Сбытовые расходы ГО'!AG$25:AG$51,'Сбытовые расходы ГО'!$F$25:$F$51,$F217,'Сбытовые расходы ГО'!$G$25:$G$51,"L1")</f>
        <v>0</v>
      </c>
      <c r="AH217" s="1015">
        <f t="shared" ca="1" si="53"/>
        <v>0</v>
      </c>
      <c r="AI217" s="1015">
        <f ca="1">SUMIFS('Сбытовые расходы ГО'!AH$25:AH$51,'Сбытовые расходы ГО'!$F$25:$F$51,$F217,'Сбытовые расходы ГО'!$G$25:$G$51,"L0")-SUMIFS('Сбытовые расходы ГО'!AH$25:AH$51,'Сбытовые расходы ГО'!$F$25:$F$51,$F217,'Сбытовые расходы ГО'!$G$25:$G$51,"L1")</f>
        <v>0</v>
      </c>
      <c r="AJ217" s="1015">
        <f ca="1">SUMIFS('Сбытовые расходы ГО'!AI$25:AI$51,'Сбытовые расходы ГО'!$F$25:$F$51,$F217,'Сбытовые расходы ГО'!$G$25:$G$51,"L0")-SUMIFS('Сбытовые расходы ГО'!AI$25:AI$51,'Сбытовые расходы ГО'!$F$25:$F$51,$F217,'Сбытовые расходы ГО'!$G$25:$G$51,"L1")</f>
        <v>0</v>
      </c>
      <c r="AK217" s="1016"/>
      <c r="AL217" s="1016"/>
      <c r="AM217" s="1016"/>
      <c r="AN217" s="1016"/>
      <c r="AO217" s="1016"/>
      <c r="AP217" s="1016"/>
      <c r="AQ217" s="1016"/>
      <c r="AR217" s="1016"/>
      <c r="AS217" s="1016"/>
      <c r="AT217" s="1015">
        <f ca="1">SUMIFS('Сбытовые расходы ГО'!AJ$25:AJ$51,'Сбытовые расходы ГО'!$F$25:$F$51,$F217,'Сбытовые расходы ГО'!$G$25:$G$51,"L0")-SUMIFS('Сбытовые расходы ГО'!AJ$25:AJ$51,'Сбытовые расходы ГО'!$F$25:$F$51,$F217,'Сбытовые расходы ГО'!$G$25:$G$51,"L1")</f>
        <v>0</v>
      </c>
      <c r="AU217" s="1016"/>
      <c r="AV217" s="1016"/>
      <c r="AW217" s="1016"/>
      <c r="AX217" s="1016"/>
      <c r="AY217" s="1016"/>
      <c r="AZ217" s="1016"/>
      <c r="BA217" s="1016"/>
      <c r="BB217" s="1016"/>
      <c r="BC217" s="1016"/>
      <c r="BD217" s="1015">
        <f t="shared" ca="1" si="54"/>
        <v>0</v>
      </c>
      <c r="BE217" s="1016"/>
      <c r="BF217" s="1016"/>
      <c r="BG217" s="1016"/>
      <c r="BH217" s="1016"/>
      <c r="BI217" s="1016"/>
      <c r="BJ217" s="1016"/>
      <c r="BK217" s="1016"/>
      <c r="BL217" s="1016"/>
      <c r="BM217" s="1016"/>
      <c r="BN217" s="1482"/>
      <c r="BO217" s="1482"/>
      <c r="BP217" s="1482"/>
      <c r="BQ217" s="1177"/>
      <c r="BR217" s="1177"/>
      <c r="BS217" s="965" t="s">
        <v>1649</v>
      </c>
      <c r="BT217" s="966"/>
      <c r="BU217" s="966"/>
      <c r="BV217" s="881"/>
      <c r="BW217" s="881"/>
    </row>
    <row r="218" spans="1:75" s="1327" customFormat="1" ht="14.25" customHeight="1">
      <c r="A218" s="1177"/>
      <c r="B218" s="880"/>
      <c r="C218" s="26"/>
      <c r="D218" s="26"/>
      <c r="E218" s="538">
        <v>15</v>
      </c>
      <c r="F218" s="3" t="str" cm="1">
        <f t="array" aca="1" ref="F218" ca="1">OFFSET(E218,-1,1)</f>
        <v>1</v>
      </c>
      <c r="G218" s="26"/>
      <c r="H218" s="771"/>
      <c r="I218" s="771" t="s">
        <v>1587</v>
      </c>
      <c r="J218" s="26"/>
      <c r="K218" s="290" t="s">
        <v>1587</v>
      </c>
      <c r="L218" s="882"/>
      <c r="M218" s="26"/>
      <c r="N218" s="26"/>
      <c r="O218" s="26"/>
      <c r="P218" s="26"/>
      <c r="Q218" s="26"/>
      <c r="R218" s="26"/>
      <c r="S218" s="26"/>
      <c r="T218" s="381" t="b" cm="1">
        <f t="array" ref="T218">T217</f>
        <v>1</v>
      </c>
      <c r="U218" s="26"/>
      <c r="V218" s="26"/>
      <c r="W218" s="26"/>
      <c r="X218" s="1787"/>
      <c r="Y218" s="1177"/>
      <c r="Z218" s="1735"/>
      <c r="AA218" s="1177"/>
      <c r="AB218" s="216" t="s">
        <v>1588</v>
      </c>
      <c r="AC218" s="676" t="s">
        <v>1855</v>
      </c>
      <c r="AD218" s="216" t="s">
        <v>766</v>
      </c>
      <c r="AE218" s="1473"/>
      <c r="AF218" s="1473"/>
      <c r="AG218" s="1473"/>
      <c r="AH218" s="1015">
        <f t="shared" si="53"/>
        <v>0</v>
      </c>
      <c r="AI218" s="1473"/>
      <c r="AJ218" s="1473"/>
      <c r="AK218" s="1016"/>
      <c r="AL218" s="1016"/>
      <c r="AM218" s="1016"/>
      <c r="AN218" s="1016"/>
      <c r="AO218" s="1016"/>
      <c r="AP218" s="1016"/>
      <c r="AQ218" s="1016"/>
      <c r="AR218" s="1016"/>
      <c r="AS218" s="1016"/>
      <c r="AT218" s="1473"/>
      <c r="AU218" s="1016"/>
      <c r="AV218" s="1016"/>
      <c r="AW218" s="1016"/>
      <c r="AX218" s="1016"/>
      <c r="AY218" s="1016"/>
      <c r="AZ218" s="1016"/>
      <c r="BA218" s="1016"/>
      <c r="BB218" s="1016"/>
      <c r="BC218" s="1016"/>
      <c r="BD218" s="1015">
        <f t="shared" si="54"/>
        <v>0</v>
      </c>
      <c r="BE218" s="1016"/>
      <c r="BF218" s="1016"/>
      <c r="BG218" s="1016"/>
      <c r="BH218" s="1016"/>
      <c r="BI218" s="1016"/>
      <c r="BJ218" s="1016"/>
      <c r="BK218" s="1016"/>
      <c r="BL218" s="1016"/>
      <c r="BM218" s="1016"/>
      <c r="BN218" s="1482"/>
      <c r="BO218" s="1482"/>
      <c r="BP218" s="1482"/>
      <c r="BQ218" s="1177"/>
      <c r="BR218" s="1177"/>
      <c r="BS218" s="966" t="s">
        <v>1856</v>
      </c>
      <c r="BT218" s="966"/>
      <c r="BU218" s="966"/>
      <c r="BV218" s="881"/>
      <c r="BW218" s="881"/>
    </row>
    <row r="219" spans="1:75" s="1487" customFormat="1" ht="20.25" hidden="1" customHeight="1">
      <c r="A219" s="617"/>
      <c r="B219" s="352"/>
      <c r="C219" s="28"/>
      <c r="D219" s="28"/>
      <c r="E219" s="740">
        <v>21</v>
      </c>
      <c r="F219" s="3" t="str" cm="1">
        <f t="array" aca="1" ref="F219" ca="1">OFFSET(E219,-1,1)</f>
        <v>1</v>
      </c>
      <c r="G219" s="28"/>
      <c r="H219" s="771"/>
      <c r="I219" s="771" t="s">
        <v>1591</v>
      </c>
      <c r="J219" s="28"/>
      <c r="K219" s="290" t="s">
        <v>1591</v>
      </c>
      <c r="L219" s="887"/>
      <c r="M219" s="28"/>
      <c r="N219" s="28"/>
      <c r="O219" s="28"/>
      <c r="P219" s="28"/>
      <c r="Q219" s="28"/>
      <c r="R219" s="28"/>
      <c r="S219" s="28"/>
      <c r="T219" s="381" t="b">
        <f ca="1">AND(F219&gt;0,method_reg="Метод индексации")</f>
        <v>0</v>
      </c>
      <c r="U219" s="28"/>
      <c r="V219" s="28"/>
      <c r="W219" s="28"/>
      <c r="X219" s="1787"/>
      <c r="Y219" s="617"/>
      <c r="Z219" s="1735"/>
      <c r="AA219" s="617"/>
      <c r="AB219" s="129" t="s">
        <v>1592</v>
      </c>
      <c r="AC219" s="273" t="s">
        <v>1857</v>
      </c>
      <c r="AD219" s="129" t="s">
        <v>766</v>
      </c>
      <c r="AE219" s="131">
        <f>SUM(AE220:AE221)</f>
        <v>0</v>
      </c>
      <c r="AF219" s="131">
        <f>SUM(AF220:AF221)</f>
        <v>0</v>
      </c>
      <c r="AG219" s="131">
        <f>SUM(AG220:AG221)</f>
        <v>0</v>
      </c>
      <c r="AH219" s="692">
        <f t="shared" si="53"/>
        <v>0</v>
      </c>
      <c r="AI219" s="131">
        <f>SUM(AI220:AI221)</f>
        <v>0</v>
      </c>
      <c r="AJ219" s="131">
        <f>SUM(AJ220:AJ221)</f>
        <v>0</v>
      </c>
      <c r="AK219" s="134"/>
      <c r="AL219" s="134"/>
      <c r="AM219" s="134"/>
      <c r="AN219" s="134"/>
      <c r="AO219" s="134"/>
      <c r="AP219" s="134"/>
      <c r="AQ219" s="134"/>
      <c r="AR219" s="134"/>
      <c r="AS219" s="134"/>
      <c r="AT219" s="131">
        <f>SUM(AT220:AT221)</f>
        <v>0</v>
      </c>
      <c r="AU219" s="134"/>
      <c r="AV219" s="134"/>
      <c r="AW219" s="134"/>
      <c r="AX219" s="134"/>
      <c r="AY219" s="134"/>
      <c r="AZ219" s="134"/>
      <c r="BA219" s="134"/>
      <c r="BB219" s="134"/>
      <c r="BC219" s="134"/>
      <c r="BD219" s="692">
        <f t="shared" si="54"/>
        <v>0</v>
      </c>
      <c r="BE219" s="134"/>
      <c r="BF219" s="134"/>
      <c r="BG219" s="134"/>
      <c r="BH219" s="134"/>
      <c r="BI219" s="134"/>
      <c r="BJ219" s="134"/>
      <c r="BK219" s="134"/>
      <c r="BL219" s="134"/>
      <c r="BM219" s="134"/>
      <c r="BN219" s="1140"/>
      <c r="BO219" s="1140"/>
      <c r="BP219" s="1140"/>
      <c r="BQ219" s="617"/>
      <c r="BR219" s="617"/>
      <c r="BS219" s="972" t="s">
        <v>1858</v>
      </c>
      <c r="BT219" s="972"/>
      <c r="BU219" s="972"/>
      <c r="BV219" s="624"/>
      <c r="BW219" s="624"/>
    </row>
    <row r="220" spans="1:75" s="1327" customFormat="1" ht="14.25" hidden="1" customHeight="1">
      <c r="A220" s="1177"/>
      <c r="B220" s="349" t="b">
        <f>method_reg="Метод индексации"</f>
        <v>0</v>
      </c>
      <c r="C220" s="26"/>
      <c r="D220" s="26"/>
      <c r="E220" s="538">
        <v>15</v>
      </c>
      <c r="F220" s="3" t="str" cm="1">
        <f t="array" aca="1" ref="F220" ca="1">OFFSET(E220,-1,1)</f>
        <v>1</v>
      </c>
      <c r="G220" s="26"/>
      <c r="H220" s="26"/>
      <c r="I220" s="771" t="s">
        <v>1591</v>
      </c>
      <c r="J220" s="26" cm="1">
        <f t="array" ref="J220">AC220</f>
        <v>0</v>
      </c>
      <c r="K220" s="290" t="s">
        <v>1591</v>
      </c>
      <c r="L220" s="882"/>
      <c r="M220" s="26"/>
      <c r="N220" s="26"/>
      <c r="O220" s="26"/>
      <c r="P220" s="26"/>
      <c r="Q220" s="26"/>
      <c r="R220" s="26"/>
      <c r="S220" s="26"/>
      <c r="T220" s="381" t="b">
        <f ca="1">AND(F220&gt;0,Y220&gt;0)</f>
        <v>0</v>
      </c>
      <c r="U220" s="26"/>
      <c r="V220" s="26"/>
      <c r="W220" s="26" t="s">
        <v>173</v>
      </c>
      <c r="X220" s="1787"/>
      <c r="Y220" s="77">
        <v>0</v>
      </c>
      <c r="Z220" s="1735"/>
      <c r="AA220" s="337" t="s">
        <v>174</v>
      </c>
      <c r="AB220" s="216" t="str">
        <f>"1.7."&amp;Y220</f>
        <v>1.7.0</v>
      </c>
      <c r="AC220" s="1143"/>
      <c r="AD220" s="216" t="s">
        <v>766</v>
      </c>
      <c r="AE220" s="1141"/>
      <c r="AF220" s="1141"/>
      <c r="AG220" s="1141"/>
      <c r="AH220" s="1015">
        <f t="shared" si="53"/>
        <v>0</v>
      </c>
      <c r="AI220" s="1141"/>
      <c r="AJ220" s="1473"/>
      <c r="AK220" s="1016"/>
      <c r="AL220" s="1016"/>
      <c r="AM220" s="1016"/>
      <c r="AN220" s="1016"/>
      <c r="AO220" s="1016"/>
      <c r="AP220" s="1016"/>
      <c r="AQ220" s="1016"/>
      <c r="AR220" s="1016"/>
      <c r="AS220" s="1016"/>
      <c r="AT220" s="1473"/>
      <c r="AU220" s="1016"/>
      <c r="AV220" s="1016"/>
      <c r="AW220" s="1016"/>
      <c r="AX220" s="1016"/>
      <c r="AY220" s="1016"/>
      <c r="AZ220" s="1016"/>
      <c r="BA220" s="1016"/>
      <c r="BB220" s="1016"/>
      <c r="BC220" s="1016"/>
      <c r="BD220" s="1015">
        <f t="shared" si="54"/>
        <v>0</v>
      </c>
      <c r="BE220" s="1016"/>
      <c r="BF220" s="1016"/>
      <c r="BG220" s="1016"/>
      <c r="BH220" s="1016"/>
      <c r="BI220" s="1016"/>
      <c r="BJ220" s="1016"/>
      <c r="BK220" s="1016"/>
      <c r="BL220" s="1016"/>
      <c r="BM220" s="1016"/>
      <c r="BN220" s="1138"/>
      <c r="BO220" s="1138"/>
      <c r="BP220" s="1138"/>
      <c r="BQ220" s="1177"/>
      <c r="BR220" s="1177"/>
      <c r="BS220" s="966" t="s">
        <v>1858</v>
      </c>
      <c r="BT220" s="966" t="s">
        <v>1859</v>
      </c>
      <c r="BU220" s="966" cm="1">
        <f t="array" ref="BU220">AC220</f>
        <v>0</v>
      </c>
      <c r="BV220" s="881"/>
      <c r="BW220" s="620" t="b">
        <v>1</v>
      </c>
    </row>
    <row r="221" spans="1:75" s="1327" customFormat="1" ht="14.25" hidden="1" customHeight="1">
      <c r="A221" s="1177"/>
      <c r="B221" s="349" t="b" cm="1">
        <f t="array" ref="B221">B220</f>
        <v>0</v>
      </c>
      <c r="C221" s="26"/>
      <c r="D221" s="26"/>
      <c r="E221" s="538">
        <v>15</v>
      </c>
      <c r="F221" s="3" t="str" cm="1">
        <f t="array" aca="1" ref="F221" ca="1">OFFSET(E221,-1,1)</f>
        <v>1</v>
      </c>
      <c r="G221" s="396"/>
      <c r="H221" s="26"/>
      <c r="I221" s="26"/>
      <c r="J221" s="26" t="s">
        <v>1860</v>
      </c>
      <c r="K221" s="1177"/>
      <c r="L221" s="882"/>
      <c r="M221" s="26"/>
      <c r="N221" s="26"/>
      <c r="O221" s="26"/>
      <c r="P221" s="26"/>
      <c r="Q221" s="26"/>
      <c r="R221" s="26"/>
      <c r="S221" s="26"/>
      <c r="T221" s="381" t="b">
        <f ca="1">F221&gt;0</f>
        <v>1</v>
      </c>
      <c r="U221" s="26"/>
      <c r="V221" s="26"/>
      <c r="W221" s="743" t="s">
        <v>389</v>
      </c>
      <c r="X221" s="1787"/>
      <c r="Y221" s="1177"/>
      <c r="Z221" s="1735"/>
      <c r="AA221" s="1177"/>
      <c r="AB221" s="787"/>
      <c r="AC221" s="176" t="s">
        <v>177</v>
      </c>
      <c r="AD221" s="690"/>
      <c r="AE221" s="690"/>
      <c r="AF221" s="690"/>
      <c r="AG221" s="690"/>
      <c r="AH221" s="690"/>
      <c r="AI221" s="690"/>
      <c r="AJ221" s="690"/>
      <c r="AK221" s="690"/>
      <c r="AL221" s="690"/>
      <c r="AM221" s="690"/>
      <c r="AN221" s="690"/>
      <c r="AO221" s="690"/>
      <c r="AP221" s="690"/>
      <c r="AQ221" s="690"/>
      <c r="AR221" s="690"/>
      <c r="AS221" s="690"/>
      <c r="AT221" s="690"/>
      <c r="AU221" s="690"/>
      <c r="AV221" s="690"/>
      <c r="AW221" s="690"/>
      <c r="AX221" s="690"/>
      <c r="AY221" s="690"/>
      <c r="AZ221" s="690"/>
      <c r="BA221" s="690"/>
      <c r="BB221" s="690"/>
      <c r="BC221" s="690"/>
      <c r="BD221" s="690"/>
      <c r="BE221" s="690"/>
      <c r="BF221" s="690"/>
      <c r="BG221" s="690"/>
      <c r="BH221" s="690"/>
      <c r="BI221" s="690"/>
      <c r="BJ221" s="690"/>
      <c r="BK221" s="690"/>
      <c r="BL221" s="690"/>
      <c r="BM221" s="690"/>
      <c r="BN221" s="690"/>
      <c r="BO221" s="690"/>
      <c r="BP221" s="691"/>
      <c r="BQ221" s="1177"/>
      <c r="BR221" s="1177"/>
      <c r="BS221" s="966"/>
      <c r="BT221" s="966"/>
      <c r="BU221" s="966"/>
      <c r="BV221" s="620" t="s">
        <v>1859</v>
      </c>
      <c r="BW221" s="881"/>
    </row>
    <row r="222" spans="1:75" s="1488" customFormat="1" ht="20.25" customHeight="1">
      <c r="A222" s="617"/>
      <c r="B222" s="352"/>
      <c r="C222" s="28"/>
      <c r="D222" s="28"/>
      <c r="E222" s="740">
        <v>21</v>
      </c>
      <c r="F222" s="3" t="str" cm="1">
        <f t="array" aca="1" ref="F222" ca="1">OFFSET(E222,-1,1)</f>
        <v>1</v>
      </c>
      <c r="G222" s="28"/>
      <c r="H222" s="26"/>
      <c r="I222" s="26" t="s">
        <v>324</v>
      </c>
      <c r="J222" s="28"/>
      <c r="K222" s="77" t="s">
        <v>324</v>
      </c>
      <c r="L222" s="887"/>
      <c r="M222" s="28"/>
      <c r="N222" s="28"/>
      <c r="O222" s="28"/>
      <c r="P222" s="28"/>
      <c r="Q222" s="28"/>
      <c r="R222" s="28"/>
      <c r="S222" s="28"/>
      <c r="T222" s="381" t="b">
        <f ca="1">F222&gt;0</f>
        <v>1</v>
      </c>
      <c r="U222" s="28"/>
      <c r="V222" s="28"/>
      <c r="W222" s="28"/>
      <c r="X222" s="1787"/>
      <c r="Y222" s="617"/>
      <c r="Z222" s="1735"/>
      <c r="AA222" s="617"/>
      <c r="AB222" s="152" t="s">
        <v>224</v>
      </c>
      <c r="AC222" s="130" t="s">
        <v>1861</v>
      </c>
      <c r="AD222" s="152" t="s">
        <v>766</v>
      </c>
      <c r="AE222" s="131">
        <f ca="1">AE223+AE235+AE236++AE247+AE248+AE249+AE251+AE252+AE253+AE254+AE257</f>
        <v>140.82</v>
      </c>
      <c r="AF222" s="131">
        <f ca="1">AF223+AF235+AF236++AF247+AF248+AF249+AF251+AF252+AF253+AF254+AF257</f>
        <v>5.6</v>
      </c>
      <c r="AG222" s="131">
        <f ca="1">AG223+AG235+AG236++AG247+AG248+AG249+AG251+AG252+AG253+AG254+AG257</f>
        <v>5.6</v>
      </c>
      <c r="AH222" s="692">
        <f t="shared" ref="AH222:AH267" ca="1" si="55">AG222-AF222</f>
        <v>0</v>
      </c>
      <c r="AI222" s="131">
        <f t="shared" ref="AI222:BC222" ca="1" si="56">AI223+AI235+AI236++AI247+AI248+AI249+AI251+AI252+AI253+AI254+AI257</f>
        <v>146.88999999999999</v>
      </c>
      <c r="AJ222" s="131">
        <f t="shared" ca="1" si="56"/>
        <v>155.30000000000001</v>
      </c>
      <c r="AK222" s="131">
        <f t="shared" ca="1" si="56"/>
        <v>0</v>
      </c>
      <c r="AL222" s="131">
        <f t="shared" ca="1" si="56"/>
        <v>0</v>
      </c>
      <c r="AM222" s="131">
        <f t="shared" ca="1" si="56"/>
        <v>0</v>
      </c>
      <c r="AN222" s="131">
        <f t="shared" ca="1" si="56"/>
        <v>0</v>
      </c>
      <c r="AO222" s="131">
        <f t="shared" ca="1" si="56"/>
        <v>0</v>
      </c>
      <c r="AP222" s="131">
        <f t="shared" ca="1" si="56"/>
        <v>0</v>
      </c>
      <c r="AQ222" s="131">
        <f t="shared" ca="1" si="56"/>
        <v>0</v>
      </c>
      <c r="AR222" s="131">
        <f t="shared" ca="1" si="56"/>
        <v>0</v>
      </c>
      <c r="AS222" s="131">
        <f t="shared" ca="1" si="56"/>
        <v>0</v>
      </c>
      <c r="AT222" s="131">
        <f t="shared" ca="1" si="56"/>
        <v>155.33000000000001</v>
      </c>
      <c r="AU222" s="131">
        <f t="shared" ca="1" si="56"/>
        <v>0</v>
      </c>
      <c r="AV222" s="131">
        <f t="shared" ca="1" si="56"/>
        <v>0</v>
      </c>
      <c r="AW222" s="131">
        <f t="shared" ca="1" si="56"/>
        <v>0</v>
      </c>
      <c r="AX222" s="131">
        <f t="shared" ca="1" si="56"/>
        <v>0</v>
      </c>
      <c r="AY222" s="131">
        <f t="shared" ca="1" si="56"/>
        <v>0</v>
      </c>
      <c r="AZ222" s="131">
        <f t="shared" ca="1" si="56"/>
        <v>0</v>
      </c>
      <c r="BA222" s="131">
        <f t="shared" ca="1" si="56"/>
        <v>0</v>
      </c>
      <c r="BB222" s="131">
        <f t="shared" ca="1" si="56"/>
        <v>0</v>
      </c>
      <c r="BC222" s="131">
        <f t="shared" ca="1" si="56"/>
        <v>0</v>
      </c>
      <c r="BD222" s="692">
        <f t="shared" ref="BD222:BD267" ca="1" si="57">IF(AI222=0,0,(AT222-AI222)/AI222*100)</f>
        <v>5.7457961740077792</v>
      </c>
      <c r="BE222" s="692">
        <f t="shared" ref="BE222:BE267" ca="1" si="58">IF(AT222=0,0,(AU222-AT222)/AT222*100)</f>
        <v>-100</v>
      </c>
      <c r="BF222" s="692">
        <f t="shared" ref="BF222:BF267" ca="1" si="59">IF(AU222=0,0,(AV222-AU222)/AU222*100)</f>
        <v>0</v>
      </c>
      <c r="BG222" s="692">
        <f t="shared" ref="BG222:BG267" ca="1" si="60">IF(AV222=0,0,(AW222-AV222)/AV222*100)</f>
        <v>0</v>
      </c>
      <c r="BH222" s="692">
        <f t="shared" ref="BH222:BH267" ca="1" si="61">IF(AW222=0,0,(AX222-AW222)/AW222*100)</f>
        <v>0</v>
      </c>
      <c r="BI222" s="692">
        <f t="shared" ref="BI222:BI267" ca="1" si="62">IF(AX222=0,0,(AY222-AX222)/AX222*100)</f>
        <v>0</v>
      </c>
      <c r="BJ222" s="692">
        <f t="shared" ref="BJ222:BJ267" ca="1" si="63">IF(AY222=0,0,(AZ222-AY222)/AY222*100)</f>
        <v>0</v>
      </c>
      <c r="BK222" s="692">
        <f t="shared" ref="BK222:BK267" ca="1" si="64">IF(AZ222=0,0,(BA222-AZ222)/AZ222*100)</f>
        <v>0</v>
      </c>
      <c r="BL222" s="692">
        <f t="shared" ref="BL222:BL267" ca="1" si="65">IF(BA222=0,0,(BB222-BA222)/BA222*100)</f>
        <v>0</v>
      </c>
      <c r="BM222" s="692">
        <f t="shared" ref="BM222:BM267" ca="1" si="66">IF(BB222=0,0,(BC222-BB222)/BB222*100)</f>
        <v>0</v>
      </c>
      <c r="BN222" s="1482"/>
      <c r="BO222" s="1482"/>
      <c r="BP222" s="1482"/>
      <c r="BQ222" s="79"/>
      <c r="BR222" s="617"/>
      <c r="BS222" s="972" t="s">
        <v>1862</v>
      </c>
      <c r="BT222" s="972"/>
      <c r="BU222" s="972"/>
      <c r="BV222" s="624"/>
      <c r="BW222" s="624"/>
    </row>
    <row r="223" spans="1:75" s="1489" customFormat="1" ht="409.6" customHeight="1">
      <c r="A223" s="617"/>
      <c r="B223" s="352"/>
      <c r="C223" s="28"/>
      <c r="D223" s="28"/>
      <c r="E223" s="740">
        <v>22.5</v>
      </c>
      <c r="F223" s="3" t="str" cm="1">
        <f t="array" aca="1" ref="F223" ca="1">OFFSET(E223,-1,1)</f>
        <v>1</v>
      </c>
      <c r="G223" s="286" t="str" cm="1">
        <f t="array" aca="1" ref="G223" ca="1">F222</f>
        <v>1</v>
      </c>
      <c r="H223" s="26"/>
      <c r="I223" s="26" t="s">
        <v>445</v>
      </c>
      <c r="J223" s="28"/>
      <c r="K223" s="77" t="s">
        <v>445</v>
      </c>
      <c r="L223" s="887" t="s">
        <v>431</v>
      </c>
      <c r="M223" s="28"/>
      <c r="N223" s="28"/>
      <c r="O223" s="28"/>
      <c r="P223" s="28"/>
      <c r="Q223" s="28"/>
      <c r="R223" s="28"/>
      <c r="S223" s="28"/>
      <c r="T223" s="381" t="b" cm="1">
        <f t="array" aca="1" ref="T223" ca="1">T222</f>
        <v>1</v>
      </c>
      <c r="U223" s="28"/>
      <c r="V223" s="28"/>
      <c r="W223" s="28"/>
      <c r="X223" s="1787"/>
      <c r="Y223" s="617"/>
      <c r="Z223" s="1735"/>
      <c r="AA223" s="617"/>
      <c r="AB223" s="129" t="s">
        <v>502</v>
      </c>
      <c r="AC223" s="273" t="s">
        <v>1863</v>
      </c>
      <c r="AD223" s="129" t="s">
        <v>766</v>
      </c>
      <c r="AE223" s="131">
        <f ca="1">SUM(AE224:AE234)</f>
        <v>140.82</v>
      </c>
      <c r="AF223" s="131">
        <f ca="1">SUM(AF224:AF234)</f>
        <v>5.6</v>
      </c>
      <c r="AG223" s="131">
        <f ca="1">SUM(AG224:AG234)</f>
        <v>5.6</v>
      </c>
      <c r="AH223" s="692">
        <f t="shared" ca="1" si="55"/>
        <v>0</v>
      </c>
      <c r="AI223" s="131">
        <f t="shared" ref="AI223:BC223" ca="1" si="67">SUM(AI224:AI234)</f>
        <v>146.88999999999999</v>
      </c>
      <c r="AJ223" s="131">
        <f t="shared" ca="1" si="67"/>
        <v>155.30000000000001</v>
      </c>
      <c r="AK223" s="131">
        <f t="shared" ca="1" si="67"/>
        <v>0</v>
      </c>
      <c r="AL223" s="131">
        <f t="shared" ca="1" si="67"/>
        <v>0</v>
      </c>
      <c r="AM223" s="131">
        <f t="shared" ca="1" si="67"/>
        <v>0</v>
      </c>
      <c r="AN223" s="131">
        <f t="shared" ca="1" si="67"/>
        <v>0</v>
      </c>
      <c r="AO223" s="131">
        <f t="shared" ca="1" si="67"/>
        <v>0</v>
      </c>
      <c r="AP223" s="131">
        <f t="shared" ca="1" si="67"/>
        <v>0</v>
      </c>
      <c r="AQ223" s="131">
        <f t="shared" ca="1" si="67"/>
        <v>0</v>
      </c>
      <c r="AR223" s="131">
        <f t="shared" ca="1" si="67"/>
        <v>0</v>
      </c>
      <c r="AS223" s="131">
        <f t="shared" ca="1" si="67"/>
        <v>0</v>
      </c>
      <c r="AT223" s="131">
        <f t="shared" ca="1" si="67"/>
        <v>155.33000000000001</v>
      </c>
      <c r="AU223" s="131">
        <f t="shared" ca="1" si="67"/>
        <v>0</v>
      </c>
      <c r="AV223" s="131">
        <f t="shared" ca="1" si="67"/>
        <v>0</v>
      </c>
      <c r="AW223" s="131">
        <f t="shared" ca="1" si="67"/>
        <v>0</v>
      </c>
      <c r="AX223" s="131">
        <f t="shared" ca="1" si="67"/>
        <v>0</v>
      </c>
      <c r="AY223" s="131">
        <f t="shared" ca="1" si="67"/>
        <v>0</v>
      </c>
      <c r="AZ223" s="131">
        <f t="shared" ca="1" si="67"/>
        <v>0</v>
      </c>
      <c r="BA223" s="131">
        <f t="shared" ca="1" si="67"/>
        <v>0</v>
      </c>
      <c r="BB223" s="131">
        <f t="shared" ca="1" si="67"/>
        <v>0</v>
      </c>
      <c r="BC223" s="131">
        <f t="shared" ca="1" si="67"/>
        <v>0</v>
      </c>
      <c r="BD223" s="692">
        <f t="shared" ca="1" si="57"/>
        <v>5.7457961740077792</v>
      </c>
      <c r="BE223" s="692">
        <f t="shared" ca="1" si="58"/>
        <v>-100</v>
      </c>
      <c r="BF223" s="692">
        <f t="shared" ca="1" si="59"/>
        <v>0</v>
      </c>
      <c r="BG223" s="692">
        <f t="shared" ca="1" si="60"/>
        <v>0</v>
      </c>
      <c r="BH223" s="692">
        <f t="shared" ca="1" si="61"/>
        <v>0</v>
      </c>
      <c r="BI223" s="692">
        <f t="shared" ca="1" si="62"/>
        <v>0</v>
      </c>
      <c r="BJ223" s="692">
        <f t="shared" ca="1" si="63"/>
        <v>0</v>
      </c>
      <c r="BK223" s="692">
        <f t="shared" ca="1" si="64"/>
        <v>0</v>
      </c>
      <c r="BL223" s="692">
        <f t="shared" ca="1" si="65"/>
        <v>0</v>
      </c>
      <c r="BM223" s="692">
        <f t="shared" ca="1" si="66"/>
        <v>0</v>
      </c>
      <c r="BN223" s="1483"/>
      <c r="BO223" s="1483" t="s">
        <v>2041</v>
      </c>
      <c r="BP223" s="1483"/>
      <c r="BQ223" s="617"/>
      <c r="BR223" s="617"/>
      <c r="BS223" s="972" t="s">
        <v>1864</v>
      </c>
      <c r="BT223" s="972"/>
      <c r="BU223" s="972"/>
      <c r="BV223" s="624"/>
      <c r="BW223" s="624"/>
    </row>
    <row r="224" spans="1:75" s="1327" customFormat="1" ht="14.25" customHeight="1">
      <c r="A224" s="1177"/>
      <c r="B224" s="880"/>
      <c r="C224" s="26"/>
      <c r="D224" s="26"/>
      <c r="E224" s="538">
        <v>15</v>
      </c>
      <c r="F224" s="3" t="str" cm="1">
        <f t="array" aca="1" ref="F224" ca="1">OFFSET(E224,-1,1)</f>
        <v>1</v>
      </c>
      <c r="G224" s="26" t="s">
        <v>998</v>
      </c>
      <c r="H224" s="26"/>
      <c r="I224" s="26" t="s">
        <v>1412</v>
      </c>
      <c r="J224" s="26"/>
      <c r="K224" s="77" t="s">
        <v>1412</v>
      </c>
      <c r="L224" s="882" t="s">
        <v>1189</v>
      </c>
      <c r="M224" s="26"/>
      <c r="N224" s="26"/>
      <c r="O224" s="26"/>
      <c r="P224" s="26"/>
      <c r="Q224" s="26"/>
      <c r="R224" s="26"/>
      <c r="S224" s="26"/>
      <c r="T224" s="381" t="b" cm="1">
        <f t="array" aca="1" ref="T224" ca="1">T223</f>
        <v>1</v>
      </c>
      <c r="U224" s="26"/>
      <c r="V224" s="26"/>
      <c r="W224" s="26"/>
      <c r="X224" s="1787"/>
      <c r="Y224" s="1177"/>
      <c r="Z224" s="1735"/>
      <c r="AA224" s="1177"/>
      <c r="AB224" s="216" t="s">
        <v>453</v>
      </c>
      <c r="AC224" s="679" t="s">
        <v>1865</v>
      </c>
      <c r="AD224" s="216" t="s">
        <v>766</v>
      </c>
      <c r="AE224" s="1015">
        <f ca="1">SUMIFS(Покупка!AE$25:AE$90,Покупка!$F$25:$F$90,$F224,Покупка!$AC$25:$AC$90,$G224)</f>
        <v>0</v>
      </c>
      <c r="AF224" s="1015">
        <f ca="1">SUMIFS(Покупка!AF$25:AF$90,Покупка!$F$25:$F$90,$F224,Покупка!$AC$25:$AC$90,$G224)</f>
        <v>0</v>
      </c>
      <c r="AG224" s="1015">
        <f ca="1">SUMIFS(Покупка!AG$25:AG$90,Покупка!$F$25:$F$90,$F224,Покупка!$AC$25:$AC$90,$G224)</f>
        <v>0</v>
      </c>
      <c r="AH224" s="1015">
        <f t="shared" ca="1" si="55"/>
        <v>0</v>
      </c>
      <c r="AI224" s="1015">
        <f ca="1">SUMIFS(Покупка!AH$25:AH$90,Покупка!$F$25:$F$90,$F224,Покупка!$AC$25:$AC$90,$G224)</f>
        <v>0</v>
      </c>
      <c r="AJ224" s="1015">
        <f ca="1">SUMIFS(Покупка!AI$25:AI$90,Покупка!$F$25:$F$90,$F224,Покупка!$AC$25:$AC$90,$G224)</f>
        <v>0</v>
      </c>
      <c r="AK224" s="1015">
        <f ca="1">SUMIFS(Покупка!AJ$25:AJ$90,Покупка!$F$25:$F$90,$F224,Покупка!$AC$25:$AC$90,$G224)</f>
        <v>0</v>
      </c>
      <c r="AL224" s="1015">
        <f ca="1">SUMIFS(Покупка!AK$25:AK$90,Покупка!$F$25:$F$90,$F224,Покупка!$AC$25:$AC$90,$G224)</f>
        <v>0</v>
      </c>
      <c r="AM224" s="1015">
        <f ca="1">SUMIFS(Покупка!AL$25:AL$90,Покупка!$F$25:$F$90,$F224,Покупка!$AC$25:$AC$90,$G224)</f>
        <v>0</v>
      </c>
      <c r="AN224" s="1015">
        <f ca="1">SUMIFS(Покупка!AM$25:AM$90,Покупка!$F$25:$F$90,$F224,Покупка!$AC$25:$AC$90,$G224)</f>
        <v>0</v>
      </c>
      <c r="AO224" s="1015">
        <f ca="1">SUMIFS(Покупка!AN$25:AN$90,Покупка!$F$25:$F$90,$F224,Покупка!$AC$25:$AC$90,$G224)</f>
        <v>0</v>
      </c>
      <c r="AP224" s="1015">
        <f ca="1">SUMIFS(Покупка!AO$25:AO$90,Покупка!$F$25:$F$90,$F224,Покупка!$AC$25:$AC$90,$G224)</f>
        <v>0</v>
      </c>
      <c r="AQ224" s="1015">
        <f ca="1">SUMIFS(Покупка!AP$25:AP$90,Покупка!$F$25:$F$90,$F224,Покупка!$AC$25:$AC$90,$G224)</f>
        <v>0</v>
      </c>
      <c r="AR224" s="1015">
        <f ca="1">SUMIFS(Покупка!AQ$25:AQ$90,Покупка!$F$25:$F$90,$F224,Покупка!$AC$25:$AC$90,$G224)</f>
        <v>0</v>
      </c>
      <c r="AS224" s="1015">
        <f ca="1">SUMIFS(Покупка!AR$25:AR$90,Покупка!$F$25:$F$90,$F224,Покупка!$AC$25:$AC$90,$G224)</f>
        <v>0</v>
      </c>
      <c r="AT224" s="1015">
        <f ca="1">SUMIFS(Покупка!AS$25:AS$90,Покупка!$F$25:$F$90,$F224,Покупка!$AC$25:$AC$90,$G224)</f>
        <v>0</v>
      </c>
      <c r="AU224" s="1015">
        <f ca="1">SUMIFS(Покупка!AT$25:AT$90,Покупка!$F$25:$F$90,$F224,Покупка!$AC$25:$AC$90,$G224)</f>
        <v>0</v>
      </c>
      <c r="AV224" s="1015">
        <f ca="1">SUMIFS(Покупка!AU$25:AU$90,Покупка!$F$25:$F$90,$F224,Покупка!$AC$25:$AC$90,$G224)</f>
        <v>0</v>
      </c>
      <c r="AW224" s="1015">
        <f ca="1">SUMIFS(Покупка!AV$25:AV$90,Покупка!$F$25:$F$90,$F224,Покупка!$AC$25:$AC$90,$G224)</f>
        <v>0</v>
      </c>
      <c r="AX224" s="1015">
        <f ca="1">SUMIFS(Покупка!AW$25:AW$90,Покупка!$F$25:$F$90,$F224,Покупка!$AC$25:$AC$90,$G224)</f>
        <v>0</v>
      </c>
      <c r="AY224" s="1015">
        <f ca="1">SUMIFS(Покупка!AX$25:AX$90,Покупка!$F$25:$F$90,$F224,Покупка!$AC$25:$AC$90,$G224)</f>
        <v>0</v>
      </c>
      <c r="AZ224" s="1015">
        <f ca="1">SUMIFS(Покупка!AY$25:AY$90,Покупка!$F$25:$F$90,$F224,Покупка!$AC$25:$AC$90,$G224)</f>
        <v>0</v>
      </c>
      <c r="BA224" s="1015">
        <f ca="1">SUMIFS(Покупка!AZ$25:AZ$90,Покупка!$F$25:$F$90,$F224,Покупка!$AC$25:$AC$90,$G224)</f>
        <v>0</v>
      </c>
      <c r="BB224" s="1015">
        <f ca="1">SUMIFS(Покупка!BA$25:BA$90,Покупка!$F$25:$F$90,$F224,Покупка!$AC$25:$AC$90,$G224)</f>
        <v>0</v>
      </c>
      <c r="BC224" s="1015">
        <f ca="1">SUMIFS(Покупка!BB$25:BB$90,Покупка!$F$25:$F$90,$F224,Покупка!$AC$25:$AC$90,$G224)</f>
        <v>0</v>
      </c>
      <c r="BD224" s="1015">
        <f t="shared" ca="1" si="57"/>
        <v>0</v>
      </c>
      <c r="BE224" s="1015">
        <f t="shared" ca="1" si="58"/>
        <v>0</v>
      </c>
      <c r="BF224" s="1015">
        <f t="shared" ca="1" si="59"/>
        <v>0</v>
      </c>
      <c r="BG224" s="1015">
        <f t="shared" ca="1" si="60"/>
        <v>0</v>
      </c>
      <c r="BH224" s="1015">
        <f t="shared" ca="1" si="61"/>
        <v>0</v>
      </c>
      <c r="BI224" s="1015">
        <f t="shared" ca="1" si="62"/>
        <v>0</v>
      </c>
      <c r="BJ224" s="1015">
        <f t="shared" ca="1" si="63"/>
        <v>0</v>
      </c>
      <c r="BK224" s="1015">
        <f t="shared" ca="1" si="64"/>
        <v>0</v>
      </c>
      <c r="BL224" s="1015">
        <f t="shared" ca="1" si="65"/>
        <v>0</v>
      </c>
      <c r="BM224" s="1015">
        <f t="shared" ca="1" si="66"/>
        <v>0</v>
      </c>
      <c r="BN224" s="1482"/>
      <c r="BO224" s="1484" t="str">
        <f ca="1">IF(IFERROR(INDEX(Покупка!$K$26:$L$90,MATCH($F224&amp;"6komm",Покупка!$K$26:$K$90,0),2),"")=0,"",IFERROR(INDEX(Покупка!$K$26:$L$90,MATCH($F224&amp;"6komm",Покупка!$K$26:$K$90,0),2),""))</f>
        <v/>
      </c>
      <c r="BP224" s="1482"/>
      <c r="BQ224" s="1177"/>
      <c r="BR224" s="1177"/>
      <c r="BS224" s="966" t="s">
        <v>999</v>
      </c>
      <c r="BT224" s="966"/>
      <c r="BU224" s="966"/>
      <c r="BV224" s="881"/>
      <c r="BW224" s="881"/>
    </row>
    <row r="225" spans="1:75" s="1327" customFormat="1" ht="14.25" customHeight="1">
      <c r="A225" s="1177"/>
      <c r="B225" s="880"/>
      <c r="C225" s="26"/>
      <c r="D225" s="26"/>
      <c r="E225" s="538">
        <v>15</v>
      </c>
      <c r="F225" s="3" t="str" cm="1">
        <f t="array" aca="1" ref="F225" ca="1">OFFSET(E225,-1,1)</f>
        <v>1</v>
      </c>
      <c r="G225" s="26" t="s">
        <v>1000</v>
      </c>
      <c r="H225" s="26"/>
      <c r="I225" s="26" t="s">
        <v>1416</v>
      </c>
      <c r="J225" s="26"/>
      <c r="K225" s="26" t="s">
        <v>1416</v>
      </c>
      <c r="L225" s="882" t="s">
        <v>1193</v>
      </c>
      <c r="M225" s="26"/>
      <c r="N225" s="26"/>
      <c r="O225" s="26"/>
      <c r="P225" s="26"/>
      <c r="Q225" s="26"/>
      <c r="R225" s="26"/>
      <c r="S225" s="26"/>
      <c r="T225" s="381" t="b" cm="1">
        <f t="array" aca="1" ref="T225" ca="1">T224</f>
        <v>1</v>
      </c>
      <c r="U225" s="26"/>
      <c r="V225" s="26"/>
      <c r="W225" s="26"/>
      <c r="X225" s="1787"/>
      <c r="Y225" s="1177"/>
      <c r="Z225" s="1735"/>
      <c r="AA225" s="1177"/>
      <c r="AB225" s="216" t="s">
        <v>1866</v>
      </c>
      <c r="AC225" s="679" t="s">
        <v>1867</v>
      </c>
      <c r="AD225" s="216" t="s">
        <v>766</v>
      </c>
      <c r="AE225" s="1015">
        <f ca="1">SUMIFS(Покупка!AE$25:AE$90,Покупка!$F$25:$F$90,$F225,Покупка!$AC$25:$AC$90,$G225)</f>
        <v>0</v>
      </c>
      <c r="AF225" s="1015">
        <f ca="1">SUMIFS(Покупка!AF$25:AF$90,Покупка!$F$25:$F$90,$F225,Покупка!$AC$25:$AC$90,$G225)</f>
        <v>0</v>
      </c>
      <c r="AG225" s="1015">
        <f ca="1">SUMIFS(Покупка!AG$25:AG$90,Покупка!$F$25:$F$90,$F225,Покупка!$AC$25:$AC$90,$G225)</f>
        <v>0</v>
      </c>
      <c r="AH225" s="1015">
        <f t="shared" ca="1" si="55"/>
        <v>0</v>
      </c>
      <c r="AI225" s="1015">
        <f ca="1">SUMIFS(Покупка!AH$25:AH$90,Покупка!$F$25:$F$90,$F225,Покупка!$AC$25:$AC$90,$G225)</f>
        <v>0</v>
      </c>
      <c r="AJ225" s="1015">
        <f ca="1">SUMIFS(Покупка!AI$25:AI$90,Покупка!$F$25:$F$90,$F225,Покупка!$AC$25:$AC$90,$G225)</f>
        <v>0</v>
      </c>
      <c r="AK225" s="1015">
        <f ca="1">SUMIFS(Покупка!AJ$25:AJ$90,Покупка!$F$25:$F$90,$F225,Покупка!$AC$25:$AC$90,$G225)</f>
        <v>0</v>
      </c>
      <c r="AL225" s="1015">
        <f ca="1">SUMIFS(Покупка!AK$25:AK$90,Покупка!$F$25:$F$90,$F225,Покупка!$AC$25:$AC$90,$G225)</f>
        <v>0</v>
      </c>
      <c r="AM225" s="1015">
        <f ca="1">SUMIFS(Покупка!AL$25:AL$90,Покупка!$F$25:$F$90,$F225,Покупка!$AC$25:$AC$90,$G225)</f>
        <v>0</v>
      </c>
      <c r="AN225" s="1015">
        <f ca="1">SUMIFS(Покупка!AM$25:AM$90,Покупка!$F$25:$F$90,$F225,Покупка!$AC$25:$AC$90,$G225)</f>
        <v>0</v>
      </c>
      <c r="AO225" s="1015">
        <f ca="1">SUMIFS(Покупка!AN$25:AN$90,Покупка!$F$25:$F$90,$F225,Покупка!$AC$25:$AC$90,$G225)</f>
        <v>0</v>
      </c>
      <c r="AP225" s="1015">
        <f ca="1">SUMIFS(Покупка!AO$25:AO$90,Покупка!$F$25:$F$90,$F225,Покупка!$AC$25:$AC$90,$G225)</f>
        <v>0</v>
      </c>
      <c r="AQ225" s="1015">
        <f ca="1">SUMIFS(Покупка!AP$25:AP$90,Покупка!$F$25:$F$90,$F225,Покупка!$AC$25:$AC$90,$G225)</f>
        <v>0</v>
      </c>
      <c r="AR225" s="1015">
        <f ca="1">SUMIFS(Покупка!AQ$25:AQ$90,Покупка!$F$25:$F$90,$F225,Покупка!$AC$25:$AC$90,$G225)</f>
        <v>0</v>
      </c>
      <c r="AS225" s="1015">
        <f ca="1">SUMIFS(Покупка!AR$25:AR$90,Покупка!$F$25:$F$90,$F225,Покупка!$AC$25:$AC$90,$G225)</f>
        <v>0</v>
      </c>
      <c r="AT225" s="1015">
        <f ca="1">SUMIFS(Покупка!AS$25:AS$90,Покупка!$F$25:$F$90,$F225,Покупка!$AC$25:$AC$90,$G225)</f>
        <v>0</v>
      </c>
      <c r="AU225" s="1015">
        <f ca="1">SUMIFS(Покупка!AT$25:AT$90,Покупка!$F$25:$F$90,$F225,Покупка!$AC$25:$AC$90,$G225)</f>
        <v>0</v>
      </c>
      <c r="AV225" s="1015">
        <f ca="1">SUMIFS(Покупка!AU$25:AU$90,Покупка!$F$25:$F$90,$F225,Покупка!$AC$25:$AC$90,$G225)</f>
        <v>0</v>
      </c>
      <c r="AW225" s="1015">
        <f ca="1">SUMIFS(Покупка!AV$25:AV$90,Покупка!$F$25:$F$90,$F225,Покупка!$AC$25:$AC$90,$G225)</f>
        <v>0</v>
      </c>
      <c r="AX225" s="1015">
        <f ca="1">SUMIFS(Покупка!AW$25:AW$90,Покупка!$F$25:$F$90,$F225,Покупка!$AC$25:$AC$90,$G225)</f>
        <v>0</v>
      </c>
      <c r="AY225" s="1015">
        <f ca="1">SUMIFS(Покупка!AX$25:AX$90,Покупка!$F$25:$F$90,$F225,Покупка!$AC$25:$AC$90,$G225)</f>
        <v>0</v>
      </c>
      <c r="AZ225" s="1015">
        <f ca="1">SUMIFS(Покупка!AY$25:AY$90,Покупка!$F$25:$F$90,$F225,Покупка!$AC$25:$AC$90,$G225)</f>
        <v>0</v>
      </c>
      <c r="BA225" s="1015">
        <f ca="1">SUMIFS(Покупка!AZ$25:AZ$90,Покупка!$F$25:$F$90,$F225,Покупка!$AC$25:$AC$90,$G225)</f>
        <v>0</v>
      </c>
      <c r="BB225" s="1015">
        <f ca="1">SUMIFS(Покупка!BA$25:BA$90,Покупка!$F$25:$F$90,$F225,Покупка!$AC$25:$AC$90,$G225)</f>
        <v>0</v>
      </c>
      <c r="BC225" s="1015">
        <f ca="1">SUMIFS(Покупка!BB$25:BB$90,Покупка!$F$25:$F$90,$F225,Покупка!$AC$25:$AC$90,$G225)</f>
        <v>0</v>
      </c>
      <c r="BD225" s="1015">
        <f t="shared" ca="1" si="57"/>
        <v>0</v>
      </c>
      <c r="BE225" s="1015">
        <f t="shared" ca="1" si="58"/>
        <v>0</v>
      </c>
      <c r="BF225" s="1015">
        <f t="shared" ca="1" si="59"/>
        <v>0</v>
      </c>
      <c r="BG225" s="1015">
        <f t="shared" ca="1" si="60"/>
        <v>0</v>
      </c>
      <c r="BH225" s="1015">
        <f t="shared" ca="1" si="61"/>
        <v>0</v>
      </c>
      <c r="BI225" s="1015">
        <f t="shared" ca="1" si="62"/>
        <v>0</v>
      </c>
      <c r="BJ225" s="1015">
        <f t="shared" ca="1" si="63"/>
        <v>0</v>
      </c>
      <c r="BK225" s="1015">
        <f t="shared" ca="1" si="64"/>
        <v>0</v>
      </c>
      <c r="BL225" s="1015">
        <f t="shared" ca="1" si="65"/>
        <v>0</v>
      </c>
      <c r="BM225" s="1015">
        <f t="shared" ca="1" si="66"/>
        <v>0</v>
      </c>
      <c r="BN225" s="1482"/>
      <c r="BO225" s="1484" t="str">
        <f ca="1">IF(IFERROR(INDEX(Покупка!$K$26:$L$90,MATCH($F225&amp;"7komm",Покупка!$K$26:$K$90,0),2),"")=0,"",IFERROR(INDEX(Покупка!$K$26:$L$90,MATCH($F225&amp;"7komm",Покупка!$K$26:$K$90,0),2),""))</f>
        <v/>
      </c>
      <c r="BP225" s="1482"/>
      <c r="BQ225" s="1177"/>
      <c r="BR225" s="1177"/>
      <c r="BS225" s="966" t="s">
        <v>1001</v>
      </c>
      <c r="BT225" s="966"/>
      <c r="BU225" s="966"/>
      <c r="BV225" s="881"/>
      <c r="BW225" s="881"/>
    </row>
    <row r="226" spans="1:75" s="1327" customFormat="1" ht="14.25" customHeight="1">
      <c r="A226" s="1177"/>
      <c r="B226" s="880"/>
      <c r="C226" s="26"/>
      <c r="D226" s="26"/>
      <c r="E226" s="538">
        <v>15</v>
      </c>
      <c r="F226" s="3" t="str" cm="1">
        <f t="array" aca="1" ref="F226" ca="1">OFFSET(E226,-1,1)</f>
        <v>1</v>
      </c>
      <c r="G226" s="26" t="s">
        <v>975</v>
      </c>
      <c r="H226" s="26"/>
      <c r="I226" s="26" t="s">
        <v>1491</v>
      </c>
      <c r="J226" s="26"/>
      <c r="K226" s="26" t="s">
        <v>1491</v>
      </c>
      <c r="L226" s="882" t="s">
        <v>1361</v>
      </c>
      <c r="M226" s="26"/>
      <c r="N226" s="26"/>
      <c r="O226" s="26"/>
      <c r="P226" s="26"/>
      <c r="Q226" s="26"/>
      <c r="R226" s="26"/>
      <c r="S226" s="26"/>
      <c r="T226" s="381" t="b" cm="1">
        <f t="array" aca="1" ref="T226" ca="1">T225</f>
        <v>1</v>
      </c>
      <c r="U226" s="26"/>
      <c r="V226" s="26"/>
      <c r="W226" s="26"/>
      <c r="X226" s="1787"/>
      <c r="Y226" s="1177"/>
      <c r="Z226" s="1735"/>
      <c r="AA226" s="1177"/>
      <c r="AB226" s="216" t="s">
        <v>1868</v>
      </c>
      <c r="AC226" s="679" t="s">
        <v>1869</v>
      </c>
      <c r="AD226" s="216" t="s">
        <v>766</v>
      </c>
      <c r="AE226" s="1015">
        <f ca="1">SUMIFS(Покупка!AE$25:AE$90,Покупка!$F$25:$F$90,$F226,Покупка!$AC$25:$AC$90,$G226)</f>
        <v>0</v>
      </c>
      <c r="AF226" s="1015">
        <f ca="1">SUMIFS(Покупка!AF$25:AF$90,Покупка!$F$25:$F$90,$F226,Покупка!$AC$25:$AC$90,$G226)</f>
        <v>0</v>
      </c>
      <c r="AG226" s="1015">
        <f ca="1">SUMIFS(Покупка!AG$25:AG$90,Покупка!$F$25:$F$90,$F226,Покупка!$AC$25:$AC$90,$G226)</f>
        <v>0</v>
      </c>
      <c r="AH226" s="1015">
        <f t="shared" ca="1" si="55"/>
        <v>0</v>
      </c>
      <c r="AI226" s="1015">
        <f ca="1">SUMIFS(Покупка!AH$25:AH$90,Покупка!$F$25:$F$90,$F226,Покупка!$AC$25:$AC$90,$G226)</f>
        <v>0</v>
      </c>
      <c r="AJ226" s="1015">
        <f ca="1">SUMIFS(Покупка!AI$25:AI$90,Покупка!$F$25:$F$90,$F226,Покупка!$AC$25:$AC$90,$G226)</f>
        <v>0</v>
      </c>
      <c r="AK226" s="1015">
        <f ca="1">SUMIFS(Покупка!AJ$25:AJ$90,Покупка!$F$25:$F$90,$F226,Покупка!$AC$25:$AC$90,$G226)</f>
        <v>0</v>
      </c>
      <c r="AL226" s="1015">
        <f ca="1">SUMIFS(Покупка!AK$25:AK$90,Покупка!$F$25:$F$90,$F226,Покупка!$AC$25:$AC$90,$G226)</f>
        <v>0</v>
      </c>
      <c r="AM226" s="1015">
        <f ca="1">SUMIFS(Покупка!AL$25:AL$90,Покупка!$F$25:$F$90,$F226,Покупка!$AC$25:$AC$90,$G226)</f>
        <v>0</v>
      </c>
      <c r="AN226" s="1015">
        <f ca="1">SUMIFS(Покупка!AM$25:AM$90,Покупка!$F$25:$F$90,$F226,Покупка!$AC$25:$AC$90,$G226)</f>
        <v>0</v>
      </c>
      <c r="AO226" s="1015">
        <f ca="1">SUMIFS(Покупка!AN$25:AN$90,Покупка!$F$25:$F$90,$F226,Покупка!$AC$25:$AC$90,$G226)</f>
        <v>0</v>
      </c>
      <c r="AP226" s="1015">
        <f ca="1">SUMIFS(Покупка!AO$25:AO$90,Покупка!$F$25:$F$90,$F226,Покупка!$AC$25:$AC$90,$G226)</f>
        <v>0</v>
      </c>
      <c r="AQ226" s="1015">
        <f ca="1">SUMIFS(Покупка!AP$25:AP$90,Покупка!$F$25:$F$90,$F226,Покупка!$AC$25:$AC$90,$G226)</f>
        <v>0</v>
      </c>
      <c r="AR226" s="1015">
        <f ca="1">SUMIFS(Покупка!AQ$25:AQ$90,Покупка!$F$25:$F$90,$F226,Покупка!$AC$25:$AC$90,$G226)</f>
        <v>0</v>
      </c>
      <c r="AS226" s="1015">
        <f ca="1">SUMIFS(Покупка!AR$25:AR$90,Покупка!$F$25:$F$90,$F226,Покупка!$AC$25:$AC$90,$G226)</f>
        <v>0</v>
      </c>
      <c r="AT226" s="1015">
        <f ca="1">SUMIFS(Покупка!AS$25:AS$90,Покупка!$F$25:$F$90,$F226,Покупка!$AC$25:$AC$90,$G226)</f>
        <v>0</v>
      </c>
      <c r="AU226" s="1015">
        <f ca="1">SUMIFS(Покупка!AT$25:AT$90,Покупка!$F$25:$F$90,$F226,Покупка!$AC$25:$AC$90,$G226)</f>
        <v>0</v>
      </c>
      <c r="AV226" s="1015">
        <f ca="1">SUMIFS(Покупка!AU$25:AU$90,Покупка!$F$25:$F$90,$F226,Покупка!$AC$25:$AC$90,$G226)</f>
        <v>0</v>
      </c>
      <c r="AW226" s="1015">
        <f ca="1">SUMIFS(Покупка!AV$25:AV$90,Покупка!$F$25:$F$90,$F226,Покупка!$AC$25:$AC$90,$G226)</f>
        <v>0</v>
      </c>
      <c r="AX226" s="1015">
        <f ca="1">SUMIFS(Покупка!AW$25:AW$90,Покупка!$F$25:$F$90,$F226,Покупка!$AC$25:$AC$90,$G226)</f>
        <v>0</v>
      </c>
      <c r="AY226" s="1015">
        <f ca="1">SUMIFS(Покупка!AX$25:AX$90,Покупка!$F$25:$F$90,$F226,Покупка!$AC$25:$AC$90,$G226)</f>
        <v>0</v>
      </c>
      <c r="AZ226" s="1015">
        <f ca="1">SUMIFS(Покупка!AY$25:AY$90,Покупка!$F$25:$F$90,$F226,Покупка!$AC$25:$AC$90,$G226)</f>
        <v>0</v>
      </c>
      <c r="BA226" s="1015">
        <f ca="1">SUMIFS(Покупка!AZ$25:AZ$90,Покупка!$F$25:$F$90,$F226,Покупка!$AC$25:$AC$90,$G226)</f>
        <v>0</v>
      </c>
      <c r="BB226" s="1015">
        <f ca="1">SUMIFS(Покупка!BA$25:BA$90,Покупка!$F$25:$F$90,$F226,Покупка!$AC$25:$AC$90,$G226)</f>
        <v>0</v>
      </c>
      <c r="BC226" s="1015">
        <f ca="1">SUMIFS(Покупка!BB$25:BB$90,Покупка!$F$25:$F$90,$F226,Покупка!$AC$25:$AC$90,$G226)</f>
        <v>0</v>
      </c>
      <c r="BD226" s="1015">
        <f t="shared" ca="1" si="57"/>
        <v>0</v>
      </c>
      <c r="BE226" s="1015">
        <f t="shared" ca="1" si="58"/>
        <v>0</v>
      </c>
      <c r="BF226" s="1015">
        <f t="shared" ca="1" si="59"/>
        <v>0</v>
      </c>
      <c r="BG226" s="1015">
        <f t="shared" ca="1" si="60"/>
        <v>0</v>
      </c>
      <c r="BH226" s="1015">
        <f t="shared" ca="1" si="61"/>
        <v>0</v>
      </c>
      <c r="BI226" s="1015">
        <f t="shared" ca="1" si="62"/>
        <v>0</v>
      </c>
      <c r="BJ226" s="1015">
        <f t="shared" ca="1" si="63"/>
        <v>0</v>
      </c>
      <c r="BK226" s="1015">
        <f t="shared" ca="1" si="64"/>
        <v>0</v>
      </c>
      <c r="BL226" s="1015">
        <f t="shared" ca="1" si="65"/>
        <v>0</v>
      </c>
      <c r="BM226" s="1015">
        <f t="shared" ca="1" si="66"/>
        <v>0</v>
      </c>
      <c r="BN226" s="1482"/>
      <c r="BO226" s="1484" t="str">
        <f ca="1">IF(IFERROR(INDEX(Покупка!$K$26:$L$90,MATCH($F226&amp;"2komm",Покупка!$K$26:$K$90,0),2),"")=0,"",IFERROR(INDEX(Покупка!$K$26:$L$90,MATCH($F226&amp;"2komm",Покупка!$K$26:$K$90,0),2),""))</f>
        <v/>
      </c>
      <c r="BP226" s="1482"/>
      <c r="BQ226" s="1177"/>
      <c r="BR226" s="1177"/>
      <c r="BS226" s="966" t="s">
        <v>1870</v>
      </c>
      <c r="BT226" s="966"/>
      <c r="BU226" s="966"/>
      <c r="BV226" s="881"/>
      <c r="BW226" s="881"/>
    </row>
    <row r="227" spans="1:75" s="1327" customFormat="1" ht="23.25" customHeight="1">
      <c r="A227" s="1177"/>
      <c r="B227" s="880"/>
      <c r="C227" s="26"/>
      <c r="D227" s="26"/>
      <c r="E227" s="538">
        <v>15</v>
      </c>
      <c r="F227" s="3" t="str" cm="1">
        <f t="array" aca="1" ref="F227" ca="1">OFFSET(E227,-1,1)</f>
        <v>1</v>
      </c>
      <c r="G227" s="26" t="s">
        <v>966</v>
      </c>
      <c r="H227" s="26"/>
      <c r="I227" s="26" t="s">
        <v>1493</v>
      </c>
      <c r="J227" s="26"/>
      <c r="K227" s="26" t="s">
        <v>1493</v>
      </c>
      <c r="L227" s="882" t="s">
        <v>1356</v>
      </c>
      <c r="M227" s="26"/>
      <c r="N227" s="26"/>
      <c r="O227" s="26"/>
      <c r="P227" s="26"/>
      <c r="Q227" s="26"/>
      <c r="R227" s="26"/>
      <c r="S227" s="26"/>
      <c r="T227" s="381" t="b" cm="1">
        <f t="array" aca="1" ref="T227" ca="1">T226</f>
        <v>1</v>
      </c>
      <c r="U227" s="26"/>
      <c r="V227" s="26"/>
      <c r="W227" s="26"/>
      <c r="X227" s="1787"/>
      <c r="Y227" s="1177"/>
      <c r="Z227" s="1735"/>
      <c r="AA227" s="1177"/>
      <c r="AB227" s="216" t="s">
        <v>1871</v>
      </c>
      <c r="AC227" s="679" t="s">
        <v>1872</v>
      </c>
      <c r="AD227" s="216" t="s">
        <v>766</v>
      </c>
      <c r="AE227" s="1015">
        <f ca="1">SUMIFS(Покупка!AE$25:AE$90,Покупка!$F$25:$F$90,$F227,Покупка!$AC$25:$AC$90,$G227)</f>
        <v>140.82</v>
      </c>
      <c r="AF227" s="1015">
        <f ca="1">SUMIFS(Покупка!AF$25:AF$90,Покупка!$F$25:$F$90,$F227,Покупка!$AC$25:$AC$90,$G227)</f>
        <v>5.6</v>
      </c>
      <c r="AG227" s="1015">
        <f ca="1">SUMIFS(Покупка!AG$25:AG$90,Покупка!$F$25:$F$90,$F227,Покупка!$AC$25:$AC$90,$G227)</f>
        <v>5.6</v>
      </c>
      <c r="AH227" s="1015">
        <f t="shared" ca="1" si="55"/>
        <v>0</v>
      </c>
      <c r="AI227" s="1015">
        <f ca="1">SUMIFS(Покупка!AH$25:AH$90,Покупка!$F$25:$F$90,$F227,Покупка!$AC$25:$AC$90,$G227)</f>
        <v>146.88999999999999</v>
      </c>
      <c r="AJ227" s="1015">
        <f ca="1">SUMIFS(Покупка!AI$25:AI$90,Покупка!$F$25:$F$90,$F227,Покупка!$AC$25:$AC$90,$G227)</f>
        <v>155.30000000000001</v>
      </c>
      <c r="AK227" s="1015">
        <f ca="1">SUMIFS(Покупка!AJ$25:AJ$90,Покупка!$F$25:$F$90,$F227,Покупка!$AC$25:$AC$90,$G227)</f>
        <v>0</v>
      </c>
      <c r="AL227" s="1015">
        <f ca="1">SUMIFS(Покупка!AK$25:AK$90,Покупка!$F$25:$F$90,$F227,Покупка!$AC$25:$AC$90,$G227)</f>
        <v>0</v>
      </c>
      <c r="AM227" s="1015">
        <f ca="1">SUMIFS(Покупка!AL$25:AL$90,Покупка!$F$25:$F$90,$F227,Покупка!$AC$25:$AC$90,$G227)</f>
        <v>0</v>
      </c>
      <c r="AN227" s="1015">
        <f ca="1">SUMIFS(Покупка!AM$25:AM$90,Покупка!$F$25:$F$90,$F227,Покупка!$AC$25:$AC$90,$G227)</f>
        <v>0</v>
      </c>
      <c r="AO227" s="1015">
        <f ca="1">SUMIFS(Покупка!AN$25:AN$90,Покупка!$F$25:$F$90,$F227,Покупка!$AC$25:$AC$90,$G227)</f>
        <v>0</v>
      </c>
      <c r="AP227" s="1015">
        <f ca="1">SUMIFS(Покупка!AO$25:AO$90,Покупка!$F$25:$F$90,$F227,Покупка!$AC$25:$AC$90,$G227)</f>
        <v>0</v>
      </c>
      <c r="AQ227" s="1015">
        <f ca="1">SUMIFS(Покупка!AP$25:AP$90,Покупка!$F$25:$F$90,$F227,Покупка!$AC$25:$AC$90,$G227)</f>
        <v>0</v>
      </c>
      <c r="AR227" s="1015">
        <f ca="1">SUMIFS(Покупка!AQ$25:AQ$90,Покупка!$F$25:$F$90,$F227,Покупка!$AC$25:$AC$90,$G227)</f>
        <v>0</v>
      </c>
      <c r="AS227" s="1015">
        <f ca="1">SUMIFS(Покупка!AR$25:AR$90,Покупка!$F$25:$F$90,$F227,Покупка!$AC$25:$AC$90,$G227)</f>
        <v>0</v>
      </c>
      <c r="AT227" s="1015">
        <f ca="1">SUMIFS(Покупка!AS$25:AS$90,Покупка!$F$25:$F$90,$F227,Покупка!$AC$25:$AC$90,$G227)</f>
        <v>155.33000000000001</v>
      </c>
      <c r="AU227" s="1015">
        <f ca="1">SUMIFS(Покупка!AT$25:AT$90,Покупка!$F$25:$F$90,$F227,Покупка!$AC$25:$AC$90,$G227)</f>
        <v>0</v>
      </c>
      <c r="AV227" s="1015">
        <f ca="1">SUMIFS(Покупка!AU$25:AU$90,Покупка!$F$25:$F$90,$F227,Покупка!$AC$25:$AC$90,$G227)</f>
        <v>0</v>
      </c>
      <c r="AW227" s="1015">
        <f ca="1">SUMIFS(Покупка!AV$25:AV$90,Покупка!$F$25:$F$90,$F227,Покупка!$AC$25:$AC$90,$G227)</f>
        <v>0</v>
      </c>
      <c r="AX227" s="1015">
        <f ca="1">SUMIFS(Покупка!AW$25:AW$90,Покупка!$F$25:$F$90,$F227,Покупка!$AC$25:$AC$90,$G227)</f>
        <v>0</v>
      </c>
      <c r="AY227" s="1015">
        <f ca="1">SUMIFS(Покупка!AX$25:AX$90,Покупка!$F$25:$F$90,$F227,Покупка!$AC$25:$AC$90,$G227)</f>
        <v>0</v>
      </c>
      <c r="AZ227" s="1015">
        <f ca="1">SUMIFS(Покупка!AY$25:AY$90,Покупка!$F$25:$F$90,$F227,Покупка!$AC$25:$AC$90,$G227)</f>
        <v>0</v>
      </c>
      <c r="BA227" s="1015">
        <f ca="1">SUMIFS(Покупка!AZ$25:AZ$90,Покупка!$F$25:$F$90,$F227,Покупка!$AC$25:$AC$90,$G227)</f>
        <v>0</v>
      </c>
      <c r="BB227" s="1015">
        <f ca="1">SUMIFS(Покупка!BA$25:BA$90,Покупка!$F$25:$F$90,$F227,Покупка!$AC$25:$AC$90,$G227)</f>
        <v>0</v>
      </c>
      <c r="BC227" s="1015">
        <f ca="1">SUMIFS(Покупка!BB$25:BB$90,Покупка!$F$25:$F$90,$F227,Покупка!$AC$25:$AC$90,$G227)</f>
        <v>0</v>
      </c>
      <c r="BD227" s="1015">
        <f t="shared" ca="1" si="57"/>
        <v>5.7457961740077792</v>
      </c>
      <c r="BE227" s="1015">
        <f t="shared" ca="1" si="58"/>
        <v>-100</v>
      </c>
      <c r="BF227" s="1015">
        <f t="shared" ca="1" si="59"/>
        <v>0</v>
      </c>
      <c r="BG227" s="1015">
        <f t="shared" ca="1" si="60"/>
        <v>0</v>
      </c>
      <c r="BH227" s="1015">
        <f t="shared" ca="1" si="61"/>
        <v>0</v>
      </c>
      <c r="BI227" s="1015">
        <f t="shared" ca="1" si="62"/>
        <v>0</v>
      </c>
      <c r="BJ227" s="1015">
        <f t="shared" ca="1" si="63"/>
        <v>0</v>
      </c>
      <c r="BK227" s="1015">
        <f t="shared" ca="1" si="64"/>
        <v>0</v>
      </c>
      <c r="BL227" s="1015">
        <f t="shared" ca="1" si="65"/>
        <v>0</v>
      </c>
      <c r="BM227" s="1015">
        <f t="shared" ca="1" si="66"/>
        <v>0</v>
      </c>
      <c r="BN227" s="1482" t="s">
        <v>2042</v>
      </c>
      <c r="BO227" s="1484" t="str">
        <f ca="1">IF(IFERROR(INDEX(Покупка!$K$26:$L$90,MATCH($F227&amp;"1komm",Покупка!$K$26:$K$90,0),2),"")=0,"",IFERROR(INDEX(Покупка!$K$26:$L$90,MATCH($F227&amp;"1komm",Покупка!$K$26:$K$90,0),2),""))</f>
        <v/>
      </c>
      <c r="BP227" s="1482"/>
      <c r="BQ227" s="1177"/>
      <c r="BR227" s="1177"/>
      <c r="BS227" s="966" t="s">
        <v>1873</v>
      </c>
      <c r="BT227" s="966"/>
      <c r="BU227" s="966"/>
      <c r="BV227" s="881"/>
      <c r="BW227" s="881"/>
    </row>
    <row r="228" spans="1:75" s="1327" customFormat="1" ht="14.25" customHeight="1">
      <c r="A228" s="1177"/>
      <c r="B228" s="880"/>
      <c r="C228" s="26"/>
      <c r="D228" s="26"/>
      <c r="E228" s="538">
        <v>15</v>
      </c>
      <c r="F228" s="3" t="str" cm="1">
        <f t="array" aca="1" ref="F228" ca="1">OFFSET(E228,-1,1)</f>
        <v>1</v>
      </c>
      <c r="G228" s="26" t="s">
        <v>1002</v>
      </c>
      <c r="H228" s="26"/>
      <c r="I228" s="26" t="s">
        <v>1496</v>
      </c>
      <c r="J228" s="26"/>
      <c r="K228" s="26" t="s">
        <v>1496</v>
      </c>
      <c r="L228" s="882"/>
      <c r="M228" s="26"/>
      <c r="N228" s="26"/>
      <c r="O228" s="26"/>
      <c r="P228" s="26"/>
      <c r="Q228" s="26"/>
      <c r="R228" s="26"/>
      <c r="S228" s="26"/>
      <c r="T228" s="381" t="b" cm="1">
        <f t="array" aca="1" ref="T228" ca="1">T227</f>
        <v>1</v>
      </c>
      <c r="U228" s="26"/>
      <c r="V228" s="26"/>
      <c r="W228" s="26"/>
      <c r="X228" s="1787"/>
      <c r="Y228" s="1177"/>
      <c r="Z228" s="1735"/>
      <c r="AA228" s="1177"/>
      <c r="AB228" s="216" t="s">
        <v>1874</v>
      </c>
      <c r="AC228" s="679" t="s">
        <v>1875</v>
      </c>
      <c r="AD228" s="216" t="s">
        <v>766</v>
      </c>
      <c r="AE228" s="1015">
        <f ca="1">SUMIFS(Покупка!AE$25:AE$90,Покупка!$F$25:$F$90,$F228,Покупка!$AC$25:$AC$90,$G228)</f>
        <v>0</v>
      </c>
      <c r="AF228" s="1015">
        <f ca="1">SUMIFS(Покупка!AF$25:AF$90,Покупка!$F$25:$F$90,$F228,Покупка!$AC$25:$AC$90,$G228)</f>
        <v>0</v>
      </c>
      <c r="AG228" s="1015">
        <f ca="1">SUMIFS(Покупка!AG$25:AG$90,Покупка!$F$25:$F$90,$F228,Покупка!$AC$25:$AC$90,$G228)</f>
        <v>0</v>
      </c>
      <c r="AH228" s="1015">
        <f t="shared" ca="1" si="55"/>
        <v>0</v>
      </c>
      <c r="AI228" s="1015">
        <f ca="1">SUMIFS(Покупка!AH$25:AH$90,Покупка!$F$25:$F$90,$F228,Покупка!$AC$25:$AC$90,$G228)</f>
        <v>0</v>
      </c>
      <c r="AJ228" s="1015">
        <f ca="1">SUMIFS(Покупка!AI$25:AI$90,Покупка!$F$25:$F$90,$F228,Покупка!$AC$25:$AC$90,$G228)</f>
        <v>0</v>
      </c>
      <c r="AK228" s="1015">
        <f ca="1">SUMIFS(Покупка!AJ$25:AJ$90,Покупка!$F$25:$F$90,$F228,Покупка!$AC$25:$AC$90,$G228)</f>
        <v>0</v>
      </c>
      <c r="AL228" s="1015">
        <f ca="1">SUMIFS(Покупка!AK$25:AK$90,Покупка!$F$25:$F$90,$F228,Покупка!$AC$25:$AC$90,$G228)</f>
        <v>0</v>
      </c>
      <c r="AM228" s="1015">
        <f ca="1">SUMIFS(Покупка!AL$25:AL$90,Покупка!$F$25:$F$90,$F228,Покупка!$AC$25:$AC$90,$G228)</f>
        <v>0</v>
      </c>
      <c r="AN228" s="1015">
        <f ca="1">SUMIFS(Покупка!AM$25:AM$90,Покупка!$F$25:$F$90,$F228,Покупка!$AC$25:$AC$90,$G228)</f>
        <v>0</v>
      </c>
      <c r="AO228" s="1015">
        <f ca="1">SUMIFS(Покупка!AN$25:AN$90,Покупка!$F$25:$F$90,$F228,Покупка!$AC$25:$AC$90,$G228)</f>
        <v>0</v>
      </c>
      <c r="AP228" s="1015">
        <f ca="1">SUMIFS(Покупка!AO$25:AO$90,Покупка!$F$25:$F$90,$F228,Покупка!$AC$25:$AC$90,$G228)</f>
        <v>0</v>
      </c>
      <c r="AQ228" s="1015">
        <f ca="1">SUMIFS(Покупка!AP$25:AP$90,Покупка!$F$25:$F$90,$F228,Покупка!$AC$25:$AC$90,$G228)</f>
        <v>0</v>
      </c>
      <c r="AR228" s="1015">
        <f ca="1">SUMIFS(Покупка!AQ$25:AQ$90,Покупка!$F$25:$F$90,$F228,Покупка!$AC$25:$AC$90,$G228)</f>
        <v>0</v>
      </c>
      <c r="AS228" s="1015">
        <f ca="1">SUMIFS(Покупка!AR$25:AR$90,Покупка!$F$25:$F$90,$F228,Покупка!$AC$25:$AC$90,$G228)</f>
        <v>0</v>
      </c>
      <c r="AT228" s="1015">
        <f ca="1">SUMIFS(Покупка!AS$25:AS$90,Покупка!$F$25:$F$90,$F228,Покупка!$AC$25:$AC$90,$G228)</f>
        <v>0</v>
      </c>
      <c r="AU228" s="1015">
        <f ca="1">SUMIFS(Покупка!AT$25:AT$90,Покупка!$F$25:$F$90,$F228,Покупка!$AC$25:$AC$90,$G228)</f>
        <v>0</v>
      </c>
      <c r="AV228" s="1015">
        <f ca="1">SUMIFS(Покупка!AU$25:AU$90,Покупка!$F$25:$F$90,$F228,Покупка!$AC$25:$AC$90,$G228)</f>
        <v>0</v>
      </c>
      <c r="AW228" s="1015">
        <f ca="1">SUMIFS(Покупка!AV$25:AV$90,Покупка!$F$25:$F$90,$F228,Покупка!$AC$25:$AC$90,$G228)</f>
        <v>0</v>
      </c>
      <c r="AX228" s="1015">
        <f ca="1">SUMIFS(Покупка!AW$25:AW$90,Покупка!$F$25:$F$90,$F228,Покупка!$AC$25:$AC$90,$G228)</f>
        <v>0</v>
      </c>
      <c r="AY228" s="1015">
        <f ca="1">SUMIFS(Покупка!AX$25:AX$90,Покупка!$F$25:$F$90,$F228,Покупка!$AC$25:$AC$90,$G228)</f>
        <v>0</v>
      </c>
      <c r="AZ228" s="1015">
        <f ca="1">SUMIFS(Покупка!AY$25:AY$90,Покупка!$F$25:$F$90,$F228,Покупка!$AC$25:$AC$90,$G228)</f>
        <v>0</v>
      </c>
      <c r="BA228" s="1015">
        <f ca="1">SUMIFS(Покупка!AZ$25:AZ$90,Покупка!$F$25:$F$90,$F228,Покупка!$AC$25:$AC$90,$G228)</f>
        <v>0</v>
      </c>
      <c r="BB228" s="1015">
        <f ca="1">SUMIFS(Покупка!BA$25:BA$90,Покупка!$F$25:$F$90,$F228,Покупка!$AC$25:$AC$90,$G228)</f>
        <v>0</v>
      </c>
      <c r="BC228" s="1015">
        <f ca="1">SUMIFS(Покупка!BB$25:BB$90,Покупка!$F$25:$F$90,$F228,Покупка!$AC$25:$AC$90,$G228)</f>
        <v>0</v>
      </c>
      <c r="BD228" s="1015">
        <f t="shared" ca="1" si="57"/>
        <v>0</v>
      </c>
      <c r="BE228" s="1015">
        <f t="shared" ca="1" si="58"/>
        <v>0</v>
      </c>
      <c r="BF228" s="1015">
        <f t="shared" ca="1" si="59"/>
        <v>0</v>
      </c>
      <c r="BG228" s="1015">
        <f t="shared" ca="1" si="60"/>
        <v>0</v>
      </c>
      <c r="BH228" s="1015">
        <f t="shared" ca="1" si="61"/>
        <v>0</v>
      </c>
      <c r="BI228" s="1015">
        <f t="shared" ca="1" si="62"/>
        <v>0</v>
      </c>
      <c r="BJ228" s="1015">
        <f t="shared" ca="1" si="63"/>
        <v>0</v>
      </c>
      <c r="BK228" s="1015">
        <f t="shared" ca="1" si="64"/>
        <v>0</v>
      </c>
      <c r="BL228" s="1015">
        <f t="shared" ca="1" si="65"/>
        <v>0</v>
      </c>
      <c r="BM228" s="1015">
        <f t="shared" ca="1" si="66"/>
        <v>0</v>
      </c>
      <c r="BN228" s="1482"/>
      <c r="BO228" s="1484" t="str">
        <f ca="1">IF(IFERROR(INDEX(Покупка!$K$26:$L$90,MATCH($F228&amp;"8komm",Покупка!$K$26:$K$90,0),2),"")=0,"",IFERROR(INDEX(Покупка!$K$26:$L$90,MATCH($F228&amp;"8komm",Покупка!$K$26:$K$90,0),2),""))</f>
        <v/>
      </c>
      <c r="BP228" s="1482"/>
      <c r="BQ228" s="1177"/>
      <c r="BR228" s="1177"/>
      <c r="BS228" s="966" t="s">
        <v>1003</v>
      </c>
      <c r="BT228" s="966"/>
      <c r="BU228" s="966"/>
      <c r="BV228" s="881"/>
      <c r="BW228" s="881"/>
    </row>
    <row r="229" spans="1:75" s="1327" customFormat="1" ht="14.25" customHeight="1">
      <c r="A229" s="1177"/>
      <c r="B229" s="880"/>
      <c r="C229" s="26"/>
      <c r="D229" s="26"/>
      <c r="E229" s="538">
        <v>15</v>
      </c>
      <c r="F229" s="3" t="str" cm="1">
        <f t="array" aca="1" ref="F229" ca="1">OFFSET(E229,-1,1)</f>
        <v>1</v>
      </c>
      <c r="G229" s="26"/>
      <c r="H229" s="26"/>
      <c r="I229" s="26" t="s">
        <v>1876</v>
      </c>
      <c r="J229" s="26"/>
      <c r="K229" s="26" t="s">
        <v>1876</v>
      </c>
      <c r="L229" s="882"/>
      <c r="M229" s="26"/>
      <c r="N229" s="26"/>
      <c r="O229" s="26"/>
      <c r="P229" s="26"/>
      <c r="Q229" s="26"/>
      <c r="R229" s="26"/>
      <c r="S229" s="26"/>
      <c r="T229" s="381" t="b" cm="1">
        <f t="array" aca="1" ref="T229" ca="1">T228</f>
        <v>1</v>
      </c>
      <c r="U229" s="26"/>
      <c r="V229" s="26"/>
      <c r="W229" s="26"/>
      <c r="X229" s="1787"/>
      <c r="Y229" s="1177"/>
      <c r="Z229" s="1735"/>
      <c r="AA229" s="1177"/>
      <c r="AB229" s="216" t="s">
        <v>1877</v>
      </c>
      <c r="AC229" s="679" t="s">
        <v>1878</v>
      </c>
      <c r="AD229" s="216" t="s">
        <v>766</v>
      </c>
      <c r="AE229" s="1473"/>
      <c r="AF229" s="1473"/>
      <c r="AG229" s="1473"/>
      <c r="AH229" s="1015">
        <f t="shared" si="55"/>
        <v>0</v>
      </c>
      <c r="AI229" s="1473"/>
      <c r="AJ229" s="1473"/>
      <c r="AK229" s="1473"/>
      <c r="AL229" s="1473"/>
      <c r="AM229" s="1473"/>
      <c r="AN229" s="1473"/>
      <c r="AO229" s="1473"/>
      <c r="AP229" s="1473"/>
      <c r="AQ229" s="1473"/>
      <c r="AR229" s="1473"/>
      <c r="AS229" s="1473"/>
      <c r="AT229" s="1473"/>
      <c r="AU229" s="1473"/>
      <c r="AV229" s="1473"/>
      <c r="AW229" s="1473"/>
      <c r="AX229" s="1473"/>
      <c r="AY229" s="1473"/>
      <c r="AZ229" s="1473"/>
      <c r="BA229" s="1473"/>
      <c r="BB229" s="1473"/>
      <c r="BC229" s="1473"/>
      <c r="BD229" s="1015">
        <f t="shared" si="57"/>
        <v>0</v>
      </c>
      <c r="BE229" s="1015">
        <f t="shared" si="58"/>
        <v>0</v>
      </c>
      <c r="BF229" s="1015">
        <f t="shared" si="59"/>
        <v>0</v>
      </c>
      <c r="BG229" s="1015">
        <f t="shared" si="60"/>
        <v>0</v>
      </c>
      <c r="BH229" s="1015">
        <f t="shared" si="61"/>
        <v>0</v>
      </c>
      <c r="BI229" s="1015">
        <f t="shared" si="62"/>
        <v>0</v>
      </c>
      <c r="BJ229" s="1015">
        <f t="shared" si="63"/>
        <v>0</v>
      </c>
      <c r="BK229" s="1015">
        <f t="shared" si="64"/>
        <v>0</v>
      </c>
      <c r="BL229" s="1015">
        <f t="shared" si="65"/>
        <v>0</v>
      </c>
      <c r="BM229" s="1015">
        <f t="shared" si="66"/>
        <v>0</v>
      </c>
      <c r="BN229" s="1482"/>
      <c r="BO229" s="1482"/>
      <c r="BP229" s="1482"/>
      <c r="BQ229" s="1177"/>
      <c r="BR229" s="1177"/>
      <c r="BS229" s="966" t="s">
        <v>1879</v>
      </c>
      <c r="BT229" s="966"/>
      <c r="BU229" s="966"/>
      <c r="BV229" s="881"/>
      <c r="BW229" s="881"/>
    </row>
    <row r="230" spans="1:75" s="1327" customFormat="1" ht="14.25" customHeight="1">
      <c r="A230" s="1177"/>
      <c r="B230" s="880"/>
      <c r="C230" s="26"/>
      <c r="D230" s="26"/>
      <c r="E230" s="538">
        <v>15</v>
      </c>
      <c r="F230" s="3" t="str" cm="1">
        <f t="array" aca="1" ref="F230" ca="1">OFFSET(E230,-1,1)</f>
        <v>1</v>
      </c>
      <c r="G230" s="26"/>
      <c r="H230" s="26"/>
      <c r="I230" s="26" t="s">
        <v>1880</v>
      </c>
      <c r="J230" s="26"/>
      <c r="K230" s="26" t="s">
        <v>1880</v>
      </c>
      <c r="L230" s="882"/>
      <c r="M230" s="26"/>
      <c r="N230" s="26"/>
      <c r="O230" s="26"/>
      <c r="P230" s="26"/>
      <c r="Q230" s="26"/>
      <c r="R230" s="26"/>
      <c r="S230" s="26"/>
      <c r="T230" s="381" t="b" cm="1">
        <f t="array" aca="1" ref="T230" ca="1">T229</f>
        <v>1</v>
      </c>
      <c r="U230" s="26"/>
      <c r="V230" s="26"/>
      <c r="W230" s="26"/>
      <c r="X230" s="1787"/>
      <c r="Y230" s="1177"/>
      <c r="Z230" s="1735"/>
      <c r="AA230" s="1177"/>
      <c r="AB230" s="216" t="s">
        <v>1881</v>
      </c>
      <c r="AC230" s="679" t="s">
        <v>1882</v>
      </c>
      <c r="AD230" s="216" t="s">
        <v>766</v>
      </c>
      <c r="AE230" s="1473"/>
      <c r="AF230" s="1473"/>
      <c r="AG230" s="1473"/>
      <c r="AH230" s="1015">
        <f t="shared" si="55"/>
        <v>0</v>
      </c>
      <c r="AI230" s="1473"/>
      <c r="AJ230" s="1473"/>
      <c r="AK230" s="1473"/>
      <c r="AL230" s="1473"/>
      <c r="AM230" s="1473"/>
      <c r="AN230" s="1473"/>
      <c r="AO230" s="1473"/>
      <c r="AP230" s="1473"/>
      <c r="AQ230" s="1473"/>
      <c r="AR230" s="1473"/>
      <c r="AS230" s="1473"/>
      <c r="AT230" s="1473"/>
      <c r="AU230" s="1473"/>
      <c r="AV230" s="1473"/>
      <c r="AW230" s="1473"/>
      <c r="AX230" s="1473"/>
      <c r="AY230" s="1473"/>
      <c r="AZ230" s="1473"/>
      <c r="BA230" s="1473"/>
      <c r="BB230" s="1473"/>
      <c r="BC230" s="1473"/>
      <c r="BD230" s="1015">
        <f t="shared" si="57"/>
        <v>0</v>
      </c>
      <c r="BE230" s="1015">
        <f t="shared" si="58"/>
        <v>0</v>
      </c>
      <c r="BF230" s="1015">
        <f t="shared" si="59"/>
        <v>0</v>
      </c>
      <c r="BG230" s="1015">
        <f t="shared" si="60"/>
        <v>0</v>
      </c>
      <c r="BH230" s="1015">
        <f t="shared" si="61"/>
        <v>0</v>
      </c>
      <c r="BI230" s="1015">
        <f t="shared" si="62"/>
        <v>0</v>
      </c>
      <c r="BJ230" s="1015">
        <f t="shared" si="63"/>
        <v>0</v>
      </c>
      <c r="BK230" s="1015">
        <f t="shared" si="64"/>
        <v>0</v>
      </c>
      <c r="BL230" s="1015">
        <f t="shared" si="65"/>
        <v>0</v>
      </c>
      <c r="BM230" s="1015">
        <f t="shared" si="66"/>
        <v>0</v>
      </c>
      <c r="BN230" s="1482"/>
      <c r="BO230" s="1482"/>
      <c r="BP230" s="1482"/>
      <c r="BQ230" s="1177"/>
      <c r="BR230" s="1177"/>
      <c r="BS230" s="966" t="s">
        <v>1883</v>
      </c>
      <c r="BT230" s="966"/>
      <c r="BU230" s="966"/>
      <c r="BV230" s="881"/>
      <c r="BW230" s="881"/>
    </row>
    <row r="231" spans="1:75" s="1327" customFormat="1" ht="14.25" customHeight="1">
      <c r="A231" s="1177"/>
      <c r="B231" s="880"/>
      <c r="C231" s="26"/>
      <c r="D231" s="26"/>
      <c r="E231" s="538">
        <v>15</v>
      </c>
      <c r="F231" s="3" t="str" cm="1">
        <f t="array" aca="1" ref="F231" ca="1">OFFSET(E231,-1,1)</f>
        <v>1</v>
      </c>
      <c r="G231" s="26" t="s">
        <v>980</v>
      </c>
      <c r="H231" s="26"/>
      <c r="I231" s="26" t="s">
        <v>1884</v>
      </c>
      <c r="J231" s="26"/>
      <c r="K231" s="26" t="s">
        <v>1884</v>
      </c>
      <c r="L231" s="882" t="s">
        <v>1370</v>
      </c>
      <c r="M231" s="26"/>
      <c r="N231" s="26"/>
      <c r="O231" s="26"/>
      <c r="P231" s="26"/>
      <c r="Q231" s="26"/>
      <c r="R231" s="26"/>
      <c r="S231" s="26"/>
      <c r="T231" s="381" t="b" cm="1">
        <f t="array" aca="1" ref="T231" ca="1">T230</f>
        <v>1</v>
      </c>
      <c r="U231" s="26"/>
      <c r="V231" s="26"/>
      <c r="W231" s="26"/>
      <c r="X231" s="1787"/>
      <c r="Y231" s="1177"/>
      <c r="Z231" s="1735"/>
      <c r="AA231" s="1177"/>
      <c r="AB231" s="216" t="s">
        <v>1885</v>
      </c>
      <c r="AC231" s="679" t="s">
        <v>1886</v>
      </c>
      <c r="AD231" s="216" t="s">
        <v>766</v>
      </c>
      <c r="AE231" s="1015">
        <f ca="1">SUMIFS(Покупка!AE$25:AE$90,Покупка!$F$25:$F$90,$F231,Покупка!$AC$25:$AC$90,$G231)</f>
        <v>0</v>
      </c>
      <c r="AF231" s="1015">
        <f ca="1">SUMIFS(Покупка!AF$25:AF$90,Покупка!$F$25:$F$90,$F231,Покупка!$AC$25:$AC$90,$G231)</f>
        <v>0</v>
      </c>
      <c r="AG231" s="1015">
        <f ca="1">SUMIFS(Покупка!AG$25:AG$90,Покупка!$F$25:$F$90,$F231,Покупка!$AC$25:$AC$90,$G231)</f>
        <v>0</v>
      </c>
      <c r="AH231" s="1015">
        <f t="shared" ca="1" si="55"/>
        <v>0</v>
      </c>
      <c r="AI231" s="1015">
        <f ca="1">SUMIFS(Покупка!AH$25:AH$90,Покупка!$F$25:$F$90,$F231,Покупка!$AC$25:$AC$90,$G231)</f>
        <v>0</v>
      </c>
      <c r="AJ231" s="1015">
        <f ca="1">SUMIFS(Покупка!AI$25:AI$90,Покупка!$F$25:$F$90,$F231,Покупка!$AC$25:$AC$90,$G231)</f>
        <v>0</v>
      </c>
      <c r="AK231" s="1015">
        <f ca="1">SUMIFS(Покупка!AJ$25:AJ$90,Покупка!$F$25:$F$90,$F231,Покупка!$AC$25:$AC$90,$G231)</f>
        <v>0</v>
      </c>
      <c r="AL231" s="1015">
        <f ca="1">SUMIFS(Покупка!AK$25:AK$90,Покупка!$F$25:$F$90,$F231,Покупка!$AC$25:$AC$90,$G231)</f>
        <v>0</v>
      </c>
      <c r="AM231" s="1015">
        <f ca="1">SUMIFS(Покупка!AL$25:AL$90,Покупка!$F$25:$F$90,$F231,Покупка!$AC$25:$AC$90,$G231)</f>
        <v>0</v>
      </c>
      <c r="AN231" s="1015">
        <f ca="1">SUMIFS(Покупка!AM$25:AM$90,Покупка!$F$25:$F$90,$F231,Покупка!$AC$25:$AC$90,$G231)</f>
        <v>0</v>
      </c>
      <c r="AO231" s="1015">
        <f ca="1">SUMIFS(Покупка!AN$25:AN$90,Покупка!$F$25:$F$90,$F231,Покупка!$AC$25:$AC$90,$G231)</f>
        <v>0</v>
      </c>
      <c r="AP231" s="1015">
        <f ca="1">SUMIFS(Покупка!AO$25:AO$90,Покупка!$F$25:$F$90,$F231,Покупка!$AC$25:$AC$90,$G231)</f>
        <v>0</v>
      </c>
      <c r="AQ231" s="1015">
        <f ca="1">SUMIFS(Покупка!AP$25:AP$90,Покупка!$F$25:$F$90,$F231,Покупка!$AC$25:$AC$90,$G231)</f>
        <v>0</v>
      </c>
      <c r="AR231" s="1015">
        <f ca="1">SUMIFS(Покупка!AQ$25:AQ$90,Покупка!$F$25:$F$90,$F231,Покупка!$AC$25:$AC$90,$G231)</f>
        <v>0</v>
      </c>
      <c r="AS231" s="1015">
        <f ca="1">SUMIFS(Покупка!AR$25:AR$90,Покупка!$F$25:$F$90,$F231,Покупка!$AC$25:$AC$90,$G231)</f>
        <v>0</v>
      </c>
      <c r="AT231" s="1015">
        <f ca="1">SUMIFS(Покупка!AS$25:AS$90,Покупка!$F$25:$F$90,$F231,Покупка!$AC$25:$AC$90,$G231)</f>
        <v>0</v>
      </c>
      <c r="AU231" s="1015">
        <f ca="1">SUMIFS(Покупка!AT$25:AT$90,Покупка!$F$25:$F$90,$F231,Покупка!$AC$25:$AC$90,$G231)</f>
        <v>0</v>
      </c>
      <c r="AV231" s="1015">
        <f ca="1">SUMIFS(Покупка!AU$25:AU$90,Покупка!$F$25:$F$90,$F231,Покупка!$AC$25:$AC$90,$G231)</f>
        <v>0</v>
      </c>
      <c r="AW231" s="1015">
        <f ca="1">SUMIFS(Покупка!AV$25:AV$90,Покупка!$F$25:$F$90,$F231,Покупка!$AC$25:$AC$90,$G231)</f>
        <v>0</v>
      </c>
      <c r="AX231" s="1015">
        <f ca="1">SUMIFS(Покупка!AW$25:AW$90,Покупка!$F$25:$F$90,$F231,Покупка!$AC$25:$AC$90,$G231)</f>
        <v>0</v>
      </c>
      <c r="AY231" s="1015">
        <f ca="1">SUMIFS(Покупка!AX$25:AX$90,Покупка!$F$25:$F$90,$F231,Покупка!$AC$25:$AC$90,$G231)</f>
        <v>0</v>
      </c>
      <c r="AZ231" s="1015">
        <f ca="1">SUMIFS(Покупка!AY$25:AY$90,Покупка!$F$25:$F$90,$F231,Покупка!$AC$25:$AC$90,$G231)</f>
        <v>0</v>
      </c>
      <c r="BA231" s="1015">
        <f ca="1">SUMIFS(Покупка!AZ$25:AZ$90,Покупка!$F$25:$F$90,$F231,Покупка!$AC$25:$AC$90,$G231)</f>
        <v>0</v>
      </c>
      <c r="BB231" s="1015">
        <f ca="1">SUMIFS(Покупка!BA$25:BA$90,Покупка!$F$25:$F$90,$F231,Покупка!$AC$25:$AC$90,$G231)</f>
        <v>0</v>
      </c>
      <c r="BC231" s="1015">
        <f ca="1">SUMIFS(Покупка!BB$25:BB$90,Покупка!$F$25:$F$90,$F231,Покупка!$AC$25:$AC$90,$G231)</f>
        <v>0</v>
      </c>
      <c r="BD231" s="1015">
        <f t="shared" ca="1" si="57"/>
        <v>0</v>
      </c>
      <c r="BE231" s="1015">
        <f t="shared" ca="1" si="58"/>
        <v>0</v>
      </c>
      <c r="BF231" s="1015">
        <f t="shared" ca="1" si="59"/>
        <v>0</v>
      </c>
      <c r="BG231" s="1015">
        <f t="shared" ca="1" si="60"/>
        <v>0</v>
      </c>
      <c r="BH231" s="1015">
        <f t="shared" ca="1" si="61"/>
        <v>0</v>
      </c>
      <c r="BI231" s="1015">
        <f t="shared" ca="1" si="62"/>
        <v>0</v>
      </c>
      <c r="BJ231" s="1015">
        <f t="shared" ca="1" si="63"/>
        <v>0</v>
      </c>
      <c r="BK231" s="1015">
        <f t="shared" ca="1" si="64"/>
        <v>0</v>
      </c>
      <c r="BL231" s="1015">
        <f t="shared" ca="1" si="65"/>
        <v>0</v>
      </c>
      <c r="BM231" s="1015">
        <f t="shared" ca="1" si="66"/>
        <v>0</v>
      </c>
      <c r="BN231" s="1482"/>
      <c r="BO231" s="1484" t="str">
        <f ca="1">IF(IFERROR(INDEX(Покупка!$K$26:$L$90,MATCH($F231&amp;"3komm",Покупка!$K$26:$K$90,0),2),"")=0,"",IFERROR(INDEX(Покупка!$K$26:$L$90,MATCH($F231&amp;"3komm",Покупка!$K$26:$K$90,0),2),""))</f>
        <v/>
      </c>
      <c r="BP231" s="1482"/>
      <c r="BQ231" s="1177"/>
      <c r="BR231" s="1177"/>
      <c r="BS231" s="966" t="s">
        <v>1571</v>
      </c>
      <c r="BT231" s="966"/>
      <c r="BU231" s="966"/>
      <c r="BV231" s="881"/>
      <c r="BW231" s="881"/>
    </row>
    <row r="232" spans="1:75" s="1327" customFormat="1" ht="14.25" customHeight="1">
      <c r="A232" s="1177"/>
      <c r="B232" s="880"/>
      <c r="C232" s="26"/>
      <c r="D232" s="26"/>
      <c r="E232" s="538">
        <v>15</v>
      </c>
      <c r="F232" s="3" t="str" cm="1">
        <f t="array" aca="1" ref="F232" ca="1">OFFSET(E232,-1,1)</f>
        <v>1</v>
      </c>
      <c r="G232" s="26" t="s">
        <v>986</v>
      </c>
      <c r="H232" s="26"/>
      <c r="I232" s="26" t="s">
        <v>1887</v>
      </c>
      <c r="J232" s="26"/>
      <c r="K232" s="26" t="s">
        <v>1887</v>
      </c>
      <c r="L232" s="882" t="s">
        <v>1375</v>
      </c>
      <c r="M232" s="26"/>
      <c r="N232" s="26"/>
      <c r="O232" s="26"/>
      <c r="P232" s="26"/>
      <c r="Q232" s="26"/>
      <c r="R232" s="26"/>
      <c r="S232" s="26"/>
      <c r="T232" s="381" t="b" cm="1">
        <f t="array" aca="1" ref="T232" ca="1">T231</f>
        <v>1</v>
      </c>
      <c r="U232" s="26"/>
      <c r="V232" s="26"/>
      <c r="W232" s="26"/>
      <c r="X232" s="1787"/>
      <c r="Y232" s="1177"/>
      <c r="Z232" s="1735"/>
      <c r="AA232" s="1177"/>
      <c r="AB232" s="216" t="s">
        <v>1888</v>
      </c>
      <c r="AC232" s="679" t="s">
        <v>1889</v>
      </c>
      <c r="AD232" s="216" t="s">
        <v>766</v>
      </c>
      <c r="AE232" s="1015">
        <f ca="1">SUMIFS(Покупка!AE$25:AE$90,Покупка!$F$25:$F$90,$F232,Покупка!$AC$25:$AC$90,$G232)</f>
        <v>0</v>
      </c>
      <c r="AF232" s="1015">
        <f ca="1">SUMIFS(Покупка!AF$25:AF$90,Покупка!$F$25:$F$90,$F232,Покупка!$AC$25:$AC$90,$G232)</f>
        <v>0</v>
      </c>
      <c r="AG232" s="1015">
        <f ca="1">SUMIFS(Покупка!AG$25:AG$90,Покупка!$F$25:$F$90,$F232,Покупка!$AC$25:$AC$90,$G232)</f>
        <v>0</v>
      </c>
      <c r="AH232" s="1015">
        <f t="shared" ca="1" si="55"/>
        <v>0</v>
      </c>
      <c r="AI232" s="1015">
        <f ca="1">SUMIFS(Покупка!AH$25:AH$90,Покупка!$F$25:$F$90,$F232,Покупка!$AC$25:$AC$90,$G232)</f>
        <v>0</v>
      </c>
      <c r="AJ232" s="1015">
        <f ca="1">SUMIFS(Покупка!AI$25:AI$90,Покупка!$F$25:$F$90,$F232,Покупка!$AC$25:$AC$90,$G232)</f>
        <v>0</v>
      </c>
      <c r="AK232" s="1015">
        <f ca="1">SUMIFS(Покупка!AJ$25:AJ$90,Покупка!$F$25:$F$90,$F232,Покупка!$AC$25:$AC$90,$G232)</f>
        <v>0</v>
      </c>
      <c r="AL232" s="1015">
        <f ca="1">SUMIFS(Покупка!AK$25:AK$90,Покупка!$F$25:$F$90,$F232,Покупка!$AC$25:$AC$90,$G232)</f>
        <v>0</v>
      </c>
      <c r="AM232" s="1015">
        <f ca="1">SUMIFS(Покупка!AL$25:AL$90,Покупка!$F$25:$F$90,$F232,Покупка!$AC$25:$AC$90,$G232)</f>
        <v>0</v>
      </c>
      <c r="AN232" s="1015">
        <f ca="1">SUMIFS(Покупка!AM$25:AM$90,Покупка!$F$25:$F$90,$F232,Покупка!$AC$25:$AC$90,$G232)</f>
        <v>0</v>
      </c>
      <c r="AO232" s="1015">
        <f ca="1">SUMIFS(Покупка!AN$25:AN$90,Покупка!$F$25:$F$90,$F232,Покупка!$AC$25:$AC$90,$G232)</f>
        <v>0</v>
      </c>
      <c r="AP232" s="1015">
        <f ca="1">SUMIFS(Покупка!AO$25:AO$90,Покупка!$F$25:$F$90,$F232,Покупка!$AC$25:$AC$90,$G232)</f>
        <v>0</v>
      </c>
      <c r="AQ232" s="1015">
        <f ca="1">SUMIFS(Покупка!AP$25:AP$90,Покупка!$F$25:$F$90,$F232,Покупка!$AC$25:$AC$90,$G232)</f>
        <v>0</v>
      </c>
      <c r="AR232" s="1015">
        <f ca="1">SUMIFS(Покупка!AQ$25:AQ$90,Покупка!$F$25:$F$90,$F232,Покупка!$AC$25:$AC$90,$G232)</f>
        <v>0</v>
      </c>
      <c r="AS232" s="1015">
        <f ca="1">SUMIFS(Покупка!AR$25:AR$90,Покупка!$F$25:$F$90,$F232,Покупка!$AC$25:$AC$90,$G232)</f>
        <v>0</v>
      </c>
      <c r="AT232" s="1015">
        <f ca="1">SUMIFS(Покупка!AS$25:AS$90,Покупка!$F$25:$F$90,$F232,Покупка!$AC$25:$AC$90,$G232)</f>
        <v>0</v>
      </c>
      <c r="AU232" s="1015">
        <f ca="1">SUMIFS(Покупка!AT$25:AT$90,Покупка!$F$25:$F$90,$F232,Покупка!$AC$25:$AC$90,$G232)</f>
        <v>0</v>
      </c>
      <c r="AV232" s="1015">
        <f ca="1">SUMIFS(Покупка!AU$25:AU$90,Покупка!$F$25:$F$90,$F232,Покупка!$AC$25:$AC$90,$G232)</f>
        <v>0</v>
      </c>
      <c r="AW232" s="1015">
        <f ca="1">SUMIFS(Покупка!AV$25:AV$90,Покупка!$F$25:$F$90,$F232,Покупка!$AC$25:$AC$90,$G232)</f>
        <v>0</v>
      </c>
      <c r="AX232" s="1015">
        <f ca="1">SUMIFS(Покупка!AW$25:AW$90,Покупка!$F$25:$F$90,$F232,Покупка!$AC$25:$AC$90,$G232)</f>
        <v>0</v>
      </c>
      <c r="AY232" s="1015">
        <f ca="1">SUMIFS(Покупка!AX$25:AX$90,Покупка!$F$25:$F$90,$F232,Покупка!$AC$25:$AC$90,$G232)</f>
        <v>0</v>
      </c>
      <c r="AZ232" s="1015">
        <f ca="1">SUMIFS(Покупка!AY$25:AY$90,Покупка!$F$25:$F$90,$F232,Покупка!$AC$25:$AC$90,$G232)</f>
        <v>0</v>
      </c>
      <c r="BA232" s="1015">
        <f ca="1">SUMIFS(Покупка!AZ$25:AZ$90,Покупка!$F$25:$F$90,$F232,Покупка!$AC$25:$AC$90,$G232)</f>
        <v>0</v>
      </c>
      <c r="BB232" s="1015">
        <f ca="1">SUMIFS(Покупка!BA$25:BA$90,Покупка!$F$25:$F$90,$F232,Покупка!$AC$25:$AC$90,$G232)</f>
        <v>0</v>
      </c>
      <c r="BC232" s="1015">
        <f ca="1">SUMIFS(Покупка!BB$25:BB$90,Покупка!$F$25:$F$90,$F232,Покупка!$AC$25:$AC$90,$G232)</f>
        <v>0</v>
      </c>
      <c r="BD232" s="1015">
        <f t="shared" ca="1" si="57"/>
        <v>0</v>
      </c>
      <c r="BE232" s="1015">
        <f t="shared" ca="1" si="58"/>
        <v>0</v>
      </c>
      <c r="BF232" s="1015">
        <f t="shared" ca="1" si="59"/>
        <v>0</v>
      </c>
      <c r="BG232" s="1015">
        <f t="shared" ca="1" si="60"/>
        <v>0</v>
      </c>
      <c r="BH232" s="1015">
        <f t="shared" ca="1" si="61"/>
        <v>0</v>
      </c>
      <c r="BI232" s="1015">
        <f t="shared" ca="1" si="62"/>
        <v>0</v>
      </c>
      <c r="BJ232" s="1015">
        <f t="shared" ca="1" si="63"/>
        <v>0</v>
      </c>
      <c r="BK232" s="1015">
        <f t="shared" ca="1" si="64"/>
        <v>0</v>
      </c>
      <c r="BL232" s="1015">
        <f t="shared" ca="1" si="65"/>
        <v>0</v>
      </c>
      <c r="BM232" s="1015">
        <f t="shared" ca="1" si="66"/>
        <v>0</v>
      </c>
      <c r="BN232" s="1482"/>
      <c r="BO232" s="1484" t="str">
        <f ca="1">IF(IFERROR(INDEX(Покупка!$K$26:$L$90,MATCH($F232&amp;"4komm",Покупка!$K$26:$K$90,0),2),"")=0,"",IFERROR(INDEX(Покупка!$K$26:$L$90,MATCH($F231&amp;"3komm",Покупка!$K$26:$K$90,0),2),""))</f>
        <v/>
      </c>
      <c r="BP232" s="1482"/>
      <c r="BQ232" s="1177"/>
      <c r="BR232" s="1177"/>
      <c r="BS232" s="966" t="s">
        <v>1574</v>
      </c>
      <c r="BT232" s="966"/>
      <c r="BU232" s="966"/>
      <c r="BV232" s="881"/>
      <c r="BW232" s="881"/>
    </row>
    <row r="233" spans="1:75" s="1327" customFormat="1" ht="14.25" customHeight="1">
      <c r="A233" s="1177"/>
      <c r="B233" s="880"/>
      <c r="C233" s="26"/>
      <c r="D233" s="26"/>
      <c r="E233" s="538">
        <v>15</v>
      </c>
      <c r="F233" s="3" t="str" cm="1">
        <f t="array" aca="1" ref="F233" ca="1">OFFSET(E233,-1,1)</f>
        <v>1</v>
      </c>
      <c r="G233" s="26" t="s">
        <v>992</v>
      </c>
      <c r="H233" s="26"/>
      <c r="I233" s="26" t="s">
        <v>1890</v>
      </c>
      <c r="J233" s="26"/>
      <c r="K233" s="26" t="s">
        <v>1890</v>
      </c>
      <c r="L233" s="882" t="s">
        <v>1385</v>
      </c>
      <c r="M233" s="26"/>
      <c r="N233" s="26"/>
      <c r="O233" s="26"/>
      <c r="P233" s="26"/>
      <c r="Q233" s="26"/>
      <c r="R233" s="26"/>
      <c r="S233" s="26"/>
      <c r="T233" s="381" t="b" cm="1">
        <f t="array" aca="1" ref="T233" ca="1">T232</f>
        <v>1</v>
      </c>
      <c r="U233" s="26"/>
      <c r="V233" s="26"/>
      <c r="W233" s="26"/>
      <c r="X233" s="1787"/>
      <c r="Y233" s="1177"/>
      <c r="Z233" s="1735"/>
      <c r="AA233" s="1177"/>
      <c r="AB233" s="216" t="s">
        <v>1891</v>
      </c>
      <c r="AC233" s="679" t="s">
        <v>1892</v>
      </c>
      <c r="AD233" s="216" t="s">
        <v>766</v>
      </c>
      <c r="AE233" s="1015">
        <f ca="1">SUMIFS(Покупка!AE$25:AE$90,Покупка!$F$25:$F$90,$F233,Покупка!$AC$25:$AC$90,$G233)</f>
        <v>0</v>
      </c>
      <c r="AF233" s="1015">
        <f ca="1">SUMIFS(Покупка!AF$25:AF$90,Покупка!$F$25:$F$90,$F233,Покупка!$AC$25:$AC$90,$G233)</f>
        <v>0</v>
      </c>
      <c r="AG233" s="1015">
        <f ca="1">SUMIFS(Покупка!AG$25:AG$90,Покупка!$F$25:$F$90,$F233,Покупка!$AC$25:$AC$90,$G233)</f>
        <v>0</v>
      </c>
      <c r="AH233" s="1015">
        <f t="shared" ca="1" si="55"/>
        <v>0</v>
      </c>
      <c r="AI233" s="1015">
        <f ca="1">SUMIFS(Покупка!AH$25:AH$90,Покупка!$F$25:$F$90,$F233,Покупка!$AC$25:$AC$90,$G233)</f>
        <v>0</v>
      </c>
      <c r="AJ233" s="1015">
        <f ca="1">SUMIFS(Покупка!AI$25:AI$90,Покупка!$F$25:$F$90,$F233,Покупка!$AC$25:$AC$90,$G233)</f>
        <v>0</v>
      </c>
      <c r="AK233" s="1015">
        <f ca="1">SUMIFS(Покупка!AJ$25:AJ$90,Покупка!$F$25:$F$90,$F233,Покупка!$AC$25:$AC$90,$G233)</f>
        <v>0</v>
      </c>
      <c r="AL233" s="1015">
        <f ca="1">SUMIFS(Покупка!AK$25:AK$90,Покупка!$F$25:$F$90,$F233,Покупка!$AC$25:$AC$90,$G233)</f>
        <v>0</v>
      </c>
      <c r="AM233" s="1015">
        <f ca="1">SUMIFS(Покупка!AL$25:AL$90,Покупка!$F$25:$F$90,$F233,Покупка!$AC$25:$AC$90,$G233)</f>
        <v>0</v>
      </c>
      <c r="AN233" s="1015">
        <f ca="1">SUMIFS(Покупка!AM$25:AM$90,Покупка!$F$25:$F$90,$F233,Покупка!$AC$25:$AC$90,$G233)</f>
        <v>0</v>
      </c>
      <c r="AO233" s="1015">
        <f ca="1">SUMIFS(Покупка!AN$25:AN$90,Покупка!$F$25:$F$90,$F233,Покупка!$AC$25:$AC$90,$G233)</f>
        <v>0</v>
      </c>
      <c r="AP233" s="1015">
        <f ca="1">SUMIFS(Покупка!AO$25:AO$90,Покупка!$F$25:$F$90,$F233,Покупка!$AC$25:$AC$90,$G233)</f>
        <v>0</v>
      </c>
      <c r="AQ233" s="1015">
        <f ca="1">SUMIFS(Покупка!AP$25:AP$90,Покупка!$F$25:$F$90,$F233,Покупка!$AC$25:$AC$90,$G233)</f>
        <v>0</v>
      </c>
      <c r="AR233" s="1015">
        <f ca="1">SUMIFS(Покупка!AQ$25:AQ$90,Покупка!$F$25:$F$90,$F233,Покупка!$AC$25:$AC$90,$G233)</f>
        <v>0</v>
      </c>
      <c r="AS233" s="1015">
        <f ca="1">SUMIFS(Покупка!AR$25:AR$90,Покупка!$F$25:$F$90,$F233,Покупка!$AC$25:$AC$90,$G233)</f>
        <v>0</v>
      </c>
      <c r="AT233" s="1015">
        <f ca="1">SUMIFS(Покупка!AS$25:AS$90,Покупка!$F$25:$F$90,$F233,Покупка!$AC$25:$AC$90,$G233)</f>
        <v>0</v>
      </c>
      <c r="AU233" s="1015">
        <f ca="1">SUMIFS(Покупка!AT$25:AT$90,Покупка!$F$25:$F$90,$F233,Покупка!$AC$25:$AC$90,$G233)</f>
        <v>0</v>
      </c>
      <c r="AV233" s="1015">
        <f ca="1">SUMIFS(Покупка!AU$25:AU$90,Покупка!$F$25:$F$90,$F233,Покупка!$AC$25:$AC$90,$G233)</f>
        <v>0</v>
      </c>
      <c r="AW233" s="1015">
        <f ca="1">SUMIFS(Покупка!AV$25:AV$90,Покупка!$F$25:$F$90,$F233,Покупка!$AC$25:$AC$90,$G233)</f>
        <v>0</v>
      </c>
      <c r="AX233" s="1015">
        <f ca="1">SUMIFS(Покупка!AW$25:AW$90,Покупка!$F$25:$F$90,$F233,Покупка!$AC$25:$AC$90,$G233)</f>
        <v>0</v>
      </c>
      <c r="AY233" s="1015">
        <f ca="1">SUMIFS(Покупка!AX$25:AX$90,Покупка!$F$25:$F$90,$F233,Покупка!$AC$25:$AC$90,$G233)</f>
        <v>0</v>
      </c>
      <c r="AZ233" s="1015">
        <f ca="1">SUMIFS(Покупка!AY$25:AY$90,Покупка!$F$25:$F$90,$F233,Покупка!$AC$25:$AC$90,$G233)</f>
        <v>0</v>
      </c>
      <c r="BA233" s="1015">
        <f ca="1">SUMIFS(Покупка!AZ$25:AZ$90,Покупка!$F$25:$F$90,$F233,Покупка!$AC$25:$AC$90,$G233)</f>
        <v>0</v>
      </c>
      <c r="BB233" s="1015">
        <f ca="1">SUMIFS(Покупка!BA$25:BA$90,Покупка!$F$25:$F$90,$F233,Покупка!$AC$25:$AC$90,$G233)</f>
        <v>0</v>
      </c>
      <c r="BC233" s="1015">
        <f ca="1">SUMIFS(Покупка!BB$25:BB$90,Покупка!$F$25:$F$90,$F233,Покупка!$AC$25:$AC$90,$G233)</f>
        <v>0</v>
      </c>
      <c r="BD233" s="1015">
        <f t="shared" ca="1" si="57"/>
        <v>0</v>
      </c>
      <c r="BE233" s="1015">
        <f t="shared" ca="1" si="58"/>
        <v>0</v>
      </c>
      <c r="BF233" s="1015">
        <f t="shared" ca="1" si="59"/>
        <v>0</v>
      </c>
      <c r="BG233" s="1015">
        <f t="shared" ca="1" si="60"/>
        <v>0</v>
      </c>
      <c r="BH233" s="1015">
        <f t="shared" ca="1" si="61"/>
        <v>0</v>
      </c>
      <c r="BI233" s="1015">
        <f t="shared" ca="1" si="62"/>
        <v>0</v>
      </c>
      <c r="BJ233" s="1015">
        <f t="shared" ca="1" si="63"/>
        <v>0</v>
      </c>
      <c r="BK233" s="1015">
        <f t="shared" ca="1" si="64"/>
        <v>0</v>
      </c>
      <c r="BL233" s="1015">
        <f t="shared" ca="1" si="65"/>
        <v>0</v>
      </c>
      <c r="BM233" s="1015">
        <f t="shared" ca="1" si="66"/>
        <v>0</v>
      </c>
      <c r="BN233" s="1482"/>
      <c r="BO233" s="1484" t="str">
        <f ca="1">IF(IFERROR(INDEX(Покупка!$K$26:$L$90,MATCH($F233&amp;"5komm",Покупка!$K$26:$K$90,0),2),"")=0,"",IFERROR(INDEX(Покупка!$K$26:$L$90,MATCH($F233&amp;"5komm",Покупка!$K$26:$K$90,0),2),""))</f>
        <v/>
      </c>
      <c r="BP233" s="1482"/>
      <c r="BQ233" s="1177"/>
      <c r="BR233" s="1177"/>
      <c r="BS233" s="966" t="s">
        <v>1577</v>
      </c>
      <c r="BT233" s="966"/>
      <c r="BU233" s="966"/>
      <c r="BV233" s="881"/>
      <c r="BW233" s="881"/>
    </row>
    <row r="234" spans="1:75" s="1327" customFormat="1" ht="14.25" customHeight="1">
      <c r="A234" s="1177"/>
      <c r="B234" s="880"/>
      <c r="C234" s="26"/>
      <c r="D234" s="26"/>
      <c r="E234" s="538">
        <v>15</v>
      </c>
      <c r="F234" s="3" t="str" cm="1">
        <f t="array" aca="1" ref="F234" ca="1">OFFSET(E234,-1,1)</f>
        <v>1</v>
      </c>
      <c r="G234" s="26" t="s">
        <v>1004</v>
      </c>
      <c r="H234" s="26"/>
      <c r="I234" s="26"/>
      <c r="J234" s="26"/>
      <c r="K234" s="26"/>
      <c r="L234" s="882" t="s">
        <v>1352</v>
      </c>
      <c r="M234" s="26"/>
      <c r="N234" s="26"/>
      <c r="O234" s="26"/>
      <c r="P234" s="26"/>
      <c r="Q234" s="26"/>
      <c r="R234" s="26"/>
      <c r="S234" s="26"/>
      <c r="T234" s="381" t="b" cm="1">
        <f t="array" aca="1" ref="T234" ca="1">T233</f>
        <v>1</v>
      </c>
      <c r="U234" s="26"/>
      <c r="V234" s="26"/>
      <c r="W234" s="26"/>
      <c r="X234" s="1787"/>
      <c r="Y234" s="1177"/>
      <c r="Z234" s="1735"/>
      <c r="AA234" s="1177"/>
      <c r="AB234" s="216" t="s">
        <v>1893</v>
      </c>
      <c r="AC234" s="679" t="s">
        <v>1894</v>
      </c>
      <c r="AD234" s="216" t="s">
        <v>766</v>
      </c>
      <c r="AE234" s="1015">
        <f ca="1">SUMIFS(Покупка!AE$25:AE$90,Покупка!$F$25:$F$90,$F234,Покупка!$AC$25:$AC$90,$G234)</f>
        <v>0</v>
      </c>
      <c r="AF234" s="1015">
        <f ca="1">SUMIFS(Покупка!AF$25:AF$90,Покупка!$F$25:$F$90,$F234,Покупка!$AC$25:$AC$90,$G234)</f>
        <v>0</v>
      </c>
      <c r="AG234" s="1015">
        <f ca="1">SUMIFS(Покупка!AG$25:AG$90,Покупка!$F$25:$F$90,$F234,Покупка!$AC$25:$AC$90,$G234)</f>
        <v>0</v>
      </c>
      <c r="AH234" s="1015">
        <f t="shared" ca="1" si="55"/>
        <v>0</v>
      </c>
      <c r="AI234" s="1015">
        <f ca="1">SUMIFS(Покупка!AH$25:AH$90,Покупка!$F$25:$F$90,$F234,Покупка!$AC$25:$AC$90,$G234)</f>
        <v>0</v>
      </c>
      <c r="AJ234" s="1015">
        <f ca="1">SUMIFS(Покупка!AI$25:AI$90,Покупка!$F$25:$F$90,$F234,Покупка!$AC$25:$AC$90,$G234)</f>
        <v>0</v>
      </c>
      <c r="AK234" s="1015">
        <f ca="1">SUMIFS(Покупка!AJ$25:AJ$90,Покупка!$F$25:$F$90,$F234,Покупка!$AC$25:$AC$90,$G234)</f>
        <v>0</v>
      </c>
      <c r="AL234" s="1015">
        <f ca="1">SUMIFS(Покупка!AK$25:AK$90,Покупка!$F$25:$F$90,$F234,Покупка!$AC$25:$AC$90,$G234)</f>
        <v>0</v>
      </c>
      <c r="AM234" s="1015">
        <f ca="1">SUMIFS(Покупка!AL$25:AL$90,Покупка!$F$25:$F$90,$F234,Покупка!$AC$25:$AC$90,$G234)</f>
        <v>0</v>
      </c>
      <c r="AN234" s="1015">
        <f ca="1">SUMIFS(Покупка!AM$25:AM$90,Покупка!$F$25:$F$90,$F234,Покупка!$AC$25:$AC$90,$G234)</f>
        <v>0</v>
      </c>
      <c r="AO234" s="1015">
        <f ca="1">SUMIFS(Покупка!AN$25:AN$90,Покупка!$F$25:$F$90,$F234,Покупка!$AC$25:$AC$90,$G234)</f>
        <v>0</v>
      </c>
      <c r="AP234" s="1015">
        <f ca="1">SUMIFS(Покупка!AO$25:AO$90,Покупка!$F$25:$F$90,$F234,Покупка!$AC$25:$AC$90,$G234)</f>
        <v>0</v>
      </c>
      <c r="AQ234" s="1015">
        <f ca="1">SUMIFS(Покупка!AP$25:AP$90,Покупка!$F$25:$F$90,$F234,Покупка!$AC$25:$AC$90,$G234)</f>
        <v>0</v>
      </c>
      <c r="AR234" s="1015">
        <f ca="1">SUMIFS(Покупка!AQ$25:AQ$90,Покупка!$F$25:$F$90,$F234,Покупка!$AC$25:$AC$90,$G234)</f>
        <v>0</v>
      </c>
      <c r="AS234" s="1015">
        <f ca="1">SUMIFS(Покупка!AR$25:AR$90,Покупка!$F$25:$F$90,$F234,Покупка!$AC$25:$AC$90,$G234)</f>
        <v>0</v>
      </c>
      <c r="AT234" s="1015">
        <f ca="1">SUMIFS(Покупка!AS$25:AS$90,Покупка!$F$25:$F$90,$F234,Покупка!$AC$25:$AC$90,$G234)</f>
        <v>0</v>
      </c>
      <c r="AU234" s="1015">
        <f ca="1">SUMIFS(Покупка!AT$25:AT$90,Покупка!$F$25:$F$90,$F234,Покупка!$AC$25:$AC$90,$G234)</f>
        <v>0</v>
      </c>
      <c r="AV234" s="1015">
        <f ca="1">SUMIFS(Покупка!AU$25:AU$90,Покупка!$F$25:$F$90,$F234,Покупка!$AC$25:$AC$90,$G234)</f>
        <v>0</v>
      </c>
      <c r="AW234" s="1015">
        <f ca="1">SUMIFS(Покупка!AV$25:AV$90,Покупка!$F$25:$F$90,$F234,Покупка!$AC$25:$AC$90,$G234)</f>
        <v>0</v>
      </c>
      <c r="AX234" s="1015">
        <f ca="1">SUMIFS(Покупка!AW$25:AW$90,Покупка!$F$25:$F$90,$F234,Покупка!$AC$25:$AC$90,$G234)</f>
        <v>0</v>
      </c>
      <c r="AY234" s="1015">
        <f ca="1">SUMIFS(Покупка!AX$25:AX$90,Покупка!$F$25:$F$90,$F234,Покупка!$AC$25:$AC$90,$G234)</f>
        <v>0</v>
      </c>
      <c r="AZ234" s="1015">
        <f ca="1">SUMIFS(Покупка!AY$25:AY$90,Покупка!$F$25:$F$90,$F234,Покупка!$AC$25:$AC$90,$G234)</f>
        <v>0</v>
      </c>
      <c r="BA234" s="1015">
        <f ca="1">SUMIFS(Покупка!AZ$25:AZ$90,Покупка!$F$25:$F$90,$F234,Покупка!$AC$25:$AC$90,$G234)</f>
        <v>0</v>
      </c>
      <c r="BB234" s="1015">
        <f ca="1">SUMIFS(Покупка!BA$25:BA$90,Покупка!$F$25:$F$90,$F234,Покупка!$AC$25:$AC$90,$G234)</f>
        <v>0</v>
      </c>
      <c r="BC234" s="1015">
        <f ca="1">SUMIFS(Покупка!BB$25:BB$90,Покупка!$F$25:$F$90,$F234,Покупка!$AC$25:$AC$90,$G234)</f>
        <v>0</v>
      </c>
      <c r="BD234" s="1015">
        <f t="shared" ca="1" si="57"/>
        <v>0</v>
      </c>
      <c r="BE234" s="1015">
        <f t="shared" ca="1" si="58"/>
        <v>0</v>
      </c>
      <c r="BF234" s="1015">
        <f t="shared" ca="1" si="59"/>
        <v>0</v>
      </c>
      <c r="BG234" s="1015">
        <f t="shared" ca="1" si="60"/>
        <v>0</v>
      </c>
      <c r="BH234" s="1015">
        <f t="shared" ca="1" si="61"/>
        <v>0</v>
      </c>
      <c r="BI234" s="1015">
        <f t="shared" ca="1" si="62"/>
        <v>0</v>
      </c>
      <c r="BJ234" s="1015">
        <f t="shared" ca="1" si="63"/>
        <v>0</v>
      </c>
      <c r="BK234" s="1015">
        <f t="shared" ca="1" si="64"/>
        <v>0</v>
      </c>
      <c r="BL234" s="1015">
        <f t="shared" ca="1" si="65"/>
        <v>0</v>
      </c>
      <c r="BM234" s="1015">
        <f t="shared" ca="1" si="66"/>
        <v>0</v>
      </c>
      <c r="BN234" s="1482"/>
      <c r="BO234" s="1484" t="str">
        <f ca="1">IF(IFERROR(INDEX(Покупка!$K$26:$L$90,MATCH($F234&amp;"9komm",Покупка!$K$26:$K$90,0),2),"")=0,"",IFERROR(INDEX(Покупка!$K$26:$L$90,MATCH($F234&amp;"9komm",Покупка!$K$26:$K$90,0),2),""))</f>
        <v/>
      </c>
      <c r="BP234" s="1482"/>
      <c r="BQ234" s="1177"/>
      <c r="BR234" s="1177"/>
      <c r="BS234" s="966" t="s">
        <v>1005</v>
      </c>
      <c r="BT234" s="966"/>
      <c r="BU234" s="966"/>
      <c r="BV234" s="881"/>
      <c r="BW234" s="881"/>
    </row>
    <row r="235" spans="1:75" s="1327" customFormat="1" ht="14.25" customHeight="1">
      <c r="A235" s="1177"/>
      <c r="B235" s="880"/>
      <c r="C235" s="26"/>
      <c r="D235" s="26"/>
      <c r="E235" s="538">
        <v>15</v>
      </c>
      <c r="F235" s="3" t="str" cm="1">
        <f t="array" aca="1" ref="F235" ca="1">OFFSET(E235,-1,1)</f>
        <v>1</v>
      </c>
      <c r="G235" s="26"/>
      <c r="H235" s="26"/>
      <c r="I235" s="26" t="s">
        <v>448</v>
      </c>
      <c r="J235" s="26"/>
      <c r="K235" s="26" t="s">
        <v>448</v>
      </c>
      <c r="L235" s="882"/>
      <c r="M235" s="26"/>
      <c r="N235" s="26"/>
      <c r="O235" s="26"/>
      <c r="P235" s="26"/>
      <c r="Q235" s="26"/>
      <c r="R235" s="26"/>
      <c r="S235" s="26"/>
      <c r="T235" s="381" t="b" cm="1">
        <f t="array" aca="1" ref="T235" ca="1">T234</f>
        <v>1</v>
      </c>
      <c r="U235" s="26"/>
      <c r="V235" s="26"/>
      <c r="W235" s="26"/>
      <c r="X235" s="1787"/>
      <c r="Y235" s="1177"/>
      <c r="Z235" s="1735"/>
      <c r="AA235" s="1177"/>
      <c r="AB235" s="216" t="s">
        <v>506</v>
      </c>
      <c r="AC235" s="676" t="s">
        <v>1895</v>
      </c>
      <c r="AD235" s="693" t="s">
        <v>766</v>
      </c>
      <c r="AE235" s="1015">
        <f ca="1">SUMIFS('Сырье и материалы'!AE$25:AE$35,'Сырье и материалы'!$F$25:$F$35,$F235,'Сырье и материалы'!$AC$25:$AC$35,"Всего по тарифу")</f>
        <v>0</v>
      </c>
      <c r="AF235" s="1015">
        <f ca="1">SUMIFS('Сырье и материалы'!AF$25:AF$35,'Сырье и материалы'!$F$25:$F$35,$F235,'Сырье и материалы'!$AC$25:$AC$35,"Всего по тарифу")</f>
        <v>0</v>
      </c>
      <c r="AG235" s="1015">
        <f ca="1">SUMIFS('Сырье и материалы'!AG$25:AG$35,'Сырье и материалы'!$F$25:$F$35,$F235,'Сырье и материалы'!$AC$25:$AC$35,"Всего по тарифу")</f>
        <v>0</v>
      </c>
      <c r="AH235" s="1015">
        <f t="shared" ca="1" si="55"/>
        <v>0</v>
      </c>
      <c r="AI235" s="1015">
        <f ca="1">SUMIFS('Сырье и материалы'!AH$25:AH$35,'Сырье и материалы'!$F$25:$F$35,$F235,'Сырье и материалы'!$AC$25:$AC$35,"Всего по тарифу")</f>
        <v>0</v>
      </c>
      <c r="AJ235" s="1015">
        <f ca="1">SUMIFS('Сырье и материалы'!AI$25:AI$35,'Сырье и материалы'!$F$25:$F$35,$F235,'Сырье и материалы'!$AC$25:$AC$35,"Всего по тарифу")</f>
        <v>0</v>
      </c>
      <c r="AK235" s="1015">
        <f ca="1">SUMIFS('Сырье и материалы'!AJ$25:AJ$35,'Сырье и материалы'!$F$25:$F$35,$F235,'Сырье и материалы'!$AC$25:$AC$35,"Всего по тарифу")</f>
        <v>0</v>
      </c>
      <c r="AL235" s="1015">
        <f ca="1">SUMIFS('Сырье и материалы'!AK$25:AK$35,'Сырье и материалы'!$F$25:$F$35,$F235,'Сырье и материалы'!$AC$25:$AC$35,"Всего по тарифу")</f>
        <v>0</v>
      </c>
      <c r="AM235" s="1015">
        <f ca="1">SUMIFS('Сырье и материалы'!AL$25:AL$35,'Сырье и материалы'!$F$25:$F$35,$F235,'Сырье и материалы'!$AC$25:$AC$35,"Всего по тарифу")</f>
        <v>0</v>
      </c>
      <c r="AN235" s="1015">
        <f ca="1">SUMIFS('Сырье и материалы'!AM$25:AM$35,'Сырье и материалы'!$F$25:$F$35,$F235,'Сырье и материалы'!$AC$25:$AC$35,"Всего по тарифу")</f>
        <v>0</v>
      </c>
      <c r="AO235" s="1015">
        <f ca="1">SUMIFS('Сырье и материалы'!AN$25:AN$35,'Сырье и материалы'!$F$25:$F$35,$F235,'Сырье и материалы'!$AC$25:$AC$35,"Всего по тарифу")</f>
        <v>0</v>
      </c>
      <c r="AP235" s="1015">
        <f ca="1">SUMIFS('Сырье и материалы'!AO$25:AO$35,'Сырье и материалы'!$F$25:$F$35,$F235,'Сырье и материалы'!$AC$25:$AC$35,"Всего по тарифу")</f>
        <v>0</v>
      </c>
      <c r="AQ235" s="1015">
        <f ca="1">SUMIFS('Сырье и материалы'!AP$25:AP$35,'Сырье и материалы'!$F$25:$F$35,$F235,'Сырье и материалы'!$AC$25:$AC$35,"Всего по тарифу")</f>
        <v>0</v>
      </c>
      <c r="AR235" s="1015">
        <f ca="1">SUMIFS('Сырье и материалы'!AQ$25:AQ$35,'Сырье и материалы'!$F$25:$F$35,$F235,'Сырье и материалы'!$AC$25:$AC$35,"Всего по тарифу")</f>
        <v>0</v>
      </c>
      <c r="AS235" s="1015">
        <f ca="1">SUMIFS('Сырье и материалы'!AR$25:AR$35,'Сырье и материалы'!$F$25:$F$35,$F235,'Сырье и материалы'!$AC$25:$AC$35,"Всего по тарифу")</f>
        <v>0</v>
      </c>
      <c r="AT235" s="1015">
        <f ca="1">SUMIFS('Сырье и материалы'!AS$25:AS$35,'Сырье и материалы'!$F$25:$F$35,$F235,'Сырье и материалы'!$AC$25:$AC$35,"Всего по тарифу")</f>
        <v>0</v>
      </c>
      <c r="AU235" s="1015">
        <f ca="1">SUMIFS('Сырье и материалы'!AT$25:AT$35,'Сырье и материалы'!$F$25:$F$35,$F235,'Сырье и материалы'!$AC$25:$AC$35,"Всего по тарифу")</f>
        <v>0</v>
      </c>
      <c r="AV235" s="1015">
        <f ca="1">SUMIFS('Сырье и материалы'!AU$25:AU$35,'Сырье и материалы'!$F$25:$F$35,$F235,'Сырье и материалы'!$AC$25:$AC$35,"Всего по тарифу")</f>
        <v>0</v>
      </c>
      <c r="AW235" s="1015">
        <f ca="1">SUMIFS('Сырье и материалы'!AV$25:AV$35,'Сырье и материалы'!$F$25:$F$35,$F235,'Сырье и материалы'!$AC$25:$AC$35,"Всего по тарифу")</f>
        <v>0</v>
      </c>
      <c r="AX235" s="1015">
        <f ca="1">SUMIFS('Сырье и материалы'!AW$25:AW$35,'Сырье и материалы'!$F$25:$F$35,$F235,'Сырье и материалы'!$AC$25:$AC$35,"Всего по тарифу")</f>
        <v>0</v>
      </c>
      <c r="AY235" s="1015">
        <f ca="1">SUMIFS('Сырье и материалы'!AX$25:AX$35,'Сырье и материалы'!$F$25:$F$35,$F235,'Сырье и материалы'!$AC$25:$AC$35,"Всего по тарифу")</f>
        <v>0</v>
      </c>
      <c r="AZ235" s="1015">
        <f ca="1">SUMIFS('Сырье и материалы'!AY$25:AY$35,'Сырье и материалы'!$F$25:$F$35,$F235,'Сырье и материалы'!$AC$25:$AC$35,"Всего по тарифу")</f>
        <v>0</v>
      </c>
      <c r="BA235" s="1015">
        <f ca="1">SUMIFS('Сырье и материалы'!AZ$25:AZ$35,'Сырье и материалы'!$F$25:$F$35,$F235,'Сырье и материалы'!$AC$25:$AC$35,"Всего по тарифу")</f>
        <v>0</v>
      </c>
      <c r="BB235" s="1015">
        <f ca="1">SUMIFS('Сырье и материалы'!BA$25:BA$35,'Сырье и материалы'!$F$25:$F$35,$F235,'Сырье и материалы'!$AC$25:$AC$35,"Всего по тарифу")</f>
        <v>0</v>
      </c>
      <c r="BC235" s="1015">
        <f ca="1">SUMIFS('Сырье и материалы'!BB$25:BB$35,'Сырье и материалы'!$F$25:$F$35,$F235,'Сырье и материалы'!$AC$25:$AC$35,"Всего по тарифу")</f>
        <v>0</v>
      </c>
      <c r="BD235" s="1015">
        <f t="shared" ca="1" si="57"/>
        <v>0</v>
      </c>
      <c r="BE235" s="1015">
        <f t="shared" ca="1" si="58"/>
        <v>0</v>
      </c>
      <c r="BF235" s="1015">
        <f t="shared" ca="1" si="59"/>
        <v>0</v>
      </c>
      <c r="BG235" s="1015">
        <f t="shared" ca="1" si="60"/>
        <v>0</v>
      </c>
      <c r="BH235" s="1015">
        <f t="shared" ca="1" si="61"/>
        <v>0</v>
      </c>
      <c r="BI235" s="1015">
        <f t="shared" ca="1" si="62"/>
        <v>0</v>
      </c>
      <c r="BJ235" s="1015">
        <f t="shared" ca="1" si="63"/>
        <v>0</v>
      </c>
      <c r="BK235" s="1015">
        <f t="shared" ca="1" si="64"/>
        <v>0</v>
      </c>
      <c r="BL235" s="1015">
        <f t="shared" ca="1" si="65"/>
        <v>0</v>
      </c>
      <c r="BM235" s="1015">
        <f t="shared" ca="1" si="66"/>
        <v>0</v>
      </c>
      <c r="BN235" s="1482"/>
      <c r="BO235" s="1484" t="str">
        <f ca="1">IF(IFERROR(INDEX('Сырье и материалы'!$K$26:$L$35,MATCH($F235&amp;"komm",'Сырье и материалы'!$K$26:$K$35,0),2),"")=0,"",IFERROR(INDEX('Сырье и материалы'!$K$26:$L$35,MATCH($F235&amp;"komm",'Сырье и материалы'!$K$26:$K$35,0),2),""))</f>
        <v/>
      </c>
      <c r="BP235" s="1482"/>
      <c r="BQ235" s="1177"/>
      <c r="BR235" s="1177"/>
      <c r="BS235" s="966" t="s">
        <v>1550</v>
      </c>
      <c r="BT235" s="966"/>
      <c r="BU235" s="966"/>
      <c r="BV235" s="881"/>
      <c r="BW235" s="881"/>
    </row>
    <row r="236" spans="1:75" s="1490" customFormat="1" ht="20.25" customHeight="1">
      <c r="A236" s="617"/>
      <c r="B236" s="352"/>
      <c r="C236" s="28"/>
      <c r="D236" s="28"/>
      <c r="E236" s="740">
        <v>21</v>
      </c>
      <c r="F236" s="3" t="str" cm="1">
        <f t="array" aca="1" ref="F236" ca="1">OFFSET(E236,-1,1)</f>
        <v>1</v>
      </c>
      <c r="G236" s="28"/>
      <c r="H236" s="26"/>
      <c r="I236" s="26" t="s">
        <v>841</v>
      </c>
      <c r="J236" s="28"/>
      <c r="K236" s="26" t="s">
        <v>841</v>
      </c>
      <c r="L236" s="887" t="s">
        <v>481</v>
      </c>
      <c r="M236" s="28"/>
      <c r="N236" s="28"/>
      <c r="O236" s="28"/>
      <c r="P236" s="28"/>
      <c r="Q236" s="28"/>
      <c r="R236" s="28"/>
      <c r="S236" s="28"/>
      <c r="T236" s="381" t="b" cm="1">
        <f t="array" aca="1" ref="T236" ca="1">T235</f>
        <v>1</v>
      </c>
      <c r="U236" s="28"/>
      <c r="V236" s="28"/>
      <c r="W236" s="28"/>
      <c r="X236" s="1787"/>
      <c r="Y236" s="617"/>
      <c r="Z236" s="1735"/>
      <c r="AA236" s="617"/>
      <c r="AB236" s="129" t="s">
        <v>510</v>
      </c>
      <c r="AC236" s="273" t="s">
        <v>1896</v>
      </c>
      <c r="AD236" s="129" t="s">
        <v>766</v>
      </c>
      <c r="AE236" s="692">
        <f ca="1">SUM(AE237:AE246)</f>
        <v>0</v>
      </c>
      <c r="AF236" s="692">
        <f ca="1">SUM(AF237:AF246)</f>
        <v>0</v>
      </c>
      <c r="AG236" s="692">
        <f ca="1">SUM(AG237:AG246)</f>
        <v>0</v>
      </c>
      <c r="AH236" s="692">
        <f t="shared" ca="1" si="55"/>
        <v>0</v>
      </c>
      <c r="AI236" s="692">
        <f t="shared" ref="AI236:BC236" ca="1" si="68">SUM(AI237:AI246)</f>
        <v>0</v>
      </c>
      <c r="AJ236" s="131">
        <f t="shared" ca="1" si="68"/>
        <v>0</v>
      </c>
      <c r="AK236" s="692">
        <f t="shared" ca="1" si="68"/>
        <v>0</v>
      </c>
      <c r="AL236" s="692">
        <f t="shared" ca="1" si="68"/>
        <v>0</v>
      </c>
      <c r="AM236" s="692">
        <f t="shared" ca="1" si="68"/>
        <v>0</v>
      </c>
      <c r="AN236" s="692">
        <f t="shared" ca="1" si="68"/>
        <v>0</v>
      </c>
      <c r="AO236" s="692">
        <f t="shared" ca="1" si="68"/>
        <v>0</v>
      </c>
      <c r="AP236" s="692">
        <f t="shared" ca="1" si="68"/>
        <v>0</v>
      </c>
      <c r="AQ236" s="692">
        <f t="shared" ca="1" si="68"/>
        <v>0</v>
      </c>
      <c r="AR236" s="692">
        <f t="shared" ca="1" si="68"/>
        <v>0</v>
      </c>
      <c r="AS236" s="692">
        <f t="shared" ca="1" si="68"/>
        <v>0</v>
      </c>
      <c r="AT236" s="131">
        <f t="shared" ca="1" si="68"/>
        <v>0</v>
      </c>
      <c r="AU236" s="692">
        <f t="shared" ca="1" si="68"/>
        <v>0</v>
      </c>
      <c r="AV236" s="692">
        <f t="shared" ca="1" si="68"/>
        <v>0</v>
      </c>
      <c r="AW236" s="692">
        <f t="shared" ca="1" si="68"/>
        <v>0</v>
      </c>
      <c r="AX236" s="692">
        <f t="shared" ca="1" si="68"/>
        <v>0</v>
      </c>
      <c r="AY236" s="692">
        <f t="shared" ca="1" si="68"/>
        <v>0</v>
      </c>
      <c r="AZ236" s="692">
        <f t="shared" ca="1" si="68"/>
        <v>0</v>
      </c>
      <c r="BA236" s="692">
        <f t="shared" ca="1" si="68"/>
        <v>0</v>
      </c>
      <c r="BB236" s="692">
        <f t="shared" ca="1" si="68"/>
        <v>0</v>
      </c>
      <c r="BC236" s="692">
        <f t="shared" ca="1" si="68"/>
        <v>0</v>
      </c>
      <c r="BD236" s="692">
        <f t="shared" ca="1" si="57"/>
        <v>0</v>
      </c>
      <c r="BE236" s="692">
        <f t="shared" ca="1" si="58"/>
        <v>0</v>
      </c>
      <c r="BF236" s="692">
        <f t="shared" ca="1" si="59"/>
        <v>0</v>
      </c>
      <c r="BG236" s="692">
        <f t="shared" ca="1" si="60"/>
        <v>0</v>
      </c>
      <c r="BH236" s="692">
        <f t="shared" ca="1" si="61"/>
        <v>0</v>
      </c>
      <c r="BI236" s="692">
        <f t="shared" ca="1" si="62"/>
        <v>0</v>
      </c>
      <c r="BJ236" s="692">
        <f t="shared" ca="1" si="63"/>
        <v>0</v>
      </c>
      <c r="BK236" s="692">
        <f t="shared" ca="1" si="64"/>
        <v>0</v>
      </c>
      <c r="BL236" s="692">
        <f t="shared" ca="1" si="65"/>
        <v>0</v>
      </c>
      <c r="BM236" s="692">
        <f t="shared" ca="1" si="66"/>
        <v>0</v>
      </c>
      <c r="BN236" s="1483"/>
      <c r="BO236" s="1484" t="str">
        <f ca="1">IF(IFERROR(INDEX(Налоги!$K$26:$L$55,MATCH($F236&amp;"komm",Налоги!$K$26:$K$55,0),2),"")=0,"",IFERROR(INDEX(Налоги!$K$26:$L$55,MATCH($F236&amp;"komm",Налоги!$K$26:$K$55,0),2),""))</f>
        <v/>
      </c>
      <c r="BP236" s="1483"/>
      <c r="BQ236" s="617"/>
      <c r="BR236" s="617"/>
      <c r="BS236" s="972" t="s">
        <v>1124</v>
      </c>
      <c r="BT236" s="972"/>
      <c r="BU236" s="972"/>
      <c r="BV236" s="624"/>
      <c r="BW236" s="624"/>
    </row>
    <row r="237" spans="1:75" s="1327" customFormat="1" ht="14.25" customHeight="1">
      <c r="A237" s="1177"/>
      <c r="B237" s="880"/>
      <c r="C237" s="26"/>
      <c r="D237" s="26"/>
      <c r="E237" s="538">
        <v>15</v>
      </c>
      <c r="F237" s="3" t="str" cm="1">
        <f t="array" aca="1" ref="F237" ca="1">OFFSET(E237,-1,1)</f>
        <v>1</v>
      </c>
      <c r="G237" s="827">
        <v>7</v>
      </c>
      <c r="H237" s="26"/>
      <c r="I237" s="26" t="s">
        <v>1897</v>
      </c>
      <c r="J237" s="26"/>
      <c r="K237" s="26" t="s">
        <v>1897</v>
      </c>
      <c r="L237" s="882"/>
      <c r="M237" s="26"/>
      <c r="N237" s="26"/>
      <c r="O237" s="26"/>
      <c r="P237" s="26"/>
      <c r="Q237" s="26"/>
      <c r="R237" s="26"/>
      <c r="S237" s="26"/>
      <c r="T237" s="381" t="b" cm="1">
        <f t="array" aca="1" ref="T237" ca="1">T236</f>
        <v>1</v>
      </c>
      <c r="U237" s="26"/>
      <c r="V237" s="26"/>
      <c r="W237" s="26"/>
      <c r="X237" s="1787"/>
      <c r="Y237" s="1177"/>
      <c r="Z237" s="1735"/>
      <c r="AA237" s="1177"/>
      <c r="AB237" s="216" t="s">
        <v>464</v>
      </c>
      <c r="AC237" s="679" t="s">
        <v>1138</v>
      </c>
      <c r="AD237" s="216" t="s">
        <v>766</v>
      </c>
      <c r="AE237" s="1015">
        <f ca="1">SUMIFS(Налоги!AE$25:AE$55,Налоги!$F$25:$F$55,$F237,Налоги!$AB$25:$AB$55,$G237)</f>
        <v>0</v>
      </c>
      <c r="AF237" s="1015">
        <f ca="1">SUMIFS(Налоги!AF$25:AF$55,Налоги!$F$25:$F$55,$F237,Налоги!$AB$25:$AB$55,$G237)</f>
        <v>0</v>
      </c>
      <c r="AG237" s="1015">
        <f ca="1">SUMIFS(Налоги!AG$25:AG$55,Налоги!$F$25:$F$55,$F237,Налоги!$AB$25:$AB$55,$G237)</f>
        <v>0</v>
      </c>
      <c r="AH237" s="1015">
        <f t="shared" ca="1" si="55"/>
        <v>0</v>
      </c>
      <c r="AI237" s="1015">
        <f ca="1">SUMIFS(Налоги!AH$25:AH$55,Налоги!$F$25:$F$55,$F237,Налоги!$AB$25:$AB$55,$G237)</f>
        <v>0</v>
      </c>
      <c r="AJ237" s="1015">
        <f ca="1">SUMIFS(Налоги!AI$25:AI$55,Налоги!$F$25:$F$55,$F237,Налоги!$AB$25:$AB$55,$G237)</f>
        <v>0</v>
      </c>
      <c r="AK237" s="1015">
        <f ca="1">SUMIFS(Налоги!AJ$25:AJ$55,Налоги!$F$25:$F$55,$F237,Налоги!$AB$25:$AB$55,$G237)</f>
        <v>0</v>
      </c>
      <c r="AL237" s="1015">
        <f ca="1">SUMIFS(Налоги!AK$25:AK$55,Налоги!$F$25:$F$55,$F237,Налоги!$AB$25:$AB$55,$G237)</f>
        <v>0</v>
      </c>
      <c r="AM237" s="1015">
        <f ca="1">SUMIFS(Налоги!AL$25:AL$55,Налоги!$F$25:$F$55,$F237,Налоги!$AB$25:$AB$55,$G237)</f>
        <v>0</v>
      </c>
      <c r="AN237" s="1015">
        <f ca="1">SUMIFS(Налоги!AM$25:AM$55,Налоги!$F$25:$F$55,$F237,Налоги!$AB$25:$AB$55,$G237)</f>
        <v>0</v>
      </c>
      <c r="AO237" s="1015">
        <f ca="1">SUMIFS(Налоги!AN$25:AN$55,Налоги!$F$25:$F$55,$F237,Налоги!$AB$25:$AB$55,$G237)</f>
        <v>0</v>
      </c>
      <c r="AP237" s="1015">
        <f ca="1">SUMIFS(Налоги!AO$25:AO$55,Налоги!$F$25:$F$55,$F237,Налоги!$AB$25:$AB$55,$G237)</f>
        <v>0</v>
      </c>
      <c r="AQ237" s="1015">
        <f ca="1">SUMIFS(Налоги!AP$25:AP$55,Налоги!$F$25:$F$55,$F237,Налоги!$AB$25:$AB$55,$G237)</f>
        <v>0</v>
      </c>
      <c r="AR237" s="1015">
        <f ca="1">SUMIFS(Налоги!AQ$25:AQ$55,Налоги!$F$25:$F$55,$F237,Налоги!$AB$25:$AB$55,$G237)</f>
        <v>0</v>
      </c>
      <c r="AS237" s="1015">
        <f ca="1">SUMIFS(Налоги!AR$25:AR$55,Налоги!$F$25:$F$55,$F237,Налоги!$AB$25:$AB$55,$G237)</f>
        <v>0</v>
      </c>
      <c r="AT237" s="1015">
        <f ca="1">SUMIFS(Налоги!AS$25:AS$55,Налоги!$F$25:$F$55,$F237,Налоги!$AB$25:$AB$55,$G237)</f>
        <v>0</v>
      </c>
      <c r="AU237" s="1015">
        <f ca="1">SUMIFS(Налоги!AT$25:AT$55,Налоги!$F$25:$F$55,$F237,Налоги!$AB$25:$AB$55,$G237)</f>
        <v>0</v>
      </c>
      <c r="AV237" s="1015">
        <f ca="1">SUMIFS(Налоги!AU$25:AU$55,Налоги!$F$25:$F$55,$F237,Налоги!$AB$25:$AB$55,$G237)</f>
        <v>0</v>
      </c>
      <c r="AW237" s="1015">
        <f ca="1">SUMIFS(Налоги!AV$25:AV$55,Налоги!$F$25:$F$55,$F237,Налоги!$AB$25:$AB$55,$G237)</f>
        <v>0</v>
      </c>
      <c r="AX237" s="1015">
        <f ca="1">SUMIFS(Налоги!AW$25:AW$55,Налоги!$F$25:$F$55,$F237,Налоги!$AB$25:$AB$55,$G237)</f>
        <v>0</v>
      </c>
      <c r="AY237" s="1015">
        <f ca="1">SUMIFS(Налоги!AX$25:AX$55,Налоги!$F$25:$F$55,$F237,Налоги!$AB$25:$AB$55,$G237)</f>
        <v>0</v>
      </c>
      <c r="AZ237" s="1015">
        <f ca="1">SUMIFS(Налоги!AY$25:AY$55,Налоги!$F$25:$F$55,$F237,Налоги!$AB$25:$AB$55,$G237)</f>
        <v>0</v>
      </c>
      <c r="BA237" s="1015">
        <f ca="1">SUMIFS(Налоги!AZ$25:AZ$55,Налоги!$F$25:$F$55,$F237,Налоги!$AB$25:$AB$55,$G237)</f>
        <v>0</v>
      </c>
      <c r="BB237" s="1015">
        <f ca="1">SUMIFS(Налоги!BA$25:BA$55,Налоги!$F$25:$F$55,$F237,Налоги!$AB$25:$AB$55,$G237)</f>
        <v>0</v>
      </c>
      <c r="BC237" s="1015">
        <f ca="1">SUMIFS(Налоги!BB$25:BB$55,Налоги!$F$25:$F$55,$F237,Налоги!$AB$25:$AB$55,$G237)</f>
        <v>0</v>
      </c>
      <c r="BD237" s="1015">
        <f t="shared" ca="1" si="57"/>
        <v>0</v>
      </c>
      <c r="BE237" s="1015">
        <f t="shared" ca="1" si="58"/>
        <v>0</v>
      </c>
      <c r="BF237" s="1015">
        <f t="shared" ca="1" si="59"/>
        <v>0</v>
      </c>
      <c r="BG237" s="1015">
        <f t="shared" ca="1" si="60"/>
        <v>0</v>
      </c>
      <c r="BH237" s="1015">
        <f t="shared" ca="1" si="61"/>
        <v>0</v>
      </c>
      <c r="BI237" s="1015">
        <f t="shared" ca="1" si="62"/>
        <v>0</v>
      </c>
      <c r="BJ237" s="1015">
        <f t="shared" ca="1" si="63"/>
        <v>0</v>
      </c>
      <c r="BK237" s="1015">
        <f t="shared" ca="1" si="64"/>
        <v>0</v>
      </c>
      <c r="BL237" s="1015">
        <f t="shared" ca="1" si="65"/>
        <v>0</v>
      </c>
      <c r="BM237" s="1015">
        <f t="shared" ca="1" si="66"/>
        <v>0</v>
      </c>
      <c r="BN237" s="1482"/>
      <c r="BO237" s="1484" t="str">
        <f ca="1">IF(IFERROR(INDEX(Налоги!$K$26:$L$55,MATCH($F237&amp;"7komm",Налоги!$K$26:$K$55,0),2),"")=0,"",IFERROR(INDEX(Налоги!$K$26:$L$55,MATCH($F237&amp;"7komm",Налоги!$K$26:$K$55,0),2),""))</f>
        <v/>
      </c>
      <c r="BP237" s="1482"/>
      <c r="BQ237" s="1177"/>
      <c r="BR237" s="1177"/>
      <c r="BS237" s="966" t="s">
        <v>1898</v>
      </c>
      <c r="BT237" s="966"/>
      <c r="BU237" s="966"/>
      <c r="BV237" s="881"/>
      <c r="BW237" s="881"/>
    </row>
    <row r="238" spans="1:75" s="1327" customFormat="1" ht="14.25" customHeight="1">
      <c r="A238" s="1177"/>
      <c r="B238" s="880"/>
      <c r="C238" s="26"/>
      <c r="D238" s="26"/>
      <c r="E238" s="538">
        <v>15</v>
      </c>
      <c r="F238" s="3" t="str" cm="1">
        <f t="array" aca="1" ref="F238" ca="1">OFFSET(E238,-1,1)</f>
        <v>1</v>
      </c>
      <c r="G238" s="827">
        <v>6</v>
      </c>
      <c r="H238" s="26"/>
      <c r="I238" s="26" t="s">
        <v>1899</v>
      </c>
      <c r="J238" s="26"/>
      <c r="K238" s="26" t="s">
        <v>1899</v>
      </c>
      <c r="L238" s="882"/>
      <c r="M238" s="26"/>
      <c r="N238" s="26"/>
      <c r="O238" s="26"/>
      <c r="P238" s="26"/>
      <c r="Q238" s="26"/>
      <c r="R238" s="26"/>
      <c r="S238" s="26"/>
      <c r="T238" s="381" t="b" cm="1">
        <f t="array" aca="1" ref="T238" ca="1">T237</f>
        <v>1</v>
      </c>
      <c r="U238" s="26"/>
      <c r="V238" s="26"/>
      <c r="W238" s="26"/>
      <c r="X238" s="1787"/>
      <c r="Y238" s="1177"/>
      <c r="Z238" s="1735"/>
      <c r="AA238" s="1177"/>
      <c r="AB238" s="216" t="s">
        <v>1342</v>
      </c>
      <c r="AC238" s="679" t="s">
        <v>1900</v>
      </c>
      <c r="AD238" s="216" t="s">
        <v>766</v>
      </c>
      <c r="AE238" s="1015">
        <f ca="1">SUMIFS(Налоги!AE$25:AE$55,Налоги!$F$25:$F$55,$F238,Налоги!$AB$25:$AB$55,$G238)</f>
        <v>0</v>
      </c>
      <c r="AF238" s="1015">
        <f ca="1">SUMIFS(Налоги!AF$25:AF$55,Налоги!$F$25:$F$55,$F238,Налоги!$AB$25:$AB$55,$G238)</f>
        <v>0</v>
      </c>
      <c r="AG238" s="1015">
        <f ca="1">SUMIFS(Налоги!AG$25:AG$55,Налоги!$F$25:$F$55,$F238,Налоги!$AB$25:$AB$55,$G238)</f>
        <v>0</v>
      </c>
      <c r="AH238" s="1015">
        <f t="shared" ca="1" si="55"/>
        <v>0</v>
      </c>
      <c r="AI238" s="1015">
        <f ca="1">SUMIFS(Налоги!AH$25:AH$55,Налоги!$F$25:$F$55,$F238,Налоги!$AB$25:$AB$55,$G238)</f>
        <v>0</v>
      </c>
      <c r="AJ238" s="1015">
        <f ca="1">SUMIFS(Налоги!AI$25:AI$55,Налоги!$F$25:$F$55,$F238,Налоги!$AB$25:$AB$55,$G238)</f>
        <v>0</v>
      </c>
      <c r="AK238" s="1015">
        <f ca="1">SUMIFS(Налоги!AJ$25:AJ$55,Налоги!$F$25:$F$55,$F238,Налоги!$AB$25:$AB$55,$G238)</f>
        <v>0</v>
      </c>
      <c r="AL238" s="1015">
        <f ca="1">SUMIFS(Налоги!AK$25:AK$55,Налоги!$F$25:$F$55,$F238,Налоги!$AB$25:$AB$55,$G238)</f>
        <v>0</v>
      </c>
      <c r="AM238" s="1015">
        <f ca="1">SUMIFS(Налоги!AL$25:AL$55,Налоги!$F$25:$F$55,$F238,Налоги!$AB$25:$AB$55,$G238)</f>
        <v>0</v>
      </c>
      <c r="AN238" s="1015">
        <f ca="1">SUMIFS(Налоги!AM$25:AM$55,Налоги!$F$25:$F$55,$F238,Налоги!$AB$25:$AB$55,$G238)</f>
        <v>0</v>
      </c>
      <c r="AO238" s="1015">
        <f ca="1">SUMIFS(Налоги!AN$25:AN$55,Налоги!$F$25:$F$55,$F238,Налоги!$AB$25:$AB$55,$G238)</f>
        <v>0</v>
      </c>
      <c r="AP238" s="1015">
        <f ca="1">SUMIFS(Налоги!AO$25:AO$55,Налоги!$F$25:$F$55,$F238,Налоги!$AB$25:$AB$55,$G238)</f>
        <v>0</v>
      </c>
      <c r="AQ238" s="1015">
        <f ca="1">SUMIFS(Налоги!AP$25:AP$55,Налоги!$F$25:$F$55,$F238,Налоги!$AB$25:$AB$55,$G238)</f>
        <v>0</v>
      </c>
      <c r="AR238" s="1015">
        <f ca="1">SUMIFS(Налоги!AQ$25:AQ$55,Налоги!$F$25:$F$55,$F238,Налоги!$AB$25:$AB$55,$G238)</f>
        <v>0</v>
      </c>
      <c r="AS238" s="1015">
        <f ca="1">SUMIFS(Налоги!AR$25:AR$55,Налоги!$F$25:$F$55,$F238,Налоги!$AB$25:$AB$55,$G238)</f>
        <v>0</v>
      </c>
      <c r="AT238" s="1015">
        <f ca="1">SUMIFS(Налоги!AS$25:AS$55,Налоги!$F$25:$F$55,$F238,Налоги!$AB$25:$AB$55,$G238)</f>
        <v>0</v>
      </c>
      <c r="AU238" s="1015">
        <f ca="1">SUMIFS(Налоги!AT$25:AT$55,Налоги!$F$25:$F$55,$F238,Налоги!$AB$25:$AB$55,$G238)</f>
        <v>0</v>
      </c>
      <c r="AV238" s="1015">
        <f ca="1">SUMIFS(Налоги!AU$25:AU$55,Налоги!$F$25:$F$55,$F238,Налоги!$AB$25:$AB$55,$G238)</f>
        <v>0</v>
      </c>
      <c r="AW238" s="1015">
        <f ca="1">SUMIFS(Налоги!AV$25:AV$55,Налоги!$F$25:$F$55,$F238,Налоги!$AB$25:$AB$55,$G238)</f>
        <v>0</v>
      </c>
      <c r="AX238" s="1015">
        <f ca="1">SUMIFS(Налоги!AW$25:AW$55,Налоги!$F$25:$F$55,$F238,Налоги!$AB$25:$AB$55,$G238)</f>
        <v>0</v>
      </c>
      <c r="AY238" s="1015">
        <f ca="1">SUMIFS(Налоги!AX$25:AX$55,Налоги!$F$25:$F$55,$F238,Налоги!$AB$25:$AB$55,$G238)</f>
        <v>0</v>
      </c>
      <c r="AZ238" s="1015">
        <f ca="1">SUMIFS(Налоги!AY$25:AY$55,Налоги!$F$25:$F$55,$F238,Налоги!$AB$25:$AB$55,$G238)</f>
        <v>0</v>
      </c>
      <c r="BA238" s="1015">
        <f ca="1">SUMIFS(Налоги!AZ$25:AZ$55,Налоги!$F$25:$F$55,$F238,Налоги!$AB$25:$AB$55,$G238)</f>
        <v>0</v>
      </c>
      <c r="BB238" s="1015">
        <f ca="1">SUMIFS(Налоги!BA$25:BA$55,Налоги!$F$25:$F$55,$F238,Налоги!$AB$25:$AB$55,$G238)</f>
        <v>0</v>
      </c>
      <c r="BC238" s="1015">
        <f ca="1">SUMIFS(Налоги!BB$25:BB$55,Налоги!$F$25:$F$55,$F238,Налоги!$AB$25:$AB$55,$G238)</f>
        <v>0</v>
      </c>
      <c r="BD238" s="1015">
        <f t="shared" ca="1" si="57"/>
        <v>0</v>
      </c>
      <c r="BE238" s="1015">
        <f t="shared" ca="1" si="58"/>
        <v>0</v>
      </c>
      <c r="BF238" s="1015">
        <f t="shared" ca="1" si="59"/>
        <v>0</v>
      </c>
      <c r="BG238" s="1015">
        <f t="shared" ca="1" si="60"/>
        <v>0</v>
      </c>
      <c r="BH238" s="1015">
        <f t="shared" ca="1" si="61"/>
        <v>0</v>
      </c>
      <c r="BI238" s="1015">
        <f t="shared" ca="1" si="62"/>
        <v>0</v>
      </c>
      <c r="BJ238" s="1015">
        <f t="shared" ca="1" si="63"/>
        <v>0</v>
      </c>
      <c r="BK238" s="1015">
        <f t="shared" ca="1" si="64"/>
        <v>0</v>
      </c>
      <c r="BL238" s="1015">
        <f t="shared" ca="1" si="65"/>
        <v>0</v>
      </c>
      <c r="BM238" s="1015">
        <f t="shared" ca="1" si="66"/>
        <v>0</v>
      </c>
      <c r="BN238" s="1482"/>
      <c r="BO238" s="1484" t="str">
        <f ca="1">IF(IFERROR(INDEX(Налоги!$K$26:$L$55,MATCH($F238&amp;"6komm",Налоги!$K$26:$K$55,0),2),"")=0,"",IFERROR(INDEX(Налоги!$K$26:$L$55,MATCH($F238&amp;"6komm",Налоги!$K$26:$K$55,0),2),""))</f>
        <v/>
      </c>
      <c r="BP238" s="1482"/>
      <c r="BQ238" s="1177"/>
      <c r="BR238" s="1177"/>
      <c r="BS238" s="966" t="s">
        <v>1901</v>
      </c>
      <c r="BT238" s="966"/>
      <c r="BU238" s="966"/>
      <c r="BV238" s="881"/>
      <c r="BW238" s="881"/>
    </row>
    <row r="239" spans="1:75" s="1327" customFormat="1" ht="14.25" customHeight="1">
      <c r="A239" s="1177"/>
      <c r="B239" s="880"/>
      <c r="C239" s="26"/>
      <c r="D239" s="26"/>
      <c r="E239" s="538">
        <v>15</v>
      </c>
      <c r="F239" s="3" t="str" cm="1">
        <f t="array" aca="1" ref="F239" ca="1">OFFSET(E239,-1,1)</f>
        <v>1</v>
      </c>
      <c r="G239" s="827">
        <v>2</v>
      </c>
      <c r="H239" s="26"/>
      <c r="I239" s="26" t="s">
        <v>1902</v>
      </c>
      <c r="J239" s="26"/>
      <c r="K239" s="26" t="s">
        <v>1902</v>
      </c>
      <c r="L239" s="882"/>
      <c r="M239" s="26"/>
      <c r="N239" s="26"/>
      <c r="O239" s="26"/>
      <c r="P239" s="26"/>
      <c r="Q239" s="26"/>
      <c r="R239" s="26"/>
      <c r="S239" s="26"/>
      <c r="T239" s="381" t="b" cm="1">
        <f t="array" aca="1" ref="T239" ca="1">T238</f>
        <v>1</v>
      </c>
      <c r="U239" s="26"/>
      <c r="V239" s="26"/>
      <c r="W239" s="26"/>
      <c r="X239" s="1787"/>
      <c r="Y239" s="1177"/>
      <c r="Z239" s="1735"/>
      <c r="AA239" s="1177"/>
      <c r="AB239" s="216" t="s">
        <v>1347</v>
      </c>
      <c r="AC239" s="679" t="s">
        <v>1903</v>
      </c>
      <c r="AD239" s="216" t="s">
        <v>766</v>
      </c>
      <c r="AE239" s="1015">
        <f ca="1">SUMIFS(Налоги!AE$25:AE$55,Налоги!$F$25:$F$55,$F239,Налоги!$AB$25:$AB$55,$G239)</f>
        <v>0</v>
      </c>
      <c r="AF239" s="1015">
        <f ca="1">SUMIFS(Налоги!AF$25:AF$55,Налоги!$F$25:$F$55,$F239,Налоги!$AB$25:$AB$55,$G239)</f>
        <v>0</v>
      </c>
      <c r="AG239" s="1015">
        <f ca="1">SUMIFS(Налоги!AG$25:AG$55,Налоги!$F$25:$F$55,$F239,Налоги!$AB$25:$AB$55,$G239)</f>
        <v>0</v>
      </c>
      <c r="AH239" s="1015">
        <f t="shared" ca="1" si="55"/>
        <v>0</v>
      </c>
      <c r="AI239" s="1015">
        <f ca="1">SUMIFS(Налоги!AH$25:AH$55,Налоги!$F$25:$F$55,$F239,Налоги!$AB$25:$AB$55,$G239)</f>
        <v>0</v>
      </c>
      <c r="AJ239" s="1015">
        <f ca="1">SUMIFS(Налоги!AI$25:AI$55,Налоги!$F$25:$F$55,$F239,Налоги!$AB$25:$AB$55,$G239)</f>
        <v>0</v>
      </c>
      <c r="AK239" s="1015">
        <f ca="1">SUMIFS(Налоги!AJ$25:AJ$55,Налоги!$F$25:$F$55,$F239,Налоги!$AB$25:$AB$55,$G239)</f>
        <v>0</v>
      </c>
      <c r="AL239" s="1015">
        <f ca="1">SUMIFS(Налоги!AK$25:AK$55,Налоги!$F$25:$F$55,$F239,Налоги!$AB$25:$AB$55,$G239)</f>
        <v>0</v>
      </c>
      <c r="AM239" s="1015">
        <f ca="1">SUMIFS(Налоги!AL$25:AL$55,Налоги!$F$25:$F$55,$F239,Налоги!$AB$25:$AB$55,$G239)</f>
        <v>0</v>
      </c>
      <c r="AN239" s="1015">
        <f ca="1">SUMIFS(Налоги!AM$25:AM$55,Налоги!$F$25:$F$55,$F239,Налоги!$AB$25:$AB$55,$G239)</f>
        <v>0</v>
      </c>
      <c r="AO239" s="1015">
        <f ca="1">SUMIFS(Налоги!AN$25:AN$55,Налоги!$F$25:$F$55,$F239,Налоги!$AB$25:$AB$55,$G239)</f>
        <v>0</v>
      </c>
      <c r="AP239" s="1015">
        <f ca="1">SUMIFS(Налоги!AO$25:AO$55,Налоги!$F$25:$F$55,$F239,Налоги!$AB$25:$AB$55,$G239)</f>
        <v>0</v>
      </c>
      <c r="AQ239" s="1015">
        <f ca="1">SUMIFS(Налоги!AP$25:AP$55,Налоги!$F$25:$F$55,$F239,Налоги!$AB$25:$AB$55,$G239)</f>
        <v>0</v>
      </c>
      <c r="AR239" s="1015">
        <f ca="1">SUMIFS(Налоги!AQ$25:AQ$55,Налоги!$F$25:$F$55,$F239,Налоги!$AB$25:$AB$55,$G239)</f>
        <v>0</v>
      </c>
      <c r="AS239" s="1015">
        <f ca="1">SUMIFS(Налоги!AR$25:AR$55,Налоги!$F$25:$F$55,$F239,Налоги!$AB$25:$AB$55,$G239)</f>
        <v>0</v>
      </c>
      <c r="AT239" s="1015">
        <f ca="1">SUMIFS(Налоги!AS$25:AS$55,Налоги!$F$25:$F$55,$F239,Налоги!$AB$25:$AB$55,$G239)</f>
        <v>0</v>
      </c>
      <c r="AU239" s="1015">
        <f ca="1">SUMIFS(Налоги!AT$25:AT$55,Налоги!$F$25:$F$55,$F239,Налоги!$AB$25:$AB$55,$G239)</f>
        <v>0</v>
      </c>
      <c r="AV239" s="1015">
        <f ca="1">SUMIFS(Налоги!AU$25:AU$55,Налоги!$F$25:$F$55,$F239,Налоги!$AB$25:$AB$55,$G239)</f>
        <v>0</v>
      </c>
      <c r="AW239" s="1015">
        <f ca="1">SUMIFS(Налоги!AV$25:AV$55,Налоги!$F$25:$F$55,$F239,Налоги!$AB$25:$AB$55,$G239)</f>
        <v>0</v>
      </c>
      <c r="AX239" s="1015">
        <f ca="1">SUMIFS(Налоги!AW$25:AW$55,Налоги!$F$25:$F$55,$F239,Налоги!$AB$25:$AB$55,$G239)</f>
        <v>0</v>
      </c>
      <c r="AY239" s="1015">
        <f ca="1">SUMIFS(Налоги!AX$25:AX$55,Налоги!$F$25:$F$55,$F239,Налоги!$AB$25:$AB$55,$G239)</f>
        <v>0</v>
      </c>
      <c r="AZ239" s="1015">
        <f ca="1">SUMIFS(Налоги!AY$25:AY$55,Налоги!$F$25:$F$55,$F239,Налоги!$AB$25:$AB$55,$G239)</f>
        <v>0</v>
      </c>
      <c r="BA239" s="1015">
        <f ca="1">SUMIFS(Налоги!AZ$25:AZ$55,Налоги!$F$25:$F$55,$F239,Налоги!$AB$25:$AB$55,$G239)</f>
        <v>0</v>
      </c>
      <c r="BB239" s="1015">
        <f ca="1">SUMIFS(Налоги!BA$25:BA$55,Налоги!$F$25:$F$55,$F239,Налоги!$AB$25:$AB$55,$G239)</f>
        <v>0</v>
      </c>
      <c r="BC239" s="1015">
        <f ca="1">SUMIFS(Налоги!BB$25:BB$55,Налоги!$F$25:$F$55,$F239,Налоги!$AB$25:$AB$55,$G239)</f>
        <v>0</v>
      </c>
      <c r="BD239" s="1015">
        <f t="shared" ca="1" si="57"/>
        <v>0</v>
      </c>
      <c r="BE239" s="1015">
        <f t="shared" ca="1" si="58"/>
        <v>0</v>
      </c>
      <c r="BF239" s="1015">
        <f t="shared" ca="1" si="59"/>
        <v>0</v>
      </c>
      <c r="BG239" s="1015">
        <f t="shared" ca="1" si="60"/>
        <v>0</v>
      </c>
      <c r="BH239" s="1015">
        <f t="shared" ca="1" si="61"/>
        <v>0</v>
      </c>
      <c r="BI239" s="1015">
        <f t="shared" ca="1" si="62"/>
        <v>0</v>
      </c>
      <c r="BJ239" s="1015">
        <f t="shared" ca="1" si="63"/>
        <v>0</v>
      </c>
      <c r="BK239" s="1015">
        <f t="shared" ca="1" si="64"/>
        <v>0</v>
      </c>
      <c r="BL239" s="1015">
        <f t="shared" ca="1" si="65"/>
        <v>0</v>
      </c>
      <c r="BM239" s="1015">
        <f t="shared" ca="1" si="66"/>
        <v>0</v>
      </c>
      <c r="BN239" s="1482"/>
      <c r="BO239" s="1484" t="str">
        <f ca="1">IF(IFERROR(INDEX(Налоги!$K$26:$L$55,MATCH($F239&amp;"2komm",Налоги!$K$26:$K$55,0),2),"")=0,"",IFERROR(INDEX(Налоги!$K$26:$L$55,MATCH($F239&amp;"2komm",Налоги!$K$26:$K$55,0),2),""))</f>
        <v/>
      </c>
      <c r="BP239" s="1482"/>
      <c r="BQ239" s="1177"/>
      <c r="BR239" s="1177"/>
      <c r="BS239" s="966" t="s">
        <v>1904</v>
      </c>
      <c r="BT239" s="966"/>
      <c r="BU239" s="966"/>
      <c r="BV239" s="881"/>
      <c r="BW239" s="881"/>
    </row>
    <row r="240" spans="1:75" s="1327" customFormat="1" ht="14.25" customHeight="1">
      <c r="A240" s="1177"/>
      <c r="B240" s="880"/>
      <c r="C240" s="26"/>
      <c r="D240" s="26"/>
      <c r="E240" s="538">
        <v>15</v>
      </c>
      <c r="F240" s="3" t="str" cm="1">
        <f t="array" aca="1" ref="F240" ca="1">OFFSET(E240,-1,1)</f>
        <v>1</v>
      </c>
      <c r="G240" s="827">
        <v>4</v>
      </c>
      <c r="H240" s="26"/>
      <c r="I240" s="26" t="s">
        <v>1905</v>
      </c>
      <c r="J240" s="26"/>
      <c r="K240" s="26" t="s">
        <v>1905</v>
      </c>
      <c r="L240" s="882"/>
      <c r="M240" s="26"/>
      <c r="N240" s="26"/>
      <c r="O240" s="26"/>
      <c r="P240" s="26"/>
      <c r="Q240" s="26"/>
      <c r="R240" s="26"/>
      <c r="S240" s="26"/>
      <c r="T240" s="381" t="b" cm="1">
        <f t="array" aca="1" ref="T240" ca="1">T239</f>
        <v>1</v>
      </c>
      <c r="U240" s="26"/>
      <c r="V240" s="26"/>
      <c r="W240" s="26"/>
      <c r="X240" s="1787"/>
      <c r="Y240" s="1177"/>
      <c r="Z240" s="1735"/>
      <c r="AA240" s="1177"/>
      <c r="AB240" s="216" t="s">
        <v>1906</v>
      </c>
      <c r="AC240" s="679" t="s">
        <v>1907</v>
      </c>
      <c r="AD240" s="216" t="s">
        <v>766</v>
      </c>
      <c r="AE240" s="1015">
        <f ca="1">SUMIFS(Налоги!AE$25:AE$55,Налоги!$F$25:$F$55,$F240,Налоги!$AB$25:$AB$55,$G240)</f>
        <v>0</v>
      </c>
      <c r="AF240" s="1015">
        <f ca="1">SUMIFS(Налоги!AF$25:AF$55,Налоги!$F$25:$F$55,$F240,Налоги!$AB$25:$AB$55,$G240)</f>
        <v>0</v>
      </c>
      <c r="AG240" s="1015">
        <f ca="1">SUMIFS(Налоги!AG$25:AG$55,Налоги!$F$25:$F$55,$F240,Налоги!$AB$25:$AB$55,$G240)</f>
        <v>0</v>
      </c>
      <c r="AH240" s="1015">
        <f t="shared" ca="1" si="55"/>
        <v>0</v>
      </c>
      <c r="AI240" s="1015">
        <f ca="1">SUMIFS(Налоги!AH$25:AH$55,Налоги!$F$25:$F$55,$F240,Налоги!$AB$25:$AB$55,$G240)</f>
        <v>0</v>
      </c>
      <c r="AJ240" s="1015">
        <f ca="1">SUMIFS(Налоги!AI$25:AI$55,Налоги!$F$25:$F$55,$F240,Налоги!$AB$25:$AB$55,$G240)</f>
        <v>0</v>
      </c>
      <c r="AK240" s="1015">
        <f ca="1">SUMIFS(Налоги!AJ$25:AJ$55,Налоги!$F$25:$F$55,$F240,Налоги!$AB$25:$AB$55,$G240)</f>
        <v>0</v>
      </c>
      <c r="AL240" s="1015">
        <f ca="1">SUMIFS(Налоги!AK$25:AK$55,Налоги!$F$25:$F$55,$F240,Налоги!$AB$25:$AB$55,$G240)</f>
        <v>0</v>
      </c>
      <c r="AM240" s="1015">
        <f ca="1">SUMIFS(Налоги!AL$25:AL$55,Налоги!$F$25:$F$55,$F240,Налоги!$AB$25:$AB$55,$G240)</f>
        <v>0</v>
      </c>
      <c r="AN240" s="1015">
        <f ca="1">SUMIFS(Налоги!AM$25:AM$55,Налоги!$F$25:$F$55,$F240,Налоги!$AB$25:$AB$55,$G240)</f>
        <v>0</v>
      </c>
      <c r="AO240" s="1015">
        <f ca="1">SUMIFS(Налоги!AN$25:AN$55,Налоги!$F$25:$F$55,$F240,Налоги!$AB$25:$AB$55,$G240)</f>
        <v>0</v>
      </c>
      <c r="AP240" s="1015">
        <f ca="1">SUMIFS(Налоги!AO$25:AO$55,Налоги!$F$25:$F$55,$F240,Налоги!$AB$25:$AB$55,$G240)</f>
        <v>0</v>
      </c>
      <c r="AQ240" s="1015">
        <f ca="1">SUMIFS(Налоги!AP$25:AP$55,Налоги!$F$25:$F$55,$F240,Налоги!$AB$25:$AB$55,$G240)</f>
        <v>0</v>
      </c>
      <c r="AR240" s="1015">
        <f ca="1">SUMIFS(Налоги!AQ$25:AQ$55,Налоги!$F$25:$F$55,$F240,Налоги!$AB$25:$AB$55,$G240)</f>
        <v>0</v>
      </c>
      <c r="AS240" s="1015">
        <f ca="1">SUMIFS(Налоги!AR$25:AR$55,Налоги!$F$25:$F$55,$F240,Налоги!$AB$25:$AB$55,$G240)</f>
        <v>0</v>
      </c>
      <c r="AT240" s="1015">
        <f ca="1">SUMIFS(Налоги!AS$25:AS$55,Налоги!$F$25:$F$55,$F240,Налоги!$AB$25:$AB$55,$G240)</f>
        <v>0</v>
      </c>
      <c r="AU240" s="1015">
        <f ca="1">SUMIFS(Налоги!AT$25:AT$55,Налоги!$F$25:$F$55,$F240,Налоги!$AB$25:$AB$55,$G240)</f>
        <v>0</v>
      </c>
      <c r="AV240" s="1015">
        <f ca="1">SUMIFS(Налоги!AU$25:AU$55,Налоги!$F$25:$F$55,$F240,Налоги!$AB$25:$AB$55,$G240)</f>
        <v>0</v>
      </c>
      <c r="AW240" s="1015">
        <f ca="1">SUMIFS(Налоги!AV$25:AV$55,Налоги!$F$25:$F$55,$F240,Налоги!$AB$25:$AB$55,$G240)</f>
        <v>0</v>
      </c>
      <c r="AX240" s="1015">
        <f ca="1">SUMIFS(Налоги!AW$25:AW$55,Налоги!$F$25:$F$55,$F240,Налоги!$AB$25:$AB$55,$G240)</f>
        <v>0</v>
      </c>
      <c r="AY240" s="1015">
        <f ca="1">SUMIFS(Налоги!AX$25:AX$55,Налоги!$F$25:$F$55,$F240,Налоги!$AB$25:$AB$55,$G240)</f>
        <v>0</v>
      </c>
      <c r="AZ240" s="1015">
        <f ca="1">SUMIFS(Налоги!AY$25:AY$55,Налоги!$F$25:$F$55,$F240,Налоги!$AB$25:$AB$55,$G240)</f>
        <v>0</v>
      </c>
      <c r="BA240" s="1015">
        <f ca="1">SUMIFS(Налоги!AZ$25:AZ$55,Налоги!$F$25:$F$55,$F240,Налоги!$AB$25:$AB$55,$G240)</f>
        <v>0</v>
      </c>
      <c r="BB240" s="1015">
        <f ca="1">SUMIFS(Налоги!BA$25:BA$55,Налоги!$F$25:$F$55,$F240,Налоги!$AB$25:$AB$55,$G240)</f>
        <v>0</v>
      </c>
      <c r="BC240" s="1015">
        <f ca="1">SUMIFS(Налоги!BB$25:BB$55,Налоги!$F$25:$F$55,$F240,Налоги!$AB$25:$AB$55,$G240)</f>
        <v>0</v>
      </c>
      <c r="BD240" s="1015">
        <f t="shared" ca="1" si="57"/>
        <v>0</v>
      </c>
      <c r="BE240" s="1015">
        <f t="shared" ca="1" si="58"/>
        <v>0</v>
      </c>
      <c r="BF240" s="1015">
        <f t="shared" ca="1" si="59"/>
        <v>0</v>
      </c>
      <c r="BG240" s="1015">
        <f t="shared" ca="1" si="60"/>
        <v>0</v>
      </c>
      <c r="BH240" s="1015">
        <f t="shared" ca="1" si="61"/>
        <v>0</v>
      </c>
      <c r="BI240" s="1015">
        <f t="shared" ca="1" si="62"/>
        <v>0</v>
      </c>
      <c r="BJ240" s="1015">
        <f t="shared" ca="1" si="63"/>
        <v>0</v>
      </c>
      <c r="BK240" s="1015">
        <f t="shared" ca="1" si="64"/>
        <v>0</v>
      </c>
      <c r="BL240" s="1015">
        <f t="shared" ca="1" si="65"/>
        <v>0</v>
      </c>
      <c r="BM240" s="1015">
        <f t="shared" ca="1" si="66"/>
        <v>0</v>
      </c>
      <c r="BN240" s="1482"/>
      <c r="BO240" s="1484" t="str">
        <f ca="1">IF(IFERROR(INDEX(Налоги!$K$26:$L$55,MATCH($F240&amp;"4komm",Налоги!$K$26:$K$55,0),2),"")=0,"",IFERROR(INDEX(Налоги!$K$26:$L$55,MATCH($F240&amp;"4komm",Налоги!$K$26:$K$55,0),2),""))</f>
        <v/>
      </c>
      <c r="BP240" s="1482"/>
      <c r="BQ240" s="1177"/>
      <c r="BR240" s="1177"/>
      <c r="BS240" s="966" t="s">
        <v>1908</v>
      </c>
      <c r="BT240" s="966"/>
      <c r="BU240" s="966"/>
      <c r="BV240" s="881"/>
      <c r="BW240" s="881"/>
    </row>
    <row r="241" spans="1:75" s="1327" customFormat="1" ht="14.25" customHeight="1">
      <c r="A241" s="1177"/>
      <c r="B241" s="880"/>
      <c r="C241" s="26"/>
      <c r="D241" s="26"/>
      <c r="E241" s="538">
        <v>15</v>
      </c>
      <c r="F241" s="3" t="str" cm="1">
        <f t="array" aca="1" ref="F241" ca="1">OFFSET(E241,-1,1)</f>
        <v>1</v>
      </c>
      <c r="G241" s="827">
        <v>5</v>
      </c>
      <c r="H241" s="26"/>
      <c r="I241" s="26" t="s">
        <v>1909</v>
      </c>
      <c r="J241" s="26"/>
      <c r="K241" s="26" t="s">
        <v>1909</v>
      </c>
      <c r="L241" s="882"/>
      <c r="M241" s="26"/>
      <c r="N241" s="26"/>
      <c r="O241" s="26"/>
      <c r="P241" s="26"/>
      <c r="Q241" s="26"/>
      <c r="R241" s="26"/>
      <c r="S241" s="26"/>
      <c r="T241" s="381" t="b" cm="1">
        <f t="array" aca="1" ref="T241" ca="1">T240</f>
        <v>1</v>
      </c>
      <c r="U241" s="26"/>
      <c r="V241" s="26"/>
      <c r="W241" s="26"/>
      <c r="X241" s="1787"/>
      <c r="Y241" s="1177"/>
      <c r="Z241" s="1735"/>
      <c r="AA241" s="1177"/>
      <c r="AB241" s="216" t="s">
        <v>1910</v>
      </c>
      <c r="AC241" s="679" t="s">
        <v>1911</v>
      </c>
      <c r="AD241" s="216" t="s">
        <v>766</v>
      </c>
      <c r="AE241" s="1015">
        <f ca="1">SUMIFS(Налоги!AE$25:AE$55,Налоги!$F$25:$F$55,$F241,Налоги!$AB$25:$AB$55,$G241)</f>
        <v>0</v>
      </c>
      <c r="AF241" s="1015">
        <f ca="1">SUMIFS(Налоги!AF$25:AF$55,Налоги!$F$25:$F$55,$F241,Налоги!$AB$25:$AB$55,$G241)</f>
        <v>0</v>
      </c>
      <c r="AG241" s="1015">
        <f ca="1">SUMIFS(Налоги!AG$25:AG$55,Налоги!$F$25:$F$55,$F241,Налоги!$AB$25:$AB$55,$G241)</f>
        <v>0</v>
      </c>
      <c r="AH241" s="1015">
        <f t="shared" ca="1" si="55"/>
        <v>0</v>
      </c>
      <c r="AI241" s="1015">
        <f ca="1">SUMIFS(Налоги!AH$25:AH$55,Налоги!$F$25:$F$55,$F241,Налоги!$AB$25:$AB$55,$G241)</f>
        <v>0</v>
      </c>
      <c r="AJ241" s="1015">
        <f ca="1">SUMIFS(Налоги!AI$25:AI$55,Налоги!$F$25:$F$55,$F241,Налоги!$AB$25:$AB$55,$G241)</f>
        <v>0</v>
      </c>
      <c r="AK241" s="1015">
        <f ca="1">SUMIFS(Налоги!AJ$25:AJ$55,Налоги!$F$25:$F$55,$F241,Налоги!$AB$25:$AB$55,$G241)</f>
        <v>0</v>
      </c>
      <c r="AL241" s="1015">
        <f ca="1">SUMIFS(Налоги!AK$25:AK$55,Налоги!$F$25:$F$55,$F241,Налоги!$AB$25:$AB$55,$G241)</f>
        <v>0</v>
      </c>
      <c r="AM241" s="1015">
        <f ca="1">SUMIFS(Налоги!AL$25:AL$55,Налоги!$F$25:$F$55,$F241,Налоги!$AB$25:$AB$55,$G241)</f>
        <v>0</v>
      </c>
      <c r="AN241" s="1015">
        <f ca="1">SUMIFS(Налоги!AM$25:AM$55,Налоги!$F$25:$F$55,$F241,Налоги!$AB$25:$AB$55,$G241)</f>
        <v>0</v>
      </c>
      <c r="AO241" s="1015">
        <f ca="1">SUMIFS(Налоги!AN$25:AN$55,Налоги!$F$25:$F$55,$F241,Налоги!$AB$25:$AB$55,$G241)</f>
        <v>0</v>
      </c>
      <c r="AP241" s="1015">
        <f ca="1">SUMIFS(Налоги!AO$25:AO$55,Налоги!$F$25:$F$55,$F241,Налоги!$AB$25:$AB$55,$G241)</f>
        <v>0</v>
      </c>
      <c r="AQ241" s="1015">
        <f ca="1">SUMIFS(Налоги!AP$25:AP$55,Налоги!$F$25:$F$55,$F241,Налоги!$AB$25:$AB$55,$G241)</f>
        <v>0</v>
      </c>
      <c r="AR241" s="1015">
        <f ca="1">SUMIFS(Налоги!AQ$25:AQ$55,Налоги!$F$25:$F$55,$F241,Налоги!$AB$25:$AB$55,$G241)</f>
        <v>0</v>
      </c>
      <c r="AS241" s="1015">
        <f ca="1">SUMIFS(Налоги!AR$25:AR$55,Налоги!$F$25:$F$55,$F241,Налоги!$AB$25:$AB$55,$G241)</f>
        <v>0</v>
      </c>
      <c r="AT241" s="1015">
        <f ca="1">SUMIFS(Налоги!AS$25:AS$55,Налоги!$F$25:$F$55,$F241,Налоги!$AB$25:$AB$55,$G241)</f>
        <v>0</v>
      </c>
      <c r="AU241" s="1015">
        <f ca="1">SUMIFS(Налоги!AT$25:AT$55,Налоги!$F$25:$F$55,$F241,Налоги!$AB$25:$AB$55,$G241)</f>
        <v>0</v>
      </c>
      <c r="AV241" s="1015">
        <f ca="1">SUMIFS(Налоги!AU$25:AU$55,Налоги!$F$25:$F$55,$F241,Налоги!$AB$25:$AB$55,$G241)</f>
        <v>0</v>
      </c>
      <c r="AW241" s="1015">
        <f ca="1">SUMIFS(Налоги!AV$25:AV$55,Налоги!$F$25:$F$55,$F241,Налоги!$AB$25:$AB$55,$G241)</f>
        <v>0</v>
      </c>
      <c r="AX241" s="1015">
        <f ca="1">SUMIFS(Налоги!AW$25:AW$55,Налоги!$F$25:$F$55,$F241,Налоги!$AB$25:$AB$55,$G241)</f>
        <v>0</v>
      </c>
      <c r="AY241" s="1015">
        <f ca="1">SUMIFS(Налоги!AX$25:AX$55,Налоги!$F$25:$F$55,$F241,Налоги!$AB$25:$AB$55,$G241)</f>
        <v>0</v>
      </c>
      <c r="AZ241" s="1015">
        <f ca="1">SUMIFS(Налоги!AY$25:AY$55,Налоги!$F$25:$F$55,$F241,Налоги!$AB$25:$AB$55,$G241)</f>
        <v>0</v>
      </c>
      <c r="BA241" s="1015">
        <f ca="1">SUMIFS(Налоги!AZ$25:AZ$55,Налоги!$F$25:$F$55,$F241,Налоги!$AB$25:$AB$55,$G241)</f>
        <v>0</v>
      </c>
      <c r="BB241" s="1015">
        <f ca="1">SUMIFS(Налоги!BA$25:BA$55,Налоги!$F$25:$F$55,$F241,Налоги!$AB$25:$AB$55,$G241)</f>
        <v>0</v>
      </c>
      <c r="BC241" s="1015">
        <f ca="1">SUMIFS(Налоги!BB$25:BB$55,Налоги!$F$25:$F$55,$F241,Налоги!$AB$25:$AB$55,$G241)</f>
        <v>0</v>
      </c>
      <c r="BD241" s="1015">
        <f t="shared" ca="1" si="57"/>
        <v>0</v>
      </c>
      <c r="BE241" s="1015">
        <f t="shared" ca="1" si="58"/>
        <v>0</v>
      </c>
      <c r="BF241" s="1015">
        <f t="shared" ca="1" si="59"/>
        <v>0</v>
      </c>
      <c r="BG241" s="1015">
        <f t="shared" ca="1" si="60"/>
        <v>0</v>
      </c>
      <c r="BH241" s="1015">
        <f t="shared" ca="1" si="61"/>
        <v>0</v>
      </c>
      <c r="BI241" s="1015">
        <f t="shared" ca="1" si="62"/>
        <v>0</v>
      </c>
      <c r="BJ241" s="1015">
        <f t="shared" ca="1" si="63"/>
        <v>0</v>
      </c>
      <c r="BK241" s="1015">
        <f t="shared" ca="1" si="64"/>
        <v>0</v>
      </c>
      <c r="BL241" s="1015">
        <f t="shared" ca="1" si="65"/>
        <v>0</v>
      </c>
      <c r="BM241" s="1015">
        <f t="shared" ca="1" si="66"/>
        <v>0</v>
      </c>
      <c r="BN241" s="1482"/>
      <c r="BO241" s="1484" t="str">
        <f ca="1">IF(IFERROR(INDEX(Налоги!$K$26:$L$55,MATCH($F241&amp;"5komm",Налоги!$K$26:$K$55,0),2),"")=0,"",IFERROR(INDEX(Налоги!$K$26:$L$55,MATCH($F241&amp;"5komm",Налоги!$K$26:$K$55,0),2),""))</f>
        <v/>
      </c>
      <c r="BP241" s="1482"/>
      <c r="BQ241" s="1177"/>
      <c r="BR241" s="1177"/>
      <c r="BS241" s="966" t="s">
        <v>1912</v>
      </c>
      <c r="BT241" s="966"/>
      <c r="BU241" s="966"/>
      <c r="BV241" s="881"/>
      <c r="BW241" s="881"/>
    </row>
    <row r="242" spans="1:75" s="1327" customFormat="1" ht="14.25" customHeight="1">
      <c r="A242" s="1177"/>
      <c r="B242" s="880"/>
      <c r="C242" s="26"/>
      <c r="D242" s="26"/>
      <c r="E242" s="538">
        <v>15</v>
      </c>
      <c r="F242" s="3" t="str" cm="1">
        <f t="array" aca="1" ref="F242" ca="1">OFFSET(E242,-1,1)</f>
        <v>1</v>
      </c>
      <c r="G242" s="827">
        <v>1</v>
      </c>
      <c r="H242" s="26"/>
      <c r="I242" s="26" t="s">
        <v>1913</v>
      </c>
      <c r="J242" s="26"/>
      <c r="K242" s="26" t="s">
        <v>1913</v>
      </c>
      <c r="L242" s="882"/>
      <c r="M242" s="26"/>
      <c r="N242" s="26"/>
      <c r="O242" s="26"/>
      <c r="P242" s="26"/>
      <c r="Q242" s="26"/>
      <c r="R242" s="26"/>
      <c r="S242" s="26"/>
      <c r="T242" s="381" t="b" cm="1">
        <f t="array" aca="1" ref="T242" ca="1">T241</f>
        <v>1</v>
      </c>
      <c r="U242" s="26"/>
      <c r="V242" s="26"/>
      <c r="W242" s="26"/>
      <c r="X242" s="1787"/>
      <c r="Y242" s="1177"/>
      <c r="Z242" s="1735"/>
      <c r="AA242" s="1177"/>
      <c r="AB242" s="216" t="s">
        <v>1914</v>
      </c>
      <c r="AC242" s="679" t="s">
        <v>1915</v>
      </c>
      <c r="AD242" s="216" t="s">
        <v>766</v>
      </c>
      <c r="AE242" s="1015">
        <f ca="1">SUMIFS(Налоги!AE$25:AE$55,Налоги!$F$25:$F$55,$F242,Налоги!$AB$25:$AB$55,$G242)</f>
        <v>0</v>
      </c>
      <c r="AF242" s="1015">
        <f ca="1">SUMIFS(Налоги!AF$25:AF$55,Налоги!$F$25:$F$55,$F242,Налоги!$AB$25:$AB$55,$G242)</f>
        <v>0</v>
      </c>
      <c r="AG242" s="1015">
        <f ca="1">SUMIFS(Налоги!AG$25:AG$55,Налоги!$F$25:$F$55,$F242,Налоги!$AB$25:$AB$55,$G242)</f>
        <v>0</v>
      </c>
      <c r="AH242" s="1015">
        <f t="shared" ca="1" si="55"/>
        <v>0</v>
      </c>
      <c r="AI242" s="1015">
        <f ca="1">SUMIFS(Налоги!AH$25:AH$55,Налоги!$F$25:$F$55,$F242,Налоги!$AB$25:$AB$55,$G242)</f>
        <v>0</v>
      </c>
      <c r="AJ242" s="1015">
        <f ca="1">SUMIFS(Налоги!AI$25:AI$55,Налоги!$F$25:$F$55,$F242,Налоги!$AB$25:$AB$55,$G242)</f>
        <v>0</v>
      </c>
      <c r="AK242" s="1015">
        <f ca="1">SUMIFS(Налоги!AJ$25:AJ$55,Налоги!$F$25:$F$55,$F242,Налоги!$AB$25:$AB$55,$G242)</f>
        <v>0</v>
      </c>
      <c r="AL242" s="1015">
        <f ca="1">SUMIFS(Налоги!AK$25:AK$55,Налоги!$F$25:$F$55,$F242,Налоги!$AB$25:$AB$55,$G242)</f>
        <v>0</v>
      </c>
      <c r="AM242" s="1015">
        <f ca="1">SUMIFS(Налоги!AL$25:AL$55,Налоги!$F$25:$F$55,$F242,Налоги!$AB$25:$AB$55,$G242)</f>
        <v>0</v>
      </c>
      <c r="AN242" s="1015">
        <f ca="1">SUMIFS(Налоги!AM$25:AM$55,Налоги!$F$25:$F$55,$F242,Налоги!$AB$25:$AB$55,$G242)</f>
        <v>0</v>
      </c>
      <c r="AO242" s="1015">
        <f ca="1">SUMIFS(Налоги!AN$25:AN$55,Налоги!$F$25:$F$55,$F242,Налоги!$AB$25:$AB$55,$G242)</f>
        <v>0</v>
      </c>
      <c r="AP242" s="1015">
        <f ca="1">SUMIFS(Налоги!AO$25:AO$55,Налоги!$F$25:$F$55,$F242,Налоги!$AB$25:$AB$55,$G242)</f>
        <v>0</v>
      </c>
      <c r="AQ242" s="1015">
        <f ca="1">SUMIFS(Налоги!AP$25:AP$55,Налоги!$F$25:$F$55,$F242,Налоги!$AB$25:$AB$55,$G242)</f>
        <v>0</v>
      </c>
      <c r="AR242" s="1015">
        <f ca="1">SUMIFS(Налоги!AQ$25:AQ$55,Налоги!$F$25:$F$55,$F242,Налоги!$AB$25:$AB$55,$G242)</f>
        <v>0</v>
      </c>
      <c r="AS242" s="1015">
        <f ca="1">SUMIFS(Налоги!AR$25:AR$55,Налоги!$F$25:$F$55,$F242,Налоги!$AB$25:$AB$55,$G242)</f>
        <v>0</v>
      </c>
      <c r="AT242" s="1015">
        <f ca="1">SUMIFS(Налоги!AS$25:AS$55,Налоги!$F$25:$F$55,$F242,Налоги!$AB$25:$AB$55,$G242)</f>
        <v>0</v>
      </c>
      <c r="AU242" s="1015">
        <f ca="1">SUMIFS(Налоги!AT$25:AT$55,Налоги!$F$25:$F$55,$F242,Налоги!$AB$25:$AB$55,$G242)</f>
        <v>0</v>
      </c>
      <c r="AV242" s="1015">
        <f ca="1">SUMIFS(Налоги!AU$25:AU$55,Налоги!$F$25:$F$55,$F242,Налоги!$AB$25:$AB$55,$G242)</f>
        <v>0</v>
      </c>
      <c r="AW242" s="1015">
        <f ca="1">SUMIFS(Налоги!AV$25:AV$55,Налоги!$F$25:$F$55,$F242,Налоги!$AB$25:$AB$55,$G242)</f>
        <v>0</v>
      </c>
      <c r="AX242" s="1015">
        <f ca="1">SUMIFS(Налоги!AW$25:AW$55,Налоги!$F$25:$F$55,$F242,Налоги!$AB$25:$AB$55,$G242)</f>
        <v>0</v>
      </c>
      <c r="AY242" s="1015">
        <f ca="1">SUMIFS(Налоги!AX$25:AX$55,Налоги!$F$25:$F$55,$F242,Налоги!$AB$25:$AB$55,$G242)</f>
        <v>0</v>
      </c>
      <c r="AZ242" s="1015">
        <f ca="1">SUMIFS(Налоги!AY$25:AY$55,Налоги!$F$25:$F$55,$F242,Налоги!$AB$25:$AB$55,$G242)</f>
        <v>0</v>
      </c>
      <c r="BA242" s="1015">
        <f ca="1">SUMIFS(Налоги!AZ$25:AZ$55,Налоги!$F$25:$F$55,$F242,Налоги!$AB$25:$AB$55,$G242)</f>
        <v>0</v>
      </c>
      <c r="BB242" s="1015">
        <f ca="1">SUMIFS(Налоги!BA$25:BA$55,Налоги!$F$25:$F$55,$F242,Налоги!$AB$25:$AB$55,$G242)</f>
        <v>0</v>
      </c>
      <c r="BC242" s="1015">
        <f ca="1">SUMIFS(Налоги!BB$25:BB$55,Налоги!$F$25:$F$55,$F242,Налоги!$AB$25:$AB$55,$G242)</f>
        <v>0</v>
      </c>
      <c r="BD242" s="1015">
        <f t="shared" ca="1" si="57"/>
        <v>0</v>
      </c>
      <c r="BE242" s="1015">
        <f t="shared" ca="1" si="58"/>
        <v>0</v>
      </c>
      <c r="BF242" s="1015">
        <f t="shared" ca="1" si="59"/>
        <v>0</v>
      </c>
      <c r="BG242" s="1015">
        <f t="shared" ca="1" si="60"/>
        <v>0</v>
      </c>
      <c r="BH242" s="1015">
        <f t="shared" ca="1" si="61"/>
        <v>0</v>
      </c>
      <c r="BI242" s="1015">
        <f t="shared" ca="1" si="62"/>
        <v>0</v>
      </c>
      <c r="BJ242" s="1015">
        <f t="shared" ca="1" si="63"/>
        <v>0</v>
      </c>
      <c r="BK242" s="1015">
        <f t="shared" ca="1" si="64"/>
        <v>0</v>
      </c>
      <c r="BL242" s="1015">
        <f t="shared" ca="1" si="65"/>
        <v>0</v>
      </c>
      <c r="BM242" s="1015">
        <f t="shared" ca="1" si="66"/>
        <v>0</v>
      </c>
      <c r="BN242" s="1482"/>
      <c r="BO242" s="1484" t="str">
        <f ca="1">IF(IFERROR(INDEX(Налоги!$K$26:$L$55,MATCH($F242&amp;"1komm",Налоги!$K$26:$K$55,0),2),"")=0,"",IFERROR(INDEX(Налоги!$K$26:$L$55,MATCH($F242&amp;"1komm",Налоги!$K$26:$K$55,0),2),""))</f>
        <v/>
      </c>
      <c r="BP242" s="1482"/>
      <c r="BQ242" s="1177"/>
      <c r="BR242" s="1177"/>
      <c r="BS242" s="966" t="s">
        <v>1916</v>
      </c>
      <c r="BT242" s="966"/>
      <c r="BU242" s="966"/>
      <c r="BV242" s="881"/>
      <c r="BW242" s="881"/>
    </row>
    <row r="243" spans="1:75" s="1327" customFormat="1" ht="14.25" customHeight="1">
      <c r="A243" s="1177"/>
      <c r="B243" s="880"/>
      <c r="C243" s="26"/>
      <c r="D243" s="26"/>
      <c r="E243" s="538">
        <v>15</v>
      </c>
      <c r="F243" s="3" t="str" cm="1">
        <f t="array" aca="1" ref="F243" ca="1">OFFSET(E243,-1,1)</f>
        <v>1</v>
      </c>
      <c r="G243" s="827">
        <v>3</v>
      </c>
      <c r="H243" s="26"/>
      <c r="I243" s="26" t="s">
        <v>1917</v>
      </c>
      <c r="J243" s="26"/>
      <c r="K243" s="26" t="s">
        <v>1917</v>
      </c>
      <c r="L243" s="882"/>
      <c r="M243" s="26"/>
      <c r="N243" s="26"/>
      <c r="O243" s="26"/>
      <c r="P243" s="26"/>
      <c r="Q243" s="26"/>
      <c r="R243" s="26"/>
      <c r="S243" s="26"/>
      <c r="T243" s="381" t="b" cm="1">
        <f t="array" aca="1" ref="T243" ca="1">T242</f>
        <v>1</v>
      </c>
      <c r="U243" s="26"/>
      <c r="V243" s="26"/>
      <c r="W243" s="26"/>
      <c r="X243" s="1787"/>
      <c r="Y243" s="1177"/>
      <c r="Z243" s="1735"/>
      <c r="AA243" s="1177"/>
      <c r="AB243" s="216" t="s">
        <v>1918</v>
      </c>
      <c r="AC243" s="679" t="s">
        <v>1919</v>
      </c>
      <c r="AD243" s="216" t="s">
        <v>766</v>
      </c>
      <c r="AE243" s="1015">
        <f ca="1">SUMIFS(Налоги!AE$25:AE$55,Налоги!$F$25:$F$55,$F243,Налоги!$AB$25:$AB$55,$G243)</f>
        <v>0</v>
      </c>
      <c r="AF243" s="1015">
        <f ca="1">SUMIFS(Налоги!AF$25:AF$55,Налоги!$F$25:$F$55,$F243,Налоги!$AB$25:$AB$55,$G243)</f>
        <v>0</v>
      </c>
      <c r="AG243" s="1015">
        <f ca="1">SUMIFS(Налоги!AG$25:AG$55,Налоги!$F$25:$F$55,$F243,Налоги!$AB$25:$AB$55,$G243)</f>
        <v>0</v>
      </c>
      <c r="AH243" s="1015">
        <f t="shared" ca="1" si="55"/>
        <v>0</v>
      </c>
      <c r="AI243" s="1015">
        <f ca="1">SUMIFS(Налоги!AH$25:AH$55,Налоги!$F$25:$F$55,$F243,Налоги!$AB$25:$AB$55,$G243)</f>
        <v>0</v>
      </c>
      <c r="AJ243" s="1015">
        <f ca="1">SUMIFS(Налоги!AI$25:AI$55,Налоги!$F$25:$F$55,$F243,Налоги!$AB$25:$AB$55,$G243)</f>
        <v>0</v>
      </c>
      <c r="AK243" s="1015">
        <f ca="1">SUMIFS(Налоги!AJ$25:AJ$55,Налоги!$F$25:$F$55,$F243,Налоги!$AB$25:$AB$55,$G243)</f>
        <v>0</v>
      </c>
      <c r="AL243" s="1015">
        <f ca="1">SUMIFS(Налоги!AK$25:AK$55,Налоги!$F$25:$F$55,$F243,Налоги!$AB$25:$AB$55,$G243)</f>
        <v>0</v>
      </c>
      <c r="AM243" s="1015">
        <f ca="1">SUMIFS(Налоги!AL$25:AL$55,Налоги!$F$25:$F$55,$F243,Налоги!$AB$25:$AB$55,$G243)</f>
        <v>0</v>
      </c>
      <c r="AN243" s="1015">
        <f ca="1">SUMIFS(Налоги!AM$25:AM$55,Налоги!$F$25:$F$55,$F243,Налоги!$AB$25:$AB$55,$G243)</f>
        <v>0</v>
      </c>
      <c r="AO243" s="1015">
        <f ca="1">SUMIFS(Налоги!AN$25:AN$55,Налоги!$F$25:$F$55,$F243,Налоги!$AB$25:$AB$55,$G243)</f>
        <v>0</v>
      </c>
      <c r="AP243" s="1015">
        <f ca="1">SUMIFS(Налоги!AO$25:AO$55,Налоги!$F$25:$F$55,$F243,Налоги!$AB$25:$AB$55,$G243)</f>
        <v>0</v>
      </c>
      <c r="AQ243" s="1015">
        <f ca="1">SUMIFS(Налоги!AP$25:AP$55,Налоги!$F$25:$F$55,$F243,Налоги!$AB$25:$AB$55,$G243)</f>
        <v>0</v>
      </c>
      <c r="AR243" s="1015">
        <f ca="1">SUMIFS(Налоги!AQ$25:AQ$55,Налоги!$F$25:$F$55,$F243,Налоги!$AB$25:$AB$55,$G243)</f>
        <v>0</v>
      </c>
      <c r="AS243" s="1015">
        <f ca="1">SUMIFS(Налоги!AR$25:AR$55,Налоги!$F$25:$F$55,$F243,Налоги!$AB$25:$AB$55,$G243)</f>
        <v>0</v>
      </c>
      <c r="AT243" s="1015">
        <f ca="1">SUMIFS(Налоги!AS$25:AS$55,Налоги!$F$25:$F$55,$F243,Налоги!$AB$25:$AB$55,$G243)</f>
        <v>0</v>
      </c>
      <c r="AU243" s="1015">
        <f ca="1">SUMIFS(Налоги!AT$25:AT$55,Налоги!$F$25:$F$55,$F243,Налоги!$AB$25:$AB$55,$G243)</f>
        <v>0</v>
      </c>
      <c r="AV243" s="1015">
        <f ca="1">SUMIFS(Налоги!AU$25:AU$55,Налоги!$F$25:$F$55,$F243,Налоги!$AB$25:$AB$55,$G243)</f>
        <v>0</v>
      </c>
      <c r="AW243" s="1015">
        <f ca="1">SUMIFS(Налоги!AV$25:AV$55,Налоги!$F$25:$F$55,$F243,Налоги!$AB$25:$AB$55,$G243)</f>
        <v>0</v>
      </c>
      <c r="AX243" s="1015">
        <f ca="1">SUMIFS(Налоги!AW$25:AW$55,Налоги!$F$25:$F$55,$F243,Налоги!$AB$25:$AB$55,$G243)</f>
        <v>0</v>
      </c>
      <c r="AY243" s="1015">
        <f ca="1">SUMIFS(Налоги!AX$25:AX$55,Налоги!$F$25:$F$55,$F243,Налоги!$AB$25:$AB$55,$G243)</f>
        <v>0</v>
      </c>
      <c r="AZ243" s="1015">
        <f ca="1">SUMIFS(Налоги!AY$25:AY$55,Налоги!$F$25:$F$55,$F243,Налоги!$AB$25:$AB$55,$G243)</f>
        <v>0</v>
      </c>
      <c r="BA243" s="1015">
        <f ca="1">SUMIFS(Налоги!AZ$25:AZ$55,Налоги!$F$25:$F$55,$F243,Налоги!$AB$25:$AB$55,$G243)</f>
        <v>0</v>
      </c>
      <c r="BB243" s="1015">
        <f ca="1">SUMIFS(Налоги!BA$25:BA$55,Налоги!$F$25:$F$55,$F243,Налоги!$AB$25:$AB$55,$G243)</f>
        <v>0</v>
      </c>
      <c r="BC243" s="1015">
        <f ca="1">SUMIFS(Налоги!BB$25:BB$55,Налоги!$F$25:$F$55,$F243,Налоги!$AB$25:$AB$55,$G243)</f>
        <v>0</v>
      </c>
      <c r="BD243" s="1015">
        <f t="shared" ca="1" si="57"/>
        <v>0</v>
      </c>
      <c r="BE243" s="1015">
        <f t="shared" ca="1" si="58"/>
        <v>0</v>
      </c>
      <c r="BF243" s="1015">
        <f t="shared" ca="1" si="59"/>
        <v>0</v>
      </c>
      <c r="BG243" s="1015">
        <f t="shared" ca="1" si="60"/>
        <v>0</v>
      </c>
      <c r="BH243" s="1015">
        <f t="shared" ca="1" si="61"/>
        <v>0</v>
      </c>
      <c r="BI243" s="1015">
        <f t="shared" ca="1" si="62"/>
        <v>0</v>
      </c>
      <c r="BJ243" s="1015">
        <f t="shared" ca="1" si="63"/>
        <v>0</v>
      </c>
      <c r="BK243" s="1015">
        <f t="shared" ca="1" si="64"/>
        <v>0</v>
      </c>
      <c r="BL243" s="1015">
        <f t="shared" ca="1" si="65"/>
        <v>0</v>
      </c>
      <c r="BM243" s="1015">
        <f t="shared" ca="1" si="66"/>
        <v>0</v>
      </c>
      <c r="BN243" s="1482"/>
      <c r="BO243" s="1484" t="str">
        <f ca="1">IF(IFERROR(INDEX(Налоги!$K$26:$L$55,MATCH($F243&amp;"5komm",Налоги!$K$26:$K$55,0),2),"")=0,"",IFERROR(INDEX(Налоги!$K$26:$L$55,MATCH($F243&amp;"5komm",Налоги!$K$26:$K$55,0),2),""))</f>
        <v/>
      </c>
      <c r="BP243" s="1482"/>
      <c r="BQ243" s="1177"/>
      <c r="BR243" s="1177"/>
      <c r="BS243" s="966" t="s">
        <v>1920</v>
      </c>
      <c r="BT243" s="966"/>
      <c r="BU243" s="966"/>
      <c r="BV243" s="881"/>
      <c r="BW243" s="881"/>
    </row>
    <row r="244" spans="1:75" s="1327" customFormat="1" ht="14.25" customHeight="1">
      <c r="A244" s="1177"/>
      <c r="B244" s="880"/>
      <c r="C244" s="26"/>
      <c r="D244" s="26"/>
      <c r="E244" s="538">
        <v>15</v>
      </c>
      <c r="F244" s="3" t="str" cm="1">
        <f t="array" aca="1" ref="F244" ca="1">OFFSET(E244,-1,1)</f>
        <v>1</v>
      </c>
      <c r="G244" s="827">
        <v>8</v>
      </c>
      <c r="H244" s="26"/>
      <c r="I244" s="26" t="s">
        <v>1921</v>
      </c>
      <c r="J244" s="26"/>
      <c r="K244" s="26" t="s">
        <v>1921</v>
      </c>
      <c r="L244" s="882"/>
      <c r="M244" s="26"/>
      <c r="N244" s="26"/>
      <c r="O244" s="26"/>
      <c r="P244" s="26"/>
      <c r="Q244" s="26"/>
      <c r="R244" s="26"/>
      <c r="S244" s="26"/>
      <c r="T244" s="381" t="b" cm="1">
        <f t="array" aca="1" ref="T244" ca="1">T243</f>
        <v>1</v>
      </c>
      <c r="U244" s="26"/>
      <c r="V244" s="26"/>
      <c r="W244" s="26"/>
      <c r="X244" s="1787"/>
      <c r="Y244" s="1177"/>
      <c r="Z244" s="1735"/>
      <c r="AA244" s="1177"/>
      <c r="AB244" s="216" t="s">
        <v>1922</v>
      </c>
      <c r="AC244" s="679" t="s">
        <v>1923</v>
      </c>
      <c r="AD244" s="216" t="s">
        <v>766</v>
      </c>
      <c r="AE244" s="1015">
        <f ca="1">SUMIFS(Налоги!AE$25:AE$55,Налоги!$F$25:$F$55,$F244,Налоги!$AB$25:$AB$55,$G244)</f>
        <v>0</v>
      </c>
      <c r="AF244" s="1015">
        <f ca="1">SUMIFS(Налоги!AF$25:AF$55,Налоги!$F$25:$F$55,$F244,Налоги!$AB$25:$AB$55,$G244)</f>
        <v>0</v>
      </c>
      <c r="AG244" s="1015">
        <f ca="1">SUMIFS(Налоги!AG$25:AG$55,Налоги!$F$25:$F$55,$F244,Налоги!$AB$25:$AB$55,$G244)</f>
        <v>0</v>
      </c>
      <c r="AH244" s="1015">
        <f t="shared" ca="1" si="55"/>
        <v>0</v>
      </c>
      <c r="AI244" s="1015">
        <f ca="1">SUMIFS(Налоги!AH$25:AH$55,Налоги!$F$25:$F$55,$F244,Налоги!$AB$25:$AB$55,$G244)</f>
        <v>0</v>
      </c>
      <c r="AJ244" s="1015">
        <f ca="1">SUMIFS(Налоги!AI$25:AI$55,Налоги!$F$25:$F$55,$F244,Налоги!$AB$25:$AB$55,$G244)</f>
        <v>0</v>
      </c>
      <c r="AK244" s="1015">
        <f ca="1">SUMIFS(Налоги!AJ$25:AJ$55,Налоги!$F$25:$F$55,$F244,Налоги!$AB$25:$AB$55,$G244)</f>
        <v>0</v>
      </c>
      <c r="AL244" s="1015">
        <f ca="1">SUMIFS(Налоги!AK$25:AK$55,Налоги!$F$25:$F$55,$F244,Налоги!$AB$25:$AB$55,$G244)</f>
        <v>0</v>
      </c>
      <c r="AM244" s="1015">
        <f ca="1">SUMIFS(Налоги!AL$25:AL$55,Налоги!$F$25:$F$55,$F244,Налоги!$AB$25:$AB$55,$G244)</f>
        <v>0</v>
      </c>
      <c r="AN244" s="1015">
        <f ca="1">SUMIFS(Налоги!AM$25:AM$55,Налоги!$F$25:$F$55,$F244,Налоги!$AB$25:$AB$55,$G244)</f>
        <v>0</v>
      </c>
      <c r="AO244" s="1015">
        <f ca="1">SUMIFS(Налоги!AN$25:AN$55,Налоги!$F$25:$F$55,$F244,Налоги!$AB$25:$AB$55,$G244)</f>
        <v>0</v>
      </c>
      <c r="AP244" s="1015">
        <f ca="1">SUMIFS(Налоги!AO$25:AO$55,Налоги!$F$25:$F$55,$F244,Налоги!$AB$25:$AB$55,$G244)</f>
        <v>0</v>
      </c>
      <c r="AQ244" s="1015">
        <f ca="1">SUMIFS(Налоги!AP$25:AP$55,Налоги!$F$25:$F$55,$F244,Налоги!$AB$25:$AB$55,$G244)</f>
        <v>0</v>
      </c>
      <c r="AR244" s="1015">
        <f ca="1">SUMIFS(Налоги!AQ$25:AQ$55,Налоги!$F$25:$F$55,$F244,Налоги!$AB$25:$AB$55,$G244)</f>
        <v>0</v>
      </c>
      <c r="AS244" s="1015">
        <f ca="1">SUMIFS(Налоги!AR$25:AR$55,Налоги!$F$25:$F$55,$F244,Налоги!$AB$25:$AB$55,$G244)</f>
        <v>0</v>
      </c>
      <c r="AT244" s="1015">
        <f ca="1">SUMIFS(Налоги!AS$25:AS$55,Налоги!$F$25:$F$55,$F244,Налоги!$AB$25:$AB$55,$G244)</f>
        <v>0</v>
      </c>
      <c r="AU244" s="1015">
        <f ca="1">SUMIFS(Налоги!AT$25:AT$55,Налоги!$F$25:$F$55,$F244,Налоги!$AB$25:$AB$55,$G244)</f>
        <v>0</v>
      </c>
      <c r="AV244" s="1015">
        <f ca="1">SUMIFS(Налоги!AU$25:AU$55,Налоги!$F$25:$F$55,$F244,Налоги!$AB$25:$AB$55,$G244)</f>
        <v>0</v>
      </c>
      <c r="AW244" s="1015">
        <f ca="1">SUMIFS(Налоги!AV$25:AV$55,Налоги!$F$25:$F$55,$F244,Налоги!$AB$25:$AB$55,$G244)</f>
        <v>0</v>
      </c>
      <c r="AX244" s="1015">
        <f ca="1">SUMIFS(Налоги!AW$25:AW$55,Налоги!$F$25:$F$55,$F244,Налоги!$AB$25:$AB$55,$G244)</f>
        <v>0</v>
      </c>
      <c r="AY244" s="1015">
        <f ca="1">SUMIFS(Налоги!AX$25:AX$55,Налоги!$F$25:$F$55,$F244,Налоги!$AB$25:$AB$55,$G244)</f>
        <v>0</v>
      </c>
      <c r="AZ244" s="1015">
        <f ca="1">SUMIFS(Налоги!AY$25:AY$55,Налоги!$F$25:$F$55,$F244,Налоги!$AB$25:$AB$55,$G244)</f>
        <v>0</v>
      </c>
      <c r="BA244" s="1015">
        <f ca="1">SUMIFS(Налоги!AZ$25:AZ$55,Налоги!$F$25:$F$55,$F244,Налоги!$AB$25:$AB$55,$G244)</f>
        <v>0</v>
      </c>
      <c r="BB244" s="1015">
        <f ca="1">SUMIFS(Налоги!BA$25:BA$55,Налоги!$F$25:$F$55,$F244,Налоги!$AB$25:$AB$55,$G244)</f>
        <v>0</v>
      </c>
      <c r="BC244" s="1015">
        <f ca="1">SUMIFS(Налоги!BB$25:BB$55,Налоги!$F$25:$F$55,$F244,Налоги!$AB$25:$AB$55,$G244)</f>
        <v>0</v>
      </c>
      <c r="BD244" s="1015">
        <f t="shared" ca="1" si="57"/>
        <v>0</v>
      </c>
      <c r="BE244" s="1015">
        <f t="shared" ca="1" si="58"/>
        <v>0</v>
      </c>
      <c r="BF244" s="1015">
        <f t="shared" ca="1" si="59"/>
        <v>0</v>
      </c>
      <c r="BG244" s="1015">
        <f t="shared" ca="1" si="60"/>
        <v>0</v>
      </c>
      <c r="BH244" s="1015">
        <f t="shared" ca="1" si="61"/>
        <v>0</v>
      </c>
      <c r="BI244" s="1015">
        <f t="shared" ca="1" si="62"/>
        <v>0</v>
      </c>
      <c r="BJ244" s="1015">
        <f t="shared" ca="1" si="63"/>
        <v>0</v>
      </c>
      <c r="BK244" s="1015">
        <f t="shared" ca="1" si="64"/>
        <v>0</v>
      </c>
      <c r="BL244" s="1015">
        <f t="shared" ca="1" si="65"/>
        <v>0</v>
      </c>
      <c r="BM244" s="1015">
        <f t="shared" ca="1" si="66"/>
        <v>0</v>
      </c>
      <c r="BN244" s="1482"/>
      <c r="BO244" s="1484" t="str">
        <f ca="1">IF(IFERROR(INDEX(Налоги!$K$26:$L$55,MATCH($F244&amp;"8komm",Налоги!$K$26:$K$55,0),2),"")=0,"",IFERROR(INDEX(Налоги!$K$26:$L$55,MATCH($F244&amp;"8komm",Налоги!$K$26:$K$55,0),2),""))</f>
        <v/>
      </c>
      <c r="BP244" s="1482"/>
      <c r="BQ244" s="1177"/>
      <c r="BR244" s="1177"/>
      <c r="BS244" s="966" t="s">
        <v>1142</v>
      </c>
      <c r="BT244" s="966"/>
      <c r="BU244" s="966"/>
      <c r="BV244" s="881"/>
      <c r="BW244" s="881"/>
    </row>
    <row r="245" spans="1:75" s="1133" customFormat="1" ht="14.25" customHeight="1">
      <c r="B245" s="667"/>
      <c r="C245" s="26"/>
      <c r="D245" s="26"/>
      <c r="E245" s="538">
        <v>15</v>
      </c>
      <c r="F245" s="3" t="str" cm="1">
        <f t="array" aca="1" ref="F245" ca="1">OFFSET(E245,-1,1)</f>
        <v>1</v>
      </c>
      <c r="G245" s="827">
        <v>9</v>
      </c>
      <c r="H245" s="26"/>
      <c r="I245" s="26"/>
      <c r="J245" s="26"/>
      <c r="K245" s="26"/>
      <c r="L245" s="882"/>
      <c r="M245" s="26"/>
      <c r="N245" s="26"/>
      <c r="O245" s="26"/>
      <c r="P245" s="26"/>
      <c r="Q245" s="26"/>
      <c r="R245" s="26"/>
      <c r="S245" s="26"/>
      <c r="T245" s="381" t="b" cm="1">
        <f t="array" aca="1" ref="T245" ca="1">T244</f>
        <v>1</v>
      </c>
      <c r="U245" s="26"/>
      <c r="V245" s="26"/>
      <c r="W245" s="26"/>
      <c r="X245" s="1787"/>
      <c r="Z245" s="1735"/>
      <c r="AB245" s="216" t="s">
        <v>1924</v>
      </c>
      <c r="AC245" s="694" t="s">
        <v>1925</v>
      </c>
      <c r="AD245" s="216" t="s">
        <v>766</v>
      </c>
      <c r="AE245" s="1015">
        <f ca="1">SUMIFS(Налоги!AE$25:AE$55,Налоги!$F$25:$F$55,$F245,Налоги!$AB$25:$AB$55,$G245)</f>
        <v>0</v>
      </c>
      <c r="AF245" s="1015">
        <f ca="1">SUMIFS(Налоги!AF$25:AF$55,Налоги!$F$25:$F$55,$F245,Налоги!$AB$25:$AB$55,$G245)</f>
        <v>0</v>
      </c>
      <c r="AG245" s="1015">
        <f ca="1">SUMIFS(Налоги!AG$25:AG$55,Налоги!$F$25:$F$55,$F245,Налоги!$AB$25:$AB$55,$G245)</f>
        <v>0</v>
      </c>
      <c r="AH245" s="1015">
        <f t="shared" ca="1" si="55"/>
        <v>0</v>
      </c>
      <c r="AI245" s="1015">
        <f ca="1">SUMIFS(Налоги!AH$25:AH$55,Налоги!$F$25:$F$55,$F245,Налоги!$AB$25:$AB$55,$G245)</f>
        <v>0</v>
      </c>
      <c r="AJ245" s="1015">
        <f ca="1">SUMIFS(Налоги!AI$25:AI$55,Налоги!$F$25:$F$55,$F245,Налоги!$AB$25:$AB$55,$G245)</f>
        <v>0</v>
      </c>
      <c r="AK245" s="1015">
        <f ca="1">SUMIFS(Налоги!AJ$25:AJ$55,Налоги!$F$25:$F$55,$F245,Налоги!$AB$25:$AB$55,$G245)</f>
        <v>0</v>
      </c>
      <c r="AL245" s="1015">
        <f ca="1">SUMIFS(Налоги!AK$25:AK$55,Налоги!$F$25:$F$55,$F245,Налоги!$AB$25:$AB$55,$G245)</f>
        <v>0</v>
      </c>
      <c r="AM245" s="1015">
        <f ca="1">SUMIFS(Налоги!AL$25:AL$55,Налоги!$F$25:$F$55,$F245,Налоги!$AB$25:$AB$55,$G245)</f>
        <v>0</v>
      </c>
      <c r="AN245" s="1015">
        <f ca="1">SUMIFS(Налоги!AM$25:AM$55,Налоги!$F$25:$F$55,$F245,Налоги!$AB$25:$AB$55,$G245)</f>
        <v>0</v>
      </c>
      <c r="AO245" s="1015">
        <f ca="1">SUMIFS(Налоги!AN$25:AN$55,Налоги!$F$25:$F$55,$F245,Налоги!$AB$25:$AB$55,$G245)</f>
        <v>0</v>
      </c>
      <c r="AP245" s="1015">
        <f ca="1">SUMIFS(Налоги!AO$25:AO$55,Налоги!$F$25:$F$55,$F245,Налоги!$AB$25:$AB$55,$G245)</f>
        <v>0</v>
      </c>
      <c r="AQ245" s="1015">
        <f ca="1">SUMIFS(Налоги!AP$25:AP$55,Налоги!$F$25:$F$55,$F245,Налоги!$AB$25:$AB$55,$G245)</f>
        <v>0</v>
      </c>
      <c r="AR245" s="1015">
        <f ca="1">SUMIFS(Налоги!AQ$25:AQ$55,Налоги!$F$25:$F$55,$F245,Налоги!$AB$25:$AB$55,$G245)</f>
        <v>0</v>
      </c>
      <c r="AS245" s="1015">
        <f ca="1">SUMIFS(Налоги!AR$25:AR$55,Налоги!$F$25:$F$55,$F245,Налоги!$AB$25:$AB$55,$G245)</f>
        <v>0</v>
      </c>
      <c r="AT245" s="1015">
        <f ca="1">SUMIFS(Налоги!AS$25:AS$55,Налоги!$F$25:$F$55,$F245,Налоги!$AB$25:$AB$55,$G245)</f>
        <v>0</v>
      </c>
      <c r="AU245" s="1015">
        <f ca="1">SUMIFS(Налоги!AT$25:AT$55,Налоги!$F$25:$F$55,$F245,Налоги!$AB$25:$AB$55,$G245)</f>
        <v>0</v>
      </c>
      <c r="AV245" s="1015">
        <f ca="1">SUMIFS(Налоги!AU$25:AU$55,Налоги!$F$25:$F$55,$F245,Налоги!$AB$25:$AB$55,$G245)</f>
        <v>0</v>
      </c>
      <c r="AW245" s="1015">
        <f ca="1">SUMIFS(Налоги!AV$25:AV$55,Налоги!$F$25:$F$55,$F245,Налоги!$AB$25:$AB$55,$G245)</f>
        <v>0</v>
      </c>
      <c r="AX245" s="1015">
        <f ca="1">SUMIFS(Налоги!AW$25:AW$55,Налоги!$F$25:$F$55,$F245,Налоги!$AB$25:$AB$55,$G245)</f>
        <v>0</v>
      </c>
      <c r="AY245" s="1015">
        <f ca="1">SUMIFS(Налоги!AX$25:AX$55,Налоги!$F$25:$F$55,$F245,Налоги!$AB$25:$AB$55,$G245)</f>
        <v>0</v>
      </c>
      <c r="AZ245" s="1015">
        <f ca="1">SUMIFS(Налоги!AY$25:AY$55,Налоги!$F$25:$F$55,$F245,Налоги!$AB$25:$AB$55,$G245)</f>
        <v>0</v>
      </c>
      <c r="BA245" s="1015">
        <f ca="1">SUMIFS(Налоги!AZ$25:AZ$55,Налоги!$F$25:$F$55,$F245,Налоги!$AB$25:$AB$55,$G245)</f>
        <v>0</v>
      </c>
      <c r="BB245" s="1015">
        <f ca="1">SUMIFS(Налоги!BA$25:BA$55,Налоги!$F$25:$F$55,$F245,Налоги!$AB$25:$AB$55,$G245)</f>
        <v>0</v>
      </c>
      <c r="BC245" s="1015">
        <f ca="1">SUMIFS(Налоги!BB$25:BB$55,Налоги!$F$25:$F$55,$F245,Налоги!$AB$25:$AB$55,$G245)</f>
        <v>0</v>
      </c>
      <c r="BD245" s="1015">
        <f t="shared" ca="1" si="57"/>
        <v>0</v>
      </c>
      <c r="BE245" s="1015">
        <f t="shared" ca="1" si="58"/>
        <v>0</v>
      </c>
      <c r="BF245" s="1015">
        <f t="shared" ca="1" si="59"/>
        <v>0</v>
      </c>
      <c r="BG245" s="1015">
        <f t="shared" ca="1" si="60"/>
        <v>0</v>
      </c>
      <c r="BH245" s="1015">
        <f t="shared" ca="1" si="61"/>
        <v>0</v>
      </c>
      <c r="BI245" s="1015">
        <f t="shared" ca="1" si="62"/>
        <v>0</v>
      </c>
      <c r="BJ245" s="1015">
        <f t="shared" ca="1" si="63"/>
        <v>0</v>
      </c>
      <c r="BK245" s="1015">
        <f t="shared" ca="1" si="64"/>
        <v>0</v>
      </c>
      <c r="BL245" s="1015">
        <f t="shared" ca="1" si="65"/>
        <v>0</v>
      </c>
      <c r="BM245" s="1015">
        <f t="shared" ca="1" si="66"/>
        <v>0</v>
      </c>
      <c r="BN245" s="1482"/>
      <c r="BO245" s="1484" t="str">
        <f ca="1">IF(IFERROR(INDEX(Налоги!$K$26:$L$55,MATCH($F245&amp;"9komm",Налоги!$K$26:$K$55,0),2),"")=0,"",IFERROR(INDEX(Налоги!$K$26:$L$55,MATCH($F245&amp;"9komm",Налоги!$K$26:$K$55,0),2),""))</f>
        <v/>
      </c>
      <c r="BP245" s="1482"/>
      <c r="BS245" s="973" t="s">
        <v>1926</v>
      </c>
      <c r="BT245" s="973"/>
      <c r="BU245" s="973"/>
      <c r="BV245" s="974"/>
      <c r="BW245" s="974"/>
    </row>
    <row r="246" spans="1:75" s="1327" customFormat="1" ht="14.25" customHeight="1">
      <c r="A246" s="1177"/>
      <c r="B246" s="880"/>
      <c r="C246" s="26"/>
      <c r="D246" s="26"/>
      <c r="E246" s="538">
        <v>15</v>
      </c>
      <c r="F246" s="3" t="str" cm="1">
        <f t="array" aca="1" ref="F246" ca="1">OFFSET(E246,-1,1)</f>
        <v>1</v>
      </c>
      <c r="G246" s="827">
        <v>10</v>
      </c>
      <c r="H246" s="26"/>
      <c r="I246" s="26" t="s">
        <v>1927</v>
      </c>
      <c r="J246" s="26"/>
      <c r="K246" s="26" t="s">
        <v>1927</v>
      </c>
      <c r="L246" s="882"/>
      <c r="M246" s="26"/>
      <c r="N246" s="26"/>
      <c r="O246" s="26"/>
      <c r="P246" s="26"/>
      <c r="Q246" s="26"/>
      <c r="R246" s="26"/>
      <c r="S246" s="26"/>
      <c r="T246" s="381" t="b" cm="1">
        <f t="array" aca="1" ref="T246" ca="1">T245</f>
        <v>1</v>
      </c>
      <c r="U246" s="26"/>
      <c r="V246" s="26"/>
      <c r="W246" s="26"/>
      <c r="X246" s="1787"/>
      <c r="Y246" s="1177"/>
      <c r="Z246" s="1735"/>
      <c r="AA246" s="1177"/>
      <c r="AB246" s="216" t="s">
        <v>1928</v>
      </c>
      <c r="AC246" s="695" t="s">
        <v>1929</v>
      </c>
      <c r="AD246" s="216" t="s">
        <v>766</v>
      </c>
      <c r="AE246" s="1015">
        <f ca="1">SUMIFS(Налоги!AE$25:AE$55,Налоги!$F$25:$F$55,$F246,Налоги!$AB$25:$AB$55,$G246)</f>
        <v>0</v>
      </c>
      <c r="AF246" s="1015">
        <f ca="1">SUMIFS(Налоги!AF$25:AF$55,Налоги!$F$25:$F$55,$F246,Налоги!$AB$25:$AB$55,$G246)</f>
        <v>0</v>
      </c>
      <c r="AG246" s="1015">
        <f ca="1">SUMIFS(Налоги!AG$25:AG$55,Налоги!$F$25:$F$55,$F246,Налоги!$AB$25:$AB$55,$G246)</f>
        <v>0</v>
      </c>
      <c r="AH246" s="1015">
        <f t="shared" ca="1" si="55"/>
        <v>0</v>
      </c>
      <c r="AI246" s="1015">
        <f ca="1">SUMIFS(Налоги!AH$25:AH$55,Налоги!$F$25:$F$55,$F246,Налоги!$AB$25:$AB$55,$G246)</f>
        <v>0</v>
      </c>
      <c r="AJ246" s="1015">
        <f ca="1">SUMIFS(Налоги!AI$25:AI$55,Налоги!$F$25:$F$55,$F246,Налоги!$AB$25:$AB$55,$G246)</f>
        <v>0</v>
      </c>
      <c r="AK246" s="1015">
        <f ca="1">SUMIFS(Налоги!AJ$25:AJ$55,Налоги!$F$25:$F$55,$F246,Налоги!$AB$25:$AB$55,$G246)</f>
        <v>0</v>
      </c>
      <c r="AL246" s="1015">
        <f ca="1">SUMIFS(Налоги!AK$25:AK$55,Налоги!$F$25:$F$55,$F246,Налоги!$AB$25:$AB$55,$G246)</f>
        <v>0</v>
      </c>
      <c r="AM246" s="1015">
        <f ca="1">SUMIFS(Налоги!AL$25:AL$55,Налоги!$F$25:$F$55,$F246,Налоги!$AB$25:$AB$55,$G246)</f>
        <v>0</v>
      </c>
      <c r="AN246" s="1015">
        <f ca="1">SUMIFS(Налоги!AM$25:AM$55,Налоги!$F$25:$F$55,$F246,Налоги!$AB$25:$AB$55,$G246)</f>
        <v>0</v>
      </c>
      <c r="AO246" s="1015">
        <f ca="1">SUMIFS(Налоги!AN$25:AN$55,Налоги!$F$25:$F$55,$F246,Налоги!$AB$25:$AB$55,$G246)</f>
        <v>0</v>
      </c>
      <c r="AP246" s="1015">
        <f ca="1">SUMIFS(Налоги!AO$25:AO$55,Налоги!$F$25:$F$55,$F246,Налоги!$AB$25:$AB$55,$G246)</f>
        <v>0</v>
      </c>
      <c r="AQ246" s="1015">
        <f ca="1">SUMIFS(Налоги!AP$25:AP$55,Налоги!$F$25:$F$55,$F246,Налоги!$AB$25:$AB$55,$G246)</f>
        <v>0</v>
      </c>
      <c r="AR246" s="1015">
        <f ca="1">SUMIFS(Налоги!AQ$25:AQ$55,Налоги!$F$25:$F$55,$F246,Налоги!$AB$25:$AB$55,$G246)</f>
        <v>0</v>
      </c>
      <c r="AS246" s="1015">
        <f ca="1">SUMIFS(Налоги!AR$25:AR$55,Налоги!$F$25:$F$55,$F246,Налоги!$AB$25:$AB$55,$G246)</f>
        <v>0</v>
      </c>
      <c r="AT246" s="1015">
        <f ca="1">SUMIFS(Налоги!AS$25:AS$55,Налоги!$F$25:$F$55,$F246,Налоги!$AB$25:$AB$55,$G246)</f>
        <v>0</v>
      </c>
      <c r="AU246" s="1015">
        <f ca="1">SUMIFS(Налоги!AT$25:AT$55,Налоги!$F$25:$F$55,$F246,Налоги!$AB$25:$AB$55,$G246)</f>
        <v>0</v>
      </c>
      <c r="AV246" s="1015">
        <f ca="1">SUMIFS(Налоги!AU$25:AU$55,Налоги!$F$25:$F$55,$F246,Налоги!$AB$25:$AB$55,$G246)</f>
        <v>0</v>
      </c>
      <c r="AW246" s="1015">
        <f ca="1">SUMIFS(Налоги!AV$25:AV$55,Налоги!$F$25:$F$55,$F246,Налоги!$AB$25:$AB$55,$G246)</f>
        <v>0</v>
      </c>
      <c r="AX246" s="1015">
        <f ca="1">SUMIFS(Налоги!AW$25:AW$55,Налоги!$F$25:$F$55,$F246,Налоги!$AB$25:$AB$55,$G246)</f>
        <v>0</v>
      </c>
      <c r="AY246" s="1015">
        <f ca="1">SUMIFS(Налоги!AX$25:AX$55,Налоги!$F$25:$F$55,$F246,Налоги!$AB$25:$AB$55,$G246)</f>
        <v>0</v>
      </c>
      <c r="AZ246" s="1015">
        <f ca="1">SUMIFS(Налоги!AY$25:AY$55,Налоги!$F$25:$F$55,$F246,Налоги!$AB$25:$AB$55,$G246)</f>
        <v>0</v>
      </c>
      <c r="BA246" s="1015">
        <f ca="1">SUMIFS(Налоги!AZ$25:AZ$55,Налоги!$F$25:$F$55,$F246,Налоги!$AB$25:$AB$55,$G246)</f>
        <v>0</v>
      </c>
      <c r="BB246" s="1015">
        <f ca="1">SUMIFS(Налоги!BA$25:BA$55,Налоги!$F$25:$F$55,$F246,Налоги!$AB$25:$AB$55,$G246)</f>
        <v>0</v>
      </c>
      <c r="BC246" s="1015">
        <f ca="1">SUMIFS(Налоги!BB$25:BB$55,Налоги!$F$25:$F$55,$F246,Налоги!$AB$25:$AB$55,$G246)</f>
        <v>0</v>
      </c>
      <c r="BD246" s="1015">
        <f t="shared" ca="1" si="57"/>
        <v>0</v>
      </c>
      <c r="BE246" s="1015">
        <f t="shared" ca="1" si="58"/>
        <v>0</v>
      </c>
      <c r="BF246" s="1015">
        <f t="shared" ca="1" si="59"/>
        <v>0</v>
      </c>
      <c r="BG246" s="1015">
        <f t="shared" ca="1" si="60"/>
        <v>0</v>
      </c>
      <c r="BH246" s="1015">
        <f t="shared" ca="1" si="61"/>
        <v>0</v>
      </c>
      <c r="BI246" s="1015">
        <f t="shared" ca="1" si="62"/>
        <v>0</v>
      </c>
      <c r="BJ246" s="1015">
        <f t="shared" ca="1" si="63"/>
        <v>0</v>
      </c>
      <c r="BK246" s="1015">
        <f t="shared" ca="1" si="64"/>
        <v>0</v>
      </c>
      <c r="BL246" s="1015">
        <f t="shared" ca="1" si="65"/>
        <v>0</v>
      </c>
      <c r="BM246" s="1015">
        <f t="shared" ca="1" si="66"/>
        <v>0</v>
      </c>
      <c r="BN246" s="1482"/>
      <c r="BO246" s="1484" t="str">
        <f ca="1">IF(IFERROR(INDEX(Налоги!$K$26:$L$55,MATCH($F246&amp;"10komm",Налоги!$K$26:$K$55,0),2),"")=0,"",IFERROR(INDEX(Налоги!$K$26:$L$55,MATCH($F246&amp;"10komm",Налоги!$K$26:$K$55,0),2),""))</f>
        <v/>
      </c>
      <c r="BP246" s="1482"/>
      <c r="BQ246" s="1177"/>
      <c r="BR246" s="1177"/>
      <c r="BS246" s="966" t="s">
        <v>1930</v>
      </c>
      <c r="BT246" s="966"/>
      <c r="BU246" s="966"/>
      <c r="BV246" s="881"/>
      <c r="BW246" s="881"/>
    </row>
    <row r="247" spans="1:75" s="1327" customFormat="1" ht="65.25" customHeight="1">
      <c r="A247" s="1177"/>
      <c r="B247" s="880"/>
      <c r="C247" s="26"/>
      <c r="D247" s="26"/>
      <c r="E247" s="538">
        <v>67.5</v>
      </c>
      <c r="F247" s="3" t="str" cm="1">
        <f t="array" aca="1" ref="F247" ca="1">OFFSET(E247,-1,1)</f>
        <v>1</v>
      </c>
      <c r="G247" s="26" t="s">
        <v>1295</v>
      </c>
      <c r="H247" s="26"/>
      <c r="I247" s="26" t="s">
        <v>843</v>
      </c>
      <c r="J247" s="26"/>
      <c r="K247" s="77" t="s">
        <v>843</v>
      </c>
      <c r="L247" s="882"/>
      <c r="M247" s="26"/>
      <c r="N247" s="26"/>
      <c r="O247" s="26"/>
      <c r="P247" s="26"/>
      <c r="Q247" s="26"/>
      <c r="R247" s="26"/>
      <c r="S247" s="26"/>
      <c r="T247" s="381" t="b" cm="1">
        <f t="array" aca="1" ref="T247" ca="1">T246</f>
        <v>1</v>
      </c>
      <c r="U247" s="26"/>
      <c r="V247" s="26"/>
      <c r="W247" s="26"/>
      <c r="X247" s="1787"/>
      <c r="Y247" s="1177"/>
      <c r="Z247" s="1735"/>
      <c r="AA247" s="1177"/>
      <c r="AB247" s="216" t="s">
        <v>844</v>
      </c>
      <c r="AC247" s="696" t="s">
        <v>1298</v>
      </c>
      <c r="AD247" s="216" t="s">
        <v>766</v>
      </c>
      <c r="AE247" s="1474"/>
      <c r="AF247" s="1474"/>
      <c r="AG247" s="1474"/>
      <c r="AH247" s="1015">
        <f t="shared" si="55"/>
        <v>0</v>
      </c>
      <c r="AI247" s="1474"/>
      <c r="AJ247" s="1474"/>
      <c r="AK247" s="1474"/>
      <c r="AL247" s="1474"/>
      <c r="AM247" s="1474"/>
      <c r="AN247" s="1474"/>
      <c r="AO247" s="1474"/>
      <c r="AP247" s="1474"/>
      <c r="AQ247" s="1474"/>
      <c r="AR247" s="1474"/>
      <c r="AS247" s="1474"/>
      <c r="AT247" s="1474"/>
      <c r="AU247" s="1474"/>
      <c r="AV247" s="1474"/>
      <c r="AW247" s="1474"/>
      <c r="AX247" s="1474"/>
      <c r="AY247" s="1474"/>
      <c r="AZ247" s="1474"/>
      <c r="BA247" s="1474"/>
      <c r="BB247" s="1474"/>
      <c r="BC247" s="1474"/>
      <c r="BD247" s="1015">
        <f t="shared" si="57"/>
        <v>0</v>
      </c>
      <c r="BE247" s="1015">
        <f t="shared" si="58"/>
        <v>0</v>
      </c>
      <c r="BF247" s="1015">
        <f t="shared" si="59"/>
        <v>0</v>
      </c>
      <c r="BG247" s="1015">
        <f t="shared" si="60"/>
        <v>0</v>
      </c>
      <c r="BH247" s="1015">
        <f t="shared" si="61"/>
        <v>0</v>
      </c>
      <c r="BI247" s="1015">
        <f t="shared" si="62"/>
        <v>0</v>
      </c>
      <c r="BJ247" s="1015">
        <f t="shared" si="63"/>
        <v>0</v>
      </c>
      <c r="BK247" s="1015">
        <f t="shared" si="64"/>
        <v>0</v>
      </c>
      <c r="BL247" s="1015">
        <f t="shared" si="65"/>
        <v>0</v>
      </c>
      <c r="BM247" s="1015">
        <f t="shared" si="66"/>
        <v>0</v>
      </c>
      <c r="BN247" s="1482"/>
      <c r="BO247" s="1482"/>
      <c r="BP247" s="1482"/>
      <c r="BQ247" s="1177"/>
      <c r="BR247" s="1177"/>
      <c r="BS247" s="966" t="s">
        <v>1931</v>
      </c>
      <c r="BT247" s="966"/>
      <c r="BU247" s="966"/>
      <c r="BV247" s="881"/>
      <c r="BW247" s="881"/>
    </row>
    <row r="248" spans="1:75" s="1327" customFormat="1" ht="14.25" customHeight="1">
      <c r="A248" s="1177"/>
      <c r="B248" s="880"/>
      <c r="C248" s="26"/>
      <c r="D248" s="26"/>
      <c r="E248" s="538">
        <v>15</v>
      </c>
      <c r="F248" s="3" t="str" cm="1">
        <f t="array" aca="1" ref="F248" ca="1">OFFSET(E248,-1,1)</f>
        <v>1</v>
      </c>
      <c r="G248" s="26" t="s">
        <v>919</v>
      </c>
      <c r="H248" s="26"/>
      <c r="I248" s="26" t="s">
        <v>846</v>
      </c>
      <c r="J248" s="26"/>
      <c r="K248" s="77" t="s">
        <v>846</v>
      </c>
      <c r="L248" s="882" t="s">
        <v>477</v>
      </c>
      <c r="M248" s="26"/>
      <c r="N248" s="26"/>
      <c r="O248" s="26"/>
      <c r="P248" s="26"/>
      <c r="Q248" s="26"/>
      <c r="R248" s="26"/>
      <c r="S248" s="26"/>
      <c r="T248" s="381" t="b" cm="1">
        <f t="array" aca="1" ref="T248" ca="1">T247</f>
        <v>1</v>
      </c>
      <c r="U248" s="26"/>
      <c r="V248" s="26"/>
      <c r="W248" s="26"/>
      <c r="X248" s="1787"/>
      <c r="Y248" s="1177"/>
      <c r="Z248" s="1735"/>
      <c r="AA248" s="1177"/>
      <c r="AB248" s="216" t="s">
        <v>847</v>
      </c>
      <c r="AC248" s="676" t="s">
        <v>919</v>
      </c>
      <c r="AD248" s="216" t="s">
        <v>766</v>
      </c>
      <c r="AE248" s="1015">
        <f ca="1">SUMIFS(Аренда!AE$25:AE$47,Аренда!$F$25:$F$47,$F248,Аренда!$G$25:$G$47,"Арендная и концессионная плата, лизинговые платежи")</f>
        <v>0</v>
      </c>
      <c r="AF248" s="1015">
        <f ca="1">SUMIFS(Аренда!AF$25:AF$47,Аренда!$F$25:$F$47,$F248,Аренда!$G$25:$G$47,"Арендная и концессионная плата, лизинговые платежи")</f>
        <v>0</v>
      </c>
      <c r="AG248" s="1015">
        <f ca="1">SUMIFS(Аренда!AG$25:AG$47,Аренда!$F$25:$F$47,$F248,Аренда!$G$25:$G$47,"Арендная и концессионная плата, лизинговые платежи")</f>
        <v>0</v>
      </c>
      <c r="AH248" s="1015">
        <f t="shared" ca="1" si="55"/>
        <v>0</v>
      </c>
      <c r="AI248" s="1015">
        <f ca="1">SUMIFS(Аренда!AH$25:AH$47,Аренда!$F$25:$F$47,$F248,Аренда!$G$25:$G$47,"Арендная и концессионная плата, лизинговые платежи")</f>
        <v>0</v>
      </c>
      <c r="AJ248" s="1015">
        <f ca="1">SUMIFS(Аренда!AI$25:AI$47,Аренда!$F$25:$F$47,$F248,Аренда!$G$25:$G$47,"Арендная и концессионная плата, лизинговые платежи")</f>
        <v>0</v>
      </c>
      <c r="AK248" s="1015">
        <f ca="1">SUMIFS(Аренда!AJ$25:AJ$47,Аренда!$F$25:$F$47,$F248,Аренда!$G$25:$G$47,"Арендная и концессионная плата, лизинговые платежи")</f>
        <v>0</v>
      </c>
      <c r="AL248" s="1015">
        <f ca="1">SUMIFS(Аренда!AK$25:AK$47,Аренда!$F$25:$F$47,$F248,Аренда!$G$25:$G$47,"Арендная и концессионная плата, лизинговые платежи")</f>
        <v>0</v>
      </c>
      <c r="AM248" s="1015">
        <f ca="1">SUMIFS(Аренда!AL$25:AL$47,Аренда!$F$25:$F$47,$F248,Аренда!$G$25:$G$47,"Арендная и концессионная плата, лизинговые платежи")</f>
        <v>0</v>
      </c>
      <c r="AN248" s="1015">
        <f ca="1">SUMIFS(Аренда!AM$25:AM$47,Аренда!$F$25:$F$47,$F248,Аренда!$G$25:$G$47,"Арендная и концессионная плата, лизинговые платежи")</f>
        <v>0</v>
      </c>
      <c r="AO248" s="1015">
        <f ca="1">SUMIFS(Аренда!AN$25:AN$47,Аренда!$F$25:$F$47,$F248,Аренда!$G$25:$G$47,"Арендная и концессионная плата, лизинговые платежи")</f>
        <v>0</v>
      </c>
      <c r="AP248" s="1015">
        <f ca="1">SUMIFS(Аренда!AO$25:AO$47,Аренда!$F$25:$F$47,$F248,Аренда!$G$25:$G$47,"Арендная и концессионная плата, лизинговые платежи")</f>
        <v>0</v>
      </c>
      <c r="AQ248" s="1015">
        <f ca="1">SUMIFS(Аренда!AP$25:AP$47,Аренда!$F$25:$F$47,$F248,Аренда!$G$25:$G$47,"Арендная и концессионная плата, лизинговые платежи")</f>
        <v>0</v>
      </c>
      <c r="AR248" s="1015">
        <f ca="1">SUMIFS(Аренда!AQ$25:AQ$47,Аренда!$F$25:$F$47,$F248,Аренда!$G$25:$G$47,"Арендная и концессионная плата, лизинговые платежи")</f>
        <v>0</v>
      </c>
      <c r="AS248" s="1015">
        <f ca="1">SUMIFS(Аренда!AR$25:AR$47,Аренда!$F$25:$F$47,$F248,Аренда!$G$25:$G$47,"Арендная и концессионная плата, лизинговые платежи")</f>
        <v>0</v>
      </c>
      <c r="AT248" s="1015">
        <f ca="1">SUMIFS(Аренда!AS$25:AS$47,Аренда!$F$25:$F$47,$F248,Аренда!$G$25:$G$47,"Арендная и концессионная плата, лизинговые платежи")</f>
        <v>0</v>
      </c>
      <c r="AU248" s="1015">
        <f ca="1">SUMIFS(Аренда!AT$25:AT$47,Аренда!$F$25:$F$47,$F248,Аренда!$G$25:$G$47,"Арендная и концессионная плата, лизинговые платежи")</f>
        <v>0</v>
      </c>
      <c r="AV248" s="1015">
        <f ca="1">SUMIFS(Аренда!AU$25:AU$47,Аренда!$F$25:$F$47,$F248,Аренда!$G$25:$G$47,"Арендная и концессионная плата, лизинговые платежи")</f>
        <v>0</v>
      </c>
      <c r="AW248" s="1015">
        <f ca="1">SUMIFS(Аренда!AV$25:AV$47,Аренда!$F$25:$F$47,$F248,Аренда!$G$25:$G$47,"Арендная и концессионная плата, лизинговые платежи")</f>
        <v>0</v>
      </c>
      <c r="AX248" s="1015">
        <f ca="1">SUMIFS(Аренда!AW$25:AW$47,Аренда!$F$25:$F$47,$F248,Аренда!$G$25:$G$47,"Арендная и концессионная плата, лизинговые платежи")</f>
        <v>0</v>
      </c>
      <c r="AY248" s="1015">
        <f ca="1">SUMIFS(Аренда!AX$25:AX$47,Аренда!$F$25:$F$47,$F248,Аренда!$G$25:$G$47,"Арендная и концессионная плата, лизинговые платежи")</f>
        <v>0</v>
      </c>
      <c r="AZ248" s="1015">
        <f ca="1">SUMIFS(Аренда!AY$25:AY$47,Аренда!$F$25:$F$47,$F248,Аренда!$G$25:$G$47,"Арендная и концессионная плата, лизинговые платежи")</f>
        <v>0</v>
      </c>
      <c r="BA248" s="1015">
        <f ca="1">SUMIFS(Аренда!AZ$25:AZ$47,Аренда!$F$25:$F$47,$F248,Аренда!$G$25:$G$47,"Арендная и концессионная плата, лизинговые платежи")</f>
        <v>0</v>
      </c>
      <c r="BB248" s="1015">
        <f ca="1">SUMIFS(Аренда!BA$25:BA$47,Аренда!$F$25:$F$47,$F248,Аренда!$G$25:$G$47,"Арендная и концессионная плата, лизинговые платежи")</f>
        <v>0</v>
      </c>
      <c r="BC248" s="1015">
        <f ca="1">SUMIFS(Аренда!BB$25:BB$47,Аренда!$F$25:$F$47,$F248,Аренда!$G$25:$G$47,"Арендная и концессионная плата, лизинговые платежи")</f>
        <v>0</v>
      </c>
      <c r="BD248" s="1015">
        <f t="shared" ca="1" si="57"/>
        <v>0</v>
      </c>
      <c r="BE248" s="1015">
        <f t="shared" ca="1" si="58"/>
        <v>0</v>
      </c>
      <c r="BF248" s="1015">
        <f t="shared" ca="1" si="59"/>
        <v>0</v>
      </c>
      <c r="BG248" s="1015">
        <f t="shared" ca="1" si="60"/>
        <v>0</v>
      </c>
      <c r="BH248" s="1015">
        <f t="shared" ca="1" si="61"/>
        <v>0</v>
      </c>
      <c r="BI248" s="1015">
        <f t="shared" ca="1" si="62"/>
        <v>0</v>
      </c>
      <c r="BJ248" s="1015">
        <f t="shared" ca="1" si="63"/>
        <v>0</v>
      </c>
      <c r="BK248" s="1015">
        <f t="shared" ca="1" si="64"/>
        <v>0</v>
      </c>
      <c r="BL248" s="1015">
        <f t="shared" ca="1" si="65"/>
        <v>0</v>
      </c>
      <c r="BM248" s="1015">
        <f t="shared" ca="1" si="66"/>
        <v>0</v>
      </c>
      <c r="BN248" s="1482"/>
      <c r="BO248" s="1491" t="str">
        <f ca="1">IF(IFERROR(INDEX(Аренда!$K$26:$L$47,MATCH($F248&amp;"komm",Аренда!$K$26:$K$47,0),2),"")=0,"",IFERROR(INDEX(Аренда!$K$26:$L$47,MATCH($F248&amp;"komm",Аренда!$K$26:$K$47,0),2),""))</f>
        <v/>
      </c>
      <c r="BP248" s="1482"/>
      <c r="BQ248" s="1177"/>
      <c r="BR248" s="1177"/>
      <c r="BS248" s="966" t="s">
        <v>1932</v>
      </c>
      <c r="BT248" s="966"/>
      <c r="BU248" s="966"/>
      <c r="BV248" s="881"/>
      <c r="BW248" s="881"/>
    </row>
    <row r="249" spans="1:75" s="1327" customFormat="1" ht="14.25" customHeight="1">
      <c r="A249" s="1177"/>
      <c r="B249" s="349" t="b">
        <f>STATUS_GO="да"</f>
        <v>1</v>
      </c>
      <c r="C249" s="26"/>
      <c r="D249" s="26"/>
      <c r="E249" s="538">
        <v>15</v>
      </c>
      <c r="F249" s="3" t="str" cm="1">
        <f t="array" aca="1" ref="F249" ca="1">OFFSET(E249,-1,1)</f>
        <v>1</v>
      </c>
      <c r="G249" s="26"/>
      <c r="H249" s="26"/>
      <c r="I249" s="26" t="s">
        <v>1933</v>
      </c>
      <c r="J249" s="26"/>
      <c r="K249" s="77" t="s">
        <v>1933</v>
      </c>
      <c r="L249" s="882"/>
      <c r="M249" s="26"/>
      <c r="N249" s="26"/>
      <c r="O249" s="26"/>
      <c r="P249" s="26"/>
      <c r="Q249" s="26"/>
      <c r="R249" s="26"/>
      <c r="S249" s="26"/>
      <c r="T249" s="381" t="b" cm="1">
        <f t="array" aca="1" ref="T249" ca="1">T248</f>
        <v>1</v>
      </c>
      <c r="U249" s="26"/>
      <c r="V249" s="26"/>
      <c r="W249" s="26"/>
      <c r="X249" s="1787"/>
      <c r="Y249" s="1177"/>
      <c r="Z249" s="1735"/>
      <c r="AA249" s="1177"/>
      <c r="AB249" s="216" t="s">
        <v>1362</v>
      </c>
      <c r="AC249" s="676" t="s">
        <v>1934</v>
      </c>
      <c r="AD249" s="216" t="s">
        <v>766</v>
      </c>
      <c r="AE249" s="1473" cm="1">
        <f t="array" aca="1" ref="AE249" ca="1">AE250</f>
        <v>0</v>
      </c>
      <c r="AF249" s="1473" cm="1">
        <f t="array" aca="1" ref="AF249" ca="1">AF250</f>
        <v>0</v>
      </c>
      <c r="AG249" s="1473" cm="1">
        <f t="array" aca="1" ref="AG249" ca="1">AG250</f>
        <v>0</v>
      </c>
      <c r="AH249" s="1015">
        <f t="shared" ca="1" si="55"/>
        <v>0</v>
      </c>
      <c r="AI249" s="1473" cm="1">
        <f t="array" aca="1" ref="AI249" ca="1">AI250</f>
        <v>0</v>
      </c>
      <c r="AJ249" s="1473" cm="1">
        <f t="array" aca="1" ref="AJ249" ca="1">AJ250</f>
        <v>0</v>
      </c>
      <c r="AK249" s="1473" cm="1">
        <f t="array" ref="AK249">AK250</f>
        <v>0</v>
      </c>
      <c r="AL249" s="1473" cm="1">
        <f t="array" ref="AL249">AL250</f>
        <v>0</v>
      </c>
      <c r="AM249" s="1473" cm="1">
        <f t="array" ref="AM249">AM250</f>
        <v>0</v>
      </c>
      <c r="AN249" s="1473" cm="1">
        <f t="array" ref="AN249">AN250</f>
        <v>0</v>
      </c>
      <c r="AO249" s="1473" cm="1">
        <f t="array" ref="AO249">AO250</f>
        <v>0</v>
      </c>
      <c r="AP249" s="1473" cm="1">
        <f t="array" ref="AP249">AP250</f>
        <v>0</v>
      </c>
      <c r="AQ249" s="1473" cm="1">
        <f t="array" ref="AQ249">AQ250</f>
        <v>0</v>
      </c>
      <c r="AR249" s="1473" cm="1">
        <f t="array" ref="AR249">AR250</f>
        <v>0</v>
      </c>
      <c r="AS249" s="1473" cm="1">
        <f t="array" ref="AS249">AS250</f>
        <v>0</v>
      </c>
      <c r="AT249" s="1473" cm="1">
        <f t="array" aca="1" ref="AT249" ca="1">AT250</f>
        <v>0</v>
      </c>
      <c r="AU249" s="1473" cm="1">
        <f t="array" ref="AU249">AU250</f>
        <v>0</v>
      </c>
      <c r="AV249" s="1473" cm="1">
        <f t="array" ref="AV249">AV250</f>
        <v>0</v>
      </c>
      <c r="AW249" s="1473" cm="1">
        <f t="array" ref="AW249">AW250</f>
        <v>0</v>
      </c>
      <c r="AX249" s="1473" cm="1">
        <f t="array" ref="AX249">AX250</f>
        <v>0</v>
      </c>
      <c r="AY249" s="1473" cm="1">
        <f t="array" ref="AY249">AY250</f>
        <v>0</v>
      </c>
      <c r="AZ249" s="1473" cm="1">
        <f t="array" ref="AZ249">AZ250</f>
        <v>0</v>
      </c>
      <c r="BA249" s="1473" cm="1">
        <f t="array" ref="BA249">BA250</f>
        <v>0</v>
      </c>
      <c r="BB249" s="1473" cm="1">
        <f t="array" ref="BB249">BB250</f>
        <v>0</v>
      </c>
      <c r="BC249" s="1473" cm="1">
        <f t="array" ref="BC249">BC250</f>
        <v>0</v>
      </c>
      <c r="BD249" s="1015">
        <f t="shared" ca="1" si="57"/>
        <v>0</v>
      </c>
      <c r="BE249" s="1015">
        <f t="shared" ca="1" si="58"/>
        <v>0</v>
      </c>
      <c r="BF249" s="1015">
        <f t="shared" si="59"/>
        <v>0</v>
      </c>
      <c r="BG249" s="1015">
        <f t="shared" si="60"/>
        <v>0</v>
      </c>
      <c r="BH249" s="1015">
        <f t="shared" si="61"/>
        <v>0</v>
      </c>
      <c r="BI249" s="1015">
        <f t="shared" si="62"/>
        <v>0</v>
      </c>
      <c r="BJ249" s="1015">
        <f t="shared" si="63"/>
        <v>0</v>
      </c>
      <c r="BK249" s="1015">
        <f t="shared" si="64"/>
        <v>0</v>
      </c>
      <c r="BL249" s="1015">
        <f t="shared" si="65"/>
        <v>0</v>
      </c>
      <c r="BM249" s="1015">
        <f t="shared" si="66"/>
        <v>0</v>
      </c>
      <c r="BN249" s="1482"/>
      <c r="BO249" s="1482"/>
      <c r="BP249" s="1482"/>
      <c r="BQ249" s="1177"/>
      <c r="BR249" s="1177"/>
      <c r="BS249" s="966" t="s">
        <v>1935</v>
      </c>
      <c r="BT249" s="966"/>
      <c r="BU249" s="966"/>
      <c r="BV249" s="881"/>
      <c r="BW249" s="881"/>
    </row>
    <row r="250" spans="1:75" s="1327" customFormat="1" ht="14.25" customHeight="1">
      <c r="A250" s="1177"/>
      <c r="B250" s="349" t="b">
        <f>STATUS_GO="да"</f>
        <v>1</v>
      </c>
      <c r="C250" s="26"/>
      <c r="D250" s="26"/>
      <c r="E250" s="538">
        <v>15</v>
      </c>
      <c r="F250" s="3" t="str" cm="1">
        <f t="array" aca="1" ref="F250" ca="1">OFFSET(E250,-1,1)</f>
        <v>1</v>
      </c>
      <c r="G250" s="26" t="s">
        <v>1304</v>
      </c>
      <c r="H250" s="26"/>
      <c r="I250" s="26" t="s">
        <v>1936</v>
      </c>
      <c r="J250" s="26"/>
      <c r="K250" s="77" t="s">
        <v>1936</v>
      </c>
      <c r="L250" s="882"/>
      <c r="M250" s="26"/>
      <c r="N250" s="26"/>
      <c r="O250" s="26"/>
      <c r="P250" s="26"/>
      <c r="Q250" s="26"/>
      <c r="R250" s="26"/>
      <c r="S250" s="26"/>
      <c r="T250" s="381" t="b" cm="1">
        <f t="array" aca="1" ref="T250" ca="1">T249</f>
        <v>1</v>
      </c>
      <c r="U250" s="26"/>
      <c r="V250" s="26"/>
      <c r="W250" s="26"/>
      <c r="X250" s="1787"/>
      <c r="Y250" s="1177"/>
      <c r="Z250" s="1735"/>
      <c r="AA250" s="1177"/>
      <c r="AB250" s="216" t="s">
        <v>1937</v>
      </c>
      <c r="AC250" s="679" t="s">
        <v>1304</v>
      </c>
      <c r="AD250" s="216" t="s">
        <v>766</v>
      </c>
      <c r="AE250" s="1015">
        <f ca="1">SUMIFS('Сбытовые расходы ГО'!AE$25:AE$51,'Сбытовые расходы ГО'!$F$25:$F$51,$F250,'Сбытовые расходы ГО'!$G$25:$G$51,"l1")</f>
        <v>0</v>
      </c>
      <c r="AF250" s="1015">
        <f ca="1">SUMIFS('Сбытовые расходы ГО'!AF$25:AF$51,'Сбытовые расходы ГО'!$F$25:$F$51,$F250,'Сбытовые расходы ГО'!$G$25:$G$51,"l1")</f>
        <v>0</v>
      </c>
      <c r="AG250" s="1015">
        <f ca="1">SUMIFS('Сбытовые расходы ГО'!AG$25:AG$51,'Сбытовые расходы ГО'!$F$25:$F$51,$F250,'Сбытовые расходы ГО'!$G$25:$G$51,"l1")</f>
        <v>0</v>
      </c>
      <c r="AH250" s="1015">
        <f t="shared" ca="1" si="55"/>
        <v>0</v>
      </c>
      <c r="AI250" s="1015">
        <f ca="1">SUMIFS('Сбытовые расходы ГО'!AH$25:AH$51,'Сбытовые расходы ГО'!$F$25:$F$51,$F250,'Сбытовые расходы ГО'!$G$25:$G$51,"l1")</f>
        <v>0</v>
      </c>
      <c r="AJ250" s="1015">
        <f ca="1">SUMIFS('Сбытовые расходы ГО'!AI$25:AI$51,'Сбытовые расходы ГО'!$F$25:$F$51,$F250,'Сбытовые расходы ГО'!$G$25:$G$51,"l1")</f>
        <v>0</v>
      </c>
      <c r="AK250" s="1473"/>
      <c r="AL250" s="1473"/>
      <c r="AM250" s="1473"/>
      <c r="AN250" s="1473"/>
      <c r="AO250" s="1473"/>
      <c r="AP250" s="1473"/>
      <c r="AQ250" s="1473"/>
      <c r="AR250" s="1473"/>
      <c r="AS250" s="1473"/>
      <c r="AT250" s="1015">
        <f ca="1">SUMIFS('Сбытовые расходы ГО'!AJ$25:AJ$51,'Сбытовые расходы ГО'!$F$25:$F$51,$F250,'Сбытовые расходы ГО'!$G$25:$G$51,"l1")</f>
        <v>0</v>
      </c>
      <c r="AU250" s="1473"/>
      <c r="AV250" s="1473"/>
      <c r="AW250" s="1473"/>
      <c r="AX250" s="1473"/>
      <c r="AY250" s="1473"/>
      <c r="AZ250" s="1473"/>
      <c r="BA250" s="1473"/>
      <c r="BB250" s="1473"/>
      <c r="BC250" s="1473"/>
      <c r="BD250" s="1015">
        <f t="shared" ca="1" si="57"/>
        <v>0</v>
      </c>
      <c r="BE250" s="1015">
        <f t="shared" ca="1" si="58"/>
        <v>0</v>
      </c>
      <c r="BF250" s="1015">
        <f t="shared" si="59"/>
        <v>0</v>
      </c>
      <c r="BG250" s="1015">
        <f t="shared" si="60"/>
        <v>0</v>
      </c>
      <c r="BH250" s="1015">
        <f t="shared" si="61"/>
        <v>0</v>
      </c>
      <c r="BI250" s="1015">
        <f t="shared" si="62"/>
        <v>0</v>
      </c>
      <c r="BJ250" s="1015">
        <f t="shared" si="63"/>
        <v>0</v>
      </c>
      <c r="BK250" s="1015">
        <f t="shared" si="64"/>
        <v>0</v>
      </c>
      <c r="BL250" s="1015">
        <f t="shared" si="65"/>
        <v>0</v>
      </c>
      <c r="BM250" s="1015">
        <f t="shared" si="66"/>
        <v>0</v>
      </c>
      <c r="BN250" s="1482"/>
      <c r="BO250" s="1491" t="str">
        <f ca="1">IF(IFERROR(INDEX('Сбытовые расходы ГО'!$K$26:$M$51,MATCH($F250&amp;"komm",'Сбытовые расходы ГО'!$K$26:$K$51,0),2),"")=0,"",IFERROR(INDEX('Сбытовые расходы ГО'!$K$26:$M$51,MATCH($F250&amp;"komm",'Сбытовые расходы ГО'!$K$26:$K$51,0),2),""))</f>
        <v/>
      </c>
      <c r="BP250" s="1482"/>
      <c r="BQ250" s="1177"/>
      <c r="BR250" s="1177"/>
      <c r="BS250" s="966" t="s">
        <v>1938</v>
      </c>
      <c r="BT250" s="966"/>
      <c r="BU250" s="966"/>
      <c r="BV250" s="881"/>
      <c r="BW250" s="881"/>
    </row>
    <row r="251" spans="1:75" s="1327" customFormat="1" ht="14.25" customHeight="1">
      <c r="A251" s="1177"/>
      <c r="B251" s="880"/>
      <c r="C251" s="26"/>
      <c r="D251" s="26"/>
      <c r="E251" s="538">
        <v>15</v>
      </c>
      <c r="F251" s="3" t="str" cm="1">
        <f t="array" aca="1" ref="F251" ca="1">OFFSET(E251,-1,1)</f>
        <v>1</v>
      </c>
      <c r="G251" s="26" t="s">
        <v>1309</v>
      </c>
      <c r="H251" s="26"/>
      <c r="I251" s="26" t="s">
        <v>1939</v>
      </c>
      <c r="J251" s="26"/>
      <c r="K251" s="77" t="s">
        <v>1939</v>
      </c>
      <c r="L251" s="882"/>
      <c r="M251" s="26"/>
      <c r="N251" s="26"/>
      <c r="O251" s="26"/>
      <c r="P251" s="26"/>
      <c r="Q251" s="26"/>
      <c r="R251" s="26"/>
      <c r="S251" s="26"/>
      <c r="T251" s="381" t="b" cm="1">
        <f t="array" aca="1" ref="T251" ca="1">T250</f>
        <v>1</v>
      </c>
      <c r="U251" s="26"/>
      <c r="V251" s="26"/>
      <c r="W251" s="26"/>
      <c r="X251" s="1787"/>
      <c r="Y251" s="1177"/>
      <c r="Z251" s="1735"/>
      <c r="AA251" s="1177"/>
      <c r="AB251" s="216" t="s">
        <v>1367</v>
      </c>
      <c r="AC251" s="676" t="s">
        <v>1309</v>
      </c>
      <c r="AD251" s="216" t="s">
        <v>766</v>
      </c>
      <c r="AE251" s="1473"/>
      <c r="AF251" s="1473"/>
      <c r="AG251" s="1473"/>
      <c r="AH251" s="1015">
        <f t="shared" si="55"/>
        <v>0</v>
      </c>
      <c r="AI251" s="1473"/>
      <c r="AJ251" s="1473">
        <f ca="1">SUMIFS(Экономия_корр!AE$25:AE$43,Экономия_корр!$F$25:$F$43,$F251,Экономия_корр!$AC$25:$AC$43,"Экономия расходов с учетом ИПЦ")</f>
        <v>0</v>
      </c>
      <c r="AK251" s="1473">
        <f ca="1">SUMIFS(Экономия_корр!AF$25:AF$43,Экономия_корр!$F$25:$F$43,$F251,Экономия_корр!$AC$25:$AC$43,"Экономия расходов с учетом ИПЦ")</f>
        <v>0</v>
      </c>
      <c r="AL251" s="1473">
        <f ca="1">SUMIFS(Экономия_корр!AG$25:AG$43,Экономия_корр!$F$25:$F$43,$F251,Экономия_корр!$AC$25:$AC$43,"Экономия расходов с учетом ИПЦ")</f>
        <v>0</v>
      </c>
      <c r="AM251" s="1473">
        <f ca="1">SUMIFS(Экономия_корр!AH$25:AH$43,Экономия_корр!$F$25:$F$43,$F251,Экономия_корр!$AC$25:$AC$43,"Экономия расходов с учетом ИПЦ")</f>
        <v>0</v>
      </c>
      <c r="AN251" s="1473">
        <f ca="1">SUMIFS(Экономия_корр!AI$25:AI$43,Экономия_корр!$F$25:$F$43,$F251,Экономия_корр!$AC$25:$AC$43,"Экономия расходов с учетом ИПЦ")</f>
        <v>0</v>
      </c>
      <c r="AO251" s="1473">
        <f ca="1">SUMIFS(Экономия_корр!AJ$25:AJ$43,Экономия_корр!$F$25:$F$43,$F251,Экономия_корр!$AC$25:$AC$43,"Экономия расходов с учетом ИПЦ")</f>
        <v>0</v>
      </c>
      <c r="AP251" s="1473">
        <f ca="1">SUMIFS(Экономия_корр!AK$25:AK$43,Экономия_корр!$F$25:$F$43,$F251,Экономия_корр!$AC$25:$AC$43,"Экономия расходов с учетом ИПЦ")</f>
        <v>0</v>
      </c>
      <c r="AQ251" s="1473">
        <f ca="1">SUMIFS(Экономия_корр!AL$25:AL$43,Экономия_корр!$F$25:$F$43,$F251,Экономия_корр!$AC$25:$AC$43,"Экономия расходов с учетом ИПЦ")</f>
        <v>0</v>
      </c>
      <c r="AR251" s="1473">
        <f ca="1">SUMIFS(Экономия_корр!AM$25:AM$43,Экономия_корр!$F$25:$F$43,$F251,Экономия_корр!$AC$25:$AC$43,"Экономия расходов с учетом ИПЦ")</f>
        <v>0</v>
      </c>
      <c r="AS251" s="1473">
        <f ca="1">SUMIFS(Экономия_корр!AN$25:AN$43,Экономия_корр!$F$25:$F$43,$F251,Экономия_корр!$AC$25:$AC$43,"Экономия расходов с учетом ИПЦ")</f>
        <v>0</v>
      </c>
      <c r="AT251" s="1473">
        <f ca="1">SUMIFS(Экономия_корр!AO$25:AO$43,Экономия_корр!$F$25:$F$43,$F251,Экономия_корр!$AC$25:$AC$43,"Экономия расходов с учетом ИПЦ")</f>
        <v>0</v>
      </c>
      <c r="AU251" s="1473">
        <f ca="1">SUMIFS(Экономия_корр!AP$25:AP$43,Экономия_корр!$F$25:$F$43,$F251,Экономия_корр!$AC$25:$AC$43,"Экономия расходов с учетом ИПЦ")</f>
        <v>0</v>
      </c>
      <c r="AV251" s="1473">
        <f ca="1">SUMIFS(Экономия_корр!AQ$25:AQ$43,Экономия_корр!$F$25:$F$43,$F251,Экономия_корр!$AC$25:$AC$43,"Экономия расходов с учетом ИПЦ")</f>
        <v>0</v>
      </c>
      <c r="AW251" s="1473">
        <f ca="1">SUMIFS(Экономия_корр!AR$25:AR$43,Экономия_корр!$F$25:$F$43,$F251,Экономия_корр!$AC$25:$AC$43,"Экономия расходов с учетом ИПЦ")</f>
        <v>0</v>
      </c>
      <c r="AX251" s="1473">
        <f ca="1">SUMIFS(Экономия_корр!AS$25:AS$43,Экономия_корр!$F$25:$F$43,$F251,Экономия_корр!$AC$25:$AC$43,"Экономия расходов с учетом ИПЦ")</f>
        <v>0</v>
      </c>
      <c r="AY251" s="1473">
        <f ca="1">SUMIFS(Экономия_корр!AT$25:AT$43,Экономия_корр!$F$25:$F$43,$F251,Экономия_корр!$AC$25:$AC$43,"Экономия расходов с учетом ИПЦ")</f>
        <v>0</v>
      </c>
      <c r="AZ251" s="1473">
        <f ca="1">SUMIFS(Экономия_корр!AU$25:AU$43,Экономия_корр!$F$25:$F$43,$F251,Экономия_корр!$AC$25:$AC$43,"Экономия расходов с учетом ИПЦ")</f>
        <v>0</v>
      </c>
      <c r="BA251" s="1473">
        <f ca="1">SUMIFS(Экономия_корр!AV$25:AV$43,Экономия_корр!$F$25:$F$43,$F251,Экономия_корр!$AC$25:$AC$43,"Экономия расходов с учетом ИПЦ")</f>
        <v>0</v>
      </c>
      <c r="BB251" s="1473">
        <f ca="1">SUMIFS(Экономия_корр!AW$25:AW$43,Экономия_корр!$F$25:$F$43,$F251,Экономия_корр!$AC$25:$AC$43,"Экономия расходов с учетом ИПЦ")</f>
        <v>0</v>
      </c>
      <c r="BC251" s="1473">
        <f ca="1">SUMIFS(Экономия_корр!AX$25:AX$43,Экономия_корр!$F$25:$F$43,$F251,Экономия_корр!$AC$25:$AC$43,"Экономия расходов с учетом ИПЦ")</f>
        <v>0</v>
      </c>
      <c r="BD251" s="1015">
        <f t="shared" si="57"/>
        <v>0</v>
      </c>
      <c r="BE251" s="1015">
        <f t="shared" ca="1" si="58"/>
        <v>0</v>
      </c>
      <c r="BF251" s="1015">
        <f t="shared" ca="1" si="59"/>
        <v>0</v>
      </c>
      <c r="BG251" s="1015">
        <f t="shared" ca="1" si="60"/>
        <v>0</v>
      </c>
      <c r="BH251" s="1015">
        <f t="shared" ca="1" si="61"/>
        <v>0</v>
      </c>
      <c r="BI251" s="1015">
        <f t="shared" ca="1" si="62"/>
        <v>0</v>
      </c>
      <c r="BJ251" s="1015">
        <f t="shared" ca="1" si="63"/>
        <v>0</v>
      </c>
      <c r="BK251" s="1015">
        <f t="shared" ca="1" si="64"/>
        <v>0</v>
      </c>
      <c r="BL251" s="1015">
        <f t="shared" ca="1" si="65"/>
        <v>0</v>
      </c>
      <c r="BM251" s="1015">
        <f t="shared" ca="1" si="66"/>
        <v>0</v>
      </c>
      <c r="BN251" s="1482"/>
      <c r="BO251" s="1482"/>
      <c r="BP251" s="1482"/>
      <c r="BQ251" s="1177"/>
      <c r="BR251" s="1177"/>
      <c r="BS251" s="966" t="s">
        <v>1940</v>
      </c>
      <c r="BT251" s="966"/>
      <c r="BU251" s="966"/>
      <c r="BV251" s="881"/>
      <c r="BW251" s="881"/>
    </row>
    <row r="252" spans="1:75" s="1327" customFormat="1" ht="14.25" customHeight="1">
      <c r="A252" s="1177"/>
      <c r="B252" s="880"/>
      <c r="C252" s="26"/>
      <c r="D252" s="26"/>
      <c r="E252" s="538">
        <v>15</v>
      </c>
      <c r="F252" s="3" t="str" cm="1">
        <f t="array" aca="1" ref="F252" ca="1">OFFSET(E252,-1,1)</f>
        <v>1</v>
      </c>
      <c r="G252" s="26" t="s">
        <v>1314</v>
      </c>
      <c r="H252" s="26"/>
      <c r="I252" s="26" t="s">
        <v>1941</v>
      </c>
      <c r="J252" s="26"/>
      <c r="K252" s="77" t="s">
        <v>1941</v>
      </c>
      <c r="L252" s="882"/>
      <c r="M252" s="26"/>
      <c r="N252" s="26"/>
      <c r="O252" s="26"/>
      <c r="P252" s="26"/>
      <c r="Q252" s="26"/>
      <c r="R252" s="26"/>
      <c r="S252" s="26"/>
      <c r="T252" s="381" t="b" cm="1">
        <f t="array" aca="1" ref="T252" ca="1">T251</f>
        <v>1</v>
      </c>
      <c r="U252" s="26"/>
      <c r="V252" s="26"/>
      <c r="W252" s="26"/>
      <c r="X252" s="1787"/>
      <c r="Y252" s="1177"/>
      <c r="Z252" s="1735"/>
      <c r="AA252" s="1177"/>
      <c r="AB252" s="216" t="s">
        <v>1942</v>
      </c>
      <c r="AC252" s="676" t="s">
        <v>1314</v>
      </c>
      <c r="AD252" s="216" t="s">
        <v>766</v>
      </c>
      <c r="AE252" s="1473"/>
      <c r="AF252" s="1473"/>
      <c r="AG252" s="1473"/>
      <c r="AH252" s="1015">
        <f t="shared" si="55"/>
        <v>0</v>
      </c>
      <c r="AI252" s="1473"/>
      <c r="AJ252" s="1473"/>
      <c r="AK252" s="1473"/>
      <c r="AL252" s="1473"/>
      <c r="AM252" s="1473"/>
      <c r="AN252" s="1473"/>
      <c r="AO252" s="1473"/>
      <c r="AP252" s="1473"/>
      <c r="AQ252" s="1473"/>
      <c r="AR252" s="1473"/>
      <c r="AS252" s="1473"/>
      <c r="AT252" s="1473"/>
      <c r="AU252" s="1473"/>
      <c r="AV252" s="1473"/>
      <c r="AW252" s="1473"/>
      <c r="AX252" s="1473"/>
      <c r="AY252" s="1473"/>
      <c r="AZ252" s="1473"/>
      <c r="BA252" s="1473"/>
      <c r="BB252" s="1473"/>
      <c r="BC252" s="1473"/>
      <c r="BD252" s="1015">
        <f t="shared" si="57"/>
        <v>0</v>
      </c>
      <c r="BE252" s="1015">
        <f t="shared" si="58"/>
        <v>0</v>
      </c>
      <c r="BF252" s="1015">
        <f t="shared" si="59"/>
        <v>0</v>
      </c>
      <c r="BG252" s="1015">
        <f t="shared" si="60"/>
        <v>0</v>
      </c>
      <c r="BH252" s="1015">
        <f t="shared" si="61"/>
        <v>0</v>
      </c>
      <c r="BI252" s="1015">
        <f t="shared" si="62"/>
        <v>0</v>
      </c>
      <c r="BJ252" s="1015">
        <f t="shared" si="63"/>
        <v>0</v>
      </c>
      <c r="BK252" s="1015">
        <f t="shared" si="64"/>
        <v>0</v>
      </c>
      <c r="BL252" s="1015">
        <f t="shared" si="65"/>
        <v>0</v>
      </c>
      <c r="BM252" s="1015">
        <f t="shared" si="66"/>
        <v>0</v>
      </c>
      <c r="BN252" s="1482"/>
      <c r="BO252" s="1482"/>
      <c r="BP252" s="1482"/>
      <c r="BQ252" s="1177"/>
      <c r="BR252" s="1177"/>
      <c r="BS252" s="966" t="s">
        <v>1664</v>
      </c>
      <c r="BT252" s="966"/>
      <c r="BU252" s="966"/>
      <c r="BV252" s="881"/>
      <c r="BW252" s="881"/>
    </row>
    <row r="253" spans="1:75" s="1327" customFormat="1" ht="14.25" customHeight="1">
      <c r="A253" s="1177"/>
      <c r="B253" s="880"/>
      <c r="C253" s="26"/>
      <c r="D253" s="26"/>
      <c r="E253" s="538">
        <v>15</v>
      </c>
      <c r="F253" s="3" t="str" cm="1">
        <f t="array" aca="1" ref="F253" ca="1">OFFSET(E253,-1,1)</f>
        <v>1</v>
      </c>
      <c r="G253" s="26" t="s">
        <v>1319</v>
      </c>
      <c r="H253" s="26"/>
      <c r="I253" s="26" t="s">
        <v>1943</v>
      </c>
      <c r="J253" s="26"/>
      <c r="K253" s="77" t="s">
        <v>1943</v>
      </c>
      <c r="L253" s="882"/>
      <c r="M253" s="26"/>
      <c r="N253" s="26"/>
      <c r="O253" s="26"/>
      <c r="P253" s="26"/>
      <c r="Q253" s="26"/>
      <c r="R253" s="26"/>
      <c r="S253" s="26"/>
      <c r="T253" s="381" t="b" cm="1">
        <f t="array" aca="1" ref="T253" ca="1">T252</f>
        <v>1</v>
      </c>
      <c r="U253" s="26"/>
      <c r="V253" s="26"/>
      <c r="W253" s="26"/>
      <c r="X253" s="1787"/>
      <c r="Y253" s="1177"/>
      <c r="Z253" s="1735"/>
      <c r="AA253" s="1177"/>
      <c r="AB253" s="216" t="s">
        <v>1386</v>
      </c>
      <c r="AC253" s="676" t="s">
        <v>1319</v>
      </c>
      <c r="AD253" s="216" t="s">
        <v>766</v>
      </c>
      <c r="AE253" s="1473"/>
      <c r="AF253" s="1473"/>
      <c r="AG253" s="1473"/>
      <c r="AH253" s="1015">
        <f t="shared" si="55"/>
        <v>0</v>
      </c>
      <c r="AI253" s="1473"/>
      <c r="AJ253" s="1473"/>
      <c r="AK253" s="1473"/>
      <c r="AL253" s="1473"/>
      <c r="AM253" s="1473"/>
      <c r="AN253" s="1473"/>
      <c r="AO253" s="1473"/>
      <c r="AP253" s="1473"/>
      <c r="AQ253" s="1473"/>
      <c r="AR253" s="1473"/>
      <c r="AS253" s="1473"/>
      <c r="AT253" s="1473"/>
      <c r="AU253" s="1473"/>
      <c r="AV253" s="1473"/>
      <c r="AW253" s="1473"/>
      <c r="AX253" s="1473"/>
      <c r="AY253" s="1473"/>
      <c r="AZ253" s="1473"/>
      <c r="BA253" s="1473"/>
      <c r="BB253" s="1473"/>
      <c r="BC253" s="1473"/>
      <c r="BD253" s="1015">
        <f t="shared" si="57"/>
        <v>0</v>
      </c>
      <c r="BE253" s="1015">
        <f t="shared" si="58"/>
        <v>0</v>
      </c>
      <c r="BF253" s="1015">
        <f t="shared" si="59"/>
        <v>0</v>
      </c>
      <c r="BG253" s="1015">
        <f t="shared" si="60"/>
        <v>0</v>
      </c>
      <c r="BH253" s="1015">
        <f t="shared" si="61"/>
        <v>0</v>
      </c>
      <c r="BI253" s="1015">
        <f t="shared" si="62"/>
        <v>0</v>
      </c>
      <c r="BJ253" s="1015">
        <f t="shared" si="63"/>
        <v>0</v>
      </c>
      <c r="BK253" s="1015">
        <f t="shared" si="64"/>
        <v>0</v>
      </c>
      <c r="BL253" s="1015">
        <f t="shared" si="65"/>
        <v>0</v>
      </c>
      <c r="BM253" s="1015">
        <f t="shared" si="66"/>
        <v>0</v>
      </c>
      <c r="BN253" s="1482"/>
      <c r="BO253" s="1482"/>
      <c r="BP253" s="1482"/>
      <c r="BQ253" s="1177"/>
      <c r="BR253" s="1177"/>
      <c r="BS253" s="966" t="s">
        <v>1944</v>
      </c>
      <c r="BT253" s="966"/>
      <c r="BU253" s="966"/>
      <c r="BV253" s="881"/>
      <c r="BW253" s="881"/>
    </row>
    <row r="254" spans="1:75" s="1327" customFormat="1" ht="14.25" customHeight="1">
      <c r="A254" s="1177"/>
      <c r="B254" s="880"/>
      <c r="C254" s="26"/>
      <c r="D254" s="26"/>
      <c r="E254" s="538">
        <v>15</v>
      </c>
      <c r="F254" s="3" t="str" cm="1">
        <f t="array" aca="1" ref="F254" ca="1">OFFSET(E254,-1,1)</f>
        <v>1</v>
      </c>
      <c r="G254" s="26" t="s">
        <v>1324</v>
      </c>
      <c r="H254" s="26"/>
      <c r="I254" s="26" t="s">
        <v>1945</v>
      </c>
      <c r="J254" s="26"/>
      <c r="K254" s="77" t="s">
        <v>1945</v>
      </c>
      <c r="L254" s="882"/>
      <c r="M254" s="26"/>
      <c r="N254" s="26"/>
      <c r="O254" s="26"/>
      <c r="P254" s="26"/>
      <c r="Q254" s="26"/>
      <c r="R254" s="26"/>
      <c r="S254" s="26"/>
      <c r="T254" s="381" t="b" cm="1">
        <f t="array" aca="1" ref="T254" ca="1">T253</f>
        <v>1</v>
      </c>
      <c r="U254" s="26"/>
      <c r="V254" s="26"/>
      <c r="W254" s="26"/>
      <c r="X254" s="1787"/>
      <c r="Y254" s="1177"/>
      <c r="Z254" s="1735"/>
      <c r="AA254" s="1177"/>
      <c r="AB254" s="216" t="s">
        <v>1390</v>
      </c>
      <c r="AC254" s="676" t="s">
        <v>1324</v>
      </c>
      <c r="AD254" s="216" t="s">
        <v>766</v>
      </c>
      <c r="AE254" s="1017">
        <f>SUM(AE255,AE256)</f>
        <v>0</v>
      </c>
      <c r="AF254" s="1015">
        <f>SUM(AF255,AF256)</f>
        <v>0</v>
      </c>
      <c r="AG254" s="1015">
        <f>SUM(AG255,AG256)</f>
        <v>0</v>
      </c>
      <c r="AH254" s="1015">
        <f t="shared" si="55"/>
        <v>0</v>
      </c>
      <c r="AI254" s="1015">
        <f t="shared" ref="AI254:BC254" si="69">SUM(AI255,AI256)</f>
        <v>0</v>
      </c>
      <c r="AJ254" s="1017">
        <f t="shared" si="69"/>
        <v>0</v>
      </c>
      <c r="AK254" s="1015">
        <f t="shared" si="69"/>
        <v>0</v>
      </c>
      <c r="AL254" s="1015">
        <f t="shared" si="69"/>
        <v>0</v>
      </c>
      <c r="AM254" s="1015">
        <f t="shared" si="69"/>
        <v>0</v>
      </c>
      <c r="AN254" s="1015">
        <f t="shared" si="69"/>
        <v>0</v>
      </c>
      <c r="AO254" s="1015">
        <f t="shared" si="69"/>
        <v>0</v>
      </c>
      <c r="AP254" s="1015">
        <f t="shared" si="69"/>
        <v>0</v>
      </c>
      <c r="AQ254" s="1015">
        <f t="shared" si="69"/>
        <v>0</v>
      </c>
      <c r="AR254" s="1015">
        <f t="shared" si="69"/>
        <v>0</v>
      </c>
      <c r="AS254" s="1015">
        <f t="shared" si="69"/>
        <v>0</v>
      </c>
      <c r="AT254" s="1017">
        <f t="shared" si="69"/>
        <v>0</v>
      </c>
      <c r="AU254" s="1015">
        <f t="shared" si="69"/>
        <v>0</v>
      </c>
      <c r="AV254" s="1015">
        <f t="shared" si="69"/>
        <v>0</v>
      </c>
      <c r="AW254" s="1015">
        <f t="shared" si="69"/>
        <v>0</v>
      </c>
      <c r="AX254" s="1015">
        <f t="shared" si="69"/>
        <v>0</v>
      </c>
      <c r="AY254" s="1015">
        <f t="shared" si="69"/>
        <v>0</v>
      </c>
      <c r="AZ254" s="1015">
        <f t="shared" si="69"/>
        <v>0</v>
      </c>
      <c r="BA254" s="1015">
        <f t="shared" si="69"/>
        <v>0</v>
      </c>
      <c r="BB254" s="1015">
        <f t="shared" si="69"/>
        <v>0</v>
      </c>
      <c r="BC254" s="1015">
        <f t="shared" si="69"/>
        <v>0</v>
      </c>
      <c r="BD254" s="1015">
        <f t="shared" si="57"/>
        <v>0</v>
      </c>
      <c r="BE254" s="1015">
        <f t="shared" si="58"/>
        <v>0</v>
      </c>
      <c r="BF254" s="1015">
        <f t="shared" si="59"/>
        <v>0</v>
      </c>
      <c r="BG254" s="1015">
        <f t="shared" si="60"/>
        <v>0</v>
      </c>
      <c r="BH254" s="1015">
        <f t="shared" si="61"/>
        <v>0</v>
      </c>
      <c r="BI254" s="1015">
        <f t="shared" si="62"/>
        <v>0</v>
      </c>
      <c r="BJ254" s="1015">
        <f t="shared" si="63"/>
        <v>0</v>
      </c>
      <c r="BK254" s="1015">
        <f t="shared" si="64"/>
        <v>0</v>
      </c>
      <c r="BL254" s="1015">
        <f t="shared" si="65"/>
        <v>0</v>
      </c>
      <c r="BM254" s="1015">
        <f t="shared" si="66"/>
        <v>0</v>
      </c>
      <c r="BN254" s="1482"/>
      <c r="BO254" s="1482"/>
      <c r="BP254" s="1482"/>
      <c r="BQ254" s="1177"/>
      <c r="BR254" s="1177"/>
      <c r="BS254" s="966" t="s">
        <v>1946</v>
      </c>
      <c r="BT254" s="966"/>
      <c r="BU254" s="966"/>
      <c r="BV254" s="881"/>
      <c r="BW254" s="881"/>
    </row>
    <row r="255" spans="1:75" s="1327" customFormat="1" ht="14.25" customHeight="1">
      <c r="A255" s="1177"/>
      <c r="B255" s="880"/>
      <c r="C255" s="26"/>
      <c r="D255" s="26"/>
      <c r="E255" s="538">
        <v>15</v>
      </c>
      <c r="F255" s="3" t="str" cm="1">
        <f t="array" aca="1" ref="F255" ca="1">OFFSET(E255,-1,1)</f>
        <v>1</v>
      </c>
      <c r="G255" s="26"/>
      <c r="H255" s="26"/>
      <c r="I255" s="26" t="s">
        <v>1947</v>
      </c>
      <c r="J255" s="26"/>
      <c r="K255" s="77" t="s">
        <v>1947</v>
      </c>
      <c r="L255" s="882"/>
      <c r="M255" s="26"/>
      <c r="N255" s="26"/>
      <c r="O255" s="26"/>
      <c r="P255" s="26"/>
      <c r="Q255" s="26"/>
      <c r="R255" s="26"/>
      <c r="S255" s="26"/>
      <c r="T255" s="381" t="b" cm="1">
        <f t="array" aca="1" ref="T255" ca="1">T254</f>
        <v>1</v>
      </c>
      <c r="U255" s="26"/>
      <c r="V255" s="26"/>
      <c r="W255" s="26"/>
      <c r="X255" s="1787"/>
      <c r="Y255" s="1177"/>
      <c r="Z255" s="1735"/>
      <c r="AA255" s="1177"/>
      <c r="AB255" s="216" t="s">
        <v>1948</v>
      </c>
      <c r="AC255" s="679" t="s">
        <v>1949</v>
      </c>
      <c r="AD255" s="216" t="s">
        <v>766</v>
      </c>
      <c r="AE255" s="1473"/>
      <c r="AF255" s="1473"/>
      <c r="AG255" s="1473"/>
      <c r="AH255" s="1015">
        <f t="shared" si="55"/>
        <v>0</v>
      </c>
      <c r="AI255" s="1473"/>
      <c r="AJ255" s="1473"/>
      <c r="AK255" s="1473"/>
      <c r="AL255" s="1473"/>
      <c r="AM255" s="1473"/>
      <c r="AN255" s="1473"/>
      <c r="AO255" s="1473"/>
      <c r="AP255" s="1473"/>
      <c r="AQ255" s="1473"/>
      <c r="AR255" s="1473"/>
      <c r="AS255" s="1473"/>
      <c r="AT255" s="1473"/>
      <c r="AU255" s="1473"/>
      <c r="AV255" s="1473"/>
      <c r="AW255" s="1473"/>
      <c r="AX255" s="1473"/>
      <c r="AY255" s="1473"/>
      <c r="AZ255" s="1473"/>
      <c r="BA255" s="1473"/>
      <c r="BB255" s="1473"/>
      <c r="BC255" s="1473"/>
      <c r="BD255" s="1015">
        <f t="shared" si="57"/>
        <v>0</v>
      </c>
      <c r="BE255" s="1015">
        <f t="shared" si="58"/>
        <v>0</v>
      </c>
      <c r="BF255" s="1015">
        <f t="shared" si="59"/>
        <v>0</v>
      </c>
      <c r="BG255" s="1015">
        <f t="shared" si="60"/>
        <v>0</v>
      </c>
      <c r="BH255" s="1015">
        <f t="shared" si="61"/>
        <v>0</v>
      </c>
      <c r="BI255" s="1015">
        <f t="shared" si="62"/>
        <v>0</v>
      </c>
      <c r="BJ255" s="1015">
        <f t="shared" si="63"/>
        <v>0</v>
      </c>
      <c r="BK255" s="1015">
        <f t="shared" si="64"/>
        <v>0</v>
      </c>
      <c r="BL255" s="1015">
        <f t="shared" si="65"/>
        <v>0</v>
      </c>
      <c r="BM255" s="1015">
        <f t="shared" si="66"/>
        <v>0</v>
      </c>
      <c r="BN255" s="1482"/>
      <c r="BO255" s="1482"/>
      <c r="BP255" s="1482"/>
      <c r="BQ255" s="1177"/>
      <c r="BR255" s="1177"/>
      <c r="BS255" s="966" t="s">
        <v>1117</v>
      </c>
      <c r="BT255" s="966"/>
      <c r="BU255" s="966"/>
      <c r="BV255" s="881"/>
      <c r="BW255" s="881"/>
    </row>
    <row r="256" spans="1:75" s="1327" customFormat="1" ht="14.25" customHeight="1">
      <c r="A256" s="1177"/>
      <c r="B256" s="880"/>
      <c r="C256" s="26"/>
      <c r="D256" s="26"/>
      <c r="E256" s="538">
        <v>15</v>
      </c>
      <c r="F256" s="3" t="str" cm="1">
        <f t="array" aca="1" ref="F256" ca="1">OFFSET(E256,-1,1)</f>
        <v>1</v>
      </c>
      <c r="G256" s="26"/>
      <c r="H256" s="26"/>
      <c r="I256" s="26" t="s">
        <v>1950</v>
      </c>
      <c r="J256" s="26"/>
      <c r="K256" s="77" t="s">
        <v>1950</v>
      </c>
      <c r="L256" s="882" t="s">
        <v>833</v>
      </c>
      <c r="M256" s="26"/>
      <c r="N256" s="26"/>
      <c r="O256" s="26"/>
      <c r="P256" s="26"/>
      <c r="Q256" s="26"/>
      <c r="R256" s="26"/>
      <c r="S256" s="26"/>
      <c r="T256" s="381" t="b" cm="1">
        <f t="array" aca="1" ref="T256" ca="1">T255</f>
        <v>1</v>
      </c>
      <c r="U256" s="26"/>
      <c r="V256" s="26"/>
      <c r="W256" s="26"/>
      <c r="X256" s="1787"/>
      <c r="Y256" s="1177"/>
      <c r="Z256" s="1735"/>
      <c r="AA256" s="1177"/>
      <c r="AB256" s="216" t="s">
        <v>1951</v>
      </c>
      <c r="AC256" s="679" t="s">
        <v>1952</v>
      </c>
      <c r="AD256" s="216" t="s">
        <v>766</v>
      </c>
      <c r="AE256" s="1473"/>
      <c r="AF256" s="1473"/>
      <c r="AG256" s="1473"/>
      <c r="AH256" s="1015">
        <f t="shared" si="55"/>
        <v>0</v>
      </c>
      <c r="AI256" s="1473"/>
      <c r="AJ256" s="1473"/>
      <c r="AK256" s="1473"/>
      <c r="AL256" s="1473"/>
      <c r="AM256" s="1473"/>
      <c r="AN256" s="1473"/>
      <c r="AO256" s="1473"/>
      <c r="AP256" s="1473"/>
      <c r="AQ256" s="1473"/>
      <c r="AR256" s="1473"/>
      <c r="AS256" s="1473"/>
      <c r="AT256" s="1473"/>
      <c r="AU256" s="1473"/>
      <c r="AV256" s="1473"/>
      <c r="AW256" s="1473"/>
      <c r="AX256" s="1473"/>
      <c r="AY256" s="1473"/>
      <c r="AZ256" s="1473"/>
      <c r="BA256" s="1473"/>
      <c r="BB256" s="1473"/>
      <c r="BC256" s="1473"/>
      <c r="BD256" s="1015">
        <f t="shared" si="57"/>
        <v>0</v>
      </c>
      <c r="BE256" s="1015">
        <f t="shared" si="58"/>
        <v>0</v>
      </c>
      <c r="BF256" s="1015">
        <f t="shared" si="59"/>
        <v>0</v>
      </c>
      <c r="BG256" s="1015">
        <f t="shared" si="60"/>
        <v>0</v>
      </c>
      <c r="BH256" s="1015">
        <f t="shared" si="61"/>
        <v>0</v>
      </c>
      <c r="BI256" s="1015">
        <f t="shared" si="62"/>
        <v>0</v>
      </c>
      <c r="BJ256" s="1015">
        <f t="shared" si="63"/>
        <v>0</v>
      </c>
      <c r="BK256" s="1015">
        <f t="shared" si="64"/>
        <v>0</v>
      </c>
      <c r="BL256" s="1015">
        <f t="shared" si="65"/>
        <v>0</v>
      </c>
      <c r="BM256" s="1015">
        <f t="shared" si="66"/>
        <v>0</v>
      </c>
      <c r="BN256" s="1482"/>
      <c r="BO256" s="1482"/>
      <c r="BP256" s="1482"/>
      <c r="BQ256" s="1177"/>
      <c r="BR256" s="1177"/>
      <c r="BS256" s="966" t="s">
        <v>1953</v>
      </c>
      <c r="BT256" s="966"/>
      <c r="BU256" s="966"/>
      <c r="BV256" s="881"/>
      <c r="BW256" s="881"/>
    </row>
    <row r="257" spans="1:75" s="1327" customFormat="1" ht="21.75" customHeight="1">
      <c r="A257" s="1177"/>
      <c r="B257" s="880"/>
      <c r="C257" s="26"/>
      <c r="D257" s="26"/>
      <c r="E257" s="538">
        <v>22.5</v>
      </c>
      <c r="F257" s="3" t="str" cm="1">
        <f t="array" aca="1" ref="F257" ca="1">OFFSET(E257,-1,1)</f>
        <v>1</v>
      </c>
      <c r="G257" s="26" t="s">
        <v>1329</v>
      </c>
      <c r="H257" s="26"/>
      <c r="I257" s="26" t="s">
        <v>1954</v>
      </c>
      <c r="J257" s="26"/>
      <c r="K257" s="77" t="s">
        <v>1954</v>
      </c>
      <c r="L257" s="882"/>
      <c r="M257" s="26"/>
      <c r="N257" s="26"/>
      <c r="O257" s="26"/>
      <c r="P257" s="26"/>
      <c r="Q257" s="26"/>
      <c r="R257" s="26"/>
      <c r="S257" s="26"/>
      <c r="T257" s="381" t="b" cm="1">
        <f t="array" aca="1" ref="T257" ca="1">T256</f>
        <v>1</v>
      </c>
      <c r="U257" s="26"/>
      <c r="V257" s="26"/>
      <c r="W257" s="26"/>
      <c r="X257" s="1787"/>
      <c r="Y257" s="1177"/>
      <c r="Z257" s="1735"/>
      <c r="AA257" s="1177"/>
      <c r="AB257" s="216" t="s">
        <v>1393</v>
      </c>
      <c r="AC257" s="676" t="s">
        <v>1955</v>
      </c>
      <c r="AD257" s="216" t="s">
        <v>766</v>
      </c>
      <c r="AE257" s="1473"/>
      <c r="AF257" s="1473"/>
      <c r="AG257" s="1473"/>
      <c r="AH257" s="1015">
        <f t="shared" si="55"/>
        <v>0</v>
      </c>
      <c r="AI257" s="1473"/>
      <c r="AJ257" s="1473"/>
      <c r="AK257" s="1473"/>
      <c r="AL257" s="1473"/>
      <c r="AM257" s="1473"/>
      <c r="AN257" s="1473"/>
      <c r="AO257" s="1473"/>
      <c r="AP257" s="1473"/>
      <c r="AQ257" s="1473"/>
      <c r="AR257" s="1473"/>
      <c r="AS257" s="1473"/>
      <c r="AT257" s="1473"/>
      <c r="AU257" s="1473"/>
      <c r="AV257" s="1473"/>
      <c r="AW257" s="1473"/>
      <c r="AX257" s="1473"/>
      <c r="AY257" s="1473"/>
      <c r="AZ257" s="1473"/>
      <c r="BA257" s="1473"/>
      <c r="BB257" s="1473"/>
      <c r="BC257" s="1473"/>
      <c r="BD257" s="1015">
        <f t="shared" si="57"/>
        <v>0</v>
      </c>
      <c r="BE257" s="1015">
        <f t="shared" si="58"/>
        <v>0</v>
      </c>
      <c r="BF257" s="1015">
        <f t="shared" si="59"/>
        <v>0</v>
      </c>
      <c r="BG257" s="1015">
        <f t="shared" si="60"/>
        <v>0</v>
      </c>
      <c r="BH257" s="1015">
        <f t="shared" si="61"/>
        <v>0</v>
      </c>
      <c r="BI257" s="1015">
        <f t="shared" si="62"/>
        <v>0</v>
      </c>
      <c r="BJ257" s="1015">
        <f t="shared" si="63"/>
        <v>0</v>
      </c>
      <c r="BK257" s="1015">
        <f t="shared" si="64"/>
        <v>0</v>
      </c>
      <c r="BL257" s="1015">
        <f t="shared" si="65"/>
        <v>0</v>
      </c>
      <c r="BM257" s="1015">
        <f t="shared" si="66"/>
        <v>0</v>
      </c>
      <c r="BN257" s="1482"/>
      <c r="BO257" s="1482"/>
      <c r="BP257" s="1482"/>
      <c r="BQ257" s="1177"/>
      <c r="BR257" s="1177"/>
      <c r="BS257" s="966" t="s">
        <v>1956</v>
      </c>
      <c r="BT257" s="966"/>
      <c r="BU257" s="966"/>
      <c r="BV257" s="881"/>
      <c r="BW257" s="881"/>
    </row>
    <row r="258" spans="1:75" s="1492" customFormat="1" ht="20.25" customHeight="1">
      <c r="A258" s="617"/>
      <c r="B258" s="352"/>
      <c r="C258" s="28"/>
      <c r="D258" s="28"/>
      <c r="E258" s="740">
        <v>21</v>
      </c>
      <c r="F258" s="3" t="str" cm="1">
        <f t="array" aca="1" ref="F258" ca="1">OFFSET(E258,-1,1)</f>
        <v>1</v>
      </c>
      <c r="G258" s="26" t="s">
        <v>1957</v>
      </c>
      <c r="H258" s="26"/>
      <c r="I258" s="26" t="s">
        <v>325</v>
      </c>
      <c r="J258" s="28"/>
      <c r="K258" s="77" t="s">
        <v>325</v>
      </c>
      <c r="L258" s="887" t="s">
        <v>1186</v>
      </c>
      <c r="M258" s="28"/>
      <c r="N258" s="28"/>
      <c r="O258" s="28"/>
      <c r="P258" s="28"/>
      <c r="Q258" s="28"/>
      <c r="R258" s="28"/>
      <c r="S258" s="28"/>
      <c r="T258" s="381" t="b" cm="1">
        <f t="array" aca="1" ref="T258" ca="1">T257</f>
        <v>1</v>
      </c>
      <c r="U258" s="28"/>
      <c r="V258" s="28"/>
      <c r="W258" s="28"/>
      <c r="X258" s="1787"/>
      <c r="Y258" s="617"/>
      <c r="Z258" s="1735"/>
      <c r="AA258" s="617"/>
      <c r="AB258" s="129" t="s">
        <v>321</v>
      </c>
      <c r="AC258" s="130" t="s">
        <v>1958</v>
      </c>
      <c r="AD258" s="129" t="s">
        <v>766</v>
      </c>
      <c r="AE258" s="692">
        <f ca="1">SUMIFS(ЭЭ!AE$25:AE$67,ЭЭ!$F$25:$F$67,$F258,ЭЭ!$AC$25:$AC$67,"Всего по тарифу")</f>
        <v>0</v>
      </c>
      <c r="AF258" s="692">
        <f ca="1">SUMIFS(ЭЭ!AF$25:AF$67,ЭЭ!$F$25:$F$67,$F258,ЭЭ!$AC$25:$AC$67,"Всего по тарифу")</f>
        <v>0</v>
      </c>
      <c r="AG258" s="692">
        <f ca="1">SUMIFS(ЭЭ!AG$25:AG$67,ЭЭ!$F$25:$F$67,$F258,ЭЭ!$AC$25:$AC$67,"Всего по тарифу")</f>
        <v>0</v>
      </c>
      <c r="AH258" s="692">
        <f t="shared" ca="1" si="55"/>
        <v>0</v>
      </c>
      <c r="AI258" s="692">
        <f ca="1">SUMIFS(ЭЭ!AH$25:AH$67,ЭЭ!$F$25:$F$67,$F258,ЭЭ!$AC$25:$AC$67,"Всего по тарифу")</f>
        <v>0</v>
      </c>
      <c r="AJ258" s="692">
        <f ca="1">SUMIFS(ЭЭ!AI$25:AI$67,ЭЭ!$F$25:$F$67,$F258,ЭЭ!$AC$25:$AC$67,"Всего по тарифу")</f>
        <v>0</v>
      </c>
      <c r="AK258" s="692">
        <f ca="1">SUMIFS(ЭЭ!AJ$25:AJ$67,ЭЭ!$F$25:$F$67,$F258,ЭЭ!$AC$25:$AC$67,"Всего по тарифу")</f>
        <v>0</v>
      </c>
      <c r="AL258" s="692">
        <f ca="1">SUMIFS(ЭЭ!AK$25:AK$67,ЭЭ!$F$25:$F$67,$F258,ЭЭ!$AC$25:$AC$67,"Всего по тарифу")</f>
        <v>0</v>
      </c>
      <c r="AM258" s="692">
        <f ca="1">SUMIFS(ЭЭ!AL$25:AL$67,ЭЭ!$F$25:$F$67,$F258,ЭЭ!$AC$25:$AC$67,"Всего по тарифу")</f>
        <v>0</v>
      </c>
      <c r="AN258" s="692">
        <f ca="1">SUMIFS(ЭЭ!AM$25:AM$67,ЭЭ!$F$25:$F$67,$F258,ЭЭ!$AC$25:$AC$67,"Всего по тарифу")</f>
        <v>0</v>
      </c>
      <c r="AO258" s="692">
        <f ca="1">SUMIFS(ЭЭ!AN$25:AN$67,ЭЭ!$F$25:$F$67,$F258,ЭЭ!$AC$25:$AC$67,"Всего по тарифу")</f>
        <v>0</v>
      </c>
      <c r="AP258" s="692">
        <f ca="1">SUMIFS(ЭЭ!AO$25:AO$67,ЭЭ!$F$25:$F$67,$F258,ЭЭ!$AC$25:$AC$67,"Всего по тарифу")</f>
        <v>0</v>
      </c>
      <c r="AQ258" s="692">
        <f ca="1">SUMIFS(ЭЭ!AP$25:AP$67,ЭЭ!$F$25:$F$67,$F258,ЭЭ!$AC$25:$AC$67,"Всего по тарифу")</f>
        <v>0</v>
      </c>
      <c r="AR258" s="692">
        <f ca="1">SUMIFS(ЭЭ!AQ$25:AQ$67,ЭЭ!$F$25:$F$67,$F258,ЭЭ!$AC$25:$AC$67,"Всего по тарифу")</f>
        <v>0</v>
      </c>
      <c r="AS258" s="692">
        <f ca="1">SUMIFS(ЭЭ!AR$25:AR$67,ЭЭ!$F$25:$F$67,$F258,ЭЭ!$AC$25:$AC$67,"Всего по тарифу")</f>
        <v>0</v>
      </c>
      <c r="AT258" s="692">
        <f ca="1">SUMIFS(ЭЭ!AS$25:AS$67,ЭЭ!$F$25:$F$67,$F258,ЭЭ!$AC$25:$AC$67,"Всего по тарифу")</f>
        <v>0</v>
      </c>
      <c r="AU258" s="692">
        <f ca="1">SUMIFS(ЭЭ!AT$25:AT$67,ЭЭ!$F$25:$F$67,$F258,ЭЭ!$AC$25:$AC$67,"Всего по тарифу")</f>
        <v>0</v>
      </c>
      <c r="AV258" s="692">
        <f ca="1">SUMIFS(ЭЭ!AU$25:AU$67,ЭЭ!$F$25:$F$67,$F258,ЭЭ!$AC$25:$AC$67,"Всего по тарифу")</f>
        <v>0</v>
      </c>
      <c r="AW258" s="692">
        <f ca="1">SUMIFS(ЭЭ!AV$25:AV$67,ЭЭ!$F$25:$F$67,$F258,ЭЭ!$AC$25:$AC$67,"Всего по тарифу")</f>
        <v>0</v>
      </c>
      <c r="AX258" s="692">
        <f ca="1">SUMIFS(ЭЭ!AW$25:AW$67,ЭЭ!$F$25:$F$67,$F258,ЭЭ!$AC$25:$AC$67,"Всего по тарифу")</f>
        <v>0</v>
      </c>
      <c r="AY258" s="692">
        <f ca="1">SUMIFS(ЭЭ!AX$25:AX$67,ЭЭ!$F$25:$F$67,$F258,ЭЭ!$AC$25:$AC$67,"Всего по тарифу")</f>
        <v>0</v>
      </c>
      <c r="AZ258" s="692">
        <f ca="1">SUMIFS(ЭЭ!AY$25:AY$67,ЭЭ!$F$25:$F$67,$F258,ЭЭ!$AC$25:$AC$67,"Всего по тарифу")</f>
        <v>0</v>
      </c>
      <c r="BA258" s="692">
        <f ca="1">SUMIFS(ЭЭ!AZ$25:AZ$67,ЭЭ!$F$25:$F$67,$F258,ЭЭ!$AC$25:$AC$67,"Всего по тарифу")</f>
        <v>0</v>
      </c>
      <c r="BB258" s="692">
        <f ca="1">SUMIFS(ЭЭ!BA$25:BA$67,ЭЭ!$F$25:$F$67,$F258,ЭЭ!$AC$25:$AC$67,"Всего по тарифу")</f>
        <v>0</v>
      </c>
      <c r="BC258" s="692">
        <f ca="1">SUMIFS(ЭЭ!BB$25:BB$67,ЭЭ!$F$25:$F$67,$F258,ЭЭ!$AC$25:$AC$67,"Всего по тарифу")</f>
        <v>0</v>
      </c>
      <c r="BD258" s="692">
        <f t="shared" ca="1" si="57"/>
        <v>0</v>
      </c>
      <c r="BE258" s="692">
        <f t="shared" ca="1" si="58"/>
        <v>0</v>
      </c>
      <c r="BF258" s="692">
        <f t="shared" ca="1" si="59"/>
        <v>0</v>
      </c>
      <c r="BG258" s="692">
        <f t="shared" ca="1" si="60"/>
        <v>0</v>
      </c>
      <c r="BH258" s="692">
        <f t="shared" ca="1" si="61"/>
        <v>0</v>
      </c>
      <c r="BI258" s="692">
        <f t="shared" ca="1" si="62"/>
        <v>0</v>
      </c>
      <c r="BJ258" s="692">
        <f t="shared" ca="1" si="63"/>
        <v>0</v>
      </c>
      <c r="BK258" s="692">
        <f t="shared" ca="1" si="64"/>
        <v>0</v>
      </c>
      <c r="BL258" s="692">
        <f t="shared" ca="1" si="65"/>
        <v>0</v>
      </c>
      <c r="BM258" s="692">
        <f t="shared" ca="1" si="66"/>
        <v>0</v>
      </c>
      <c r="BN258" s="1482"/>
      <c r="BO258" s="1491" t="str">
        <f ca="1">IF(IFERROR(INDEX(ЭЭ!$K$26:$L$67,MATCH($F258&amp;"komm",ЭЭ!$K$26:$K$67,0),2),"")=0,"",IFERROR(INDEX(ЭЭ!$K$26:$L$67,MATCH($F258&amp;"komm",ЭЭ!$K$26:$K$67,0),2),""))</f>
        <v/>
      </c>
      <c r="BP258" s="1482"/>
      <c r="BQ258" s="617"/>
      <c r="BR258" s="617"/>
      <c r="BS258" s="972" t="s">
        <v>1558</v>
      </c>
      <c r="BT258" s="972"/>
      <c r="BU258" s="972"/>
      <c r="BV258" s="624"/>
      <c r="BW258" s="624"/>
    </row>
    <row r="259" spans="1:75" s="1493" customFormat="1" ht="21.75" hidden="1" customHeight="1">
      <c r="A259" s="617"/>
      <c r="B259" s="81" t="b">
        <f>method_reg="Метод индексации"</f>
        <v>0</v>
      </c>
      <c r="C259" s="28"/>
      <c r="D259" s="28"/>
      <c r="E259" s="740">
        <v>22.5</v>
      </c>
      <c r="F259" s="3" t="str" cm="1">
        <f t="array" aca="1" ref="F259" ca="1">OFFSET(E259,-1,1)</f>
        <v>1</v>
      </c>
      <c r="G259" s="26" t="s">
        <v>1351</v>
      </c>
      <c r="H259" s="26"/>
      <c r="I259" s="26" t="s">
        <v>327</v>
      </c>
      <c r="J259" s="28"/>
      <c r="K259" s="77"/>
      <c r="L259" s="887" t="s">
        <v>326</v>
      </c>
      <c r="M259" s="28"/>
      <c r="N259" s="28"/>
      <c r="O259" s="28"/>
      <c r="P259" s="28"/>
      <c r="Q259" s="28"/>
      <c r="R259" s="28"/>
      <c r="S259" s="28"/>
      <c r="T259" s="381" t="b" cm="1">
        <f t="array" aca="1" ref="T259" ca="1">T258</f>
        <v>1</v>
      </c>
      <c r="U259" s="28"/>
      <c r="V259" s="28"/>
      <c r="W259" s="28"/>
      <c r="X259" s="1787"/>
      <c r="Y259" s="617"/>
      <c r="Z259" s="1735"/>
      <c r="AA259" s="617"/>
      <c r="AB259" s="129" t="s">
        <v>523</v>
      </c>
      <c r="AC259" s="130" t="s">
        <v>1959</v>
      </c>
      <c r="AD259" s="129" t="s">
        <v>766</v>
      </c>
      <c r="AE259" s="692">
        <f ca="1">SUMIFS(Амортизация!AE$25:AE$125,Амортизация!$F$25:$F$125,$F259,Амортизация!$AC$25:$AC$125,"Сумма амортизационных отчислений")</f>
        <v>0</v>
      </c>
      <c r="AF259" s="692">
        <f ca="1">SUMIFS(Амортизация!AF$25:AF$125,Амортизация!$F$25:$F$125,$F259,Амортизация!$AC$25:$AC$125,"Сумма амортизационных отчислений")</f>
        <v>0</v>
      </c>
      <c r="AG259" s="692">
        <f ca="1">SUMIFS(Амортизация!AG$25:AG$125,Амортизация!$F$25:$F$125,$F259,Амортизация!$AC$25:$AC$125,"Сумма амортизационных отчислений")</f>
        <v>0</v>
      </c>
      <c r="AH259" s="692">
        <f t="shared" ca="1" si="55"/>
        <v>0</v>
      </c>
      <c r="AI259" s="692">
        <f ca="1">SUMIFS(Амортизация!AH$25:AH$125,Амортизация!$F$25:$F$125,$F259,Амортизация!$AC$25:$AC$125,"Сумма амортизационных отчислений")</f>
        <v>0</v>
      </c>
      <c r="AJ259" s="692">
        <f ca="1">SUMIFS(Амортизация!AI$25:AI$125,Амортизация!$F$25:$F$125,$F259,Амортизация!$AC$25:$AC$125,"Сумма амортизационных отчислений")</f>
        <v>0</v>
      </c>
      <c r="AK259" s="692">
        <f ca="1">SUMIFS(Амортизация!AJ$25:AJ$125,Амортизация!$F$25:$F$125,$F259,Амортизация!$AC$25:$AC$125,"Сумма амортизационных отчислений")</f>
        <v>0</v>
      </c>
      <c r="AL259" s="692">
        <f ca="1">SUMIFS(Амортизация!AK$25:AK$125,Амортизация!$F$25:$F$125,$F259,Амортизация!$AC$25:$AC$125,"Сумма амортизационных отчислений")</f>
        <v>0</v>
      </c>
      <c r="AM259" s="692">
        <f ca="1">SUMIFS(Амортизация!AL$25:AL$125,Амортизация!$F$25:$F$125,$F259,Амортизация!$AC$25:$AC$125,"Сумма амортизационных отчислений")</f>
        <v>0</v>
      </c>
      <c r="AN259" s="692">
        <f ca="1">SUMIFS(Амортизация!AM$25:AM$125,Амортизация!$F$25:$F$125,$F259,Амортизация!$AC$25:$AC$125,"Сумма амортизационных отчислений")</f>
        <v>0</v>
      </c>
      <c r="AO259" s="692">
        <f ca="1">SUMIFS(Амортизация!AN$25:AN$125,Амортизация!$F$25:$F$125,$F259,Амортизация!$AC$25:$AC$125,"Сумма амортизационных отчислений")</f>
        <v>0</v>
      </c>
      <c r="AP259" s="692">
        <f ca="1">SUMIFS(Амортизация!AO$25:AO$125,Амортизация!$F$25:$F$125,$F259,Амортизация!$AC$25:$AC$125,"Сумма амортизационных отчислений")</f>
        <v>0</v>
      </c>
      <c r="AQ259" s="692">
        <f ca="1">SUMIFS(Амортизация!AP$25:AP$125,Амортизация!$F$25:$F$125,$F259,Амортизация!$AC$25:$AC$125,"Сумма амортизационных отчислений")</f>
        <v>0</v>
      </c>
      <c r="AR259" s="692">
        <f ca="1">SUMIFS(Амортизация!AQ$25:AQ$125,Амортизация!$F$25:$F$125,$F259,Амортизация!$AC$25:$AC$125,"Сумма амортизационных отчислений")</f>
        <v>0</v>
      </c>
      <c r="AS259" s="692">
        <f ca="1">SUMIFS(Амортизация!AR$25:AR$125,Амортизация!$F$25:$F$125,$F259,Амортизация!$AC$25:$AC$125,"Сумма амортизационных отчислений")</f>
        <v>0</v>
      </c>
      <c r="AT259" s="692">
        <f ca="1">SUMIFS(Амортизация!AS$25:AS$125,Амортизация!$F$25:$F$125,$F259,Амортизация!$AC$25:$AC$125,"Сумма амортизационных отчислений")</f>
        <v>0</v>
      </c>
      <c r="AU259" s="692">
        <f ca="1">SUMIFS(Амортизация!AT$25:AT$125,Амортизация!$F$25:$F$125,$F259,Амортизация!$AC$25:$AC$125,"Сумма амортизационных отчислений")</f>
        <v>0</v>
      </c>
      <c r="AV259" s="692">
        <f ca="1">SUMIFS(Амортизация!AU$25:AU$125,Амортизация!$F$25:$F$125,$F259,Амортизация!$AC$25:$AC$125,"Сумма амортизационных отчислений")</f>
        <v>0</v>
      </c>
      <c r="AW259" s="692">
        <f ca="1">SUMIFS(Амортизация!AV$25:AV$125,Амортизация!$F$25:$F$125,$F259,Амортизация!$AC$25:$AC$125,"Сумма амортизационных отчислений")</f>
        <v>0</v>
      </c>
      <c r="AX259" s="692">
        <f ca="1">SUMIFS(Амортизация!AW$25:AW$125,Амортизация!$F$25:$F$125,$F259,Амортизация!$AC$25:$AC$125,"Сумма амортизационных отчислений")</f>
        <v>0</v>
      </c>
      <c r="AY259" s="692">
        <f ca="1">SUMIFS(Амортизация!AX$25:AX$125,Амортизация!$F$25:$F$125,$F259,Амортизация!$AC$25:$AC$125,"Сумма амортизационных отчислений")</f>
        <v>0</v>
      </c>
      <c r="AZ259" s="692">
        <f ca="1">SUMIFS(Амортизация!AY$25:AY$125,Амортизация!$F$25:$F$125,$F259,Амортизация!$AC$25:$AC$125,"Сумма амортизационных отчислений")</f>
        <v>0</v>
      </c>
      <c r="BA259" s="692">
        <f ca="1">SUMIFS(Амортизация!AZ$25:AZ$125,Амортизация!$F$25:$F$125,$F259,Амортизация!$AC$25:$AC$125,"Сумма амортизационных отчислений")</f>
        <v>0</v>
      </c>
      <c r="BB259" s="692">
        <f ca="1">SUMIFS(Амортизация!BA$25:BA$125,Амортизация!$F$25:$F$125,$F259,Амортизация!$AC$25:$AC$125,"Сумма амортизационных отчислений")</f>
        <v>0</v>
      </c>
      <c r="BC259" s="692">
        <f ca="1">SUMIFS(Амортизация!BB$25:BB$125,Амортизация!$F$25:$F$125,$F259,Амортизация!$AC$25:$AC$125,"Сумма амортизационных отчислений")</f>
        <v>0</v>
      </c>
      <c r="BD259" s="692">
        <f t="shared" ca="1" si="57"/>
        <v>0</v>
      </c>
      <c r="BE259" s="692">
        <f t="shared" ca="1" si="58"/>
        <v>0</v>
      </c>
      <c r="BF259" s="692">
        <f t="shared" ca="1" si="59"/>
        <v>0</v>
      </c>
      <c r="BG259" s="692">
        <f t="shared" ca="1" si="60"/>
        <v>0</v>
      </c>
      <c r="BH259" s="692">
        <f t="shared" ca="1" si="61"/>
        <v>0</v>
      </c>
      <c r="BI259" s="692">
        <f t="shared" ca="1" si="62"/>
        <v>0</v>
      </c>
      <c r="BJ259" s="692">
        <f t="shared" ca="1" si="63"/>
        <v>0</v>
      </c>
      <c r="BK259" s="692">
        <f t="shared" ca="1" si="64"/>
        <v>0</v>
      </c>
      <c r="BL259" s="692">
        <f t="shared" ca="1" si="65"/>
        <v>0</v>
      </c>
      <c r="BM259" s="692">
        <f t="shared" ca="1" si="66"/>
        <v>0</v>
      </c>
      <c r="BN259" s="1138"/>
      <c r="BO259" s="1142" t="str">
        <f ca="1">IF(IFERROR(INDEX(Амортизация!$K$26:$L$125,MATCH($F259&amp;"komm",Амортизация!$K$26:$K$125,0),2),"")=0,"",IFERROR(INDEX(Амортизация!$K$26:$L$125,MATCH($F259&amp;"komm",Амортизация!$K$26:$K$125,0),2),""))</f>
        <v/>
      </c>
      <c r="BP259" s="1138"/>
      <c r="BQ259" s="617"/>
      <c r="BR259" s="617"/>
      <c r="BS259" s="972" t="s">
        <v>1096</v>
      </c>
      <c r="BT259" s="972"/>
      <c r="BU259" s="972"/>
      <c r="BV259" s="624"/>
      <c r="BW259" s="624"/>
    </row>
    <row r="260" spans="1:75" s="1327" customFormat="1" ht="14.25" hidden="1" customHeight="1">
      <c r="A260" s="1177"/>
      <c r="B260" s="349" t="b" cm="1">
        <f t="array" ref="B260">B259</f>
        <v>0</v>
      </c>
      <c r="C260" s="26"/>
      <c r="D260" s="26"/>
      <c r="E260" s="538">
        <v>15</v>
      </c>
      <c r="F260" s="3" t="str" cm="1">
        <f t="array" aca="1" ref="F260" ca="1">OFFSET(E260,-1,1)</f>
        <v>1</v>
      </c>
      <c r="G260" s="26"/>
      <c r="H260" s="26"/>
      <c r="I260" s="26" t="s">
        <v>501</v>
      </c>
      <c r="J260" s="26"/>
      <c r="K260" s="1177"/>
      <c r="L260" s="882" t="s">
        <v>515</v>
      </c>
      <c r="M260" s="26"/>
      <c r="N260" s="26"/>
      <c r="O260" s="26"/>
      <c r="P260" s="26"/>
      <c r="Q260" s="26"/>
      <c r="R260" s="26"/>
      <c r="S260" s="26"/>
      <c r="T260" s="381" t="b" cm="1">
        <f t="array" aca="1" ref="T260" ca="1">T259</f>
        <v>1</v>
      </c>
      <c r="U260" s="26"/>
      <c r="V260" s="26"/>
      <c r="W260" s="26"/>
      <c r="X260" s="1787"/>
      <c r="Y260" s="1177"/>
      <c r="Z260" s="1735"/>
      <c r="AA260" s="1177"/>
      <c r="AB260" s="216" t="s">
        <v>639</v>
      </c>
      <c r="AC260" s="676" t="s">
        <v>1651</v>
      </c>
      <c r="AD260" s="216" t="s">
        <v>766</v>
      </c>
      <c r="AE260" s="1141">
        <f ca="1">SUMIFS('ИП + источники'!AF$27:AF$87,'ИП + источники'!$F$27:$F$87,$F260,'ИП + источники'!$AC$27:$AC$87,"Амортизационные отчисления")+SUMIFS('ИП + источники'!AF$27:AF$87,'ИП + источники'!$F$27:$F$87,$F260,'ИП + источники'!$AC$27:$AC$87,"погашение займов и кредитов из амортизации")</f>
        <v>0</v>
      </c>
      <c r="AF260" s="1141">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0</v>
      </c>
      <c r="AG260" s="1141">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0</v>
      </c>
      <c r="AH260" s="1015">
        <f t="shared" ca="1" si="55"/>
        <v>0</v>
      </c>
      <c r="AI260" s="1141">
        <f ca="1">SUMIFS('ИП + источники'!AJ$27:AJ$87,'ИП + источники'!$F$27:$F$87,$F260,'ИП + источники'!$AC$27:$AC$87,"Амортизационные отчисления")+SUMIFS('ИП + источники'!AJ$27:AJ$87,'ИП + источники'!$F$27:$F$87,$F260,'ИП + источники'!$AC$27:$AC$87,"погашение займов и кредитов из амортизации")</f>
        <v>0</v>
      </c>
      <c r="AJ260" s="1473">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141">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141">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0</v>
      </c>
      <c r="AM260" s="1141">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0</v>
      </c>
      <c r="AN260" s="1141">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0</v>
      </c>
      <c r="AO260" s="1141">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0</v>
      </c>
      <c r="AP260" s="1141">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0</v>
      </c>
      <c r="AQ260" s="1141">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0</v>
      </c>
      <c r="AR260" s="1141">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0</v>
      </c>
      <c r="AS260" s="1141">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0</v>
      </c>
      <c r="AT260" s="1473">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141">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141">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0</v>
      </c>
      <c r="AW260" s="1141">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0</v>
      </c>
      <c r="AX260" s="1141">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0</v>
      </c>
      <c r="AY260" s="1141">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0</v>
      </c>
      <c r="AZ260" s="1141">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0</v>
      </c>
      <c r="BA260" s="1141">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0</v>
      </c>
      <c r="BB260" s="1141">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0</v>
      </c>
      <c r="BC260" s="1141">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0</v>
      </c>
      <c r="BD260" s="1015">
        <f t="shared" ca="1" si="57"/>
        <v>0</v>
      </c>
      <c r="BE260" s="1015">
        <f t="shared" ca="1" si="58"/>
        <v>0</v>
      </c>
      <c r="BF260" s="1015">
        <f t="shared" ca="1" si="59"/>
        <v>0</v>
      </c>
      <c r="BG260" s="1015">
        <f t="shared" ca="1" si="60"/>
        <v>0</v>
      </c>
      <c r="BH260" s="1015">
        <f t="shared" ca="1" si="61"/>
        <v>0</v>
      </c>
      <c r="BI260" s="1015">
        <f t="shared" ca="1" si="62"/>
        <v>0</v>
      </c>
      <c r="BJ260" s="1015">
        <f t="shared" ca="1" si="63"/>
        <v>0</v>
      </c>
      <c r="BK260" s="1015">
        <f t="shared" ca="1" si="64"/>
        <v>0</v>
      </c>
      <c r="BL260" s="1015">
        <f t="shared" ca="1" si="65"/>
        <v>0</v>
      </c>
      <c r="BM260" s="1015">
        <f t="shared" ca="1" si="66"/>
        <v>0</v>
      </c>
      <c r="BN260" s="1138"/>
      <c r="BO260" s="1138"/>
      <c r="BP260" s="1138"/>
      <c r="BQ260" s="1177"/>
      <c r="BR260" s="1177"/>
      <c r="BS260" s="966" t="s">
        <v>1652</v>
      </c>
      <c r="BT260" s="966"/>
      <c r="BU260" s="966"/>
      <c r="BV260" s="881"/>
      <c r="BW260" s="881"/>
    </row>
    <row r="261" spans="1:75" s="1494" customFormat="1" ht="20.25" hidden="1" customHeight="1">
      <c r="A261" s="617"/>
      <c r="B261" s="349" t="b" cm="1">
        <f t="array" ref="B261">B260</f>
        <v>0</v>
      </c>
      <c r="C261" s="28"/>
      <c r="D261" s="28"/>
      <c r="E261" s="740">
        <v>21</v>
      </c>
      <c r="F261" s="3" t="str" cm="1">
        <f t="array" aca="1" ref="F261" ca="1">OFFSET(E261,-1,1)</f>
        <v>1</v>
      </c>
      <c r="G261" s="26" t="s">
        <v>1355</v>
      </c>
      <c r="H261" s="26"/>
      <c r="I261" s="26" t="s">
        <v>326</v>
      </c>
      <c r="J261" s="28"/>
      <c r="K261" s="77"/>
      <c r="L261" s="887" t="s">
        <v>528</v>
      </c>
      <c r="M261" s="28"/>
      <c r="N261" s="28"/>
      <c r="O261" s="28"/>
      <c r="P261" s="28"/>
      <c r="Q261" s="28"/>
      <c r="R261" s="28"/>
      <c r="S261" s="28"/>
      <c r="T261" s="381" t="b" cm="1">
        <f t="array" aca="1" ref="T261" ca="1">T260</f>
        <v>1</v>
      </c>
      <c r="U261" s="28"/>
      <c r="V261" s="28"/>
      <c r="W261" s="28"/>
      <c r="X261" s="1787"/>
      <c r="Y261" s="617"/>
      <c r="Z261" s="1735"/>
      <c r="AA261" s="617"/>
      <c r="AB261" s="129" t="s">
        <v>478</v>
      </c>
      <c r="AC261" s="130" t="s">
        <v>1355</v>
      </c>
      <c r="AD261" s="152" t="s">
        <v>766</v>
      </c>
      <c r="AE261" s="131">
        <f ca="1">AE262+AE263+AE264+AE265</f>
        <v>0</v>
      </c>
      <c r="AF261" s="131">
        <f ca="1">AF262+AF263+AF264+AF265</f>
        <v>0</v>
      </c>
      <c r="AG261" s="131">
        <f ca="1">AG262+AG263+AG264+AG265</f>
        <v>0</v>
      </c>
      <c r="AH261" s="131">
        <f t="shared" ca="1" si="55"/>
        <v>0</v>
      </c>
      <c r="AI261" s="131">
        <f t="shared" ref="AI261:BC261" ca="1" si="70">AI262+AI263+AI264+AI265</f>
        <v>0</v>
      </c>
      <c r="AJ261" s="131">
        <f t="shared" ca="1" si="70"/>
        <v>0</v>
      </c>
      <c r="AK261" s="131">
        <f t="shared" ca="1" si="70"/>
        <v>0</v>
      </c>
      <c r="AL261" s="131">
        <f t="shared" ca="1" si="70"/>
        <v>0</v>
      </c>
      <c r="AM261" s="131">
        <f t="shared" ca="1" si="70"/>
        <v>0</v>
      </c>
      <c r="AN261" s="131">
        <f t="shared" ca="1" si="70"/>
        <v>0</v>
      </c>
      <c r="AO261" s="131">
        <f t="shared" ca="1" si="70"/>
        <v>0</v>
      </c>
      <c r="AP261" s="131">
        <f t="shared" ca="1" si="70"/>
        <v>0</v>
      </c>
      <c r="AQ261" s="131">
        <f t="shared" ca="1" si="70"/>
        <v>0</v>
      </c>
      <c r="AR261" s="131">
        <f t="shared" ca="1" si="70"/>
        <v>0</v>
      </c>
      <c r="AS261" s="131">
        <f t="shared" ca="1" si="70"/>
        <v>0</v>
      </c>
      <c r="AT261" s="131">
        <f t="shared" ca="1" si="70"/>
        <v>0</v>
      </c>
      <c r="AU261" s="131">
        <f t="shared" ca="1" si="70"/>
        <v>0</v>
      </c>
      <c r="AV261" s="131">
        <f t="shared" ca="1" si="70"/>
        <v>0</v>
      </c>
      <c r="AW261" s="131">
        <f t="shared" ca="1" si="70"/>
        <v>0</v>
      </c>
      <c r="AX261" s="131">
        <f t="shared" ca="1" si="70"/>
        <v>0</v>
      </c>
      <c r="AY261" s="131">
        <f t="shared" ca="1" si="70"/>
        <v>0</v>
      </c>
      <c r="AZ261" s="131">
        <f t="shared" ca="1" si="70"/>
        <v>0</v>
      </c>
      <c r="BA261" s="131">
        <f t="shared" ca="1" si="70"/>
        <v>0</v>
      </c>
      <c r="BB261" s="131">
        <f t="shared" ca="1" si="70"/>
        <v>0</v>
      </c>
      <c r="BC261" s="131">
        <f t="shared" ca="1" si="70"/>
        <v>0</v>
      </c>
      <c r="BD261" s="692">
        <f t="shared" ca="1" si="57"/>
        <v>0</v>
      </c>
      <c r="BE261" s="692">
        <f t="shared" ca="1" si="58"/>
        <v>0</v>
      </c>
      <c r="BF261" s="692">
        <f t="shared" ca="1" si="59"/>
        <v>0</v>
      </c>
      <c r="BG261" s="692">
        <f t="shared" ca="1" si="60"/>
        <v>0</v>
      </c>
      <c r="BH261" s="692">
        <f t="shared" ca="1" si="61"/>
        <v>0</v>
      </c>
      <c r="BI261" s="692">
        <f t="shared" ca="1" si="62"/>
        <v>0</v>
      </c>
      <c r="BJ261" s="692">
        <f t="shared" ca="1" si="63"/>
        <v>0</v>
      </c>
      <c r="BK261" s="692">
        <f t="shared" ca="1" si="64"/>
        <v>0</v>
      </c>
      <c r="BL261" s="692">
        <f t="shared" ca="1" si="65"/>
        <v>0</v>
      </c>
      <c r="BM261" s="692">
        <f t="shared" ca="1" si="66"/>
        <v>0</v>
      </c>
      <c r="BN261" s="1138"/>
      <c r="BO261" s="1138"/>
      <c r="BP261" s="1138"/>
      <c r="BQ261" s="617"/>
      <c r="BR261" s="617"/>
      <c r="BS261" s="965" t="s">
        <v>1359</v>
      </c>
      <c r="BT261" s="972"/>
      <c r="BU261" s="972"/>
      <c r="BV261" s="624"/>
      <c r="BW261" s="624"/>
    </row>
    <row r="262" spans="1:75" s="1327" customFormat="1" ht="14.25" hidden="1" customHeight="1">
      <c r="A262" s="1177"/>
      <c r="B262" s="349" t="b" cm="1">
        <f t="array" ref="B262">B261</f>
        <v>0</v>
      </c>
      <c r="C262" s="26"/>
      <c r="D262" s="26"/>
      <c r="E262" s="538">
        <v>15</v>
      </c>
      <c r="F262" s="3" t="str" cm="1">
        <f t="array" aca="1" ref="F262" ca="1">OFFSET(E262,-1,1)</f>
        <v>1</v>
      </c>
      <c r="G262" s="26"/>
      <c r="H262" s="26"/>
      <c r="I262" s="26" t="s">
        <v>515</v>
      </c>
      <c r="J262" s="26"/>
      <c r="K262" s="1177"/>
      <c r="L262" s="882"/>
      <c r="M262" s="26"/>
      <c r="N262" s="26"/>
      <c r="O262" s="26"/>
      <c r="P262" s="26"/>
      <c r="Q262" s="26"/>
      <c r="R262" s="26"/>
      <c r="S262" s="26"/>
      <c r="T262" s="381" t="b" cm="1">
        <f t="array" aca="1" ref="T262" ca="1">T261</f>
        <v>1</v>
      </c>
      <c r="U262" s="26"/>
      <c r="V262" s="26"/>
      <c r="W262" s="26"/>
      <c r="X262" s="1787"/>
      <c r="Y262" s="1177"/>
      <c r="Z262" s="1735"/>
      <c r="AA262" s="1177"/>
      <c r="AB262" s="216" t="s">
        <v>646</v>
      </c>
      <c r="AC262" s="676" t="s">
        <v>1960</v>
      </c>
      <c r="AD262" s="216" t="s">
        <v>766</v>
      </c>
      <c r="AE262" s="1141">
        <f ca="1">SUMIFS('ИП + источники'!AF$27:AF$87,'ИП + источники'!$F$27:$F$87,$F262,'ИП + источники'!$AC$27:$AC$87,"погашение займов и кредитов из нормативной прибыли")</f>
        <v>0</v>
      </c>
      <c r="AF262" s="1141">
        <f ca="1">SUMIFS('ИП + источники'!AG$27:AG$87,'ИП + источники'!$F$27:$F$87,$F262,'ИП + источники'!$AC$27:$AC$87,"погашение займов и кредитов из нормативной прибыли")</f>
        <v>0</v>
      </c>
      <c r="AG262" s="1141">
        <f ca="1">SUMIFS('ИП + источники'!AH$27:AH$87,'ИП + источники'!$F$27:$F$87,$F262,'ИП + источники'!$AC$27:$AC$87,"погашение займов и кредитов из нормативной прибыли")</f>
        <v>0</v>
      </c>
      <c r="AH262" s="1015">
        <f t="shared" ca="1" si="55"/>
        <v>0</v>
      </c>
      <c r="AI262" s="1141">
        <f ca="1">SUMIFS('ИП + источники'!AJ$27:AJ$87,'ИП + источники'!$F$27:$F$87,$F262,'ИП + источники'!$AC$27:$AC$87,"погашение займов и кредитов из нормативной прибыли")</f>
        <v>0</v>
      </c>
      <c r="AJ262" s="1473">
        <f ca="1">SUMIFS('ИП + источники'!AK$27:AK$87,'ИП + источники'!$F$27:$F$87,$F262,'ИП + источники'!$AC$27:$AC$87,"погашение займов и кредитов из нормативной прибыли")</f>
        <v>0</v>
      </c>
      <c r="AK262" s="1141">
        <f ca="1">SUMIFS('ИП + источники'!AL$27:AL$87,'ИП + источники'!$F$27:$F$87,$F262,'ИП + источники'!$AC$27:$AC$87,"погашение займов и кредитов из нормативной прибыли")</f>
        <v>0</v>
      </c>
      <c r="AL262" s="1141">
        <f ca="1">SUMIFS('ИП + источники'!AM$27:AM$87,'ИП + источники'!$F$27:$F$87,$F262,'ИП + источники'!$AC$27:$AC$87,"погашение займов и кредитов из нормативной прибыли")</f>
        <v>0</v>
      </c>
      <c r="AM262" s="1141">
        <f ca="1">SUMIFS('ИП + источники'!AN$27:AN$87,'ИП + источники'!$F$27:$F$87,$F262,'ИП + источники'!$AC$27:$AC$87,"погашение займов и кредитов из нормативной прибыли")</f>
        <v>0</v>
      </c>
      <c r="AN262" s="1141">
        <f ca="1">SUMIFS('ИП + источники'!AO$27:AO$87,'ИП + источники'!$F$27:$F$87,$F262,'ИП + источники'!$AC$27:$AC$87,"погашение займов и кредитов из нормативной прибыли")</f>
        <v>0</v>
      </c>
      <c r="AO262" s="1141">
        <f ca="1">SUMIFS('ИП + источники'!AP$27:AP$87,'ИП + источники'!$F$27:$F$87,$F262,'ИП + источники'!$AC$27:$AC$87,"погашение займов и кредитов из нормативной прибыли")</f>
        <v>0</v>
      </c>
      <c r="AP262" s="1141">
        <f ca="1">SUMIFS('ИП + источники'!AQ$27:AQ$87,'ИП + источники'!$F$27:$F$87,$F262,'ИП + источники'!$AC$27:$AC$87,"погашение займов и кредитов из нормативной прибыли")</f>
        <v>0</v>
      </c>
      <c r="AQ262" s="1141">
        <f ca="1">SUMIFS('ИП + источники'!AR$27:AR$87,'ИП + источники'!$F$27:$F$87,$F262,'ИП + источники'!$AC$27:$AC$87,"погашение займов и кредитов из нормативной прибыли")</f>
        <v>0</v>
      </c>
      <c r="AR262" s="1141">
        <f ca="1">SUMIFS('ИП + источники'!AS$27:AS$87,'ИП + источники'!$F$27:$F$87,$F262,'ИП + источники'!$AC$27:$AC$87,"погашение займов и кредитов из нормативной прибыли")</f>
        <v>0</v>
      </c>
      <c r="AS262" s="1141">
        <f ca="1">SUMIFS('ИП + источники'!AT$27:AT$87,'ИП + источники'!$F$27:$F$87,$F262,'ИП + источники'!$AC$27:$AC$87,"погашение займов и кредитов из нормативной прибыли")</f>
        <v>0</v>
      </c>
      <c r="AT262" s="1473">
        <f ca="1">SUMIFS('ИП + источники'!AU$27:AU$87,'ИП + источники'!$F$27:$F$87,$F262,'ИП + источники'!$AC$27:$AC$87,"погашение займов и кредитов из нормативной прибыли")</f>
        <v>0</v>
      </c>
      <c r="AU262" s="1141">
        <f ca="1">SUMIFS('ИП + источники'!AV$27:AV$87,'ИП + источники'!$F$27:$F$87,$F262,'ИП + источники'!$AC$27:$AC$87,"погашение займов и кредитов из нормативной прибыли")</f>
        <v>0</v>
      </c>
      <c r="AV262" s="1141">
        <f ca="1">SUMIFS('ИП + источники'!AW$27:AW$87,'ИП + источники'!$F$27:$F$87,$F262,'ИП + источники'!$AC$27:$AC$87,"погашение займов и кредитов из нормативной прибыли")</f>
        <v>0</v>
      </c>
      <c r="AW262" s="1141">
        <f ca="1">SUMIFS('ИП + источники'!AX$27:AX$87,'ИП + источники'!$F$27:$F$87,$F262,'ИП + источники'!$AC$27:$AC$87,"погашение займов и кредитов из нормативной прибыли")</f>
        <v>0</v>
      </c>
      <c r="AX262" s="1141">
        <f ca="1">SUMIFS('ИП + источники'!AY$27:AY$87,'ИП + источники'!$F$27:$F$87,$F262,'ИП + источники'!$AC$27:$AC$87,"погашение займов и кредитов из нормативной прибыли")</f>
        <v>0</v>
      </c>
      <c r="AY262" s="1141">
        <f ca="1">SUMIFS('ИП + источники'!AZ$27:AZ$87,'ИП + источники'!$F$27:$F$87,$F262,'ИП + источники'!$AC$27:$AC$87,"погашение займов и кредитов из нормативной прибыли")</f>
        <v>0</v>
      </c>
      <c r="AZ262" s="1141">
        <f ca="1">SUMIFS('ИП + источники'!BA$27:BA$87,'ИП + источники'!$F$27:$F$87,$F262,'ИП + источники'!$AC$27:$AC$87,"погашение займов и кредитов из нормативной прибыли")</f>
        <v>0</v>
      </c>
      <c r="BA262" s="1141">
        <f ca="1">SUMIFS('ИП + источники'!BB$27:BB$87,'ИП + источники'!$F$27:$F$87,$F262,'ИП + источники'!$AC$27:$AC$87,"погашение займов и кредитов из нормативной прибыли")</f>
        <v>0</v>
      </c>
      <c r="BB262" s="1141">
        <f ca="1">SUMIFS('ИП + источники'!BC$27:BC$87,'ИП + источники'!$F$27:$F$87,$F262,'ИП + источники'!$AC$27:$AC$87,"погашение займов и кредитов из нормативной прибыли")</f>
        <v>0</v>
      </c>
      <c r="BC262" s="1141">
        <f ca="1">SUMIFS('ИП + источники'!BD$27:BD$87,'ИП + источники'!$F$27:$F$87,$F262,'ИП + источники'!$AC$27:$AC$87,"погашение займов и кредитов из нормативной прибыли")</f>
        <v>0</v>
      </c>
      <c r="BD262" s="1015">
        <f t="shared" ca="1" si="57"/>
        <v>0</v>
      </c>
      <c r="BE262" s="1015">
        <f t="shared" ca="1" si="58"/>
        <v>0</v>
      </c>
      <c r="BF262" s="1015">
        <f t="shared" ca="1" si="59"/>
        <v>0</v>
      </c>
      <c r="BG262" s="1015">
        <f t="shared" ca="1" si="60"/>
        <v>0</v>
      </c>
      <c r="BH262" s="1015">
        <f t="shared" ca="1" si="61"/>
        <v>0</v>
      </c>
      <c r="BI262" s="1015">
        <f t="shared" ca="1" si="62"/>
        <v>0</v>
      </c>
      <c r="BJ262" s="1015">
        <f t="shared" ca="1" si="63"/>
        <v>0</v>
      </c>
      <c r="BK262" s="1015">
        <f t="shared" ca="1" si="64"/>
        <v>0</v>
      </c>
      <c r="BL262" s="1015">
        <f t="shared" ca="1" si="65"/>
        <v>0</v>
      </c>
      <c r="BM262" s="1015">
        <f t="shared" ca="1" si="66"/>
        <v>0</v>
      </c>
      <c r="BN262" s="1138"/>
      <c r="BO262" s="1142" t="str">
        <f ca="1">IF(IFERROR(INDEX('ИП + источники'!$K$28:$L$87,MATCH($F262&amp;"2komm",'ИП + источники'!$K$28:$K$87,0),2),"")=0,"",IFERROR(INDEX('ИП + источники'!$K$28:$L$87,MATCH($F262&amp;"2komm",'ИП + источники'!$K$28:$K$87,0),2),""))</f>
        <v/>
      </c>
      <c r="BP262" s="1138"/>
      <c r="BQ262" s="1177"/>
      <c r="BR262" s="1177"/>
      <c r="BS262" s="966" t="s">
        <v>1961</v>
      </c>
      <c r="BT262" s="966"/>
      <c r="BU262" s="966"/>
      <c r="BV262" s="881"/>
      <c r="BW262" s="881"/>
    </row>
    <row r="263" spans="1:75" s="1327" customFormat="1" ht="14.25" hidden="1" customHeight="1">
      <c r="A263" s="1177"/>
      <c r="B263" s="349" t="b" cm="1">
        <f t="array" ref="B263">B262</f>
        <v>0</v>
      </c>
      <c r="C263" s="26"/>
      <c r="D263" s="26"/>
      <c r="E263" s="538">
        <v>15</v>
      </c>
      <c r="F263" s="3" t="str" cm="1">
        <f t="array" aca="1" ref="F263" ca="1">OFFSET(E263,-1,1)</f>
        <v>1</v>
      </c>
      <c r="G263" s="26"/>
      <c r="H263" s="26"/>
      <c r="I263" s="26" t="s">
        <v>519</v>
      </c>
      <c r="J263" s="26"/>
      <c r="K263" s="1177"/>
      <c r="L263" s="882"/>
      <c r="M263" s="26"/>
      <c r="N263" s="26"/>
      <c r="O263" s="26"/>
      <c r="P263" s="26"/>
      <c r="Q263" s="26"/>
      <c r="R263" s="26"/>
      <c r="S263" s="26"/>
      <c r="T263" s="381" t="b" cm="1">
        <f t="array" aca="1" ref="T263" ca="1">T262</f>
        <v>1</v>
      </c>
      <c r="U263" s="26"/>
      <c r="V263" s="26"/>
      <c r="W263" s="26"/>
      <c r="X263" s="1787"/>
      <c r="Y263" s="1177"/>
      <c r="Z263" s="1735"/>
      <c r="AA263" s="1177"/>
      <c r="AB263" s="216" t="s">
        <v>649</v>
      </c>
      <c r="AC263" s="676" t="s">
        <v>1962</v>
      </c>
      <c r="AD263" s="216" t="s">
        <v>766</v>
      </c>
      <c r="AE263" s="1141">
        <f ca="1">SUMIFS('ИП + источники'!AF$27:AF$87,'ИП + источники'!$F$27:$F$87,$F263,'ИП + источники'!$AC$27:$AC$87,"уплата процентов по кредитам из нормативной прибыли")</f>
        <v>0</v>
      </c>
      <c r="AF263" s="1141">
        <f ca="1">SUMIFS('ИП + источники'!AG$27:AG$87,'ИП + источники'!$F$27:$F$87,$F263,'ИП + источники'!$AC$27:$AC$87,"уплата процентов по кредитам из нормативной прибыли")</f>
        <v>0</v>
      </c>
      <c r="AG263" s="1141">
        <f ca="1">SUMIFS('ИП + источники'!AH$27:AH$87,'ИП + источники'!$F$27:$F$87,$F263,'ИП + источники'!$AC$27:$AC$87,"уплата процентов по кредитам из нормативной прибыли")</f>
        <v>0</v>
      </c>
      <c r="AH263" s="1015">
        <f t="shared" ca="1" si="55"/>
        <v>0</v>
      </c>
      <c r="AI263" s="1141">
        <f ca="1">SUMIFS('ИП + источники'!AJ$27:AJ$87,'ИП + источники'!$F$27:$F$87,$F263,'ИП + источники'!$AC$27:$AC$87,"уплата процентов по кредитам из нормативной прибыли")</f>
        <v>0</v>
      </c>
      <c r="AJ263" s="1473">
        <f ca="1">SUMIFS('ИП + источники'!AK$27:AK$87,'ИП + источники'!$F$27:$F$87,$F263,'ИП + источники'!$AC$27:$AC$87,"уплата процентов по кредитам из нормативной прибыли")</f>
        <v>0</v>
      </c>
      <c r="AK263" s="1141">
        <f ca="1">SUMIFS('ИП + источники'!AL$27:AL$87,'ИП + источники'!$F$27:$F$87,$F263,'ИП + источники'!$AC$27:$AC$87,"уплата процентов по кредитам из нормативной прибыли")</f>
        <v>0</v>
      </c>
      <c r="AL263" s="1141">
        <f ca="1">SUMIFS('ИП + источники'!AM$27:AM$87,'ИП + источники'!$F$27:$F$87,$F263,'ИП + источники'!$AC$27:$AC$87,"уплата процентов по кредитам из нормативной прибыли")</f>
        <v>0</v>
      </c>
      <c r="AM263" s="1141">
        <f ca="1">SUMIFS('ИП + источники'!AN$27:AN$87,'ИП + источники'!$F$27:$F$87,$F263,'ИП + источники'!$AC$27:$AC$87,"уплата процентов по кредитам из нормативной прибыли")</f>
        <v>0</v>
      </c>
      <c r="AN263" s="1141">
        <f ca="1">SUMIFS('ИП + источники'!AO$27:AO$87,'ИП + источники'!$F$27:$F$87,$F263,'ИП + источники'!$AC$27:$AC$87,"уплата процентов по кредитам из нормативной прибыли")</f>
        <v>0</v>
      </c>
      <c r="AO263" s="1141">
        <f ca="1">SUMIFS('ИП + источники'!AP$27:AP$87,'ИП + источники'!$F$27:$F$87,$F263,'ИП + источники'!$AC$27:$AC$87,"уплата процентов по кредитам из нормативной прибыли")</f>
        <v>0</v>
      </c>
      <c r="AP263" s="1141">
        <f ca="1">SUMIFS('ИП + источники'!AQ$27:AQ$87,'ИП + источники'!$F$27:$F$87,$F263,'ИП + источники'!$AC$27:$AC$87,"уплата процентов по кредитам из нормативной прибыли")</f>
        <v>0</v>
      </c>
      <c r="AQ263" s="1141">
        <f ca="1">SUMIFS('ИП + источники'!AR$27:AR$87,'ИП + источники'!$F$27:$F$87,$F263,'ИП + источники'!$AC$27:$AC$87,"уплата процентов по кредитам из нормативной прибыли")</f>
        <v>0</v>
      </c>
      <c r="AR263" s="1141">
        <f ca="1">SUMIFS('ИП + источники'!AS$27:AS$87,'ИП + источники'!$F$27:$F$87,$F263,'ИП + источники'!$AC$27:$AC$87,"уплата процентов по кредитам из нормативной прибыли")</f>
        <v>0</v>
      </c>
      <c r="AS263" s="1141">
        <f ca="1">SUMIFS('ИП + источники'!AT$27:AT$87,'ИП + источники'!$F$27:$F$87,$F263,'ИП + источники'!$AC$27:$AC$87,"уплата процентов по кредитам из нормативной прибыли")</f>
        <v>0</v>
      </c>
      <c r="AT263" s="1473">
        <f ca="1">SUMIFS('ИП + источники'!AU$27:AU$87,'ИП + источники'!$F$27:$F$87,$F263,'ИП + источники'!$AC$27:$AC$87,"уплата процентов по кредитам из нормативной прибыли")</f>
        <v>0</v>
      </c>
      <c r="AU263" s="1141">
        <f ca="1">SUMIFS('ИП + источники'!AV$27:AV$87,'ИП + источники'!$F$27:$F$87,$F263,'ИП + источники'!$AC$27:$AC$87,"уплата процентов по кредитам из нормативной прибыли")</f>
        <v>0</v>
      </c>
      <c r="AV263" s="1141">
        <f ca="1">SUMIFS('ИП + источники'!AW$27:AW$87,'ИП + источники'!$F$27:$F$87,$F263,'ИП + источники'!$AC$27:$AC$87,"уплата процентов по кредитам из нормативной прибыли")</f>
        <v>0</v>
      </c>
      <c r="AW263" s="1141">
        <f ca="1">SUMIFS('ИП + источники'!AX$27:AX$87,'ИП + источники'!$F$27:$F$87,$F263,'ИП + источники'!$AC$27:$AC$87,"уплата процентов по кредитам из нормативной прибыли")</f>
        <v>0</v>
      </c>
      <c r="AX263" s="1141">
        <f ca="1">SUMIFS('ИП + источники'!AY$27:AY$87,'ИП + источники'!$F$27:$F$87,$F263,'ИП + источники'!$AC$27:$AC$87,"уплата процентов по кредитам из нормативной прибыли")</f>
        <v>0</v>
      </c>
      <c r="AY263" s="1141">
        <f ca="1">SUMIFS('ИП + источники'!AZ$27:AZ$87,'ИП + источники'!$F$27:$F$87,$F263,'ИП + источники'!$AC$27:$AC$87,"уплата процентов по кредитам из нормативной прибыли")</f>
        <v>0</v>
      </c>
      <c r="AZ263" s="1141">
        <f ca="1">SUMIFS('ИП + источники'!BA$27:BA$87,'ИП + источники'!$F$27:$F$87,$F263,'ИП + источники'!$AC$27:$AC$87,"уплата процентов по кредитам из нормативной прибыли")</f>
        <v>0</v>
      </c>
      <c r="BA263" s="1141">
        <f ca="1">SUMIFS('ИП + источники'!BB$27:BB$87,'ИП + источники'!$F$27:$F$87,$F263,'ИП + источники'!$AC$27:$AC$87,"уплата процентов по кредитам из нормативной прибыли")</f>
        <v>0</v>
      </c>
      <c r="BB263" s="1141">
        <f ca="1">SUMIFS('ИП + источники'!BC$27:BC$87,'ИП + источники'!$F$27:$F$87,$F263,'ИП + источники'!$AC$27:$AC$87,"уплата процентов по кредитам из нормативной прибыли")</f>
        <v>0</v>
      </c>
      <c r="BC263" s="1141">
        <f ca="1">SUMIFS('ИП + источники'!BD$27:BD$87,'ИП + источники'!$F$27:$F$87,$F263,'ИП + источники'!$AC$27:$AC$87,"уплата процентов по кредитам из нормативной прибыли")</f>
        <v>0</v>
      </c>
      <c r="BD263" s="1015">
        <f t="shared" ca="1" si="57"/>
        <v>0</v>
      </c>
      <c r="BE263" s="1015">
        <f t="shared" ca="1" si="58"/>
        <v>0</v>
      </c>
      <c r="BF263" s="1015">
        <f t="shared" ca="1" si="59"/>
        <v>0</v>
      </c>
      <c r="BG263" s="1015">
        <f t="shared" ca="1" si="60"/>
        <v>0</v>
      </c>
      <c r="BH263" s="1015">
        <f t="shared" ca="1" si="61"/>
        <v>0</v>
      </c>
      <c r="BI263" s="1015">
        <f t="shared" ca="1" si="62"/>
        <v>0</v>
      </c>
      <c r="BJ263" s="1015">
        <f t="shared" ca="1" si="63"/>
        <v>0</v>
      </c>
      <c r="BK263" s="1015">
        <f t="shared" ca="1" si="64"/>
        <v>0</v>
      </c>
      <c r="BL263" s="1015">
        <f t="shared" ca="1" si="65"/>
        <v>0</v>
      </c>
      <c r="BM263" s="1015">
        <f t="shared" ca="1" si="66"/>
        <v>0</v>
      </c>
      <c r="BN263" s="1138"/>
      <c r="BO263" s="1142" t="str">
        <f ca="1">IF(IFERROR(INDEX('ИП + источники'!$K$28:$L$87,MATCH($F263&amp;"3komm",'ИП + источники'!$K$28:$K$87,0),2),"")=0,"",IFERROR(INDEX('ИП + источники'!$K$28:$L$87,MATCH($F263&amp;"3komm",'ИП + источники'!$K$28:$K$87,0),2),""))</f>
        <v/>
      </c>
      <c r="BP263" s="1138"/>
      <c r="BQ263" s="1177"/>
      <c r="BR263" s="1177"/>
      <c r="BS263" s="966" t="s">
        <v>1963</v>
      </c>
      <c r="BT263" s="966"/>
      <c r="BU263" s="966"/>
      <c r="BV263" s="881"/>
      <c r="BW263" s="881"/>
    </row>
    <row r="264" spans="1:75" s="1327" customFormat="1" ht="14.25" hidden="1" customHeight="1">
      <c r="A264" s="1177"/>
      <c r="B264" s="349" t="b" cm="1">
        <f t="array" ref="B264">B263</f>
        <v>0</v>
      </c>
      <c r="C264" s="26"/>
      <c r="D264" s="26"/>
      <c r="E264" s="538">
        <v>15</v>
      </c>
      <c r="F264" s="3" t="str" cm="1">
        <f t="array" aca="1" ref="F264" ca="1">OFFSET(E264,-1,1)</f>
        <v>1</v>
      </c>
      <c r="G264" s="26"/>
      <c r="H264" s="26"/>
      <c r="I264" s="26" t="s">
        <v>736</v>
      </c>
      <c r="J264" s="26"/>
      <c r="K264" s="1177"/>
      <c r="L264" s="882" t="s">
        <v>535</v>
      </c>
      <c r="M264" s="26"/>
      <c r="N264" s="26"/>
      <c r="O264" s="26"/>
      <c r="P264" s="26"/>
      <c r="Q264" s="26"/>
      <c r="R264" s="26"/>
      <c r="S264" s="26"/>
      <c r="T264" s="381" t="b" cm="1">
        <f t="array" aca="1" ref="T264" ca="1">T263</f>
        <v>1</v>
      </c>
      <c r="U264" s="26"/>
      <c r="V264" s="26"/>
      <c r="W264" s="26"/>
      <c r="X264" s="1787"/>
      <c r="Y264" s="1177"/>
      <c r="Z264" s="1735"/>
      <c r="AA264" s="1177"/>
      <c r="AB264" s="216" t="s">
        <v>876</v>
      </c>
      <c r="AC264" s="676" t="s">
        <v>1964</v>
      </c>
      <c r="AD264" s="216" t="s">
        <v>766</v>
      </c>
      <c r="AE264" s="1141">
        <f ca="1">SUMIFS('ИП + источники'!AF$27:AF$87,'ИП + источники'!$F$27:$F$87,$F264,'ИП + источники'!$AC$27:$AC$87,"Прибыль на капвложения")</f>
        <v>0</v>
      </c>
      <c r="AF264" s="1141">
        <f ca="1">SUMIFS('ИП + источники'!AG$27:AG$87,'ИП + источники'!$F$27:$F$87,$F264,'ИП + источники'!$AC$27:$AC$87,"Прибыль на капвложения")</f>
        <v>0</v>
      </c>
      <c r="AG264" s="1141">
        <f ca="1">SUMIFS('ИП + источники'!AH$27:AH$87,'ИП + источники'!$F$27:$F$87,$F264,'ИП + источники'!$AC$27:$AC$87,"Прибыль на капвложения")</f>
        <v>0</v>
      </c>
      <c r="AH264" s="1015">
        <f t="shared" ca="1" si="55"/>
        <v>0</v>
      </c>
      <c r="AI264" s="1141">
        <f ca="1">SUMIFS('ИП + источники'!AJ$27:AJ$87,'ИП + источники'!$F$27:$F$87,$F264,'ИП + источники'!$AC$27:$AC$87,"Прибыль на капвложения")</f>
        <v>0</v>
      </c>
      <c r="AJ264" s="1473">
        <f ca="1">SUMIFS('ИП + источники'!AK$27:AK$87,'ИП + источники'!$F$27:$F$87,$F264,'ИП + источники'!$AC$27:$AC$87,"Прибыль на капвложения")</f>
        <v>0</v>
      </c>
      <c r="AK264" s="1141">
        <f ca="1">SUMIFS('ИП + источники'!AL$27:AL$87,'ИП + источники'!$F$27:$F$87,$F264,'ИП + источники'!$AC$27:$AC$87,"Прибыль на капвложения")</f>
        <v>0</v>
      </c>
      <c r="AL264" s="1141">
        <f ca="1">SUMIFS('ИП + источники'!AM$27:AM$87,'ИП + источники'!$F$27:$F$87,$F264,'ИП + источники'!$AC$27:$AC$87,"Прибыль на капвложения")</f>
        <v>0</v>
      </c>
      <c r="AM264" s="1141">
        <f ca="1">SUMIFS('ИП + источники'!AN$27:AN$87,'ИП + источники'!$F$27:$F$87,$F264,'ИП + источники'!$AC$27:$AC$87,"Прибыль на капвложения")</f>
        <v>0</v>
      </c>
      <c r="AN264" s="1141">
        <f ca="1">SUMIFS('ИП + источники'!AO$27:AO$87,'ИП + источники'!$F$27:$F$87,$F264,'ИП + источники'!$AC$27:$AC$87,"Прибыль на капвложения")</f>
        <v>0</v>
      </c>
      <c r="AO264" s="1141">
        <f ca="1">SUMIFS('ИП + источники'!AP$27:AP$87,'ИП + источники'!$F$27:$F$87,$F264,'ИП + источники'!$AC$27:$AC$87,"Прибыль на капвложения")</f>
        <v>0</v>
      </c>
      <c r="AP264" s="1141">
        <f ca="1">SUMIFS('ИП + источники'!AQ$27:AQ$87,'ИП + источники'!$F$27:$F$87,$F264,'ИП + источники'!$AC$27:$AC$87,"Прибыль на капвложения")</f>
        <v>0</v>
      </c>
      <c r="AQ264" s="1141">
        <f ca="1">SUMIFS('ИП + источники'!AR$27:AR$87,'ИП + источники'!$F$27:$F$87,$F264,'ИП + источники'!$AC$27:$AC$87,"Прибыль на капвложения")</f>
        <v>0</v>
      </c>
      <c r="AR264" s="1141">
        <f ca="1">SUMIFS('ИП + источники'!AS$27:AS$87,'ИП + источники'!$F$27:$F$87,$F264,'ИП + источники'!$AC$27:$AC$87,"Прибыль на капвложения")</f>
        <v>0</v>
      </c>
      <c r="AS264" s="1141">
        <f ca="1">SUMIFS('ИП + источники'!AT$27:AT$87,'ИП + источники'!$F$27:$F$87,$F264,'ИП + источники'!$AC$27:$AC$87,"Прибыль на капвложения")</f>
        <v>0</v>
      </c>
      <c r="AT264" s="1473">
        <f ca="1">SUMIFS('ИП + источники'!AU$27:AU$87,'ИП + источники'!$F$27:$F$87,$F264,'ИП + источники'!$AC$27:$AC$87,"Прибыль на капвложения")</f>
        <v>0</v>
      </c>
      <c r="AU264" s="1141">
        <f ca="1">SUMIFS('ИП + источники'!AV$27:AV$87,'ИП + источники'!$F$27:$F$87,$F264,'ИП + источники'!$AC$27:$AC$87,"Прибыль на капвложения")</f>
        <v>0</v>
      </c>
      <c r="AV264" s="1141">
        <f ca="1">SUMIFS('ИП + источники'!AW$27:AW$87,'ИП + источники'!$F$27:$F$87,$F264,'ИП + источники'!$AC$27:$AC$87,"Прибыль на капвложения")</f>
        <v>0</v>
      </c>
      <c r="AW264" s="1141">
        <f ca="1">SUMIFS('ИП + источники'!AX$27:AX$87,'ИП + источники'!$F$27:$F$87,$F264,'ИП + источники'!$AC$27:$AC$87,"Прибыль на капвложения")</f>
        <v>0</v>
      </c>
      <c r="AX264" s="1141">
        <f ca="1">SUMIFS('ИП + источники'!AY$27:AY$87,'ИП + источники'!$F$27:$F$87,$F264,'ИП + источники'!$AC$27:$AC$87,"Прибыль на капвложения")</f>
        <v>0</v>
      </c>
      <c r="AY264" s="1141">
        <f ca="1">SUMIFS('ИП + источники'!AZ$27:AZ$87,'ИП + источники'!$F$27:$F$87,$F264,'ИП + источники'!$AC$27:$AC$87,"Прибыль на капвложения")</f>
        <v>0</v>
      </c>
      <c r="AZ264" s="1141">
        <f ca="1">SUMIFS('ИП + источники'!BA$27:BA$87,'ИП + источники'!$F$27:$F$87,$F264,'ИП + источники'!$AC$27:$AC$87,"Прибыль на капвложения")</f>
        <v>0</v>
      </c>
      <c r="BA264" s="1141">
        <f ca="1">SUMIFS('ИП + источники'!BB$27:BB$87,'ИП + источники'!$F$27:$F$87,$F264,'ИП + источники'!$AC$27:$AC$87,"Прибыль на капвложения")</f>
        <v>0</v>
      </c>
      <c r="BB264" s="1141">
        <f ca="1">SUMIFS('ИП + источники'!BC$27:BC$87,'ИП + источники'!$F$27:$F$87,$F264,'ИП + источники'!$AC$27:$AC$87,"Прибыль на капвложения")</f>
        <v>0</v>
      </c>
      <c r="BC264" s="1141">
        <f ca="1">SUMIFS('ИП + источники'!BD$27:BD$87,'ИП + источники'!$F$27:$F$87,$F264,'ИП + источники'!$AC$27:$AC$87,"Прибыль на капвложения")</f>
        <v>0</v>
      </c>
      <c r="BD264" s="1015">
        <f t="shared" ca="1" si="57"/>
        <v>0</v>
      </c>
      <c r="BE264" s="1015">
        <f t="shared" ca="1" si="58"/>
        <v>0</v>
      </c>
      <c r="BF264" s="1015">
        <f t="shared" ca="1" si="59"/>
        <v>0</v>
      </c>
      <c r="BG264" s="1015">
        <f t="shared" ca="1" si="60"/>
        <v>0</v>
      </c>
      <c r="BH264" s="1015">
        <f t="shared" ca="1" si="61"/>
        <v>0</v>
      </c>
      <c r="BI264" s="1015">
        <f t="shared" ca="1" si="62"/>
        <v>0</v>
      </c>
      <c r="BJ264" s="1015">
        <f t="shared" ca="1" si="63"/>
        <v>0</v>
      </c>
      <c r="BK264" s="1015">
        <f t="shared" ca="1" si="64"/>
        <v>0</v>
      </c>
      <c r="BL264" s="1015">
        <f t="shared" ca="1" si="65"/>
        <v>0</v>
      </c>
      <c r="BM264" s="1015">
        <f t="shared" ca="1" si="66"/>
        <v>0</v>
      </c>
      <c r="BN264" s="1138"/>
      <c r="BO264" s="1142" t="str">
        <f ca="1">IF(IFERROR(INDEX('ИП + источники'!$K$28:$L$87,MATCH($F264&amp;"1komm",'ИП + источники'!$K$28:$K$87,0),2),"")=0,"",IFERROR(INDEX('ИП + источники'!$K$28:$L$87,MATCH($F264&amp;"1komm",'ИП + источники'!$K$28:$K$87,0),2),""))</f>
        <v/>
      </c>
      <c r="BP264" s="1138"/>
      <c r="BQ264" s="1177"/>
      <c r="BR264" s="1177"/>
      <c r="BS264" s="966" t="s">
        <v>1659</v>
      </c>
      <c r="BT264" s="966"/>
      <c r="BU264" s="966"/>
      <c r="BV264" s="881"/>
      <c r="BW264" s="881"/>
    </row>
    <row r="265" spans="1:75" s="1327" customFormat="1" ht="21.75" hidden="1" customHeight="1">
      <c r="A265" s="1177"/>
      <c r="B265" s="349" t="b" cm="1">
        <f t="array" ref="B265">B264</f>
        <v>0</v>
      </c>
      <c r="C265" s="26"/>
      <c r="D265" s="26"/>
      <c r="E265" s="538">
        <v>22.5</v>
      </c>
      <c r="F265" s="3" t="str" cm="1">
        <f t="array" aca="1" ref="F265" ca="1">OFFSET(E265,-1,1)</f>
        <v>1</v>
      </c>
      <c r="G265" s="26" t="s">
        <v>1965</v>
      </c>
      <c r="H265" s="26"/>
      <c r="I265" s="26" t="s">
        <v>878</v>
      </c>
      <c r="J265" s="26"/>
      <c r="K265" s="1177"/>
      <c r="L265" s="882" t="s">
        <v>539</v>
      </c>
      <c r="M265" s="26"/>
      <c r="N265" s="26"/>
      <c r="O265" s="26"/>
      <c r="P265" s="26"/>
      <c r="Q265" s="26"/>
      <c r="R265" s="26"/>
      <c r="S265" s="26"/>
      <c r="T265" s="381" t="b" cm="1">
        <f t="array" aca="1" ref="T265" ca="1">T264</f>
        <v>1</v>
      </c>
      <c r="U265" s="26"/>
      <c r="V265" s="26"/>
      <c r="W265" s="26"/>
      <c r="X265" s="1787"/>
      <c r="Y265" s="1177"/>
      <c r="Z265" s="1735"/>
      <c r="AA265" s="1177"/>
      <c r="AB265" s="216" t="s">
        <v>879</v>
      </c>
      <c r="AC265" s="676" t="s">
        <v>1966</v>
      </c>
      <c r="AD265" s="216" t="s">
        <v>766</v>
      </c>
      <c r="AE265" s="1141"/>
      <c r="AF265" s="1141"/>
      <c r="AG265" s="1141"/>
      <c r="AH265" s="1015">
        <f t="shared" si="55"/>
        <v>0</v>
      </c>
      <c r="AI265" s="1141"/>
      <c r="AJ265" s="1473"/>
      <c r="AK265" s="1141"/>
      <c r="AL265" s="1141"/>
      <c r="AM265" s="1141"/>
      <c r="AN265" s="1141"/>
      <c r="AO265" s="1141"/>
      <c r="AP265" s="1141"/>
      <c r="AQ265" s="1141"/>
      <c r="AR265" s="1141"/>
      <c r="AS265" s="1141"/>
      <c r="AT265" s="1473"/>
      <c r="AU265" s="1141"/>
      <c r="AV265" s="1141"/>
      <c r="AW265" s="1141"/>
      <c r="AX265" s="1141"/>
      <c r="AY265" s="1141"/>
      <c r="AZ265" s="1141"/>
      <c r="BA265" s="1141"/>
      <c r="BB265" s="1141"/>
      <c r="BC265" s="1141"/>
      <c r="BD265" s="1015">
        <f t="shared" si="57"/>
        <v>0</v>
      </c>
      <c r="BE265" s="1015">
        <f t="shared" si="58"/>
        <v>0</v>
      </c>
      <c r="BF265" s="1015">
        <f t="shared" si="59"/>
        <v>0</v>
      </c>
      <c r="BG265" s="1015">
        <f t="shared" si="60"/>
        <v>0</v>
      </c>
      <c r="BH265" s="1015">
        <f t="shared" si="61"/>
        <v>0</v>
      </c>
      <c r="BI265" s="1015">
        <f t="shared" si="62"/>
        <v>0</v>
      </c>
      <c r="BJ265" s="1015">
        <f t="shared" si="63"/>
        <v>0</v>
      </c>
      <c r="BK265" s="1015">
        <f t="shared" si="64"/>
        <v>0</v>
      </c>
      <c r="BL265" s="1015">
        <f t="shared" si="65"/>
        <v>0</v>
      </c>
      <c r="BM265" s="1015">
        <f t="shared" si="66"/>
        <v>0</v>
      </c>
      <c r="BN265" s="1138"/>
      <c r="BO265" s="1138"/>
      <c r="BP265" s="1138"/>
      <c r="BQ265" s="1177"/>
      <c r="BR265" s="1177"/>
      <c r="BS265" s="966" t="s">
        <v>1967</v>
      </c>
      <c r="BT265" s="966"/>
      <c r="BU265" s="966"/>
      <c r="BV265" s="881"/>
      <c r="BW265" s="881"/>
    </row>
    <row r="266" spans="1:75" s="1327" customFormat="1" ht="14.25" hidden="1" customHeight="1">
      <c r="A266" s="1177"/>
      <c r="B266" s="349" t="b">
        <f>AND(method_reg="Метод индексации",STATUS_GO="да")</f>
        <v>0</v>
      </c>
      <c r="C266" s="26"/>
      <c r="D266" s="26"/>
      <c r="E266" s="538">
        <v>15</v>
      </c>
      <c r="F266" s="3" t="str" cm="1">
        <f t="array" aca="1" ref="F266" ca="1">OFFSET(E266,-1,1)</f>
        <v>1</v>
      </c>
      <c r="G266" s="26" t="s">
        <v>1662</v>
      </c>
      <c r="H266" s="26"/>
      <c r="I266" s="26" t="s">
        <v>477</v>
      </c>
      <c r="J266" s="26"/>
      <c r="K266" s="1177"/>
      <c r="L266" s="882" t="s">
        <v>543</v>
      </c>
      <c r="M266" s="26"/>
      <c r="N266" s="26"/>
      <c r="O266" s="26"/>
      <c r="P266" s="26"/>
      <c r="Q266" s="26"/>
      <c r="R266" s="26"/>
      <c r="S266" s="26"/>
      <c r="T266" s="381" t="b" cm="1">
        <f t="array" aca="1" ref="T266" ca="1">T265</f>
        <v>1</v>
      </c>
      <c r="U266" s="26"/>
      <c r="V266" s="26"/>
      <c r="W266" s="26"/>
      <c r="X266" s="1787"/>
      <c r="Y266" s="1177"/>
      <c r="Z266" s="1735"/>
      <c r="AA266" s="1177"/>
      <c r="AB266" s="216" t="s">
        <v>482</v>
      </c>
      <c r="AC266" s="369" t="s">
        <v>1662</v>
      </c>
      <c r="AD266" s="216" t="s">
        <v>766</v>
      </c>
      <c r="AE266" s="1141"/>
      <c r="AF266" s="1141"/>
      <c r="AG266" s="1141"/>
      <c r="AH266" s="1015">
        <f t="shared" si="55"/>
        <v>0</v>
      </c>
      <c r="AI266" s="1141"/>
      <c r="AJ266" s="1473"/>
      <c r="AK266" s="1141"/>
      <c r="AL266" s="1141"/>
      <c r="AM266" s="1141"/>
      <c r="AN266" s="1141"/>
      <c r="AO266" s="1141"/>
      <c r="AP266" s="1141"/>
      <c r="AQ266" s="1141"/>
      <c r="AR266" s="1141"/>
      <c r="AS266" s="1141"/>
      <c r="AT266" s="1473"/>
      <c r="AU266" s="1141"/>
      <c r="AV266" s="1141"/>
      <c r="AW266" s="1141"/>
      <c r="AX266" s="1141"/>
      <c r="AY266" s="1141"/>
      <c r="AZ266" s="1141"/>
      <c r="BA266" s="1141"/>
      <c r="BB266" s="1141"/>
      <c r="BC266" s="1141"/>
      <c r="BD266" s="1015">
        <f t="shared" si="57"/>
        <v>0</v>
      </c>
      <c r="BE266" s="1015">
        <f t="shared" si="58"/>
        <v>0</v>
      </c>
      <c r="BF266" s="1015">
        <f t="shared" si="59"/>
        <v>0</v>
      </c>
      <c r="BG266" s="1015">
        <f t="shared" si="60"/>
        <v>0</v>
      </c>
      <c r="BH266" s="1015">
        <f t="shared" si="61"/>
        <v>0</v>
      </c>
      <c r="BI266" s="1015">
        <f t="shared" si="62"/>
        <v>0</v>
      </c>
      <c r="BJ266" s="1015">
        <f t="shared" si="63"/>
        <v>0</v>
      </c>
      <c r="BK266" s="1015">
        <f t="shared" si="64"/>
        <v>0</v>
      </c>
      <c r="BL266" s="1015">
        <f t="shared" si="65"/>
        <v>0</v>
      </c>
      <c r="BM266" s="1015">
        <f t="shared" si="66"/>
        <v>0</v>
      </c>
      <c r="BN266" s="1138"/>
      <c r="BO266" s="1138"/>
      <c r="BP266" s="1138"/>
      <c r="BQ266" s="1177"/>
      <c r="BR266" s="1177"/>
      <c r="BS266" s="966" t="s">
        <v>1663</v>
      </c>
      <c r="BT266" s="966"/>
      <c r="BU266" s="966"/>
      <c r="BV266" s="881"/>
      <c r="BW266" s="881"/>
    </row>
    <row r="267" spans="1:75" s="1327" customFormat="1" ht="14.25" hidden="1" customHeight="1">
      <c r="A267" s="1177"/>
      <c r="B267" s="774" t="b">
        <f>method_reg="Метод обеспечения доходности инвестированного капитала"</f>
        <v>0</v>
      </c>
      <c r="C267" s="26"/>
      <c r="D267" s="26"/>
      <c r="E267" s="538">
        <v>15</v>
      </c>
      <c r="F267" s="3" t="str" cm="1">
        <f t="array" aca="1" ref="F267" ca="1">OFFSET(E267,-1,1)</f>
        <v>1</v>
      </c>
      <c r="G267" s="26"/>
      <c r="H267" s="26"/>
      <c r="I267" s="26"/>
      <c r="J267" s="26"/>
      <c r="K267" s="26" t="s">
        <v>327</v>
      </c>
      <c r="L267" s="882"/>
      <c r="M267" s="26"/>
      <c r="N267" s="26"/>
      <c r="O267" s="26"/>
      <c r="P267" s="26"/>
      <c r="Q267" s="26"/>
      <c r="R267" s="26"/>
      <c r="S267" s="26"/>
      <c r="T267" s="774" t="b" cm="1">
        <f t="array" aca="1" ref="T267" ca="1">T266</f>
        <v>1</v>
      </c>
      <c r="U267" s="26"/>
      <c r="V267" s="26"/>
      <c r="W267" s="26"/>
      <c r="X267" s="1787"/>
      <c r="Y267" s="1177"/>
      <c r="Z267" s="1735"/>
      <c r="AA267" s="1177"/>
      <c r="AB267" s="708" t="s">
        <v>523</v>
      </c>
      <c r="AC267" s="707" t="s">
        <v>1968</v>
      </c>
      <c r="AD267" s="708" t="s">
        <v>766</v>
      </c>
      <c r="AE267" s="1146"/>
      <c r="AF267" s="1146"/>
      <c r="AG267" s="1146"/>
      <c r="AH267" s="675">
        <f t="shared" si="55"/>
        <v>0</v>
      </c>
      <c r="AI267" s="1146"/>
      <c r="AJ267" s="1475"/>
      <c r="AK267" s="1146"/>
      <c r="AL267" s="1146"/>
      <c r="AM267" s="1146"/>
      <c r="AN267" s="1146"/>
      <c r="AO267" s="1146"/>
      <c r="AP267" s="1146"/>
      <c r="AQ267" s="1146"/>
      <c r="AR267" s="1146"/>
      <c r="AS267" s="1146"/>
      <c r="AT267" s="1475"/>
      <c r="AU267" s="1146"/>
      <c r="AV267" s="1146"/>
      <c r="AW267" s="1146"/>
      <c r="AX267" s="1146"/>
      <c r="AY267" s="1146"/>
      <c r="AZ267" s="1146"/>
      <c r="BA267" s="1146"/>
      <c r="BB267" s="1146"/>
      <c r="BC267" s="1146"/>
      <c r="BD267" s="675">
        <f t="shared" si="57"/>
        <v>0</v>
      </c>
      <c r="BE267" s="675">
        <f t="shared" si="58"/>
        <v>0</v>
      </c>
      <c r="BF267" s="675">
        <f t="shared" si="59"/>
        <v>0</v>
      </c>
      <c r="BG267" s="675">
        <f t="shared" si="60"/>
        <v>0</v>
      </c>
      <c r="BH267" s="675">
        <f t="shared" si="61"/>
        <v>0</v>
      </c>
      <c r="BI267" s="675">
        <f t="shared" si="62"/>
        <v>0</v>
      </c>
      <c r="BJ267" s="675">
        <f t="shared" si="63"/>
        <v>0</v>
      </c>
      <c r="BK267" s="675">
        <f t="shared" si="64"/>
        <v>0</v>
      </c>
      <c r="BL267" s="675">
        <f t="shared" si="65"/>
        <v>0</v>
      </c>
      <c r="BM267" s="675">
        <f t="shared" si="66"/>
        <v>0</v>
      </c>
      <c r="BN267" s="1147"/>
      <c r="BO267" s="1147"/>
      <c r="BP267" s="1147"/>
      <c r="BQ267" s="1177"/>
      <c r="BR267" s="1177"/>
      <c r="BS267" s="966" t="s">
        <v>1969</v>
      </c>
      <c r="BT267" s="966"/>
      <c r="BU267" s="966"/>
      <c r="BV267" s="881"/>
      <c r="BW267" s="881"/>
    </row>
    <row r="268" spans="1:75" s="1327" customFormat="1" ht="14.25" hidden="1" customHeight="1">
      <c r="A268" s="1177"/>
      <c r="B268" s="774" t="b" cm="1">
        <f t="array" ref="B268">B267</f>
        <v>0</v>
      </c>
      <c r="C268" s="26"/>
      <c r="D268" s="26"/>
      <c r="E268" s="538">
        <v>15</v>
      </c>
      <c r="F268" s="3" t="str" cm="1">
        <f t="array" aca="1" ref="F268" ca="1">OFFSET(E268,-1,1)</f>
        <v>1</v>
      </c>
      <c r="G268" s="26"/>
      <c r="H268" s="26"/>
      <c r="I268" s="26"/>
      <c r="J268" s="26"/>
      <c r="K268" s="26" t="s">
        <v>501</v>
      </c>
      <c r="L268" s="882"/>
      <c r="M268" s="26"/>
      <c r="N268" s="26"/>
      <c r="O268" s="26"/>
      <c r="P268" s="26"/>
      <c r="Q268" s="26"/>
      <c r="R268" s="26"/>
      <c r="S268" s="26"/>
      <c r="T268" s="774" t="b" cm="1">
        <f t="array" aca="1" ref="T268" ca="1">T267</f>
        <v>1</v>
      </c>
      <c r="U268" s="26"/>
      <c r="V268" s="26"/>
      <c r="W268" s="26"/>
      <c r="X268" s="1787"/>
      <c r="Y268" s="1177"/>
      <c r="Z268" s="1735"/>
      <c r="AA268" s="1177"/>
      <c r="AB268" s="711" t="s">
        <v>639</v>
      </c>
      <c r="AC268" s="710" t="s">
        <v>1970</v>
      </c>
      <c r="AD268" s="711" t="s">
        <v>766</v>
      </c>
      <c r="AE268" s="1148"/>
      <c r="AF268" s="1148"/>
      <c r="AG268" s="1148"/>
      <c r="AH268" s="677"/>
      <c r="AI268" s="1148"/>
      <c r="AJ268" s="1476"/>
      <c r="AK268" s="1148"/>
      <c r="AL268" s="1148"/>
      <c r="AM268" s="1148"/>
      <c r="AN268" s="1148"/>
      <c r="AO268" s="1148"/>
      <c r="AP268" s="1148"/>
      <c r="AQ268" s="1148"/>
      <c r="AR268" s="1148"/>
      <c r="AS268" s="1148"/>
      <c r="AT268" s="1476"/>
      <c r="AU268" s="1148"/>
      <c r="AV268" s="1148"/>
      <c r="AW268" s="1148"/>
      <c r="AX268" s="1148"/>
      <c r="AY268" s="1148"/>
      <c r="AZ268" s="1148"/>
      <c r="BA268" s="1148"/>
      <c r="BB268" s="1148"/>
      <c r="BC268" s="1148"/>
      <c r="BD268" s="677"/>
      <c r="BE268" s="677"/>
      <c r="BF268" s="677"/>
      <c r="BG268" s="677"/>
      <c r="BH268" s="677"/>
      <c r="BI268" s="677"/>
      <c r="BJ268" s="677"/>
      <c r="BK268" s="677"/>
      <c r="BL268" s="677"/>
      <c r="BM268" s="677"/>
      <c r="BN268" s="1149"/>
      <c r="BO268" s="1149"/>
      <c r="BP268" s="1149"/>
      <c r="BQ268" s="1177"/>
      <c r="BR268" s="1177"/>
      <c r="BS268" s="966" t="s">
        <v>1971</v>
      </c>
      <c r="BT268" s="966"/>
      <c r="BU268" s="966"/>
      <c r="BV268" s="881"/>
      <c r="BW268" s="881"/>
    </row>
    <row r="269" spans="1:75" s="1327" customFormat="1" ht="14.25" hidden="1" customHeight="1">
      <c r="A269" s="1177"/>
      <c r="B269" s="774" t="b" cm="1">
        <f t="array" ref="B269">B268</f>
        <v>0</v>
      </c>
      <c r="C269" s="26"/>
      <c r="D269" s="26"/>
      <c r="E269" s="538">
        <v>15</v>
      </c>
      <c r="F269" s="3" t="str" cm="1">
        <f t="array" aca="1" ref="F269" ca="1">OFFSET(E269,-1,1)</f>
        <v>1</v>
      </c>
      <c r="G269" s="26"/>
      <c r="H269" s="26"/>
      <c r="I269" s="26"/>
      <c r="J269" s="26"/>
      <c r="K269" s="26" t="s">
        <v>505</v>
      </c>
      <c r="L269" s="882"/>
      <c r="M269" s="26"/>
      <c r="N269" s="26"/>
      <c r="O269" s="26"/>
      <c r="P269" s="26"/>
      <c r="Q269" s="26"/>
      <c r="R269" s="26"/>
      <c r="S269" s="26"/>
      <c r="T269" s="774" t="b" cm="1">
        <f t="array" aca="1" ref="T269" ca="1">T268</f>
        <v>1</v>
      </c>
      <c r="U269" s="26"/>
      <c r="V269" s="26"/>
      <c r="W269" s="26"/>
      <c r="X269" s="1787"/>
      <c r="Y269" s="1177"/>
      <c r="Z269" s="1735"/>
      <c r="AA269" s="1177"/>
      <c r="AB269" s="711" t="s">
        <v>642</v>
      </c>
      <c r="AC269" s="710" t="s">
        <v>1972</v>
      </c>
      <c r="AD269" s="711" t="s">
        <v>1973</v>
      </c>
      <c r="AE269" s="1148"/>
      <c r="AF269" s="1148"/>
      <c r="AG269" s="1148"/>
      <c r="AH269" s="677"/>
      <c r="AI269" s="1148"/>
      <c r="AJ269" s="1476"/>
      <c r="AK269" s="1148"/>
      <c r="AL269" s="1148"/>
      <c r="AM269" s="1148"/>
      <c r="AN269" s="1148"/>
      <c r="AO269" s="1148"/>
      <c r="AP269" s="1148"/>
      <c r="AQ269" s="1148"/>
      <c r="AR269" s="1148"/>
      <c r="AS269" s="1148"/>
      <c r="AT269" s="1476"/>
      <c r="AU269" s="1148"/>
      <c r="AV269" s="1148"/>
      <c r="AW269" s="1148"/>
      <c r="AX269" s="1148"/>
      <c r="AY269" s="1148"/>
      <c r="AZ269" s="1148"/>
      <c r="BA269" s="1148"/>
      <c r="BB269" s="1148"/>
      <c r="BC269" s="1148"/>
      <c r="BD269" s="677"/>
      <c r="BE269" s="677"/>
      <c r="BF269" s="677"/>
      <c r="BG269" s="677"/>
      <c r="BH269" s="677"/>
      <c r="BI269" s="677"/>
      <c r="BJ269" s="677"/>
      <c r="BK269" s="677"/>
      <c r="BL269" s="677"/>
      <c r="BM269" s="677"/>
      <c r="BN269" s="1149"/>
      <c r="BO269" s="1149"/>
      <c r="BP269" s="1149"/>
      <c r="BQ269" s="1177"/>
      <c r="BR269" s="1177"/>
      <c r="BS269" s="966" t="s">
        <v>1974</v>
      </c>
      <c r="BT269" s="966"/>
      <c r="BU269" s="966"/>
      <c r="BV269" s="881"/>
      <c r="BW269" s="881"/>
    </row>
    <row r="270" spans="1:75" s="1327" customFormat="1" ht="14.25" hidden="1" customHeight="1">
      <c r="A270" s="1177"/>
      <c r="B270" s="774" t="b" cm="1">
        <f t="array" ref="B270">B269</f>
        <v>0</v>
      </c>
      <c r="C270" s="26"/>
      <c r="D270" s="26"/>
      <c r="E270" s="538">
        <v>15</v>
      </c>
      <c r="F270" s="3" t="str" cm="1">
        <f t="array" aca="1" ref="F270" ca="1">OFFSET(E270,-1,1)</f>
        <v>1</v>
      </c>
      <c r="G270" s="26"/>
      <c r="H270" s="26"/>
      <c r="I270" s="26"/>
      <c r="J270" s="26"/>
      <c r="K270" s="26" t="s">
        <v>326</v>
      </c>
      <c r="L270" s="882"/>
      <c r="M270" s="26"/>
      <c r="N270" s="26"/>
      <c r="O270" s="26"/>
      <c r="P270" s="26"/>
      <c r="Q270" s="26"/>
      <c r="R270" s="26"/>
      <c r="S270" s="26"/>
      <c r="T270" s="774" t="b" cm="1">
        <f t="array" aca="1" ref="T270" ca="1">T269</f>
        <v>1</v>
      </c>
      <c r="U270" s="26"/>
      <c r="V270" s="26"/>
      <c r="W270" s="26"/>
      <c r="X270" s="1787"/>
      <c r="Y270" s="1177"/>
      <c r="Z270" s="1735"/>
      <c r="AA270" s="1177"/>
      <c r="AB270" s="708" t="s">
        <v>478</v>
      </c>
      <c r="AC270" s="707" t="s">
        <v>1975</v>
      </c>
      <c r="AD270" s="708" t="s">
        <v>766</v>
      </c>
      <c r="AE270" s="1146"/>
      <c r="AF270" s="1146"/>
      <c r="AG270" s="1146"/>
      <c r="AH270" s="675">
        <f>AG270-AF270</f>
        <v>0</v>
      </c>
      <c r="AI270" s="1146"/>
      <c r="AJ270" s="1475"/>
      <c r="AK270" s="1146"/>
      <c r="AL270" s="1146"/>
      <c r="AM270" s="1146"/>
      <c r="AN270" s="1146"/>
      <c r="AO270" s="1146"/>
      <c r="AP270" s="1146"/>
      <c r="AQ270" s="1146"/>
      <c r="AR270" s="1146"/>
      <c r="AS270" s="1146"/>
      <c r="AT270" s="1475"/>
      <c r="AU270" s="1146"/>
      <c r="AV270" s="1146"/>
      <c r="AW270" s="1146"/>
      <c r="AX270" s="1146"/>
      <c r="AY270" s="1146"/>
      <c r="AZ270" s="1146"/>
      <c r="BA270" s="1146"/>
      <c r="BB270" s="1146"/>
      <c r="BC270" s="1146"/>
      <c r="BD270" s="675">
        <f>IF(AI270=0,0,(AT270-AI270)/AI270*100)</f>
        <v>0</v>
      </c>
      <c r="BE270" s="675">
        <f t="shared" ref="BE270:BM270" si="71">IF(AT270=0,0,(AU270-AT270)/AT270*100)</f>
        <v>0</v>
      </c>
      <c r="BF270" s="675">
        <f t="shared" si="71"/>
        <v>0</v>
      </c>
      <c r="BG270" s="675">
        <f t="shared" si="71"/>
        <v>0</v>
      </c>
      <c r="BH270" s="675">
        <f t="shared" si="71"/>
        <v>0</v>
      </c>
      <c r="BI270" s="675">
        <f t="shared" si="71"/>
        <v>0</v>
      </c>
      <c r="BJ270" s="675">
        <f t="shared" si="71"/>
        <v>0</v>
      </c>
      <c r="BK270" s="675">
        <f t="shared" si="71"/>
        <v>0</v>
      </c>
      <c r="BL270" s="675">
        <f t="shared" si="71"/>
        <v>0</v>
      </c>
      <c r="BM270" s="675">
        <f t="shared" si="71"/>
        <v>0</v>
      </c>
      <c r="BN270" s="1147"/>
      <c r="BO270" s="1147"/>
      <c r="BP270" s="1147"/>
      <c r="BQ270" s="1177"/>
      <c r="BR270" s="1177"/>
      <c r="BS270" s="966" t="s">
        <v>1976</v>
      </c>
      <c r="BT270" s="966"/>
      <c r="BU270" s="966"/>
      <c r="BV270" s="881"/>
      <c r="BW270" s="881"/>
    </row>
    <row r="271" spans="1:75" s="1327" customFormat="1" ht="14.25" hidden="1" customHeight="1">
      <c r="A271" s="1177"/>
      <c r="B271" s="774" t="b" cm="1">
        <f t="array" ref="B271">B270</f>
        <v>0</v>
      </c>
      <c r="C271" s="26"/>
      <c r="D271" s="26"/>
      <c r="E271" s="538">
        <v>15</v>
      </c>
      <c r="F271" s="3" t="str" cm="1">
        <f t="array" aca="1" ref="F271" ca="1">OFFSET(E271,-1,1)</f>
        <v>1</v>
      </c>
      <c r="G271" s="26"/>
      <c r="H271" s="26"/>
      <c r="I271" s="26"/>
      <c r="J271" s="26"/>
      <c r="K271" s="26" t="s">
        <v>515</v>
      </c>
      <c r="L271" s="882"/>
      <c r="M271" s="26"/>
      <c r="N271" s="26"/>
      <c r="O271" s="26"/>
      <c r="P271" s="26"/>
      <c r="Q271" s="26"/>
      <c r="R271" s="26"/>
      <c r="S271" s="26"/>
      <c r="T271" s="774" t="b" cm="1">
        <f t="array" aca="1" ref="T271" ca="1">T270</f>
        <v>1</v>
      </c>
      <c r="U271" s="26"/>
      <c r="V271" s="26"/>
      <c r="W271" s="26"/>
      <c r="X271" s="1787"/>
      <c r="Y271" s="1177"/>
      <c r="Z271" s="1735"/>
      <c r="AA271" s="1177"/>
      <c r="AB271" s="711" t="s">
        <v>646</v>
      </c>
      <c r="AC271" s="710" t="s">
        <v>1977</v>
      </c>
      <c r="AD271" s="711" t="s">
        <v>766</v>
      </c>
      <c r="AE271" s="1148"/>
      <c r="AF271" s="1148"/>
      <c r="AG271" s="1148"/>
      <c r="AH271" s="677"/>
      <c r="AI271" s="1148"/>
      <c r="AJ271" s="1476"/>
      <c r="AK271" s="1148"/>
      <c r="AL271" s="1148"/>
      <c r="AM271" s="1148"/>
      <c r="AN271" s="1148"/>
      <c r="AO271" s="1148"/>
      <c r="AP271" s="1148"/>
      <c r="AQ271" s="1148"/>
      <c r="AR271" s="1148"/>
      <c r="AS271" s="1148"/>
      <c r="AT271" s="1476"/>
      <c r="AU271" s="1148"/>
      <c r="AV271" s="1148"/>
      <c r="AW271" s="1148"/>
      <c r="AX271" s="1148"/>
      <c r="AY271" s="1148"/>
      <c r="AZ271" s="1148"/>
      <c r="BA271" s="1148"/>
      <c r="BB271" s="1148"/>
      <c r="BC271" s="1148"/>
      <c r="BD271" s="677"/>
      <c r="BE271" s="677"/>
      <c r="BF271" s="677"/>
      <c r="BG271" s="677"/>
      <c r="BH271" s="677"/>
      <c r="BI271" s="677"/>
      <c r="BJ271" s="677"/>
      <c r="BK271" s="677"/>
      <c r="BL271" s="677"/>
      <c r="BM271" s="677"/>
      <c r="BN271" s="1149"/>
      <c r="BO271" s="1149"/>
      <c r="BP271" s="1149"/>
      <c r="BQ271" s="1177"/>
      <c r="BR271" s="1177"/>
      <c r="BS271" s="966" t="s">
        <v>1978</v>
      </c>
      <c r="BT271" s="966"/>
      <c r="BU271" s="966"/>
      <c r="BV271" s="881"/>
      <c r="BW271" s="881"/>
    </row>
    <row r="272" spans="1:75" s="1327" customFormat="1" ht="14.25" hidden="1" customHeight="1">
      <c r="A272" s="1177"/>
      <c r="B272" s="774" t="b" cm="1">
        <f t="array" ref="B272">B271</f>
        <v>0</v>
      </c>
      <c r="C272" s="26"/>
      <c r="D272" s="26"/>
      <c r="E272" s="538">
        <v>15</v>
      </c>
      <c r="F272" s="3" t="str" cm="1">
        <f t="array" aca="1" ref="F272" ca="1">OFFSET(E272,-1,1)</f>
        <v>1</v>
      </c>
      <c r="G272" s="26"/>
      <c r="H272" s="26"/>
      <c r="I272" s="26"/>
      <c r="J272" s="26"/>
      <c r="K272" s="26" t="s">
        <v>519</v>
      </c>
      <c r="L272" s="882"/>
      <c r="M272" s="26"/>
      <c r="N272" s="26"/>
      <c r="O272" s="26"/>
      <c r="P272" s="26"/>
      <c r="Q272" s="26"/>
      <c r="R272" s="26"/>
      <c r="S272" s="26"/>
      <c r="T272" s="774" t="b" cm="1">
        <f t="array" aca="1" ref="T272" ca="1">T271</f>
        <v>1</v>
      </c>
      <c r="U272" s="26"/>
      <c r="V272" s="26"/>
      <c r="W272" s="26"/>
      <c r="X272" s="1787"/>
      <c r="Y272" s="1177"/>
      <c r="Z272" s="1735"/>
      <c r="AA272" s="1177"/>
      <c r="AB272" s="711" t="s">
        <v>649</v>
      </c>
      <c r="AC272" s="710" t="s">
        <v>1979</v>
      </c>
      <c r="AD272" s="711" t="s">
        <v>423</v>
      </c>
      <c r="AE272" s="1148"/>
      <c r="AF272" s="1148"/>
      <c r="AG272" s="1148"/>
      <c r="AH272" s="677"/>
      <c r="AI272" s="1148"/>
      <c r="AJ272" s="1476"/>
      <c r="AK272" s="1148"/>
      <c r="AL272" s="1148"/>
      <c r="AM272" s="1148"/>
      <c r="AN272" s="1148"/>
      <c r="AO272" s="1148"/>
      <c r="AP272" s="1148"/>
      <c r="AQ272" s="1148"/>
      <c r="AR272" s="1148"/>
      <c r="AS272" s="1148"/>
      <c r="AT272" s="1476"/>
      <c r="AU272" s="1148"/>
      <c r="AV272" s="1148"/>
      <c r="AW272" s="1148"/>
      <c r="AX272" s="1148"/>
      <c r="AY272" s="1148"/>
      <c r="AZ272" s="1148"/>
      <c r="BA272" s="1148"/>
      <c r="BB272" s="1148"/>
      <c r="BC272" s="1148"/>
      <c r="BD272" s="677"/>
      <c r="BE272" s="677"/>
      <c r="BF272" s="677"/>
      <c r="BG272" s="677"/>
      <c r="BH272" s="677"/>
      <c r="BI272" s="677"/>
      <c r="BJ272" s="677"/>
      <c r="BK272" s="677"/>
      <c r="BL272" s="677"/>
      <c r="BM272" s="677"/>
      <c r="BN272" s="1149"/>
      <c r="BO272" s="1149"/>
      <c r="BP272" s="1149"/>
      <c r="BQ272" s="1177"/>
      <c r="BR272" s="1177"/>
      <c r="BS272" s="966" t="s">
        <v>1980</v>
      </c>
      <c r="BT272" s="966"/>
      <c r="BU272" s="966"/>
      <c r="BV272" s="881"/>
      <c r="BW272" s="881"/>
    </row>
    <row r="273" spans="1:75" s="1327" customFormat="1" ht="14.25" hidden="1" customHeight="1">
      <c r="A273" s="1177"/>
      <c r="B273" s="774" t="b" cm="1">
        <f t="array" ref="B273">B272</f>
        <v>0</v>
      </c>
      <c r="C273" s="26"/>
      <c r="D273" s="26"/>
      <c r="E273" s="538">
        <v>15</v>
      </c>
      <c r="F273" s="3" t="str" cm="1">
        <f t="array" aca="1" ref="F273" ca="1">OFFSET(E273,-1,1)</f>
        <v>1</v>
      </c>
      <c r="G273" s="26"/>
      <c r="H273" s="26"/>
      <c r="I273" s="26"/>
      <c r="J273" s="26"/>
      <c r="K273" s="26" t="s">
        <v>736</v>
      </c>
      <c r="L273" s="882"/>
      <c r="M273" s="26"/>
      <c r="N273" s="26"/>
      <c r="O273" s="26"/>
      <c r="P273" s="26"/>
      <c r="Q273" s="26"/>
      <c r="R273" s="26"/>
      <c r="S273" s="26"/>
      <c r="T273" s="774" t="b" cm="1">
        <f t="array" aca="1" ref="T273" ca="1">T272</f>
        <v>1</v>
      </c>
      <c r="U273" s="26"/>
      <c r="V273" s="26"/>
      <c r="W273" s="26"/>
      <c r="X273" s="1787"/>
      <c r="Y273" s="1177"/>
      <c r="Z273" s="1735"/>
      <c r="AA273" s="1177"/>
      <c r="AB273" s="711" t="s">
        <v>876</v>
      </c>
      <c r="AC273" s="710" t="s">
        <v>1981</v>
      </c>
      <c r="AD273" s="711" t="s">
        <v>766</v>
      </c>
      <c r="AE273" s="1148"/>
      <c r="AF273" s="1148"/>
      <c r="AG273" s="1148"/>
      <c r="AH273" s="677"/>
      <c r="AI273" s="1148"/>
      <c r="AJ273" s="1476"/>
      <c r="AK273" s="1148"/>
      <c r="AL273" s="1148"/>
      <c r="AM273" s="1148"/>
      <c r="AN273" s="1148"/>
      <c r="AO273" s="1148"/>
      <c r="AP273" s="1148"/>
      <c r="AQ273" s="1148"/>
      <c r="AR273" s="1148"/>
      <c r="AS273" s="1148"/>
      <c r="AT273" s="1476"/>
      <c r="AU273" s="1148"/>
      <c r="AV273" s="1148"/>
      <c r="AW273" s="1148"/>
      <c r="AX273" s="1148"/>
      <c r="AY273" s="1148"/>
      <c r="AZ273" s="1148"/>
      <c r="BA273" s="1148"/>
      <c r="BB273" s="1148"/>
      <c r="BC273" s="1148"/>
      <c r="BD273" s="677"/>
      <c r="BE273" s="677"/>
      <c r="BF273" s="677"/>
      <c r="BG273" s="677"/>
      <c r="BH273" s="677"/>
      <c r="BI273" s="677"/>
      <c r="BJ273" s="677"/>
      <c r="BK273" s="677"/>
      <c r="BL273" s="677"/>
      <c r="BM273" s="677"/>
      <c r="BN273" s="1149"/>
      <c r="BO273" s="1149"/>
      <c r="BP273" s="1149"/>
      <c r="BQ273" s="1177"/>
      <c r="BR273" s="1177"/>
      <c r="BS273" s="966" t="s">
        <v>1982</v>
      </c>
      <c r="BT273" s="966"/>
      <c r="BU273" s="966"/>
      <c r="BV273" s="881"/>
      <c r="BW273" s="881"/>
    </row>
    <row r="274" spans="1:75" s="1327" customFormat="1" ht="14.25" hidden="1" customHeight="1">
      <c r="A274" s="1177"/>
      <c r="B274" s="774" t="b" cm="1">
        <f t="array" ref="B274">B273</f>
        <v>0</v>
      </c>
      <c r="C274" s="26"/>
      <c r="D274" s="26"/>
      <c r="E274" s="538">
        <v>15</v>
      </c>
      <c r="F274" s="3" t="str" cm="1">
        <f t="array" aca="1" ref="F274" ca="1">OFFSET(E274,-1,1)</f>
        <v>1</v>
      </c>
      <c r="G274" s="26"/>
      <c r="H274" s="26"/>
      <c r="I274" s="26"/>
      <c r="J274" s="26"/>
      <c r="K274" s="26" t="s">
        <v>878</v>
      </c>
      <c r="L274" s="882"/>
      <c r="M274" s="26"/>
      <c r="N274" s="26"/>
      <c r="O274" s="26"/>
      <c r="P274" s="26"/>
      <c r="Q274" s="26"/>
      <c r="R274" s="26"/>
      <c r="S274" s="26"/>
      <c r="T274" s="774" t="b" cm="1">
        <f t="array" aca="1" ref="T274" ca="1">T273</f>
        <v>1</v>
      </c>
      <c r="U274" s="26"/>
      <c r="V274" s="26"/>
      <c r="W274" s="26"/>
      <c r="X274" s="1787"/>
      <c r="Y274" s="1177"/>
      <c r="Z274" s="1735"/>
      <c r="AA274" s="1177"/>
      <c r="AB274" s="711" t="s">
        <v>879</v>
      </c>
      <c r="AC274" s="710" t="s">
        <v>1983</v>
      </c>
      <c r="AD274" s="711" t="s">
        <v>766</v>
      </c>
      <c r="AE274" s="1148"/>
      <c r="AF274" s="1148"/>
      <c r="AG274" s="1148"/>
      <c r="AH274" s="677"/>
      <c r="AI274" s="1148"/>
      <c r="AJ274" s="1476"/>
      <c r="AK274" s="1148"/>
      <c r="AL274" s="1148"/>
      <c r="AM274" s="1148"/>
      <c r="AN274" s="1148"/>
      <c r="AO274" s="1148"/>
      <c r="AP274" s="1148"/>
      <c r="AQ274" s="1148"/>
      <c r="AR274" s="1148"/>
      <c r="AS274" s="1148"/>
      <c r="AT274" s="1476"/>
      <c r="AU274" s="1148"/>
      <c r="AV274" s="1148"/>
      <c r="AW274" s="1148"/>
      <c r="AX274" s="1148"/>
      <c r="AY274" s="1148"/>
      <c r="AZ274" s="1148"/>
      <c r="BA274" s="1148"/>
      <c r="BB274" s="1148"/>
      <c r="BC274" s="1148"/>
      <c r="BD274" s="677"/>
      <c r="BE274" s="677"/>
      <c r="BF274" s="677"/>
      <c r="BG274" s="677"/>
      <c r="BH274" s="677"/>
      <c r="BI274" s="677"/>
      <c r="BJ274" s="677"/>
      <c r="BK274" s="677"/>
      <c r="BL274" s="677"/>
      <c r="BM274" s="677"/>
      <c r="BN274" s="1149"/>
      <c r="BO274" s="1149"/>
      <c r="BP274" s="1149"/>
      <c r="BQ274" s="1177"/>
      <c r="BR274" s="1177"/>
      <c r="BS274" s="966" t="s">
        <v>1984</v>
      </c>
      <c r="BT274" s="966"/>
      <c r="BU274" s="966"/>
      <c r="BV274" s="881"/>
      <c r="BW274" s="881"/>
    </row>
    <row r="275" spans="1:75" s="1327" customFormat="1" ht="14.25" hidden="1" customHeight="1">
      <c r="A275" s="1177"/>
      <c r="B275" s="774" t="b" cm="1">
        <f t="array" ref="B275">B274</f>
        <v>0</v>
      </c>
      <c r="C275" s="26"/>
      <c r="D275" s="26"/>
      <c r="E275" s="538">
        <v>15</v>
      </c>
      <c r="F275" s="3" t="str" cm="1">
        <f t="array" aca="1" ref="F275" ca="1">OFFSET(E275,-1,1)</f>
        <v>1</v>
      </c>
      <c r="G275" s="26"/>
      <c r="H275" s="26"/>
      <c r="I275" s="26"/>
      <c r="J275" s="26"/>
      <c r="K275" s="26" t="s">
        <v>1985</v>
      </c>
      <c r="L275" s="882"/>
      <c r="M275" s="26"/>
      <c r="N275" s="26"/>
      <c r="O275" s="26"/>
      <c r="P275" s="26"/>
      <c r="Q275" s="26"/>
      <c r="R275" s="26"/>
      <c r="S275" s="26"/>
      <c r="T275" s="774" t="b" cm="1">
        <f t="array" aca="1" ref="T275" ca="1">T274</f>
        <v>1</v>
      </c>
      <c r="U275" s="26"/>
      <c r="V275" s="26"/>
      <c r="W275" s="26"/>
      <c r="X275" s="1787"/>
      <c r="Y275" s="1177"/>
      <c r="Z275" s="1735"/>
      <c r="AA275" s="1177"/>
      <c r="AB275" s="711" t="s">
        <v>1986</v>
      </c>
      <c r="AC275" s="712" t="s">
        <v>1987</v>
      </c>
      <c r="AD275" s="711" t="s">
        <v>423</v>
      </c>
      <c r="AE275" s="1148"/>
      <c r="AF275" s="1148"/>
      <c r="AG275" s="1148"/>
      <c r="AH275" s="677"/>
      <c r="AI275" s="1148"/>
      <c r="AJ275" s="1476"/>
      <c r="AK275" s="1148"/>
      <c r="AL275" s="1148"/>
      <c r="AM275" s="1148"/>
      <c r="AN275" s="1148"/>
      <c r="AO275" s="1148"/>
      <c r="AP275" s="1148"/>
      <c r="AQ275" s="1148"/>
      <c r="AR275" s="1148"/>
      <c r="AS275" s="1148"/>
      <c r="AT275" s="1476"/>
      <c r="AU275" s="1148"/>
      <c r="AV275" s="1148"/>
      <c r="AW275" s="1148"/>
      <c r="AX275" s="1148"/>
      <c r="AY275" s="1148"/>
      <c r="AZ275" s="1148"/>
      <c r="BA275" s="1148"/>
      <c r="BB275" s="1148"/>
      <c r="BC275" s="1148"/>
      <c r="BD275" s="677"/>
      <c r="BE275" s="677"/>
      <c r="BF275" s="677"/>
      <c r="BG275" s="677"/>
      <c r="BH275" s="677"/>
      <c r="BI275" s="677"/>
      <c r="BJ275" s="677"/>
      <c r="BK275" s="677"/>
      <c r="BL275" s="677"/>
      <c r="BM275" s="677"/>
      <c r="BN275" s="1149"/>
      <c r="BO275" s="1149"/>
      <c r="BP275" s="1149"/>
      <c r="BQ275" s="1177"/>
      <c r="BR275" s="1177"/>
      <c r="BS275" s="966" t="s">
        <v>1988</v>
      </c>
      <c r="BT275" s="966"/>
      <c r="BU275" s="966"/>
      <c r="BV275" s="881"/>
      <c r="BW275" s="881"/>
    </row>
    <row r="276" spans="1:75" s="1327" customFormat="1" ht="14.25" hidden="1" customHeight="1">
      <c r="A276" s="1177"/>
      <c r="B276" s="774" t="b" cm="1">
        <f t="array" ref="B276">B275</f>
        <v>0</v>
      </c>
      <c r="C276" s="26"/>
      <c r="D276" s="26"/>
      <c r="E276" s="538">
        <v>15</v>
      </c>
      <c r="F276" s="3" t="str" cm="1">
        <f t="array" aca="1" ref="F276" ca="1">OFFSET(E276,-1,1)</f>
        <v>1</v>
      </c>
      <c r="G276" s="26"/>
      <c r="H276" s="26"/>
      <c r="I276" s="26"/>
      <c r="J276" s="26"/>
      <c r="K276" s="26" t="s">
        <v>881</v>
      </c>
      <c r="L276" s="882"/>
      <c r="M276" s="26"/>
      <c r="N276" s="26"/>
      <c r="O276" s="26"/>
      <c r="P276" s="26"/>
      <c r="Q276" s="26"/>
      <c r="R276" s="26"/>
      <c r="S276" s="26"/>
      <c r="T276" s="774" t="b" cm="1">
        <f t="array" aca="1" ref="T276" ca="1">T275</f>
        <v>1</v>
      </c>
      <c r="U276" s="26"/>
      <c r="V276" s="26"/>
      <c r="W276" s="26"/>
      <c r="X276" s="1787"/>
      <c r="Y276" s="1177"/>
      <c r="Z276" s="1735"/>
      <c r="AA276" s="1177"/>
      <c r="AB276" s="711" t="s">
        <v>882</v>
      </c>
      <c r="AC276" s="710" t="s">
        <v>1989</v>
      </c>
      <c r="AD276" s="711" t="s">
        <v>423</v>
      </c>
      <c r="AE276" s="1148"/>
      <c r="AF276" s="1148"/>
      <c r="AG276" s="1148"/>
      <c r="AH276" s="677"/>
      <c r="AI276" s="1148"/>
      <c r="AJ276" s="1476"/>
      <c r="AK276" s="1148"/>
      <c r="AL276" s="1148"/>
      <c r="AM276" s="1148"/>
      <c r="AN276" s="1148"/>
      <c r="AO276" s="1148"/>
      <c r="AP276" s="1148"/>
      <c r="AQ276" s="1148"/>
      <c r="AR276" s="1148"/>
      <c r="AS276" s="1148"/>
      <c r="AT276" s="1476"/>
      <c r="AU276" s="1148"/>
      <c r="AV276" s="1148"/>
      <c r="AW276" s="1148"/>
      <c r="AX276" s="1148"/>
      <c r="AY276" s="1148"/>
      <c r="AZ276" s="1148"/>
      <c r="BA276" s="1148"/>
      <c r="BB276" s="1148"/>
      <c r="BC276" s="1148"/>
      <c r="BD276" s="677"/>
      <c r="BE276" s="677"/>
      <c r="BF276" s="677"/>
      <c r="BG276" s="677"/>
      <c r="BH276" s="677"/>
      <c r="BI276" s="677"/>
      <c r="BJ276" s="677"/>
      <c r="BK276" s="677"/>
      <c r="BL276" s="677"/>
      <c r="BM276" s="677"/>
      <c r="BN276" s="1149"/>
      <c r="BO276" s="1149"/>
      <c r="BP276" s="1149"/>
      <c r="BQ276" s="1177"/>
      <c r="BR276" s="1177"/>
      <c r="BS276" s="966" t="s">
        <v>1990</v>
      </c>
      <c r="BT276" s="966"/>
      <c r="BU276" s="966"/>
      <c r="BV276" s="881"/>
      <c r="BW276" s="881"/>
    </row>
    <row r="277" spans="1:75" s="1327" customFormat="1" ht="14.25" hidden="1" customHeight="1">
      <c r="A277" s="1177"/>
      <c r="B277" s="774" t="b" cm="1">
        <f t="array" ref="B277">B276</f>
        <v>0</v>
      </c>
      <c r="C277" s="26"/>
      <c r="D277" s="26"/>
      <c r="E277" s="538">
        <v>15</v>
      </c>
      <c r="F277" s="3" t="str" cm="1">
        <f t="array" aca="1" ref="F277" ca="1">OFFSET(E277,-1,1)</f>
        <v>1</v>
      </c>
      <c r="G277" s="26"/>
      <c r="H277" s="26"/>
      <c r="I277" s="26"/>
      <c r="J277" s="26"/>
      <c r="K277" s="26" t="s">
        <v>1991</v>
      </c>
      <c r="L277" s="882"/>
      <c r="M277" s="26"/>
      <c r="N277" s="26"/>
      <c r="O277" s="26"/>
      <c r="P277" s="26"/>
      <c r="Q277" s="26"/>
      <c r="R277" s="26"/>
      <c r="S277" s="26"/>
      <c r="T277" s="774" t="b" cm="1">
        <f t="array" aca="1" ref="T277" ca="1">T276</f>
        <v>1</v>
      </c>
      <c r="U277" s="26"/>
      <c r="V277" s="26"/>
      <c r="W277" s="26"/>
      <c r="X277" s="1787"/>
      <c r="Y277" s="1177"/>
      <c r="Z277" s="1735"/>
      <c r="AA277" s="1177"/>
      <c r="AB277" s="711" t="s">
        <v>1992</v>
      </c>
      <c r="AC277" s="712" t="s">
        <v>1993</v>
      </c>
      <c r="AD277" s="711" t="s">
        <v>423</v>
      </c>
      <c r="AE277" s="1148"/>
      <c r="AF277" s="1148"/>
      <c r="AG277" s="1148"/>
      <c r="AH277" s="677"/>
      <c r="AI277" s="1148"/>
      <c r="AJ277" s="1476"/>
      <c r="AK277" s="1148"/>
      <c r="AL277" s="1148"/>
      <c r="AM277" s="1148"/>
      <c r="AN277" s="1148"/>
      <c r="AO277" s="1148"/>
      <c r="AP277" s="1148"/>
      <c r="AQ277" s="1148"/>
      <c r="AR277" s="1148"/>
      <c r="AS277" s="1148"/>
      <c r="AT277" s="1476"/>
      <c r="AU277" s="1148"/>
      <c r="AV277" s="1148"/>
      <c r="AW277" s="1148"/>
      <c r="AX277" s="1148"/>
      <c r="AY277" s="1148"/>
      <c r="AZ277" s="1148"/>
      <c r="BA277" s="1148"/>
      <c r="BB277" s="1148"/>
      <c r="BC277" s="1148"/>
      <c r="BD277" s="677"/>
      <c r="BE277" s="677"/>
      <c r="BF277" s="677"/>
      <c r="BG277" s="677"/>
      <c r="BH277" s="677"/>
      <c r="BI277" s="677"/>
      <c r="BJ277" s="677"/>
      <c r="BK277" s="677"/>
      <c r="BL277" s="677"/>
      <c r="BM277" s="677"/>
      <c r="BN277" s="1149"/>
      <c r="BO277" s="1149"/>
      <c r="BP277" s="1149"/>
      <c r="BQ277" s="1177"/>
      <c r="BR277" s="1177"/>
      <c r="BS277" s="966" t="s">
        <v>1994</v>
      </c>
      <c r="BT277" s="966"/>
      <c r="BU277" s="966"/>
      <c r="BV277" s="881"/>
      <c r="BW277" s="881"/>
    </row>
    <row r="278" spans="1:75" s="1327" customFormat="1" ht="14.25" hidden="1" customHeight="1">
      <c r="A278" s="1177"/>
      <c r="B278" s="774" t="b" cm="1">
        <f t="array" ref="B278">B277</f>
        <v>0</v>
      </c>
      <c r="C278" s="26"/>
      <c r="D278" s="26"/>
      <c r="E278" s="538">
        <v>15</v>
      </c>
      <c r="F278" s="3" t="str" cm="1">
        <f t="array" aca="1" ref="F278" ca="1">OFFSET(E278,-1,1)</f>
        <v>1</v>
      </c>
      <c r="G278" s="26"/>
      <c r="H278" s="26"/>
      <c r="I278" s="26"/>
      <c r="J278" s="26"/>
      <c r="K278" s="26" t="s">
        <v>1995</v>
      </c>
      <c r="L278" s="882"/>
      <c r="M278" s="26"/>
      <c r="N278" s="26"/>
      <c r="O278" s="26"/>
      <c r="P278" s="26"/>
      <c r="Q278" s="26"/>
      <c r="R278" s="26"/>
      <c r="S278" s="26"/>
      <c r="T278" s="774" t="b" cm="1">
        <f t="array" aca="1" ref="T278" ca="1">T277</f>
        <v>1</v>
      </c>
      <c r="U278" s="26"/>
      <c r="V278" s="26"/>
      <c r="W278" s="26"/>
      <c r="X278" s="1787"/>
      <c r="Y278" s="1177"/>
      <c r="Z278" s="1735"/>
      <c r="AA278" s="1177"/>
      <c r="AB278" s="711" t="s">
        <v>1996</v>
      </c>
      <c r="AC278" s="712" t="s">
        <v>1997</v>
      </c>
      <c r="AD278" s="711" t="s">
        <v>423</v>
      </c>
      <c r="AE278" s="1148"/>
      <c r="AF278" s="1148"/>
      <c r="AG278" s="1148"/>
      <c r="AH278" s="677"/>
      <c r="AI278" s="1148"/>
      <c r="AJ278" s="1476"/>
      <c r="AK278" s="1148"/>
      <c r="AL278" s="1148"/>
      <c r="AM278" s="1148"/>
      <c r="AN278" s="1148"/>
      <c r="AO278" s="1148"/>
      <c r="AP278" s="1148"/>
      <c r="AQ278" s="1148"/>
      <c r="AR278" s="1148"/>
      <c r="AS278" s="1148"/>
      <c r="AT278" s="1476"/>
      <c r="AU278" s="1148"/>
      <c r="AV278" s="1148"/>
      <c r="AW278" s="1148"/>
      <c r="AX278" s="1148"/>
      <c r="AY278" s="1148"/>
      <c r="AZ278" s="1148"/>
      <c r="BA278" s="1148"/>
      <c r="BB278" s="1148"/>
      <c r="BC278" s="1148"/>
      <c r="BD278" s="677"/>
      <c r="BE278" s="677"/>
      <c r="BF278" s="677"/>
      <c r="BG278" s="677"/>
      <c r="BH278" s="677"/>
      <c r="BI278" s="677"/>
      <c r="BJ278" s="677"/>
      <c r="BK278" s="677"/>
      <c r="BL278" s="677"/>
      <c r="BM278" s="677"/>
      <c r="BN278" s="1149"/>
      <c r="BO278" s="1149"/>
      <c r="BP278" s="1149"/>
      <c r="BQ278" s="1177"/>
      <c r="BR278" s="1177"/>
      <c r="BS278" s="966" t="s">
        <v>1998</v>
      </c>
      <c r="BT278" s="966"/>
      <c r="BU278" s="966"/>
      <c r="BV278" s="881"/>
      <c r="BW278" s="881"/>
    </row>
    <row r="279" spans="1:75" s="1495" customFormat="1" ht="20.25" customHeight="1">
      <c r="A279" s="617"/>
      <c r="B279" s="352"/>
      <c r="C279" s="28"/>
      <c r="D279" s="28" t="str">
        <f>IF(B278,"6","7")</f>
        <v>7</v>
      </c>
      <c r="E279" s="740">
        <v>21</v>
      </c>
      <c r="F279" s="3" t="str" cm="1">
        <f t="array" aca="1" ref="F279" ca="1">OFFSET(E279,-1,1)</f>
        <v>1</v>
      </c>
      <c r="G279" s="26" t="s">
        <v>1999</v>
      </c>
      <c r="H279" s="26"/>
      <c r="I279" s="296" t="s">
        <v>2000</v>
      </c>
      <c r="J279" s="28"/>
      <c r="K279" s="292" t="s">
        <v>2000</v>
      </c>
      <c r="L279" s="887"/>
      <c r="M279" s="28"/>
      <c r="N279" s="28"/>
      <c r="O279" s="28"/>
      <c r="P279" s="28"/>
      <c r="Q279" s="28"/>
      <c r="R279" s="28"/>
      <c r="S279" s="28"/>
      <c r="T279" s="381" t="b" cm="1">
        <f t="array" aca="1" ref="T279" ca="1">T278</f>
        <v>1</v>
      </c>
      <c r="U279" s="28"/>
      <c r="V279" s="28"/>
      <c r="W279" s="28"/>
      <c r="X279" s="1787"/>
      <c r="Y279" s="617"/>
      <c r="Z279" s="1735"/>
      <c r="AA279" s="617"/>
      <c r="AB279" s="129" t="str" cm="1">
        <f t="array" ref="AB279">D279</f>
        <v>7</v>
      </c>
      <c r="AC279" s="137" t="s">
        <v>1440</v>
      </c>
      <c r="AD279" s="129" t="s">
        <v>766</v>
      </c>
      <c r="AE279" s="1477"/>
      <c r="AF279" s="1477"/>
      <c r="AG279" s="1477"/>
      <c r="AH279" s="692">
        <f>AG279-AF279</f>
        <v>0</v>
      </c>
      <c r="AI279" s="1477"/>
      <c r="AJ279" s="1473">
        <f ca="1">SUMIFS('Корректировка НВВ'!$AF$25:$AF$129,'Корректировка НВВ'!$F$25:$F$129,$F279,'Корректировка НВВ'!$I$25:$I$129,$G279)</f>
        <v>0</v>
      </c>
      <c r="AK279" s="1477"/>
      <c r="AL279" s="1477"/>
      <c r="AM279" s="1477"/>
      <c r="AN279" s="1477"/>
      <c r="AO279" s="1477"/>
      <c r="AP279" s="1477"/>
      <c r="AQ279" s="1477"/>
      <c r="AR279" s="1477"/>
      <c r="AS279" s="1477"/>
      <c r="AT279" s="1473">
        <f ca="1">SUMIFS('Корректировка НВВ'!$AG$25:$AG$129,'Корректировка НВВ'!$F$25:$F$129,$F279,'Корректировка НВВ'!$I$25:$I$129,$G279)</f>
        <v>0</v>
      </c>
      <c r="AU279" s="1477"/>
      <c r="AV279" s="1477"/>
      <c r="AW279" s="1477"/>
      <c r="AX279" s="1477"/>
      <c r="AY279" s="1477"/>
      <c r="AZ279" s="1477"/>
      <c r="BA279" s="1477"/>
      <c r="BB279" s="1477"/>
      <c r="BC279" s="1477"/>
      <c r="BD279" s="692">
        <f>IF(AI279=0,0,(AT279-AI279)/AI279*100)</f>
        <v>0</v>
      </c>
      <c r="BE279" s="692">
        <f t="shared" ref="BE279:BM279" ca="1" si="72">IF(AT279=0,0,(AU279-AT279)/AT279*100)</f>
        <v>0</v>
      </c>
      <c r="BF279" s="692">
        <f t="shared" si="72"/>
        <v>0</v>
      </c>
      <c r="BG279" s="692">
        <f t="shared" si="72"/>
        <v>0</v>
      </c>
      <c r="BH279" s="692">
        <f t="shared" si="72"/>
        <v>0</v>
      </c>
      <c r="BI279" s="692">
        <f t="shared" si="72"/>
        <v>0</v>
      </c>
      <c r="BJ279" s="692">
        <f t="shared" si="72"/>
        <v>0</v>
      </c>
      <c r="BK279" s="692">
        <f t="shared" si="72"/>
        <v>0</v>
      </c>
      <c r="BL279" s="692">
        <f t="shared" si="72"/>
        <v>0</v>
      </c>
      <c r="BM279" s="692">
        <f t="shared" si="72"/>
        <v>0</v>
      </c>
      <c r="BN279" s="1483"/>
      <c r="BO279" s="1484" t="str">
        <f ca="1">IF(IFERROR(INDEX('Корректировка НВВ'!$K$26:$L$129,MATCH($F279&amp;"11komm",'Корректировка НВВ'!$K$26:$K$129,0),2),"")=0,"",IFERROR(INDEX('Корректировка НВВ'!$K$26:$L$129,MATCH($F279&amp;"11komm",'Корректировка НВВ'!$K$26:$K$129,0),2),""))</f>
        <v/>
      </c>
      <c r="BP279" s="1483"/>
      <c r="BQ279" s="617"/>
      <c r="BR279" s="617"/>
      <c r="BS279" s="972" t="s">
        <v>2001</v>
      </c>
      <c r="BT279" s="972"/>
      <c r="BU279" s="972"/>
      <c r="BV279" s="624"/>
      <c r="BW279" s="624"/>
    </row>
    <row r="280" spans="1:75" s="1327" customFormat="1" ht="14.25" customHeight="1">
      <c r="A280" s="1177"/>
      <c r="B280" s="880"/>
      <c r="C280" s="26"/>
      <c r="D280" s="26" t="str" cm="1">
        <f t="array" ref="D280">D279</f>
        <v>7</v>
      </c>
      <c r="E280" s="538">
        <v>15</v>
      </c>
      <c r="F280" s="3" t="str" cm="1">
        <f t="array" aca="1" ref="F280" ca="1">OFFSET(E280,-1,1)</f>
        <v>1</v>
      </c>
      <c r="G280" s="26"/>
      <c r="H280" s="26"/>
      <c r="I280" s="26"/>
      <c r="J280" s="26"/>
      <c r="K280" s="1177"/>
      <c r="L280" s="882"/>
      <c r="M280" s="26"/>
      <c r="N280" s="26"/>
      <c r="O280" s="26"/>
      <c r="P280" s="26"/>
      <c r="Q280" s="26"/>
      <c r="R280" s="26"/>
      <c r="S280" s="26"/>
      <c r="T280" s="381" t="b" cm="1">
        <f t="array" aca="1" ref="T280" ca="1">T279</f>
        <v>1</v>
      </c>
      <c r="U280" s="26"/>
      <c r="V280" s="26"/>
      <c r="W280" s="26"/>
      <c r="X280" s="1787"/>
      <c r="Y280" s="1177"/>
      <c r="Z280" s="1735"/>
      <c r="AA280" s="1177"/>
      <c r="AB280" s="216"/>
      <c r="AC280" s="369" t="s">
        <v>2002</v>
      </c>
      <c r="AD280" s="216"/>
      <c r="AE280" s="1016"/>
      <c r="AF280" s="1016"/>
      <c r="AG280" s="1016"/>
      <c r="AH280" s="1016"/>
      <c r="AI280" s="1016"/>
      <c r="AJ280" s="1016"/>
      <c r="AK280" s="1016"/>
      <c r="AL280" s="1016"/>
      <c r="AM280" s="1016"/>
      <c r="AN280" s="1016"/>
      <c r="AO280" s="1016"/>
      <c r="AP280" s="1016"/>
      <c r="AQ280" s="1016"/>
      <c r="AR280" s="1016"/>
      <c r="AS280" s="1016"/>
      <c r="AT280" s="1016"/>
      <c r="AU280" s="1016"/>
      <c r="AV280" s="1016"/>
      <c r="AW280" s="1016"/>
      <c r="AX280" s="1016"/>
      <c r="AY280" s="1016"/>
      <c r="AZ280" s="1016"/>
      <c r="BA280" s="1016"/>
      <c r="BB280" s="1016"/>
      <c r="BC280" s="1016"/>
      <c r="BD280" s="1016"/>
      <c r="BE280" s="1016"/>
      <c r="BF280" s="1016"/>
      <c r="BG280" s="1016"/>
      <c r="BH280" s="1016"/>
      <c r="BI280" s="1016"/>
      <c r="BJ280" s="1016"/>
      <c r="BK280" s="1016"/>
      <c r="BL280" s="1016"/>
      <c r="BM280" s="1016"/>
      <c r="BN280" s="1018"/>
      <c r="BO280" s="1018"/>
      <c r="BP280" s="1018"/>
      <c r="BQ280" s="1177"/>
      <c r="BR280" s="1177"/>
      <c r="BS280" s="966"/>
      <c r="BT280" s="966"/>
      <c r="BU280" s="966"/>
      <c r="BV280" s="881"/>
      <c r="BW280" s="881"/>
    </row>
    <row r="281" spans="1:75" s="1327" customFormat="1" ht="21.75" customHeight="1">
      <c r="A281" s="1177"/>
      <c r="B281" s="880"/>
      <c r="C281" s="26"/>
      <c r="D281" s="26" t="str" cm="1">
        <f t="array" ref="D281">D280</f>
        <v>7</v>
      </c>
      <c r="E281" s="538">
        <v>22.5</v>
      </c>
      <c r="F281" s="3" t="str" cm="1">
        <f t="array" aca="1" ref="F281" ca="1">OFFSET(E281,-1,1)</f>
        <v>1</v>
      </c>
      <c r="G281" s="26" t="s">
        <v>365</v>
      </c>
      <c r="H281" s="26"/>
      <c r="I281" s="26" t="s">
        <v>481</v>
      </c>
      <c r="J281" s="26"/>
      <c r="K281" s="77" t="s">
        <v>481</v>
      </c>
      <c r="L281" s="882"/>
      <c r="M281" s="26"/>
      <c r="N281" s="26"/>
      <c r="O281" s="26"/>
      <c r="P281" s="26"/>
      <c r="Q281" s="26"/>
      <c r="R281" s="26"/>
      <c r="S281" s="26"/>
      <c r="T281" s="381" t="b" cm="1">
        <f t="array" aca="1" ref="T281" ca="1">T280</f>
        <v>1</v>
      </c>
      <c r="U281" s="26"/>
      <c r="V281" s="26"/>
      <c r="W281" s="26"/>
      <c r="X281" s="1787"/>
      <c r="Y281" s="1177"/>
      <c r="Z281" s="1735"/>
      <c r="AA281" s="1177"/>
      <c r="AB281" s="216" t="str">
        <f>D281&amp;".1"</f>
        <v>7.1</v>
      </c>
      <c r="AC281" s="676" t="s">
        <v>2003</v>
      </c>
      <c r="AD281" s="216" t="s">
        <v>766</v>
      </c>
      <c r="AE281" s="1473"/>
      <c r="AF281" s="1473"/>
      <c r="AG281" s="1473"/>
      <c r="AH281" s="1015">
        <f t="shared" ref="AH281:AH294" si="73">AG281-AF281</f>
        <v>0</v>
      </c>
      <c r="AI281" s="1473"/>
      <c r="AJ281" s="1473">
        <f ca="1">SUMIFS('Корректировка НВВ'!$AF$25:$AF$129,'Корректировка НВВ'!$F$25:$F$129,$F281,'Корректировка НВВ'!$I$25:$I$129,$G281)</f>
        <v>0</v>
      </c>
      <c r="AK281" s="1473"/>
      <c r="AL281" s="1473"/>
      <c r="AM281" s="1473"/>
      <c r="AN281" s="1473"/>
      <c r="AO281" s="1473"/>
      <c r="AP281" s="1473"/>
      <c r="AQ281" s="1473"/>
      <c r="AR281" s="1473"/>
      <c r="AS281" s="1473"/>
      <c r="AT281" s="1473">
        <f ca="1">SUMIFS('Корректировка НВВ'!$AG$25:$AG$129,'Корректировка НВВ'!$F$25:$F$129,$F281,'Корректировка НВВ'!$I$25:$I$129,$G281)</f>
        <v>0</v>
      </c>
      <c r="AU281" s="1473"/>
      <c r="AV281" s="1473"/>
      <c r="AW281" s="1473"/>
      <c r="AX281" s="1473"/>
      <c r="AY281" s="1473"/>
      <c r="AZ281" s="1473"/>
      <c r="BA281" s="1473"/>
      <c r="BB281" s="1473"/>
      <c r="BC281" s="1473"/>
      <c r="BD281" s="1016"/>
      <c r="BE281" s="1016"/>
      <c r="BF281" s="1016"/>
      <c r="BG281" s="1016"/>
      <c r="BH281" s="1016"/>
      <c r="BI281" s="1016"/>
      <c r="BJ281" s="1016"/>
      <c r="BK281" s="1016"/>
      <c r="BL281" s="1016"/>
      <c r="BM281" s="1016"/>
      <c r="BN281" s="1482"/>
      <c r="BO281" s="1484" t="str">
        <f ca="1">IF(IFERROR(INDEX('Корректировка НВВ'!$K$26:$L$129,MATCH($F281&amp;"1komm",'Корректировка НВВ'!$K$26:$K$129,0),2),"")=0,"",IFERROR(INDEX('Корректировка НВВ'!$K$26:$L$129,MATCH($F281&amp;"1komm",'Корректировка НВВ'!$K$26:$K$129,0),2),""))</f>
        <v/>
      </c>
      <c r="BP281" s="1482"/>
      <c r="BQ281" s="1177"/>
      <c r="BR281" s="1177"/>
      <c r="BS281" s="966" t="s">
        <v>2004</v>
      </c>
      <c r="BT281" s="966"/>
      <c r="BU281" s="966"/>
      <c r="BV281" s="881"/>
      <c r="BW281" s="881"/>
    </row>
    <row r="282" spans="1:75" s="1327" customFormat="1" ht="98.25" customHeight="1">
      <c r="A282" s="1177"/>
      <c r="B282" s="880"/>
      <c r="C282" s="26"/>
      <c r="D282" s="26" t="str" cm="1">
        <f t="array" ref="D282">D281</f>
        <v>7</v>
      </c>
      <c r="E282" s="538">
        <v>101.25</v>
      </c>
      <c r="F282" s="3" t="str" cm="1">
        <f t="array" aca="1" ref="F282" ca="1">OFFSET(E282,-1,1)</f>
        <v>1</v>
      </c>
      <c r="G282" s="26" t="s">
        <v>2005</v>
      </c>
      <c r="H282" s="26"/>
      <c r="I282" s="26" t="s">
        <v>528</v>
      </c>
      <c r="J282" s="26"/>
      <c r="K282" s="77" t="s">
        <v>528</v>
      </c>
      <c r="L282" s="882"/>
      <c r="M282" s="26"/>
      <c r="N282" s="26"/>
      <c r="O282" s="26"/>
      <c r="P282" s="26"/>
      <c r="Q282" s="26"/>
      <c r="R282" s="26"/>
      <c r="S282" s="26"/>
      <c r="T282" s="381" t="b" cm="1">
        <f t="array" aca="1" ref="T282" ca="1">T281</f>
        <v>1</v>
      </c>
      <c r="U282" s="26"/>
      <c r="V282" s="26"/>
      <c r="W282" s="26"/>
      <c r="X282" s="1787"/>
      <c r="Y282" s="1177"/>
      <c r="Z282" s="1735"/>
      <c r="AA282" s="1177"/>
      <c r="AB282" s="216" t="str">
        <f>D282&amp;".2"</f>
        <v>7.2</v>
      </c>
      <c r="AC282" s="676" t="s">
        <v>2006</v>
      </c>
      <c r="AD282" s="216" t="s">
        <v>766</v>
      </c>
      <c r="AE282" s="1473"/>
      <c r="AF282" s="1473"/>
      <c r="AG282" s="1473"/>
      <c r="AH282" s="1015">
        <f t="shared" si="73"/>
        <v>0</v>
      </c>
      <c r="AI282" s="1473"/>
      <c r="AJ282" s="1473">
        <f ca="1">SUMIFS('Корректировка НВВ'!$AF$25:$AF$129,'Корректировка НВВ'!$F$25:$F$129,$F282,'Корректировка НВВ'!$I$25:$I$129,$G282)</f>
        <v>0</v>
      </c>
      <c r="AK282" s="1473"/>
      <c r="AL282" s="1473"/>
      <c r="AM282" s="1473"/>
      <c r="AN282" s="1473"/>
      <c r="AO282" s="1473"/>
      <c r="AP282" s="1473"/>
      <c r="AQ282" s="1473"/>
      <c r="AR282" s="1473"/>
      <c r="AS282" s="1473"/>
      <c r="AT282" s="1473">
        <f ca="1">SUMIFS('Корректировка НВВ'!$AG$25:$AG$129,'Корректировка НВВ'!$F$25:$F$129,$F282,'Корректировка НВВ'!$I$25:$I$129,$G282)</f>
        <v>0</v>
      </c>
      <c r="AU282" s="1473"/>
      <c r="AV282" s="1473"/>
      <c r="AW282" s="1473"/>
      <c r="AX282" s="1473"/>
      <c r="AY282" s="1473"/>
      <c r="AZ282" s="1473"/>
      <c r="BA282" s="1473"/>
      <c r="BB282" s="1473"/>
      <c r="BC282" s="1473"/>
      <c r="BD282" s="1016"/>
      <c r="BE282" s="1016"/>
      <c r="BF282" s="1016"/>
      <c r="BG282" s="1016"/>
      <c r="BH282" s="1016"/>
      <c r="BI282" s="1016"/>
      <c r="BJ282" s="1016"/>
      <c r="BK282" s="1016"/>
      <c r="BL282" s="1016"/>
      <c r="BM282" s="1016"/>
      <c r="BN282" s="1482"/>
      <c r="BO282" s="1484" t="str">
        <f ca="1">IF(IFERROR(INDEX('Корректировка НВВ'!$K$26:$L$129,MATCH($F282&amp;"2komm",'Корректировка НВВ'!$K$26:$K$129,0),2),"")=0,"",IFERROR(INDEX('Корректировка НВВ'!$K$26:$L$129,MATCH($F282&amp;"2komm",'Корректировка НВВ'!$K$26:$K$129,0),2),""))</f>
        <v/>
      </c>
      <c r="BP282" s="1482"/>
      <c r="BQ282" s="1177"/>
      <c r="BR282" s="1177"/>
      <c r="BS282" s="966" t="s">
        <v>2007</v>
      </c>
      <c r="BT282" s="966"/>
      <c r="BU282" s="966"/>
      <c r="BV282" s="881"/>
      <c r="BW282" s="881"/>
    </row>
    <row r="283" spans="1:75" s="1327" customFormat="1" ht="43.5" customHeight="1">
      <c r="A283" s="1177"/>
      <c r="B283" s="880"/>
      <c r="C283" s="26"/>
      <c r="D283" s="26" t="str" cm="1">
        <f t="array" ref="D283">D282</f>
        <v>7</v>
      </c>
      <c r="E283" s="538">
        <v>45</v>
      </c>
      <c r="F283" s="3" t="str" cm="1">
        <f t="array" aca="1" ref="F283" ca="1">OFFSET(E283,-1,1)</f>
        <v>1</v>
      </c>
      <c r="G283" s="26"/>
      <c r="H283" s="26"/>
      <c r="I283" s="26" t="s">
        <v>543</v>
      </c>
      <c r="J283" s="26"/>
      <c r="K283" s="77" t="s">
        <v>543</v>
      </c>
      <c r="L283" s="882"/>
      <c r="M283" s="26"/>
      <c r="N283" s="26"/>
      <c r="O283" s="26"/>
      <c r="P283" s="26"/>
      <c r="Q283" s="26"/>
      <c r="R283" s="26"/>
      <c r="S283" s="26"/>
      <c r="T283" s="381" t="b" cm="1">
        <f t="array" aca="1" ref="T283" ca="1">T282</f>
        <v>1</v>
      </c>
      <c r="U283" s="26"/>
      <c r="V283" s="26"/>
      <c r="W283" s="26"/>
      <c r="X283" s="1787"/>
      <c r="Y283" s="1177"/>
      <c r="Z283" s="1735"/>
      <c r="AA283" s="1177"/>
      <c r="AB283" s="216" t="str">
        <f>D283&amp;".3"</f>
        <v>7.3</v>
      </c>
      <c r="AC283" s="676" t="s">
        <v>2008</v>
      </c>
      <c r="AD283" s="216" t="s">
        <v>766</v>
      </c>
      <c r="AE283" s="1473"/>
      <c r="AF283" s="1473"/>
      <c r="AG283" s="1473"/>
      <c r="AH283" s="1015">
        <f t="shared" si="73"/>
        <v>0</v>
      </c>
      <c r="AI283" s="1473"/>
      <c r="AJ283" s="1473">
        <f ca="1">SUMIFS('Корректировка НВВ'!$AF$25:$AF$129,'Корректировка НВВ'!$F$25:$F$129,$F283,'Корректировка НВВ'!$I$25:$I$129,"L1")+SUMIFS('Корректировка НВВ'!$AF$25:$AF$129,'Корректировка НВВ'!$F$25:$F$129,$F283,'Корректировка НВВ'!$I$25:$I$129,"L2")</f>
        <v>0</v>
      </c>
      <c r="AK283" s="1473"/>
      <c r="AL283" s="1473"/>
      <c r="AM283" s="1473"/>
      <c r="AN283" s="1473"/>
      <c r="AO283" s="1473"/>
      <c r="AP283" s="1473"/>
      <c r="AQ283" s="1473"/>
      <c r="AR283" s="1473"/>
      <c r="AS283" s="1473"/>
      <c r="AT283" s="1473">
        <f ca="1">SUMIFS('Корректировка НВВ'!$AG$25:$AG$129,'Корректировка НВВ'!$F$25:$F$129,$F283,'Корректировка НВВ'!$I$25:$I$129,"L1")+SUMIFS('Корректировка НВВ'!$AF$25:$AF$129,'Корректировка НВВ'!$F$25:$F$129,$F283,'Корректировка НВВ'!$I$25:$I$129,"L2")</f>
        <v>0</v>
      </c>
      <c r="AU283" s="1473"/>
      <c r="AV283" s="1473"/>
      <c r="AW283" s="1473"/>
      <c r="AX283" s="1473"/>
      <c r="AY283" s="1473"/>
      <c r="AZ283" s="1473"/>
      <c r="BA283" s="1473"/>
      <c r="BB283" s="1473"/>
      <c r="BC283" s="1473"/>
      <c r="BD283" s="1016"/>
      <c r="BE283" s="1016"/>
      <c r="BF283" s="1016"/>
      <c r="BG283" s="1016"/>
      <c r="BH283" s="1016"/>
      <c r="BI283" s="1016"/>
      <c r="BJ283" s="1016"/>
      <c r="BK283" s="1016"/>
      <c r="BL283" s="1016"/>
      <c r="BM283" s="1016"/>
      <c r="BN283" s="1482"/>
      <c r="BO283" s="1484"/>
      <c r="BP283" s="1482"/>
      <c r="BQ283" s="1177"/>
      <c r="BR283" s="1177"/>
      <c r="BS283" s="966" t="s">
        <v>2009</v>
      </c>
      <c r="BT283" s="966"/>
      <c r="BU283" s="966"/>
      <c r="BV283" s="881"/>
      <c r="BW283" s="881"/>
    </row>
    <row r="284" spans="1:75" s="1327" customFormat="1" ht="87.75" hidden="1" customHeight="1">
      <c r="A284" s="1177"/>
      <c r="B284" s="362" t="b">
        <f>S171="Водоотведение"</f>
        <v>0</v>
      </c>
      <c r="C284" s="26"/>
      <c r="D284" s="26" t="str" cm="1">
        <f t="array" ref="D284">D283</f>
        <v>7</v>
      </c>
      <c r="E284" s="538">
        <v>90</v>
      </c>
      <c r="F284" s="3" t="str" cm="1">
        <f t="array" aca="1" ref="F284" ca="1">OFFSET(E284,-1,1)</f>
        <v>1</v>
      </c>
      <c r="G284" s="26" t="s">
        <v>2010</v>
      </c>
      <c r="H284" s="762"/>
      <c r="I284" s="26" t="s">
        <v>712</v>
      </c>
      <c r="J284" s="26"/>
      <c r="K284" s="77" t="s">
        <v>712</v>
      </c>
      <c r="L284" s="882" t="s">
        <v>709</v>
      </c>
      <c r="M284" s="26"/>
      <c r="N284" s="26"/>
      <c r="O284" s="26"/>
      <c r="P284" s="26"/>
      <c r="Q284" s="26"/>
      <c r="R284" s="26"/>
      <c r="S284" s="26"/>
      <c r="T284" s="381" t="b" cm="1">
        <f t="array" aca="1" ref="T284" ca="1">T283</f>
        <v>1</v>
      </c>
      <c r="U284" s="26"/>
      <c r="V284" s="26"/>
      <c r="W284" s="26"/>
      <c r="X284" s="1787"/>
      <c r="Y284" s="1177"/>
      <c r="Z284" s="1735"/>
      <c r="AA284" s="1177"/>
      <c r="AB284" s="216" t="str">
        <f>D284&amp;".4"</f>
        <v>7.4</v>
      </c>
      <c r="AC284" s="676" t="s">
        <v>1665</v>
      </c>
      <c r="AD284" s="680" t="s">
        <v>766</v>
      </c>
      <c r="AE284" s="1141"/>
      <c r="AF284" s="1141"/>
      <c r="AG284" s="1141"/>
      <c r="AH284" s="1015">
        <f t="shared" si="73"/>
        <v>0</v>
      </c>
      <c r="AI284" s="1141"/>
      <c r="AJ284" s="1473">
        <f ca="1">SUMIFS('Корректировка НВВ'!$AF$25:$AF$129,'Корректировка НВВ'!$F$25:$F$129,$F284,'Корректировка НВВ'!$I$25:$I$129,$G284)</f>
        <v>0</v>
      </c>
      <c r="AK284" s="1141"/>
      <c r="AL284" s="1141"/>
      <c r="AM284" s="1141"/>
      <c r="AN284" s="1141"/>
      <c r="AO284" s="1141"/>
      <c r="AP284" s="1141"/>
      <c r="AQ284" s="1141"/>
      <c r="AR284" s="1141"/>
      <c r="AS284" s="1141"/>
      <c r="AT284" s="1473">
        <f ca="1">SUMIFS('Корректировка НВВ'!$AG$25:$AG$129,'Корректировка НВВ'!$F$25:$F$129,$F284,'Корректировка НВВ'!$I$25:$I$129,$G284)</f>
        <v>0</v>
      </c>
      <c r="AU284" s="1141"/>
      <c r="AV284" s="1141"/>
      <c r="AW284" s="1141"/>
      <c r="AX284" s="1141"/>
      <c r="AY284" s="1141"/>
      <c r="AZ284" s="1141"/>
      <c r="BA284" s="1141"/>
      <c r="BB284" s="1141"/>
      <c r="BC284" s="1141"/>
      <c r="BD284" s="1016"/>
      <c r="BE284" s="1016"/>
      <c r="BF284" s="1016"/>
      <c r="BG284" s="1016"/>
      <c r="BH284" s="1016"/>
      <c r="BI284" s="1016"/>
      <c r="BJ284" s="1016"/>
      <c r="BK284" s="1016"/>
      <c r="BL284" s="1016"/>
      <c r="BM284" s="1016"/>
      <c r="BN284" s="1138"/>
      <c r="BO284" s="1142" t="str">
        <f ca="1">IF(IFERROR(INDEX('Корректировка НВВ'!$K$26:$L$129,MATCH($F284&amp;"3komm",'Корректировка НВВ'!$K$26:$K$129,0),2),"")=0,"",IFERROR(INDEX('Корректировка НВВ'!$K$26:$L$129,MATCH($F284&amp;"3komm",'Корректировка НВВ'!$K$26:$K$129,0),2),""))</f>
        <v/>
      </c>
      <c r="BP284" s="1138"/>
      <c r="BQ284" s="1177"/>
      <c r="BR284" s="1177"/>
      <c r="BS284" s="966" t="s">
        <v>1216</v>
      </c>
      <c r="BT284" s="966"/>
      <c r="BU284" s="966"/>
      <c r="BV284" s="881"/>
      <c r="BW284" s="881"/>
    </row>
    <row r="285" spans="1:75" s="1327" customFormat="1" ht="54.75" hidden="1" customHeight="1">
      <c r="A285" s="1177"/>
      <c r="B285" s="362" t="b" cm="1">
        <f t="array" ref="B285">B284</f>
        <v>0</v>
      </c>
      <c r="C285" s="26"/>
      <c r="D285" s="26" t="str" cm="1">
        <f t="array" ref="D285">D284</f>
        <v>7</v>
      </c>
      <c r="E285" s="538">
        <v>56.25</v>
      </c>
      <c r="F285" s="3" t="str" cm="1">
        <f t="array" aca="1" ref="F285" ca="1">OFFSET(E285,-1,1)</f>
        <v>1</v>
      </c>
      <c r="G285" s="26" t="s">
        <v>2011</v>
      </c>
      <c r="H285" s="762"/>
      <c r="I285" s="26" t="s">
        <v>744</v>
      </c>
      <c r="J285" s="26"/>
      <c r="K285" s="77" t="s">
        <v>744</v>
      </c>
      <c r="L285" s="882" t="s">
        <v>712</v>
      </c>
      <c r="M285" s="26"/>
      <c r="N285" s="26"/>
      <c r="O285" s="26"/>
      <c r="P285" s="26"/>
      <c r="Q285" s="26"/>
      <c r="R285" s="26"/>
      <c r="S285" s="26"/>
      <c r="T285" s="381" t="b" cm="1">
        <f t="array" aca="1" ref="T285" ca="1">T284</f>
        <v>1</v>
      </c>
      <c r="U285" s="26"/>
      <c r="V285" s="26"/>
      <c r="W285" s="26"/>
      <c r="X285" s="1787"/>
      <c r="Y285" s="1177"/>
      <c r="Z285" s="1735"/>
      <c r="AA285" s="1177"/>
      <c r="AB285" s="216" t="str">
        <f>D285&amp;".5"</f>
        <v>7.5</v>
      </c>
      <c r="AC285" s="676" t="s">
        <v>1667</v>
      </c>
      <c r="AD285" s="680" t="s">
        <v>766</v>
      </c>
      <c r="AE285" s="1141"/>
      <c r="AF285" s="1141"/>
      <c r="AG285" s="1141"/>
      <c r="AH285" s="1015">
        <f t="shared" si="73"/>
        <v>0</v>
      </c>
      <c r="AI285" s="1141"/>
      <c r="AJ285" s="1473">
        <f ca="1">SUMIFS('Корректировка НВВ'!$AF$25:$AF$129,'Корректировка НВВ'!$F$25:$F$129,$F285,'Корректировка НВВ'!$I$25:$I$129,$G285)</f>
        <v>0</v>
      </c>
      <c r="AK285" s="1141"/>
      <c r="AL285" s="1141"/>
      <c r="AM285" s="1141"/>
      <c r="AN285" s="1141"/>
      <c r="AO285" s="1141"/>
      <c r="AP285" s="1141"/>
      <c r="AQ285" s="1141"/>
      <c r="AR285" s="1141"/>
      <c r="AS285" s="1141"/>
      <c r="AT285" s="1473">
        <f ca="1">SUMIFS('Корректировка НВВ'!$AG$25:$AG$129,'Корректировка НВВ'!$F$25:$F$129,$F285,'Корректировка НВВ'!$I$25:$I$129,$G285)</f>
        <v>0</v>
      </c>
      <c r="AU285" s="1141"/>
      <c r="AV285" s="1141"/>
      <c r="AW285" s="1141"/>
      <c r="AX285" s="1141"/>
      <c r="AY285" s="1141"/>
      <c r="AZ285" s="1141"/>
      <c r="BA285" s="1141"/>
      <c r="BB285" s="1141"/>
      <c r="BC285" s="1141"/>
      <c r="BD285" s="1016"/>
      <c r="BE285" s="1016"/>
      <c r="BF285" s="1016"/>
      <c r="BG285" s="1016"/>
      <c r="BH285" s="1016"/>
      <c r="BI285" s="1016"/>
      <c r="BJ285" s="1016"/>
      <c r="BK285" s="1016"/>
      <c r="BL285" s="1016"/>
      <c r="BM285" s="1016"/>
      <c r="BN285" s="1138"/>
      <c r="BO285" s="1142" t="str">
        <f ca="1">IF(IFERROR(INDEX('Корректировка НВВ'!$K$26:$L$129,MATCH($F285&amp;"4komm",'Корректировка НВВ'!$K$26:$K$129,0),2),"")=0,"",IFERROR(INDEX('Корректировка НВВ'!$K$26:$L$129,MATCH($F285&amp;"4komm",'Корректировка НВВ'!$K$26:$K$129,0),2),""))</f>
        <v/>
      </c>
      <c r="BP285" s="1138"/>
      <c r="BQ285" s="1177"/>
      <c r="BR285" s="1177"/>
      <c r="BS285" s="966" t="s">
        <v>1220</v>
      </c>
      <c r="BT285" s="966"/>
      <c r="BU285" s="966"/>
      <c r="BV285" s="881"/>
      <c r="BW285" s="881"/>
    </row>
    <row r="286" spans="1:75" s="1327" customFormat="1" ht="14.25" customHeight="1">
      <c r="A286" s="1177"/>
      <c r="B286" s="344"/>
      <c r="C286" s="26"/>
      <c r="D286" s="26" t="str" cm="1">
        <f t="array" ref="D286">D285</f>
        <v>7</v>
      </c>
      <c r="E286" s="538">
        <v>15</v>
      </c>
      <c r="F286" s="3" t="str" cm="1">
        <f t="array" aca="1" ref="F286" ca="1">OFFSET(E286,-1,1)</f>
        <v>1</v>
      </c>
      <c r="G286" s="26" t="s">
        <v>2012</v>
      </c>
      <c r="H286" s="26"/>
      <c r="I286" s="26" t="s">
        <v>745</v>
      </c>
      <c r="J286" s="26"/>
      <c r="K286" s="77" t="s">
        <v>745</v>
      </c>
      <c r="L286" s="882" t="s">
        <v>744</v>
      </c>
      <c r="M286" s="26"/>
      <c r="N286" s="26"/>
      <c r="O286" s="26"/>
      <c r="P286" s="26"/>
      <c r="Q286" s="26"/>
      <c r="R286" s="26"/>
      <c r="S286" s="26"/>
      <c r="T286" s="381" t="b" cm="1">
        <f t="array" aca="1" ref="T286" ca="1">T285</f>
        <v>1</v>
      </c>
      <c r="U286" s="26"/>
      <c r="V286" s="26"/>
      <c r="W286" s="26"/>
      <c r="X286" s="1787"/>
      <c r="Y286" s="1177"/>
      <c r="Z286" s="1735"/>
      <c r="AA286" s="1177"/>
      <c r="AB286" s="216" t="str">
        <f>IF(B285,D286&amp;".6",D286&amp;".4")</f>
        <v>7.4</v>
      </c>
      <c r="AC286" s="676" t="s">
        <v>1433</v>
      </c>
      <c r="AD286" s="216" t="s">
        <v>766</v>
      </c>
      <c r="AE286" s="1473"/>
      <c r="AF286" s="1473"/>
      <c r="AG286" s="1473"/>
      <c r="AH286" s="1015">
        <f t="shared" si="73"/>
        <v>0</v>
      </c>
      <c r="AI286" s="1473"/>
      <c r="AJ286" s="1473">
        <f ca="1">SUMIFS('Корректировка НВВ'!$AF$25:$AF$129,'Корректировка НВВ'!$F$25:$F$129,$F286,'Корректировка НВВ'!$I$25:$I$129,$G286)</f>
        <v>0</v>
      </c>
      <c r="AK286" s="1473"/>
      <c r="AL286" s="1473"/>
      <c r="AM286" s="1473"/>
      <c r="AN286" s="1473"/>
      <c r="AO286" s="1473"/>
      <c r="AP286" s="1473"/>
      <c r="AQ286" s="1473"/>
      <c r="AR286" s="1473"/>
      <c r="AS286" s="1473"/>
      <c r="AT286" s="1473">
        <f ca="1">SUMIFS('Корректировка НВВ'!$AG$25:$AG$129,'Корректировка НВВ'!$F$25:$F$129,$F286,'Корректировка НВВ'!$I$25:$I$129,$G286)</f>
        <v>0</v>
      </c>
      <c r="AU286" s="1473"/>
      <c r="AV286" s="1473"/>
      <c r="AW286" s="1473"/>
      <c r="AX286" s="1473"/>
      <c r="AY286" s="1473"/>
      <c r="AZ286" s="1473"/>
      <c r="BA286" s="1473"/>
      <c r="BB286" s="1473"/>
      <c r="BC286" s="1473"/>
      <c r="BD286" s="1016"/>
      <c r="BE286" s="1016"/>
      <c r="BF286" s="1016"/>
      <c r="BG286" s="1016"/>
      <c r="BH286" s="1016"/>
      <c r="BI286" s="1016"/>
      <c r="BJ286" s="1016"/>
      <c r="BK286" s="1016"/>
      <c r="BL286" s="1016"/>
      <c r="BM286" s="1016"/>
      <c r="BN286" s="1482"/>
      <c r="BO286" s="1484" t="str">
        <f ca="1">IF(IFERROR(INDEX('Корректировка НВВ'!$K$26:$L$129,MATCH($F286&amp;"5komm",'Корректировка НВВ'!$K$26:$K$129,0),2),"")=0,"",IFERROR(INDEX('Корректировка НВВ'!$K$26:$L$129,MATCH($F286&amp;"5komm",'Корректировка НВВ'!$K$26:$K$129,0),2),""))</f>
        <v/>
      </c>
      <c r="BP286" s="1482"/>
      <c r="BQ286" s="1177"/>
      <c r="BR286" s="1177"/>
      <c r="BS286" s="966" t="s">
        <v>2013</v>
      </c>
      <c r="BT286" s="966"/>
      <c r="BU286" s="966"/>
      <c r="BV286" s="881"/>
      <c r="BW286" s="881"/>
    </row>
    <row r="287" spans="1:75" s="1327" customFormat="1" ht="14.25" customHeight="1">
      <c r="A287" s="1177"/>
      <c r="B287" s="880"/>
      <c r="C287" s="26"/>
      <c r="D287" s="26" t="str" cm="1">
        <f t="array" ref="D287">D286</f>
        <v>7</v>
      </c>
      <c r="E287" s="538">
        <v>15</v>
      </c>
      <c r="F287" s="3" t="str" cm="1">
        <f t="array" aca="1" ref="F287" ca="1">OFFSET(E287,-1,1)</f>
        <v>1</v>
      </c>
      <c r="G287" s="26" t="s">
        <v>2014</v>
      </c>
      <c r="H287" s="26"/>
      <c r="I287" s="26" t="s">
        <v>1677</v>
      </c>
      <c r="J287" s="26"/>
      <c r="K287" s="77" t="s">
        <v>1677</v>
      </c>
      <c r="L287" s="882" t="s">
        <v>745</v>
      </c>
      <c r="M287" s="26"/>
      <c r="N287" s="26"/>
      <c r="O287" s="26"/>
      <c r="P287" s="26"/>
      <c r="Q287" s="26"/>
      <c r="R287" s="26"/>
      <c r="S287" s="26"/>
      <c r="T287" s="381" t="b" cm="1">
        <f t="array" aca="1" ref="T287" ca="1">T286</f>
        <v>1</v>
      </c>
      <c r="U287" s="26"/>
      <c r="V287" s="26"/>
      <c r="W287" s="26"/>
      <c r="X287" s="1787"/>
      <c r="Y287" s="1177"/>
      <c r="Z287" s="1735"/>
      <c r="AA287" s="1177"/>
      <c r="AB287" s="216" t="str">
        <f>IF(B285,D286&amp;".7",D286&amp;".5")</f>
        <v>7.5</v>
      </c>
      <c r="AC287" s="676" t="s">
        <v>1395</v>
      </c>
      <c r="AD287" s="216" t="s">
        <v>766</v>
      </c>
      <c r="AE287" s="1473">
        <f>AE288+AE289</f>
        <v>0</v>
      </c>
      <c r="AF287" s="1473">
        <f>AF288+AF289</f>
        <v>0</v>
      </c>
      <c r="AG287" s="1473">
        <f>AG288+AG289</f>
        <v>0</v>
      </c>
      <c r="AH287" s="1015">
        <f t="shared" si="73"/>
        <v>0</v>
      </c>
      <c r="AI287" s="1473">
        <f>AI288+AI289</f>
        <v>0</v>
      </c>
      <c r="AJ287" s="1473">
        <f ca="1">SUMIFS('Корректировка НВВ'!$AF$25:$AF$129,'Корректировка НВВ'!$F$25:$F$129,$F287,'Корректировка НВВ'!$I$25:$I$129,$G287)</f>
        <v>0</v>
      </c>
      <c r="AK287" s="1473">
        <f t="shared" ref="AK287:AS287" si="74">AK288+AK289</f>
        <v>0</v>
      </c>
      <c r="AL287" s="1473">
        <f t="shared" si="74"/>
        <v>0</v>
      </c>
      <c r="AM287" s="1473">
        <f t="shared" si="74"/>
        <v>0</v>
      </c>
      <c r="AN287" s="1473">
        <f t="shared" si="74"/>
        <v>0</v>
      </c>
      <c r="AO287" s="1473">
        <f t="shared" si="74"/>
        <v>0</v>
      </c>
      <c r="AP287" s="1473">
        <f t="shared" si="74"/>
        <v>0</v>
      </c>
      <c r="AQ287" s="1473">
        <f t="shared" si="74"/>
        <v>0</v>
      </c>
      <c r="AR287" s="1473">
        <f t="shared" si="74"/>
        <v>0</v>
      </c>
      <c r="AS287" s="1473">
        <f t="shared" si="74"/>
        <v>0</v>
      </c>
      <c r="AT287" s="1473">
        <f ca="1">SUMIFS('Корректировка НВВ'!$AG$25:$AG$129,'Корректировка НВВ'!$F$25:$F$129,$F287,'Корректировка НВВ'!$I$25:$I$129,$G287)</f>
        <v>0</v>
      </c>
      <c r="AU287" s="1473">
        <f t="shared" ref="AU287:BC287" si="75">AU288+AU289</f>
        <v>0</v>
      </c>
      <c r="AV287" s="1473">
        <f t="shared" si="75"/>
        <v>0</v>
      </c>
      <c r="AW287" s="1473">
        <f t="shared" si="75"/>
        <v>0</v>
      </c>
      <c r="AX287" s="1473">
        <f t="shared" si="75"/>
        <v>0</v>
      </c>
      <c r="AY287" s="1473">
        <f t="shared" si="75"/>
        <v>0</v>
      </c>
      <c r="AZ287" s="1473">
        <f t="shared" si="75"/>
        <v>0</v>
      </c>
      <c r="BA287" s="1473">
        <f t="shared" si="75"/>
        <v>0</v>
      </c>
      <c r="BB287" s="1473">
        <f t="shared" si="75"/>
        <v>0</v>
      </c>
      <c r="BC287" s="1473">
        <f t="shared" si="75"/>
        <v>0</v>
      </c>
      <c r="BD287" s="1015">
        <f>IF(AI287=0,0,(AT287-AI287)/AI287*100)</f>
        <v>0</v>
      </c>
      <c r="BE287" s="1015">
        <f t="shared" ref="BE287:BM287" ca="1" si="76">IF(AT287=0,0,(AU287-AT287)/AT287*100)</f>
        <v>0</v>
      </c>
      <c r="BF287" s="1015">
        <f t="shared" si="76"/>
        <v>0</v>
      </c>
      <c r="BG287" s="1015">
        <f t="shared" si="76"/>
        <v>0</v>
      </c>
      <c r="BH287" s="1015">
        <f t="shared" si="76"/>
        <v>0</v>
      </c>
      <c r="BI287" s="1015">
        <f t="shared" si="76"/>
        <v>0</v>
      </c>
      <c r="BJ287" s="1015">
        <f t="shared" si="76"/>
        <v>0</v>
      </c>
      <c r="BK287" s="1015">
        <f t="shared" si="76"/>
        <v>0</v>
      </c>
      <c r="BL287" s="1015">
        <f t="shared" si="76"/>
        <v>0</v>
      </c>
      <c r="BM287" s="1015">
        <f t="shared" si="76"/>
        <v>0</v>
      </c>
      <c r="BN287" s="1482"/>
      <c r="BO287" s="1484" t="str">
        <f ca="1">IF(IFERROR(INDEX('Корректировка НВВ'!$K$26:$L$129,MATCH($F287&amp;"6komm",'Корректировка НВВ'!$K$26:$K$129,0),2),"")=0,"",IFERROR(INDEX('Корректировка НВВ'!$K$26:$L$129,MATCH($F287&amp;"6komm",'Корректировка НВВ'!$K$26:$K$129,0),2),""))</f>
        <v/>
      </c>
      <c r="BP287" s="1482"/>
      <c r="BQ287" s="1177"/>
      <c r="BR287" s="1177"/>
      <c r="BS287" s="966" t="s">
        <v>1397</v>
      </c>
      <c r="BT287" s="966"/>
      <c r="BU287" s="966"/>
      <c r="BV287" s="881"/>
      <c r="BW287" s="881"/>
    </row>
    <row r="288" spans="1:75" s="1327" customFormat="1" ht="21.75" customHeight="1">
      <c r="A288" s="1177"/>
      <c r="B288" s="880"/>
      <c r="C288" s="26"/>
      <c r="D288" s="26" t="str" cm="1">
        <f t="array" ref="D288">D287</f>
        <v>7</v>
      </c>
      <c r="E288" s="538">
        <v>22.5</v>
      </c>
      <c r="F288" s="3" t="str" cm="1">
        <f t="array" aca="1" ref="F288" ca="1">OFFSET(E288,-1,1)</f>
        <v>1</v>
      </c>
      <c r="G288" s="26" t="s">
        <v>2015</v>
      </c>
      <c r="H288" s="26"/>
      <c r="I288" s="26" t="s">
        <v>2016</v>
      </c>
      <c r="J288" s="26"/>
      <c r="K288" s="77" t="s">
        <v>2016</v>
      </c>
      <c r="L288" s="882" t="s">
        <v>1672</v>
      </c>
      <c r="M288" s="26"/>
      <c r="N288" s="26"/>
      <c r="O288" s="26"/>
      <c r="P288" s="26"/>
      <c r="Q288" s="26"/>
      <c r="R288" s="26"/>
      <c r="S288" s="26"/>
      <c r="T288" s="381" t="b" cm="1">
        <f t="array" aca="1" ref="T288" ca="1">T287</f>
        <v>1</v>
      </c>
      <c r="U288" s="26"/>
      <c r="V288" s="26"/>
      <c r="W288" s="26"/>
      <c r="X288" s="1787"/>
      <c r="Y288" s="1177"/>
      <c r="Z288" s="1735"/>
      <c r="AA288" s="1177"/>
      <c r="AB288" s="216" t="str">
        <f>AB287&amp;".1"</f>
        <v>7.5.1</v>
      </c>
      <c r="AC288" s="695" t="s">
        <v>1398</v>
      </c>
      <c r="AD288" s="216" t="s">
        <v>766</v>
      </c>
      <c r="AE288" s="1473"/>
      <c r="AF288" s="1473"/>
      <c r="AG288" s="1473"/>
      <c r="AH288" s="1015">
        <f t="shared" si="73"/>
        <v>0</v>
      </c>
      <c r="AI288" s="1473"/>
      <c r="AJ288" s="1473">
        <f ca="1">SUMIFS('Корректировка НВВ'!$AF$25:$AF$129,'Корректировка НВВ'!$F$25:$F$129,$F288,'Корректировка НВВ'!$I$25:$I$129,$G288)</f>
        <v>0</v>
      </c>
      <c r="AK288" s="1473"/>
      <c r="AL288" s="1473"/>
      <c r="AM288" s="1473"/>
      <c r="AN288" s="1473"/>
      <c r="AO288" s="1473"/>
      <c r="AP288" s="1473"/>
      <c r="AQ288" s="1473"/>
      <c r="AR288" s="1473"/>
      <c r="AS288" s="1473"/>
      <c r="AT288" s="1473">
        <f ca="1">SUMIFS('Корректировка НВВ'!$AG$25:$AG$129,'Корректировка НВВ'!$F$25:$F$129,$F288,'Корректировка НВВ'!$I$25:$I$129,$G288)</f>
        <v>0</v>
      </c>
      <c r="AU288" s="1473"/>
      <c r="AV288" s="1473"/>
      <c r="AW288" s="1473"/>
      <c r="AX288" s="1473"/>
      <c r="AY288" s="1473"/>
      <c r="AZ288" s="1473"/>
      <c r="BA288" s="1473"/>
      <c r="BB288" s="1473"/>
      <c r="BC288" s="1473"/>
      <c r="BD288" s="1016"/>
      <c r="BE288" s="1016"/>
      <c r="BF288" s="1016"/>
      <c r="BG288" s="1016"/>
      <c r="BH288" s="1016"/>
      <c r="BI288" s="1016"/>
      <c r="BJ288" s="1016"/>
      <c r="BK288" s="1016"/>
      <c r="BL288" s="1016"/>
      <c r="BM288" s="1016"/>
      <c r="BN288" s="1482"/>
      <c r="BO288" s="1484" t="str">
        <f ca="1">IF(IFERROR(INDEX('Корректировка НВВ'!$K$26:$L$129,MATCH($F288&amp;"7komm",'Корректировка НВВ'!$K$26:$K$129,0),2),"")=0,"",IFERROR(INDEX('Корректировка НВВ'!$K$26:$L$129,MATCH($F288&amp;"7komm",'Корректировка НВВ'!$K$26:$K$129,0),2),""))</f>
        <v/>
      </c>
      <c r="BP288" s="1482"/>
      <c r="BQ288" s="1177"/>
      <c r="BR288" s="1177"/>
      <c r="BS288" s="966" t="s">
        <v>1399</v>
      </c>
      <c r="BT288" s="966"/>
      <c r="BU288" s="966"/>
      <c r="BV288" s="881"/>
      <c r="BW288" s="881"/>
    </row>
    <row r="289" spans="1:75" s="1327" customFormat="1" ht="21.75" customHeight="1">
      <c r="A289" s="1177"/>
      <c r="B289" s="880"/>
      <c r="C289" s="26"/>
      <c r="D289" s="26" t="str" cm="1">
        <f t="array" ref="D289">D288</f>
        <v>7</v>
      </c>
      <c r="E289" s="538">
        <v>22.5</v>
      </c>
      <c r="F289" s="3" t="str" cm="1">
        <f t="array" aca="1" ref="F289" ca="1">OFFSET(E289,-1,1)</f>
        <v>1</v>
      </c>
      <c r="G289" s="26" t="s">
        <v>2017</v>
      </c>
      <c r="H289" s="26"/>
      <c r="I289" s="26" t="s">
        <v>2018</v>
      </c>
      <c r="J289" s="26"/>
      <c r="K289" s="77" t="s">
        <v>2018</v>
      </c>
      <c r="L289" s="882" t="s">
        <v>1674</v>
      </c>
      <c r="M289" s="26"/>
      <c r="N289" s="26"/>
      <c r="O289" s="26"/>
      <c r="P289" s="26"/>
      <c r="Q289" s="26"/>
      <c r="R289" s="26"/>
      <c r="S289" s="26"/>
      <c r="T289" s="381" t="b" cm="1">
        <f t="array" aca="1" ref="T289" ca="1">T288</f>
        <v>1</v>
      </c>
      <c r="U289" s="26"/>
      <c r="V289" s="26"/>
      <c r="W289" s="26"/>
      <c r="X289" s="1787"/>
      <c r="Y289" s="1177"/>
      <c r="Z289" s="1735"/>
      <c r="AA289" s="1177"/>
      <c r="AB289" s="216" t="str">
        <f>AB287&amp;".2"</f>
        <v>7.5.2</v>
      </c>
      <c r="AC289" s="695" t="s">
        <v>1400</v>
      </c>
      <c r="AD289" s="216" t="s">
        <v>766</v>
      </c>
      <c r="AE289" s="1473"/>
      <c r="AF289" s="1473"/>
      <c r="AG289" s="1473"/>
      <c r="AH289" s="1015">
        <f t="shared" si="73"/>
        <v>0</v>
      </c>
      <c r="AI289" s="1473"/>
      <c r="AJ289" s="1473">
        <f ca="1">SUMIFS('Корректировка НВВ'!$AF$25:$AF$129,'Корректировка НВВ'!$F$25:$F$129,$F289,'Корректировка НВВ'!$I$25:$I$129,$G289)</f>
        <v>0</v>
      </c>
      <c r="AK289" s="1473"/>
      <c r="AL289" s="1473"/>
      <c r="AM289" s="1473"/>
      <c r="AN289" s="1473"/>
      <c r="AO289" s="1473"/>
      <c r="AP289" s="1473"/>
      <c r="AQ289" s="1473"/>
      <c r="AR289" s="1473"/>
      <c r="AS289" s="1473"/>
      <c r="AT289" s="1473">
        <f ca="1">SUMIFS('Корректировка НВВ'!$AG$25:$AG$129,'Корректировка НВВ'!$F$25:$F$129,$F289,'Корректировка НВВ'!$I$25:$I$129,$G289)</f>
        <v>0</v>
      </c>
      <c r="AU289" s="1473"/>
      <c r="AV289" s="1473"/>
      <c r="AW289" s="1473"/>
      <c r="AX289" s="1473"/>
      <c r="AY289" s="1473"/>
      <c r="AZ289" s="1473"/>
      <c r="BA289" s="1473"/>
      <c r="BB289" s="1473"/>
      <c r="BC289" s="1473"/>
      <c r="BD289" s="1016"/>
      <c r="BE289" s="1016"/>
      <c r="BF289" s="1016"/>
      <c r="BG289" s="1016"/>
      <c r="BH289" s="1016"/>
      <c r="BI289" s="1016"/>
      <c r="BJ289" s="1016"/>
      <c r="BK289" s="1016"/>
      <c r="BL289" s="1016"/>
      <c r="BM289" s="1016"/>
      <c r="BN289" s="1482"/>
      <c r="BO289" s="1484" t="str">
        <f ca="1">IF(IFERROR(INDEX('Корректировка НВВ'!$K$26:$L$129,MATCH($F289&amp;"8komm",'Корректировка НВВ'!$K$26:$K$129,0),2),"")=0,"",IFERROR(INDEX('Корректировка НВВ'!$K$26:$L$129,MATCH($F289&amp;"8komm",'Корректировка НВВ'!$K$26:$K$129,0),2),""))</f>
        <v/>
      </c>
      <c r="BP289" s="1482"/>
      <c r="BQ289" s="1177"/>
      <c r="BR289" s="1177"/>
      <c r="BS289" s="966" t="s">
        <v>1401</v>
      </c>
      <c r="BT289" s="966"/>
      <c r="BU289" s="966"/>
      <c r="BV289" s="881"/>
      <c r="BW289" s="881"/>
    </row>
    <row r="290" spans="1:75" s="1327" customFormat="1" ht="14.25" customHeight="1">
      <c r="A290" s="1177"/>
      <c r="B290" s="880"/>
      <c r="C290" s="26"/>
      <c r="D290" s="26" t="str" cm="1">
        <f t="array" ref="D290">D289</f>
        <v>7</v>
      </c>
      <c r="E290" s="538">
        <v>15</v>
      </c>
      <c r="F290" s="3" t="str" cm="1">
        <f t="array" aca="1" ref="F290" ca="1">OFFSET(E290,-1,1)</f>
        <v>1</v>
      </c>
      <c r="G290" s="26" t="s">
        <v>310</v>
      </c>
      <c r="H290" s="26"/>
      <c r="I290" s="26" t="s">
        <v>1678</v>
      </c>
      <c r="J290" s="26"/>
      <c r="K290" s="77" t="s">
        <v>1678</v>
      </c>
      <c r="L290" s="882" t="s">
        <v>1677</v>
      </c>
      <c r="M290" s="26"/>
      <c r="N290" s="26"/>
      <c r="O290" s="26"/>
      <c r="P290" s="26"/>
      <c r="Q290" s="26"/>
      <c r="R290" s="26"/>
      <c r="S290" s="26"/>
      <c r="T290" s="381" t="b" cm="1">
        <f t="array" aca="1" ref="T290" ca="1">T289</f>
        <v>1</v>
      </c>
      <c r="U290" s="26"/>
      <c r="V290" s="26"/>
      <c r="W290" s="26"/>
      <c r="X290" s="1787"/>
      <c r="Y290" s="1177"/>
      <c r="Z290" s="1735"/>
      <c r="AA290" s="1177"/>
      <c r="AB290" s="216" t="str">
        <f>IF(B285,D286&amp;".8",D286&amp;".6")</f>
        <v>7.6</v>
      </c>
      <c r="AC290" s="696" t="s">
        <v>1402</v>
      </c>
      <c r="AD290" s="216" t="s">
        <v>766</v>
      </c>
      <c r="AE290" s="1473"/>
      <c r="AF290" s="1473"/>
      <c r="AG290" s="1473"/>
      <c r="AH290" s="1015">
        <f t="shared" si="73"/>
        <v>0</v>
      </c>
      <c r="AI290" s="1473"/>
      <c r="AJ290" s="1473">
        <f ca="1">SUMIFS('Корректировка НВВ'!$AF$25:$AF$129,'Корректировка НВВ'!$F$25:$F$129,$F290,'Корректировка НВВ'!$I$25:$I$129,$G290)</f>
        <v>0</v>
      </c>
      <c r="AK290" s="1473"/>
      <c r="AL290" s="1473"/>
      <c r="AM290" s="1473"/>
      <c r="AN290" s="1473"/>
      <c r="AO290" s="1473"/>
      <c r="AP290" s="1473"/>
      <c r="AQ290" s="1473"/>
      <c r="AR290" s="1473"/>
      <c r="AS290" s="1473"/>
      <c r="AT290" s="1473">
        <f ca="1">SUMIFS('Корректировка НВВ'!$AG$25:$AG$129,'Корректировка НВВ'!$F$25:$F$129,$F290,'Корректировка НВВ'!$I$25:$I$129,$G290)</f>
        <v>0</v>
      </c>
      <c r="AU290" s="1473"/>
      <c r="AV290" s="1473"/>
      <c r="AW290" s="1473"/>
      <c r="AX290" s="1473"/>
      <c r="AY290" s="1473"/>
      <c r="AZ290" s="1473"/>
      <c r="BA290" s="1473"/>
      <c r="BB290" s="1473"/>
      <c r="BC290" s="1473"/>
      <c r="BD290" s="1016"/>
      <c r="BE290" s="1016"/>
      <c r="BF290" s="1016"/>
      <c r="BG290" s="1016"/>
      <c r="BH290" s="1016"/>
      <c r="BI290" s="1016"/>
      <c r="BJ290" s="1016"/>
      <c r="BK290" s="1016"/>
      <c r="BL290" s="1016"/>
      <c r="BM290" s="1016"/>
      <c r="BN290" s="1482"/>
      <c r="BO290" s="1484" t="str">
        <f ca="1">IF(IFERROR(INDEX('Корректировка НВВ'!$K$26:$L$129,MATCH($F290&amp;"9komm",'Корректировка НВВ'!$K$26:$K$129,0),2),"")=0,"",IFERROR(INDEX('Корректировка НВВ'!$K$26:$L$129,MATCH($F290&amp;"9komm",'Корректировка НВВ'!$K$26:$K$129,0),2),""))</f>
        <v/>
      </c>
      <c r="BP290" s="1482"/>
      <c r="BQ290" s="1177"/>
      <c r="BR290" s="1177"/>
      <c r="BS290" s="966" t="s">
        <v>2019</v>
      </c>
      <c r="BT290" s="966"/>
      <c r="BU290" s="966"/>
      <c r="BV290" s="881"/>
      <c r="BW290" s="881"/>
    </row>
    <row r="291" spans="1:75" s="1327" customFormat="1" ht="14.25" customHeight="1">
      <c r="A291" s="1177"/>
      <c r="B291" s="880"/>
      <c r="C291" s="26"/>
      <c r="D291" s="26" t="str" cm="1">
        <f t="array" ref="D291">D290</f>
        <v>7</v>
      </c>
      <c r="E291" s="538">
        <v>15</v>
      </c>
      <c r="F291" s="3" t="str" cm="1">
        <f t="array" aca="1" ref="F291" ca="1">OFFSET(E291,-1,1)</f>
        <v>1</v>
      </c>
      <c r="G291" s="26" t="s">
        <v>2020</v>
      </c>
      <c r="H291" s="26"/>
      <c r="I291" s="26" t="s">
        <v>1680</v>
      </c>
      <c r="J291" s="26"/>
      <c r="K291" s="77" t="s">
        <v>1680</v>
      </c>
      <c r="L291" s="882" t="s">
        <v>1678</v>
      </c>
      <c r="M291" s="26"/>
      <c r="N291" s="26"/>
      <c r="O291" s="26"/>
      <c r="P291" s="26"/>
      <c r="Q291" s="26"/>
      <c r="R291" s="26"/>
      <c r="S291" s="26"/>
      <c r="T291" s="381" t="b" cm="1">
        <f t="array" aca="1" ref="T291" ca="1">T290</f>
        <v>1</v>
      </c>
      <c r="U291" s="26"/>
      <c r="V291" s="26"/>
      <c r="W291" s="26"/>
      <c r="X291" s="1787"/>
      <c r="Y291" s="1177"/>
      <c r="Z291" s="1735"/>
      <c r="AA291" s="1177"/>
      <c r="AB291" s="216" t="str">
        <f>IF(B285,D286&amp;".9",D286&amp;".7")</f>
        <v>7.7</v>
      </c>
      <c r="AC291" s="696" t="s">
        <v>1404</v>
      </c>
      <c r="AD291" s="216" t="s">
        <v>766</v>
      </c>
      <c r="AE291" s="1473"/>
      <c r="AF291" s="1473"/>
      <c r="AG291" s="1473"/>
      <c r="AH291" s="1015">
        <f t="shared" si="73"/>
        <v>0</v>
      </c>
      <c r="AI291" s="1473"/>
      <c r="AJ291" s="1473">
        <f ca="1">SUMIFS('Корректировка НВВ'!$AF$25:$AF$129,'Корректировка НВВ'!$F$25:$F$129,$F291,'Корректировка НВВ'!$I$25:$I$129,$G291)</f>
        <v>0</v>
      </c>
      <c r="AK291" s="1473"/>
      <c r="AL291" s="1473"/>
      <c r="AM291" s="1473"/>
      <c r="AN291" s="1473"/>
      <c r="AO291" s="1473"/>
      <c r="AP291" s="1473"/>
      <c r="AQ291" s="1473"/>
      <c r="AR291" s="1473"/>
      <c r="AS291" s="1473"/>
      <c r="AT291" s="1473">
        <f ca="1">SUMIFS('Корректировка НВВ'!$AG$25:$AG$129,'Корректировка НВВ'!$F$25:$F$129,$F291,'Корректировка НВВ'!$I$25:$I$129,$G291)</f>
        <v>0</v>
      </c>
      <c r="AU291" s="1473"/>
      <c r="AV291" s="1473"/>
      <c r="AW291" s="1473"/>
      <c r="AX291" s="1473"/>
      <c r="AY291" s="1473"/>
      <c r="AZ291" s="1473"/>
      <c r="BA291" s="1473"/>
      <c r="BB291" s="1473"/>
      <c r="BC291" s="1473"/>
      <c r="BD291" s="1016"/>
      <c r="BE291" s="1016"/>
      <c r="BF291" s="1016"/>
      <c r="BG291" s="1016"/>
      <c r="BH291" s="1016"/>
      <c r="BI291" s="1016"/>
      <c r="BJ291" s="1016"/>
      <c r="BK291" s="1016"/>
      <c r="BL291" s="1016"/>
      <c r="BM291" s="1016"/>
      <c r="BN291" s="1482"/>
      <c r="BO291" s="1484" t="str">
        <f ca="1">IF(IFERROR(INDEX('Корректировка НВВ'!$K$26:$L$129,MATCH($F291&amp;"10komm",'Корректировка НВВ'!$K$26:$K$129,0),2),"")=0,"",IFERROR(INDEX('Корректировка НВВ'!$K$26:$L$129,MATCH($F291&amp;"10komm",'Корректировка НВВ'!$K$26:$K$129,0),2),""))</f>
        <v/>
      </c>
      <c r="BP291" s="1482"/>
      <c r="BQ291" s="1177"/>
      <c r="BR291" s="1177"/>
      <c r="BS291" s="966" t="s">
        <v>1405</v>
      </c>
      <c r="BT291" s="966"/>
      <c r="BU291" s="966"/>
      <c r="BV291" s="881"/>
      <c r="BW291" s="881"/>
    </row>
    <row r="292" spans="1:75" s="1496" customFormat="1" ht="20.25" customHeight="1">
      <c r="A292" s="617"/>
      <c r="B292" s="352"/>
      <c r="C292" s="28"/>
      <c r="D292" s="28">
        <f>D291+1</f>
        <v>8</v>
      </c>
      <c r="E292" s="740">
        <v>21</v>
      </c>
      <c r="F292" s="3" t="str" cm="1">
        <f t="array" aca="1" ref="F292" ca="1">OFFSET(E292,-1,1)</f>
        <v>1</v>
      </c>
      <c r="G292" s="28"/>
      <c r="H292" s="28"/>
      <c r="I292" s="28" t="s">
        <v>551</v>
      </c>
      <c r="J292" s="28"/>
      <c r="K292" s="81" t="s">
        <v>551</v>
      </c>
      <c r="L292" s="887"/>
      <c r="M292" s="28"/>
      <c r="N292" s="28"/>
      <c r="O292" s="28"/>
      <c r="P292" s="28"/>
      <c r="Q292" s="28"/>
      <c r="R292" s="28"/>
      <c r="S292" s="28"/>
      <c r="T292" s="381" t="b" cm="1">
        <f t="array" aca="1" ref="T292" ca="1">T291</f>
        <v>1</v>
      </c>
      <c r="U292" s="28"/>
      <c r="V292" s="28"/>
      <c r="W292" s="28"/>
      <c r="X292" s="1787"/>
      <c r="Y292" s="617"/>
      <c r="Z292" s="1735"/>
      <c r="AA292" s="617"/>
      <c r="AB292" s="129" cm="1">
        <f t="array" ref="AB292">D292</f>
        <v>8</v>
      </c>
      <c r="AC292" s="130" t="s">
        <v>2021</v>
      </c>
      <c r="AD292" s="129" t="s">
        <v>766</v>
      </c>
      <c r="AE292" s="1477"/>
      <c r="AF292" s="1477"/>
      <c r="AG292" s="1477"/>
      <c r="AH292" s="692">
        <f t="shared" si="73"/>
        <v>0</v>
      </c>
      <c r="AI292" s="1477"/>
      <c r="AJ292" s="1477"/>
      <c r="AK292" s="1477"/>
      <c r="AL292" s="1477"/>
      <c r="AM292" s="1477"/>
      <c r="AN292" s="1477"/>
      <c r="AO292" s="1477"/>
      <c r="AP292" s="1477"/>
      <c r="AQ292" s="1477"/>
      <c r="AR292" s="1477"/>
      <c r="AS292" s="1477"/>
      <c r="AT292" s="1477"/>
      <c r="AU292" s="1477"/>
      <c r="AV292" s="1477"/>
      <c r="AW292" s="1477"/>
      <c r="AX292" s="1477"/>
      <c r="AY292" s="1477"/>
      <c r="AZ292" s="1477"/>
      <c r="BA292" s="1477"/>
      <c r="BB292" s="1477"/>
      <c r="BC292" s="1477"/>
      <c r="BD292" s="134"/>
      <c r="BE292" s="134"/>
      <c r="BF292" s="134"/>
      <c r="BG292" s="134"/>
      <c r="BH292" s="134"/>
      <c r="BI292" s="134"/>
      <c r="BJ292" s="134"/>
      <c r="BK292" s="134"/>
      <c r="BL292" s="134"/>
      <c r="BM292" s="134"/>
      <c r="BN292" s="1483"/>
      <c r="BO292" s="1483"/>
      <c r="BP292" s="1483"/>
      <c r="BQ292" s="617"/>
      <c r="BR292" s="617"/>
      <c r="BS292" s="972" t="s">
        <v>2022</v>
      </c>
      <c r="BT292" s="972"/>
      <c r="BU292" s="972"/>
      <c r="BV292" s="624"/>
      <c r="BW292" s="624"/>
    </row>
    <row r="293" spans="1:75" s="1327" customFormat="1" ht="14.25" customHeight="1">
      <c r="A293" s="1177"/>
      <c r="B293" s="880"/>
      <c r="C293" s="26"/>
      <c r="D293" s="28" cm="1">
        <f t="array" ref="D293">D292</f>
        <v>8</v>
      </c>
      <c r="E293" s="538">
        <v>15</v>
      </c>
      <c r="F293" s="3" t="str" cm="1">
        <f t="array" aca="1" ref="F293" ca="1">OFFSET(E293,-1,1)</f>
        <v>1</v>
      </c>
      <c r="G293" s="26"/>
      <c r="H293" s="26"/>
      <c r="I293" s="26" t="s">
        <v>555</v>
      </c>
      <c r="J293" s="26"/>
      <c r="K293" s="77" t="s">
        <v>555</v>
      </c>
      <c r="L293" s="882"/>
      <c r="M293" s="26"/>
      <c r="N293" s="26"/>
      <c r="O293" s="26"/>
      <c r="P293" s="26"/>
      <c r="Q293" s="26"/>
      <c r="R293" s="26"/>
      <c r="S293" s="26"/>
      <c r="T293" s="381" t="b" cm="1">
        <f t="array" aca="1" ref="T293" ca="1">T292</f>
        <v>1</v>
      </c>
      <c r="U293" s="26"/>
      <c r="V293" s="26"/>
      <c r="W293" s="26"/>
      <c r="X293" s="1787"/>
      <c r="Y293" s="1177"/>
      <c r="Z293" s="1735"/>
      <c r="AA293" s="1177"/>
      <c r="AB293" s="216" t="str">
        <f>D293&amp;".1"</f>
        <v>8.1</v>
      </c>
      <c r="AC293" s="676" t="s">
        <v>2023</v>
      </c>
      <c r="AD293" s="216" t="s">
        <v>423</v>
      </c>
      <c r="AE293" s="1015">
        <f ca="1">IF(AE294=0,0,AE292/(AE294+AE279)*100)</f>
        <v>0</v>
      </c>
      <c r="AF293" s="1015">
        <f ca="1">IF(AF294=0,0,AF292/(AF294+AF279)*100)</f>
        <v>0</v>
      </c>
      <c r="AG293" s="1015">
        <f ca="1">IF(AG294=0,0,AG292/(AG294+AG279)*100)</f>
        <v>0</v>
      </c>
      <c r="AH293" s="1015">
        <f t="shared" ca="1" si="73"/>
        <v>0</v>
      </c>
      <c r="AI293" s="1015">
        <f t="shared" ref="AI293:BC293" ca="1" si="77">IF(AI294=0,0,AI292/(AI294+AI279)*100)</f>
        <v>0</v>
      </c>
      <c r="AJ293" s="1015">
        <f t="shared" ca="1" si="77"/>
        <v>0</v>
      </c>
      <c r="AK293" s="1015">
        <f t="shared" ca="1" si="77"/>
        <v>0</v>
      </c>
      <c r="AL293" s="1015">
        <f t="shared" ca="1" si="77"/>
        <v>0</v>
      </c>
      <c r="AM293" s="1015">
        <f t="shared" ca="1" si="77"/>
        <v>0</v>
      </c>
      <c r="AN293" s="1015">
        <f t="shared" ca="1" si="77"/>
        <v>0</v>
      </c>
      <c r="AO293" s="1015">
        <f t="shared" ca="1" si="77"/>
        <v>0</v>
      </c>
      <c r="AP293" s="1015">
        <f t="shared" ca="1" si="77"/>
        <v>0</v>
      </c>
      <c r="AQ293" s="1015">
        <f t="shared" ca="1" si="77"/>
        <v>0</v>
      </c>
      <c r="AR293" s="1015">
        <f t="shared" ca="1" si="77"/>
        <v>0</v>
      </c>
      <c r="AS293" s="1015">
        <f t="shared" ca="1" si="77"/>
        <v>0</v>
      </c>
      <c r="AT293" s="1015">
        <f t="shared" ca="1" si="77"/>
        <v>0</v>
      </c>
      <c r="AU293" s="1015">
        <f t="shared" ca="1" si="77"/>
        <v>0</v>
      </c>
      <c r="AV293" s="1015">
        <f t="shared" ca="1" si="77"/>
        <v>0</v>
      </c>
      <c r="AW293" s="1015">
        <f t="shared" ca="1" si="77"/>
        <v>0</v>
      </c>
      <c r="AX293" s="1015">
        <f t="shared" ca="1" si="77"/>
        <v>0</v>
      </c>
      <c r="AY293" s="1015">
        <f t="shared" ca="1" si="77"/>
        <v>0</v>
      </c>
      <c r="AZ293" s="1015">
        <f t="shared" ca="1" si="77"/>
        <v>0</v>
      </c>
      <c r="BA293" s="1015">
        <f t="shared" ca="1" si="77"/>
        <v>0</v>
      </c>
      <c r="BB293" s="1015">
        <f t="shared" ca="1" si="77"/>
        <v>0</v>
      </c>
      <c r="BC293" s="1015">
        <f t="shared" ca="1" si="77"/>
        <v>0</v>
      </c>
      <c r="BD293" s="1016"/>
      <c r="BE293" s="1016"/>
      <c r="BF293" s="1016"/>
      <c r="BG293" s="1016"/>
      <c r="BH293" s="1016"/>
      <c r="BI293" s="1016"/>
      <c r="BJ293" s="1016"/>
      <c r="BK293" s="1016"/>
      <c r="BL293" s="1016"/>
      <c r="BM293" s="1016"/>
      <c r="BN293" s="1482"/>
      <c r="BO293" s="1482"/>
      <c r="BP293" s="1482"/>
      <c r="BQ293" s="1177"/>
      <c r="BR293" s="1177"/>
      <c r="BS293" s="966" t="s">
        <v>2024</v>
      </c>
      <c r="BT293" s="966"/>
      <c r="BU293" s="966"/>
      <c r="BV293" s="881"/>
      <c r="BW293" s="881"/>
    </row>
    <row r="294" spans="1:75" s="1497" customFormat="1" ht="20.25" customHeight="1">
      <c r="A294" s="617"/>
      <c r="B294" s="352"/>
      <c r="C294" s="28"/>
      <c r="D294" s="28">
        <f>D293+1</f>
        <v>9</v>
      </c>
      <c r="E294" s="740">
        <v>21</v>
      </c>
      <c r="F294" s="3" t="str" cm="1">
        <f t="array" aca="1" ref="F294" ca="1">OFFSET(E294,-1,1)</f>
        <v>1</v>
      </c>
      <c r="G294" s="28"/>
      <c r="H294" s="26"/>
      <c r="I294" s="26" t="s">
        <v>709</v>
      </c>
      <c r="J294" s="28"/>
      <c r="K294" s="77" t="s">
        <v>709</v>
      </c>
      <c r="L294" s="887" t="s">
        <v>1680</v>
      </c>
      <c r="M294" s="28"/>
      <c r="N294" s="28"/>
      <c r="O294" s="28"/>
      <c r="P294" s="28"/>
      <c r="Q294" s="28"/>
      <c r="R294" s="28"/>
      <c r="S294" s="28"/>
      <c r="T294" s="381" t="b" cm="1">
        <f t="array" aca="1" ref="T294" ca="1">T293</f>
        <v>1</v>
      </c>
      <c r="U294" s="28"/>
      <c r="V294" s="28"/>
      <c r="W294" s="28"/>
      <c r="X294" s="1787"/>
      <c r="Y294" s="617"/>
      <c r="Z294" s="1735"/>
      <c r="AA294" s="617"/>
      <c r="AB294" s="129" cm="1">
        <f t="array" ref="AB294">D294</f>
        <v>9</v>
      </c>
      <c r="AC294" s="130" t="s">
        <v>1682</v>
      </c>
      <c r="AD294" s="152" t="s">
        <v>766</v>
      </c>
      <c r="AE294" s="131">
        <f ca="1">AE172+AE222+AE258+AE259+AE261+AE266+AE267+AE270</f>
        <v>140.82</v>
      </c>
      <c r="AF294" s="131">
        <f ca="1">AF172+AF222+AF258+AF259+AF261+AF266+AF267+AF270</f>
        <v>5.6</v>
      </c>
      <c r="AG294" s="131">
        <f ca="1">AG172+AG222+AG258+AG259+AG261+AG266+AG267+AG270</f>
        <v>5.6</v>
      </c>
      <c r="AH294" s="692">
        <f t="shared" ca="1" si="73"/>
        <v>0</v>
      </c>
      <c r="AI294" s="131">
        <f t="shared" ref="AI294:BC294" ca="1" si="78">AI172+AI222+AI258+AI259+AI261+AI266+AI267+AI270</f>
        <v>146.88999999999999</v>
      </c>
      <c r="AJ294" s="131">
        <f t="shared" ca="1" si="78"/>
        <v>155.30000000000001</v>
      </c>
      <c r="AK294" s="131">
        <f t="shared" ca="1" si="78"/>
        <v>0</v>
      </c>
      <c r="AL294" s="131">
        <f t="shared" ca="1" si="78"/>
        <v>0</v>
      </c>
      <c r="AM294" s="131">
        <f t="shared" ca="1" si="78"/>
        <v>0</v>
      </c>
      <c r="AN294" s="131">
        <f t="shared" ca="1" si="78"/>
        <v>0</v>
      </c>
      <c r="AO294" s="131">
        <f t="shared" ca="1" si="78"/>
        <v>0</v>
      </c>
      <c r="AP294" s="131">
        <f t="shared" ca="1" si="78"/>
        <v>0</v>
      </c>
      <c r="AQ294" s="131">
        <f t="shared" ca="1" si="78"/>
        <v>0</v>
      </c>
      <c r="AR294" s="131">
        <f t="shared" ca="1" si="78"/>
        <v>0</v>
      </c>
      <c r="AS294" s="131">
        <f t="shared" ca="1" si="78"/>
        <v>0</v>
      </c>
      <c r="AT294" s="131">
        <f t="shared" ca="1" si="78"/>
        <v>155.33000000000001</v>
      </c>
      <c r="AU294" s="131">
        <f t="shared" ca="1" si="78"/>
        <v>0</v>
      </c>
      <c r="AV294" s="131">
        <f t="shared" ca="1" si="78"/>
        <v>0</v>
      </c>
      <c r="AW294" s="131">
        <f t="shared" ca="1" si="78"/>
        <v>0</v>
      </c>
      <c r="AX294" s="131">
        <f t="shared" ca="1" si="78"/>
        <v>0</v>
      </c>
      <c r="AY294" s="131">
        <f t="shared" ca="1" si="78"/>
        <v>0</v>
      </c>
      <c r="AZ294" s="131">
        <f t="shared" ca="1" si="78"/>
        <v>0</v>
      </c>
      <c r="BA294" s="131">
        <f t="shared" ca="1" si="78"/>
        <v>0</v>
      </c>
      <c r="BB294" s="131">
        <f t="shared" ca="1" si="78"/>
        <v>0</v>
      </c>
      <c r="BC294" s="131">
        <f t="shared" ca="1" si="78"/>
        <v>0</v>
      </c>
      <c r="BD294" s="692">
        <f ca="1">IF(AI294=0,0,(AT294-AI294)/AI294*100)</f>
        <v>5.7457961740077792</v>
      </c>
      <c r="BE294" s="692">
        <f t="shared" ref="BE294:BM295" ca="1" si="79">IF(AT294=0,0,(AU294-AT294)/AT294*100)</f>
        <v>-100</v>
      </c>
      <c r="BF294" s="692">
        <f t="shared" ca="1" si="79"/>
        <v>0</v>
      </c>
      <c r="BG294" s="692">
        <f t="shared" ca="1" si="79"/>
        <v>0</v>
      </c>
      <c r="BH294" s="692">
        <f t="shared" ca="1" si="79"/>
        <v>0</v>
      </c>
      <c r="BI294" s="692">
        <f t="shared" ca="1" si="79"/>
        <v>0</v>
      </c>
      <c r="BJ294" s="692">
        <f t="shared" ca="1" si="79"/>
        <v>0</v>
      </c>
      <c r="BK294" s="692">
        <f t="shared" ca="1" si="79"/>
        <v>0</v>
      </c>
      <c r="BL294" s="692">
        <f t="shared" ca="1" si="79"/>
        <v>0</v>
      </c>
      <c r="BM294" s="692">
        <f t="shared" ca="1" si="79"/>
        <v>0</v>
      </c>
      <c r="BN294" s="1482"/>
      <c r="BO294" s="1482"/>
      <c r="BP294" s="1482"/>
      <c r="BQ294" s="617"/>
      <c r="BR294" s="617"/>
      <c r="BS294" s="972" t="s">
        <v>1683</v>
      </c>
      <c r="BT294" s="972"/>
      <c r="BU294" s="972"/>
      <c r="BV294" s="624"/>
      <c r="BW294" s="624"/>
    </row>
    <row r="295" spans="1:75" s="1498" customFormat="1" ht="20.25" customHeight="1">
      <c r="A295" s="617"/>
      <c r="B295" s="352"/>
      <c r="C295" s="28"/>
      <c r="D295" s="28">
        <f>D294+1</f>
        <v>10</v>
      </c>
      <c r="E295" s="740">
        <v>21</v>
      </c>
      <c r="F295" s="3" t="str" cm="1">
        <f t="array" aca="1" ref="F295" ca="1">OFFSET(E295,-1,1)</f>
        <v>1</v>
      </c>
      <c r="G295" s="28"/>
      <c r="H295" s="26"/>
      <c r="I295" s="26" t="s">
        <v>1692</v>
      </c>
      <c r="J295" s="28"/>
      <c r="K295" s="77" t="s">
        <v>1692</v>
      </c>
      <c r="L295" s="887"/>
      <c r="M295" s="28"/>
      <c r="N295" s="28"/>
      <c r="O295" s="28"/>
      <c r="P295" s="28"/>
      <c r="Q295" s="28"/>
      <c r="R295" s="28"/>
      <c r="S295" s="28"/>
      <c r="T295" s="381" t="b" cm="1">
        <f t="array" aca="1" ref="T295" ca="1">T294</f>
        <v>1</v>
      </c>
      <c r="U295" s="28"/>
      <c r="V295" s="28"/>
      <c r="W295" s="28"/>
      <c r="X295" s="1787"/>
      <c r="Y295" s="617"/>
      <c r="Z295" s="1735"/>
      <c r="AA295" s="617"/>
      <c r="AB295" s="129" cm="1">
        <f t="array" ref="AB295">D295</f>
        <v>10</v>
      </c>
      <c r="AC295" s="130" t="s">
        <v>2025</v>
      </c>
      <c r="AD295" s="129" t="s">
        <v>766</v>
      </c>
      <c r="AE295" s="131">
        <f t="shared" ref="AE295:BC295" ca="1" si="80">AE294+AE279+AE292</f>
        <v>140.82</v>
      </c>
      <c r="AF295" s="131">
        <f t="shared" ca="1" si="80"/>
        <v>5.6</v>
      </c>
      <c r="AG295" s="131">
        <f t="shared" ca="1" si="80"/>
        <v>5.6</v>
      </c>
      <c r="AH295" s="131">
        <f t="shared" ca="1" si="80"/>
        <v>0</v>
      </c>
      <c r="AI295" s="131">
        <f t="shared" ca="1" si="80"/>
        <v>146.88999999999999</v>
      </c>
      <c r="AJ295" s="131">
        <f t="shared" ca="1" si="80"/>
        <v>155.30000000000001</v>
      </c>
      <c r="AK295" s="131">
        <f t="shared" ca="1" si="80"/>
        <v>0</v>
      </c>
      <c r="AL295" s="131">
        <f t="shared" ca="1" si="80"/>
        <v>0</v>
      </c>
      <c r="AM295" s="131">
        <f t="shared" ca="1" si="80"/>
        <v>0</v>
      </c>
      <c r="AN295" s="131">
        <f t="shared" ca="1" si="80"/>
        <v>0</v>
      </c>
      <c r="AO295" s="131">
        <f t="shared" ca="1" si="80"/>
        <v>0</v>
      </c>
      <c r="AP295" s="131">
        <f t="shared" ca="1" si="80"/>
        <v>0</v>
      </c>
      <c r="AQ295" s="131">
        <f t="shared" ca="1" si="80"/>
        <v>0</v>
      </c>
      <c r="AR295" s="131">
        <f t="shared" ca="1" si="80"/>
        <v>0</v>
      </c>
      <c r="AS295" s="131">
        <f t="shared" ca="1" si="80"/>
        <v>0</v>
      </c>
      <c r="AT295" s="131">
        <f t="shared" ca="1" si="80"/>
        <v>155.33000000000001</v>
      </c>
      <c r="AU295" s="131">
        <f t="shared" ca="1" si="80"/>
        <v>0</v>
      </c>
      <c r="AV295" s="131">
        <f t="shared" ca="1" si="80"/>
        <v>0</v>
      </c>
      <c r="AW295" s="131">
        <f t="shared" ca="1" si="80"/>
        <v>0</v>
      </c>
      <c r="AX295" s="131">
        <f t="shared" ca="1" si="80"/>
        <v>0</v>
      </c>
      <c r="AY295" s="131">
        <f t="shared" ca="1" si="80"/>
        <v>0</v>
      </c>
      <c r="AZ295" s="131">
        <f t="shared" ca="1" si="80"/>
        <v>0</v>
      </c>
      <c r="BA295" s="131">
        <f t="shared" ca="1" si="80"/>
        <v>0</v>
      </c>
      <c r="BB295" s="131">
        <f t="shared" ca="1" si="80"/>
        <v>0</v>
      </c>
      <c r="BC295" s="131">
        <f t="shared" ca="1" si="80"/>
        <v>0</v>
      </c>
      <c r="BD295" s="692">
        <f ca="1">IF(AI295=0,0,(AT295-AI295)/AI295*100)</f>
        <v>5.7457961740077792</v>
      </c>
      <c r="BE295" s="692">
        <f t="shared" ca="1" si="79"/>
        <v>-100</v>
      </c>
      <c r="BF295" s="692">
        <f t="shared" ca="1" si="79"/>
        <v>0</v>
      </c>
      <c r="BG295" s="692">
        <f t="shared" ca="1" si="79"/>
        <v>0</v>
      </c>
      <c r="BH295" s="692">
        <f t="shared" ca="1" si="79"/>
        <v>0</v>
      </c>
      <c r="BI295" s="692">
        <f t="shared" ca="1" si="79"/>
        <v>0</v>
      </c>
      <c r="BJ295" s="692">
        <f t="shared" ca="1" si="79"/>
        <v>0</v>
      </c>
      <c r="BK295" s="692">
        <f t="shared" ca="1" si="79"/>
        <v>0</v>
      </c>
      <c r="BL295" s="692">
        <f t="shared" ca="1" si="79"/>
        <v>0</v>
      </c>
      <c r="BM295" s="692">
        <f t="shared" ca="1" si="79"/>
        <v>0</v>
      </c>
      <c r="BN295" s="1482"/>
      <c r="BO295" s="1482"/>
      <c r="BP295" s="1482"/>
      <c r="BQ295" s="617"/>
      <c r="BR295" s="617"/>
      <c r="BS295" s="972" t="s">
        <v>2026</v>
      </c>
      <c r="BT295" s="972"/>
      <c r="BU295" s="972"/>
      <c r="BV295" s="624"/>
      <c r="BW295" s="624"/>
    </row>
    <row r="296" spans="1:75" s="1327" customFormat="1" ht="14.25" hidden="1" customHeight="1">
      <c r="A296" s="1177"/>
      <c r="B296" s="362" t="b">
        <f>A171="двухставочный"</f>
        <v>0</v>
      </c>
      <c r="C296" s="26"/>
      <c r="D296" s="26" cm="1">
        <f t="array" ref="D296">D295</f>
        <v>10</v>
      </c>
      <c r="E296" s="538">
        <v>15</v>
      </c>
      <c r="F296" s="3" t="str" cm="1">
        <f t="array" aca="1" ref="F296" ca="1">OFFSET(E296,-1,1)</f>
        <v>1</v>
      </c>
      <c r="G296" s="26"/>
      <c r="H296" s="762"/>
      <c r="I296" s="762" t="s">
        <v>1696</v>
      </c>
      <c r="J296" s="26"/>
      <c r="K296" s="291" t="s">
        <v>1696</v>
      </c>
      <c r="L296" s="882" t="s">
        <v>1684</v>
      </c>
      <c r="M296" s="26"/>
      <c r="N296" s="26"/>
      <c r="O296" s="26"/>
      <c r="P296" s="26"/>
      <c r="Q296" s="26"/>
      <c r="R296" s="26"/>
      <c r="S296" s="26"/>
      <c r="T296" s="381" t="b" cm="1">
        <f t="array" aca="1" ref="T296" ca="1">T295</f>
        <v>1</v>
      </c>
      <c r="U296" s="26"/>
      <c r="V296" s="26"/>
      <c r="W296" s="26"/>
      <c r="X296" s="1787"/>
      <c r="Y296" s="1177"/>
      <c r="Z296" s="1735"/>
      <c r="AA296" s="1177"/>
      <c r="AB296" s="216" t="str">
        <f>D296&amp;".1"</f>
        <v>10.1</v>
      </c>
      <c r="AC296" s="1013" t="s">
        <v>1686</v>
      </c>
      <c r="AD296" s="216" t="s">
        <v>766</v>
      </c>
      <c r="AE296" s="1141"/>
      <c r="AF296" s="1141"/>
      <c r="AG296" s="1141"/>
      <c r="AH296" s="1015">
        <f t="shared" ref="AH296:AH302" si="81">AG296-AF296</f>
        <v>0</v>
      </c>
      <c r="AI296" s="1141"/>
      <c r="AJ296" s="1473"/>
      <c r="AK296" s="1141"/>
      <c r="AL296" s="1141"/>
      <c r="AM296" s="1141"/>
      <c r="AN296" s="1141"/>
      <c r="AO296" s="1141"/>
      <c r="AP296" s="1141"/>
      <c r="AQ296" s="1141"/>
      <c r="AR296" s="1141"/>
      <c r="AS296" s="1141"/>
      <c r="AT296" s="1473"/>
      <c r="AU296" s="1141"/>
      <c r="AV296" s="1141"/>
      <c r="AW296" s="1141"/>
      <c r="AX296" s="1141"/>
      <c r="AY296" s="1141"/>
      <c r="AZ296" s="1141"/>
      <c r="BA296" s="1141"/>
      <c r="BB296" s="1141"/>
      <c r="BC296" s="1141"/>
      <c r="BD296" s="1016"/>
      <c r="BE296" s="1016"/>
      <c r="BF296" s="1016"/>
      <c r="BG296" s="1016"/>
      <c r="BH296" s="1016"/>
      <c r="BI296" s="1016"/>
      <c r="BJ296" s="1016"/>
      <c r="BK296" s="1016"/>
      <c r="BL296" s="1016"/>
      <c r="BM296" s="1016"/>
      <c r="BN296" s="1138"/>
      <c r="BO296" s="1138"/>
      <c r="BP296" s="1138"/>
      <c r="BQ296" s="1177"/>
      <c r="BR296" s="1177"/>
      <c r="BS296" s="964" t="s">
        <v>1687</v>
      </c>
      <c r="BT296" s="966"/>
      <c r="BU296" s="966"/>
      <c r="BV296" s="881"/>
      <c r="BW296" s="881"/>
    </row>
    <row r="297" spans="1:75" s="1327" customFormat="1" ht="14.25" hidden="1" customHeight="1">
      <c r="A297" s="1177"/>
      <c r="B297" s="362" t="b">
        <f>A171="двухставочный"</f>
        <v>0</v>
      </c>
      <c r="C297" s="26"/>
      <c r="D297" s="26" cm="1">
        <f t="array" ref="D297">D296</f>
        <v>10</v>
      </c>
      <c r="E297" s="538">
        <v>15</v>
      </c>
      <c r="F297" s="3" t="str" cm="1">
        <f t="array" aca="1" ref="F297" ca="1">OFFSET(E297,-1,1)</f>
        <v>1</v>
      </c>
      <c r="G297" s="26"/>
      <c r="H297" s="762"/>
      <c r="I297" s="762" t="s">
        <v>1700</v>
      </c>
      <c r="J297" s="26"/>
      <c r="K297" s="291" t="s">
        <v>1700</v>
      </c>
      <c r="L297" s="882" t="s">
        <v>1688</v>
      </c>
      <c r="M297" s="26"/>
      <c r="N297" s="26"/>
      <c r="O297" s="26"/>
      <c r="P297" s="26"/>
      <c r="Q297" s="26"/>
      <c r="R297" s="26"/>
      <c r="S297" s="26"/>
      <c r="T297" s="381" t="b" cm="1">
        <f t="array" aca="1" ref="T297" ca="1">T296</f>
        <v>1</v>
      </c>
      <c r="U297" s="26"/>
      <c r="V297" s="26"/>
      <c r="W297" s="26"/>
      <c r="X297" s="1787"/>
      <c r="Y297" s="1177"/>
      <c r="Z297" s="1735"/>
      <c r="AA297" s="1177"/>
      <c r="AB297" s="216" t="str">
        <f>D297&amp;".2"</f>
        <v>10.2</v>
      </c>
      <c r="AC297" s="1013" t="s">
        <v>1690</v>
      </c>
      <c r="AD297" s="216" t="s">
        <v>766</v>
      </c>
      <c r="AE297" s="1141"/>
      <c r="AF297" s="1141"/>
      <c r="AG297" s="1141"/>
      <c r="AH297" s="1015">
        <f t="shared" si="81"/>
        <v>0</v>
      </c>
      <c r="AI297" s="1141"/>
      <c r="AJ297" s="1473"/>
      <c r="AK297" s="1141"/>
      <c r="AL297" s="1141"/>
      <c r="AM297" s="1141"/>
      <c r="AN297" s="1141"/>
      <c r="AO297" s="1141"/>
      <c r="AP297" s="1141"/>
      <c r="AQ297" s="1141"/>
      <c r="AR297" s="1141"/>
      <c r="AS297" s="1141"/>
      <c r="AT297" s="1473"/>
      <c r="AU297" s="1141"/>
      <c r="AV297" s="1141"/>
      <c r="AW297" s="1141"/>
      <c r="AX297" s="1141"/>
      <c r="AY297" s="1141"/>
      <c r="AZ297" s="1141"/>
      <c r="BA297" s="1141"/>
      <c r="BB297" s="1141"/>
      <c r="BC297" s="1141"/>
      <c r="BD297" s="1016"/>
      <c r="BE297" s="1016"/>
      <c r="BF297" s="1016"/>
      <c r="BG297" s="1016"/>
      <c r="BH297" s="1016"/>
      <c r="BI297" s="1016"/>
      <c r="BJ297" s="1016"/>
      <c r="BK297" s="1016"/>
      <c r="BL297" s="1016"/>
      <c r="BM297" s="1016"/>
      <c r="BN297" s="1138"/>
      <c r="BO297" s="1138"/>
      <c r="BP297" s="1138"/>
      <c r="BQ297" s="1177"/>
      <c r="BR297" s="1177"/>
      <c r="BS297" s="964" t="s">
        <v>1691</v>
      </c>
      <c r="BT297" s="966"/>
      <c r="BU297" s="966"/>
      <c r="BV297" s="881"/>
      <c r="BW297" s="881"/>
    </row>
    <row r="298" spans="1:75" s="1499" customFormat="1" ht="20.25" customHeight="1">
      <c r="A298" s="617"/>
      <c r="B298" s="352"/>
      <c r="C298" s="28"/>
      <c r="D298" s="28">
        <f>D297+1</f>
        <v>11</v>
      </c>
      <c r="E298" s="740">
        <v>21</v>
      </c>
      <c r="F298" s="3" t="str" cm="1">
        <f t="array" aca="1" ref="F298" ca="1">OFFSET(E298,-1,1)</f>
        <v>1</v>
      </c>
      <c r="G298" s="26" t="s">
        <v>1463</v>
      </c>
      <c r="H298" s="26"/>
      <c r="I298" s="26" t="s">
        <v>1720</v>
      </c>
      <c r="J298" s="28"/>
      <c r="K298" s="77" t="s">
        <v>1720</v>
      </c>
      <c r="L298" s="887" t="s">
        <v>1692</v>
      </c>
      <c r="M298" s="28"/>
      <c r="N298" s="28"/>
      <c r="O298" s="28"/>
      <c r="P298" s="28"/>
      <c r="Q298" s="28"/>
      <c r="R298" s="28"/>
      <c r="S298" s="28"/>
      <c r="T298" s="381" t="b" cm="1">
        <f t="array" aca="1" ref="T298" ca="1">T297</f>
        <v>1</v>
      </c>
      <c r="U298" s="28"/>
      <c r="V298" s="28"/>
      <c r="W298" s="28"/>
      <c r="X298" s="1787"/>
      <c r="Y298" s="617"/>
      <c r="Z298" s="1735"/>
      <c r="AA298" s="617"/>
      <c r="AB298" s="129" cm="1">
        <f t="array" ref="AB298">D298</f>
        <v>11</v>
      </c>
      <c r="AC298" s="130" t="s">
        <v>1694</v>
      </c>
      <c r="AD298" s="129" t="s">
        <v>499</v>
      </c>
      <c r="AE298" s="699">
        <f ca="1">SUMIFS(Баланс!AE$26:AE$209,Баланс!$F$26:$F$209,$F298,Баланс!$G$26:$G$209,"ПО")</f>
        <v>2.7665999999999999</v>
      </c>
      <c r="AF298" s="699">
        <f ca="1">SUMIFS(Баланс!AF$26:AF$209,Баланс!$F$26:$F$209,$F298,Баланс!$G$26:$G$209,"ПО")</f>
        <v>0.11</v>
      </c>
      <c r="AG298" s="699">
        <f ca="1">SUMIFS(Баланс!AG$26:AG$209,Баланс!$F$26:$F$209,$F298,Баланс!$G$26:$G$209,"ПО")</f>
        <v>0.11</v>
      </c>
      <c r="AH298" s="699">
        <f t="shared" ca="1" si="81"/>
        <v>0</v>
      </c>
      <c r="AI298" s="699">
        <f ca="1">SUMIFS(Баланс!AH$26:AH$209,Баланс!$F$26:$F$209,$F298,Баланс!$G$26:$G$209,"ПО")</f>
        <v>2.6282700000000001</v>
      </c>
      <c r="AJ298" s="699">
        <f ca="1">SUMIFS(Баланс!AI$26:AI$209,Баланс!$F$26:$F$209,$F298,Баланс!$G$26:$G$209,"ПО")</f>
        <v>2.5756999999999999</v>
      </c>
      <c r="AK298" s="699">
        <f ca="1">SUMIFS(Баланс!AJ$26:AJ$209,Баланс!$F$26:$F$209,$F298,Баланс!$G$26:$G$209,"ПО")</f>
        <v>0</v>
      </c>
      <c r="AL298" s="699">
        <f ca="1">SUMIFS(Баланс!AK$26:AK$209,Баланс!$F$26:$F$209,$F298,Баланс!$G$26:$G$209,"ПО")</f>
        <v>0</v>
      </c>
      <c r="AM298" s="699">
        <f ca="1">SUMIFS(Баланс!AL$26:AL$209,Баланс!$F$26:$F$209,$F298,Баланс!$G$26:$G$209,"ПО")</f>
        <v>0</v>
      </c>
      <c r="AN298" s="699">
        <f ca="1">SUMIFS(Баланс!AM$26:AM$209,Баланс!$F$26:$F$209,$F298,Баланс!$G$26:$G$209,"ПО")</f>
        <v>0</v>
      </c>
      <c r="AO298" s="699">
        <f ca="1">SUMIFS(Баланс!AN$26:AN$209,Баланс!$F$26:$F$209,$F298,Баланс!$G$26:$G$209,"ПО")</f>
        <v>0</v>
      </c>
      <c r="AP298" s="699">
        <f ca="1">SUMIFS(Баланс!AO$26:AO$209,Баланс!$F$26:$F$209,$F298,Баланс!$G$26:$G$209,"ПО")</f>
        <v>0</v>
      </c>
      <c r="AQ298" s="699">
        <f ca="1">SUMIFS(Баланс!AP$26:AP$209,Баланс!$F$26:$F$209,$F298,Баланс!$G$26:$G$209,"ПО")</f>
        <v>0</v>
      </c>
      <c r="AR298" s="699">
        <f ca="1">SUMIFS(Баланс!AQ$26:AQ$209,Баланс!$F$26:$F$209,$F298,Баланс!$G$26:$G$209,"ПО")</f>
        <v>0</v>
      </c>
      <c r="AS298" s="699">
        <f ca="1">SUMIFS(Баланс!AR$26:AR$209,Баланс!$F$26:$F$209,$F298,Баланс!$G$26:$G$209,"ПО")</f>
        <v>0</v>
      </c>
      <c r="AT298" s="699">
        <f ca="1">SUMIFS(Баланс!AS$26:AS$209,Баланс!$F$26:$F$209,$F298,Баланс!$G$26:$G$209,"ПО")</f>
        <v>2.5756999999999999</v>
      </c>
      <c r="AU298" s="699">
        <f ca="1">SUMIFS(Баланс!AT$26:AT$209,Баланс!$F$26:$F$209,$F298,Баланс!$G$26:$G$209,"ПО")</f>
        <v>0</v>
      </c>
      <c r="AV298" s="699">
        <f ca="1">SUMIFS(Баланс!AU$26:AU$209,Баланс!$F$26:$F$209,$F298,Баланс!$G$26:$G$209,"ПО")</f>
        <v>0</v>
      </c>
      <c r="AW298" s="699">
        <f ca="1">SUMIFS(Баланс!AV$26:AV$209,Баланс!$F$26:$F$209,$F298,Баланс!$G$26:$G$209,"ПО")</f>
        <v>0</v>
      </c>
      <c r="AX298" s="699">
        <f ca="1">SUMIFS(Баланс!AW$26:AW$209,Баланс!$F$26:$F$209,$F298,Баланс!$G$26:$G$209,"ПО")</f>
        <v>0</v>
      </c>
      <c r="AY298" s="699">
        <f ca="1">SUMIFS(Баланс!AX$26:AX$209,Баланс!$F$26:$F$209,$F298,Баланс!$G$26:$G$209,"ПО")</f>
        <v>0</v>
      </c>
      <c r="AZ298" s="699">
        <f ca="1">SUMIFS(Баланс!AY$26:AY$209,Баланс!$F$26:$F$209,$F298,Баланс!$G$26:$G$209,"ПО")</f>
        <v>0</v>
      </c>
      <c r="BA298" s="699">
        <f ca="1">SUMIFS(Баланс!AZ$26:AZ$209,Баланс!$F$26:$F$209,$F298,Баланс!$G$26:$G$209,"ПО")</f>
        <v>0</v>
      </c>
      <c r="BB298" s="699">
        <f ca="1">SUMIFS(Баланс!BA$26:BA$209,Баланс!$F$26:$F$209,$F298,Баланс!$G$26:$G$209,"ПО")</f>
        <v>0</v>
      </c>
      <c r="BC298" s="699">
        <f ca="1">SUMIFS(Баланс!BB$26:BB$209,Баланс!$F$26:$F$209,$F298,Баланс!$G$26:$G$209,"ПО")</f>
        <v>0</v>
      </c>
      <c r="BD298" s="134"/>
      <c r="BE298" s="134"/>
      <c r="BF298" s="134"/>
      <c r="BG298" s="134"/>
      <c r="BH298" s="134"/>
      <c r="BI298" s="134"/>
      <c r="BJ298" s="134"/>
      <c r="BK298" s="134"/>
      <c r="BL298" s="134"/>
      <c r="BM298" s="134"/>
      <c r="BN298" s="1482"/>
      <c r="BO298" s="1482"/>
      <c r="BP298" s="1482"/>
      <c r="BQ298" s="617"/>
      <c r="BR298" s="617"/>
      <c r="BS298" s="965" t="s">
        <v>1695</v>
      </c>
      <c r="BT298" s="972"/>
      <c r="BU298" s="972"/>
      <c r="BV298" s="624"/>
      <c r="BW298" s="624"/>
    </row>
    <row r="299" spans="1:75" s="1327" customFormat="1" ht="14.65" customHeight="1">
      <c r="A299" s="1177"/>
      <c r="B299" s="880"/>
      <c r="C299" s="26"/>
      <c r="D299" s="26" cm="1">
        <f t="array" ref="D299">D298</f>
        <v>11</v>
      </c>
      <c r="E299" s="538">
        <v>15</v>
      </c>
      <c r="F299" s="3" t="str" cm="1">
        <f t="array" aca="1" ref="F299" ca="1">OFFSET(E299,-1,1)</f>
        <v>1</v>
      </c>
      <c r="G299" s="26" t="s">
        <v>1490</v>
      </c>
      <c r="H299" s="26"/>
      <c r="I299" s="26" t="s">
        <v>2027</v>
      </c>
      <c r="J299" s="26"/>
      <c r="K299" s="77" t="s">
        <v>2027</v>
      </c>
      <c r="L299" s="882" t="s">
        <v>1696</v>
      </c>
      <c r="M299" s="26"/>
      <c r="N299" s="26"/>
      <c r="O299" s="26"/>
      <c r="P299" s="26"/>
      <c r="Q299" s="26"/>
      <c r="R299" s="26"/>
      <c r="S299" s="26"/>
      <c r="T299" s="381" t="b" cm="1">
        <f t="array" aca="1" ref="T299" ca="1">T298</f>
        <v>1</v>
      </c>
      <c r="U299" s="26"/>
      <c r="V299" s="26"/>
      <c r="W299" s="26"/>
      <c r="X299" s="1787"/>
      <c r="Y299" s="1177"/>
      <c r="Z299" s="1735"/>
      <c r="AA299" s="1177"/>
      <c r="AB299" s="216" t="str">
        <f>D299&amp;".1"</f>
        <v>11.1</v>
      </c>
      <c r="AC299" s="1012" t="s">
        <v>1698</v>
      </c>
      <c r="AD299" s="216" t="s">
        <v>499</v>
      </c>
      <c r="AE299" s="1472">
        <v>1.3833</v>
      </c>
      <c r="AF299" s="1472">
        <f ca="1">AF298/2</f>
        <v>5.5E-2</v>
      </c>
      <c r="AG299" s="1472">
        <f ca="1">AG298/2</f>
        <v>5.5E-2</v>
      </c>
      <c r="AH299" s="1014">
        <f t="shared" ca="1" si="81"/>
        <v>0</v>
      </c>
      <c r="AI299" s="1472">
        <f ca="1">AI298/2</f>
        <v>1.3141350000000001</v>
      </c>
      <c r="AJ299" s="1472">
        <f ca="1">IF(god=2026,AJ298/12*9,AJ298/2)</f>
        <v>1.9317749999999998</v>
      </c>
      <c r="AK299" s="1472">
        <f ca="1">IF(god=2025,AK298/12*9,AK298/2)</f>
        <v>0</v>
      </c>
      <c r="AL299" s="1472">
        <f t="shared" ref="AL299:AS299" ca="1" si="82">AL298/2</f>
        <v>0</v>
      </c>
      <c r="AM299" s="1472">
        <f t="shared" ca="1" si="82"/>
        <v>0</v>
      </c>
      <c r="AN299" s="1472">
        <f t="shared" ca="1" si="82"/>
        <v>0</v>
      </c>
      <c r="AO299" s="1472">
        <f t="shared" ca="1" si="82"/>
        <v>0</v>
      </c>
      <c r="AP299" s="1472">
        <f t="shared" ca="1" si="82"/>
        <v>0</v>
      </c>
      <c r="AQ299" s="1472">
        <f t="shared" ca="1" si="82"/>
        <v>0</v>
      </c>
      <c r="AR299" s="1472">
        <f t="shared" ca="1" si="82"/>
        <v>0</v>
      </c>
      <c r="AS299" s="1472">
        <f t="shared" ca="1" si="82"/>
        <v>0</v>
      </c>
      <c r="AT299" s="1478">
        <f ca="1">IF(god=2026,AT298/12*9,AT298/2)</f>
        <v>1.9317749999999998</v>
      </c>
      <c r="AU299" s="1478">
        <f ca="1">IF(god=2025,AU298/12*9,AU298/2)</f>
        <v>0</v>
      </c>
      <c r="AV299" s="1472">
        <f t="shared" ref="AV299:BC299" ca="1" si="83">AV298/2</f>
        <v>0</v>
      </c>
      <c r="AW299" s="1472">
        <f t="shared" ca="1" si="83"/>
        <v>0</v>
      </c>
      <c r="AX299" s="1472">
        <f t="shared" ca="1" si="83"/>
        <v>0</v>
      </c>
      <c r="AY299" s="1472">
        <f t="shared" ca="1" si="83"/>
        <v>0</v>
      </c>
      <c r="AZ299" s="1472">
        <f t="shared" ca="1" si="83"/>
        <v>0</v>
      </c>
      <c r="BA299" s="1472">
        <f t="shared" ca="1" si="83"/>
        <v>0</v>
      </c>
      <c r="BB299" s="1472">
        <f t="shared" ca="1" si="83"/>
        <v>0</v>
      </c>
      <c r="BC299" s="1472">
        <f t="shared" ca="1" si="83"/>
        <v>0</v>
      </c>
      <c r="BD299" s="1016"/>
      <c r="BE299" s="1016"/>
      <c r="BF299" s="1016"/>
      <c r="BG299" s="1016"/>
      <c r="BH299" s="1016"/>
      <c r="BI299" s="1016"/>
      <c r="BJ299" s="1016"/>
      <c r="BK299" s="1016"/>
      <c r="BL299" s="1016"/>
      <c r="BM299" s="1016"/>
      <c r="BN299" s="1482"/>
      <c r="BO299" s="1482"/>
      <c r="BP299" s="1482"/>
      <c r="BQ299" s="1177"/>
      <c r="BR299" s="1177"/>
      <c r="BS299" s="964" t="s">
        <v>1699</v>
      </c>
      <c r="BT299" s="966"/>
      <c r="BU299" s="966"/>
      <c r="BV299" s="881"/>
      <c r="BW299" s="881"/>
    </row>
    <row r="300" spans="1:75" s="1327" customFormat="1" ht="14.65" customHeight="1">
      <c r="A300" s="1177"/>
      <c r="B300" s="880"/>
      <c r="C300" s="26"/>
      <c r="D300" s="26" cm="1">
        <f t="array" ref="D300">D299</f>
        <v>11</v>
      </c>
      <c r="E300" s="538">
        <v>15</v>
      </c>
      <c r="F300" s="3" t="str" cm="1">
        <f t="array" aca="1" ref="F300" ca="1">OFFSET(E300,-1,1)</f>
        <v>1</v>
      </c>
      <c r="G300" s="26" t="s">
        <v>1451</v>
      </c>
      <c r="H300" s="26"/>
      <c r="I300" s="26" t="s">
        <v>2028</v>
      </c>
      <c r="J300" s="26"/>
      <c r="K300" s="77" t="s">
        <v>2028</v>
      </c>
      <c r="L300" s="882" t="s">
        <v>1700</v>
      </c>
      <c r="M300" s="26"/>
      <c r="N300" s="26"/>
      <c r="O300" s="26"/>
      <c r="P300" s="26"/>
      <c r="Q300" s="26"/>
      <c r="R300" s="26"/>
      <c r="S300" s="26"/>
      <c r="T300" s="381" t="b" cm="1">
        <f t="array" aca="1" ref="T300" ca="1">T299</f>
        <v>1</v>
      </c>
      <c r="U300" s="26"/>
      <c r="V300" s="26"/>
      <c r="W300" s="26"/>
      <c r="X300" s="1787"/>
      <c r="Y300" s="1177"/>
      <c r="Z300" s="1735"/>
      <c r="AA300" s="1177"/>
      <c r="AB300" s="216" t="str">
        <f>D300&amp;".2"</f>
        <v>11.2</v>
      </c>
      <c r="AC300" s="1012" t="s">
        <v>1702</v>
      </c>
      <c r="AD300" s="216" t="s">
        <v>1454</v>
      </c>
      <c r="AE300" s="1473">
        <v>459.34</v>
      </c>
      <c r="AF300" s="1473"/>
      <c r="AG300" s="1473"/>
      <c r="AH300" s="1015">
        <f t="shared" si="81"/>
        <v>0</v>
      </c>
      <c r="AI300" s="1473"/>
      <c r="AJ300" s="1473"/>
      <c r="AK300" s="1473"/>
      <c r="AL300" s="1473"/>
      <c r="AM300" s="1473"/>
      <c r="AN300" s="1473"/>
      <c r="AO300" s="1473"/>
      <c r="AP300" s="1473"/>
      <c r="AQ300" s="1473"/>
      <c r="AR300" s="1473"/>
      <c r="AS300" s="1473"/>
      <c r="AT300" s="1473"/>
      <c r="AU300" s="1473" cm="1">
        <f t="array" aca="1" ref="AU300" ca="1">AT302</f>
        <v>241.22374500135885</v>
      </c>
      <c r="AV300" s="1473" cm="1">
        <f t="array" aca="1" ref="AV300" ca="1">AU302</f>
        <v>0</v>
      </c>
      <c r="AW300" s="1473" cm="1">
        <f t="array" aca="1" ref="AW300" ca="1">AV302</f>
        <v>0</v>
      </c>
      <c r="AX300" s="1473" cm="1">
        <f t="array" aca="1" ref="AX300" ca="1">AW302</f>
        <v>0</v>
      </c>
      <c r="AY300" s="1473" cm="1">
        <f t="array" aca="1" ref="AY300" ca="1">AX302</f>
        <v>0</v>
      </c>
      <c r="AZ300" s="1473" cm="1">
        <f t="array" aca="1" ref="AZ300" ca="1">AY302</f>
        <v>0</v>
      </c>
      <c r="BA300" s="1473" cm="1">
        <f t="array" aca="1" ref="BA300" ca="1">AZ302</f>
        <v>0</v>
      </c>
      <c r="BB300" s="1473" cm="1">
        <f t="array" aca="1" ref="BB300" ca="1">BA302</f>
        <v>0</v>
      </c>
      <c r="BC300" s="1473" cm="1">
        <f t="array" aca="1" ref="BC300" ca="1">BB302</f>
        <v>0</v>
      </c>
      <c r="BD300" s="1016"/>
      <c r="BE300" s="1016"/>
      <c r="BF300" s="1016"/>
      <c r="BG300" s="1016"/>
      <c r="BH300" s="1016"/>
      <c r="BI300" s="1016"/>
      <c r="BJ300" s="1016"/>
      <c r="BK300" s="1016"/>
      <c r="BL300" s="1016"/>
      <c r="BM300" s="1016"/>
      <c r="BN300" s="1482"/>
      <c r="BO300" s="1482"/>
      <c r="BP300" s="1482"/>
      <c r="BQ300" s="1177"/>
      <c r="BR300" s="1177"/>
      <c r="BS300" s="964" t="s">
        <v>1703</v>
      </c>
      <c r="BT300" s="966"/>
      <c r="BU300" s="966"/>
      <c r="BV300" s="881"/>
      <c r="BW300" s="881"/>
    </row>
    <row r="301" spans="1:75" s="1327" customFormat="1" ht="14.25" customHeight="1">
      <c r="A301" s="1177"/>
      <c r="B301" s="880"/>
      <c r="C301" s="26"/>
      <c r="D301" s="26" cm="1">
        <f t="array" ref="D301">D300</f>
        <v>11</v>
      </c>
      <c r="E301" s="538">
        <v>15</v>
      </c>
      <c r="F301" s="3" t="str" cm="1">
        <f t="array" aca="1" ref="F301" ca="1">OFFSET(E301,-1,1)</f>
        <v>1</v>
      </c>
      <c r="G301" s="26" t="s">
        <v>1503</v>
      </c>
      <c r="H301" s="26"/>
      <c r="I301" s="26" t="s">
        <v>2029</v>
      </c>
      <c r="J301" s="26"/>
      <c r="K301" s="77" t="s">
        <v>2029</v>
      </c>
      <c r="L301" s="882" t="s">
        <v>1704</v>
      </c>
      <c r="M301" s="26"/>
      <c r="N301" s="26"/>
      <c r="O301" s="26"/>
      <c r="P301" s="26"/>
      <c r="Q301" s="26"/>
      <c r="R301" s="26"/>
      <c r="S301" s="26"/>
      <c r="T301" s="381" t="b" cm="1">
        <f t="array" aca="1" ref="T301" ca="1">T300</f>
        <v>1</v>
      </c>
      <c r="U301" s="26"/>
      <c r="V301" s="26"/>
      <c r="W301" s="26"/>
      <c r="X301" s="1787"/>
      <c r="Y301" s="1177"/>
      <c r="Z301" s="1735"/>
      <c r="AA301" s="1177"/>
      <c r="AB301" s="216" t="str">
        <f>D301&amp;".3"</f>
        <v>11.3</v>
      </c>
      <c r="AC301" s="1012" t="s">
        <v>2030</v>
      </c>
      <c r="AD301" s="216" t="s">
        <v>499</v>
      </c>
      <c r="AE301" s="1014">
        <f ca="1">AE298-AE299</f>
        <v>1.3833</v>
      </c>
      <c r="AF301" s="1014">
        <f ca="1">AF298-AF299</f>
        <v>5.5E-2</v>
      </c>
      <c r="AG301" s="1014">
        <f ca="1">AG298-AG299</f>
        <v>5.5E-2</v>
      </c>
      <c r="AH301" s="1014">
        <f t="shared" ca="1" si="81"/>
        <v>0</v>
      </c>
      <c r="AI301" s="1014">
        <f t="shared" ref="AI301:BC301" ca="1" si="84">AI298-AI299</f>
        <v>1.3141350000000001</v>
      </c>
      <c r="AJ301" s="1014">
        <f t="shared" ca="1" si="84"/>
        <v>0.64392500000000008</v>
      </c>
      <c r="AK301" s="1014">
        <f t="shared" ca="1" si="84"/>
        <v>0</v>
      </c>
      <c r="AL301" s="1014">
        <f t="shared" ca="1" si="84"/>
        <v>0</v>
      </c>
      <c r="AM301" s="1014">
        <f t="shared" ca="1" si="84"/>
        <v>0</v>
      </c>
      <c r="AN301" s="1014">
        <f t="shared" ca="1" si="84"/>
        <v>0</v>
      </c>
      <c r="AO301" s="1014">
        <f t="shared" ca="1" si="84"/>
        <v>0</v>
      </c>
      <c r="AP301" s="1014">
        <f t="shared" ca="1" si="84"/>
        <v>0</v>
      </c>
      <c r="AQ301" s="1014">
        <f t="shared" ca="1" si="84"/>
        <v>0</v>
      </c>
      <c r="AR301" s="1014">
        <f t="shared" ca="1" si="84"/>
        <v>0</v>
      </c>
      <c r="AS301" s="1014">
        <f t="shared" ca="1" si="84"/>
        <v>0</v>
      </c>
      <c r="AT301" s="1014">
        <f t="shared" ca="1" si="84"/>
        <v>0.64392500000000008</v>
      </c>
      <c r="AU301" s="1014">
        <f t="shared" ca="1" si="84"/>
        <v>0</v>
      </c>
      <c r="AV301" s="1014">
        <f t="shared" ca="1" si="84"/>
        <v>0</v>
      </c>
      <c r="AW301" s="1014">
        <f t="shared" ca="1" si="84"/>
        <v>0</v>
      </c>
      <c r="AX301" s="1014">
        <f t="shared" ca="1" si="84"/>
        <v>0</v>
      </c>
      <c r="AY301" s="1014">
        <f t="shared" ca="1" si="84"/>
        <v>0</v>
      </c>
      <c r="AZ301" s="1014">
        <f t="shared" ca="1" si="84"/>
        <v>0</v>
      </c>
      <c r="BA301" s="1014">
        <f t="shared" ca="1" si="84"/>
        <v>0</v>
      </c>
      <c r="BB301" s="1014">
        <f t="shared" ca="1" si="84"/>
        <v>0</v>
      </c>
      <c r="BC301" s="1014">
        <f t="shared" ca="1" si="84"/>
        <v>0</v>
      </c>
      <c r="BD301" s="1016"/>
      <c r="BE301" s="1016"/>
      <c r="BF301" s="1016"/>
      <c r="BG301" s="1016"/>
      <c r="BH301" s="1016"/>
      <c r="BI301" s="1016"/>
      <c r="BJ301" s="1016"/>
      <c r="BK301" s="1016"/>
      <c r="BL301" s="1016"/>
      <c r="BM301" s="1016"/>
      <c r="BN301" s="1482"/>
      <c r="BO301" s="1482"/>
      <c r="BP301" s="1482"/>
      <c r="BQ301" s="1177"/>
      <c r="BR301" s="1177"/>
      <c r="BS301" s="964" t="s">
        <v>1707</v>
      </c>
      <c r="BT301" s="966"/>
      <c r="BU301" s="966"/>
      <c r="BV301" s="881"/>
      <c r="BW301" s="881"/>
    </row>
    <row r="302" spans="1:75" s="1327" customFormat="1" ht="14.65" customHeight="1">
      <c r="A302" s="1177"/>
      <c r="B302" s="880"/>
      <c r="C302" s="26"/>
      <c r="D302" s="26" cm="1">
        <f t="array" ref="D302">D301</f>
        <v>11</v>
      </c>
      <c r="E302" s="538">
        <v>15</v>
      </c>
      <c r="F302" s="3" t="str" cm="1">
        <f t="array" aca="1" ref="F302" ca="1">OFFSET(E302,-1,1)</f>
        <v>1</v>
      </c>
      <c r="G302" s="26" t="s">
        <v>1456</v>
      </c>
      <c r="H302" s="26"/>
      <c r="I302" s="26" t="s">
        <v>2031</v>
      </c>
      <c r="J302" s="26"/>
      <c r="K302" s="77" t="s">
        <v>2031</v>
      </c>
      <c r="L302" s="882" t="s">
        <v>1708</v>
      </c>
      <c r="M302" s="26"/>
      <c r="N302" s="26"/>
      <c r="O302" s="26"/>
      <c r="P302" s="26"/>
      <c r="Q302" s="26"/>
      <c r="R302" s="26"/>
      <c r="S302" s="26"/>
      <c r="T302" s="381" t="b" cm="1">
        <f t="array" aca="1" ref="T302" ca="1">T301</f>
        <v>1</v>
      </c>
      <c r="U302" s="26"/>
      <c r="V302" s="26"/>
      <c r="W302" s="26"/>
      <c r="X302" s="1787"/>
      <c r="Y302" s="1177"/>
      <c r="Z302" s="1735"/>
      <c r="AA302" s="1177"/>
      <c r="AB302" s="216" t="str">
        <f>D302&amp;".4"</f>
        <v>11.4</v>
      </c>
      <c r="AC302" s="1012" t="s">
        <v>1710</v>
      </c>
      <c r="AD302" s="216" t="s">
        <v>1454</v>
      </c>
      <c r="AE302" s="1473">
        <v>523.14</v>
      </c>
      <c r="AF302" s="1473">
        <f ca="1">IF(AF301=0,0,(AF295-AF299*AF300)/AF301)</f>
        <v>101.81818181818181</v>
      </c>
      <c r="AG302" s="1473">
        <f ca="1">IF(AG301=0,0,(AG295-AG299*AG300)/AG301)</f>
        <v>101.81818181818181</v>
      </c>
      <c r="AH302" s="1015">
        <f t="shared" ca="1" si="81"/>
        <v>0</v>
      </c>
      <c r="AI302" s="1473">
        <f t="shared" ref="AI302:BC302" ca="1" si="85">IF(AI301=0,0,(AI295-AI299*AI300)/AI301)</f>
        <v>111.77694833483621</v>
      </c>
      <c r="AJ302" s="1473">
        <f t="shared" ca="1" si="85"/>
        <v>241.17715572465735</v>
      </c>
      <c r="AK302" s="1473">
        <f t="shared" ca="1" si="85"/>
        <v>0</v>
      </c>
      <c r="AL302" s="1473">
        <f t="shared" ca="1" si="85"/>
        <v>0</v>
      </c>
      <c r="AM302" s="1473">
        <f t="shared" ca="1" si="85"/>
        <v>0</v>
      </c>
      <c r="AN302" s="1473">
        <f t="shared" ca="1" si="85"/>
        <v>0</v>
      </c>
      <c r="AO302" s="1473">
        <f t="shared" ca="1" si="85"/>
        <v>0</v>
      </c>
      <c r="AP302" s="1473">
        <f t="shared" ca="1" si="85"/>
        <v>0</v>
      </c>
      <c r="AQ302" s="1473">
        <f t="shared" ca="1" si="85"/>
        <v>0</v>
      </c>
      <c r="AR302" s="1473">
        <f t="shared" ca="1" si="85"/>
        <v>0</v>
      </c>
      <c r="AS302" s="1473">
        <f t="shared" ca="1" si="85"/>
        <v>0</v>
      </c>
      <c r="AT302" s="1473">
        <f t="shared" ca="1" si="85"/>
        <v>241.22374500135885</v>
      </c>
      <c r="AU302" s="1473">
        <f t="shared" ca="1" si="85"/>
        <v>0</v>
      </c>
      <c r="AV302" s="1473">
        <f t="shared" ca="1" si="85"/>
        <v>0</v>
      </c>
      <c r="AW302" s="1473">
        <f t="shared" ca="1" si="85"/>
        <v>0</v>
      </c>
      <c r="AX302" s="1473">
        <f t="shared" ca="1" si="85"/>
        <v>0</v>
      </c>
      <c r="AY302" s="1473">
        <f t="shared" ca="1" si="85"/>
        <v>0</v>
      </c>
      <c r="AZ302" s="1473">
        <f t="shared" ca="1" si="85"/>
        <v>0</v>
      </c>
      <c r="BA302" s="1473">
        <f t="shared" ca="1" si="85"/>
        <v>0</v>
      </c>
      <c r="BB302" s="1473">
        <f t="shared" ca="1" si="85"/>
        <v>0</v>
      </c>
      <c r="BC302" s="1473">
        <f t="shared" ca="1" si="85"/>
        <v>0</v>
      </c>
      <c r="BD302" s="1016"/>
      <c r="BE302" s="1016"/>
      <c r="BF302" s="1016"/>
      <c r="BG302" s="1016"/>
      <c r="BH302" s="1016"/>
      <c r="BI302" s="1016"/>
      <c r="BJ302" s="1016"/>
      <c r="BK302" s="1016"/>
      <c r="BL302" s="1016"/>
      <c r="BM302" s="1016"/>
      <c r="BN302" s="1482"/>
      <c r="BO302" s="1482"/>
      <c r="BP302" s="1482"/>
      <c r="BQ302" s="1177"/>
      <c r="BR302" s="1177"/>
      <c r="BS302" s="964" t="s">
        <v>1711</v>
      </c>
      <c r="BT302" s="966"/>
      <c r="BU302" s="966"/>
      <c r="BV302" s="881"/>
      <c r="BW302" s="881"/>
    </row>
    <row r="303" spans="1:75" s="1327" customFormat="1" ht="14.25" customHeight="1">
      <c r="A303" s="1177"/>
      <c r="B303" s="880"/>
      <c r="C303" s="26"/>
      <c r="D303" s="26" cm="1">
        <f t="array" ref="D303">D302</f>
        <v>11</v>
      </c>
      <c r="E303" s="538">
        <v>15</v>
      </c>
      <c r="F303" s="3" t="str" cm="1">
        <f t="array" aca="1" ref="F303" ca="1">OFFSET(E303,-1,1)</f>
        <v>1</v>
      </c>
      <c r="G303" s="26"/>
      <c r="H303" s="26"/>
      <c r="I303" s="26" t="s">
        <v>2032</v>
      </c>
      <c r="J303" s="26"/>
      <c r="K303" s="77" t="s">
        <v>2032</v>
      </c>
      <c r="L303" s="882" t="s">
        <v>1712</v>
      </c>
      <c r="M303" s="26"/>
      <c r="N303" s="26"/>
      <c r="O303" s="26"/>
      <c r="P303" s="26"/>
      <c r="Q303" s="26"/>
      <c r="R303" s="26"/>
      <c r="S303" s="26"/>
      <c r="T303" s="381" t="b" cm="1">
        <f t="array" aca="1" ref="T303" ca="1">T302</f>
        <v>1</v>
      </c>
      <c r="U303" s="26"/>
      <c r="V303" s="26"/>
      <c r="W303" s="26"/>
      <c r="X303" s="1787"/>
      <c r="Y303" s="1177"/>
      <c r="Z303" s="1735"/>
      <c r="AA303" s="1177"/>
      <c r="AB303" s="216" t="str">
        <f>D303&amp;".5"</f>
        <v>11.5</v>
      </c>
      <c r="AC303" s="1012" t="s">
        <v>1714</v>
      </c>
      <c r="AD303" s="216" t="s">
        <v>423</v>
      </c>
      <c r="AE303" s="1015">
        <f>IF(AE300=0,0,AE302/AE300*100)</f>
        <v>113.88949362128271</v>
      </c>
      <c r="AF303" s="1015">
        <f>IF(AF300=0,0,AF302/AF300*100)</f>
        <v>0</v>
      </c>
      <c r="AG303" s="1015">
        <f>IF(AG300=0,0,AG302/AG300*100)</f>
        <v>0</v>
      </c>
      <c r="AH303" s="1016"/>
      <c r="AI303" s="1015">
        <f t="shared" ref="AI303:BC303" si="86">IF(AI300=0,0,AI302/AI300*100)</f>
        <v>0</v>
      </c>
      <c r="AJ303" s="1015">
        <f t="shared" si="86"/>
        <v>0</v>
      </c>
      <c r="AK303" s="1015">
        <f t="shared" si="86"/>
        <v>0</v>
      </c>
      <c r="AL303" s="1015">
        <f t="shared" si="86"/>
        <v>0</v>
      </c>
      <c r="AM303" s="1015">
        <f t="shared" si="86"/>
        <v>0</v>
      </c>
      <c r="AN303" s="1015">
        <f t="shared" si="86"/>
        <v>0</v>
      </c>
      <c r="AO303" s="1015">
        <f t="shared" si="86"/>
        <v>0</v>
      </c>
      <c r="AP303" s="1015">
        <f t="shared" si="86"/>
        <v>0</v>
      </c>
      <c r="AQ303" s="1015">
        <f t="shared" si="86"/>
        <v>0</v>
      </c>
      <c r="AR303" s="1015">
        <f t="shared" si="86"/>
        <v>0</v>
      </c>
      <c r="AS303" s="1015">
        <f t="shared" si="86"/>
        <v>0</v>
      </c>
      <c r="AT303" s="1015">
        <f t="shared" si="86"/>
        <v>0</v>
      </c>
      <c r="AU303" s="1015">
        <f t="shared" ca="1" si="86"/>
        <v>0</v>
      </c>
      <c r="AV303" s="1015">
        <f t="shared" ca="1" si="86"/>
        <v>0</v>
      </c>
      <c r="AW303" s="1015">
        <f t="shared" ca="1" si="86"/>
        <v>0</v>
      </c>
      <c r="AX303" s="1015">
        <f t="shared" ca="1" si="86"/>
        <v>0</v>
      </c>
      <c r="AY303" s="1015">
        <f t="shared" ca="1" si="86"/>
        <v>0</v>
      </c>
      <c r="AZ303" s="1015">
        <f t="shared" ca="1" si="86"/>
        <v>0</v>
      </c>
      <c r="BA303" s="1015">
        <f t="shared" ca="1" si="86"/>
        <v>0</v>
      </c>
      <c r="BB303" s="1015">
        <f t="shared" ca="1" si="86"/>
        <v>0</v>
      </c>
      <c r="BC303" s="1015">
        <f t="shared" ca="1" si="86"/>
        <v>0</v>
      </c>
      <c r="BD303" s="1016"/>
      <c r="BE303" s="1016"/>
      <c r="BF303" s="1016"/>
      <c r="BG303" s="1016"/>
      <c r="BH303" s="1016"/>
      <c r="BI303" s="1016"/>
      <c r="BJ303" s="1016"/>
      <c r="BK303" s="1016"/>
      <c r="BL303" s="1016"/>
      <c r="BM303" s="1016"/>
      <c r="BN303" s="1482"/>
      <c r="BO303" s="1482"/>
      <c r="BP303" s="1482"/>
      <c r="BQ303" s="1177"/>
      <c r="BR303" s="1177"/>
      <c r="BS303" s="964" t="s">
        <v>1715</v>
      </c>
      <c r="BT303" s="966"/>
      <c r="BU303" s="966"/>
      <c r="BV303" s="881"/>
      <c r="BW303" s="881"/>
    </row>
    <row r="304" spans="1:75" s="1327" customFormat="1" ht="14.65" customHeight="1">
      <c r="A304" s="1177"/>
      <c r="B304" s="880"/>
      <c r="C304" s="26"/>
      <c r="D304" s="26" cm="1">
        <f t="array" ref="D304">D303</f>
        <v>11</v>
      </c>
      <c r="E304" s="538">
        <v>15</v>
      </c>
      <c r="F304" s="3" t="str" cm="1">
        <f t="array" aca="1" ref="F304" ca="1">OFFSET(E304,-1,1)</f>
        <v>1</v>
      </c>
      <c r="G304" s="26"/>
      <c r="H304" s="26"/>
      <c r="I304" s="26" t="s">
        <v>2033</v>
      </c>
      <c r="J304" s="26"/>
      <c r="K304" s="77" t="s">
        <v>2033</v>
      </c>
      <c r="L304" s="882" t="s">
        <v>1716</v>
      </c>
      <c r="M304" s="26"/>
      <c r="N304" s="26"/>
      <c r="O304" s="26"/>
      <c r="P304" s="26"/>
      <c r="Q304" s="26"/>
      <c r="R304" s="26"/>
      <c r="S304" s="26"/>
      <c r="T304" s="381" t="b" cm="1">
        <f t="array" aca="1" ref="T304" ca="1">T303</f>
        <v>1</v>
      </c>
      <c r="U304" s="26"/>
      <c r="V304" s="26"/>
      <c r="W304" s="26"/>
      <c r="X304" s="1787"/>
      <c r="Y304" s="1177"/>
      <c r="Z304" s="1735"/>
      <c r="AA304" s="1177"/>
      <c r="AB304" s="216" t="str">
        <f>D304&amp;".6"</f>
        <v>11.6</v>
      </c>
      <c r="AC304" s="1012" t="s">
        <v>1718</v>
      </c>
      <c r="AD304" s="216" t="s">
        <v>1454</v>
      </c>
      <c r="AE304" s="1473">
        <v>491.24089640710002</v>
      </c>
      <c r="AF304" s="1473">
        <f ca="1">IF(AF298=0,0,AF295/AF298)</f>
        <v>50.909090909090907</v>
      </c>
      <c r="AG304" s="1473">
        <f ca="1">IF(AG298=0,0,AG295/AG298)</f>
        <v>50.909090909090907</v>
      </c>
      <c r="AH304" s="1015">
        <f ca="1">AG304-AF304</f>
        <v>0</v>
      </c>
      <c r="AI304" s="1473">
        <f t="shared" ref="AI304:BC304" ca="1" si="87">IF(AI298=0,0,AI295/AI298)</f>
        <v>55.888474167418103</v>
      </c>
      <c r="AJ304" s="1473">
        <f t="shared" ca="1" si="87"/>
        <v>60.294288931164353</v>
      </c>
      <c r="AK304" s="1473">
        <f t="shared" ca="1" si="87"/>
        <v>0</v>
      </c>
      <c r="AL304" s="1473">
        <f t="shared" ca="1" si="87"/>
        <v>0</v>
      </c>
      <c r="AM304" s="1473">
        <f t="shared" ca="1" si="87"/>
        <v>0</v>
      </c>
      <c r="AN304" s="1473">
        <f t="shared" ca="1" si="87"/>
        <v>0</v>
      </c>
      <c r="AO304" s="1473">
        <f t="shared" ca="1" si="87"/>
        <v>0</v>
      </c>
      <c r="AP304" s="1473">
        <f t="shared" ca="1" si="87"/>
        <v>0</v>
      </c>
      <c r="AQ304" s="1473">
        <f t="shared" ca="1" si="87"/>
        <v>0</v>
      </c>
      <c r="AR304" s="1473">
        <f t="shared" ca="1" si="87"/>
        <v>0</v>
      </c>
      <c r="AS304" s="1473">
        <f t="shared" ca="1" si="87"/>
        <v>0</v>
      </c>
      <c r="AT304" s="1473">
        <f t="shared" ca="1" si="87"/>
        <v>60.30593625033972</v>
      </c>
      <c r="AU304" s="1473">
        <f t="shared" ca="1" si="87"/>
        <v>0</v>
      </c>
      <c r="AV304" s="1473">
        <f t="shared" ca="1" si="87"/>
        <v>0</v>
      </c>
      <c r="AW304" s="1473">
        <f t="shared" ca="1" si="87"/>
        <v>0</v>
      </c>
      <c r="AX304" s="1473">
        <f t="shared" ca="1" si="87"/>
        <v>0</v>
      </c>
      <c r="AY304" s="1473">
        <f t="shared" ca="1" si="87"/>
        <v>0</v>
      </c>
      <c r="AZ304" s="1473">
        <f t="shared" ca="1" si="87"/>
        <v>0</v>
      </c>
      <c r="BA304" s="1473">
        <f t="shared" ca="1" si="87"/>
        <v>0</v>
      </c>
      <c r="BB304" s="1473">
        <f t="shared" ca="1" si="87"/>
        <v>0</v>
      </c>
      <c r="BC304" s="1473">
        <f t="shared" ca="1" si="87"/>
        <v>0</v>
      </c>
      <c r="BD304" s="1016"/>
      <c r="BE304" s="1016"/>
      <c r="BF304" s="1016"/>
      <c r="BG304" s="1016"/>
      <c r="BH304" s="1016"/>
      <c r="BI304" s="1016"/>
      <c r="BJ304" s="1016"/>
      <c r="BK304" s="1016"/>
      <c r="BL304" s="1016"/>
      <c r="BM304" s="1016"/>
      <c r="BN304" s="1482"/>
      <c r="BO304" s="1482"/>
      <c r="BP304" s="1482"/>
      <c r="BQ304" s="1177"/>
      <c r="BR304" s="1177"/>
      <c r="BS304" s="964" t="s">
        <v>1719</v>
      </c>
      <c r="BT304" s="966"/>
      <c r="BU304" s="966"/>
      <c r="BV304" s="881"/>
      <c r="BW304" s="881"/>
    </row>
    <row r="305" spans="1:75" s="1500" customFormat="1" ht="20.45" customHeight="1">
      <c r="A305" s="617"/>
      <c r="B305" s="352"/>
      <c r="C305" s="28"/>
      <c r="D305" s="28">
        <f>D304+1</f>
        <v>12</v>
      </c>
      <c r="E305" s="740">
        <v>21</v>
      </c>
      <c r="F305" s="3" t="str" cm="1">
        <f t="array" aca="1" ref="F305" ca="1">OFFSET(E305,-1,1)</f>
        <v>1</v>
      </c>
      <c r="G305" s="28"/>
      <c r="H305" s="26"/>
      <c r="I305" s="26" t="s">
        <v>1724</v>
      </c>
      <c r="J305" s="28"/>
      <c r="K305" s="77" t="s">
        <v>1724</v>
      </c>
      <c r="L305" s="887" t="s">
        <v>1720</v>
      </c>
      <c r="M305" s="28"/>
      <c r="N305" s="28"/>
      <c r="O305" s="28"/>
      <c r="P305" s="28"/>
      <c r="Q305" s="28"/>
      <c r="R305" s="28"/>
      <c r="S305" s="28"/>
      <c r="T305" s="381" t="b" cm="1">
        <f t="array" aca="1" ref="T305" ca="1">T304</f>
        <v>1</v>
      </c>
      <c r="U305" s="28"/>
      <c r="V305" s="28"/>
      <c r="W305" s="28"/>
      <c r="X305" s="1787"/>
      <c r="Y305" s="617"/>
      <c r="Z305" s="1735"/>
      <c r="AA305" s="617"/>
      <c r="AB305" s="129" cm="1">
        <f t="array" ref="AB305">D305</f>
        <v>12</v>
      </c>
      <c r="AC305" s="130" t="s">
        <v>1722</v>
      </c>
      <c r="AD305" s="129" t="s">
        <v>766</v>
      </c>
      <c r="AE305" s="1479">
        <v>1359.0670640000001</v>
      </c>
      <c r="AF305" s="1479">
        <f ca="1">IF(AF298=0,0,AF295/AF298*AF306)</f>
        <v>5.6</v>
      </c>
      <c r="AG305" s="1479">
        <f ca="1">IF(AG298=0,0,AG295/AG298*AG306)</f>
        <v>5.6</v>
      </c>
      <c r="AH305" s="131">
        <f ca="1">AH307*AH308+AH309*AH310</f>
        <v>0</v>
      </c>
      <c r="AI305" s="1479">
        <f t="shared" ref="AI305:BC305" ca="1" si="88">IF(AI298=0,0,AI295/AI298*AI306)</f>
        <v>146.88999999999999</v>
      </c>
      <c r="AJ305" s="1479">
        <f t="shared" ca="1" si="88"/>
        <v>155.30000000000001</v>
      </c>
      <c r="AK305" s="1479">
        <f t="shared" ca="1" si="88"/>
        <v>0</v>
      </c>
      <c r="AL305" s="1479">
        <f t="shared" ca="1" si="88"/>
        <v>0</v>
      </c>
      <c r="AM305" s="1479">
        <f t="shared" ca="1" si="88"/>
        <v>0</v>
      </c>
      <c r="AN305" s="1479">
        <f t="shared" ca="1" si="88"/>
        <v>0</v>
      </c>
      <c r="AO305" s="1479">
        <f t="shared" ca="1" si="88"/>
        <v>0</v>
      </c>
      <c r="AP305" s="1479">
        <f t="shared" ca="1" si="88"/>
        <v>0</v>
      </c>
      <c r="AQ305" s="1479">
        <f t="shared" ca="1" si="88"/>
        <v>0</v>
      </c>
      <c r="AR305" s="1479">
        <f t="shared" ca="1" si="88"/>
        <v>0</v>
      </c>
      <c r="AS305" s="1479">
        <f t="shared" ca="1" si="88"/>
        <v>0</v>
      </c>
      <c r="AT305" s="1479">
        <f t="shared" ca="1" si="88"/>
        <v>155.33000000000001</v>
      </c>
      <c r="AU305" s="1479">
        <f t="shared" ca="1" si="88"/>
        <v>0</v>
      </c>
      <c r="AV305" s="1479">
        <f t="shared" ca="1" si="88"/>
        <v>0</v>
      </c>
      <c r="AW305" s="1479">
        <f t="shared" ca="1" si="88"/>
        <v>0</v>
      </c>
      <c r="AX305" s="1479">
        <f t="shared" ca="1" si="88"/>
        <v>0</v>
      </c>
      <c r="AY305" s="1479">
        <f t="shared" ca="1" si="88"/>
        <v>0</v>
      </c>
      <c r="AZ305" s="1479">
        <f t="shared" ca="1" si="88"/>
        <v>0</v>
      </c>
      <c r="BA305" s="1479">
        <f t="shared" ca="1" si="88"/>
        <v>0</v>
      </c>
      <c r="BB305" s="1479">
        <f t="shared" ca="1" si="88"/>
        <v>0</v>
      </c>
      <c r="BC305" s="1479">
        <f t="shared" ca="1" si="88"/>
        <v>0</v>
      </c>
      <c r="BD305" s="692">
        <f ca="1">IF(AI305=0,0,(AT305-AI305)/AI305*100)</f>
        <v>5.7457961740077792</v>
      </c>
      <c r="BE305" s="692">
        <f t="shared" ref="BE305:BM305" ca="1" si="89">IF(AT305=0,0,(AU305-AT305)/AT305*100)</f>
        <v>-100</v>
      </c>
      <c r="BF305" s="692">
        <f t="shared" ca="1" si="89"/>
        <v>0</v>
      </c>
      <c r="BG305" s="692">
        <f t="shared" ca="1" si="89"/>
        <v>0</v>
      </c>
      <c r="BH305" s="692">
        <f t="shared" ca="1" si="89"/>
        <v>0</v>
      </c>
      <c r="BI305" s="692">
        <f t="shared" ca="1" si="89"/>
        <v>0</v>
      </c>
      <c r="BJ305" s="692">
        <f t="shared" ca="1" si="89"/>
        <v>0</v>
      </c>
      <c r="BK305" s="692">
        <f t="shared" ca="1" si="89"/>
        <v>0</v>
      </c>
      <c r="BL305" s="692">
        <f t="shared" ca="1" si="89"/>
        <v>0</v>
      </c>
      <c r="BM305" s="692">
        <f t="shared" ca="1" si="89"/>
        <v>0</v>
      </c>
      <c r="BN305" s="1482"/>
      <c r="BO305" s="1482"/>
      <c r="BP305" s="1482"/>
      <c r="BQ305" s="617"/>
      <c r="BR305" s="617"/>
      <c r="BS305" s="965" t="s">
        <v>1723</v>
      </c>
      <c r="BT305" s="972"/>
      <c r="BU305" s="972"/>
      <c r="BV305" s="624"/>
      <c r="BW305" s="624"/>
    </row>
    <row r="306" spans="1:75" s="1501" customFormat="1" ht="20.25" customHeight="1">
      <c r="A306" s="617"/>
      <c r="B306" s="352"/>
      <c r="C306" s="28"/>
      <c r="D306" s="28">
        <f>D305+1</f>
        <v>13</v>
      </c>
      <c r="E306" s="740">
        <v>21</v>
      </c>
      <c r="F306" s="3" t="str" cm="1">
        <f t="array" aca="1" ref="F306" ca="1">OFFSET(E306,-1,1)</f>
        <v>1</v>
      </c>
      <c r="G306" s="26" t="s">
        <v>1476</v>
      </c>
      <c r="H306" s="26"/>
      <c r="I306" s="26" t="s">
        <v>2034</v>
      </c>
      <c r="J306" s="28"/>
      <c r="K306" s="77" t="s">
        <v>2034</v>
      </c>
      <c r="L306" s="887" t="s">
        <v>1724</v>
      </c>
      <c r="M306" s="28"/>
      <c r="N306" s="28"/>
      <c r="O306" s="28"/>
      <c r="P306" s="28"/>
      <c r="Q306" s="28"/>
      <c r="R306" s="28"/>
      <c r="S306" s="28"/>
      <c r="T306" s="381" t="b" cm="1">
        <f t="array" aca="1" ref="T306" ca="1">T305</f>
        <v>1</v>
      </c>
      <c r="U306" s="28"/>
      <c r="V306" s="28"/>
      <c r="W306" s="28"/>
      <c r="X306" s="1787"/>
      <c r="Y306" s="617"/>
      <c r="Z306" s="1735"/>
      <c r="AA306" s="617"/>
      <c r="AB306" s="129" cm="1">
        <f t="array" ref="AB306">D306</f>
        <v>13</v>
      </c>
      <c r="AC306" s="130" t="s">
        <v>1726</v>
      </c>
      <c r="AD306" s="129" t="s">
        <v>499</v>
      </c>
      <c r="AE306" s="699">
        <f ca="1">SUMIFS(Баланс!AE$26:AE$209,Баланс!$F$26:$F$209,$F306,Баланс!$G$26:$G$209,"население")</f>
        <v>2.7665999999999999</v>
      </c>
      <c r="AF306" s="699">
        <f ca="1">SUMIFS(Баланс!AF$26:AF$209,Баланс!$F$26:$F$209,$F306,Баланс!$G$26:$G$209,"население")</f>
        <v>0.11</v>
      </c>
      <c r="AG306" s="699">
        <f ca="1">SUMIFS(Баланс!AG$26:AG$209,Баланс!$F$26:$F$209,$F306,Баланс!$G$26:$G$209,"население")</f>
        <v>0.11</v>
      </c>
      <c r="AH306" s="699">
        <f t="shared" ref="AH306:AH314" ca="1" si="90">AG306-AF306</f>
        <v>0</v>
      </c>
      <c r="AI306" s="699">
        <f ca="1">SUMIFS(Баланс!AH$26:AH$209,Баланс!$F$26:$F$209,$F306,Баланс!$G$26:$G$209,"население")</f>
        <v>2.6282700000000001</v>
      </c>
      <c r="AJ306" s="699">
        <f ca="1">SUMIFS(Баланс!AI$26:AI$209,Баланс!$F$26:$F$209,$F306,Баланс!$G$26:$G$209,"население")</f>
        <v>2.5756999999999999</v>
      </c>
      <c r="AK306" s="699">
        <f ca="1">SUMIFS(Баланс!AJ$26:AJ$209,Баланс!$F$26:$F$209,$F306,Баланс!$G$26:$G$209,"население")</f>
        <v>0</v>
      </c>
      <c r="AL306" s="699">
        <f ca="1">SUMIFS(Баланс!AK$26:AK$209,Баланс!$F$26:$F$209,$F306,Баланс!$G$26:$G$209,"население")</f>
        <v>0</v>
      </c>
      <c r="AM306" s="699">
        <f ca="1">SUMIFS(Баланс!AL$26:AL$209,Баланс!$F$26:$F$209,$F306,Баланс!$G$26:$G$209,"население")</f>
        <v>0</v>
      </c>
      <c r="AN306" s="699">
        <f ca="1">SUMIFS(Баланс!AM$26:AM$209,Баланс!$F$26:$F$209,$F306,Баланс!$G$26:$G$209,"население")</f>
        <v>0</v>
      </c>
      <c r="AO306" s="699">
        <f ca="1">SUMIFS(Баланс!AN$26:AN$209,Баланс!$F$26:$F$209,$F306,Баланс!$G$26:$G$209,"население")</f>
        <v>0</v>
      </c>
      <c r="AP306" s="699">
        <f ca="1">SUMIFS(Баланс!AO$26:AO$209,Баланс!$F$26:$F$209,$F306,Баланс!$G$26:$G$209,"население")</f>
        <v>0</v>
      </c>
      <c r="AQ306" s="699">
        <f ca="1">SUMIFS(Баланс!AP$26:AP$209,Баланс!$F$26:$F$209,$F306,Баланс!$G$26:$G$209,"население")</f>
        <v>0</v>
      </c>
      <c r="AR306" s="699">
        <f ca="1">SUMIFS(Баланс!AQ$26:AQ$209,Баланс!$F$26:$F$209,$F306,Баланс!$G$26:$G$209,"население")</f>
        <v>0</v>
      </c>
      <c r="AS306" s="699">
        <f ca="1">SUMIFS(Баланс!AR$26:AR$209,Баланс!$F$26:$F$209,$F306,Баланс!$G$26:$G$209,"население")</f>
        <v>0</v>
      </c>
      <c r="AT306" s="699">
        <f ca="1">SUMIFS(Баланс!AS$26:AS$209,Баланс!$F$26:$F$209,$F306,Баланс!$G$26:$G$209,"население")</f>
        <v>2.5756999999999999</v>
      </c>
      <c r="AU306" s="699">
        <f ca="1">SUMIFS(Баланс!AT$26:AT$209,Баланс!$F$26:$F$209,$F306,Баланс!$G$26:$G$209,"население")</f>
        <v>0</v>
      </c>
      <c r="AV306" s="699">
        <f ca="1">SUMIFS(Баланс!AU$26:AU$209,Баланс!$F$26:$F$209,$F306,Баланс!$G$26:$G$209,"население")</f>
        <v>0</v>
      </c>
      <c r="AW306" s="699">
        <f ca="1">SUMIFS(Баланс!AV$26:AV$209,Баланс!$F$26:$F$209,$F306,Баланс!$G$26:$G$209,"население")</f>
        <v>0</v>
      </c>
      <c r="AX306" s="699">
        <f ca="1">SUMIFS(Баланс!AW$26:AW$209,Баланс!$F$26:$F$209,$F306,Баланс!$G$26:$G$209,"население")</f>
        <v>0</v>
      </c>
      <c r="AY306" s="699">
        <f ca="1">SUMIFS(Баланс!AX$26:AX$209,Баланс!$F$26:$F$209,$F306,Баланс!$G$26:$G$209,"население")</f>
        <v>0</v>
      </c>
      <c r="AZ306" s="699">
        <f ca="1">SUMIFS(Баланс!AY$26:AY$209,Баланс!$F$26:$F$209,$F306,Баланс!$G$26:$G$209,"население")</f>
        <v>0</v>
      </c>
      <c r="BA306" s="699">
        <f ca="1">SUMIFS(Баланс!AZ$26:AZ$209,Баланс!$F$26:$F$209,$F306,Баланс!$G$26:$G$209,"население")</f>
        <v>0</v>
      </c>
      <c r="BB306" s="699">
        <f ca="1">SUMIFS(Баланс!BA$26:BA$209,Баланс!$F$26:$F$209,$F306,Баланс!$G$26:$G$209,"население")</f>
        <v>0</v>
      </c>
      <c r="BC306" s="699">
        <f ca="1">SUMIFS(Баланс!BB$26:BB$209,Баланс!$F$26:$F$209,$F306,Баланс!$G$26:$G$209,"население")</f>
        <v>0</v>
      </c>
      <c r="BD306" s="134"/>
      <c r="BE306" s="134"/>
      <c r="BF306" s="134"/>
      <c r="BG306" s="134"/>
      <c r="BH306" s="134"/>
      <c r="BI306" s="134"/>
      <c r="BJ306" s="134"/>
      <c r="BK306" s="134"/>
      <c r="BL306" s="134"/>
      <c r="BM306" s="134"/>
      <c r="BN306" s="1482"/>
      <c r="BO306" s="1482"/>
      <c r="BP306" s="1482"/>
      <c r="BQ306" s="617"/>
      <c r="BR306" s="617"/>
      <c r="BS306" s="965" t="s">
        <v>1727</v>
      </c>
      <c r="BT306" s="972"/>
      <c r="BU306" s="972"/>
      <c r="BV306" s="624"/>
      <c r="BW306" s="624"/>
    </row>
    <row r="307" spans="1:75" s="1327" customFormat="1" ht="14.65" customHeight="1">
      <c r="A307" s="1177"/>
      <c r="B307" s="880"/>
      <c r="C307" s="26"/>
      <c r="D307" s="26" cm="1">
        <f t="array" ref="D307">D306</f>
        <v>13</v>
      </c>
      <c r="E307" s="538">
        <v>15</v>
      </c>
      <c r="F307" s="3" t="str" cm="1">
        <f t="array" aca="1" ref="F307" ca="1">OFFSET(E307,-1,1)</f>
        <v>1</v>
      </c>
      <c r="G307" s="26" t="s">
        <v>1510</v>
      </c>
      <c r="H307" s="26"/>
      <c r="I307" s="26" t="s">
        <v>2035</v>
      </c>
      <c r="J307" s="26"/>
      <c r="K307" s="77" t="s">
        <v>2035</v>
      </c>
      <c r="L307" s="882" t="s">
        <v>1728</v>
      </c>
      <c r="M307" s="26"/>
      <c r="N307" s="26"/>
      <c r="O307" s="26"/>
      <c r="P307" s="26"/>
      <c r="Q307" s="26"/>
      <c r="R307" s="26"/>
      <c r="S307" s="26"/>
      <c r="T307" s="381" t="b" cm="1">
        <f t="array" aca="1" ref="T307" ca="1">T306</f>
        <v>1</v>
      </c>
      <c r="U307" s="26"/>
      <c r="V307" s="26"/>
      <c r="W307" s="26"/>
      <c r="X307" s="1787"/>
      <c r="Y307" s="1177"/>
      <c r="Z307" s="1735"/>
      <c r="AA307" s="1177"/>
      <c r="AB307" s="216" t="str">
        <f>D307&amp;".1"</f>
        <v>13.1</v>
      </c>
      <c r="AC307" s="1012" t="s">
        <v>1730</v>
      </c>
      <c r="AD307" s="216" t="s">
        <v>499</v>
      </c>
      <c r="AE307" s="1472">
        <v>1.3833</v>
      </c>
      <c r="AF307" s="1472">
        <f ca="1">AF306/2</f>
        <v>5.5E-2</v>
      </c>
      <c r="AG307" s="1472">
        <f ca="1">AG306/2</f>
        <v>5.5E-2</v>
      </c>
      <c r="AH307" s="1014">
        <f t="shared" ca="1" si="90"/>
        <v>0</v>
      </c>
      <c r="AI307" s="1472">
        <f ca="1">AI306/2</f>
        <v>1.3141350000000001</v>
      </c>
      <c r="AJ307" s="1472">
        <f ca="1">IF(god=2026,AJ306/12*9,AJ306/2)</f>
        <v>1.9317749999999998</v>
      </c>
      <c r="AK307" s="1472">
        <f ca="1">IF(god=2025,AK306/12*9,AK306/2)</f>
        <v>0</v>
      </c>
      <c r="AL307" s="1472">
        <f t="shared" ref="AL307:AS307" ca="1" si="91">AL306/2</f>
        <v>0</v>
      </c>
      <c r="AM307" s="1472">
        <f t="shared" ca="1" si="91"/>
        <v>0</v>
      </c>
      <c r="AN307" s="1472">
        <f t="shared" ca="1" si="91"/>
        <v>0</v>
      </c>
      <c r="AO307" s="1472">
        <f t="shared" ca="1" si="91"/>
        <v>0</v>
      </c>
      <c r="AP307" s="1472">
        <f t="shared" ca="1" si="91"/>
        <v>0</v>
      </c>
      <c r="AQ307" s="1472">
        <f t="shared" ca="1" si="91"/>
        <v>0</v>
      </c>
      <c r="AR307" s="1472">
        <f t="shared" ca="1" si="91"/>
        <v>0</v>
      </c>
      <c r="AS307" s="1472">
        <f t="shared" ca="1" si="91"/>
        <v>0</v>
      </c>
      <c r="AT307" s="1478">
        <f ca="1">IF(god=2026,AT306/12*9,AT306/2)</f>
        <v>1.9317749999999998</v>
      </c>
      <c r="AU307" s="1478">
        <f ca="1">IF(god=2025,AU306/12*9,AU306/2)</f>
        <v>0</v>
      </c>
      <c r="AV307" s="1472">
        <f t="shared" ref="AV307:BC307" ca="1" si="92">AV306/2</f>
        <v>0</v>
      </c>
      <c r="AW307" s="1472">
        <f t="shared" ca="1" si="92"/>
        <v>0</v>
      </c>
      <c r="AX307" s="1472">
        <f t="shared" ca="1" si="92"/>
        <v>0</v>
      </c>
      <c r="AY307" s="1472">
        <f t="shared" ca="1" si="92"/>
        <v>0</v>
      </c>
      <c r="AZ307" s="1472">
        <f t="shared" ca="1" si="92"/>
        <v>0</v>
      </c>
      <c r="BA307" s="1472">
        <f t="shared" ca="1" si="92"/>
        <v>0</v>
      </c>
      <c r="BB307" s="1472">
        <f t="shared" ca="1" si="92"/>
        <v>0</v>
      </c>
      <c r="BC307" s="1472">
        <f t="shared" ca="1" si="92"/>
        <v>0</v>
      </c>
      <c r="BD307" s="1016"/>
      <c r="BE307" s="1016"/>
      <c r="BF307" s="1016"/>
      <c r="BG307" s="1016"/>
      <c r="BH307" s="1016"/>
      <c r="BI307" s="1016"/>
      <c r="BJ307" s="1016"/>
      <c r="BK307" s="1016"/>
      <c r="BL307" s="1016"/>
      <c r="BM307" s="1016"/>
      <c r="BN307" s="1482"/>
      <c r="BO307" s="1482"/>
      <c r="BP307" s="1482"/>
      <c r="BQ307" s="1177"/>
      <c r="BR307" s="1177"/>
      <c r="BS307" s="964" t="s">
        <v>1731</v>
      </c>
      <c r="BT307" s="966"/>
      <c r="BU307" s="966"/>
      <c r="BV307" s="881"/>
      <c r="BW307" s="881"/>
    </row>
    <row r="308" spans="1:75" s="1327" customFormat="1" ht="14.65" customHeight="1">
      <c r="A308" s="1177"/>
      <c r="B308" s="880"/>
      <c r="C308" s="26"/>
      <c r="D308" s="26" cm="1">
        <f t="array" ref="D308">D307</f>
        <v>13</v>
      </c>
      <c r="E308" s="538">
        <v>15</v>
      </c>
      <c r="F308" s="3" t="str" cm="1">
        <f t="array" aca="1" ref="F308" ca="1">OFFSET(E308,-1,1)</f>
        <v>1</v>
      </c>
      <c r="G308" s="26" t="s">
        <v>1466</v>
      </c>
      <c r="H308" s="26"/>
      <c r="I308" s="26" t="s">
        <v>2036</v>
      </c>
      <c r="J308" s="26"/>
      <c r="K308" s="77" t="s">
        <v>2036</v>
      </c>
      <c r="L308" s="882" t="s">
        <v>1732</v>
      </c>
      <c r="M308" s="26"/>
      <c r="N308" s="26"/>
      <c r="O308" s="26"/>
      <c r="P308" s="26"/>
      <c r="Q308" s="26"/>
      <c r="R308" s="26"/>
      <c r="S308" s="26"/>
      <c r="T308" s="381" t="b" cm="1">
        <f t="array" aca="1" ref="T308" ca="1">T307</f>
        <v>1</v>
      </c>
      <c r="U308" s="26"/>
      <c r="V308" s="26"/>
      <c r="W308" s="26"/>
      <c r="X308" s="1787"/>
      <c r="Y308" s="1177"/>
      <c r="Z308" s="1735"/>
      <c r="AA308" s="1177"/>
      <c r="AB308" s="216" t="str">
        <f>D308&amp;".2"</f>
        <v>13.2</v>
      </c>
      <c r="AC308" s="1012" t="s">
        <v>1734</v>
      </c>
      <c r="AD308" s="216" t="s">
        <v>1454</v>
      </c>
      <c r="AE308" s="1473">
        <v>551.20799999999997</v>
      </c>
      <c r="AF308" s="1480">
        <f ca="1">IF(AF306=0,0,AF300*(1+Сценарии!AF$26))</f>
        <v>0</v>
      </c>
      <c r="AG308" s="1480">
        <f ca="1">IF(AG306=0,0,AG300*(1+Сценарии!AG$26))</f>
        <v>0</v>
      </c>
      <c r="AH308" s="1015">
        <f t="shared" ca="1" si="90"/>
        <v>0</v>
      </c>
      <c r="AI308" s="1473">
        <f ca="1">IF(AI306=0,0,AI300*(1+Сценарии!AI$26))</f>
        <v>0</v>
      </c>
      <c r="AJ308" s="1480">
        <f ca="1">IF(AJ306=0,0,AJ300*(1+Сценарии!AJ$26))</f>
        <v>0</v>
      </c>
      <c r="AK308" s="1480">
        <f ca="1">IF(AK306=0,0,AK300*(1+Сценарии!AO$26))</f>
        <v>0</v>
      </c>
      <c r="AL308" s="1480">
        <f ca="1">IF(AL306=0,0,AL300*(1+Сценарии!AP$26))</f>
        <v>0</v>
      </c>
      <c r="AM308" s="1480">
        <f ca="1">IF(AM306=0,0,AM300*(1+Сценарии!AQ$26))</f>
        <v>0</v>
      </c>
      <c r="AN308" s="1480">
        <f ca="1">IF(AN306=0,0,AN300*(1+Сценарии!AR$26))</f>
        <v>0</v>
      </c>
      <c r="AO308" s="1480">
        <f ca="1">IF(AO306=0,0,AO300*(1+Сценарии!AS$26))</f>
        <v>0</v>
      </c>
      <c r="AP308" s="1480">
        <f ca="1">IF(AP306=0,0,AP300*(1+Сценарии!AT$26))</f>
        <v>0</v>
      </c>
      <c r="AQ308" s="1480">
        <f ca="1">IF(AQ306=0,0,AQ300*(1+Сценарии!AU$26))</f>
        <v>0</v>
      </c>
      <c r="AR308" s="1480">
        <f ca="1">IF(AR306=0,0,AR300*(1+Сценарии!AV$26))</f>
        <v>0</v>
      </c>
      <c r="AS308" s="1480">
        <f ca="1">IF(AS306=0,0,AS300*(1+Сценарии!AW$26))</f>
        <v>0</v>
      </c>
      <c r="AT308" s="1473">
        <f ca="1">IF(AT306=0,0,AT300*(1+Сценарии!AK$26))</f>
        <v>0</v>
      </c>
      <c r="AU308" s="1473">
        <f ca="1">IF(AU306=0,0,AU300*(1+Сценарии!AX$26))</f>
        <v>0</v>
      </c>
      <c r="AV308" s="1480">
        <f ca="1">IF(AV306=0,0,AV300*(1+Сценарии!AY$26))</f>
        <v>0</v>
      </c>
      <c r="AW308" s="1480">
        <f ca="1">IF(AW306=0,0,AW300*(1+Сценарии!AZ$26))</f>
        <v>0</v>
      </c>
      <c r="AX308" s="1480">
        <f ca="1">IF(AX306=0,0,AX300*(1+Сценарии!BA$26))</f>
        <v>0</v>
      </c>
      <c r="AY308" s="1480">
        <f ca="1">IF(AY306=0,0,AY300*(1+Сценарии!BB$26))</f>
        <v>0</v>
      </c>
      <c r="AZ308" s="1480">
        <f ca="1">IF(AZ306=0,0,AZ300*(1+Сценарии!BC$26))</f>
        <v>0</v>
      </c>
      <c r="BA308" s="1480">
        <f ca="1">IF(BA306=0,0,BA300*(1+Сценарии!BD$26))</f>
        <v>0</v>
      </c>
      <c r="BB308" s="1480">
        <f ca="1">IF(BB306=0,0,BB300*(1+Сценарии!BE$26))</f>
        <v>0</v>
      </c>
      <c r="BC308" s="1480">
        <f ca="1">IF(BC306=0,0,BC300*(1+Сценарии!BF$26))</f>
        <v>0</v>
      </c>
      <c r="BD308" s="1016"/>
      <c r="BE308" s="1016"/>
      <c r="BF308" s="1016"/>
      <c r="BG308" s="1016"/>
      <c r="BH308" s="1016"/>
      <c r="BI308" s="1016"/>
      <c r="BJ308" s="1016"/>
      <c r="BK308" s="1016"/>
      <c r="BL308" s="1016"/>
      <c r="BM308" s="1016"/>
      <c r="BN308" s="1482"/>
      <c r="BO308" s="1482"/>
      <c r="BP308" s="1482"/>
      <c r="BQ308" s="1177"/>
      <c r="BR308" s="1177"/>
      <c r="BS308" s="964" t="s">
        <v>1735</v>
      </c>
      <c r="BT308" s="966"/>
      <c r="BU308" s="966"/>
      <c r="BV308" s="881"/>
      <c r="BW308" s="881"/>
    </row>
    <row r="309" spans="1:75" s="1327" customFormat="1" ht="14.25" customHeight="1">
      <c r="A309" s="1177"/>
      <c r="B309" s="880"/>
      <c r="C309" s="26"/>
      <c r="D309" s="26" cm="1">
        <f t="array" ref="D309">D308</f>
        <v>13</v>
      </c>
      <c r="E309" s="538">
        <v>15</v>
      </c>
      <c r="F309" s="3" t="str" cm="1">
        <f t="array" aca="1" ref="F309" ca="1">OFFSET(E309,-1,1)</f>
        <v>1</v>
      </c>
      <c r="G309" s="26" t="s">
        <v>1517</v>
      </c>
      <c r="H309" s="26"/>
      <c r="I309" s="26" t="s">
        <v>2037</v>
      </c>
      <c r="J309" s="26"/>
      <c r="K309" s="26" t="s">
        <v>2037</v>
      </c>
      <c r="L309" s="882" t="s">
        <v>1736</v>
      </c>
      <c r="M309" s="26"/>
      <c r="N309" s="26"/>
      <c r="O309" s="26"/>
      <c r="P309" s="26"/>
      <c r="Q309" s="26"/>
      <c r="R309" s="26"/>
      <c r="S309" s="26"/>
      <c r="T309" s="381" t="b" cm="1">
        <f t="array" aca="1" ref="T309" ca="1">T308</f>
        <v>1</v>
      </c>
      <c r="U309" s="26"/>
      <c r="V309" s="26"/>
      <c r="W309" s="26"/>
      <c r="X309" s="1787"/>
      <c r="Y309" s="1177"/>
      <c r="Z309" s="1735"/>
      <c r="AA309" s="1177"/>
      <c r="AB309" s="216" t="str">
        <f>D309&amp;".3"</f>
        <v>13.3</v>
      </c>
      <c r="AC309" s="1012" t="s">
        <v>1706</v>
      </c>
      <c r="AD309" s="216" t="s">
        <v>499</v>
      </c>
      <c r="AE309" s="1014">
        <f ca="1">AE306-AE307</f>
        <v>1.3833</v>
      </c>
      <c r="AF309" s="1014">
        <f ca="1">AF306-AF307</f>
        <v>5.5E-2</v>
      </c>
      <c r="AG309" s="1014">
        <f ca="1">AG306-AG307</f>
        <v>5.5E-2</v>
      </c>
      <c r="AH309" s="1014">
        <f t="shared" ca="1" si="90"/>
        <v>0</v>
      </c>
      <c r="AI309" s="1014">
        <f t="shared" ref="AI309:BC309" ca="1" si="93">AI306-AI307</f>
        <v>1.3141350000000001</v>
      </c>
      <c r="AJ309" s="1014">
        <f t="shared" ca="1" si="93"/>
        <v>0.64392500000000008</v>
      </c>
      <c r="AK309" s="1014">
        <f t="shared" ca="1" si="93"/>
        <v>0</v>
      </c>
      <c r="AL309" s="1014">
        <f t="shared" ca="1" si="93"/>
        <v>0</v>
      </c>
      <c r="AM309" s="1014">
        <f t="shared" ca="1" si="93"/>
        <v>0</v>
      </c>
      <c r="AN309" s="1014">
        <f t="shared" ca="1" si="93"/>
        <v>0</v>
      </c>
      <c r="AO309" s="1014">
        <f t="shared" ca="1" si="93"/>
        <v>0</v>
      </c>
      <c r="AP309" s="1014">
        <f t="shared" ca="1" si="93"/>
        <v>0</v>
      </c>
      <c r="AQ309" s="1014">
        <f t="shared" ca="1" si="93"/>
        <v>0</v>
      </c>
      <c r="AR309" s="1014">
        <f t="shared" ca="1" si="93"/>
        <v>0</v>
      </c>
      <c r="AS309" s="1014">
        <f t="shared" ca="1" si="93"/>
        <v>0</v>
      </c>
      <c r="AT309" s="1014">
        <f t="shared" ca="1" si="93"/>
        <v>0.64392500000000008</v>
      </c>
      <c r="AU309" s="1014">
        <f t="shared" ca="1" si="93"/>
        <v>0</v>
      </c>
      <c r="AV309" s="1014">
        <f t="shared" ca="1" si="93"/>
        <v>0</v>
      </c>
      <c r="AW309" s="1014">
        <f t="shared" ca="1" si="93"/>
        <v>0</v>
      </c>
      <c r="AX309" s="1014">
        <f t="shared" ca="1" si="93"/>
        <v>0</v>
      </c>
      <c r="AY309" s="1014">
        <f t="shared" ca="1" si="93"/>
        <v>0</v>
      </c>
      <c r="AZ309" s="1014">
        <f t="shared" ca="1" si="93"/>
        <v>0</v>
      </c>
      <c r="BA309" s="1014">
        <f t="shared" ca="1" si="93"/>
        <v>0</v>
      </c>
      <c r="BB309" s="1014">
        <f t="shared" ca="1" si="93"/>
        <v>0</v>
      </c>
      <c r="BC309" s="1014">
        <f t="shared" ca="1" si="93"/>
        <v>0</v>
      </c>
      <c r="BD309" s="1016"/>
      <c r="BE309" s="1016"/>
      <c r="BF309" s="1016"/>
      <c r="BG309" s="1016"/>
      <c r="BH309" s="1016"/>
      <c r="BI309" s="1016"/>
      <c r="BJ309" s="1016"/>
      <c r="BK309" s="1016"/>
      <c r="BL309" s="1016"/>
      <c r="BM309" s="1016"/>
      <c r="BN309" s="1482"/>
      <c r="BO309" s="1482"/>
      <c r="BP309" s="1482"/>
      <c r="BQ309" s="1177"/>
      <c r="BR309" s="1177"/>
      <c r="BS309" s="964" t="s">
        <v>1738</v>
      </c>
      <c r="BT309" s="966"/>
      <c r="BU309" s="966"/>
      <c r="BV309" s="881"/>
      <c r="BW309" s="881"/>
    </row>
    <row r="310" spans="1:75" s="1327" customFormat="1" ht="14.65" customHeight="1">
      <c r="A310" s="1177"/>
      <c r="B310" s="880"/>
      <c r="C310" s="26"/>
      <c r="D310" s="26" cm="1">
        <f t="array" ref="D310">D309</f>
        <v>13</v>
      </c>
      <c r="E310" s="538">
        <v>15</v>
      </c>
      <c r="F310" s="3" t="str" cm="1">
        <f t="array" aca="1" ref="F310" ca="1">OFFSET(E310,-1,1)</f>
        <v>1</v>
      </c>
      <c r="G310" s="26" t="s">
        <v>1470</v>
      </c>
      <c r="H310" s="26"/>
      <c r="I310" s="26" t="s">
        <v>2038</v>
      </c>
      <c r="J310" s="26"/>
      <c r="K310" s="26" t="s">
        <v>2038</v>
      </c>
      <c r="L310" s="882" t="s">
        <v>1739</v>
      </c>
      <c r="M310" s="26"/>
      <c r="N310" s="26"/>
      <c r="O310" s="26"/>
      <c r="P310" s="26"/>
      <c r="Q310" s="26"/>
      <c r="R310" s="26"/>
      <c r="S310" s="26"/>
      <c r="T310" s="381" t="b" cm="1">
        <f t="array" aca="1" ref="T310" ca="1">T309</f>
        <v>1</v>
      </c>
      <c r="U310" s="26"/>
      <c r="V310" s="26"/>
      <c r="W310" s="26"/>
      <c r="X310" s="1787"/>
      <c r="Y310" s="1177"/>
      <c r="Z310" s="1735"/>
      <c r="AA310" s="1177"/>
      <c r="AB310" s="216" t="str">
        <f>D310&amp;".4"</f>
        <v>13.4</v>
      </c>
      <c r="AC310" s="1012" t="s">
        <v>1710</v>
      </c>
      <c r="AD310" s="216" t="s">
        <v>1454</v>
      </c>
      <c r="AE310" s="1473">
        <v>627.76800000000003</v>
      </c>
      <c r="AF310" s="1480">
        <f ca="1">IF(AF306=0,0,AF302*(1+Сценарии!AF$26))</f>
        <v>122.18181818181817</v>
      </c>
      <c r="AG310" s="1480">
        <f ca="1">IF(AG306=0,0,AG302*(1+Сценарии!AG$26))</f>
        <v>122.18181818181817</v>
      </c>
      <c r="AH310" s="1015">
        <f t="shared" ca="1" si="90"/>
        <v>0</v>
      </c>
      <c r="AI310" s="1473">
        <f ca="1">IF(AI306=0,0,AI302*(1+Сценарии!AI$26))</f>
        <v>134.13233800180345</v>
      </c>
      <c r="AJ310" s="1480">
        <f ca="1">IF(AJ306=0,0,AJ302*(1+Сценарии!AJ$26))</f>
        <v>294.23612998408197</v>
      </c>
      <c r="AK310" s="1473">
        <f ca="1">IF(AK306=0,0,AK302*(1+Сценарии!AO$26))</f>
        <v>0</v>
      </c>
      <c r="AL310" s="1480">
        <f ca="1">IF(AL306=0,0,AL302*(1+Сценарии!AP$26))</f>
        <v>0</v>
      </c>
      <c r="AM310" s="1480">
        <f ca="1">IF(AM306=0,0,AM302*(1+Сценарии!AQ$26))</f>
        <v>0</v>
      </c>
      <c r="AN310" s="1480">
        <f ca="1">IF(AN306=0,0,AN302*(1+Сценарии!AR$26))</f>
        <v>0</v>
      </c>
      <c r="AO310" s="1480">
        <f ca="1">IF(AO306=0,0,AO302*(1+Сценарии!AS$26))</f>
        <v>0</v>
      </c>
      <c r="AP310" s="1480">
        <f ca="1">IF(AP306=0,0,AP302*(1+Сценарии!AT$26))</f>
        <v>0</v>
      </c>
      <c r="AQ310" s="1480">
        <f ca="1">IF(AQ306=0,0,AQ302*(1+Сценарии!AU$26))</f>
        <v>0</v>
      </c>
      <c r="AR310" s="1480">
        <f ca="1">IF(AR306=0,0,AR302*(1+Сценарии!AV$26))</f>
        <v>0</v>
      </c>
      <c r="AS310" s="1480">
        <f ca="1">IF(AS306=0,0,AS302*(1+Сценарии!AW$26))</f>
        <v>0</v>
      </c>
      <c r="AT310" s="1473">
        <f ca="1">IF(AT306=0,0,AT302*(1+Сценарии!AK$26))</f>
        <v>294.29296890165779</v>
      </c>
      <c r="AU310" s="1473">
        <f ca="1">IF(AU306=0,0,AU302*(1+Сценарии!AX$26))</f>
        <v>0</v>
      </c>
      <c r="AV310" s="1480">
        <f ca="1">IF(AV306=0,0,AV302*(1+Сценарии!AY$26))</f>
        <v>0</v>
      </c>
      <c r="AW310" s="1480">
        <f ca="1">IF(AW306=0,0,AW302*(1+Сценарии!AZ$26))</f>
        <v>0</v>
      </c>
      <c r="AX310" s="1480">
        <f ca="1">IF(AX306=0,0,AX302*(1+Сценарии!BA$26))</f>
        <v>0</v>
      </c>
      <c r="AY310" s="1480">
        <f ca="1">IF(AY306=0,0,AY302*(1+Сценарии!BB$26))</f>
        <v>0</v>
      </c>
      <c r="AZ310" s="1480">
        <f ca="1">IF(AZ306=0,0,AZ302*(1+Сценарии!BC$26))</f>
        <v>0</v>
      </c>
      <c r="BA310" s="1480">
        <f ca="1">IF(BA306=0,0,BA302*(1+Сценарии!BD$26))</f>
        <v>0</v>
      </c>
      <c r="BB310" s="1480">
        <f ca="1">IF(BB306=0,0,BB302*(1+Сценарии!BE$26))</f>
        <v>0</v>
      </c>
      <c r="BC310" s="1480">
        <f ca="1">IF(BC306=0,0,BC302*(1+Сценарии!BF$26))</f>
        <v>0</v>
      </c>
      <c r="BD310" s="1016"/>
      <c r="BE310" s="1016"/>
      <c r="BF310" s="1016"/>
      <c r="BG310" s="1016"/>
      <c r="BH310" s="1016"/>
      <c r="BI310" s="1016"/>
      <c r="BJ310" s="1016"/>
      <c r="BK310" s="1016"/>
      <c r="BL310" s="1016"/>
      <c r="BM310" s="1016"/>
      <c r="BN310" s="1482"/>
      <c r="BO310" s="1482"/>
      <c r="BP310" s="1482"/>
      <c r="BQ310" s="1177"/>
      <c r="BR310" s="1177"/>
      <c r="BS310" s="964" t="s">
        <v>1742</v>
      </c>
      <c r="BT310" s="966"/>
      <c r="BU310" s="966"/>
      <c r="BV310" s="881"/>
      <c r="BW310" s="881"/>
    </row>
    <row r="311" spans="1:75" s="1327" customFormat="1" ht="14.25" customHeight="1">
      <c r="A311" s="1177"/>
      <c r="B311" s="880"/>
      <c r="C311" s="26"/>
      <c r="D311" s="26">
        <f>D310+1</f>
        <v>14</v>
      </c>
      <c r="E311" s="538">
        <v>15</v>
      </c>
      <c r="F311" s="3" t="str" cm="1">
        <f t="array" aca="1" ref="F311" ca="1">OFFSET(E311,-1,1)</f>
        <v>1</v>
      </c>
      <c r="G311" s="26"/>
      <c r="H311" s="26"/>
      <c r="I311" s="26"/>
      <c r="J311" s="26"/>
      <c r="K311" s="26"/>
      <c r="L311" s="882"/>
      <c r="M311" s="26"/>
      <c r="N311" s="26"/>
      <c r="O311" s="26"/>
      <c r="P311" s="26"/>
      <c r="Q311" s="26"/>
      <c r="R311" s="26"/>
      <c r="S311" s="26"/>
      <c r="T311" s="381" t="b" cm="1">
        <f t="array" aca="1" ref="T311" ca="1">T310</f>
        <v>1</v>
      </c>
      <c r="U311" s="26"/>
      <c r="V311" s="26"/>
      <c r="W311" s="26"/>
      <c r="X311" s="1787"/>
      <c r="Y311" s="1177"/>
      <c r="Z311" s="1735"/>
      <c r="AA311" s="1177"/>
      <c r="AB311" s="129" cm="1">
        <f t="array" ref="AB311">D311</f>
        <v>14</v>
      </c>
      <c r="AC311" s="130" t="s">
        <v>1744</v>
      </c>
      <c r="AD311" s="129" t="s">
        <v>766</v>
      </c>
      <c r="AE311" s="1473"/>
      <c r="AF311" s="1473"/>
      <c r="AG311" s="1473"/>
      <c r="AH311" s="1015">
        <f t="shared" si="90"/>
        <v>0</v>
      </c>
      <c r="AI311" s="1473"/>
      <c r="AJ311" s="1473"/>
      <c r="AK311" s="1473"/>
      <c r="AL311" s="1473"/>
      <c r="AM311" s="1473"/>
      <c r="AN311" s="1473"/>
      <c r="AO311" s="1473"/>
      <c r="AP311" s="1473"/>
      <c r="AQ311" s="1473"/>
      <c r="AR311" s="1473"/>
      <c r="AS311" s="1473"/>
      <c r="AT311" s="1473"/>
      <c r="AU311" s="1473"/>
      <c r="AV311" s="1473"/>
      <c r="AW311" s="1473"/>
      <c r="AX311" s="1473"/>
      <c r="AY311" s="1473"/>
      <c r="AZ311" s="1473"/>
      <c r="BA311" s="1473"/>
      <c r="BB311" s="1473"/>
      <c r="BC311" s="1473"/>
      <c r="BD311" s="1016"/>
      <c r="BE311" s="1016"/>
      <c r="BF311" s="1016"/>
      <c r="BG311" s="1016"/>
      <c r="BH311" s="1016"/>
      <c r="BI311" s="1016"/>
      <c r="BJ311" s="1016"/>
      <c r="BK311" s="1016"/>
      <c r="BL311" s="1016"/>
      <c r="BM311" s="1016"/>
      <c r="BN311" s="1482"/>
      <c r="BO311" s="1482"/>
      <c r="BP311" s="1482"/>
      <c r="BQ311" s="1177"/>
      <c r="BR311" s="1177"/>
      <c r="BS311" s="964" t="s">
        <v>1745</v>
      </c>
      <c r="BT311" s="966"/>
      <c r="BU311" s="966"/>
      <c r="BV311" s="881"/>
      <c r="BW311" s="881"/>
    </row>
    <row r="312" spans="1:75" s="1133" customFormat="1" ht="20.25" customHeight="1">
      <c r="B312" s="667"/>
      <c r="C312" s="26"/>
      <c r="D312" s="26" cm="1">
        <f t="array" ref="D312">D311</f>
        <v>14</v>
      </c>
      <c r="E312" s="538">
        <v>21</v>
      </c>
      <c r="F312" s="3" t="str" cm="1">
        <f t="array" aca="1" ref="F312" ca="1">OFFSET(E312,-1,1)</f>
        <v>1</v>
      </c>
      <c r="G312" s="26"/>
      <c r="H312" s="26"/>
      <c r="I312" s="26"/>
      <c r="J312" s="26"/>
      <c r="K312" s="26"/>
      <c r="L312" s="882"/>
      <c r="M312" s="26"/>
      <c r="N312" s="26"/>
      <c r="O312" s="26"/>
      <c r="P312" s="26"/>
      <c r="Q312" s="26"/>
      <c r="R312" s="26"/>
      <c r="S312" s="26"/>
      <c r="T312" s="381" t="b" cm="1">
        <f t="array" aca="1" ref="T312" ca="1">T311</f>
        <v>1</v>
      </c>
      <c r="U312" s="26"/>
      <c r="V312" s="26"/>
      <c r="W312" s="26"/>
      <c r="X312" s="1787"/>
      <c r="Z312" s="1735"/>
      <c r="AB312" s="216" t="str">
        <f>D312&amp;".1"</f>
        <v>14.1</v>
      </c>
      <c r="AC312" s="676" t="s">
        <v>1747</v>
      </c>
      <c r="AD312" s="216" t="s">
        <v>766</v>
      </c>
      <c r="AE312" s="1473"/>
      <c r="AF312" s="1473"/>
      <c r="AG312" s="1473"/>
      <c r="AH312" s="1015">
        <f t="shared" si="90"/>
        <v>0</v>
      </c>
      <c r="AI312" s="1473"/>
      <c r="AJ312" s="1473"/>
      <c r="AK312" s="1473"/>
      <c r="AL312" s="1473"/>
      <c r="AM312" s="1473"/>
      <c r="AN312" s="1473"/>
      <c r="AO312" s="1473"/>
      <c r="AP312" s="1473"/>
      <c r="AQ312" s="1473"/>
      <c r="AR312" s="1473"/>
      <c r="AS312" s="1473"/>
      <c r="AT312" s="1473"/>
      <c r="AU312" s="1473"/>
      <c r="AV312" s="1473"/>
      <c r="AW312" s="1473"/>
      <c r="AX312" s="1473"/>
      <c r="AY312" s="1473"/>
      <c r="AZ312" s="1473"/>
      <c r="BA312" s="1473"/>
      <c r="BB312" s="1473"/>
      <c r="BC312" s="1473"/>
      <c r="BD312" s="1016"/>
      <c r="BE312" s="1016"/>
      <c r="BF312" s="1016"/>
      <c r="BG312" s="1016"/>
      <c r="BH312" s="1016"/>
      <c r="BI312" s="1016"/>
      <c r="BJ312" s="1016"/>
      <c r="BK312" s="1016"/>
      <c r="BL312" s="1016"/>
      <c r="BM312" s="1016"/>
      <c r="BN312" s="1482"/>
      <c r="BO312" s="1482"/>
      <c r="BP312" s="1482"/>
      <c r="BS312" s="964" t="s">
        <v>1748</v>
      </c>
      <c r="BT312" s="973"/>
      <c r="BU312" s="973"/>
      <c r="BV312" s="974"/>
      <c r="BW312" s="974"/>
    </row>
    <row r="313" spans="1:75" s="1133" customFormat="1" ht="64.5" customHeight="1">
      <c r="B313" s="667"/>
      <c r="C313" s="26"/>
      <c r="D313" s="26" cm="1">
        <f t="array" ref="D313">D312</f>
        <v>14</v>
      </c>
      <c r="E313" s="538">
        <v>66.599999999999994</v>
      </c>
      <c r="F313" s="3" t="str" cm="1">
        <f t="array" aca="1" ref="F313" ca="1">OFFSET(E313,-1,1)</f>
        <v>1</v>
      </c>
      <c r="G313" s="26"/>
      <c r="H313" s="26"/>
      <c r="I313" s="26"/>
      <c r="J313" s="26"/>
      <c r="K313" s="26"/>
      <c r="L313" s="882"/>
      <c r="M313" s="26"/>
      <c r="N313" s="26"/>
      <c r="O313" s="26"/>
      <c r="P313" s="26"/>
      <c r="Q313" s="26"/>
      <c r="R313" s="26"/>
      <c r="S313" s="26"/>
      <c r="T313" s="381" t="b" cm="1">
        <f t="array" aca="1" ref="T313" ca="1">T312</f>
        <v>1</v>
      </c>
      <c r="U313" s="26"/>
      <c r="V313" s="26"/>
      <c r="W313" s="26"/>
      <c r="X313" s="1787"/>
      <c r="Z313" s="1735"/>
      <c r="AB313" s="216" t="str">
        <f>D313&amp;".2"</f>
        <v>14.2</v>
      </c>
      <c r="AC313" s="676" t="s">
        <v>1750</v>
      </c>
      <c r="AD313" s="216" t="s">
        <v>766</v>
      </c>
      <c r="AE313" s="1473"/>
      <c r="AF313" s="1473"/>
      <c r="AG313" s="1473"/>
      <c r="AH313" s="1015">
        <f t="shared" si="90"/>
        <v>0</v>
      </c>
      <c r="AI313" s="1473"/>
      <c r="AJ313" s="1473"/>
      <c r="AK313" s="1473"/>
      <c r="AL313" s="1473"/>
      <c r="AM313" s="1473"/>
      <c r="AN313" s="1473"/>
      <c r="AO313" s="1473"/>
      <c r="AP313" s="1473"/>
      <c r="AQ313" s="1473"/>
      <c r="AR313" s="1473"/>
      <c r="AS313" s="1473"/>
      <c r="AT313" s="1473"/>
      <c r="AU313" s="1473"/>
      <c r="AV313" s="1473"/>
      <c r="AW313" s="1473"/>
      <c r="AX313" s="1473"/>
      <c r="AY313" s="1473"/>
      <c r="AZ313" s="1473"/>
      <c r="BA313" s="1473"/>
      <c r="BB313" s="1473"/>
      <c r="BC313" s="1473"/>
      <c r="BD313" s="1016"/>
      <c r="BE313" s="1016"/>
      <c r="BF313" s="1016"/>
      <c r="BG313" s="1016"/>
      <c r="BH313" s="1016"/>
      <c r="BI313" s="1016"/>
      <c r="BJ313" s="1016"/>
      <c r="BK313" s="1016"/>
      <c r="BL313" s="1016"/>
      <c r="BM313" s="1016"/>
      <c r="BN313" s="1482"/>
      <c r="BO313" s="1482"/>
      <c r="BP313" s="1482"/>
      <c r="BS313" s="964" t="s">
        <v>1751</v>
      </c>
      <c r="BT313" s="973"/>
      <c r="BU313" s="973"/>
      <c r="BV313" s="974"/>
      <c r="BW313" s="974"/>
    </row>
    <row r="314" spans="1:75" s="1133" customFormat="1" ht="44.25" customHeight="1">
      <c r="B314" s="667"/>
      <c r="C314" s="26"/>
      <c r="D314" s="26" cm="1">
        <f t="array" ref="D314">D313</f>
        <v>14</v>
      </c>
      <c r="E314" s="538">
        <v>45.6</v>
      </c>
      <c r="F314" s="3" t="str" cm="1">
        <f t="array" aca="1" ref="F314" ca="1">OFFSET(E314,-1,1)</f>
        <v>1</v>
      </c>
      <c r="G314" s="26"/>
      <c r="H314" s="26"/>
      <c r="I314" s="26"/>
      <c r="J314" s="26"/>
      <c r="K314" s="26"/>
      <c r="L314" s="882"/>
      <c r="M314" s="26"/>
      <c r="N314" s="26"/>
      <c r="O314" s="26"/>
      <c r="P314" s="26"/>
      <c r="Q314" s="26"/>
      <c r="R314" s="26"/>
      <c r="S314" s="26"/>
      <c r="T314" s="381" t="b" cm="1">
        <f t="array" aca="1" ref="T314" ca="1">T313</f>
        <v>1</v>
      </c>
      <c r="U314" s="26"/>
      <c r="V314" s="26"/>
      <c r="W314" s="26"/>
      <c r="X314" s="1787"/>
      <c r="Z314" s="1735"/>
      <c r="AB314" s="216" t="str">
        <f>D314&amp;".3"</f>
        <v>14.3</v>
      </c>
      <c r="AC314" s="676" t="s">
        <v>2039</v>
      </c>
      <c r="AD314" s="216" t="s">
        <v>766</v>
      </c>
      <c r="AE314" s="1016"/>
      <c r="AF314" s="1473"/>
      <c r="AG314" s="1473"/>
      <c r="AH314" s="1015">
        <f t="shared" si="90"/>
        <v>0</v>
      </c>
      <c r="AI314" s="1016"/>
      <c r="AJ314" s="1016"/>
      <c r="AK314" s="1016"/>
      <c r="AL314" s="1016"/>
      <c r="AM314" s="1016"/>
      <c r="AN314" s="1016"/>
      <c r="AO314" s="1016"/>
      <c r="AP314" s="1016"/>
      <c r="AQ314" s="1016"/>
      <c r="AR314" s="1016"/>
      <c r="AS314" s="1016"/>
      <c r="AT314" s="1016"/>
      <c r="AU314" s="1016"/>
      <c r="AV314" s="1016"/>
      <c r="AW314" s="1016"/>
      <c r="AX314" s="1016"/>
      <c r="AY314" s="1016"/>
      <c r="AZ314" s="1016"/>
      <c r="BA314" s="1016"/>
      <c r="BB314" s="1016"/>
      <c r="BC314" s="1016"/>
      <c r="BD314" s="1016"/>
      <c r="BE314" s="1016"/>
      <c r="BF314" s="1016"/>
      <c r="BG314" s="1016"/>
      <c r="BH314" s="1016"/>
      <c r="BI314" s="1016"/>
      <c r="BJ314" s="1016"/>
      <c r="BK314" s="1016"/>
      <c r="BL314" s="1016"/>
      <c r="BM314" s="1016"/>
      <c r="BN314" s="1482"/>
      <c r="BO314" s="1482"/>
      <c r="BP314" s="1482"/>
      <c r="BS314" s="973" t="s">
        <v>2040</v>
      </c>
      <c r="BT314" s="973"/>
      <c r="BU314" s="973"/>
      <c r="BV314" s="974"/>
      <c r="BW314" s="974"/>
    </row>
    <row r="315" spans="1:75" s="1327" customFormat="1" ht="10.9" customHeight="1">
      <c r="B315" s="347"/>
      <c r="C315"/>
      <c r="D315"/>
      <c r="E315" s="588">
        <v>11.25</v>
      </c>
      <c r="F315" s="4"/>
      <c r="G315"/>
      <c r="H315"/>
      <c r="I315"/>
      <c r="J315"/>
      <c r="K315"/>
      <c r="L315"/>
      <c r="M315"/>
      <c r="N315"/>
      <c r="O315"/>
      <c r="P315"/>
      <c r="Q315"/>
      <c r="R315"/>
      <c r="S315"/>
      <c r="T315"/>
      <c r="U315" t="s">
        <v>177</v>
      </c>
      <c r="V315" s="742" t="s">
        <v>2043</v>
      </c>
      <c r="W315"/>
      <c r="X315"/>
      <c r="AB315" s="415"/>
      <c r="AC315" s="19"/>
      <c r="AD315" s="19"/>
      <c r="AE315" s="1009"/>
      <c r="AF315" s="1009"/>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S315" s="906"/>
      <c r="BT315" s="906"/>
      <c r="BU315" s="906"/>
      <c r="BV315" s="541"/>
      <c r="BW315" s="541"/>
    </row>
    <row r="316" spans="1:75" ht="14.65" customHeight="1">
      <c r="C316" s="26"/>
      <c r="D316" s="26"/>
      <c r="E316" s="538">
        <v>15</v>
      </c>
      <c r="F316" s="26"/>
      <c r="G316" s="26"/>
      <c r="H316" s="26"/>
      <c r="I316" s="26"/>
      <c r="J316" s="26"/>
      <c r="K316" s="26"/>
      <c r="L316" s="882"/>
      <c r="M316" s="26"/>
      <c r="N316" s="26"/>
      <c r="O316" s="26"/>
      <c r="P316" s="26"/>
      <c r="Q316" s="26"/>
      <c r="R316" s="26"/>
      <c r="S316" s="26"/>
      <c r="T316" s="26"/>
      <c r="U316" s="26"/>
      <c r="V316" s="26"/>
      <c r="W316" s="26"/>
      <c r="X316" s="26"/>
      <c r="AB316" s="1758" t="s">
        <v>394</v>
      </c>
      <c r="AC316" s="1758"/>
      <c r="AD316" s="1758"/>
      <c r="AE316" s="1758"/>
      <c r="AF316" s="1758"/>
      <c r="AG316" s="1758"/>
      <c r="AH316" s="1758"/>
      <c r="AI316" s="1758"/>
      <c r="AJ316" s="1758"/>
      <c r="AK316" s="1758"/>
      <c r="AL316" s="1758"/>
      <c r="AM316" s="1758"/>
      <c r="AN316" s="1758"/>
      <c r="AO316" s="1758"/>
      <c r="AP316" s="1758"/>
      <c r="AQ316" s="1758"/>
      <c r="AR316" s="1758"/>
      <c r="AS316" s="1758"/>
      <c r="AT316" s="1758"/>
      <c r="AU316" s="1758"/>
      <c r="AV316" s="1758"/>
      <c r="AW316" s="1758"/>
      <c r="AX316" s="1758"/>
      <c r="AY316" s="1758"/>
      <c r="AZ316" s="1758"/>
      <c r="BA316" s="1758"/>
      <c r="BB316" s="1758"/>
      <c r="BC316" s="1758"/>
      <c r="BD316" s="1758"/>
      <c r="BE316" s="1758"/>
      <c r="BF316" s="1758"/>
      <c r="BG316" s="1758"/>
      <c r="BH316" s="1758"/>
      <c r="BI316" s="1758"/>
      <c r="BJ316" s="1758"/>
      <c r="BK316" s="1758"/>
      <c r="BL316" s="1758"/>
      <c r="BM316" s="1758"/>
      <c r="BN316" s="1758"/>
      <c r="BO316" s="1758"/>
      <c r="BP316" s="1758"/>
    </row>
    <row r="317" spans="1:75" ht="14.65" customHeight="1">
      <c r="E317" s="620">
        <v>15</v>
      </c>
      <c r="AA317" s="92"/>
      <c r="AB317" s="1825"/>
      <c r="AC317" s="1828"/>
      <c r="AD317" s="1828"/>
      <c r="AE317" s="1828"/>
      <c r="AF317" s="1828"/>
      <c r="AG317" s="1828"/>
      <c r="AH317" s="1828"/>
      <c r="AI317" s="1828"/>
      <c r="AJ317" s="1828"/>
      <c r="AK317" s="1828"/>
      <c r="AL317" s="1828"/>
      <c r="AM317" s="1828"/>
      <c r="AN317" s="1828"/>
      <c r="AO317" s="1828"/>
      <c r="AP317" s="1828"/>
      <c r="AQ317" s="1828"/>
      <c r="AR317" s="1828"/>
      <c r="AS317" s="1828"/>
      <c r="AT317" s="1828"/>
      <c r="AU317" s="1828"/>
      <c r="AV317" s="1828"/>
      <c r="AW317" s="1828"/>
      <c r="AX317" s="1828"/>
      <c r="AY317" s="1828"/>
      <c r="AZ317" s="1828"/>
      <c r="BA317" s="1828"/>
      <c r="BB317" s="1828"/>
      <c r="BC317" s="1828"/>
      <c r="BD317" s="1828"/>
      <c r="BE317" s="1828"/>
      <c r="BF317" s="1828"/>
      <c r="BG317" s="1828"/>
      <c r="BH317" s="1828"/>
      <c r="BI317" s="1828"/>
      <c r="BJ317" s="1828"/>
      <c r="BK317" s="1828"/>
      <c r="BL317" s="1828"/>
      <c r="BM317" s="1828"/>
      <c r="BN317" s="1828"/>
      <c r="BO317" s="1828"/>
      <c r="BP317" s="1828"/>
    </row>
    <row r="318" spans="1:75" ht="14.65" hidden="1" customHeight="1">
      <c r="E318" s="620">
        <v>15</v>
      </c>
      <c r="T318" s="381" t="b">
        <f>ROW(W318)&gt;ROW(W$318)</f>
        <v>0</v>
      </c>
      <c r="W318" s="77" t="s">
        <v>173</v>
      </c>
      <c r="AA318" s="337" t="s">
        <v>174</v>
      </c>
      <c r="AB318" s="1826" t="s">
        <v>231</v>
      </c>
      <c r="AC318" s="1828"/>
      <c r="AD318" s="1828"/>
      <c r="AE318" s="1828"/>
      <c r="AF318" s="1828"/>
      <c r="AG318" s="1828"/>
      <c r="AH318" s="1828"/>
      <c r="AI318" s="1828"/>
      <c r="AJ318" s="1828"/>
      <c r="AK318" s="1828"/>
      <c r="AL318" s="1828"/>
      <c r="AM318" s="1828"/>
      <c r="AN318" s="1828"/>
      <c r="AO318" s="1828"/>
      <c r="AP318" s="1828"/>
      <c r="AQ318" s="1828"/>
      <c r="AR318" s="1828"/>
      <c r="AS318" s="1828"/>
      <c r="AT318" s="1828"/>
      <c r="AU318" s="1828"/>
      <c r="AV318" s="1828"/>
      <c r="AW318" s="1828"/>
      <c r="AX318" s="1828"/>
      <c r="AY318" s="1828"/>
      <c r="AZ318" s="1828"/>
      <c r="BA318" s="1828"/>
      <c r="BB318" s="1828"/>
      <c r="BC318" s="1828"/>
      <c r="BD318" s="1828"/>
      <c r="BE318" s="1828"/>
      <c r="BF318" s="1828"/>
      <c r="BG318" s="1828"/>
      <c r="BH318" s="1828"/>
      <c r="BI318" s="1828"/>
      <c r="BJ318" s="1828"/>
      <c r="BK318" s="1828"/>
      <c r="BL318" s="1828"/>
      <c r="BM318" s="1828"/>
      <c r="BN318" s="1828"/>
      <c r="BO318" s="1828"/>
      <c r="BP318" s="1828"/>
    </row>
    <row r="319" spans="1:75" ht="14.65" customHeight="1">
      <c r="E319" s="620">
        <v>15</v>
      </c>
      <c r="W319" s="743" t="s">
        <v>395</v>
      </c>
      <c r="AB319" s="599"/>
      <c r="AC319" s="430" t="s">
        <v>396</v>
      </c>
      <c r="AD319" s="224"/>
      <c r="AE319" s="224"/>
      <c r="AF319" s="224"/>
      <c r="AG319" s="224"/>
      <c r="AH319" s="224"/>
      <c r="AI319" s="224"/>
      <c r="AJ319" s="224"/>
      <c r="AK319" s="224"/>
      <c r="AL319" s="224"/>
      <c r="AM319" s="224"/>
      <c r="AN319" s="224"/>
      <c r="AO319" s="224"/>
      <c r="AP319" s="224"/>
      <c r="AQ319" s="224"/>
      <c r="AR319" s="224"/>
      <c r="AS319" s="224"/>
      <c r="AT319" s="224"/>
      <c r="AU319" s="224"/>
      <c r="AV319" s="224"/>
      <c r="AW319" s="224"/>
      <c r="AX319" s="224"/>
      <c r="AY319" s="224"/>
      <c r="AZ319" s="224"/>
      <c r="BA319" s="224"/>
      <c r="BB319" s="224"/>
      <c r="BC319" s="224"/>
      <c r="BD319" s="224"/>
      <c r="BE319" s="224"/>
      <c r="BF319" s="224"/>
      <c r="BG319" s="224"/>
      <c r="BH319" s="224"/>
      <c r="BI319" s="224"/>
      <c r="BJ319" s="224"/>
      <c r="BK319" s="224"/>
      <c r="BL319" s="224"/>
      <c r="BM319" s="224"/>
      <c r="BN319" s="224"/>
      <c r="BO319" s="224"/>
      <c r="BP319" s="191"/>
    </row>
    <row r="320" spans="1:75" ht="10.9" customHeight="1">
      <c r="E320" s="620">
        <v>11.25</v>
      </c>
      <c r="BQ320" s="343"/>
    </row>
  </sheetData>
  <sheetProtection formatColumns="0" formatRows="0" insertRows="0" deleteColumns="0" deleteRows="0" sort="0" autoFilter="0"/>
  <mergeCells count="14">
    <mergeCell ref="X27:X170"/>
    <mergeCell ref="Z27:Z170"/>
    <mergeCell ref="AB318:BP318"/>
    <mergeCell ref="AB317:BP317"/>
    <mergeCell ref="BP24:BP25"/>
    <mergeCell ref="BN24:BN25"/>
    <mergeCell ref="BO24:BO25"/>
    <mergeCell ref="AB316:BP316"/>
    <mergeCell ref="AB24:AB25"/>
    <mergeCell ref="AC24:AC25"/>
    <mergeCell ref="AD24:AD25"/>
    <mergeCell ref="BD25:BM25"/>
    <mergeCell ref="X171:X314"/>
    <mergeCell ref="Z171:Z314"/>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formula1>900</formula1>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E27"/>
  <sheetViews>
    <sheetView showGridLines="0" topLeftCell="AA21" workbookViewId="0">
      <selection activeCell="AA21" sqref="AA21"/>
    </sheetView>
  </sheetViews>
  <sheetFormatPr defaultColWidth="9.140625" defaultRowHeight="11.25" customHeight="1"/>
  <cols>
    <col min="1" max="1" width="3.5703125" style="1210" hidden="1" customWidth="1"/>
    <col min="2" max="2" width="8.5703125" style="1104" hidden="1" customWidth="1"/>
    <col min="3" max="4" width="3.5703125" style="1210" hidden="1" customWidth="1"/>
    <col min="5" max="5" width="3.5703125" style="1073" hidden="1" customWidth="1"/>
    <col min="6" max="26" width="3.5703125" style="1210" hidden="1" customWidth="1"/>
    <col min="27" max="27" width="3.7109375" style="1210" customWidth="1"/>
    <col min="28" max="28" width="6.140625" style="1210" customWidth="1"/>
    <col min="29" max="29" width="20.7109375" style="1210" customWidth="1"/>
    <col min="30" max="30" width="92.5703125" style="1210" customWidth="1"/>
    <col min="31" max="31" width="9.140625" style="1210"/>
  </cols>
  <sheetData>
    <row r="1" spans="1:5" ht="11.25" hidden="1" customHeight="1">
      <c r="E1" s="41"/>
    </row>
    <row r="2" spans="1:5" s="1104" customFormat="1" ht="11.25" hidden="1" customHeight="1">
      <c r="B2" s="363" t="s">
        <v>18</v>
      </c>
    </row>
    <row r="3" spans="1:5" ht="11.25" hidden="1" customHeight="1">
      <c r="E3" s="41"/>
    </row>
    <row r="4" spans="1:5" ht="11.25" hidden="1" customHeight="1">
      <c r="E4" s="41"/>
    </row>
    <row r="5" spans="1:5" s="1073" customFormat="1" ht="11.25" hidden="1" customHeight="1">
      <c r="A5" s="41"/>
      <c r="B5" s="345"/>
      <c r="C5" s="41"/>
      <c r="D5" s="41"/>
      <c r="E5" s="534"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2:31" ht="11.25" hidden="1" customHeight="1"/>
    <row r="18" spans="2:31" ht="11.25" hidden="1" customHeight="1"/>
    <row r="19" spans="2:31" ht="11.25" hidden="1" customHeight="1"/>
    <row r="20" spans="2:31" ht="11.25" hidden="1" customHeight="1"/>
    <row r="21" spans="2:31" ht="11.25" customHeight="1">
      <c r="AA21" s="342"/>
    </row>
    <row r="22" spans="2:31" ht="20.25" customHeight="1">
      <c r="AB22" s="173" t="s">
        <v>20</v>
      </c>
      <c r="AC22" s="155"/>
      <c r="AD22" s="155"/>
    </row>
    <row r="24" spans="2:31" s="1325" customFormat="1" ht="30" customHeight="1">
      <c r="B24" s="346"/>
      <c r="E24" s="183"/>
      <c r="AB24" s="10" t="s">
        <v>21</v>
      </c>
      <c r="AC24" s="10" t="s">
        <v>22</v>
      </c>
      <c r="AD24" s="10" t="s">
        <v>23</v>
      </c>
    </row>
    <row r="25" spans="2:31" ht="33.75" customHeight="1">
      <c r="AB25" s="10">
        <v>1</v>
      </c>
      <c r="AC25" s="174" t="s">
        <v>24</v>
      </c>
      <c r="AD25" s="174" t="s">
        <v>25</v>
      </c>
    </row>
    <row r="26" spans="2:31" ht="69" customHeight="1">
      <c r="AB26" s="10">
        <v>2</v>
      </c>
      <c r="AC26" s="174" t="s">
        <v>26</v>
      </c>
      <c r="AD26" s="174" t="s">
        <v>27</v>
      </c>
    </row>
    <row r="27" spans="2:31" ht="11.25" customHeight="1">
      <c r="AE27" s="41"/>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W32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3.5703125" style="1177" hidden="1" customWidth="1"/>
    <col min="2" max="2" width="8.5703125" style="880" hidden="1" customWidth="1"/>
    <col min="3" max="4" width="3.5703125" style="1177" hidden="1" customWidth="1"/>
    <col min="5" max="5" width="3.5703125" style="881" hidden="1" customWidth="1"/>
    <col min="6" max="6" width="3.5703125" style="1177" hidden="1" customWidth="1"/>
    <col min="7" max="7" width="12.28515625" style="1177" hidden="1" customWidth="1"/>
    <col min="8" max="11" width="3.5703125" style="1177" hidden="1" customWidth="1"/>
    <col min="12" max="12" width="6.5703125" style="1177" hidden="1" customWidth="1"/>
    <col min="13" max="16" width="3.5703125" style="1177" hidden="1" customWidth="1"/>
    <col min="17" max="17" width="8" style="1177" hidden="1" customWidth="1"/>
    <col min="18" max="18" width="6.42578125" style="1177" hidden="1" customWidth="1"/>
    <col min="19" max="19" width="11.140625" style="1177" hidden="1" customWidth="1"/>
    <col min="20" max="20" width="10.42578125" style="1177" hidden="1" customWidth="1"/>
    <col min="21" max="21" width="5.85546875" style="1177" hidden="1" customWidth="1"/>
    <col min="22" max="23" width="6.140625" style="1177" hidden="1" customWidth="1"/>
    <col min="24" max="25" width="5.5703125" style="1177" hidden="1" customWidth="1"/>
    <col min="26" max="26" width="5.28515625" style="1177" hidden="1" customWidth="1"/>
    <col min="27" max="27" width="3" style="1177" customWidth="1"/>
    <col min="28" max="28" width="11" style="508" customWidth="1"/>
    <col min="29" max="29" width="75" style="883" customWidth="1"/>
    <col min="30" max="30" width="12" style="508" customWidth="1"/>
    <col min="31" max="33" width="12.5703125" style="1177" customWidth="1"/>
    <col min="34" max="34" width="21" style="1177" customWidth="1"/>
    <col min="35" max="36" width="12.5703125" style="1177" customWidth="1"/>
    <col min="37" max="45" width="12.5703125" style="1177" hidden="1" customWidth="1"/>
    <col min="46" max="46" width="12.5703125" style="1177" customWidth="1"/>
    <col min="47" max="55" width="12.5703125" style="1177" hidden="1" customWidth="1"/>
    <col min="56" max="56" width="12.5703125" style="1177" customWidth="1"/>
    <col min="57" max="65" width="12.5703125" style="1177" hidden="1" customWidth="1"/>
    <col min="66" max="67" width="20" style="1177" customWidth="1"/>
    <col min="68" max="68" width="42" style="1177" customWidth="1"/>
    <col min="69" max="69" width="3" style="1177" customWidth="1"/>
    <col min="70" max="70" width="9.140625" style="1177" hidden="1"/>
    <col min="71" max="73" width="9.140625" style="966" hidden="1"/>
    <col min="74" max="75" width="9.140625" style="881" hidden="1"/>
  </cols>
  <sheetData>
    <row r="1" spans="1:75" ht="11.25" hidden="1" customHeight="1">
      <c r="E1" s="77"/>
      <c r="F1" s="77" t="s">
        <v>311</v>
      </c>
      <c r="I1" s="77" t="s">
        <v>1759</v>
      </c>
      <c r="J1" s="77" t="s">
        <v>347</v>
      </c>
      <c r="K1" s="77" t="s">
        <v>1760</v>
      </c>
      <c r="L1" s="879" t="s">
        <v>1761</v>
      </c>
      <c r="M1" s="77" t="s">
        <v>1762</v>
      </c>
      <c r="T1" s="381" t="s">
        <v>92</v>
      </c>
      <c r="U1" s="381" t="s">
        <v>97</v>
      </c>
      <c r="V1" s="381" t="s">
        <v>93</v>
      </c>
      <c r="W1" s="381" t="s">
        <v>94</v>
      </c>
      <c r="X1" s="381" t="s">
        <v>95</v>
      </c>
      <c r="Y1" s="383" t="s">
        <v>313</v>
      </c>
      <c r="Z1" s="381" t="s">
        <v>99</v>
      </c>
      <c r="AA1" s="382" t="s">
        <v>96</v>
      </c>
      <c r="AB1" s="4"/>
      <c r="AC1" s="382" t="s">
        <v>98</v>
      </c>
      <c r="BS1" s="966" t="s">
        <v>314</v>
      </c>
      <c r="BT1" s="966" t="s">
        <v>315</v>
      </c>
      <c r="BU1" s="966" t="s">
        <v>316</v>
      </c>
      <c r="BV1" s="620" t="s">
        <v>319</v>
      </c>
      <c r="BW1" s="620" t="s">
        <v>320</v>
      </c>
    </row>
    <row r="2" spans="1:75" s="880" customFormat="1" ht="11.25" hidden="1" customHeight="1">
      <c r="B2" s="362" t="s">
        <v>18</v>
      </c>
      <c r="AC2" s="350"/>
      <c r="AJ2" s="363" t="b">
        <f t="shared" ref="AJ2:BM2" si="0">AJ6&lt;=last_year_vis</f>
        <v>1</v>
      </c>
      <c r="AK2" s="363" t="b">
        <f t="shared" si="0"/>
        <v>0</v>
      </c>
      <c r="AL2" s="363" t="b">
        <f t="shared" si="0"/>
        <v>0</v>
      </c>
      <c r="AM2" s="363" t="b">
        <f t="shared" si="0"/>
        <v>0</v>
      </c>
      <c r="AN2" s="363" t="b">
        <f t="shared" si="0"/>
        <v>0</v>
      </c>
      <c r="AO2" s="363" t="b">
        <f t="shared" si="0"/>
        <v>0</v>
      </c>
      <c r="AP2" s="363" t="b">
        <f t="shared" si="0"/>
        <v>0</v>
      </c>
      <c r="AQ2" s="363" t="b">
        <f t="shared" si="0"/>
        <v>0</v>
      </c>
      <c r="AR2" s="363" t="b">
        <f t="shared" si="0"/>
        <v>0</v>
      </c>
      <c r="AS2" s="363" t="b">
        <f t="shared" si="0"/>
        <v>0</v>
      </c>
      <c r="AT2" s="363" t="b">
        <f t="shared" si="0"/>
        <v>1</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C2" s="363" t="b">
        <f t="shared" si="0"/>
        <v>0</v>
      </c>
      <c r="BD2" s="363" t="b">
        <f t="shared" si="0"/>
        <v>1</v>
      </c>
      <c r="BE2" s="363" t="b">
        <f t="shared" si="0"/>
        <v>0</v>
      </c>
      <c r="BF2" s="363" t="b">
        <f t="shared" si="0"/>
        <v>0</v>
      </c>
      <c r="BG2" s="363" t="b">
        <f t="shared" si="0"/>
        <v>0</v>
      </c>
      <c r="BH2" s="363" t="b">
        <f t="shared" si="0"/>
        <v>0</v>
      </c>
      <c r="BI2" s="363" t="b">
        <f t="shared" si="0"/>
        <v>0</v>
      </c>
      <c r="BJ2" s="363" t="b">
        <f t="shared" si="0"/>
        <v>0</v>
      </c>
      <c r="BK2" s="363" t="b">
        <f t="shared" si="0"/>
        <v>0</v>
      </c>
      <c r="BL2" s="363" t="b">
        <f t="shared" si="0"/>
        <v>0</v>
      </c>
      <c r="BM2" s="363" t="b">
        <f t="shared" si="0"/>
        <v>0</v>
      </c>
      <c r="BS2" s="967"/>
      <c r="BT2" s="967"/>
      <c r="BU2" s="967"/>
      <c r="BV2" s="539"/>
      <c r="BW2" s="539"/>
    </row>
    <row r="3" spans="1:75" ht="11.25" hidden="1" customHeight="1">
      <c r="E3" s="77"/>
      <c r="R3" s="362" t="b">
        <v>0</v>
      </c>
    </row>
    <row r="4" spans="1:75" ht="11.25" hidden="1" customHeight="1">
      <c r="E4" s="77"/>
    </row>
    <row r="5" spans="1:75" s="881" customFormat="1" ht="11.25" hidden="1" customHeight="1">
      <c r="A5" s="77"/>
      <c r="B5" s="349"/>
      <c r="C5" s="77"/>
      <c r="D5" s="77"/>
      <c r="E5" s="620" t="s">
        <v>19</v>
      </c>
      <c r="AA5" s="620">
        <v>3</v>
      </c>
      <c r="AB5" s="625">
        <v>11</v>
      </c>
      <c r="AC5" s="621">
        <v>75</v>
      </c>
      <c r="AD5" s="625">
        <v>12</v>
      </c>
      <c r="AE5" s="620">
        <v>12.57</v>
      </c>
      <c r="AF5" s="620">
        <v>12.57</v>
      </c>
      <c r="AG5" s="620">
        <v>12.57</v>
      </c>
      <c r="AH5" s="620">
        <v>21</v>
      </c>
      <c r="AI5" s="620">
        <v>12.57</v>
      </c>
      <c r="AJ5" s="620">
        <v>12.57</v>
      </c>
      <c r="AK5" s="620">
        <v>12.57</v>
      </c>
      <c r="AL5" s="620">
        <v>12.57</v>
      </c>
      <c r="AM5" s="620">
        <v>12.57</v>
      </c>
      <c r="AN5" s="620">
        <v>12.57</v>
      </c>
      <c r="AO5" s="620">
        <v>12.57</v>
      </c>
      <c r="AP5" s="620">
        <v>12.57</v>
      </c>
      <c r="AQ5" s="620">
        <v>12.57</v>
      </c>
      <c r="AR5" s="620">
        <v>12.57</v>
      </c>
      <c r="AS5" s="620">
        <v>12.57</v>
      </c>
      <c r="AT5" s="620">
        <v>12.57</v>
      </c>
      <c r="AU5" s="620">
        <v>12.57</v>
      </c>
      <c r="AV5" s="620">
        <v>12.57</v>
      </c>
      <c r="AW5" s="620">
        <v>12.57</v>
      </c>
      <c r="AX5" s="620">
        <v>12.57</v>
      </c>
      <c r="AY5" s="620">
        <v>12.57</v>
      </c>
      <c r="AZ5" s="620">
        <v>12.57</v>
      </c>
      <c r="BA5" s="620">
        <v>12.57</v>
      </c>
      <c r="BB5" s="620">
        <v>12.57</v>
      </c>
      <c r="BC5" s="620">
        <v>12.57</v>
      </c>
      <c r="BD5" s="620">
        <v>12.57</v>
      </c>
      <c r="BE5" s="620">
        <v>12.57</v>
      </c>
      <c r="BF5" s="620">
        <v>12.57</v>
      </c>
      <c r="BG5" s="620">
        <v>12.57</v>
      </c>
      <c r="BH5" s="620">
        <v>12.57</v>
      </c>
      <c r="BI5" s="620">
        <v>12.57</v>
      </c>
      <c r="BJ5" s="620">
        <v>12.57</v>
      </c>
      <c r="BK5" s="620">
        <v>12.57</v>
      </c>
      <c r="BL5" s="620">
        <v>12.57</v>
      </c>
      <c r="BM5" s="620">
        <v>12.57</v>
      </c>
      <c r="BN5" s="620">
        <v>20</v>
      </c>
      <c r="BO5" s="620">
        <v>20</v>
      </c>
      <c r="BP5" s="620">
        <v>42</v>
      </c>
      <c r="BQ5" s="620">
        <v>3</v>
      </c>
      <c r="BS5" s="966"/>
      <c r="BT5" s="966"/>
      <c r="BU5" s="966"/>
    </row>
    <row r="6" spans="1:75" ht="11.25" hidden="1" customHeight="1">
      <c r="A6" s="77" t="s">
        <v>350</v>
      </c>
      <c r="AE6" s="77">
        <f>god-2</f>
        <v>2024</v>
      </c>
      <c r="AF6" s="77">
        <f>god-2</f>
        <v>2024</v>
      </c>
      <c r="AG6" s="77">
        <f>god-2</f>
        <v>2024</v>
      </c>
      <c r="AH6" s="77">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7" t="s">
        <v>351</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966" customFormat="1" ht="11.25" hidden="1" customHeight="1">
      <c r="A9" s="899" t="s">
        <v>355</v>
      </c>
      <c r="B9" s="962"/>
      <c r="C9" s="962"/>
      <c r="D9" s="962"/>
      <c r="E9" s="962"/>
      <c r="F9" s="962"/>
      <c r="G9" s="962"/>
      <c r="H9" s="962"/>
      <c r="I9" s="962"/>
      <c r="J9" s="962"/>
      <c r="K9" s="962"/>
      <c r="L9" s="962"/>
      <c r="M9" s="962"/>
      <c r="N9" s="962"/>
      <c r="O9" s="962"/>
      <c r="P9" s="962"/>
      <c r="Q9" s="962"/>
      <c r="R9" s="962"/>
      <c r="S9" s="962"/>
      <c r="T9" s="962"/>
      <c r="U9" s="962"/>
      <c r="V9" s="962"/>
      <c r="W9" s="962"/>
      <c r="X9" s="962"/>
      <c r="Y9" s="962"/>
      <c r="Z9" s="962"/>
      <c r="AA9" s="962"/>
      <c r="AB9" s="962"/>
      <c r="AC9" s="962"/>
      <c r="AD9" s="962"/>
      <c r="AE9" s="963" cm="1">
        <f t="array" ref="AE9">AE6</f>
        <v>2024</v>
      </c>
      <c r="AF9" s="963" cm="1">
        <f t="array" ref="AF9">AF6</f>
        <v>2024</v>
      </c>
      <c r="AG9" s="963" cm="1">
        <f t="array" ref="AG9">AG6</f>
        <v>2024</v>
      </c>
      <c r="AH9" s="963" cm="1">
        <f t="array" ref="AH9">AH6</f>
        <v>2024</v>
      </c>
      <c r="AI9" s="963" cm="1">
        <f t="array" ref="AI9">AI6</f>
        <v>2025</v>
      </c>
      <c r="AJ9" s="963" cm="1">
        <f t="array" ref="AJ9">AJ6</f>
        <v>2026</v>
      </c>
      <c r="AK9" s="963" cm="1">
        <f t="array" ref="AK9">AK6</f>
        <v>2027</v>
      </c>
      <c r="AL9" s="963" cm="1">
        <f t="array" ref="AL9">AL6</f>
        <v>2028</v>
      </c>
      <c r="AM9" s="963" cm="1">
        <f t="array" ref="AM9">AM6</f>
        <v>2029</v>
      </c>
      <c r="AN9" s="963" cm="1">
        <f t="array" ref="AN9">AN6</f>
        <v>2030</v>
      </c>
      <c r="AO9" s="963" cm="1">
        <f t="array" ref="AO9">AO6</f>
        <v>2031</v>
      </c>
      <c r="AP9" s="963" cm="1">
        <f t="array" ref="AP9">AP6</f>
        <v>2032</v>
      </c>
      <c r="AQ9" s="963" cm="1">
        <f t="array" ref="AQ9">AQ6</f>
        <v>2033</v>
      </c>
      <c r="AR9" s="963" cm="1">
        <f t="array" ref="AR9">AR6</f>
        <v>2034</v>
      </c>
      <c r="AS9" s="963" cm="1">
        <f t="array" ref="AS9">AS6</f>
        <v>2035</v>
      </c>
      <c r="AT9" s="963" cm="1">
        <f t="array" ref="AT9">AT6</f>
        <v>2026</v>
      </c>
      <c r="AU9" s="963" cm="1">
        <f t="array" ref="AU9">AU6</f>
        <v>2027</v>
      </c>
      <c r="AV9" s="963" cm="1">
        <f t="array" ref="AV9">AV6</f>
        <v>2028</v>
      </c>
      <c r="AW9" s="963" cm="1">
        <f t="array" ref="AW9">AW6</f>
        <v>2029</v>
      </c>
      <c r="AX9" s="963" cm="1">
        <f t="array" ref="AX9">AX6</f>
        <v>2030</v>
      </c>
      <c r="AY9" s="963" cm="1">
        <f t="array" ref="AY9">AY6</f>
        <v>2031</v>
      </c>
      <c r="AZ9" s="963" cm="1">
        <f t="array" ref="AZ9">AZ6</f>
        <v>2032</v>
      </c>
      <c r="BA9" s="963" cm="1">
        <f t="array" ref="BA9">BA6</f>
        <v>2033</v>
      </c>
      <c r="BB9" s="963" cm="1">
        <f t="array" ref="BB9">BB6</f>
        <v>2034</v>
      </c>
      <c r="BC9" s="963" cm="1">
        <f t="array" ref="BC9">BC6</f>
        <v>2035</v>
      </c>
      <c r="BD9" s="963" cm="1">
        <f t="array" ref="BD9">BD6</f>
        <v>2026</v>
      </c>
      <c r="BE9" s="963" cm="1">
        <f t="array" ref="BE9">BE6</f>
        <v>2027</v>
      </c>
      <c r="BF9" s="963" cm="1">
        <f t="array" ref="BF9">BF6</f>
        <v>2028</v>
      </c>
      <c r="BG9" s="963" cm="1">
        <f t="array" ref="BG9">BG6</f>
        <v>2029</v>
      </c>
      <c r="BH9" s="963" cm="1">
        <f t="array" ref="BH9">BH6</f>
        <v>2030</v>
      </c>
      <c r="BI9" s="963" cm="1">
        <f t="array" ref="BI9">BI6</f>
        <v>2031</v>
      </c>
      <c r="BJ9" s="963" cm="1">
        <f t="array" ref="BJ9">BJ6</f>
        <v>2032</v>
      </c>
      <c r="BK9" s="963" cm="1">
        <f t="array" ref="BK9">BK6</f>
        <v>2033</v>
      </c>
      <c r="BL9" s="963" cm="1">
        <f t="array" ref="BL9">BL6</f>
        <v>2034</v>
      </c>
      <c r="BM9" s="963" cm="1">
        <f t="array" ref="BM9">BM6</f>
        <v>2035</v>
      </c>
      <c r="BV9" s="620"/>
      <c r="BW9" s="620"/>
    </row>
    <row r="10" spans="1:75" s="966" customFormat="1" ht="11.25" hidden="1" customHeight="1">
      <c r="A10" s="899" t="s">
        <v>356</v>
      </c>
      <c r="B10" s="962"/>
      <c r="C10" s="962"/>
      <c r="D10" s="962"/>
      <c r="E10" s="962"/>
      <c r="F10" s="962"/>
      <c r="G10" s="962"/>
      <c r="H10" s="962"/>
      <c r="I10" s="962"/>
      <c r="J10" s="962"/>
      <c r="K10" s="962"/>
      <c r="L10" s="962"/>
      <c r="M10" s="962"/>
      <c r="N10" s="962"/>
      <c r="O10" s="962"/>
      <c r="P10" s="962"/>
      <c r="Q10" s="962"/>
      <c r="R10" s="962"/>
      <c r="S10" s="962"/>
      <c r="T10" s="962"/>
      <c r="U10" s="962"/>
      <c r="V10" s="962"/>
      <c r="W10" s="962"/>
      <c r="X10" s="962"/>
      <c r="Y10" s="962"/>
      <c r="Z10" s="962"/>
      <c r="AA10" s="962"/>
      <c r="AB10" s="962"/>
      <c r="AC10" s="962"/>
      <c r="AD10" s="962"/>
      <c r="AE10" s="963" t="str" cm="1">
        <f t="array" ref="AE10">AE25</f>
        <v>Принято органом регулирования</v>
      </c>
      <c r="AF10" s="963" t="str" cm="1">
        <f t="array" ref="AF10">AF25</f>
        <v>Факт по данным организации</v>
      </c>
      <c r="AG10" s="963" t="str" cm="1">
        <f t="array" ref="AG10">AG25</f>
        <v>Факт, принятый органом регулирования</v>
      </c>
      <c r="AH10" s="963" t="str" cm="1">
        <f t="array" ref="AH10">AH25</f>
        <v>отклонение факта по данным организации к факту принятому органом регулирования</v>
      </c>
      <c r="AI10" s="963" t="str" cm="1">
        <f t="array" ref="AI10">AI25</f>
        <v>Принято органом регулирования</v>
      </c>
      <c r="AJ10" s="963" t="str" cm="1">
        <f t="array" ref="AJ10">AJ25</f>
        <v>Предложение организации</v>
      </c>
      <c r="AK10" s="963" t="str" cm="1">
        <f t="array" ref="AK10">AK25</f>
        <v>Предложение организации</v>
      </c>
      <c r="AL10" s="963" t="str" cm="1">
        <f t="array" ref="AL10">AL25</f>
        <v>Предложение организации</v>
      </c>
      <c r="AM10" s="963" t="str" cm="1">
        <f t="array" ref="AM10">AM25</f>
        <v>Предложение организации</v>
      </c>
      <c r="AN10" s="963" t="str" cm="1">
        <f t="array" ref="AN10">AN25</f>
        <v>Предложение организации</v>
      </c>
      <c r="AO10" s="963" t="str" cm="1">
        <f t="array" ref="AO10">AO25</f>
        <v>Предложение организации</v>
      </c>
      <c r="AP10" s="963" t="str" cm="1">
        <f t="array" ref="AP10">AP25</f>
        <v>Предложение организации</v>
      </c>
      <c r="AQ10" s="963" t="str" cm="1">
        <f t="array" ref="AQ10">AQ25</f>
        <v>Предложение организации</v>
      </c>
      <c r="AR10" s="963" t="str" cm="1">
        <f t="array" ref="AR10">AR25</f>
        <v>Предложение организации</v>
      </c>
      <c r="AS10" s="963" t="str" cm="1">
        <f t="array" ref="AS10">AS25</f>
        <v>Предложение организации</v>
      </c>
      <c r="AT10" s="963" t="str" cm="1">
        <f t="array" ref="AT10">AT25</f>
        <v>Принято органом регулирования</v>
      </c>
      <c r="AU10" s="963" t="str" cm="1">
        <f t="array" ref="AU10">AU25</f>
        <v>Принято органом регулирования</v>
      </c>
      <c r="AV10" s="963" t="str" cm="1">
        <f t="array" ref="AV10">AV25</f>
        <v>Принято органом регулирования</v>
      </c>
      <c r="AW10" s="963" t="str" cm="1">
        <f t="array" ref="AW10">AW25</f>
        <v>Принято органом регулирования</v>
      </c>
      <c r="AX10" s="963" t="str" cm="1">
        <f t="array" ref="AX10">AX25</f>
        <v>Принято органом регулирования</v>
      </c>
      <c r="AY10" s="963" t="str" cm="1">
        <f t="array" ref="AY10">AY25</f>
        <v>Принято органом регулирования</v>
      </c>
      <c r="AZ10" s="963" t="str" cm="1">
        <f t="array" ref="AZ10">AZ25</f>
        <v>Принято органом регулирования</v>
      </c>
      <c r="BA10" s="963" t="str" cm="1">
        <f t="array" ref="BA10">BA25</f>
        <v>Принято органом регулирования</v>
      </c>
      <c r="BB10" s="963" t="str" cm="1">
        <f t="array" ref="BB10">BB25</f>
        <v>Принято органом регулирования</v>
      </c>
      <c r="BC10" s="963" t="str" cm="1">
        <f t="array" ref="BC10">BC25</f>
        <v>Принято органом регулирования</v>
      </c>
      <c r="BD10" s="963"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63" cm="1">
        <f t="array" ref="BE10">BE25</f>
        <v>0</v>
      </c>
      <c r="BF10" s="963" cm="1">
        <f t="array" ref="BF10">BF25</f>
        <v>0</v>
      </c>
      <c r="BG10" s="963" cm="1">
        <f t="array" ref="BG10">BG25</f>
        <v>0</v>
      </c>
      <c r="BH10" s="963" cm="1">
        <f t="array" ref="BH10">BH25</f>
        <v>0</v>
      </c>
      <c r="BI10" s="963" cm="1">
        <f t="array" ref="BI10">BI25</f>
        <v>0</v>
      </c>
      <c r="BJ10" s="963" cm="1">
        <f t="array" ref="BJ10">BJ25</f>
        <v>0</v>
      </c>
      <c r="BK10" s="963" cm="1">
        <f t="array" ref="BK10">BK25</f>
        <v>0</v>
      </c>
      <c r="BL10" s="963" cm="1">
        <f t="array" ref="BL10">BL25</f>
        <v>0</v>
      </c>
      <c r="BM10" s="963" cm="1">
        <f t="array" ref="BM10">BM25</f>
        <v>0</v>
      </c>
      <c r="BV10" s="620"/>
      <c r="BW10" s="620"/>
    </row>
    <row r="11" spans="1:75" s="966" customFormat="1" ht="11.25" hidden="1" customHeight="1">
      <c r="A11" s="899" t="s">
        <v>357</v>
      </c>
      <c r="B11" s="962"/>
      <c r="C11" s="962"/>
      <c r="D11" s="962"/>
      <c r="E11" s="962"/>
      <c r="F11" s="962"/>
      <c r="G11" s="962"/>
      <c r="H11" s="962"/>
      <c r="I11" s="962"/>
      <c r="J11" s="962"/>
      <c r="K11" s="962"/>
      <c r="L11" s="962"/>
      <c r="M11" s="962"/>
      <c r="N11" s="962"/>
      <c r="O11" s="962"/>
      <c r="P11" s="962"/>
      <c r="Q11" s="962"/>
      <c r="R11" s="962"/>
      <c r="S11" s="962"/>
      <c r="T11" s="962"/>
      <c r="U11" s="962"/>
      <c r="V11" s="962"/>
      <c r="W11" s="962"/>
      <c r="X11" s="962"/>
      <c r="Y11" s="962"/>
      <c r="Z11" s="962"/>
      <c r="AA11" s="962"/>
      <c r="AB11" s="962"/>
      <c r="AC11" s="962"/>
      <c r="AD11" s="962"/>
      <c r="AE11" s="963"/>
      <c r="BN11" s="966" t="str" cm="1">
        <f t="array" ref="BN11">BN24</f>
        <v>Указание на подтверждающие документы / URL-ссылка на копии подтверждающих документов</v>
      </c>
      <c r="BO11" s="966" t="str" cm="1">
        <f t="array" ref="BO11">BO24</f>
        <v>Ссылка на правовую норму (основание для принятия показателя в расчет тарифа)</v>
      </c>
      <c r="BP11" s="966"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620"/>
      <c r="BW11" s="620"/>
    </row>
    <row r="12" spans="1:75" s="966" customFormat="1" ht="11.25" hidden="1" customHeight="1">
      <c r="A12" s="964" t="s">
        <v>329</v>
      </c>
      <c r="B12" s="962"/>
      <c r="C12" s="962"/>
      <c r="D12" s="962"/>
      <c r="E12" s="962"/>
      <c r="F12" s="962"/>
      <c r="G12" s="962"/>
      <c r="H12" s="962"/>
      <c r="I12" s="962"/>
      <c r="J12" s="962"/>
      <c r="K12" s="962"/>
      <c r="L12" s="962"/>
      <c r="M12" s="962"/>
      <c r="N12" s="962"/>
      <c r="O12" s="962"/>
      <c r="P12" s="962"/>
      <c r="Q12" s="962"/>
      <c r="R12" s="962"/>
      <c r="S12" s="962"/>
      <c r="T12" s="962"/>
      <c r="U12" s="962"/>
      <c r="V12" s="962"/>
      <c r="W12" s="962"/>
      <c r="X12" s="962"/>
      <c r="Y12" s="962"/>
      <c r="Z12" s="962"/>
      <c r="AA12" s="962"/>
      <c r="AB12" s="962"/>
      <c r="AC12" s="964" t="s">
        <v>316</v>
      </c>
      <c r="AD12" s="962"/>
      <c r="AE12" s="963"/>
      <c r="BV12" s="620"/>
      <c r="BW12" s="620"/>
    </row>
    <row r="13" spans="1:75" ht="11.25" hidden="1" customHeight="1">
      <c r="A13" s="77" t="s">
        <v>1540</v>
      </c>
      <c r="BN13" s="77" t="str" cm="1">
        <f t="array" ref="BN13">BN24</f>
        <v>Указание на подтверждающие документы / URL-ссылка на копии подтверждающих документов</v>
      </c>
      <c r="BO13" s="77" t="str" cm="1">
        <f t="array" ref="BO13">BO24</f>
        <v>Ссылка на правовую норму (основание для принятия показателя в расчет тарифа)</v>
      </c>
      <c r="BP13" s="77"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7" t="s">
        <v>358</v>
      </c>
      <c r="AC18" s="76" t="s">
        <v>359</v>
      </c>
    </row>
    <row r="19" spans="1:75" ht="11.25" hidden="1" customHeight="1"/>
    <row r="20" spans="1:75" ht="11.25" hidden="1" customHeight="1"/>
    <row r="21" spans="1:75" ht="14.65" customHeight="1">
      <c r="E21" s="620">
        <v>15</v>
      </c>
      <c r="AA21" s="342"/>
      <c r="AB21" s="77"/>
      <c r="AC21" s="3" t="str" cm="1">
        <f t="array" ref="AC21">tpl_title</f>
        <v>Кемеровская область / 2026 / ОАО «СКЭК» (ИНН:4205153492, КПП:420501001) / ДПР: 2026-2026</v>
      </c>
      <c r="AD21" s="77"/>
    </row>
    <row r="22" spans="1:75" s="1198" customFormat="1" ht="19.5" customHeight="1">
      <c r="B22" s="349"/>
      <c r="E22" s="538">
        <v>20</v>
      </c>
      <c r="AB22" s="232" t="s">
        <v>79</v>
      </c>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S22" s="968"/>
      <c r="BT22" s="968"/>
      <c r="BU22" s="968"/>
      <c r="BV22" s="538"/>
      <c r="BW22" s="538"/>
    </row>
    <row r="23" spans="1:75" s="1198" customFormat="1" ht="10.15" customHeight="1">
      <c r="B23" s="349"/>
      <c r="E23" s="538">
        <v>10.5</v>
      </c>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S23" s="968"/>
      <c r="BT23" s="968"/>
      <c r="BU23" s="968"/>
      <c r="BV23" s="538"/>
      <c r="BW23" s="538"/>
    </row>
    <row r="24" spans="1:75" s="883" customFormat="1" ht="24.2" customHeight="1">
      <c r="B24" s="350"/>
      <c r="E24" s="621">
        <v>24.75</v>
      </c>
      <c r="AB24" s="1761" t="s">
        <v>21</v>
      </c>
      <c r="AC24" s="1761" t="s">
        <v>359</v>
      </c>
      <c r="AD24" s="1761" t="s">
        <v>360</v>
      </c>
      <c r="AE24" s="10" t="str">
        <f>god-2&amp;" год"</f>
        <v>2024 год</v>
      </c>
      <c r="AF24" s="1021" t="str">
        <f>god-2&amp;" год"</f>
        <v>2024 год</v>
      </c>
      <c r="AG24" s="10" t="str">
        <f>god-2&amp;" год"</f>
        <v>2024 год</v>
      </c>
      <c r="AH24" s="10" t="str">
        <f>god-2&amp;" год"</f>
        <v>2024 год</v>
      </c>
      <c r="AI24" s="10" t="str">
        <f>god-1&amp;" год"</f>
        <v>2025 год</v>
      </c>
      <c r="AJ24" s="1019" t="str">
        <f>god&amp;" год"</f>
        <v>2026 год</v>
      </c>
      <c r="AK24" s="1019" t="str">
        <f>god+1&amp;" год"</f>
        <v>2027 год</v>
      </c>
      <c r="AL24" s="1019" t="str">
        <f>god+2&amp;" год"</f>
        <v>2028 год</v>
      </c>
      <c r="AM24" s="1019" t="str">
        <f>god+3&amp;" год"</f>
        <v>2029 год</v>
      </c>
      <c r="AN24" s="1019" t="str">
        <f>god+4&amp;" год"</f>
        <v>2030 год</v>
      </c>
      <c r="AO24" s="1019" t="str">
        <f>god+5&amp;" год"</f>
        <v>2031 год</v>
      </c>
      <c r="AP24" s="1019" t="str">
        <f>god+6&amp;" год"</f>
        <v>2032 год</v>
      </c>
      <c r="AQ24" s="1019" t="str">
        <f>god+7&amp;" год"</f>
        <v>2033 год</v>
      </c>
      <c r="AR24" s="1019" t="str">
        <f>god+8&amp;" год"</f>
        <v>2034 год</v>
      </c>
      <c r="AS24" s="1019"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781" t="s">
        <v>1543</v>
      </c>
      <c r="BO24" s="1781" t="s">
        <v>494</v>
      </c>
      <c r="BP24" s="1781" t="s">
        <v>1544</v>
      </c>
      <c r="BS24" s="969"/>
      <c r="BT24" s="969"/>
      <c r="BU24" s="969"/>
      <c r="BV24" s="621"/>
      <c r="BW24" s="621"/>
    </row>
    <row r="25" spans="1:75" s="883" customFormat="1" ht="48.95" customHeight="1">
      <c r="B25" s="350"/>
      <c r="E25" s="621">
        <v>50.25</v>
      </c>
      <c r="AB25" s="1761"/>
      <c r="AC25" s="1761"/>
      <c r="AD25" s="1761"/>
      <c r="AE25" s="10" t="s">
        <v>352</v>
      </c>
      <c r="AF25" s="1021" t="s">
        <v>417</v>
      </c>
      <c r="AG25" s="10" t="s">
        <v>418</v>
      </c>
      <c r="AH25" s="10" t="s">
        <v>1545</v>
      </c>
      <c r="AI25" s="10" t="s">
        <v>352</v>
      </c>
      <c r="AJ25" s="1023" t="s">
        <v>353</v>
      </c>
      <c r="AK25" s="1023" t="s">
        <v>353</v>
      </c>
      <c r="AL25" s="1023" t="s">
        <v>353</v>
      </c>
      <c r="AM25" s="1023" t="s">
        <v>353</v>
      </c>
      <c r="AN25" s="1023" t="s">
        <v>353</v>
      </c>
      <c r="AO25" s="1023" t="s">
        <v>353</v>
      </c>
      <c r="AP25" s="1023" t="s">
        <v>353</v>
      </c>
      <c r="AQ25" s="1023" t="s">
        <v>353</v>
      </c>
      <c r="AR25" s="1023" t="s">
        <v>353</v>
      </c>
      <c r="AS25" s="1023" t="s">
        <v>353</v>
      </c>
      <c r="AT25" s="272" t="s">
        <v>352</v>
      </c>
      <c r="AU25" s="272" t="s">
        <v>352</v>
      </c>
      <c r="AV25" s="272" t="s">
        <v>352</v>
      </c>
      <c r="AW25" s="272" t="s">
        <v>352</v>
      </c>
      <c r="AX25" s="272" t="s">
        <v>352</v>
      </c>
      <c r="AY25" s="272" t="s">
        <v>352</v>
      </c>
      <c r="AZ25" s="272" t="s">
        <v>352</v>
      </c>
      <c r="BA25" s="272" t="s">
        <v>352</v>
      </c>
      <c r="BB25" s="272" t="s">
        <v>352</v>
      </c>
      <c r="BC25" s="272" t="s">
        <v>352</v>
      </c>
      <c r="BD25" s="1781" t="s">
        <v>1542</v>
      </c>
      <c r="BE25" s="1781"/>
      <c r="BF25" s="1781"/>
      <c r="BG25" s="1781"/>
      <c r="BH25" s="1781"/>
      <c r="BI25" s="1781"/>
      <c r="BJ25" s="1781"/>
      <c r="BK25" s="1781"/>
      <c r="BL25" s="1781"/>
      <c r="BM25" s="1781"/>
      <c r="BN25" s="1781"/>
      <c r="BO25" s="1781"/>
      <c r="BP25" s="1781"/>
      <c r="BS25" s="969"/>
      <c r="BT25" s="969"/>
      <c r="BU25" s="969"/>
      <c r="BV25" s="621"/>
      <c r="BW25" s="621"/>
    </row>
    <row r="26" spans="1:75" s="1327" customFormat="1" ht="11.25" customHeight="1">
      <c r="B26" s="347"/>
      <c r="E26" s="588" t="s">
        <v>363</v>
      </c>
      <c r="F26" s="91" t="s">
        <v>1763</v>
      </c>
      <c r="R26"/>
      <c r="S26" s="659" t="s">
        <v>364</v>
      </c>
      <c r="T26"/>
      <c r="AC26" s="19"/>
      <c r="AD26" s="19"/>
      <c r="AE26" s="19"/>
      <c r="AF26" s="19"/>
      <c r="AQ26" s="20"/>
      <c r="BS26" s="906"/>
      <c r="BT26" s="906"/>
      <c r="BU26" s="906"/>
      <c r="BV26" s="541"/>
      <c r="BW26" s="541"/>
    </row>
    <row r="27" spans="1:75" s="1210" customFormat="1" ht="14.65" hidden="1" customHeight="1">
      <c r="B27" s="345"/>
      <c r="E27" s="535">
        <v>15</v>
      </c>
      <c r="F27" s="17" cm="1">
        <f t="array" ref="F27">X27</f>
        <v>0</v>
      </c>
      <c r="G27" s="17" cm="1">
        <f t="array" ref="G27">INDEX('Общие сведения'!$AK$179:$AK$208,MATCH($X27,'Общие сведения'!$Z$179:$Z$208,0))</f>
        <v>0</v>
      </c>
      <c r="I27" s="17"/>
      <c r="L27" s="884"/>
      <c r="M27" s="343"/>
      <c r="S27" s="41" cm="1">
        <f t="array" ref="S27">INDEX('Общие сведения'!$AE$179:$AE$208,MATCH($X27,'Общие сведения'!$Z$179:$Z$208,0))</f>
        <v>0</v>
      </c>
      <c r="T27" s="381" t="b">
        <f>X27&gt;0</f>
        <v>0</v>
      </c>
      <c r="V27" s="41" t="s">
        <v>270</v>
      </c>
      <c r="X27" s="1755">
        <v>0</v>
      </c>
      <c r="Z27" s="1735"/>
      <c r="AB27" s="293" t="str" cm="1">
        <f t="array" ref="AB27">INDEX('Общие сведения'!$AG$179:$AG$208,MATCH($X27,'Общие сведения'!$Z$179:$Z$208,0))</f>
        <v xml:space="preserve">Тариф 0 () - </v>
      </c>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S27" s="899"/>
      <c r="BT27" s="899"/>
      <c r="BU27" s="899"/>
      <c r="BV27" s="535"/>
      <c r="BW27" s="535"/>
    </row>
    <row r="28" spans="1:75" s="80" customFormat="1" ht="20.45" hidden="1" customHeight="1">
      <c r="B28" s="351"/>
      <c r="E28" s="622">
        <v>21</v>
      </c>
      <c r="F28" s="3" cm="1">
        <f t="array" aca="1" ref="F28" ca="1">OFFSET(E28,-1,1)</f>
        <v>0</v>
      </c>
      <c r="H28" s="289"/>
      <c r="I28" s="289" t="s">
        <v>323</v>
      </c>
      <c r="K28" s="289" t="s">
        <v>323</v>
      </c>
      <c r="L28" s="885"/>
      <c r="M28" s="769"/>
      <c r="R28" s="80" t="s">
        <v>2044</v>
      </c>
      <c r="T28" s="381" t="b" cm="1">
        <f t="array" ref="T28">T27</f>
        <v>0</v>
      </c>
      <c r="X28" s="1755"/>
      <c r="Z28" s="1735"/>
      <c r="AB28" s="165" t="s">
        <v>281</v>
      </c>
      <c r="AC28" s="130" t="s">
        <v>1764</v>
      </c>
      <c r="AD28" s="152" t="s">
        <v>766</v>
      </c>
      <c r="AE28" s="675">
        <f ca="1">SUM(AE30,AE47,AE53,AE73,AE74,AE75)</f>
        <v>0</v>
      </c>
      <c r="AF28" s="675">
        <f ca="1">SUM(AF30,AF47,AF53,AF73,AF74,AF75)</f>
        <v>0</v>
      </c>
      <c r="AG28" s="675">
        <f ca="1">SUM(AG30,AG47,AG53,AG73,AG74,AG75)</f>
        <v>0</v>
      </c>
      <c r="AH28" s="675">
        <f t="shared" ref="AH28:AH59" ca="1" si="2">AG28-AF28</f>
        <v>0</v>
      </c>
      <c r="AI28" s="1146">
        <f ca="1">AE28*AI29</f>
        <v>0</v>
      </c>
      <c r="AJ28" s="1475">
        <f t="shared" ref="AJ28:AS28" ca="1" si="3">AI28*AJ29</f>
        <v>0</v>
      </c>
      <c r="AK28" s="1146">
        <f t="shared" ca="1" si="3"/>
        <v>0</v>
      </c>
      <c r="AL28" s="1146">
        <f t="shared" ca="1" si="3"/>
        <v>0</v>
      </c>
      <c r="AM28" s="1146">
        <f t="shared" ca="1" si="3"/>
        <v>0</v>
      </c>
      <c r="AN28" s="1146">
        <f t="shared" ca="1" si="3"/>
        <v>0</v>
      </c>
      <c r="AO28" s="1146">
        <f t="shared" ca="1" si="3"/>
        <v>0</v>
      </c>
      <c r="AP28" s="1146">
        <f t="shared" ca="1" si="3"/>
        <v>0</v>
      </c>
      <c r="AQ28" s="1146">
        <f t="shared" ca="1" si="3"/>
        <v>0</v>
      </c>
      <c r="AR28" s="1146">
        <f t="shared" ca="1" si="3"/>
        <v>0</v>
      </c>
      <c r="AS28" s="1146">
        <f t="shared" ca="1" si="3"/>
        <v>0</v>
      </c>
      <c r="AT28" s="1475">
        <f ca="1">AI28*AT29</f>
        <v>0</v>
      </c>
      <c r="AU28" s="1146">
        <f t="shared" ref="AU28:BC28" ca="1" si="4">AT28*AU29</f>
        <v>0</v>
      </c>
      <c r="AV28" s="1146">
        <f t="shared" ca="1" si="4"/>
        <v>0</v>
      </c>
      <c r="AW28" s="1146">
        <f t="shared" ca="1" si="4"/>
        <v>0</v>
      </c>
      <c r="AX28" s="1146">
        <f t="shared" ca="1" si="4"/>
        <v>0</v>
      </c>
      <c r="AY28" s="1146">
        <f t="shared" ca="1" si="4"/>
        <v>0</v>
      </c>
      <c r="AZ28" s="1146">
        <f t="shared" ca="1" si="4"/>
        <v>0</v>
      </c>
      <c r="BA28" s="1146">
        <f t="shared" ca="1" si="4"/>
        <v>0</v>
      </c>
      <c r="BB28" s="1146">
        <f t="shared" ca="1" si="4"/>
        <v>0</v>
      </c>
      <c r="BC28" s="1146">
        <f t="shared" ca="1" si="4"/>
        <v>0</v>
      </c>
      <c r="BD28" s="675">
        <f ca="1">IF(AI28=0,0,(AT28-AI28)/AI28*100)</f>
        <v>0</v>
      </c>
      <c r="BE28" s="675">
        <f t="shared" ref="BE28:BM28" ca="1" si="5">IF(AT28=0,0,(AU28-AT28)/AT28*100)</f>
        <v>0</v>
      </c>
      <c r="BF28" s="675">
        <f t="shared" ca="1" si="5"/>
        <v>0</v>
      </c>
      <c r="BG28" s="675">
        <f t="shared" ca="1" si="5"/>
        <v>0</v>
      </c>
      <c r="BH28" s="675">
        <f t="shared" ca="1" si="5"/>
        <v>0</v>
      </c>
      <c r="BI28" s="675">
        <f t="shared" ca="1" si="5"/>
        <v>0</v>
      </c>
      <c r="BJ28" s="675">
        <f t="shared" ca="1" si="5"/>
        <v>0</v>
      </c>
      <c r="BK28" s="675">
        <f t="shared" ca="1" si="5"/>
        <v>0</v>
      </c>
      <c r="BL28" s="675">
        <f t="shared" ca="1" si="5"/>
        <v>0</v>
      </c>
      <c r="BM28" s="675">
        <f t="shared" ca="1" si="5"/>
        <v>0</v>
      </c>
      <c r="BN28" s="1151"/>
      <c r="BO28" s="1151"/>
      <c r="BP28" s="1151"/>
      <c r="BQ28" s="79"/>
      <c r="BS28" s="970" t="s">
        <v>491</v>
      </c>
      <c r="BT28" s="970"/>
      <c r="BU28" s="970"/>
      <c r="BV28" s="622"/>
      <c r="BW28" s="622"/>
    </row>
    <row r="29" spans="1:75" ht="14.65" hidden="1" customHeight="1">
      <c r="E29" s="620">
        <v>15</v>
      </c>
      <c r="F29" s="3" cm="1">
        <f t="array" aca="1" ref="F29" ca="1">OFFSET(E29,-1,1)</f>
        <v>0</v>
      </c>
      <c r="H29" s="290"/>
      <c r="I29" s="290" t="s">
        <v>427</v>
      </c>
      <c r="K29" s="290" t="s">
        <v>427</v>
      </c>
      <c r="L29" s="882"/>
      <c r="M29" s="26"/>
      <c r="R29" s="80" t="s">
        <v>2044</v>
      </c>
      <c r="T29" s="381" t="b" cm="1">
        <f t="array" ref="T29">T28</f>
        <v>0</v>
      </c>
      <c r="X29" s="1755"/>
      <c r="Z29" s="1735"/>
      <c r="AB29" s="215" t="s">
        <v>821</v>
      </c>
      <c r="AC29" s="676" t="s">
        <v>1765</v>
      </c>
      <c r="AD29" s="216"/>
      <c r="AE29" s="1152"/>
      <c r="AF29" s="1152"/>
      <c r="AG29" s="1152"/>
      <c r="AH29" s="846">
        <f t="shared" si="2"/>
        <v>0</v>
      </c>
      <c r="AI29" s="1152">
        <f ca="1">SUMIFS(INDEX(Сценарии!$AE$25:$BF$82,,MATCH(AI$8,Сценарии!$AE$8:$BF$8,0)),Сценарии!$F$25:$F$82,$F29,Сценарии!$G$25:$G$82,"ИОР")</f>
        <v>1</v>
      </c>
      <c r="AJ29" s="1502">
        <f ca="1">SUMIFS(INDEX(Сценарии!$AE$25:$BF$82,,MATCH(AJ$8,Сценарии!$AE$8:$BF$8,0)),Сценарии!$F$25:$F$82,$F29,Сценарии!$G$25:$G$82,"ИОР")</f>
        <v>1</v>
      </c>
      <c r="AK29" s="1152">
        <f ca="1">SUMIFS(INDEX(Сценарии!$AE$25:$BF$82,,MATCH(AK$8,Сценарии!$AE$8:$BF$8,0)),Сценарии!$F$25:$F$82,$F29,Сценарии!$G$25:$G$82,"ИОР")</f>
        <v>1</v>
      </c>
      <c r="AL29" s="1152">
        <f ca="1">SUMIFS(INDEX(Сценарии!$AE$25:$BF$82,,MATCH(AL$8,Сценарии!$AE$8:$BF$8,0)),Сценарии!$F$25:$F$82,$F29,Сценарии!$G$25:$G$82,"ИОР")</f>
        <v>1</v>
      </c>
      <c r="AM29" s="1152">
        <f ca="1">SUMIFS(INDEX(Сценарии!$AE$25:$BF$82,,MATCH(AM$8,Сценарии!$AE$8:$BF$8,0)),Сценарии!$F$25:$F$82,$F29,Сценарии!$G$25:$G$82,"ИОР")</f>
        <v>1</v>
      </c>
      <c r="AN29" s="1152">
        <f ca="1">SUMIFS(INDEX(Сценарии!$AE$25:$BF$82,,MATCH(AN$8,Сценарии!$AE$8:$BF$8,0)),Сценарии!$F$25:$F$82,$F29,Сценарии!$G$25:$G$82,"ИОР")</f>
        <v>1</v>
      </c>
      <c r="AO29" s="1152">
        <f ca="1">SUMIFS(INDEX(Сценарии!$AE$25:$BF$82,,MATCH(AO$8,Сценарии!$AE$8:$BF$8,0)),Сценарии!$F$25:$F$82,$F29,Сценарии!$G$25:$G$82,"ИОР")</f>
        <v>1</v>
      </c>
      <c r="AP29" s="1152">
        <f ca="1">SUMIFS(INDEX(Сценарии!$AE$25:$BF$82,,MATCH(AP$8,Сценарии!$AE$8:$BF$8,0)),Сценарии!$F$25:$F$82,$F29,Сценарии!$G$25:$G$82,"ИОР")</f>
        <v>1</v>
      </c>
      <c r="AQ29" s="1152">
        <f ca="1">SUMIFS(INDEX(Сценарии!$AE$25:$BF$82,,MATCH(AQ$8,Сценарии!$AE$8:$BF$8,0)),Сценарии!$F$25:$F$82,$F29,Сценарии!$G$25:$G$82,"ИОР")</f>
        <v>1</v>
      </c>
      <c r="AR29" s="1152">
        <f ca="1">SUMIFS(INDEX(Сценарии!$AE$25:$BF$82,,MATCH(AR$8,Сценарии!$AE$8:$BF$8,0)),Сценарии!$F$25:$F$82,$F29,Сценарии!$G$25:$G$82,"ИОР")</f>
        <v>1</v>
      </c>
      <c r="AS29" s="1152">
        <f ca="1">SUMIFS(INDEX(Сценарии!$AE$25:$BF$82,,MATCH(AS$8,Сценарии!$AE$8:$BF$8,0)),Сценарии!$F$25:$F$82,$F29,Сценарии!$G$25:$G$82,"ИОР")</f>
        <v>1</v>
      </c>
      <c r="AT29" s="1502">
        <f ca="1">SUMIFS(INDEX(Сценарии!$AE$25:$BF$82,,MATCH(AT$8,Сценарии!$AE$8:$BF$8,0)),Сценарии!$F$25:$F$82,$F29,Сценарии!$G$25:$G$82,"ИОР")</f>
        <v>1</v>
      </c>
      <c r="AU29" s="1152">
        <f ca="1">SUMIFS(INDEX(Сценарии!$AE$25:$BF$82,,MATCH(AU$8,Сценарии!$AE$8:$BF$8,0)),Сценарии!$F$25:$F$82,$F29,Сценарии!$G$25:$G$82,"ИОР")</f>
        <v>1</v>
      </c>
      <c r="AV29" s="1152">
        <f ca="1">SUMIFS(INDEX(Сценарии!$AE$25:$BF$82,,MATCH(AV$8,Сценарии!$AE$8:$BF$8,0)),Сценарии!$F$25:$F$82,$F29,Сценарии!$G$25:$G$82,"ИОР")</f>
        <v>1</v>
      </c>
      <c r="AW29" s="1152">
        <f ca="1">SUMIFS(INDEX(Сценарии!$AE$25:$BF$82,,MATCH(AW$8,Сценарии!$AE$8:$BF$8,0)),Сценарии!$F$25:$F$82,$F29,Сценарии!$G$25:$G$82,"ИОР")</f>
        <v>1</v>
      </c>
      <c r="AX29" s="1152">
        <f ca="1">SUMIFS(INDEX(Сценарии!$AE$25:$BF$82,,MATCH(AX$8,Сценарии!$AE$8:$BF$8,0)),Сценарии!$F$25:$F$82,$F29,Сценарии!$G$25:$G$82,"ИОР")</f>
        <v>1</v>
      </c>
      <c r="AY29" s="1152">
        <f ca="1">SUMIFS(INDEX(Сценарии!$AE$25:$BF$82,,MATCH(AY$8,Сценарии!$AE$8:$BF$8,0)),Сценарии!$F$25:$F$82,$F29,Сценарии!$G$25:$G$82,"ИОР")</f>
        <v>1</v>
      </c>
      <c r="AZ29" s="1152">
        <f ca="1">SUMIFS(INDEX(Сценарии!$AE$25:$BF$82,,MATCH(AZ$8,Сценарии!$AE$8:$BF$8,0)),Сценарии!$F$25:$F$82,$F29,Сценарии!$G$25:$G$82,"ИОР")</f>
        <v>1</v>
      </c>
      <c r="BA29" s="1152">
        <f ca="1">SUMIFS(INDEX(Сценарии!$AE$25:$BF$82,,MATCH(BA$8,Сценарии!$AE$8:$BF$8,0)),Сценарии!$F$25:$F$82,$F29,Сценарии!$G$25:$G$82,"ИОР")</f>
        <v>1</v>
      </c>
      <c r="BB29" s="1152">
        <f ca="1">SUMIFS(INDEX(Сценарии!$AE$25:$BF$82,,MATCH(BB$8,Сценарии!$AE$8:$BF$8,0)),Сценарии!$F$25:$F$82,$F29,Сценарии!$G$25:$G$82,"ИОР")</f>
        <v>1</v>
      </c>
      <c r="BC29" s="1152">
        <f ca="1">SUMIFS(INDEX(Сценарии!$AE$25:$BF$82,,MATCH(BC$8,Сценарии!$AE$8:$BF$8,0)),Сценарии!$F$25:$F$82,$F29,Сценарии!$G$25:$G$82,"ИОР")</f>
        <v>1</v>
      </c>
      <c r="BD29" s="847"/>
      <c r="BE29" s="847"/>
      <c r="BF29" s="847"/>
      <c r="BG29" s="847"/>
      <c r="BH29" s="847"/>
      <c r="BI29" s="847"/>
      <c r="BJ29" s="847"/>
      <c r="BK29" s="847"/>
      <c r="BL29" s="847"/>
      <c r="BM29" s="847"/>
      <c r="BN29" s="1151"/>
      <c r="BO29" s="1151"/>
      <c r="BP29" s="1151"/>
      <c r="BS29" s="966" t="s">
        <v>1766</v>
      </c>
    </row>
    <row r="30" spans="1:75" s="79" customFormat="1" ht="20.45" hidden="1" customHeight="1">
      <c r="B30" s="351"/>
      <c r="E30" s="623">
        <v>21</v>
      </c>
      <c r="F30" s="3" cm="1">
        <f t="array" aca="1" ref="F30" ca="1">OFFSET(E30,-1,1)</f>
        <v>0</v>
      </c>
      <c r="H30" s="289"/>
      <c r="I30" s="289" t="s">
        <v>431</v>
      </c>
      <c r="K30" s="289" t="s">
        <v>431</v>
      </c>
      <c r="L30" s="886" t="s">
        <v>323</v>
      </c>
      <c r="M30" s="772"/>
      <c r="Q30" s="77" t="s">
        <v>2044</v>
      </c>
      <c r="R30" s="80" t="s">
        <v>2044</v>
      </c>
      <c r="T30" s="381" t="b" cm="1">
        <f t="array" ref="T30">T29</f>
        <v>0</v>
      </c>
      <c r="X30" s="1755"/>
      <c r="Z30" s="1735"/>
      <c r="AB30" s="165" t="s">
        <v>824</v>
      </c>
      <c r="AC30" s="273" t="s">
        <v>1546</v>
      </c>
      <c r="AD30" s="152" t="s">
        <v>766</v>
      </c>
      <c r="AE30" s="675">
        <f ca="1">SUM(AE31,AE34,AE35,AE38,AE39)</f>
        <v>0</v>
      </c>
      <c r="AF30" s="675">
        <f ca="1">SUM(AF31,AF34,AF35,AF38,AF39)</f>
        <v>0</v>
      </c>
      <c r="AG30" s="675">
        <f ca="1">SUM(AG31,AG34,AG35,AG38,AG39)</f>
        <v>0</v>
      </c>
      <c r="AH30" s="675">
        <f t="shared" ca="1" si="2"/>
        <v>0</v>
      </c>
      <c r="AI30" s="1503">
        <f ca="1">SUM(AI31,AI34,AI35,AI38,AI39)</f>
        <v>0</v>
      </c>
      <c r="AJ30" s="1502"/>
      <c r="AK30" s="678"/>
      <c r="AL30" s="678"/>
      <c r="AM30" s="678"/>
      <c r="AN30" s="678"/>
      <c r="AO30" s="678"/>
      <c r="AP30" s="678"/>
      <c r="AQ30" s="678"/>
      <c r="AR30" s="678"/>
      <c r="AS30" s="678"/>
      <c r="AT30" s="678"/>
      <c r="AU30" s="678"/>
      <c r="AV30" s="678"/>
      <c r="AW30" s="678"/>
      <c r="AX30" s="678"/>
      <c r="AY30" s="678"/>
      <c r="AZ30" s="678"/>
      <c r="BA30" s="678"/>
      <c r="BB30" s="678"/>
      <c r="BC30" s="678"/>
      <c r="BD30" s="678"/>
      <c r="BE30" s="678"/>
      <c r="BF30" s="678"/>
      <c r="BG30" s="678"/>
      <c r="BH30" s="678"/>
      <c r="BI30" s="678"/>
      <c r="BJ30" s="678"/>
      <c r="BK30" s="678"/>
      <c r="BL30" s="678"/>
      <c r="BM30" s="678"/>
      <c r="BN30" s="1147"/>
      <c r="BO30" s="1147"/>
      <c r="BP30" s="1147"/>
      <c r="BS30" s="964" t="s">
        <v>484</v>
      </c>
      <c r="BT30" s="971"/>
      <c r="BU30" s="971"/>
      <c r="BV30" s="623"/>
      <c r="BW30" s="623"/>
    </row>
    <row r="31" spans="1:75" ht="14.65" hidden="1" customHeight="1">
      <c r="E31" s="620">
        <v>15</v>
      </c>
      <c r="F31" s="3" cm="1">
        <f t="array" aca="1" ref="F31" ca="1">OFFSET(E31,-1,1)</f>
        <v>0</v>
      </c>
      <c r="H31" s="290"/>
      <c r="I31" s="290" t="s">
        <v>1186</v>
      </c>
      <c r="K31" s="290" t="s">
        <v>1186</v>
      </c>
      <c r="L31" s="882" t="s">
        <v>427</v>
      </c>
      <c r="M31" s="26"/>
      <c r="Q31" s="77" t="s">
        <v>2044</v>
      </c>
      <c r="R31" s="80" t="s">
        <v>2044</v>
      </c>
      <c r="T31" s="381" t="b" cm="1">
        <f t="array" ref="T31">T30</f>
        <v>0</v>
      </c>
      <c r="X31" s="1755"/>
      <c r="Z31" s="1735"/>
      <c r="AB31" s="215" t="s">
        <v>1187</v>
      </c>
      <c r="AC31" s="679" t="s">
        <v>1767</v>
      </c>
      <c r="AD31" s="680" t="s">
        <v>766</v>
      </c>
      <c r="AE31" s="848">
        <f>SUM(AE32,AE33)</f>
        <v>0</v>
      </c>
      <c r="AF31" s="848">
        <f>SUM(AF32,AF33)</f>
        <v>0</v>
      </c>
      <c r="AG31" s="848">
        <f>SUM(AG32,AG33)</f>
        <v>0</v>
      </c>
      <c r="AH31" s="848">
        <f t="shared" si="2"/>
        <v>0</v>
      </c>
      <c r="AI31" s="1504">
        <f>SUM(AI32,AI33)</f>
        <v>0</v>
      </c>
      <c r="AJ31" s="1502"/>
      <c r="AK31" s="847"/>
      <c r="AL31" s="847"/>
      <c r="AM31" s="847"/>
      <c r="AN31" s="847"/>
      <c r="AO31" s="847"/>
      <c r="AP31" s="847"/>
      <c r="AQ31" s="847"/>
      <c r="AR31" s="847"/>
      <c r="AS31" s="847"/>
      <c r="AT31" s="847"/>
      <c r="AU31" s="847"/>
      <c r="AV31" s="847"/>
      <c r="AW31" s="847"/>
      <c r="AX31" s="847"/>
      <c r="AY31" s="847"/>
      <c r="AZ31" s="847"/>
      <c r="BA31" s="847"/>
      <c r="BB31" s="847"/>
      <c r="BC31" s="847"/>
      <c r="BD31" s="847"/>
      <c r="BE31" s="847"/>
      <c r="BF31" s="847"/>
      <c r="BG31" s="847"/>
      <c r="BH31" s="847"/>
      <c r="BI31" s="847"/>
      <c r="BJ31" s="847"/>
      <c r="BK31" s="847"/>
      <c r="BL31" s="847"/>
      <c r="BM31" s="847"/>
      <c r="BN31" s="1151"/>
      <c r="BO31" s="1151"/>
      <c r="BP31" s="1151"/>
      <c r="BQ31" s="29"/>
      <c r="BS31" s="965" t="s">
        <v>1548</v>
      </c>
    </row>
    <row r="32" spans="1:75" ht="14.65" hidden="1" customHeight="1">
      <c r="E32" s="620">
        <v>15</v>
      </c>
      <c r="F32" s="3" cm="1">
        <f t="array" aca="1" ref="F32" ca="1">OFFSET(E32,-1,1)</f>
        <v>0</v>
      </c>
      <c r="H32" s="290"/>
      <c r="I32" s="290" t="s">
        <v>1768</v>
      </c>
      <c r="K32" s="290" t="s">
        <v>1768</v>
      </c>
      <c r="L32" s="882" t="s">
        <v>928</v>
      </c>
      <c r="M32" s="26"/>
      <c r="Q32" s="77" t="s">
        <v>2044</v>
      </c>
      <c r="R32" s="80" t="s">
        <v>2044</v>
      </c>
      <c r="T32" s="381" t="b" cm="1">
        <f t="array" ref="T32">T31</f>
        <v>0</v>
      </c>
      <c r="X32" s="1755"/>
      <c r="Z32" s="1735"/>
      <c r="AB32" s="215" t="s">
        <v>1769</v>
      </c>
      <c r="AC32" s="682" t="s">
        <v>1551</v>
      </c>
      <c r="AD32" s="680" t="s">
        <v>766</v>
      </c>
      <c r="AE32" s="1153"/>
      <c r="AF32" s="1153"/>
      <c r="AG32" s="1153"/>
      <c r="AH32" s="848">
        <f t="shared" si="2"/>
        <v>0</v>
      </c>
      <c r="AI32" s="1505"/>
      <c r="AJ32" s="1502"/>
      <c r="AK32" s="847"/>
      <c r="AL32" s="847"/>
      <c r="AM32" s="847"/>
      <c r="AN32" s="847"/>
      <c r="AO32" s="847"/>
      <c r="AP32" s="847"/>
      <c r="AQ32" s="847"/>
      <c r="AR32" s="847"/>
      <c r="AS32" s="847"/>
      <c r="AT32" s="847"/>
      <c r="AU32" s="847"/>
      <c r="AV32" s="847"/>
      <c r="AW32" s="847"/>
      <c r="AX32" s="847"/>
      <c r="AY32" s="847"/>
      <c r="AZ32" s="847"/>
      <c r="BA32" s="847"/>
      <c r="BB32" s="847"/>
      <c r="BC32" s="847"/>
      <c r="BD32" s="847"/>
      <c r="BE32" s="847"/>
      <c r="BF32" s="847"/>
      <c r="BG32" s="847"/>
      <c r="BH32" s="847"/>
      <c r="BI32" s="847"/>
      <c r="BJ32" s="847"/>
      <c r="BK32" s="847"/>
      <c r="BL32" s="847"/>
      <c r="BM32" s="847"/>
      <c r="BN32" s="1151"/>
      <c r="BO32" s="1151"/>
      <c r="BP32" s="1151"/>
      <c r="BS32" s="964" t="s">
        <v>1552</v>
      </c>
    </row>
    <row r="33" spans="2:75" ht="14.65" hidden="1" customHeight="1">
      <c r="E33" s="620">
        <v>15</v>
      </c>
      <c r="F33" s="3" cm="1">
        <f t="array" aca="1" ref="F33" ca="1">OFFSET(E33,-1,1)</f>
        <v>0</v>
      </c>
      <c r="H33" s="290"/>
      <c r="I33" s="290" t="s">
        <v>1770</v>
      </c>
      <c r="K33" s="290" t="s">
        <v>1770</v>
      </c>
      <c r="L33" s="882" t="s">
        <v>1161</v>
      </c>
      <c r="M33" s="26"/>
      <c r="Q33" s="77" t="s">
        <v>2044</v>
      </c>
      <c r="R33" s="80" t="s">
        <v>2044</v>
      </c>
      <c r="T33" s="381" t="b" cm="1">
        <f t="array" ref="T33">T32</f>
        <v>0</v>
      </c>
      <c r="X33" s="1755"/>
      <c r="Z33" s="1735"/>
      <c r="AB33" s="215" t="s">
        <v>1771</v>
      </c>
      <c r="AC33" s="682" t="s">
        <v>1553</v>
      </c>
      <c r="AD33" s="680" t="s">
        <v>766</v>
      </c>
      <c r="AE33" s="1153"/>
      <c r="AF33" s="1153"/>
      <c r="AG33" s="1153"/>
      <c r="AH33" s="848">
        <f t="shared" si="2"/>
        <v>0</v>
      </c>
      <c r="AI33" s="1505"/>
      <c r="AJ33" s="1502"/>
      <c r="AK33" s="847"/>
      <c r="AL33" s="847"/>
      <c r="AM33" s="847"/>
      <c r="AN33" s="847"/>
      <c r="AO33" s="847"/>
      <c r="AP33" s="847"/>
      <c r="AQ33" s="847"/>
      <c r="AR33" s="847"/>
      <c r="AS33" s="847"/>
      <c r="AT33" s="847"/>
      <c r="AU33" s="847"/>
      <c r="AV33" s="847"/>
      <c r="AW33" s="847"/>
      <c r="AX33" s="847"/>
      <c r="AY33" s="847"/>
      <c r="AZ33" s="847"/>
      <c r="BA33" s="847"/>
      <c r="BB33" s="847"/>
      <c r="BC33" s="847"/>
      <c r="BD33" s="847"/>
      <c r="BE33" s="847"/>
      <c r="BF33" s="847"/>
      <c r="BG33" s="847"/>
      <c r="BH33" s="847"/>
      <c r="BI33" s="847"/>
      <c r="BJ33" s="847"/>
      <c r="BK33" s="847"/>
      <c r="BL33" s="847"/>
      <c r="BM33" s="847"/>
      <c r="BN33" s="1151"/>
      <c r="BO33" s="1151"/>
      <c r="BP33" s="1151"/>
      <c r="BS33" s="964" t="s">
        <v>1554</v>
      </c>
    </row>
    <row r="34" spans="2:75" ht="21.95" hidden="1" customHeight="1">
      <c r="E34" s="620">
        <v>22.5</v>
      </c>
      <c r="F34" s="3" cm="1">
        <f t="array" aca="1" ref="F34" ca="1">OFFSET(E34,-1,1)</f>
        <v>0</v>
      </c>
      <c r="H34" s="290"/>
      <c r="I34" s="290" t="s">
        <v>1189</v>
      </c>
      <c r="K34" s="290" t="s">
        <v>1189</v>
      </c>
      <c r="L34" s="882" t="s">
        <v>434</v>
      </c>
      <c r="M34" s="26"/>
      <c r="Q34" s="77" t="s">
        <v>2044</v>
      </c>
      <c r="R34" s="80" t="s">
        <v>2044</v>
      </c>
      <c r="T34" s="381" t="b" cm="1">
        <f t="array" ref="T34">T33</f>
        <v>0</v>
      </c>
      <c r="X34" s="1755"/>
      <c r="Z34" s="1735"/>
      <c r="AB34" s="215" t="s">
        <v>1190</v>
      </c>
      <c r="AC34" s="679" t="s">
        <v>1772</v>
      </c>
      <c r="AD34" s="680" t="s">
        <v>766</v>
      </c>
      <c r="AE34" s="1153"/>
      <c r="AF34" s="1153"/>
      <c r="AG34" s="1153"/>
      <c r="AH34" s="848">
        <f t="shared" si="2"/>
        <v>0</v>
      </c>
      <c r="AI34" s="1505"/>
      <c r="AJ34" s="1502"/>
      <c r="AK34" s="847"/>
      <c r="AL34" s="847"/>
      <c r="AM34" s="847"/>
      <c r="AN34" s="847"/>
      <c r="AO34" s="847"/>
      <c r="AP34" s="847"/>
      <c r="AQ34" s="847"/>
      <c r="AR34" s="847"/>
      <c r="AS34" s="847"/>
      <c r="AT34" s="847"/>
      <c r="AU34" s="847"/>
      <c r="AV34" s="847"/>
      <c r="AW34" s="847"/>
      <c r="AX34" s="847"/>
      <c r="AY34" s="847"/>
      <c r="AZ34" s="847"/>
      <c r="BA34" s="847"/>
      <c r="BB34" s="847"/>
      <c r="BC34" s="847"/>
      <c r="BD34" s="847"/>
      <c r="BE34" s="847"/>
      <c r="BF34" s="847"/>
      <c r="BG34" s="847"/>
      <c r="BH34" s="847"/>
      <c r="BI34" s="847"/>
      <c r="BJ34" s="847"/>
      <c r="BK34" s="847"/>
      <c r="BL34" s="847"/>
      <c r="BM34" s="847"/>
      <c r="BN34" s="1151"/>
      <c r="BO34" s="1151"/>
      <c r="BP34" s="1151"/>
      <c r="BS34" s="965" t="s">
        <v>1579</v>
      </c>
    </row>
    <row r="35" spans="2:75" ht="21.95" hidden="1" customHeight="1">
      <c r="E35" s="620">
        <v>22.5</v>
      </c>
      <c r="F35" s="3" cm="1">
        <f t="array" aca="1" ref="F35" ca="1">OFFSET(E35,-1,1)</f>
        <v>0</v>
      </c>
      <c r="H35" s="290"/>
      <c r="I35" s="290" t="s">
        <v>1193</v>
      </c>
      <c r="K35" s="290" t="s">
        <v>1193</v>
      </c>
      <c r="L35" s="882" t="s">
        <v>438</v>
      </c>
      <c r="M35" s="26"/>
      <c r="Q35" s="77" t="s">
        <v>2044</v>
      </c>
      <c r="R35" s="80" t="s">
        <v>2044</v>
      </c>
      <c r="T35" s="381" t="b" cm="1">
        <f t="array" ref="T35">T34</f>
        <v>0</v>
      </c>
      <c r="X35" s="1755"/>
      <c r="Z35" s="1735"/>
      <c r="AB35" s="215" t="s">
        <v>1194</v>
      </c>
      <c r="AC35" s="679" t="s">
        <v>1773</v>
      </c>
      <c r="AD35" s="680" t="s">
        <v>766</v>
      </c>
      <c r="AE35" s="849">
        <f ca="1">AE36+AE37</f>
        <v>0</v>
      </c>
      <c r="AF35" s="849">
        <f ca="1">AF36+AF37</f>
        <v>0</v>
      </c>
      <c r="AG35" s="849">
        <f ca="1">AG36+AG37</f>
        <v>0</v>
      </c>
      <c r="AH35" s="848">
        <f t="shared" ca="1" si="2"/>
        <v>0</v>
      </c>
      <c r="AI35" s="1506">
        <f ca="1">AI36+AI37</f>
        <v>0</v>
      </c>
      <c r="AJ35" s="1502"/>
      <c r="AK35" s="847"/>
      <c r="AL35" s="847"/>
      <c r="AM35" s="847"/>
      <c r="AN35" s="847"/>
      <c r="AO35" s="847"/>
      <c r="AP35" s="847"/>
      <c r="AQ35" s="847"/>
      <c r="AR35" s="847"/>
      <c r="AS35" s="847"/>
      <c r="AT35" s="847"/>
      <c r="AU35" s="847"/>
      <c r="AV35" s="847"/>
      <c r="AW35" s="847"/>
      <c r="AX35" s="847"/>
      <c r="AY35" s="847"/>
      <c r="AZ35" s="847"/>
      <c r="BA35" s="847"/>
      <c r="BB35" s="847"/>
      <c r="BC35" s="847"/>
      <c r="BD35" s="847"/>
      <c r="BE35" s="847"/>
      <c r="BF35" s="847"/>
      <c r="BG35" s="847"/>
      <c r="BH35" s="847"/>
      <c r="BI35" s="847"/>
      <c r="BJ35" s="847"/>
      <c r="BK35" s="847"/>
      <c r="BL35" s="847"/>
      <c r="BM35" s="847"/>
      <c r="BN35" s="1151"/>
      <c r="BO35" s="1151"/>
      <c r="BP35" s="1151"/>
      <c r="BS35" s="965" t="s">
        <v>1774</v>
      </c>
    </row>
    <row r="36" spans="2:75" ht="14.65" hidden="1" customHeight="1">
      <c r="E36" s="620">
        <v>15</v>
      </c>
      <c r="F36" s="3" cm="1">
        <f t="array" aca="1" ref="F36" ca="1">OFFSET(E36,-1,1)</f>
        <v>0</v>
      </c>
      <c r="G36" s="261" t="s">
        <v>1011</v>
      </c>
      <c r="H36" s="290"/>
      <c r="I36" s="290" t="s">
        <v>1337</v>
      </c>
      <c r="K36" s="290" t="s">
        <v>1337</v>
      </c>
      <c r="L36" s="882" t="s">
        <v>1213</v>
      </c>
      <c r="M36" s="26"/>
      <c r="Q36" s="77" t="s">
        <v>2044</v>
      </c>
      <c r="R36" s="80" t="s">
        <v>2044</v>
      </c>
      <c r="T36" s="381" t="b" cm="1">
        <f t="array" ref="T36">T35</f>
        <v>0</v>
      </c>
      <c r="X36" s="1755"/>
      <c r="Z36" s="1735"/>
      <c r="AB36" s="215" t="s">
        <v>1775</v>
      </c>
      <c r="AC36" s="682" t="s">
        <v>1582</v>
      </c>
      <c r="AD36" s="680" t="s">
        <v>766</v>
      </c>
      <c r="AE36" s="1153"/>
      <c r="AF36" s="1153"/>
      <c r="AG36" s="1153"/>
      <c r="AH36" s="848">
        <f t="shared" si="2"/>
        <v>0</v>
      </c>
      <c r="AI36" s="1505"/>
      <c r="AJ36" s="1502"/>
      <c r="AK36" s="847"/>
      <c r="AL36" s="847"/>
      <c r="AM36" s="847"/>
      <c r="AN36" s="847"/>
      <c r="AO36" s="847"/>
      <c r="AP36" s="847"/>
      <c r="AQ36" s="847"/>
      <c r="AR36" s="847"/>
      <c r="AS36" s="847"/>
      <c r="AT36" s="847"/>
      <c r="AU36" s="847"/>
      <c r="AV36" s="847"/>
      <c r="AW36" s="847"/>
      <c r="AX36" s="847"/>
      <c r="AY36" s="847"/>
      <c r="AZ36" s="847"/>
      <c r="BA36" s="847"/>
      <c r="BB36" s="847"/>
      <c r="BC36" s="847"/>
      <c r="BD36" s="847"/>
      <c r="BE36" s="847"/>
      <c r="BF36" s="847"/>
      <c r="BG36" s="847"/>
      <c r="BH36" s="847"/>
      <c r="BI36" s="847"/>
      <c r="BJ36" s="847"/>
      <c r="BK36" s="847"/>
      <c r="BL36" s="847"/>
      <c r="BM36" s="847"/>
      <c r="BN36" s="1151"/>
      <c r="BO36" s="1154" t="str">
        <f ca="1">IF(IFERROR(INDEX(ФОТ!$K$26:$L$77,MATCH($F36&amp;"1komm",ФОТ!$K$26:$K$77,0),2),"")=0,"",IFERROR(INDEX(ФОТ!$K$26:$L$77,MATCH($F36&amp;"1komm",ФОТ!$K$26:$K$77,0),2),""))</f>
        <v/>
      </c>
      <c r="BP36" s="1151"/>
      <c r="BS36" s="964" t="s">
        <v>1583</v>
      </c>
    </row>
    <row r="37" spans="2:75" ht="21.95" hidden="1" customHeight="1">
      <c r="E37" s="620">
        <v>22.5</v>
      </c>
      <c r="F37" s="3" cm="1">
        <f t="array" aca="1" ref="F37" ca="1">OFFSET(E37,-1,1)</f>
        <v>0</v>
      </c>
      <c r="G37" s="261" t="s">
        <v>1023</v>
      </c>
      <c r="H37" s="290"/>
      <c r="I37" s="290" t="s">
        <v>1341</v>
      </c>
      <c r="K37" s="290" t="s">
        <v>1341</v>
      </c>
      <c r="L37" s="882" t="s">
        <v>1214</v>
      </c>
      <c r="M37" s="26"/>
      <c r="Q37" s="77" t="s">
        <v>2044</v>
      </c>
      <c r="R37" s="80" t="s">
        <v>2044</v>
      </c>
      <c r="T37" s="381" t="b" cm="1">
        <f t="array" ref="T37">T36</f>
        <v>0</v>
      </c>
      <c r="X37" s="1755"/>
      <c r="Z37" s="1735"/>
      <c r="AB37" s="215" t="s">
        <v>1776</v>
      </c>
      <c r="AC37" s="682" t="s">
        <v>1777</v>
      </c>
      <c r="AD37" s="680" t="s">
        <v>766</v>
      </c>
      <c r="AE37" s="1153">
        <f ca="1">AE36*SUMIFS(INDEX(Сценарии!$AE$25:$BF$82,,MATCH(AE$8,Сценарии!$AE$8:$BF$8,0)),Сценарии!$F$25:$F$82,$F37,Сценарии!$G$25:$G$82,"СВФОТ")/100</f>
        <v>0</v>
      </c>
      <c r="AF37" s="1153">
        <f ca="1">AF36*SUMIFS(INDEX(Сценарии!$AE$25:$BF$82,,MATCH(AF$8,Сценарии!$AE$8:$BF$8,0)),Сценарии!$F$25:$F$82,$F37,Сценарии!$G$25:$G$82,"СВФОТ")/100</f>
        <v>0</v>
      </c>
      <c r="AG37" s="1153">
        <f ca="1">AG36*SUMIFS(INDEX(Сценарии!$AE$25:$BF$82,,MATCH(AG$8,Сценарии!$AE$8:$BF$8,0)),Сценарии!$F$25:$F$82,$F37,Сценарии!$G$25:$G$82,"СВФОТ")/100</f>
        <v>0</v>
      </c>
      <c r="AH37" s="848">
        <f t="shared" ca="1" si="2"/>
        <v>0</v>
      </c>
      <c r="AI37" s="1505">
        <f ca="1">AI36*SUMIFS(INDEX(Сценарии!$AE$25:$BF$82,,MATCH(AG$8,Сценарии!$AE$8:$BF$8,0)),Сценарии!$F$25:$F$82,$F37,Сценарии!$G$25:$G$82,"СВФОТ")/100</f>
        <v>0</v>
      </c>
      <c r="AJ37" s="1502"/>
      <c r="AK37" s="847"/>
      <c r="AL37" s="847"/>
      <c r="AM37" s="847"/>
      <c r="AN37" s="847"/>
      <c r="AO37" s="847"/>
      <c r="AP37" s="847"/>
      <c r="AQ37" s="847"/>
      <c r="AR37" s="847"/>
      <c r="AS37" s="847"/>
      <c r="AT37" s="847"/>
      <c r="AU37" s="847"/>
      <c r="AV37" s="847"/>
      <c r="AW37" s="847"/>
      <c r="AX37" s="847"/>
      <c r="AY37" s="847"/>
      <c r="AZ37" s="847"/>
      <c r="BA37" s="847"/>
      <c r="BB37" s="847"/>
      <c r="BC37" s="847"/>
      <c r="BD37" s="847"/>
      <c r="BE37" s="847"/>
      <c r="BF37" s="847"/>
      <c r="BG37" s="847"/>
      <c r="BH37" s="847"/>
      <c r="BI37" s="847"/>
      <c r="BJ37" s="847"/>
      <c r="BK37" s="847"/>
      <c r="BL37" s="847"/>
      <c r="BM37" s="847"/>
      <c r="BN37" s="1151"/>
      <c r="BO37" s="1154" t="str">
        <f ca="1">IF(IFERROR(INDEX(ФОТ!$K$26:$L$77,MATCH($F37&amp;"2komm",ФОТ!$K$26:$K$77,0),2),"")=0,"",IFERROR(INDEX(ФОТ!$K$26:$L$77,MATCH($F37&amp;"2komm",ФОТ!$K$26:$K$77,0),2),""))</f>
        <v/>
      </c>
      <c r="BP37" s="1151"/>
      <c r="BS37" s="964" t="s">
        <v>1585</v>
      </c>
    </row>
    <row r="38" spans="2:75" ht="14.65" hidden="1" customHeight="1">
      <c r="E38" s="620">
        <v>15</v>
      </c>
      <c r="F38" s="3" cm="1">
        <f t="array" aca="1" ref="F38" ca="1">OFFSET(E38,-1,1)</f>
        <v>0</v>
      </c>
      <c r="H38" s="290"/>
      <c r="I38" s="290" t="s">
        <v>1352</v>
      </c>
      <c r="K38" s="290" t="s">
        <v>1352</v>
      </c>
      <c r="L38" s="882" t="s">
        <v>1587</v>
      </c>
      <c r="M38" s="26"/>
      <c r="Q38" s="77" t="s">
        <v>2044</v>
      </c>
      <c r="R38" s="80" t="s">
        <v>2044</v>
      </c>
      <c r="T38" s="381" t="b" cm="1">
        <f t="array" ref="T38">T37</f>
        <v>0</v>
      </c>
      <c r="X38" s="1755"/>
      <c r="Z38" s="1735"/>
      <c r="AB38" s="215" t="s">
        <v>1561</v>
      </c>
      <c r="AC38" s="679" t="s">
        <v>1778</v>
      </c>
      <c r="AD38" s="680" t="s">
        <v>766</v>
      </c>
      <c r="AE38" s="1153"/>
      <c r="AF38" s="1153"/>
      <c r="AG38" s="1153"/>
      <c r="AH38" s="848">
        <f t="shared" si="2"/>
        <v>0</v>
      </c>
      <c r="AI38" s="1505"/>
      <c r="AJ38" s="1502"/>
      <c r="AK38" s="847"/>
      <c r="AL38" s="847"/>
      <c r="AM38" s="847"/>
      <c r="AN38" s="847"/>
      <c r="AO38" s="847"/>
      <c r="AP38" s="847"/>
      <c r="AQ38" s="847"/>
      <c r="AR38" s="847"/>
      <c r="AS38" s="847"/>
      <c r="AT38" s="847"/>
      <c r="AU38" s="847"/>
      <c r="AV38" s="847"/>
      <c r="AW38" s="847"/>
      <c r="AX38" s="847"/>
      <c r="AY38" s="847"/>
      <c r="AZ38" s="847"/>
      <c r="BA38" s="847"/>
      <c r="BB38" s="847"/>
      <c r="BC38" s="847"/>
      <c r="BD38" s="847"/>
      <c r="BE38" s="847"/>
      <c r="BF38" s="847"/>
      <c r="BG38" s="847"/>
      <c r="BH38" s="847"/>
      <c r="BI38" s="847"/>
      <c r="BJ38" s="847"/>
      <c r="BK38" s="847"/>
      <c r="BL38" s="847"/>
      <c r="BM38" s="847"/>
      <c r="BN38" s="1151"/>
      <c r="BO38" s="1151"/>
      <c r="BP38" s="1151"/>
      <c r="BS38" s="965" t="s">
        <v>1590</v>
      </c>
    </row>
    <row r="39" spans="2:75" ht="14.65" hidden="1" customHeight="1">
      <c r="E39" s="620">
        <v>15</v>
      </c>
      <c r="F39" s="3" cm="1">
        <f t="array" aca="1" ref="F39" ca="1">OFFSET(E39,-1,1)</f>
        <v>0</v>
      </c>
      <c r="H39" s="290"/>
      <c r="I39" s="290" t="s">
        <v>1356</v>
      </c>
      <c r="K39" s="290" t="s">
        <v>1356</v>
      </c>
      <c r="L39" s="882" t="s">
        <v>1591</v>
      </c>
      <c r="Q39" s="77" t="s">
        <v>2044</v>
      </c>
      <c r="R39" s="80" t="s">
        <v>2044</v>
      </c>
      <c r="T39" s="381" t="b" cm="1">
        <f t="array" ref="T39">T38</f>
        <v>0</v>
      </c>
      <c r="X39" s="1755"/>
      <c r="Z39" s="1735"/>
      <c r="AB39" s="215" t="s">
        <v>1563</v>
      </c>
      <c r="AC39" s="679" t="s">
        <v>1779</v>
      </c>
      <c r="AD39" s="216" t="s">
        <v>766</v>
      </c>
      <c r="AE39" s="849">
        <f>SUM(AE40:AE46)</f>
        <v>0</v>
      </c>
      <c r="AF39" s="849">
        <f>SUM(AF40:AF46)</f>
        <v>0</v>
      </c>
      <c r="AG39" s="849">
        <f>SUM(AG40:AG46)</f>
        <v>0</v>
      </c>
      <c r="AH39" s="848">
        <f t="shared" si="2"/>
        <v>0</v>
      </c>
      <c r="AI39" s="1506">
        <f>SUM(AI40:AI46)</f>
        <v>0</v>
      </c>
      <c r="AJ39" s="1502"/>
      <c r="AK39" s="847"/>
      <c r="AL39" s="847"/>
      <c r="AM39" s="847"/>
      <c r="AN39" s="847"/>
      <c r="AO39" s="847"/>
      <c r="AP39" s="847"/>
      <c r="AQ39" s="847"/>
      <c r="AR39" s="847"/>
      <c r="AS39" s="847"/>
      <c r="AT39" s="847"/>
      <c r="AU39" s="847"/>
      <c r="AV39" s="847"/>
      <c r="AW39" s="847"/>
      <c r="AX39" s="847"/>
      <c r="AY39" s="847"/>
      <c r="AZ39" s="847"/>
      <c r="BA39" s="847"/>
      <c r="BB39" s="847"/>
      <c r="BC39" s="847"/>
      <c r="BD39" s="847"/>
      <c r="BE39" s="847"/>
      <c r="BF39" s="847"/>
      <c r="BG39" s="847"/>
      <c r="BH39" s="847"/>
      <c r="BI39" s="847"/>
      <c r="BJ39" s="847"/>
      <c r="BK39" s="847"/>
      <c r="BL39" s="847"/>
      <c r="BM39" s="847"/>
      <c r="BN39" s="1151"/>
      <c r="BO39" s="1151"/>
      <c r="BP39" s="1151"/>
      <c r="BS39" s="965" t="s">
        <v>1780</v>
      </c>
    </row>
    <row r="40" spans="2:75" ht="14.65" hidden="1" customHeight="1">
      <c r="E40" s="620">
        <v>15</v>
      </c>
      <c r="F40" s="3" cm="1">
        <f t="array" aca="1" ref="F40" ca="1">OFFSET(E40,-1,1)</f>
        <v>0</v>
      </c>
      <c r="H40" s="290"/>
      <c r="I40" s="290" t="s">
        <v>1781</v>
      </c>
      <c r="K40" s="290" t="s">
        <v>1781</v>
      </c>
      <c r="L40" s="882" t="s">
        <v>1591</v>
      </c>
      <c r="M40" s="26" t="s">
        <v>1599</v>
      </c>
      <c r="Q40" s="77" t="s">
        <v>2044</v>
      </c>
      <c r="R40" s="80" t="s">
        <v>2044</v>
      </c>
      <c r="T40" s="381" t="b" cm="1">
        <f t="array" ref="T40">T39</f>
        <v>0</v>
      </c>
      <c r="X40" s="1755"/>
      <c r="Z40" s="1735"/>
      <c r="AB40" s="215" t="s">
        <v>1782</v>
      </c>
      <c r="AC40" s="682" t="s">
        <v>1783</v>
      </c>
      <c r="AD40" s="216" t="s">
        <v>766</v>
      </c>
      <c r="AE40" s="1153"/>
      <c r="AF40" s="1153"/>
      <c r="AG40" s="1153"/>
      <c r="AH40" s="848">
        <f t="shared" si="2"/>
        <v>0</v>
      </c>
      <c r="AI40" s="1505"/>
      <c r="AJ40" s="1502"/>
      <c r="AK40" s="847"/>
      <c r="AL40" s="847"/>
      <c r="AM40" s="847"/>
      <c r="AN40" s="847"/>
      <c r="AO40" s="847"/>
      <c r="AP40" s="847"/>
      <c r="AQ40" s="847"/>
      <c r="AR40" s="847"/>
      <c r="AS40" s="847"/>
      <c r="AT40" s="847"/>
      <c r="AU40" s="847"/>
      <c r="AV40" s="847"/>
      <c r="AW40" s="847"/>
      <c r="AX40" s="847"/>
      <c r="AY40" s="847"/>
      <c r="AZ40" s="847"/>
      <c r="BA40" s="847"/>
      <c r="BB40" s="847"/>
      <c r="BC40" s="847"/>
      <c r="BD40" s="847"/>
      <c r="BE40" s="847"/>
      <c r="BF40" s="847"/>
      <c r="BG40" s="847"/>
      <c r="BH40" s="847"/>
      <c r="BI40" s="847"/>
      <c r="BJ40" s="847"/>
      <c r="BK40" s="847"/>
      <c r="BL40" s="847"/>
      <c r="BM40" s="847"/>
      <c r="BN40" s="1151"/>
      <c r="BO40" s="1151"/>
      <c r="BP40" s="1151"/>
      <c r="BS40" s="964" t="s">
        <v>1602</v>
      </c>
    </row>
    <row r="41" spans="2:75" ht="21.95" hidden="1" customHeight="1">
      <c r="E41" s="620">
        <v>22.5</v>
      </c>
      <c r="F41" s="3" cm="1">
        <f t="array" aca="1" ref="F41" ca="1">OFFSET(E41,-1,1)</f>
        <v>0</v>
      </c>
      <c r="H41" s="290"/>
      <c r="I41" s="290" t="s">
        <v>1784</v>
      </c>
      <c r="K41" s="290" t="s">
        <v>1784</v>
      </c>
      <c r="L41" s="882" t="s">
        <v>1591</v>
      </c>
      <c r="M41" s="26" t="s">
        <v>1595</v>
      </c>
      <c r="Q41" s="77" t="s">
        <v>2044</v>
      </c>
      <c r="R41" s="80" t="s">
        <v>2044</v>
      </c>
      <c r="T41" s="381" t="b" cm="1">
        <f t="array" ref="T41">T40</f>
        <v>0</v>
      </c>
      <c r="X41" s="1755"/>
      <c r="Z41" s="1735"/>
      <c r="AB41" s="215" t="s">
        <v>1785</v>
      </c>
      <c r="AC41" s="682" t="s">
        <v>1786</v>
      </c>
      <c r="AD41" s="216" t="s">
        <v>766</v>
      </c>
      <c r="AE41" s="1153"/>
      <c r="AF41" s="1153"/>
      <c r="AG41" s="1153"/>
      <c r="AH41" s="848">
        <f t="shared" si="2"/>
        <v>0</v>
      </c>
      <c r="AI41" s="1505"/>
      <c r="AJ41" s="1502"/>
      <c r="AK41" s="847"/>
      <c r="AL41" s="847"/>
      <c r="AM41" s="847"/>
      <c r="AN41" s="847"/>
      <c r="AO41" s="847"/>
      <c r="AP41" s="847"/>
      <c r="AQ41" s="847"/>
      <c r="AR41" s="847"/>
      <c r="AS41" s="847"/>
      <c r="AT41" s="847"/>
      <c r="AU41" s="847"/>
      <c r="AV41" s="847"/>
      <c r="AW41" s="847"/>
      <c r="AX41" s="847"/>
      <c r="AY41" s="847"/>
      <c r="AZ41" s="847"/>
      <c r="BA41" s="847"/>
      <c r="BB41" s="847"/>
      <c r="BC41" s="847"/>
      <c r="BD41" s="847"/>
      <c r="BE41" s="847"/>
      <c r="BF41" s="847"/>
      <c r="BG41" s="847"/>
      <c r="BH41" s="847"/>
      <c r="BI41" s="847"/>
      <c r="BJ41" s="847"/>
      <c r="BK41" s="847"/>
      <c r="BL41" s="847"/>
      <c r="BM41" s="847"/>
      <c r="BN41" s="1151"/>
      <c r="BO41" s="1151"/>
      <c r="BP41" s="1151"/>
      <c r="BS41" s="966" t="s">
        <v>1787</v>
      </c>
    </row>
    <row r="42" spans="2:75" ht="21.95" hidden="1" customHeight="1">
      <c r="E42" s="620">
        <v>22.5</v>
      </c>
      <c r="F42" s="3" cm="1">
        <f t="array" aca="1" ref="F42" ca="1">OFFSET(E42,-1,1)</f>
        <v>0</v>
      </c>
      <c r="H42" s="290"/>
      <c r="I42" s="290" t="s">
        <v>1788</v>
      </c>
      <c r="K42" s="290" t="s">
        <v>1788</v>
      </c>
      <c r="Q42" s="77" t="s">
        <v>2044</v>
      </c>
      <c r="R42" s="80" t="s">
        <v>2044</v>
      </c>
      <c r="T42" s="381" t="b" cm="1">
        <f t="array" ref="T42">T41</f>
        <v>0</v>
      </c>
      <c r="X42" s="1755"/>
      <c r="Z42" s="1735"/>
      <c r="AB42" s="215" t="s">
        <v>1789</v>
      </c>
      <c r="AC42" s="683" t="s">
        <v>1790</v>
      </c>
      <c r="AD42" s="216" t="s">
        <v>766</v>
      </c>
      <c r="AE42" s="1153"/>
      <c r="AF42" s="1153"/>
      <c r="AG42" s="1153"/>
      <c r="AH42" s="848">
        <f t="shared" si="2"/>
        <v>0</v>
      </c>
      <c r="AI42" s="1505"/>
      <c r="AJ42" s="1502"/>
      <c r="AK42" s="847"/>
      <c r="AL42" s="847"/>
      <c r="AM42" s="847"/>
      <c r="AN42" s="847"/>
      <c r="AO42" s="847"/>
      <c r="AP42" s="847"/>
      <c r="AQ42" s="847"/>
      <c r="AR42" s="847"/>
      <c r="AS42" s="847"/>
      <c r="AT42" s="847"/>
      <c r="AU42" s="847"/>
      <c r="AV42" s="847"/>
      <c r="AW42" s="847"/>
      <c r="AX42" s="847"/>
      <c r="AY42" s="847"/>
      <c r="AZ42" s="847"/>
      <c r="BA42" s="847"/>
      <c r="BB42" s="847"/>
      <c r="BC42" s="847"/>
      <c r="BD42" s="847"/>
      <c r="BE42" s="847"/>
      <c r="BF42" s="847"/>
      <c r="BG42" s="847"/>
      <c r="BH42" s="847"/>
      <c r="BI42" s="847"/>
      <c r="BJ42" s="847"/>
      <c r="BK42" s="847"/>
      <c r="BL42" s="847"/>
      <c r="BM42" s="847"/>
      <c r="BN42" s="1151"/>
      <c r="BO42" s="1151"/>
      <c r="BP42" s="1151"/>
      <c r="BS42" s="966" t="s">
        <v>1791</v>
      </c>
    </row>
    <row r="43" spans="2:75" ht="21.95" hidden="1" customHeight="1">
      <c r="E43" s="620">
        <v>22.5</v>
      </c>
      <c r="F43" s="3" cm="1">
        <f t="array" aca="1" ref="F43" ca="1">OFFSET(E43,-1,1)</f>
        <v>0</v>
      </c>
      <c r="H43" s="290"/>
      <c r="I43" s="290" t="s">
        <v>1792</v>
      </c>
      <c r="K43" s="290" t="s">
        <v>1792</v>
      </c>
      <c r="L43" s="882"/>
      <c r="Q43" s="77" t="s">
        <v>2044</v>
      </c>
      <c r="R43" s="80" t="s">
        <v>2044</v>
      </c>
      <c r="T43" s="381" t="b" cm="1">
        <f t="array" ref="T43">T42</f>
        <v>0</v>
      </c>
      <c r="X43" s="1755"/>
      <c r="Z43" s="1735"/>
      <c r="AB43" s="215" t="s">
        <v>1793</v>
      </c>
      <c r="AC43" s="683" t="s">
        <v>1794</v>
      </c>
      <c r="AD43" s="216" t="s">
        <v>766</v>
      </c>
      <c r="AE43" s="1153"/>
      <c r="AF43" s="1153"/>
      <c r="AG43" s="1153"/>
      <c r="AH43" s="848">
        <f t="shared" si="2"/>
        <v>0</v>
      </c>
      <c r="AI43" s="1505"/>
      <c r="AJ43" s="1502"/>
      <c r="AK43" s="847"/>
      <c r="AL43" s="847"/>
      <c r="AM43" s="847"/>
      <c r="AN43" s="847"/>
      <c r="AO43" s="847"/>
      <c r="AP43" s="847"/>
      <c r="AQ43" s="847"/>
      <c r="AR43" s="847"/>
      <c r="AS43" s="847"/>
      <c r="AT43" s="847"/>
      <c r="AU43" s="847"/>
      <c r="AV43" s="847"/>
      <c r="AW43" s="847"/>
      <c r="AX43" s="847"/>
      <c r="AY43" s="847"/>
      <c r="AZ43" s="847"/>
      <c r="BA43" s="847"/>
      <c r="BB43" s="847"/>
      <c r="BC43" s="847"/>
      <c r="BD43" s="847"/>
      <c r="BE43" s="847"/>
      <c r="BF43" s="847"/>
      <c r="BG43" s="847"/>
      <c r="BH43" s="847"/>
      <c r="BI43" s="847"/>
      <c r="BJ43" s="847"/>
      <c r="BK43" s="847"/>
      <c r="BL43" s="847"/>
      <c r="BM43" s="847"/>
      <c r="BN43" s="1151"/>
      <c r="BO43" s="1151"/>
      <c r="BP43" s="1151"/>
      <c r="BS43" s="966" t="s">
        <v>1795</v>
      </c>
    </row>
    <row r="44" spans="2:75" ht="43.9" hidden="1" customHeight="1">
      <c r="E44" s="620">
        <v>45</v>
      </c>
      <c r="F44" s="3" cm="1">
        <f t="array" aca="1" ref="F44" ca="1">OFFSET(E44,-1,1)</f>
        <v>0</v>
      </c>
      <c r="H44" s="290"/>
      <c r="I44" s="290" t="s">
        <v>1796</v>
      </c>
      <c r="K44" s="290" t="s">
        <v>1796</v>
      </c>
      <c r="L44" s="882" t="s">
        <v>1591</v>
      </c>
      <c r="M44" s="26" t="s">
        <v>1603</v>
      </c>
      <c r="Q44" s="77" t="s">
        <v>2044</v>
      </c>
      <c r="R44" s="80" t="s">
        <v>2044</v>
      </c>
      <c r="T44" s="381" t="b" cm="1">
        <f t="array" ref="T44">T43</f>
        <v>0</v>
      </c>
      <c r="X44" s="1755"/>
      <c r="Z44" s="1735"/>
      <c r="AB44" s="215" t="s">
        <v>1797</v>
      </c>
      <c r="AC44" s="682" t="s">
        <v>1798</v>
      </c>
      <c r="AD44" s="216" t="s">
        <v>766</v>
      </c>
      <c r="AE44" s="1153"/>
      <c r="AF44" s="1153"/>
      <c r="AG44" s="1153"/>
      <c r="AH44" s="848">
        <f t="shared" si="2"/>
        <v>0</v>
      </c>
      <c r="AI44" s="1505"/>
      <c r="AJ44" s="1502"/>
      <c r="AK44" s="847"/>
      <c r="AL44" s="847"/>
      <c r="AM44" s="847"/>
      <c r="AN44" s="847"/>
      <c r="AO44" s="847"/>
      <c r="AP44" s="847"/>
      <c r="AQ44" s="847"/>
      <c r="AR44" s="847"/>
      <c r="AS44" s="847"/>
      <c r="AT44" s="847"/>
      <c r="AU44" s="847"/>
      <c r="AV44" s="847"/>
      <c r="AW44" s="847"/>
      <c r="AX44" s="847"/>
      <c r="AY44" s="847"/>
      <c r="AZ44" s="847"/>
      <c r="BA44" s="847"/>
      <c r="BB44" s="847"/>
      <c r="BC44" s="847"/>
      <c r="BD44" s="847"/>
      <c r="BE44" s="847"/>
      <c r="BF44" s="847"/>
      <c r="BG44" s="847"/>
      <c r="BH44" s="847"/>
      <c r="BI44" s="847"/>
      <c r="BJ44" s="847"/>
      <c r="BK44" s="847"/>
      <c r="BL44" s="847"/>
      <c r="BM44" s="847"/>
      <c r="BN44" s="1151"/>
      <c r="BO44" s="1151"/>
      <c r="BP44" s="1151"/>
      <c r="BS44" s="966" t="s">
        <v>1606</v>
      </c>
    </row>
    <row r="45" spans="2:75" ht="14.65" hidden="1" customHeight="1">
      <c r="E45" s="620">
        <v>15</v>
      </c>
      <c r="F45" s="3" cm="1">
        <f t="array" aca="1" ref="F45" ca="1">OFFSET(E45,-1,1)</f>
        <v>0</v>
      </c>
      <c r="H45" s="290"/>
      <c r="I45" s="290" t="s">
        <v>1799</v>
      </c>
      <c r="K45" s="290" t="s">
        <v>1799</v>
      </c>
      <c r="L45" s="882" t="s">
        <v>1591</v>
      </c>
      <c r="M45" s="26" t="s">
        <v>1607</v>
      </c>
      <c r="Q45" s="77" t="s">
        <v>2044</v>
      </c>
      <c r="R45" s="80" t="s">
        <v>2044</v>
      </c>
      <c r="T45" s="381" t="b" cm="1">
        <f t="array" ref="T45">T44</f>
        <v>0</v>
      </c>
      <c r="X45" s="1755"/>
      <c r="Z45" s="1735"/>
      <c r="AB45" s="215" t="s">
        <v>1800</v>
      </c>
      <c r="AC45" s="682" t="s">
        <v>1609</v>
      </c>
      <c r="AD45" s="216" t="s">
        <v>766</v>
      </c>
      <c r="AE45" s="1153"/>
      <c r="AF45" s="1153"/>
      <c r="AG45" s="1153"/>
      <c r="AH45" s="848">
        <f t="shared" si="2"/>
        <v>0</v>
      </c>
      <c r="AI45" s="1505"/>
      <c r="AJ45" s="1502"/>
      <c r="AK45" s="847"/>
      <c r="AL45" s="847"/>
      <c r="AM45" s="847"/>
      <c r="AN45" s="847"/>
      <c r="AO45" s="847"/>
      <c r="AP45" s="847"/>
      <c r="AQ45" s="847"/>
      <c r="AR45" s="847"/>
      <c r="AS45" s="847"/>
      <c r="AT45" s="847"/>
      <c r="AU45" s="847"/>
      <c r="AV45" s="847"/>
      <c r="AW45" s="847"/>
      <c r="AX45" s="847"/>
      <c r="AY45" s="847"/>
      <c r="AZ45" s="847"/>
      <c r="BA45" s="847"/>
      <c r="BB45" s="847"/>
      <c r="BC45" s="847"/>
      <c r="BD45" s="847"/>
      <c r="BE45" s="847"/>
      <c r="BF45" s="847"/>
      <c r="BG45" s="847"/>
      <c r="BH45" s="847"/>
      <c r="BI45" s="847"/>
      <c r="BJ45" s="847"/>
      <c r="BK45" s="847"/>
      <c r="BL45" s="847"/>
      <c r="BM45" s="847"/>
      <c r="BN45" s="1151"/>
      <c r="BO45" s="1151"/>
      <c r="BP45" s="1151"/>
      <c r="BS45" s="966" t="s">
        <v>1610</v>
      </c>
    </row>
    <row r="46" spans="2:75" ht="14.65" hidden="1" customHeight="1">
      <c r="E46" s="620">
        <v>15</v>
      </c>
      <c r="F46" s="3" cm="1">
        <f t="array" aca="1" ref="F46" ca="1">OFFSET(E46,-1,1)</f>
        <v>0</v>
      </c>
      <c r="H46" s="290"/>
      <c r="I46" s="290" t="s">
        <v>1801</v>
      </c>
      <c r="K46" s="290" t="s">
        <v>1801</v>
      </c>
      <c r="L46" s="882"/>
      <c r="M46" s="26"/>
      <c r="Q46" s="77" t="s">
        <v>2044</v>
      </c>
      <c r="R46" s="80" t="s">
        <v>2044</v>
      </c>
      <c r="T46" s="381" t="b" cm="1">
        <f t="array" ref="T46">T45</f>
        <v>0</v>
      </c>
      <c r="X46" s="1755"/>
      <c r="Z46" s="1735"/>
      <c r="AB46" s="215" t="s">
        <v>1802</v>
      </c>
      <c r="AC46" s="682" t="s">
        <v>1803</v>
      </c>
      <c r="AD46" s="216" t="s">
        <v>766</v>
      </c>
      <c r="AE46" s="1153"/>
      <c r="AF46" s="1153"/>
      <c r="AG46" s="1153"/>
      <c r="AH46" s="848">
        <f t="shared" si="2"/>
        <v>0</v>
      </c>
      <c r="AI46" s="1505"/>
      <c r="AJ46" s="1257"/>
      <c r="AK46" s="847"/>
      <c r="AL46" s="847"/>
      <c r="AM46" s="847"/>
      <c r="AN46" s="847"/>
      <c r="AO46" s="847"/>
      <c r="AP46" s="847"/>
      <c r="AQ46" s="847"/>
      <c r="AR46" s="847"/>
      <c r="AS46" s="847"/>
      <c r="AT46" s="847"/>
      <c r="AU46" s="847"/>
      <c r="AV46" s="847"/>
      <c r="AW46" s="847"/>
      <c r="AX46" s="847"/>
      <c r="AY46" s="847"/>
      <c r="AZ46" s="847"/>
      <c r="BA46" s="847"/>
      <c r="BB46" s="847"/>
      <c r="BC46" s="847"/>
      <c r="BD46" s="847"/>
      <c r="BE46" s="847"/>
      <c r="BF46" s="847"/>
      <c r="BG46" s="847"/>
      <c r="BH46" s="847"/>
      <c r="BI46" s="847"/>
      <c r="BJ46" s="847"/>
      <c r="BK46" s="847"/>
      <c r="BL46" s="847"/>
      <c r="BM46" s="847"/>
      <c r="BN46" s="1151"/>
      <c r="BO46" s="1151"/>
      <c r="BP46" s="1151"/>
      <c r="BS46" s="966" t="s">
        <v>1594</v>
      </c>
    </row>
    <row r="47" spans="2:75" s="617" customFormat="1" ht="20.45" hidden="1" customHeight="1">
      <c r="B47" s="352"/>
      <c r="E47" s="624">
        <v>21</v>
      </c>
      <c r="F47" s="3" cm="1">
        <f t="array" aca="1" ref="F47" ca="1">OFFSET(E47,-1,1)</f>
        <v>0</v>
      </c>
      <c r="H47" s="290"/>
      <c r="I47" s="290" t="s">
        <v>434</v>
      </c>
      <c r="K47" s="290" t="s">
        <v>434</v>
      </c>
      <c r="L47" s="887"/>
      <c r="M47" s="28"/>
      <c r="Q47" s="77" t="s">
        <v>2044</v>
      </c>
      <c r="R47" s="80" t="s">
        <v>2044</v>
      </c>
      <c r="T47" s="381" t="b" cm="1">
        <f t="array" ref="T47">T46</f>
        <v>0</v>
      </c>
      <c r="X47" s="1755"/>
      <c r="Z47" s="1735"/>
      <c r="AB47" s="136" t="s">
        <v>827</v>
      </c>
      <c r="AC47" s="273" t="s">
        <v>1614</v>
      </c>
      <c r="AD47" s="129" t="s">
        <v>766</v>
      </c>
      <c r="AE47" s="684">
        <f>AE48+AE49+AE50</f>
        <v>0</v>
      </c>
      <c r="AF47" s="684">
        <f>AF48+AF49+AF50</f>
        <v>0</v>
      </c>
      <c r="AG47" s="684">
        <f>AG48+AG49+AG50</f>
        <v>0</v>
      </c>
      <c r="AH47" s="675">
        <f t="shared" si="2"/>
        <v>0</v>
      </c>
      <c r="AI47" s="1507">
        <f>AI48+AI49+AI50</f>
        <v>0</v>
      </c>
      <c r="AJ47" s="1502"/>
      <c r="AK47" s="678"/>
      <c r="AL47" s="678"/>
      <c r="AM47" s="678"/>
      <c r="AN47" s="678"/>
      <c r="AO47" s="678"/>
      <c r="AP47" s="678"/>
      <c r="AQ47" s="678"/>
      <c r="AR47" s="678"/>
      <c r="AS47" s="678"/>
      <c r="AT47" s="678"/>
      <c r="AU47" s="678"/>
      <c r="AV47" s="678"/>
      <c r="AW47" s="678"/>
      <c r="AX47" s="678"/>
      <c r="AY47" s="678"/>
      <c r="AZ47" s="678"/>
      <c r="BA47" s="678"/>
      <c r="BB47" s="678"/>
      <c r="BC47" s="678"/>
      <c r="BD47" s="678"/>
      <c r="BE47" s="678"/>
      <c r="BF47" s="678"/>
      <c r="BG47" s="678"/>
      <c r="BH47" s="678"/>
      <c r="BI47" s="678"/>
      <c r="BJ47" s="678"/>
      <c r="BK47" s="678"/>
      <c r="BL47" s="678"/>
      <c r="BM47" s="678"/>
      <c r="BN47" s="1147"/>
      <c r="BO47" s="1147"/>
      <c r="BP47" s="1147"/>
      <c r="BS47" s="965" t="s">
        <v>1615</v>
      </c>
      <c r="BT47" s="972"/>
      <c r="BU47" s="972"/>
      <c r="BV47" s="624"/>
      <c r="BW47" s="624"/>
    </row>
    <row r="48" spans="2:75" ht="21.95" hidden="1" customHeight="1">
      <c r="E48" s="620">
        <v>22.5</v>
      </c>
      <c r="F48" s="3" cm="1">
        <f t="array" aca="1" ref="F48" ca="1">OFFSET(E48,-1,1)</f>
        <v>0</v>
      </c>
      <c r="H48" s="290"/>
      <c r="I48" s="290" t="s">
        <v>1199</v>
      </c>
      <c r="K48" s="290" t="s">
        <v>1199</v>
      </c>
      <c r="L48" s="882"/>
      <c r="M48" s="26"/>
      <c r="Q48" s="77" t="s">
        <v>2044</v>
      </c>
      <c r="R48" s="80" t="s">
        <v>2044</v>
      </c>
      <c r="T48" s="381" t="b" cm="1">
        <f t="array" ref="T48">T47</f>
        <v>0</v>
      </c>
      <c r="X48" s="1755"/>
      <c r="Z48" s="1735"/>
      <c r="AB48" s="215" t="s">
        <v>1200</v>
      </c>
      <c r="AC48" s="679" t="s">
        <v>1804</v>
      </c>
      <c r="AD48" s="216" t="s">
        <v>766</v>
      </c>
      <c r="AE48" s="1153"/>
      <c r="AF48" s="1153"/>
      <c r="AG48" s="1153"/>
      <c r="AH48" s="848">
        <f t="shared" si="2"/>
        <v>0</v>
      </c>
      <c r="AI48" s="1505"/>
      <c r="AJ48" s="1502"/>
      <c r="AK48" s="847"/>
      <c r="AL48" s="847"/>
      <c r="AM48" s="847"/>
      <c r="AN48" s="847"/>
      <c r="AO48" s="847"/>
      <c r="AP48" s="847"/>
      <c r="AQ48" s="847"/>
      <c r="AR48" s="847"/>
      <c r="AS48" s="847"/>
      <c r="AT48" s="847"/>
      <c r="AU48" s="847"/>
      <c r="AV48" s="847"/>
      <c r="AW48" s="847"/>
      <c r="AX48" s="847"/>
      <c r="AY48" s="847"/>
      <c r="AZ48" s="847"/>
      <c r="BA48" s="847"/>
      <c r="BB48" s="847"/>
      <c r="BC48" s="847"/>
      <c r="BD48" s="847"/>
      <c r="BE48" s="847"/>
      <c r="BF48" s="847"/>
      <c r="BG48" s="847"/>
      <c r="BH48" s="847"/>
      <c r="BI48" s="847"/>
      <c r="BJ48" s="847"/>
      <c r="BK48" s="847"/>
      <c r="BL48" s="847"/>
      <c r="BM48" s="847"/>
      <c r="BN48" s="1151"/>
      <c r="BO48" s="1151"/>
      <c r="BP48" s="1151"/>
      <c r="BS48" s="964" t="s">
        <v>1617</v>
      </c>
    </row>
    <row r="49" spans="2:75" ht="21.95" hidden="1" customHeight="1">
      <c r="E49" s="620">
        <v>22.5</v>
      </c>
      <c r="F49" s="3" cm="1">
        <f t="array" aca="1" ref="F49" ca="1">OFFSET(E49,-1,1)</f>
        <v>0</v>
      </c>
      <c r="H49" s="290"/>
      <c r="I49" s="290" t="s">
        <v>1203</v>
      </c>
      <c r="K49" s="290" t="s">
        <v>1203</v>
      </c>
      <c r="L49" s="882"/>
      <c r="M49" s="26"/>
      <c r="Q49" s="77" t="s">
        <v>2044</v>
      </c>
      <c r="R49" s="80" t="s">
        <v>2044</v>
      </c>
      <c r="T49" s="381" t="b" cm="1">
        <f t="array" ref="T49">T48</f>
        <v>0</v>
      </c>
      <c r="X49" s="1755"/>
      <c r="Z49" s="1735"/>
      <c r="AB49" s="215" t="s">
        <v>1204</v>
      </c>
      <c r="AC49" s="679" t="s">
        <v>1805</v>
      </c>
      <c r="AD49" s="216" t="s">
        <v>766</v>
      </c>
      <c r="AE49" s="1153"/>
      <c r="AF49" s="1153"/>
      <c r="AG49" s="1153"/>
      <c r="AH49" s="848">
        <f t="shared" si="2"/>
        <v>0</v>
      </c>
      <c r="AI49" s="1505"/>
      <c r="AJ49" s="1502"/>
      <c r="AK49" s="847"/>
      <c r="AL49" s="847"/>
      <c r="AM49" s="847"/>
      <c r="AN49" s="847"/>
      <c r="AO49" s="847"/>
      <c r="AP49" s="847"/>
      <c r="AQ49" s="847"/>
      <c r="AR49" s="847"/>
      <c r="AS49" s="847"/>
      <c r="AT49" s="847"/>
      <c r="AU49" s="847"/>
      <c r="AV49" s="847"/>
      <c r="AW49" s="847"/>
      <c r="AX49" s="847"/>
      <c r="AY49" s="847"/>
      <c r="AZ49" s="847"/>
      <c r="BA49" s="847"/>
      <c r="BB49" s="847"/>
      <c r="BC49" s="847"/>
      <c r="BD49" s="847"/>
      <c r="BE49" s="847"/>
      <c r="BF49" s="847"/>
      <c r="BG49" s="847"/>
      <c r="BH49" s="847"/>
      <c r="BI49" s="847"/>
      <c r="BJ49" s="847"/>
      <c r="BK49" s="847"/>
      <c r="BL49" s="847"/>
      <c r="BM49" s="847"/>
      <c r="BN49" s="1151"/>
      <c r="BO49" s="1151"/>
      <c r="BP49" s="1151"/>
      <c r="BS49" s="966" t="s">
        <v>1806</v>
      </c>
    </row>
    <row r="50" spans="2:75" ht="21.95" hidden="1" customHeight="1">
      <c r="E50" s="620">
        <v>22.5</v>
      </c>
      <c r="F50" s="3" cm="1">
        <f t="array" aca="1" ref="F50" ca="1">OFFSET(E50,-1,1)</f>
        <v>0</v>
      </c>
      <c r="H50" s="290"/>
      <c r="I50" s="290" t="s">
        <v>1207</v>
      </c>
      <c r="K50" s="290" t="s">
        <v>1207</v>
      </c>
      <c r="L50" s="882" t="s">
        <v>448</v>
      </c>
      <c r="M50" s="26"/>
      <c r="Q50" s="77" t="s">
        <v>2044</v>
      </c>
      <c r="R50" s="80" t="s">
        <v>2044</v>
      </c>
      <c r="T50" s="381" t="b" cm="1">
        <f t="array" ref="T50">T49</f>
        <v>0</v>
      </c>
      <c r="X50" s="1755"/>
      <c r="Z50" s="1735"/>
      <c r="AB50" s="215" t="s">
        <v>1208</v>
      </c>
      <c r="AC50" s="679" t="s">
        <v>1807</v>
      </c>
      <c r="AD50" s="216" t="s">
        <v>766</v>
      </c>
      <c r="AE50" s="1153"/>
      <c r="AF50" s="1153"/>
      <c r="AG50" s="1153"/>
      <c r="AH50" s="848">
        <f t="shared" si="2"/>
        <v>0</v>
      </c>
      <c r="AI50" s="1505"/>
      <c r="AJ50" s="1502"/>
      <c r="AK50" s="847"/>
      <c r="AL50" s="847"/>
      <c r="AM50" s="847"/>
      <c r="AN50" s="847"/>
      <c r="AO50" s="847"/>
      <c r="AP50" s="847"/>
      <c r="AQ50" s="847"/>
      <c r="AR50" s="847"/>
      <c r="AS50" s="847"/>
      <c r="AT50" s="847"/>
      <c r="AU50" s="847"/>
      <c r="AV50" s="847"/>
      <c r="AW50" s="847"/>
      <c r="AX50" s="847"/>
      <c r="AY50" s="847"/>
      <c r="AZ50" s="847"/>
      <c r="BA50" s="847"/>
      <c r="BB50" s="847"/>
      <c r="BC50" s="847"/>
      <c r="BD50" s="847"/>
      <c r="BE50" s="847"/>
      <c r="BF50" s="847"/>
      <c r="BG50" s="847"/>
      <c r="BH50" s="847"/>
      <c r="BI50" s="847"/>
      <c r="BJ50" s="847"/>
      <c r="BK50" s="847"/>
      <c r="BL50" s="847"/>
      <c r="BM50" s="847"/>
      <c r="BN50" s="1151"/>
      <c r="BO50" s="1151"/>
      <c r="BP50" s="1151"/>
      <c r="BS50" s="964" t="s">
        <v>1619</v>
      </c>
    </row>
    <row r="51" spans="2:75" ht="14.65" hidden="1" customHeight="1">
      <c r="E51" s="620">
        <v>15</v>
      </c>
      <c r="F51" s="3" cm="1">
        <f t="array" aca="1" ref="F51" ca="1">OFFSET(E51,-1,1)</f>
        <v>0</v>
      </c>
      <c r="G51" s="2" t="s">
        <v>1026</v>
      </c>
      <c r="H51" s="290"/>
      <c r="I51" s="290" t="s">
        <v>1808</v>
      </c>
      <c r="K51" s="290" t="s">
        <v>1808</v>
      </c>
      <c r="L51" s="882" t="s">
        <v>1620</v>
      </c>
      <c r="M51" s="26"/>
      <c r="Q51" s="77" t="s">
        <v>2044</v>
      </c>
      <c r="R51" s="80" t="s">
        <v>2044</v>
      </c>
      <c r="T51" s="381" t="b" cm="1">
        <f t="array" ref="T51">T50</f>
        <v>0</v>
      </c>
      <c r="X51" s="1755"/>
      <c r="Z51" s="1735"/>
      <c r="AB51" s="215" t="s">
        <v>1809</v>
      </c>
      <c r="AC51" s="682" t="s">
        <v>1621</v>
      </c>
      <c r="AD51" s="216" t="s">
        <v>766</v>
      </c>
      <c r="AE51" s="1153"/>
      <c r="AF51" s="1153"/>
      <c r="AG51" s="1153"/>
      <c r="AH51" s="848">
        <f t="shared" si="2"/>
        <v>0</v>
      </c>
      <c r="AI51" s="1505"/>
      <c r="AJ51" s="1502"/>
      <c r="AK51" s="847"/>
      <c r="AL51" s="847"/>
      <c r="AM51" s="847"/>
      <c r="AN51" s="847"/>
      <c r="AO51" s="847"/>
      <c r="AP51" s="847"/>
      <c r="AQ51" s="847"/>
      <c r="AR51" s="847"/>
      <c r="AS51" s="847"/>
      <c r="AT51" s="847"/>
      <c r="AU51" s="847"/>
      <c r="AV51" s="847"/>
      <c r="AW51" s="847"/>
      <c r="AX51" s="847"/>
      <c r="AY51" s="847"/>
      <c r="AZ51" s="847"/>
      <c r="BA51" s="847"/>
      <c r="BB51" s="847"/>
      <c r="BC51" s="847"/>
      <c r="BD51" s="847"/>
      <c r="BE51" s="847"/>
      <c r="BF51" s="847"/>
      <c r="BG51" s="847"/>
      <c r="BH51" s="847"/>
      <c r="BI51" s="847"/>
      <c r="BJ51" s="847"/>
      <c r="BK51" s="847"/>
      <c r="BL51" s="847"/>
      <c r="BM51" s="847"/>
      <c r="BN51" s="1151"/>
      <c r="BO51" s="1154" t="str">
        <f ca="1">IF(IFERROR(INDEX(ФОТ!$K$26:$L$77,MATCH($F51&amp;"3komm",ФОТ!$K$26:$K$77,0),2),"")=0,"",IFERROR(INDEX(ФОТ!$K$26:$L$77,MATCH($F51&amp;"3komm",ФОТ!$K$26:$K$77,0),2),""))</f>
        <v/>
      </c>
      <c r="BP51" s="1151"/>
      <c r="BS51" s="964" t="s">
        <v>1622</v>
      </c>
    </row>
    <row r="52" spans="2:75" ht="21.95" hidden="1" customHeight="1">
      <c r="E52" s="620">
        <v>22.5</v>
      </c>
      <c r="F52" s="3" cm="1">
        <f t="array" aca="1" ref="F52" ca="1">OFFSET(E52,-1,1)</f>
        <v>0</v>
      </c>
      <c r="G52" s="2" t="s">
        <v>1031</v>
      </c>
      <c r="H52" s="290"/>
      <c r="I52" s="290" t="s">
        <v>1810</v>
      </c>
      <c r="K52" s="290" t="s">
        <v>1810</v>
      </c>
      <c r="L52" s="882" t="s">
        <v>1623</v>
      </c>
      <c r="M52" s="26"/>
      <c r="Q52" s="77" t="s">
        <v>2044</v>
      </c>
      <c r="R52" s="80" t="s">
        <v>2044</v>
      </c>
      <c r="T52" s="381" t="b" cm="1">
        <f t="array" ref="T52">T51</f>
        <v>0</v>
      </c>
      <c r="X52" s="1755"/>
      <c r="Z52" s="1735"/>
      <c r="AB52" s="215" t="s">
        <v>1811</v>
      </c>
      <c r="AC52" s="682" t="s">
        <v>1812</v>
      </c>
      <c r="AD52" s="216" t="s">
        <v>766</v>
      </c>
      <c r="AE52" s="1153">
        <f ca="1">AE51*SUMIFS(INDEX(Сценарии!$AE$25:$BF$82,,MATCH(AE$8,Сценарии!$AE$8:$BF$8,0)),Сценарии!$F$25:$F$82,$F52,Сценарии!$G$25:$G$82,"СВФОТ")/100</f>
        <v>0</v>
      </c>
      <c r="AF52" s="1153">
        <f ca="1">AF51*SUMIFS(INDEX(Сценарии!$AE$25:$BF$82,,MATCH(AF$8,Сценарии!$AE$8:$BF$8,0)),Сценарии!$F$25:$F$82,$F52,Сценарии!$G$25:$G$82,"СВФОТ")/100</f>
        <v>0</v>
      </c>
      <c r="AG52" s="1153">
        <f ca="1">AG51*SUMIFS(INDEX(Сценарии!$AE$25:$BF$82,,MATCH(AG$8,Сценарии!$AE$8:$BF$8,0)),Сценарии!$F$25:$F$82,$F52,Сценарии!$G$25:$G$82,"СВФОТ")/100</f>
        <v>0</v>
      </c>
      <c r="AH52" s="848">
        <f t="shared" ca="1" si="2"/>
        <v>0</v>
      </c>
      <c r="AI52" s="1505">
        <f ca="1">AI51*SUMIFS(INDEX(Сценарии!$AE$25:$BF$82,,MATCH(AG$8,Сценарии!$AE$8:$BF$8,0)),Сценарии!$F$25:$F$82,$F52,Сценарии!$G$25:$G$82,"СВФОТ")/100</f>
        <v>0</v>
      </c>
      <c r="AJ52" s="1502"/>
      <c r="AK52" s="847"/>
      <c r="AL52" s="847"/>
      <c r="AM52" s="847"/>
      <c r="AN52" s="847"/>
      <c r="AO52" s="847"/>
      <c r="AP52" s="847"/>
      <c r="AQ52" s="847"/>
      <c r="AR52" s="847"/>
      <c r="AS52" s="847"/>
      <c r="AT52" s="847"/>
      <c r="AU52" s="847"/>
      <c r="AV52" s="847"/>
      <c r="AW52" s="847"/>
      <c r="AX52" s="847"/>
      <c r="AY52" s="847"/>
      <c r="AZ52" s="847"/>
      <c r="BA52" s="847"/>
      <c r="BB52" s="847"/>
      <c r="BC52" s="847"/>
      <c r="BD52" s="847"/>
      <c r="BE52" s="847"/>
      <c r="BF52" s="847"/>
      <c r="BG52" s="847"/>
      <c r="BH52" s="847"/>
      <c r="BI52" s="847"/>
      <c r="BJ52" s="847"/>
      <c r="BK52" s="847"/>
      <c r="BL52" s="847"/>
      <c r="BM52" s="847"/>
      <c r="BN52" s="1151"/>
      <c r="BO52" s="1154" t="str">
        <f ca="1">IF(IFERROR(INDEX(ФОТ!$K$26:$L$77,MATCH($F52&amp;"4komm",ФОТ!$K$26:$K$77,0),2),"")=0,"",IFERROR(INDEX(ФОТ!$K$26:$L$77,MATCH($F52&amp;"4komm",ФОТ!$K$26:$K$77,0),2),""))</f>
        <v/>
      </c>
      <c r="BP52" s="1151"/>
      <c r="BS52" s="964" t="s">
        <v>1625</v>
      </c>
    </row>
    <row r="53" spans="2:75" s="617" customFormat="1" ht="20.45" hidden="1" customHeight="1">
      <c r="B53" s="352"/>
      <c r="E53" s="624">
        <v>21</v>
      </c>
      <c r="F53" s="3" cm="1">
        <f t="array" aca="1" ref="F53" ca="1">OFFSET(E53,-1,1)</f>
        <v>0</v>
      </c>
      <c r="H53" s="290"/>
      <c r="I53" s="290" t="s">
        <v>438</v>
      </c>
      <c r="K53" s="290" t="s">
        <v>438</v>
      </c>
      <c r="L53" s="887" t="s">
        <v>325</v>
      </c>
      <c r="M53" s="28"/>
      <c r="Q53" s="77" t="s">
        <v>2044</v>
      </c>
      <c r="R53" s="80" t="s">
        <v>2044</v>
      </c>
      <c r="T53" s="381" t="b" cm="1">
        <f t="array" ref="T53">T52</f>
        <v>0</v>
      </c>
      <c r="X53" s="1755"/>
      <c r="Z53" s="1735"/>
      <c r="AB53" s="136" t="s">
        <v>830</v>
      </c>
      <c r="AC53" s="273" t="s">
        <v>1813</v>
      </c>
      <c r="AD53" s="129" t="s">
        <v>766</v>
      </c>
      <c r="AE53" s="684">
        <f ca="1">AE54+AE62+AE65+AE66+AE67+AE68+AE69</f>
        <v>0</v>
      </c>
      <c r="AF53" s="684">
        <f ca="1">AF54+AF62+AF65+AF66+AF67+AF68+AF69</f>
        <v>0</v>
      </c>
      <c r="AG53" s="684">
        <f ca="1">AG54+AG62+AG65+AG66+AG67+AG68+AG69</f>
        <v>0</v>
      </c>
      <c r="AH53" s="675">
        <f t="shared" ca="1" si="2"/>
        <v>0</v>
      </c>
      <c r="AI53" s="1507">
        <f ca="1">AI54+AI62+AI65+AI66+AI67+AI68+AI69</f>
        <v>0</v>
      </c>
      <c r="AJ53" s="1502"/>
      <c r="AK53" s="678"/>
      <c r="AL53" s="678"/>
      <c r="AM53" s="678"/>
      <c r="AN53" s="678"/>
      <c r="AO53" s="678"/>
      <c r="AP53" s="678"/>
      <c r="AQ53" s="678"/>
      <c r="AR53" s="678"/>
      <c r="AS53" s="678"/>
      <c r="AT53" s="678"/>
      <c r="AU53" s="678"/>
      <c r="AV53" s="678"/>
      <c r="AW53" s="678"/>
      <c r="AX53" s="678"/>
      <c r="AY53" s="678"/>
      <c r="AZ53" s="678"/>
      <c r="BA53" s="678"/>
      <c r="BB53" s="678"/>
      <c r="BC53" s="678"/>
      <c r="BD53" s="678"/>
      <c r="BE53" s="678"/>
      <c r="BF53" s="678"/>
      <c r="BG53" s="678"/>
      <c r="BH53" s="678"/>
      <c r="BI53" s="678"/>
      <c r="BJ53" s="678"/>
      <c r="BK53" s="678"/>
      <c r="BL53" s="678"/>
      <c r="BM53" s="678"/>
      <c r="BN53" s="1147"/>
      <c r="BO53" s="1147"/>
      <c r="BP53" s="1147"/>
      <c r="BS53" s="965" t="s">
        <v>1627</v>
      </c>
      <c r="BT53" s="972"/>
      <c r="BU53" s="972"/>
      <c r="BV53" s="624"/>
      <c r="BW53" s="624"/>
    </row>
    <row r="54" spans="2:75" ht="21.95" hidden="1" customHeight="1">
      <c r="E54" s="620">
        <v>22.5</v>
      </c>
      <c r="F54" s="3" cm="1">
        <f t="array" aca="1" ref="F54" ca="1">OFFSET(E54,-1,1)</f>
        <v>0</v>
      </c>
      <c r="G54" s="77" t="s">
        <v>1052</v>
      </c>
      <c r="H54" s="290"/>
      <c r="I54" s="290" t="s">
        <v>1213</v>
      </c>
      <c r="K54" s="290" t="s">
        <v>1213</v>
      </c>
      <c r="L54" s="882" t="s">
        <v>851</v>
      </c>
      <c r="M54" s="26"/>
      <c r="Q54" s="77" t="s">
        <v>2044</v>
      </c>
      <c r="R54" s="80" t="s">
        <v>2044</v>
      </c>
      <c r="T54" s="381" t="b" cm="1">
        <f t="array" ref="T54">T53</f>
        <v>0</v>
      </c>
      <c r="X54" s="1755"/>
      <c r="Z54" s="1735"/>
      <c r="AB54" s="215" t="s">
        <v>941</v>
      </c>
      <c r="AC54" s="679" t="s">
        <v>1814</v>
      </c>
      <c r="AD54" s="216" t="s">
        <v>766</v>
      </c>
      <c r="AE54" s="849">
        <f>SUM(AE55:AE61)</f>
        <v>0</v>
      </c>
      <c r="AF54" s="849">
        <f>SUM(AF55:AF61)</f>
        <v>0</v>
      </c>
      <c r="AG54" s="849">
        <f>SUM(AG55:AG61)</f>
        <v>0</v>
      </c>
      <c r="AH54" s="848">
        <f t="shared" si="2"/>
        <v>0</v>
      </c>
      <c r="AI54" s="1506">
        <f>SUM(AI55:AI61)</f>
        <v>0</v>
      </c>
      <c r="AJ54" s="1502"/>
      <c r="AK54" s="847"/>
      <c r="AL54" s="847"/>
      <c r="AM54" s="847"/>
      <c r="AN54" s="847"/>
      <c r="AO54" s="847"/>
      <c r="AP54" s="847"/>
      <c r="AQ54" s="847"/>
      <c r="AR54" s="847"/>
      <c r="AS54" s="847"/>
      <c r="AT54" s="847"/>
      <c r="AU54" s="847"/>
      <c r="AV54" s="847"/>
      <c r="AW54" s="847"/>
      <c r="AX54" s="847"/>
      <c r="AY54" s="847"/>
      <c r="AZ54" s="847"/>
      <c r="BA54" s="847"/>
      <c r="BB54" s="847"/>
      <c r="BC54" s="847"/>
      <c r="BD54" s="847"/>
      <c r="BE54" s="847"/>
      <c r="BF54" s="847"/>
      <c r="BG54" s="847"/>
      <c r="BH54" s="847"/>
      <c r="BI54" s="847"/>
      <c r="BJ54" s="847"/>
      <c r="BK54" s="847"/>
      <c r="BL54" s="847"/>
      <c r="BM54" s="847"/>
      <c r="BN54" s="1151"/>
      <c r="BO54" s="1154" t="str">
        <f ca="1">IF(IFERROR(INDEX(Административные!$K$26:$L$65,MATCH($F54&amp;"17komm",Административные!$K$26:$K$65,0),2),"")=0,"",IFERROR(INDEX(Административные!$K$26:$L$65,MATCH($F54&amp;"17komm",Административные!$K$26:$K$65,0),2),""))</f>
        <v/>
      </c>
      <c r="BP54" s="1151"/>
      <c r="BS54" s="964" t="s">
        <v>1054</v>
      </c>
    </row>
    <row r="55" spans="2:75" ht="14.65" hidden="1" customHeight="1">
      <c r="E55" s="620">
        <v>15</v>
      </c>
      <c r="F55" s="3" cm="1">
        <f t="array" aca="1" ref="F55" ca="1">OFFSET(E55,-1,1)</f>
        <v>0</v>
      </c>
      <c r="G55" s="77" t="s">
        <v>1055</v>
      </c>
      <c r="H55" s="290"/>
      <c r="I55" s="290" t="s">
        <v>1815</v>
      </c>
      <c r="K55" s="290" t="s">
        <v>1815</v>
      </c>
      <c r="L55" s="882"/>
      <c r="M55" s="26"/>
      <c r="Q55" s="77" t="s">
        <v>2044</v>
      </c>
      <c r="R55" s="80" t="s">
        <v>2044</v>
      </c>
      <c r="T55" s="381" t="b" cm="1">
        <f t="array" ref="T55">T54</f>
        <v>0</v>
      </c>
      <c r="X55" s="1755"/>
      <c r="Z55" s="1735"/>
      <c r="AB55" s="215" t="s">
        <v>1816</v>
      </c>
      <c r="AC55" s="682" t="s">
        <v>1056</v>
      </c>
      <c r="AD55" s="216" t="s">
        <v>766</v>
      </c>
      <c r="AE55" s="1153"/>
      <c r="AF55" s="1153"/>
      <c r="AG55" s="1153"/>
      <c r="AH55" s="848">
        <f t="shared" si="2"/>
        <v>0</v>
      </c>
      <c r="AI55" s="1505"/>
      <c r="AJ55" s="1502"/>
      <c r="AK55" s="847"/>
      <c r="AL55" s="847"/>
      <c r="AM55" s="847"/>
      <c r="AN55" s="847"/>
      <c r="AO55" s="847"/>
      <c r="AP55" s="847"/>
      <c r="AQ55" s="847"/>
      <c r="AR55" s="847"/>
      <c r="AS55" s="847"/>
      <c r="AT55" s="847"/>
      <c r="AU55" s="847"/>
      <c r="AV55" s="847"/>
      <c r="AW55" s="847"/>
      <c r="AX55" s="847"/>
      <c r="AY55" s="847"/>
      <c r="AZ55" s="847"/>
      <c r="BA55" s="847"/>
      <c r="BB55" s="847"/>
      <c r="BC55" s="847"/>
      <c r="BD55" s="847"/>
      <c r="BE55" s="847"/>
      <c r="BF55" s="847"/>
      <c r="BG55" s="847"/>
      <c r="BH55" s="847"/>
      <c r="BI55" s="847"/>
      <c r="BJ55" s="847"/>
      <c r="BK55" s="847"/>
      <c r="BL55" s="847"/>
      <c r="BM55" s="847"/>
      <c r="BN55" s="1151"/>
      <c r="BO55" s="1154" t="str">
        <f ca="1">IF(IFERROR(INDEX(Административные!$K$26:$L$65,MATCH($F55&amp;"18komm",Административные!$K$26:$K$65,0),2),"")=0,"",IFERROR(INDEX(Административные!$K$26:$L$65,MATCH($F55&amp;"18komm",Административные!$K$26:$K$65,0),2),""))</f>
        <v/>
      </c>
      <c r="BP55" s="1151"/>
      <c r="BS55" s="966" t="s">
        <v>1057</v>
      </c>
    </row>
    <row r="56" spans="2:75" ht="14.65" hidden="1" customHeight="1">
      <c r="E56" s="620">
        <v>15</v>
      </c>
      <c r="F56" s="3" cm="1">
        <f t="array" aca="1" ref="F56" ca="1">OFFSET(E56,-1,1)</f>
        <v>0</v>
      </c>
      <c r="G56" s="77" t="s">
        <v>1058</v>
      </c>
      <c r="H56" s="290"/>
      <c r="I56" s="290" t="s">
        <v>1817</v>
      </c>
      <c r="K56" s="290" t="s">
        <v>1817</v>
      </c>
      <c r="L56" s="882"/>
      <c r="M56" s="26"/>
      <c r="Q56" s="77" t="s">
        <v>2044</v>
      </c>
      <c r="R56" s="80" t="s">
        <v>2044</v>
      </c>
      <c r="T56" s="381" t="b" cm="1">
        <f t="array" ref="T56">T55</f>
        <v>0</v>
      </c>
      <c r="X56" s="1755"/>
      <c r="Z56" s="1735"/>
      <c r="AB56" s="215" t="s">
        <v>1818</v>
      </c>
      <c r="AC56" s="682" t="s">
        <v>1059</v>
      </c>
      <c r="AD56" s="216" t="s">
        <v>766</v>
      </c>
      <c r="AE56" s="1153"/>
      <c r="AF56" s="1153"/>
      <c r="AG56" s="1153"/>
      <c r="AH56" s="848">
        <f t="shared" si="2"/>
        <v>0</v>
      </c>
      <c r="AI56" s="1505"/>
      <c r="AJ56" s="1502"/>
      <c r="AK56" s="847"/>
      <c r="AL56" s="847"/>
      <c r="AM56" s="847"/>
      <c r="AN56" s="847"/>
      <c r="AO56" s="847"/>
      <c r="AP56" s="847"/>
      <c r="AQ56" s="847"/>
      <c r="AR56" s="847"/>
      <c r="AS56" s="847"/>
      <c r="AT56" s="847"/>
      <c r="AU56" s="847"/>
      <c r="AV56" s="847"/>
      <c r="AW56" s="847"/>
      <c r="AX56" s="847"/>
      <c r="AY56" s="847"/>
      <c r="AZ56" s="847"/>
      <c r="BA56" s="847"/>
      <c r="BB56" s="847"/>
      <c r="BC56" s="847"/>
      <c r="BD56" s="847"/>
      <c r="BE56" s="847"/>
      <c r="BF56" s="847"/>
      <c r="BG56" s="847"/>
      <c r="BH56" s="847"/>
      <c r="BI56" s="847"/>
      <c r="BJ56" s="847"/>
      <c r="BK56" s="847"/>
      <c r="BL56" s="847"/>
      <c r="BM56" s="847"/>
      <c r="BN56" s="1151"/>
      <c r="BO56" s="1154" t="str">
        <f ca="1">IF(IFERROR(INDEX(Административные!$K$26:$L$65,MATCH($F56&amp;"11komm",Административные!$K$26:$K$65,0),2),"")=0,"",IFERROR(INDEX(Административные!$K$26:$L$65,MATCH($F56&amp;"11komm",Административные!$K$26:$K$65,0),2),""))</f>
        <v/>
      </c>
      <c r="BP56" s="1151"/>
      <c r="BS56" s="966" t="s">
        <v>1060</v>
      </c>
    </row>
    <row r="57" spans="2:75" ht="14.65" hidden="1" customHeight="1">
      <c r="E57" s="620">
        <v>15</v>
      </c>
      <c r="F57" s="3" cm="1">
        <f t="array" aca="1" ref="F57" ca="1">OFFSET(E57,-1,1)</f>
        <v>0</v>
      </c>
      <c r="G57" s="77" t="s">
        <v>1061</v>
      </c>
      <c r="H57" s="290"/>
      <c r="I57" s="290" t="s">
        <v>1819</v>
      </c>
      <c r="K57" s="290" t="s">
        <v>1819</v>
      </c>
      <c r="L57" s="882"/>
      <c r="M57" s="26"/>
      <c r="Q57" s="77" t="s">
        <v>2044</v>
      </c>
      <c r="R57" s="80" t="s">
        <v>2044</v>
      </c>
      <c r="T57" s="381" t="b" cm="1">
        <f t="array" ref="T57">T56</f>
        <v>0</v>
      </c>
      <c r="X57" s="1755"/>
      <c r="Z57" s="1735"/>
      <c r="AB57" s="215" t="s">
        <v>1820</v>
      </c>
      <c r="AC57" s="682" t="s">
        <v>1062</v>
      </c>
      <c r="AD57" s="216" t="s">
        <v>766</v>
      </c>
      <c r="AE57" s="1153"/>
      <c r="AF57" s="1153"/>
      <c r="AG57" s="1153"/>
      <c r="AH57" s="848">
        <f t="shared" si="2"/>
        <v>0</v>
      </c>
      <c r="AI57" s="1505"/>
      <c r="AJ57" s="1502"/>
      <c r="AK57" s="847"/>
      <c r="AL57" s="847"/>
      <c r="AM57" s="847"/>
      <c r="AN57" s="847"/>
      <c r="AO57" s="847"/>
      <c r="AP57" s="847"/>
      <c r="AQ57" s="847"/>
      <c r="AR57" s="847"/>
      <c r="AS57" s="847"/>
      <c r="AT57" s="847"/>
      <c r="AU57" s="847"/>
      <c r="AV57" s="847"/>
      <c r="AW57" s="847"/>
      <c r="AX57" s="847"/>
      <c r="AY57" s="847"/>
      <c r="AZ57" s="847"/>
      <c r="BA57" s="847"/>
      <c r="BB57" s="847"/>
      <c r="BC57" s="847"/>
      <c r="BD57" s="847"/>
      <c r="BE57" s="847"/>
      <c r="BF57" s="847"/>
      <c r="BG57" s="847"/>
      <c r="BH57" s="847"/>
      <c r="BI57" s="847"/>
      <c r="BJ57" s="847"/>
      <c r="BK57" s="847"/>
      <c r="BL57" s="847"/>
      <c r="BM57" s="847"/>
      <c r="BN57" s="1151"/>
      <c r="BO57" s="1154" t="str">
        <f ca="1">IF(IFERROR(INDEX(Административные!$K$26:$L$65,MATCH($F57&amp;"12komm",Административные!$K$26:$K$65,0),2),"")=0,"",IFERROR(INDEX(Административные!$K$26:$L$65,MATCH($F57&amp;"12komm",Административные!$K$26:$K$65,0),2),""))</f>
        <v/>
      </c>
      <c r="BP57" s="1151"/>
      <c r="BS57" s="966" t="s">
        <v>1063</v>
      </c>
    </row>
    <row r="58" spans="2:75" ht="14.65" hidden="1" customHeight="1">
      <c r="E58" s="620">
        <v>15</v>
      </c>
      <c r="F58" s="3" cm="1">
        <f t="array" aca="1" ref="F58" ca="1">OFFSET(E58,-1,1)</f>
        <v>0</v>
      </c>
      <c r="G58" s="77" t="s">
        <v>1064</v>
      </c>
      <c r="H58" s="290"/>
      <c r="I58" s="290" t="s">
        <v>1821</v>
      </c>
      <c r="K58" s="290" t="s">
        <v>1821</v>
      </c>
      <c r="L58" s="882"/>
      <c r="M58" s="26"/>
      <c r="Q58" s="77" t="s">
        <v>2044</v>
      </c>
      <c r="R58" s="80" t="s">
        <v>2044</v>
      </c>
      <c r="T58" s="381" t="b" cm="1">
        <f t="array" ref="T58">T57</f>
        <v>0</v>
      </c>
      <c r="X58" s="1755"/>
      <c r="Z58" s="1735"/>
      <c r="AB58" s="215" t="s">
        <v>1822</v>
      </c>
      <c r="AC58" s="682" t="s">
        <v>1065</v>
      </c>
      <c r="AD58" s="216" t="s">
        <v>766</v>
      </c>
      <c r="AE58" s="1153"/>
      <c r="AF58" s="1153"/>
      <c r="AG58" s="1153"/>
      <c r="AH58" s="848">
        <f t="shared" si="2"/>
        <v>0</v>
      </c>
      <c r="AI58" s="1505"/>
      <c r="AJ58" s="1502"/>
      <c r="AK58" s="847"/>
      <c r="AL58" s="847"/>
      <c r="AM58" s="847"/>
      <c r="AN58" s="847"/>
      <c r="AO58" s="847"/>
      <c r="AP58" s="847"/>
      <c r="AQ58" s="847"/>
      <c r="AR58" s="847"/>
      <c r="AS58" s="847"/>
      <c r="AT58" s="847"/>
      <c r="AU58" s="847"/>
      <c r="AV58" s="847"/>
      <c r="AW58" s="847"/>
      <c r="AX58" s="847"/>
      <c r="AY58" s="847"/>
      <c r="AZ58" s="847"/>
      <c r="BA58" s="847"/>
      <c r="BB58" s="847"/>
      <c r="BC58" s="847"/>
      <c r="BD58" s="847"/>
      <c r="BE58" s="847"/>
      <c r="BF58" s="847"/>
      <c r="BG58" s="847"/>
      <c r="BH58" s="847"/>
      <c r="BI58" s="847"/>
      <c r="BJ58" s="847"/>
      <c r="BK58" s="847"/>
      <c r="BL58" s="847"/>
      <c r="BM58" s="847"/>
      <c r="BN58" s="1151"/>
      <c r="BO58" s="1154" t="str">
        <f ca="1">IF(IFERROR(INDEX(Административные!$K$26:$L$65,MATCH($F58&amp;"13komm",Административные!$K$26:$K$65,0),2),"")=0,"",IFERROR(INDEX(Административные!$K$26:$L$65,MATCH($F58&amp;"13komm",Административные!$K$26:$K$65,0),2),""))</f>
        <v/>
      </c>
      <c r="BP58" s="1151"/>
      <c r="BS58" s="966" t="s">
        <v>1066</v>
      </c>
    </row>
    <row r="59" spans="2:75" ht="14.65" hidden="1" customHeight="1">
      <c r="E59" s="620">
        <v>15</v>
      </c>
      <c r="F59" s="3" cm="1">
        <f t="array" aca="1" ref="F59" ca="1">OFFSET(E59,-1,1)</f>
        <v>0</v>
      </c>
      <c r="G59" s="77" t="s">
        <v>1067</v>
      </c>
      <c r="H59" s="290"/>
      <c r="I59" s="290" t="s">
        <v>1823</v>
      </c>
      <c r="K59" s="290" t="s">
        <v>1823</v>
      </c>
      <c r="L59" s="882"/>
      <c r="M59" s="26"/>
      <c r="Q59" s="77" t="s">
        <v>2044</v>
      </c>
      <c r="R59" s="80" t="s">
        <v>2044</v>
      </c>
      <c r="T59" s="381" t="b" cm="1">
        <f t="array" ref="T59">T58</f>
        <v>0</v>
      </c>
      <c r="X59" s="1755"/>
      <c r="Z59" s="1735"/>
      <c r="AB59" s="215" t="s">
        <v>1824</v>
      </c>
      <c r="AC59" s="682" t="s">
        <v>1068</v>
      </c>
      <c r="AD59" s="216" t="s">
        <v>766</v>
      </c>
      <c r="AE59" s="1153"/>
      <c r="AF59" s="1153"/>
      <c r="AG59" s="1153"/>
      <c r="AH59" s="848">
        <f t="shared" si="2"/>
        <v>0</v>
      </c>
      <c r="AI59" s="1505"/>
      <c r="AJ59" s="1502"/>
      <c r="AK59" s="847"/>
      <c r="AL59" s="847"/>
      <c r="AM59" s="847"/>
      <c r="AN59" s="847"/>
      <c r="AO59" s="847"/>
      <c r="AP59" s="847"/>
      <c r="AQ59" s="847"/>
      <c r="AR59" s="847"/>
      <c r="AS59" s="847"/>
      <c r="AT59" s="847"/>
      <c r="AU59" s="847"/>
      <c r="AV59" s="847"/>
      <c r="AW59" s="847"/>
      <c r="AX59" s="847"/>
      <c r="AY59" s="847"/>
      <c r="AZ59" s="847"/>
      <c r="BA59" s="847"/>
      <c r="BB59" s="847"/>
      <c r="BC59" s="847"/>
      <c r="BD59" s="847"/>
      <c r="BE59" s="847"/>
      <c r="BF59" s="847"/>
      <c r="BG59" s="847"/>
      <c r="BH59" s="847"/>
      <c r="BI59" s="847"/>
      <c r="BJ59" s="847"/>
      <c r="BK59" s="847"/>
      <c r="BL59" s="847"/>
      <c r="BM59" s="847"/>
      <c r="BN59" s="1151"/>
      <c r="BO59" s="1154" t="str">
        <f ca="1">IF(IFERROR(INDEX(Административные!$K$26:$L$65,MATCH($F59&amp;"14komm",Административные!$K$26:$K$65,0),2),"")=0,"",IFERROR(INDEX(Административные!$K$26:$L$65,MATCH($F59&amp;"14komm",Административные!$K$26:$K$65,0),2),""))</f>
        <v/>
      </c>
      <c r="BP59" s="1151"/>
      <c r="BS59" s="966" t="s">
        <v>1825</v>
      </c>
    </row>
    <row r="60" spans="2:75" ht="14.65" hidden="1" customHeight="1">
      <c r="E60" s="620">
        <v>15</v>
      </c>
      <c r="F60" s="3" cm="1">
        <f t="array" aca="1" ref="F60" ca="1">OFFSET(E60,-1,1)</f>
        <v>0</v>
      </c>
      <c r="G60" s="77" t="s">
        <v>1070</v>
      </c>
      <c r="H60" s="290"/>
      <c r="I60" s="290" t="s">
        <v>1826</v>
      </c>
      <c r="K60" s="290" t="s">
        <v>1826</v>
      </c>
      <c r="L60" s="882"/>
      <c r="M60" s="26"/>
      <c r="Q60" s="77" t="s">
        <v>2044</v>
      </c>
      <c r="R60" s="80" t="s">
        <v>2044</v>
      </c>
      <c r="T60" s="381" t="b" cm="1">
        <f t="array" ref="T60">T59</f>
        <v>0</v>
      </c>
      <c r="X60" s="1755"/>
      <c r="Z60" s="1735"/>
      <c r="AB60" s="215" t="s">
        <v>1827</v>
      </c>
      <c r="AC60" s="682" t="s">
        <v>1073</v>
      </c>
      <c r="AD60" s="216" t="s">
        <v>766</v>
      </c>
      <c r="AE60" s="1153"/>
      <c r="AF60" s="1153"/>
      <c r="AG60" s="1153"/>
      <c r="AH60" s="848">
        <f t="shared" ref="AH60:AH91" si="6">AG60-AF60</f>
        <v>0</v>
      </c>
      <c r="AI60" s="1505"/>
      <c r="AJ60" s="1502"/>
      <c r="AK60" s="847"/>
      <c r="AL60" s="847"/>
      <c r="AM60" s="847"/>
      <c r="AN60" s="847"/>
      <c r="AO60" s="847"/>
      <c r="AP60" s="847"/>
      <c r="AQ60" s="847"/>
      <c r="AR60" s="847"/>
      <c r="AS60" s="847"/>
      <c r="AT60" s="847"/>
      <c r="AU60" s="847"/>
      <c r="AV60" s="847"/>
      <c r="AW60" s="847"/>
      <c r="AX60" s="847"/>
      <c r="AY60" s="847"/>
      <c r="AZ60" s="847"/>
      <c r="BA60" s="847"/>
      <c r="BB60" s="847"/>
      <c r="BC60" s="847"/>
      <c r="BD60" s="847"/>
      <c r="BE60" s="847"/>
      <c r="BF60" s="847"/>
      <c r="BG60" s="847"/>
      <c r="BH60" s="847"/>
      <c r="BI60" s="847"/>
      <c r="BJ60" s="847"/>
      <c r="BK60" s="847"/>
      <c r="BL60" s="847"/>
      <c r="BM60" s="847"/>
      <c r="BN60" s="1151"/>
      <c r="BO60" s="1154" t="str">
        <f ca="1">IF(IFERROR(INDEX(Административные!$K$26:$L$65,MATCH($F60&amp;"15komm",Административные!$K$26:$K$65,0),2),"")=0,"",IFERROR(INDEX(Административные!$K$26:$L$65,MATCH($F60&amp;"15komm",Административные!$K$26:$K$65,0),2),""))</f>
        <v/>
      </c>
      <c r="BP60" s="1151"/>
      <c r="BS60" s="966" t="s">
        <v>1074</v>
      </c>
    </row>
    <row r="61" spans="2:75" ht="14.65" hidden="1" customHeight="1">
      <c r="E61" s="620">
        <v>15</v>
      </c>
      <c r="F61" s="3" cm="1">
        <f t="array" aca="1" ref="F61" ca="1">OFFSET(E61,-1,1)</f>
        <v>0</v>
      </c>
      <c r="G61" s="77" t="s">
        <v>1075</v>
      </c>
      <c r="H61" s="290"/>
      <c r="I61" s="290" t="s">
        <v>1828</v>
      </c>
      <c r="K61" s="290" t="s">
        <v>1828</v>
      </c>
      <c r="L61" s="882"/>
      <c r="M61" s="26"/>
      <c r="Q61" s="77" t="s">
        <v>2044</v>
      </c>
      <c r="R61" s="80" t="s">
        <v>2044</v>
      </c>
      <c r="T61" s="381" t="b" cm="1">
        <f t="array" ref="T61">T60</f>
        <v>0</v>
      </c>
      <c r="X61" s="1755"/>
      <c r="Z61" s="1735"/>
      <c r="AB61" s="215" t="s">
        <v>1829</v>
      </c>
      <c r="AC61" s="682" t="s">
        <v>1078</v>
      </c>
      <c r="AD61" s="216" t="s">
        <v>766</v>
      </c>
      <c r="AE61" s="1153"/>
      <c r="AF61" s="1153"/>
      <c r="AG61" s="1153"/>
      <c r="AH61" s="848">
        <f t="shared" si="6"/>
        <v>0</v>
      </c>
      <c r="AI61" s="1505"/>
      <c r="AJ61" s="1502"/>
      <c r="AK61" s="847"/>
      <c r="AL61" s="847"/>
      <c r="AM61" s="847"/>
      <c r="AN61" s="847"/>
      <c r="AO61" s="847"/>
      <c r="AP61" s="847"/>
      <c r="AQ61" s="847"/>
      <c r="AR61" s="847"/>
      <c r="AS61" s="847"/>
      <c r="AT61" s="847"/>
      <c r="AU61" s="847"/>
      <c r="AV61" s="847"/>
      <c r="AW61" s="847"/>
      <c r="AX61" s="847"/>
      <c r="AY61" s="847"/>
      <c r="AZ61" s="847"/>
      <c r="BA61" s="847"/>
      <c r="BB61" s="847"/>
      <c r="BC61" s="847"/>
      <c r="BD61" s="847"/>
      <c r="BE61" s="847"/>
      <c r="BF61" s="847"/>
      <c r="BG61" s="847"/>
      <c r="BH61" s="847"/>
      <c r="BI61" s="847"/>
      <c r="BJ61" s="847"/>
      <c r="BK61" s="847"/>
      <c r="BL61" s="847"/>
      <c r="BM61" s="847"/>
      <c r="BN61" s="1151"/>
      <c r="BO61" s="1154" t="str">
        <f ca="1">IF(IFERROR(INDEX(Административные!$K$26:$L$65,MATCH($F61&amp;"16komm",Административные!$K$26:$K$65,0),2),"")=0,"",IFERROR(INDEX(Административные!$K$26:$L$65,MATCH($F61&amp;"16komm",Административные!$K$26:$K$65,0),2),""))</f>
        <v/>
      </c>
      <c r="BP61" s="1151"/>
      <c r="BS61" s="966" t="s">
        <v>1830</v>
      </c>
    </row>
    <row r="62" spans="2:75" ht="21.95" hidden="1" customHeight="1">
      <c r="E62" s="620">
        <v>22.5</v>
      </c>
      <c r="F62" s="3" cm="1">
        <f t="array" aca="1" ref="F62" ca="1">OFFSET(E62,-1,1)</f>
        <v>0</v>
      </c>
      <c r="H62" s="290"/>
      <c r="I62" s="290" t="s">
        <v>1214</v>
      </c>
      <c r="K62" s="290" t="s">
        <v>1214</v>
      </c>
      <c r="L62" s="882" t="s">
        <v>853</v>
      </c>
      <c r="M62" s="26"/>
      <c r="Q62" s="77" t="s">
        <v>2044</v>
      </c>
      <c r="R62" s="80" t="s">
        <v>2044</v>
      </c>
      <c r="T62" s="381" t="b" cm="1">
        <f t="array" ref="T62">T61</f>
        <v>0</v>
      </c>
      <c r="X62" s="1755"/>
      <c r="Z62" s="1735"/>
      <c r="AB62" s="215" t="s">
        <v>944</v>
      </c>
      <c r="AC62" s="679" t="s">
        <v>1831</v>
      </c>
      <c r="AD62" s="216" t="s">
        <v>766</v>
      </c>
      <c r="AE62" s="849">
        <f ca="1">AE63+AE64</f>
        <v>0</v>
      </c>
      <c r="AF62" s="849">
        <f ca="1">AF63+AF64</f>
        <v>0</v>
      </c>
      <c r="AG62" s="849">
        <f ca="1">AG63+AG64</f>
        <v>0</v>
      </c>
      <c r="AH62" s="848">
        <f t="shared" ca="1" si="6"/>
        <v>0</v>
      </c>
      <c r="AI62" s="1506">
        <f ca="1">AI63+AI64</f>
        <v>0</v>
      </c>
      <c r="AJ62" s="1502"/>
      <c r="AK62" s="847"/>
      <c r="AL62" s="847"/>
      <c r="AM62" s="847"/>
      <c r="AN62" s="847"/>
      <c r="AO62" s="847"/>
      <c r="AP62" s="847"/>
      <c r="AQ62" s="847"/>
      <c r="AR62" s="847"/>
      <c r="AS62" s="847"/>
      <c r="AT62" s="847"/>
      <c r="AU62" s="847"/>
      <c r="AV62" s="847"/>
      <c r="AW62" s="847"/>
      <c r="AX62" s="847"/>
      <c r="AY62" s="847"/>
      <c r="AZ62" s="847"/>
      <c r="BA62" s="847"/>
      <c r="BB62" s="847"/>
      <c r="BC62" s="847"/>
      <c r="BD62" s="847"/>
      <c r="BE62" s="847"/>
      <c r="BF62" s="847"/>
      <c r="BG62" s="847"/>
      <c r="BH62" s="847"/>
      <c r="BI62" s="847"/>
      <c r="BJ62" s="847"/>
      <c r="BK62" s="847"/>
      <c r="BL62" s="847"/>
      <c r="BM62" s="847"/>
      <c r="BN62" s="1151"/>
      <c r="BO62" s="1151"/>
      <c r="BP62" s="1151"/>
      <c r="BS62" s="964" t="s">
        <v>1630</v>
      </c>
    </row>
    <row r="63" spans="2:75" ht="14.65" hidden="1" customHeight="1">
      <c r="E63" s="620">
        <v>15</v>
      </c>
      <c r="F63" s="3" cm="1">
        <f t="array" aca="1" ref="F63" ca="1">OFFSET(E63,-1,1)</f>
        <v>0</v>
      </c>
      <c r="G63" s="77" t="s">
        <v>1034</v>
      </c>
      <c r="H63" s="290"/>
      <c r="I63" s="290" t="s">
        <v>1832</v>
      </c>
      <c r="K63" s="290" t="s">
        <v>1832</v>
      </c>
      <c r="L63" s="882" t="s">
        <v>463</v>
      </c>
      <c r="M63" s="26"/>
      <c r="Q63" s="77" t="s">
        <v>2044</v>
      </c>
      <c r="R63" s="80" t="s">
        <v>2044</v>
      </c>
      <c r="T63" s="381" t="b" cm="1">
        <f t="array" ref="T63">T62</f>
        <v>0</v>
      </c>
      <c r="X63" s="1755"/>
      <c r="Z63" s="1735"/>
      <c r="AB63" s="215" t="s">
        <v>1833</v>
      </c>
      <c r="AC63" s="682" t="s">
        <v>1631</v>
      </c>
      <c r="AD63" s="685" t="s">
        <v>766</v>
      </c>
      <c r="AE63" s="1153"/>
      <c r="AF63" s="1153"/>
      <c r="AG63" s="1153"/>
      <c r="AH63" s="848">
        <f t="shared" si="6"/>
        <v>0</v>
      </c>
      <c r="AI63" s="1505"/>
      <c r="AJ63" s="1502"/>
      <c r="AK63" s="847"/>
      <c r="AL63" s="847"/>
      <c r="AM63" s="847"/>
      <c r="AN63" s="847"/>
      <c r="AO63" s="847"/>
      <c r="AP63" s="847"/>
      <c r="AQ63" s="847"/>
      <c r="AR63" s="847"/>
      <c r="AS63" s="847"/>
      <c r="AT63" s="847"/>
      <c r="AU63" s="847"/>
      <c r="AV63" s="847"/>
      <c r="AW63" s="847"/>
      <c r="AX63" s="847"/>
      <c r="AY63" s="847"/>
      <c r="AZ63" s="847"/>
      <c r="BA63" s="847"/>
      <c r="BB63" s="847"/>
      <c r="BC63" s="847"/>
      <c r="BD63" s="847"/>
      <c r="BE63" s="847"/>
      <c r="BF63" s="847"/>
      <c r="BG63" s="847"/>
      <c r="BH63" s="847"/>
      <c r="BI63" s="847"/>
      <c r="BJ63" s="847"/>
      <c r="BK63" s="847"/>
      <c r="BL63" s="847"/>
      <c r="BM63" s="847"/>
      <c r="BN63" s="1151"/>
      <c r="BO63" s="1154" t="str">
        <f ca="1">IF(IFERROR(INDEX(ФОТ!$K$26:$L$77,MATCH($F63&amp;"5komm",ФОТ!$K$26:$K$77,0),2),"")=0,"",IFERROR(INDEX(ФОТ!$K$26:$L$77,MATCH($F63&amp;"5komm",ФОТ!$K$26:$K$77,0),2),""))</f>
        <v/>
      </c>
      <c r="BP63" s="1151"/>
      <c r="BS63" s="964" t="s">
        <v>1051</v>
      </c>
    </row>
    <row r="64" spans="2:75" ht="21.95" hidden="1" customHeight="1">
      <c r="E64" s="620">
        <v>22.5</v>
      </c>
      <c r="F64" s="3" cm="1">
        <f t="array" aca="1" ref="F64" ca="1">OFFSET(E64,-1,1)</f>
        <v>0</v>
      </c>
      <c r="G64" s="77" t="s">
        <v>1039</v>
      </c>
      <c r="H64" s="290"/>
      <c r="I64" s="290" t="s">
        <v>1834</v>
      </c>
      <c r="K64" s="290" t="s">
        <v>1834</v>
      </c>
      <c r="L64" s="882" t="s">
        <v>468</v>
      </c>
      <c r="M64" s="26"/>
      <c r="Q64" s="77" t="s">
        <v>2044</v>
      </c>
      <c r="R64" s="80" t="s">
        <v>2044</v>
      </c>
      <c r="T64" s="381" t="b" cm="1">
        <f t="array" ref="T64">T63</f>
        <v>0</v>
      </c>
      <c r="X64" s="1755"/>
      <c r="Z64" s="1735"/>
      <c r="AB64" s="215" t="s">
        <v>1835</v>
      </c>
      <c r="AC64" s="682" t="s">
        <v>1836</v>
      </c>
      <c r="AD64" s="216" t="s">
        <v>766</v>
      </c>
      <c r="AE64" s="1153">
        <f ca="1">AE63*SUMIFS(INDEX(Сценарии!$AE$25:$BF$82,,MATCH(AE$8,Сценарии!$AE$8:$BF$8,0)),Сценарии!$F$25:$F$82,$F64,Сценарии!$G$25:$G$82,"СВФОТ")/100</f>
        <v>0</v>
      </c>
      <c r="AF64" s="1153">
        <f ca="1">AF63*SUMIFS(INDEX(Сценарии!$AE$25:$BF$82,,MATCH(AF$8,Сценарии!$AE$8:$BF$8,0)),Сценарии!$F$25:$F$82,$F64,Сценарии!$G$25:$G$82,"СВФОТ")/100</f>
        <v>0</v>
      </c>
      <c r="AG64" s="1153">
        <f ca="1">AG63*SUMIFS(INDEX(Сценарии!$AE$25:$BF$82,,MATCH(AG$8,Сценарии!$AE$8:$BF$8,0)),Сценарии!$F$25:$F$82,$F64,Сценарии!$G$25:$G$82,"СВФОТ")/100</f>
        <v>0</v>
      </c>
      <c r="AH64" s="848">
        <f t="shared" ca="1" si="6"/>
        <v>0</v>
      </c>
      <c r="AI64" s="1505">
        <f ca="1">AI63*SUMIFS(INDEX(Сценарии!$AE$25:$BF$82,,MATCH(AG$8,Сценарии!$AE$8:$BF$8,0)),Сценарии!$F$25:$F$82,$F64,Сценарии!$G$25:$G$82,"СВФОТ")/100</f>
        <v>0</v>
      </c>
      <c r="AJ64" s="1502"/>
      <c r="AK64" s="847"/>
      <c r="AL64" s="847"/>
      <c r="AM64" s="847"/>
      <c r="AN64" s="847"/>
      <c r="AO64" s="847"/>
      <c r="AP64" s="847"/>
      <c r="AQ64" s="847"/>
      <c r="AR64" s="847"/>
      <c r="AS64" s="847"/>
      <c r="AT64" s="847"/>
      <c r="AU64" s="847"/>
      <c r="AV64" s="847"/>
      <c r="AW64" s="847"/>
      <c r="AX64" s="847"/>
      <c r="AY64" s="847"/>
      <c r="AZ64" s="847"/>
      <c r="BA64" s="847"/>
      <c r="BB64" s="847"/>
      <c r="BC64" s="847"/>
      <c r="BD64" s="847"/>
      <c r="BE64" s="847"/>
      <c r="BF64" s="847"/>
      <c r="BG64" s="847"/>
      <c r="BH64" s="847"/>
      <c r="BI64" s="847"/>
      <c r="BJ64" s="847"/>
      <c r="BK64" s="847"/>
      <c r="BL64" s="847"/>
      <c r="BM64" s="847"/>
      <c r="BN64" s="1151"/>
      <c r="BO64" s="1154" t="str">
        <f ca="1">IF(IFERROR(INDEX(ФОТ!$K$26:$L$77,MATCH($F64&amp;"6komm",ФОТ!$K$26:$K$77,0),2),"")=0,"",IFERROR(INDEX(ФОТ!$K$26:$L$77,MATCH($F64&amp;"6komm",ФОТ!$K$26:$K$77,0),2),""))</f>
        <v/>
      </c>
      <c r="BP64" s="1151"/>
      <c r="BS64" s="964" t="s">
        <v>1633</v>
      </c>
    </row>
    <row r="65" spans="2:75" ht="32.85" hidden="1" customHeight="1">
      <c r="E65" s="620">
        <v>33.75</v>
      </c>
      <c r="F65" s="3" cm="1">
        <f t="array" aca="1" ref="F65" ca="1">OFFSET(E65,-1,1)</f>
        <v>0</v>
      </c>
      <c r="G65" s="2" t="s">
        <v>1080</v>
      </c>
      <c r="H65" s="290"/>
      <c r="I65" s="290" t="s">
        <v>1217</v>
      </c>
      <c r="K65" s="290" t="s">
        <v>1217</v>
      </c>
      <c r="L65" s="882" t="s">
        <v>855</v>
      </c>
      <c r="M65" s="26"/>
      <c r="Q65" s="77" t="s">
        <v>2044</v>
      </c>
      <c r="R65" s="80" t="s">
        <v>2044</v>
      </c>
      <c r="T65" s="381" t="b" cm="1">
        <f t="array" ref="T65">T64</f>
        <v>0</v>
      </c>
      <c r="X65" s="1755"/>
      <c r="Z65" s="1735"/>
      <c r="AB65" s="215" t="s">
        <v>1218</v>
      </c>
      <c r="AC65" s="679" t="s">
        <v>1837</v>
      </c>
      <c r="AD65" s="216" t="s">
        <v>766</v>
      </c>
      <c r="AE65" s="1153"/>
      <c r="AF65" s="1153"/>
      <c r="AG65" s="1153"/>
      <c r="AH65" s="848">
        <f t="shared" si="6"/>
        <v>0</v>
      </c>
      <c r="AI65" s="1505"/>
      <c r="AJ65" s="1502"/>
      <c r="AK65" s="847"/>
      <c r="AL65" s="847"/>
      <c r="AM65" s="847"/>
      <c r="AN65" s="847"/>
      <c r="AO65" s="847"/>
      <c r="AP65" s="847"/>
      <c r="AQ65" s="847"/>
      <c r="AR65" s="847"/>
      <c r="AS65" s="847"/>
      <c r="AT65" s="847"/>
      <c r="AU65" s="847"/>
      <c r="AV65" s="847"/>
      <c r="AW65" s="847"/>
      <c r="AX65" s="847"/>
      <c r="AY65" s="847"/>
      <c r="AZ65" s="847"/>
      <c r="BA65" s="847"/>
      <c r="BB65" s="847"/>
      <c r="BC65" s="847"/>
      <c r="BD65" s="847"/>
      <c r="BE65" s="847"/>
      <c r="BF65" s="847"/>
      <c r="BG65" s="847"/>
      <c r="BH65" s="847"/>
      <c r="BI65" s="847"/>
      <c r="BJ65" s="847"/>
      <c r="BK65" s="847"/>
      <c r="BL65" s="847"/>
      <c r="BM65" s="847"/>
      <c r="BN65" s="1151"/>
      <c r="BO65" s="1154" t="str">
        <f ca="1">IF(IFERROR(INDEX(Административные!$K$26:$L$65,MATCH($F65&amp;"2komm",Административные!$K$26:$K$65,0),2),"")=0,"",IFERROR(INDEX(Административные!$K$26:$L$65,MATCH($F65&amp;"2komm",Административные!$K$26:$K$65,0),2),""))</f>
        <v/>
      </c>
      <c r="BP65" s="1151"/>
      <c r="BS65" s="964" t="s">
        <v>1082</v>
      </c>
    </row>
    <row r="66" spans="2:75" ht="14.65" hidden="1" customHeight="1">
      <c r="E66" s="620">
        <v>15</v>
      </c>
      <c r="F66" s="3" cm="1">
        <f t="array" aca="1" ref="F66" ca="1">OFFSET(E66,-1,1)</f>
        <v>0</v>
      </c>
      <c r="G66" s="2" t="s">
        <v>1083</v>
      </c>
      <c r="H66" s="290"/>
      <c r="I66" s="290" t="s">
        <v>1221</v>
      </c>
      <c r="K66" s="290" t="s">
        <v>1221</v>
      </c>
      <c r="L66" s="882" t="s">
        <v>857</v>
      </c>
      <c r="M66" s="26"/>
      <c r="Q66" s="77" t="s">
        <v>2044</v>
      </c>
      <c r="R66" s="80" t="s">
        <v>2044</v>
      </c>
      <c r="T66" s="381" t="b" cm="1">
        <f t="array" ref="T66">T65</f>
        <v>0</v>
      </c>
      <c r="X66" s="1755"/>
      <c r="Z66" s="1735"/>
      <c r="AB66" s="215" t="s">
        <v>1222</v>
      </c>
      <c r="AC66" s="679" t="s">
        <v>1838</v>
      </c>
      <c r="AD66" s="216" t="s">
        <v>766</v>
      </c>
      <c r="AE66" s="1153"/>
      <c r="AF66" s="1153"/>
      <c r="AG66" s="1153"/>
      <c r="AH66" s="848">
        <f t="shared" si="6"/>
        <v>0</v>
      </c>
      <c r="AI66" s="1505"/>
      <c r="AJ66" s="1502"/>
      <c r="AK66" s="847"/>
      <c r="AL66" s="847"/>
      <c r="AM66" s="847"/>
      <c r="AN66" s="847"/>
      <c r="AO66" s="847"/>
      <c r="AP66" s="847"/>
      <c r="AQ66" s="847"/>
      <c r="AR66" s="847"/>
      <c r="AS66" s="847"/>
      <c r="AT66" s="847"/>
      <c r="AU66" s="847"/>
      <c r="AV66" s="847"/>
      <c r="AW66" s="847"/>
      <c r="AX66" s="847"/>
      <c r="AY66" s="847"/>
      <c r="AZ66" s="847"/>
      <c r="BA66" s="847"/>
      <c r="BB66" s="847"/>
      <c r="BC66" s="847"/>
      <c r="BD66" s="847"/>
      <c r="BE66" s="847"/>
      <c r="BF66" s="847"/>
      <c r="BG66" s="847"/>
      <c r="BH66" s="847"/>
      <c r="BI66" s="847"/>
      <c r="BJ66" s="847"/>
      <c r="BK66" s="847"/>
      <c r="BL66" s="847"/>
      <c r="BM66" s="847"/>
      <c r="BN66" s="1151"/>
      <c r="BO66" s="1154" t="str">
        <f ca="1">IF(IFERROR(INDEX(Административные!$K$26:$L$65,MATCH($F66&amp;"3komm",Административные!$K$26:$K$65,0),2),"")=0,"",IFERROR(INDEX(Административные!$K$26:$L$65,MATCH($F66&amp;"3komm",Административные!$K$26:$K$65,0),2),""))</f>
        <v/>
      </c>
      <c r="BP66" s="1151"/>
      <c r="BS66" s="964" t="s">
        <v>1085</v>
      </c>
    </row>
    <row r="67" spans="2:75" ht="14.65" hidden="1" customHeight="1">
      <c r="E67" s="620">
        <v>15</v>
      </c>
      <c r="F67" s="3" cm="1">
        <f t="array" aca="1" ref="F67" ca="1">OFFSET(E67,-1,1)</f>
        <v>0</v>
      </c>
      <c r="G67" s="2" t="s">
        <v>1086</v>
      </c>
      <c r="H67" s="290"/>
      <c r="I67" s="290" t="s">
        <v>1839</v>
      </c>
      <c r="K67" s="290" t="s">
        <v>1839</v>
      </c>
      <c r="L67" s="882" t="s">
        <v>860</v>
      </c>
      <c r="M67" s="26"/>
      <c r="Q67" s="77" t="s">
        <v>2044</v>
      </c>
      <c r="R67" s="80" t="s">
        <v>2044</v>
      </c>
      <c r="T67" s="381" t="b" cm="1">
        <f t="array" ref="T67">T66</f>
        <v>0</v>
      </c>
      <c r="X67" s="1755"/>
      <c r="Z67" s="1735"/>
      <c r="AB67" s="215" t="s">
        <v>1840</v>
      </c>
      <c r="AC67" s="679" t="s">
        <v>1841</v>
      </c>
      <c r="AD67" s="216" t="s">
        <v>766</v>
      </c>
      <c r="AE67" s="1153"/>
      <c r="AF67" s="1153"/>
      <c r="AG67" s="1153"/>
      <c r="AH67" s="848">
        <f t="shared" si="6"/>
        <v>0</v>
      </c>
      <c r="AI67" s="1505"/>
      <c r="AJ67" s="1502"/>
      <c r="AK67" s="847"/>
      <c r="AL67" s="847"/>
      <c r="AM67" s="847"/>
      <c r="AN67" s="847"/>
      <c r="AO67" s="847"/>
      <c r="AP67" s="847"/>
      <c r="AQ67" s="847"/>
      <c r="AR67" s="847"/>
      <c r="AS67" s="847"/>
      <c r="AT67" s="847"/>
      <c r="AU67" s="847"/>
      <c r="AV67" s="847"/>
      <c r="AW67" s="847"/>
      <c r="AX67" s="847"/>
      <c r="AY67" s="847"/>
      <c r="AZ67" s="847"/>
      <c r="BA67" s="847"/>
      <c r="BB67" s="847"/>
      <c r="BC67" s="847"/>
      <c r="BD67" s="847"/>
      <c r="BE67" s="847"/>
      <c r="BF67" s="847"/>
      <c r="BG67" s="847"/>
      <c r="BH67" s="847"/>
      <c r="BI67" s="847"/>
      <c r="BJ67" s="847"/>
      <c r="BK67" s="847"/>
      <c r="BL67" s="847"/>
      <c r="BM67" s="847"/>
      <c r="BN67" s="1151"/>
      <c r="BO67" s="1154" t="str">
        <f ca="1">IF(IFERROR(INDEX(Административные!$K$26:$L$65,MATCH($F67&amp;"4komm",Административные!$K$26:$K$65,0),2),"")=0,"",IFERROR(INDEX(Административные!$K$26:$L$65,MATCH($F67&amp;"4komm",Административные!$K$26:$K$65,0),2),""))</f>
        <v/>
      </c>
      <c r="BP67" s="1151"/>
      <c r="BS67" s="964" t="s">
        <v>1088</v>
      </c>
    </row>
    <row r="68" spans="2:75" ht="14.65" hidden="1" customHeight="1">
      <c r="E68" s="620">
        <v>15</v>
      </c>
      <c r="F68" s="3" cm="1">
        <f t="array" aca="1" ref="F68" ca="1">OFFSET(E68,-1,1)</f>
        <v>0</v>
      </c>
      <c r="G68" s="2" t="s">
        <v>1089</v>
      </c>
      <c r="H68" s="290"/>
      <c r="I68" s="290" t="s">
        <v>1842</v>
      </c>
      <c r="K68" s="290" t="s">
        <v>1842</v>
      </c>
      <c r="L68" s="882" t="s">
        <v>1071</v>
      </c>
      <c r="M68" s="26"/>
      <c r="Q68" s="77" t="s">
        <v>2044</v>
      </c>
      <c r="R68" s="80" t="s">
        <v>2044</v>
      </c>
      <c r="T68" s="381" t="b" cm="1">
        <f t="array" ref="T68">T67</f>
        <v>0</v>
      </c>
      <c r="X68" s="1755"/>
      <c r="Z68" s="1735"/>
      <c r="AB68" s="215" t="s">
        <v>1843</v>
      </c>
      <c r="AC68" s="679" t="s">
        <v>1844</v>
      </c>
      <c r="AD68" s="216" t="s">
        <v>766</v>
      </c>
      <c r="AE68" s="1153"/>
      <c r="AF68" s="1153"/>
      <c r="AG68" s="1153"/>
      <c r="AH68" s="848">
        <f t="shared" si="6"/>
        <v>0</v>
      </c>
      <c r="AI68" s="1505"/>
      <c r="AJ68" s="1502"/>
      <c r="AK68" s="847"/>
      <c r="AL68" s="847"/>
      <c r="AM68" s="847"/>
      <c r="AN68" s="847"/>
      <c r="AO68" s="847"/>
      <c r="AP68" s="847"/>
      <c r="AQ68" s="847"/>
      <c r="AR68" s="847"/>
      <c r="AS68" s="847"/>
      <c r="AT68" s="847"/>
      <c r="AU68" s="847"/>
      <c r="AV68" s="847"/>
      <c r="AW68" s="847"/>
      <c r="AX68" s="847"/>
      <c r="AY68" s="847"/>
      <c r="AZ68" s="847"/>
      <c r="BA68" s="847"/>
      <c r="BB68" s="847"/>
      <c r="BC68" s="847"/>
      <c r="BD68" s="847"/>
      <c r="BE68" s="847"/>
      <c r="BF68" s="847"/>
      <c r="BG68" s="847"/>
      <c r="BH68" s="847"/>
      <c r="BI68" s="847"/>
      <c r="BJ68" s="847"/>
      <c r="BK68" s="847"/>
      <c r="BL68" s="847"/>
      <c r="BM68" s="847"/>
      <c r="BN68" s="1151"/>
      <c r="BO68" s="1154" t="str">
        <f ca="1">IF(IFERROR(INDEX(Административные!$K$26:$L$65,MATCH($F68&amp;"5komm",Административные!$K$26:$K$65,0),2),"")=0,"",IFERROR(INDEX(Административные!$K$26:$L$65,MATCH($F68&amp;"5komm",Административные!$K$26:$K$65,0),2),""))</f>
        <v/>
      </c>
      <c r="BP68" s="1151"/>
      <c r="BS68" s="964" t="s">
        <v>1635</v>
      </c>
    </row>
    <row r="69" spans="2:75" ht="14.65" hidden="1" customHeight="1">
      <c r="E69" s="620">
        <v>15</v>
      </c>
      <c r="F69" s="3" cm="1">
        <f t="array" aca="1" ref="F69" ca="1">OFFSET(E69,-1,1)</f>
        <v>0</v>
      </c>
      <c r="G69" s="2" t="s">
        <v>1092</v>
      </c>
      <c r="H69" s="290"/>
      <c r="I69" s="290" t="s">
        <v>1845</v>
      </c>
      <c r="K69" s="290" t="s">
        <v>1845</v>
      </c>
      <c r="L69" s="882" t="s">
        <v>1076</v>
      </c>
      <c r="M69" s="26"/>
      <c r="Q69" s="77" t="s">
        <v>2044</v>
      </c>
      <c r="R69" s="80" t="s">
        <v>2044</v>
      </c>
      <c r="T69" s="381" t="b" cm="1">
        <f t="array" ref="T69">T68</f>
        <v>0</v>
      </c>
      <c r="X69" s="1755"/>
      <c r="Z69" s="1735"/>
      <c r="AB69" s="215" t="s">
        <v>1846</v>
      </c>
      <c r="AC69" s="679" t="s">
        <v>1847</v>
      </c>
      <c r="AD69" s="216" t="s">
        <v>766</v>
      </c>
      <c r="AE69" s="848">
        <f>SUM(AE70:AE72)</f>
        <v>0</v>
      </c>
      <c r="AF69" s="848">
        <f>SUM(AF70:AF72)</f>
        <v>0</v>
      </c>
      <c r="AG69" s="848">
        <f>SUM(AG70:AG72)</f>
        <v>0</v>
      </c>
      <c r="AH69" s="848">
        <f t="shared" si="6"/>
        <v>0</v>
      </c>
      <c r="AI69" s="1504">
        <f>SUM(AI70:AI72)</f>
        <v>0</v>
      </c>
      <c r="AJ69" s="1502"/>
      <c r="AK69" s="847"/>
      <c r="AL69" s="847"/>
      <c r="AM69" s="847"/>
      <c r="AN69" s="847"/>
      <c r="AO69" s="847"/>
      <c r="AP69" s="847"/>
      <c r="AQ69" s="847"/>
      <c r="AR69" s="847"/>
      <c r="AS69" s="847"/>
      <c r="AT69" s="847"/>
      <c r="AU69" s="847"/>
      <c r="AV69" s="847"/>
      <c r="AW69" s="847"/>
      <c r="AX69" s="847"/>
      <c r="AY69" s="847"/>
      <c r="AZ69" s="847"/>
      <c r="BA69" s="847"/>
      <c r="BB69" s="847"/>
      <c r="BC69" s="847"/>
      <c r="BD69" s="847"/>
      <c r="BE69" s="847"/>
      <c r="BF69" s="847"/>
      <c r="BG69" s="847"/>
      <c r="BH69" s="847"/>
      <c r="BI69" s="847"/>
      <c r="BJ69" s="847"/>
      <c r="BK69" s="847"/>
      <c r="BL69" s="847"/>
      <c r="BM69" s="847"/>
      <c r="BN69" s="1151"/>
      <c r="BO69" s="1154" t="str">
        <f ca="1">IF(IFERROR(INDEX(Административные!$K$26:$L$65,MATCH($F69&amp;"6komm",Административные!$K$26:$K$65,0),2),"")=0,"",IFERROR(INDEX(Административные!$K$26:$L$65,MATCH($F69&amp;"6komm",Административные!$K$26:$K$65,0),2),""))</f>
        <v/>
      </c>
      <c r="BP69" s="1151"/>
      <c r="BS69" s="964" t="s">
        <v>1637</v>
      </c>
    </row>
    <row r="70" spans="2:75" ht="14.65" hidden="1" customHeight="1">
      <c r="E70" s="620">
        <v>15</v>
      </c>
      <c r="F70" s="3" cm="1">
        <f t="array" aca="1" ref="F70" ca="1">OFFSET(E70,-1,1)</f>
        <v>0</v>
      </c>
      <c r="G70" s="2" t="s">
        <v>1094</v>
      </c>
      <c r="H70" s="290"/>
      <c r="I70" s="290" t="s">
        <v>1848</v>
      </c>
      <c r="K70" s="290" t="s">
        <v>1848</v>
      </c>
      <c r="L70" s="882" t="s">
        <v>1638</v>
      </c>
      <c r="M70" s="26"/>
      <c r="Q70" s="77" t="s">
        <v>2044</v>
      </c>
      <c r="R70" s="80" t="s">
        <v>2044</v>
      </c>
      <c r="T70" s="381" t="b" cm="1">
        <f t="array" ref="T70">T69</f>
        <v>0</v>
      </c>
      <c r="X70" s="1755"/>
      <c r="Z70" s="1735"/>
      <c r="AB70" s="215" t="s">
        <v>1849</v>
      </c>
      <c r="AC70" s="682" t="s">
        <v>1640</v>
      </c>
      <c r="AD70" s="216" t="s">
        <v>766</v>
      </c>
      <c r="AE70" s="1153"/>
      <c r="AF70" s="1153"/>
      <c r="AG70" s="1153"/>
      <c r="AH70" s="848">
        <f t="shared" si="6"/>
        <v>0</v>
      </c>
      <c r="AI70" s="1505"/>
      <c r="AJ70" s="1502"/>
      <c r="AK70" s="847"/>
      <c r="AL70" s="847"/>
      <c r="AM70" s="847"/>
      <c r="AN70" s="847"/>
      <c r="AO70" s="847"/>
      <c r="AP70" s="847"/>
      <c r="AQ70" s="847"/>
      <c r="AR70" s="847"/>
      <c r="AS70" s="847"/>
      <c r="AT70" s="847"/>
      <c r="AU70" s="847"/>
      <c r="AV70" s="847"/>
      <c r="AW70" s="847"/>
      <c r="AX70" s="847"/>
      <c r="AY70" s="847"/>
      <c r="AZ70" s="847"/>
      <c r="BA70" s="847"/>
      <c r="BB70" s="847"/>
      <c r="BC70" s="847"/>
      <c r="BD70" s="847"/>
      <c r="BE70" s="847"/>
      <c r="BF70" s="847"/>
      <c r="BG70" s="847"/>
      <c r="BH70" s="847"/>
      <c r="BI70" s="847"/>
      <c r="BJ70" s="847"/>
      <c r="BK70" s="847"/>
      <c r="BL70" s="847"/>
      <c r="BM70" s="847"/>
      <c r="BN70" s="1151"/>
      <c r="BO70" s="1154" t="str">
        <f ca="1">IF(IFERROR(INDEX(Административные!$K$26:$L$65,MATCH($F70&amp;"7komm",Административные!$K$26:$K$65,0),2),"")=0,"",IFERROR(INDEX(Административные!$K$26:$L$65,MATCH($F70&amp;"7komm",Административные!$K$26:$K$65,0),2),""))</f>
        <v/>
      </c>
      <c r="BP70" s="1151"/>
      <c r="BS70" s="964" t="s">
        <v>1641</v>
      </c>
    </row>
    <row r="71" spans="2:75" ht="14.65" hidden="1" customHeight="1">
      <c r="E71" s="620">
        <v>15</v>
      </c>
      <c r="F71" s="3" cm="1">
        <f t="array" aca="1" ref="F71" ca="1">OFFSET(E71,-1,1)</f>
        <v>0</v>
      </c>
      <c r="G71" s="2" t="s">
        <v>1097</v>
      </c>
      <c r="H71" s="290"/>
      <c r="I71" s="290" t="s">
        <v>1850</v>
      </c>
      <c r="K71" s="290" t="s">
        <v>1850</v>
      </c>
      <c r="L71" s="882" t="s">
        <v>1642</v>
      </c>
      <c r="M71" s="26"/>
      <c r="Q71" s="77" t="s">
        <v>2044</v>
      </c>
      <c r="R71" s="80" t="s">
        <v>2044</v>
      </c>
      <c r="T71" s="381" t="b" cm="1">
        <f t="array" ref="T71">T70</f>
        <v>0</v>
      </c>
      <c r="X71" s="1755"/>
      <c r="Z71" s="1735"/>
      <c r="AB71" s="215" t="s">
        <v>1851</v>
      </c>
      <c r="AC71" s="682" t="s">
        <v>1098</v>
      </c>
      <c r="AD71" s="216" t="s">
        <v>766</v>
      </c>
      <c r="AE71" s="1153"/>
      <c r="AF71" s="1153"/>
      <c r="AG71" s="1153"/>
      <c r="AH71" s="848">
        <f t="shared" si="6"/>
        <v>0</v>
      </c>
      <c r="AI71" s="1505"/>
      <c r="AJ71" s="1502"/>
      <c r="AK71" s="847"/>
      <c r="AL71" s="847"/>
      <c r="AM71" s="847"/>
      <c r="AN71" s="847"/>
      <c r="AO71" s="847"/>
      <c r="AP71" s="847"/>
      <c r="AQ71" s="847"/>
      <c r="AR71" s="847"/>
      <c r="AS71" s="847"/>
      <c r="AT71" s="847"/>
      <c r="AU71" s="847"/>
      <c r="AV71" s="847"/>
      <c r="AW71" s="847"/>
      <c r="AX71" s="847"/>
      <c r="AY71" s="847"/>
      <c r="AZ71" s="847"/>
      <c r="BA71" s="847"/>
      <c r="BB71" s="847"/>
      <c r="BC71" s="847"/>
      <c r="BD71" s="847"/>
      <c r="BE71" s="847"/>
      <c r="BF71" s="847"/>
      <c r="BG71" s="847"/>
      <c r="BH71" s="847"/>
      <c r="BI71" s="847"/>
      <c r="BJ71" s="847"/>
      <c r="BK71" s="847"/>
      <c r="BL71" s="847"/>
      <c r="BM71" s="847"/>
      <c r="BN71" s="1151"/>
      <c r="BO71" s="1154" t="str">
        <f ca="1">IF(IFERROR(INDEX(Административные!$K$26:$L$65,MATCH($F71&amp;"8komm",Административные!$K$26:$K$65,0),2),"")=0,"",IFERROR(INDEX(Административные!$K$26:$L$65,MATCH($F71&amp;"8komm",Административные!$K$26:$K$65,0),2),""))</f>
        <v/>
      </c>
      <c r="BP71" s="1151"/>
      <c r="BS71" s="964" t="s">
        <v>1644</v>
      </c>
    </row>
    <row r="72" spans="2:75" ht="14.65" hidden="1" customHeight="1">
      <c r="E72" s="620">
        <v>15</v>
      </c>
      <c r="F72" s="3" cm="1">
        <f t="array" aca="1" ref="F72" ca="1">OFFSET(E72,-1,1)</f>
        <v>0</v>
      </c>
      <c r="G72" s="77" t="s">
        <v>1100</v>
      </c>
      <c r="H72" s="290"/>
      <c r="I72" s="290" t="s">
        <v>1852</v>
      </c>
      <c r="K72" s="290" t="s">
        <v>1852</v>
      </c>
      <c r="L72" s="882" t="s">
        <v>1645</v>
      </c>
      <c r="M72" s="26"/>
      <c r="Q72" s="77" t="s">
        <v>2044</v>
      </c>
      <c r="R72" s="80" t="s">
        <v>2044</v>
      </c>
      <c r="T72" s="381" t="b" cm="1">
        <f t="array" ref="T72">T71</f>
        <v>0</v>
      </c>
      <c r="X72" s="1755"/>
      <c r="Z72" s="1735"/>
      <c r="AB72" s="215" t="s">
        <v>1853</v>
      </c>
      <c r="AC72" s="682" t="s">
        <v>1101</v>
      </c>
      <c r="AD72" s="216" t="s">
        <v>766</v>
      </c>
      <c r="AE72" s="1153"/>
      <c r="AF72" s="1153"/>
      <c r="AG72" s="1153"/>
      <c r="AH72" s="848">
        <f t="shared" si="6"/>
        <v>0</v>
      </c>
      <c r="AI72" s="1505"/>
      <c r="AJ72" s="1257"/>
      <c r="AK72" s="847"/>
      <c r="AL72" s="847"/>
      <c r="AM72" s="847"/>
      <c r="AN72" s="847"/>
      <c r="AO72" s="847"/>
      <c r="AP72" s="847"/>
      <c r="AQ72" s="847"/>
      <c r="AR72" s="847"/>
      <c r="AS72" s="847"/>
      <c r="AT72" s="847"/>
      <c r="AU72" s="847"/>
      <c r="AV72" s="847"/>
      <c r="AW72" s="847"/>
      <c r="AX72" s="847"/>
      <c r="AY72" s="847"/>
      <c r="AZ72" s="847"/>
      <c r="BA72" s="847"/>
      <c r="BB72" s="847"/>
      <c r="BC72" s="847"/>
      <c r="BD72" s="847"/>
      <c r="BE72" s="847"/>
      <c r="BF72" s="847"/>
      <c r="BG72" s="847"/>
      <c r="BH72" s="847"/>
      <c r="BI72" s="847"/>
      <c r="BJ72" s="847"/>
      <c r="BK72" s="847"/>
      <c r="BL72" s="847"/>
      <c r="BM72" s="847"/>
      <c r="BN72" s="1151"/>
      <c r="BO72" s="1154" t="str">
        <f ca="1">IF(IFERROR(INDEX(Административные!$K$26:$L$65,MATCH($F72&amp;"9komm",Административные!$K$26:$K$65,0),2),"")=0,"",IFERROR(INDEX(Административные!$K$26:$L$65,MATCH($F72&amp;"9komm",Административные!$K$26:$K$65,0),2),""))</f>
        <v/>
      </c>
      <c r="BP72" s="1151"/>
      <c r="BS72" s="964" t="s">
        <v>1647</v>
      </c>
    </row>
    <row r="73" spans="2:75" ht="21.95" hidden="1" customHeight="1">
      <c r="B73" s="349" t="b">
        <f>STATUS_GO="да"</f>
        <v>1</v>
      </c>
      <c r="E73" s="620">
        <v>22.5</v>
      </c>
      <c r="F73" s="3" cm="1">
        <f t="array" aca="1" ref="F73" ca="1">OFFSET(E73,-1,1)</f>
        <v>0</v>
      </c>
      <c r="H73" s="290"/>
      <c r="I73" s="290" t="s">
        <v>833</v>
      </c>
      <c r="K73" s="290" t="s">
        <v>833</v>
      </c>
      <c r="L73" s="882" t="s">
        <v>327</v>
      </c>
      <c r="M73" s="26"/>
      <c r="Q73" s="77" t="s">
        <v>2044</v>
      </c>
      <c r="R73" s="80" t="s">
        <v>2044</v>
      </c>
      <c r="T73" s="381" t="b" cm="1">
        <f t="array" ref="T73">T72</f>
        <v>0</v>
      </c>
      <c r="X73" s="1755"/>
      <c r="Z73" s="1735"/>
      <c r="AB73" s="215" t="s">
        <v>834</v>
      </c>
      <c r="AC73" s="676" t="s">
        <v>1854</v>
      </c>
      <c r="AD73" s="216" t="s">
        <v>766</v>
      </c>
      <c r="AE73" s="1153"/>
      <c r="AF73" s="1153"/>
      <c r="AG73" s="1153"/>
      <c r="AH73" s="848">
        <f t="shared" si="6"/>
        <v>0</v>
      </c>
      <c r="AI73" s="1505"/>
      <c r="AJ73" s="1502"/>
      <c r="AK73" s="847"/>
      <c r="AL73" s="847"/>
      <c r="AM73" s="847"/>
      <c r="AN73" s="847"/>
      <c r="AO73" s="847"/>
      <c r="AP73" s="847"/>
      <c r="AQ73" s="847"/>
      <c r="AR73" s="847"/>
      <c r="AS73" s="847"/>
      <c r="AT73" s="847"/>
      <c r="AU73" s="847"/>
      <c r="AV73" s="847"/>
      <c r="AW73" s="847"/>
      <c r="AX73" s="847"/>
      <c r="AY73" s="847"/>
      <c r="AZ73" s="847"/>
      <c r="BA73" s="847"/>
      <c r="BB73" s="847"/>
      <c r="BC73" s="847"/>
      <c r="BD73" s="847"/>
      <c r="BE73" s="847"/>
      <c r="BF73" s="847"/>
      <c r="BG73" s="847"/>
      <c r="BH73" s="847"/>
      <c r="BI73" s="847"/>
      <c r="BJ73" s="847"/>
      <c r="BK73" s="847"/>
      <c r="BL73" s="847"/>
      <c r="BM73" s="847"/>
      <c r="BN73" s="1151"/>
      <c r="BO73" s="1151"/>
      <c r="BP73" s="1151"/>
      <c r="BS73" s="965" t="s">
        <v>1649</v>
      </c>
    </row>
    <row r="74" spans="2:75" ht="14.65" hidden="1" customHeight="1">
      <c r="E74" s="620">
        <v>15</v>
      </c>
      <c r="F74" s="3" cm="1">
        <f t="array" aca="1" ref="F74" ca="1">OFFSET(E74,-1,1)</f>
        <v>0</v>
      </c>
      <c r="H74" s="290"/>
      <c r="I74" s="290" t="s">
        <v>1587</v>
      </c>
      <c r="K74" s="290" t="s">
        <v>1587</v>
      </c>
      <c r="L74" s="882"/>
      <c r="M74" s="26"/>
      <c r="Q74" s="77" t="s">
        <v>2044</v>
      </c>
      <c r="R74" s="80" t="s">
        <v>2044</v>
      </c>
      <c r="T74" s="381" t="b" cm="1">
        <f t="array" ref="T74">T73</f>
        <v>0</v>
      </c>
      <c r="X74" s="1755"/>
      <c r="Z74" s="1735"/>
      <c r="AB74" s="215" t="s">
        <v>1588</v>
      </c>
      <c r="AC74" s="676" t="s">
        <v>1855</v>
      </c>
      <c r="AD74" s="216" t="s">
        <v>766</v>
      </c>
      <c r="AE74" s="1153"/>
      <c r="AF74" s="1153"/>
      <c r="AG74" s="1153"/>
      <c r="AH74" s="848">
        <f t="shared" si="6"/>
        <v>0</v>
      </c>
      <c r="AI74" s="1505"/>
      <c r="AJ74" s="1502"/>
      <c r="AK74" s="847"/>
      <c r="AL74" s="847"/>
      <c r="AM74" s="847"/>
      <c r="AN74" s="847"/>
      <c r="AO74" s="847"/>
      <c r="AP74" s="847"/>
      <c r="AQ74" s="847"/>
      <c r="AR74" s="847"/>
      <c r="AS74" s="847"/>
      <c r="AT74" s="847"/>
      <c r="AU74" s="847"/>
      <c r="AV74" s="847"/>
      <c r="AW74" s="847"/>
      <c r="AX74" s="847"/>
      <c r="AY74" s="847"/>
      <c r="AZ74" s="847"/>
      <c r="BA74" s="847"/>
      <c r="BB74" s="847"/>
      <c r="BC74" s="847"/>
      <c r="BD74" s="847"/>
      <c r="BE74" s="847"/>
      <c r="BF74" s="847"/>
      <c r="BG74" s="847"/>
      <c r="BH74" s="847"/>
      <c r="BI74" s="847"/>
      <c r="BJ74" s="847"/>
      <c r="BK74" s="847"/>
      <c r="BL74" s="847"/>
      <c r="BM74" s="847"/>
      <c r="BN74" s="1151"/>
      <c r="BO74" s="1151"/>
      <c r="BP74" s="1151"/>
      <c r="BS74" s="966" t="s">
        <v>1856</v>
      </c>
    </row>
    <row r="75" spans="2:75" s="617" customFormat="1" ht="20.45" hidden="1" customHeight="1">
      <c r="B75" s="352"/>
      <c r="E75" s="624">
        <v>21</v>
      </c>
      <c r="F75" s="3" cm="1">
        <f t="array" aca="1" ref="F75" ca="1">OFFSET(E75,-1,1)</f>
        <v>0</v>
      </c>
      <c r="H75" s="290"/>
      <c r="I75" s="290" t="s">
        <v>1591</v>
      </c>
      <c r="K75" s="290" t="s">
        <v>1591</v>
      </c>
      <c r="L75" s="887"/>
      <c r="M75" s="28"/>
      <c r="Q75" s="77" t="s">
        <v>2044</v>
      </c>
      <c r="R75" s="80" t="s">
        <v>2044</v>
      </c>
      <c r="T75" s="381" t="b" cm="1">
        <f t="array" ref="T75">T74</f>
        <v>0</v>
      </c>
      <c r="X75" s="1755"/>
      <c r="Z75" s="1735"/>
      <c r="AB75" s="136" t="s">
        <v>1592</v>
      </c>
      <c r="AC75" s="273" t="s">
        <v>1857</v>
      </c>
      <c r="AD75" s="129" t="s">
        <v>766</v>
      </c>
      <c r="AE75" s="684">
        <f>SUM(AE76:AE77)</f>
        <v>0</v>
      </c>
      <c r="AF75" s="684">
        <f>SUM(AF76:AF77)</f>
        <v>0</v>
      </c>
      <c r="AG75" s="684">
        <f>SUM(AG76:AG77)</f>
        <v>0</v>
      </c>
      <c r="AH75" s="675">
        <f t="shared" si="6"/>
        <v>0</v>
      </c>
      <c r="AI75" s="1507">
        <f>SUM(AI76:AI77)</f>
        <v>0</v>
      </c>
      <c r="AJ75" s="1502"/>
      <c r="AK75" s="678"/>
      <c r="AL75" s="678"/>
      <c r="AM75" s="678"/>
      <c r="AN75" s="678"/>
      <c r="AO75" s="678"/>
      <c r="AP75" s="678"/>
      <c r="AQ75" s="678"/>
      <c r="AR75" s="678"/>
      <c r="AS75" s="678"/>
      <c r="AT75" s="847"/>
      <c r="AU75" s="847"/>
      <c r="AV75" s="678"/>
      <c r="AW75" s="678"/>
      <c r="AX75" s="678"/>
      <c r="AY75" s="678"/>
      <c r="AZ75" s="678"/>
      <c r="BA75" s="678"/>
      <c r="BB75" s="678"/>
      <c r="BC75" s="678"/>
      <c r="BD75" s="678"/>
      <c r="BE75" s="678"/>
      <c r="BF75" s="678"/>
      <c r="BG75" s="678"/>
      <c r="BH75" s="678"/>
      <c r="BI75" s="678"/>
      <c r="BJ75" s="678"/>
      <c r="BK75" s="678"/>
      <c r="BL75" s="678"/>
      <c r="BM75" s="678"/>
      <c r="BN75" s="1147"/>
      <c r="BO75" s="1147"/>
      <c r="BP75" s="1147"/>
      <c r="BS75" s="972" t="s">
        <v>1858</v>
      </c>
      <c r="BT75" s="972"/>
      <c r="BU75" s="972"/>
      <c r="BV75" s="624"/>
      <c r="BW75" s="624"/>
    </row>
    <row r="76" spans="2:75" ht="14.65" hidden="1" customHeight="1">
      <c r="E76" s="620">
        <v>15</v>
      </c>
      <c r="F76" s="3" cm="1">
        <f t="array" aca="1" ref="F76" ca="1">OFFSET(E76,-1,1)</f>
        <v>0</v>
      </c>
      <c r="I76" s="290" t="s">
        <v>1591</v>
      </c>
      <c r="J76" s="77" cm="1">
        <f t="array" ref="J76">AC76</f>
        <v>0</v>
      </c>
      <c r="K76" s="290" t="s">
        <v>1591</v>
      </c>
      <c r="L76" s="882"/>
      <c r="M76" s="26"/>
      <c r="Q76" s="77" t="s">
        <v>2044</v>
      </c>
      <c r="R76" s="80" t="s">
        <v>2044</v>
      </c>
      <c r="T76" s="381" t="b">
        <f ca="1">AND(F76&gt;0,Y76&gt;0)</f>
        <v>0</v>
      </c>
      <c r="W76" s="77" t="s">
        <v>173</v>
      </c>
      <c r="X76" s="1755"/>
      <c r="Y76" s="77">
        <v>0</v>
      </c>
      <c r="Z76" s="1735"/>
      <c r="AA76" s="337" t="s">
        <v>174</v>
      </c>
      <c r="AB76" s="216" t="str">
        <f>"1.7."&amp;Y76</f>
        <v>1.7.0</v>
      </c>
      <c r="AC76" s="1143"/>
      <c r="AD76" s="216" t="s">
        <v>766</v>
      </c>
      <c r="AE76" s="1155"/>
      <c r="AF76" s="1155"/>
      <c r="AG76" s="1155"/>
      <c r="AH76" s="175">
        <f t="shared" si="6"/>
        <v>0</v>
      </c>
      <c r="AI76" s="1508"/>
      <c r="AJ76" s="1509"/>
      <c r="AK76" s="850"/>
      <c r="AL76" s="850"/>
      <c r="AM76" s="850"/>
      <c r="AN76" s="850"/>
      <c r="AO76" s="850"/>
      <c r="AP76" s="850"/>
      <c r="AQ76" s="850"/>
      <c r="AR76" s="850"/>
      <c r="AS76" s="850"/>
      <c r="AT76" s="847"/>
      <c r="AU76" s="850"/>
      <c r="AV76" s="850"/>
      <c r="AW76" s="850"/>
      <c r="AX76" s="850"/>
      <c r="AY76" s="850"/>
      <c r="AZ76" s="850"/>
      <c r="BA76" s="850"/>
      <c r="BB76" s="850"/>
      <c r="BC76" s="850"/>
      <c r="BD76" s="678"/>
      <c r="BE76" s="850"/>
      <c r="BF76" s="850"/>
      <c r="BG76" s="850"/>
      <c r="BH76" s="850"/>
      <c r="BI76" s="850"/>
      <c r="BJ76" s="850"/>
      <c r="BK76" s="850"/>
      <c r="BL76" s="850"/>
      <c r="BM76" s="850"/>
      <c r="BN76" s="1156"/>
      <c r="BO76" s="1156"/>
      <c r="BP76" s="1156"/>
      <c r="BS76" s="966" t="s">
        <v>1858</v>
      </c>
      <c r="BT76" s="966" t="s">
        <v>1859</v>
      </c>
      <c r="BU76" s="966" cm="1">
        <f t="array" ref="BU76">AC76</f>
        <v>0</v>
      </c>
      <c r="BW76" s="620" t="b">
        <v>1</v>
      </c>
    </row>
    <row r="77" spans="2:75" ht="14.65" hidden="1" customHeight="1">
      <c r="E77" s="620">
        <v>15</v>
      </c>
      <c r="F77" s="3" cm="1">
        <f t="array" aca="1" ref="F77" ca="1">OFFSET(E77,-1,1)</f>
        <v>0</v>
      </c>
      <c r="G77" s="276"/>
      <c r="J77" s="77" t="s">
        <v>1860</v>
      </c>
      <c r="L77" s="882"/>
      <c r="M77" s="26"/>
      <c r="T77" s="381" t="b">
        <f ca="1">F77&gt;0</f>
        <v>0</v>
      </c>
      <c r="W77" s="619" t="s">
        <v>2045</v>
      </c>
      <c r="X77" s="1755"/>
      <c r="Z77" s="1735"/>
      <c r="AB77" s="689"/>
      <c r="AC77" s="176" t="s">
        <v>177</v>
      </c>
      <c r="AD77" s="690"/>
      <c r="AE77" s="690"/>
      <c r="AF77" s="690"/>
      <c r="AG77" s="690"/>
      <c r="AH77" s="690"/>
      <c r="AI77" s="690"/>
      <c r="AJ77" s="690"/>
      <c r="AK77" s="690"/>
      <c r="AL77" s="690"/>
      <c r="AM77" s="690"/>
      <c r="AN77" s="690"/>
      <c r="AO77" s="690"/>
      <c r="AP77" s="690"/>
      <c r="AQ77" s="690"/>
      <c r="AR77" s="690"/>
      <c r="AS77" s="690"/>
      <c r="AT77" s="690"/>
      <c r="AU77" s="690"/>
      <c r="AV77" s="690"/>
      <c r="AW77" s="690"/>
      <c r="AX77" s="690"/>
      <c r="AY77" s="690"/>
      <c r="AZ77" s="690"/>
      <c r="BA77" s="690"/>
      <c r="BB77" s="690"/>
      <c r="BC77" s="690"/>
      <c r="BD77" s="690"/>
      <c r="BE77" s="690"/>
      <c r="BF77" s="690"/>
      <c r="BG77" s="690"/>
      <c r="BH77" s="690"/>
      <c r="BI77" s="690"/>
      <c r="BJ77" s="690"/>
      <c r="BK77" s="690"/>
      <c r="BL77" s="690"/>
      <c r="BM77" s="690"/>
      <c r="BN77" s="690"/>
      <c r="BO77" s="690"/>
      <c r="BP77" s="691"/>
      <c r="BV77" s="620" t="s">
        <v>1859</v>
      </c>
    </row>
    <row r="78" spans="2:75" s="617" customFormat="1" ht="20.45" hidden="1" customHeight="1">
      <c r="B78" s="352"/>
      <c r="E78" s="624">
        <v>21</v>
      </c>
      <c r="F78" s="3" cm="1">
        <f t="array" aca="1" ref="F78" ca="1">OFFSET(E78,-1,1)</f>
        <v>0</v>
      </c>
      <c r="H78" s="77"/>
      <c r="I78" s="77" t="s">
        <v>324</v>
      </c>
      <c r="K78" s="77" t="s">
        <v>324</v>
      </c>
      <c r="L78" s="887"/>
      <c r="M78" s="28"/>
      <c r="T78" s="381" t="b" cm="1">
        <f t="array" aca="1" ref="T78" ca="1">T77</f>
        <v>0</v>
      </c>
      <c r="X78" s="1755"/>
      <c r="Z78" s="1735"/>
      <c r="AB78" s="165" t="s">
        <v>224</v>
      </c>
      <c r="AC78" s="130" t="s">
        <v>1861</v>
      </c>
      <c r="AD78" s="152" t="s">
        <v>766</v>
      </c>
      <c r="AE78" s="131">
        <f ca="1">AE79+AE91+AE92++AE103+AE104+AE105+AE107+AE108+AE109+AE110+AE113</f>
        <v>0</v>
      </c>
      <c r="AF78" s="131">
        <f ca="1">AF79+AF91+AF92++AF103+AF104+AF105+AF107+AF108+AF109+AF110+AF113</f>
        <v>0</v>
      </c>
      <c r="AG78" s="131">
        <f ca="1">AG79+AG91+AG92++AG103+AG104+AG105+AG107+AG108+AG109+AG110+AG113</f>
        <v>0</v>
      </c>
      <c r="AH78" s="675">
        <f t="shared" ref="AH78:AH123" ca="1" si="7">AG78-AF78</f>
        <v>0</v>
      </c>
      <c r="AI78" s="684">
        <f t="shared" ref="AI78:BC78" ca="1" si="8">AI79+AI91+AI92++AI103+AI104+AI105+AI107+AI108+AI109+AI110+AI113</f>
        <v>0</v>
      </c>
      <c r="AJ78" s="684">
        <f t="shared" ca="1" si="8"/>
        <v>0</v>
      </c>
      <c r="AK78" s="684">
        <f t="shared" ca="1" si="8"/>
        <v>0</v>
      </c>
      <c r="AL78" s="684">
        <f t="shared" ca="1" si="8"/>
        <v>0</v>
      </c>
      <c r="AM78" s="684">
        <f t="shared" ca="1" si="8"/>
        <v>0</v>
      </c>
      <c r="AN78" s="684">
        <f t="shared" ca="1" si="8"/>
        <v>0</v>
      </c>
      <c r="AO78" s="684">
        <f t="shared" ca="1" si="8"/>
        <v>0</v>
      </c>
      <c r="AP78" s="684">
        <f t="shared" ca="1" si="8"/>
        <v>0</v>
      </c>
      <c r="AQ78" s="684">
        <f t="shared" ca="1" si="8"/>
        <v>0</v>
      </c>
      <c r="AR78" s="684">
        <f t="shared" ca="1" si="8"/>
        <v>0</v>
      </c>
      <c r="AS78" s="684">
        <f t="shared" ca="1" si="8"/>
        <v>0</v>
      </c>
      <c r="AT78" s="684">
        <f t="shared" ca="1" si="8"/>
        <v>0</v>
      </c>
      <c r="AU78" s="684">
        <f t="shared" ca="1" si="8"/>
        <v>0</v>
      </c>
      <c r="AV78" s="684">
        <f t="shared" ca="1" si="8"/>
        <v>0</v>
      </c>
      <c r="AW78" s="684">
        <f t="shared" ca="1" si="8"/>
        <v>0</v>
      </c>
      <c r="AX78" s="684">
        <f t="shared" ca="1" si="8"/>
        <v>0</v>
      </c>
      <c r="AY78" s="684">
        <f t="shared" ca="1" si="8"/>
        <v>0</v>
      </c>
      <c r="AZ78" s="684">
        <f t="shared" ca="1" si="8"/>
        <v>0</v>
      </c>
      <c r="BA78" s="684">
        <f t="shared" ca="1" si="8"/>
        <v>0</v>
      </c>
      <c r="BB78" s="684">
        <f t="shared" ca="1" si="8"/>
        <v>0</v>
      </c>
      <c r="BC78" s="684">
        <f t="shared" ca="1" si="8"/>
        <v>0</v>
      </c>
      <c r="BD78" s="675">
        <f t="shared" ref="BD78:BD123" ca="1" si="9">IF(AI78=0,0,(AT78-AI78)/AI78*100)</f>
        <v>0</v>
      </c>
      <c r="BE78" s="675">
        <f t="shared" ref="BE78:BE123" ca="1" si="10">IF(AT78=0,0,(AU78-AT78)/AT78*100)</f>
        <v>0</v>
      </c>
      <c r="BF78" s="675">
        <f t="shared" ref="BF78:BF123" ca="1" si="11">IF(AU78=0,0,(AV78-AU78)/AU78*100)</f>
        <v>0</v>
      </c>
      <c r="BG78" s="675">
        <f t="shared" ref="BG78:BG123" ca="1" si="12">IF(AV78=0,0,(AW78-AV78)/AV78*100)</f>
        <v>0</v>
      </c>
      <c r="BH78" s="675">
        <f t="shared" ref="BH78:BH123" ca="1" si="13">IF(AW78=0,0,(AX78-AW78)/AW78*100)</f>
        <v>0</v>
      </c>
      <c r="BI78" s="675">
        <f t="shared" ref="BI78:BI123" ca="1" si="14">IF(AX78=0,0,(AY78-AX78)/AX78*100)</f>
        <v>0</v>
      </c>
      <c r="BJ78" s="675">
        <f t="shared" ref="BJ78:BJ123" ca="1" si="15">IF(AY78=0,0,(AZ78-AY78)/AY78*100)</f>
        <v>0</v>
      </c>
      <c r="BK78" s="675">
        <f t="shared" ref="BK78:BK123" ca="1" si="16">IF(AZ78=0,0,(BA78-AZ78)/AZ78*100)</f>
        <v>0</v>
      </c>
      <c r="BL78" s="675">
        <f t="shared" ref="BL78:BL123" ca="1" si="17">IF(BA78=0,0,(BB78-BA78)/BA78*100)</f>
        <v>0</v>
      </c>
      <c r="BM78" s="675">
        <f t="shared" ref="BM78:BM123" ca="1" si="18">IF(BB78=0,0,(BC78-BB78)/BB78*100)</f>
        <v>0</v>
      </c>
      <c r="BN78" s="1156"/>
      <c r="BO78" s="1156"/>
      <c r="BP78" s="1156"/>
      <c r="BQ78" s="79"/>
      <c r="BS78" s="972" t="s">
        <v>1862</v>
      </c>
      <c r="BT78" s="972"/>
      <c r="BU78" s="972"/>
      <c r="BV78" s="624"/>
      <c r="BW78" s="624"/>
    </row>
    <row r="79" spans="2:75" s="617" customFormat="1" ht="21.95" hidden="1" customHeight="1">
      <c r="B79" s="352"/>
      <c r="E79" s="624">
        <v>22.5</v>
      </c>
      <c r="F79" s="3" cm="1">
        <f t="array" aca="1" ref="F79" ca="1">OFFSET(E79,-1,1)</f>
        <v>0</v>
      </c>
      <c r="H79" s="77"/>
      <c r="I79" s="77" t="s">
        <v>445</v>
      </c>
      <c r="K79" s="77" t="s">
        <v>445</v>
      </c>
      <c r="L79" s="887" t="s">
        <v>431</v>
      </c>
      <c r="M79" s="28"/>
      <c r="T79" s="381" t="b" cm="1">
        <f t="array" aca="1" ref="T79" ca="1">T78</f>
        <v>0</v>
      </c>
      <c r="X79" s="1755"/>
      <c r="Z79" s="1735"/>
      <c r="AB79" s="136" t="s">
        <v>502</v>
      </c>
      <c r="AC79" s="273" t="s">
        <v>1863</v>
      </c>
      <c r="AD79" s="129" t="s">
        <v>766</v>
      </c>
      <c r="AE79" s="131">
        <f ca="1">SUM(AE80:AE90)</f>
        <v>0</v>
      </c>
      <c r="AF79" s="131">
        <f ca="1">SUM(AF80:AF90)</f>
        <v>0</v>
      </c>
      <c r="AG79" s="131">
        <f ca="1">SUM(AG80:AG90)</f>
        <v>0</v>
      </c>
      <c r="AH79" s="675">
        <f t="shared" ca="1" si="7"/>
        <v>0</v>
      </c>
      <c r="AI79" s="131">
        <f t="shared" ref="AI79:BC79" ca="1" si="19">SUM(AI80:AI90)</f>
        <v>0</v>
      </c>
      <c r="AJ79" s="131">
        <f t="shared" ca="1" si="19"/>
        <v>0</v>
      </c>
      <c r="AK79" s="131">
        <f t="shared" ca="1" si="19"/>
        <v>0</v>
      </c>
      <c r="AL79" s="131">
        <f t="shared" ca="1" si="19"/>
        <v>0</v>
      </c>
      <c r="AM79" s="131">
        <f t="shared" ca="1" si="19"/>
        <v>0</v>
      </c>
      <c r="AN79" s="131">
        <f t="shared" ca="1" si="19"/>
        <v>0</v>
      </c>
      <c r="AO79" s="131">
        <f t="shared" ca="1" si="19"/>
        <v>0</v>
      </c>
      <c r="AP79" s="131">
        <f t="shared" ca="1" si="19"/>
        <v>0</v>
      </c>
      <c r="AQ79" s="131">
        <f t="shared" ca="1" si="19"/>
        <v>0</v>
      </c>
      <c r="AR79" s="131">
        <f t="shared" ca="1" si="19"/>
        <v>0</v>
      </c>
      <c r="AS79" s="131">
        <f t="shared" ca="1" si="19"/>
        <v>0</v>
      </c>
      <c r="AT79" s="131">
        <f t="shared" ca="1" si="19"/>
        <v>0</v>
      </c>
      <c r="AU79" s="131">
        <f t="shared" ca="1" si="19"/>
        <v>0</v>
      </c>
      <c r="AV79" s="131">
        <f t="shared" ca="1" si="19"/>
        <v>0</v>
      </c>
      <c r="AW79" s="131">
        <f t="shared" ca="1" si="19"/>
        <v>0</v>
      </c>
      <c r="AX79" s="131">
        <f t="shared" ca="1" si="19"/>
        <v>0</v>
      </c>
      <c r="AY79" s="131">
        <f t="shared" ca="1" si="19"/>
        <v>0</v>
      </c>
      <c r="AZ79" s="131">
        <f t="shared" ca="1" si="19"/>
        <v>0</v>
      </c>
      <c r="BA79" s="131">
        <f t="shared" ca="1" si="19"/>
        <v>0</v>
      </c>
      <c r="BB79" s="131">
        <f t="shared" ca="1" si="19"/>
        <v>0</v>
      </c>
      <c r="BC79" s="131">
        <f t="shared" ca="1" si="19"/>
        <v>0</v>
      </c>
      <c r="BD79" s="675">
        <f t="shared" ca="1" si="9"/>
        <v>0</v>
      </c>
      <c r="BE79" s="675">
        <f t="shared" ca="1" si="10"/>
        <v>0</v>
      </c>
      <c r="BF79" s="675">
        <f t="shared" ca="1" si="11"/>
        <v>0</v>
      </c>
      <c r="BG79" s="675">
        <f t="shared" ca="1" si="12"/>
        <v>0</v>
      </c>
      <c r="BH79" s="675">
        <f t="shared" ca="1" si="13"/>
        <v>0</v>
      </c>
      <c r="BI79" s="675">
        <f t="shared" ca="1" si="14"/>
        <v>0</v>
      </c>
      <c r="BJ79" s="675">
        <f t="shared" ca="1" si="15"/>
        <v>0</v>
      </c>
      <c r="BK79" s="675">
        <f t="shared" ca="1" si="16"/>
        <v>0</v>
      </c>
      <c r="BL79" s="675">
        <f t="shared" ca="1" si="17"/>
        <v>0</v>
      </c>
      <c r="BM79" s="675">
        <f t="shared" ca="1" si="18"/>
        <v>0</v>
      </c>
      <c r="BN79" s="1140"/>
      <c r="BO79" s="1140"/>
      <c r="BP79" s="1140"/>
      <c r="BS79" s="972" t="s">
        <v>1864</v>
      </c>
      <c r="BT79" s="972"/>
      <c r="BU79" s="972"/>
      <c r="BV79" s="624"/>
      <c r="BW79" s="624"/>
    </row>
    <row r="80" spans="2:75" ht="14.65" hidden="1" customHeight="1">
      <c r="E80" s="620">
        <v>15</v>
      </c>
      <c r="F80" s="3" cm="1">
        <f t="array" aca="1" ref="F80" ca="1">OFFSET(E80,-1,1)</f>
        <v>0</v>
      </c>
      <c r="G80" s="77" t="s">
        <v>998</v>
      </c>
      <c r="I80" s="77" t="s">
        <v>1412</v>
      </c>
      <c r="K80" s="77" t="s">
        <v>1412</v>
      </c>
      <c r="L80" s="882" t="s">
        <v>1189</v>
      </c>
      <c r="M80" s="26"/>
      <c r="T80" s="381" t="b" cm="1">
        <f t="array" aca="1" ref="T80" ca="1">T79</f>
        <v>0</v>
      </c>
      <c r="X80" s="1755"/>
      <c r="Z80" s="1735"/>
      <c r="AB80" s="215" t="s">
        <v>453</v>
      </c>
      <c r="AC80" s="679" t="s">
        <v>1865</v>
      </c>
      <c r="AD80" s="216" t="s">
        <v>766</v>
      </c>
      <c r="AE80" s="175">
        <f ca="1">SUMIFS(Покупка!AE$25:AE$90,Покупка!$F$25:$F$90,$F80,Покупка!$AC$25:$AC$90,$G80)</f>
        <v>0</v>
      </c>
      <c r="AF80" s="175">
        <f ca="1">SUMIFS(Покупка!AF$25:AF$90,Покупка!$F$25:$F$90,$F80,Покупка!$AC$25:$AC$90,$G80)</f>
        <v>0</v>
      </c>
      <c r="AG80" s="175">
        <f ca="1">SUMIFS(Покупка!AG$25:AG$90,Покупка!$F$25:$F$90,$F80,Покупка!$AC$25:$AC$90,$G80)</f>
        <v>0</v>
      </c>
      <c r="AH80" s="848">
        <f t="shared" ca="1" si="7"/>
        <v>0</v>
      </c>
      <c r="AI80" s="848">
        <f ca="1">SUMIFS(Покупка!AH$25:AH$90,Покупка!$F$25:$F$90,$F80,Покупка!$AC$25:$AC$90,$G80)</f>
        <v>0</v>
      </c>
      <c r="AJ80" s="848">
        <f ca="1">SUMIFS(Покупка!AI$25:AI$90,Покупка!$F$25:$F$90,$F80,Покупка!$AC$25:$AC$90,$G80)</f>
        <v>0</v>
      </c>
      <c r="AK80" s="848">
        <f ca="1">SUMIFS(Покупка!AJ$25:AJ$90,Покупка!$F$25:$F$90,$F80,Покупка!$AC$25:$AC$90,$G80)</f>
        <v>0</v>
      </c>
      <c r="AL80" s="848">
        <f ca="1">SUMIFS(Покупка!AK$25:AK$90,Покупка!$F$25:$F$90,$F80,Покупка!$AC$25:$AC$90,$G80)</f>
        <v>0</v>
      </c>
      <c r="AM80" s="848">
        <f ca="1">SUMIFS(Покупка!AL$25:AL$90,Покупка!$F$25:$F$90,$F80,Покупка!$AC$25:$AC$90,$G80)</f>
        <v>0</v>
      </c>
      <c r="AN80" s="848">
        <f ca="1">SUMIFS(Покупка!AM$25:AM$90,Покупка!$F$25:$F$90,$F80,Покупка!$AC$25:$AC$90,$G80)</f>
        <v>0</v>
      </c>
      <c r="AO80" s="848">
        <f ca="1">SUMIFS(Покупка!AN$25:AN$90,Покупка!$F$25:$F$90,$F80,Покупка!$AC$25:$AC$90,$G80)</f>
        <v>0</v>
      </c>
      <c r="AP80" s="848">
        <f ca="1">SUMIFS(Покупка!AO$25:AO$90,Покупка!$F$25:$F$90,$F80,Покупка!$AC$25:$AC$90,$G80)</f>
        <v>0</v>
      </c>
      <c r="AQ80" s="848">
        <f ca="1">SUMIFS(Покупка!AP$25:AP$90,Покупка!$F$25:$F$90,$F80,Покупка!$AC$25:$AC$90,$G80)</f>
        <v>0</v>
      </c>
      <c r="AR80" s="848">
        <f ca="1">SUMIFS(Покупка!AQ$25:AQ$90,Покупка!$F$25:$F$90,$F80,Покупка!$AC$25:$AC$90,$G80)</f>
        <v>0</v>
      </c>
      <c r="AS80" s="848">
        <f ca="1">SUMIFS(Покупка!AR$25:AR$90,Покупка!$F$25:$F$90,$F80,Покупка!$AC$25:$AC$90,$G80)</f>
        <v>0</v>
      </c>
      <c r="AT80" s="848">
        <f ca="1">SUMIFS(Покупка!AS$25:AS$90,Покупка!$F$25:$F$90,$F80,Покупка!$AC$25:$AC$90,$G80)</f>
        <v>0</v>
      </c>
      <c r="AU80" s="848">
        <f ca="1">SUMIFS(Покупка!AT$25:AT$90,Покупка!$F$25:$F$90,$F80,Покупка!$AC$25:$AC$90,$G80)</f>
        <v>0</v>
      </c>
      <c r="AV80" s="848">
        <f ca="1">SUMIFS(Покупка!AU$25:AU$90,Покупка!$F$25:$F$90,$F80,Покупка!$AC$25:$AC$90,$G80)</f>
        <v>0</v>
      </c>
      <c r="AW80" s="848">
        <f ca="1">SUMIFS(Покупка!AV$25:AV$90,Покупка!$F$25:$F$90,$F80,Покупка!$AC$25:$AC$90,$G80)</f>
        <v>0</v>
      </c>
      <c r="AX80" s="848">
        <f ca="1">SUMIFS(Покупка!AW$25:AW$90,Покупка!$F$25:$F$90,$F80,Покупка!$AC$25:$AC$90,$G80)</f>
        <v>0</v>
      </c>
      <c r="AY80" s="848">
        <f ca="1">SUMIFS(Покупка!AX$25:AX$90,Покупка!$F$25:$F$90,$F80,Покупка!$AC$25:$AC$90,$G80)</f>
        <v>0</v>
      </c>
      <c r="AZ80" s="848">
        <f ca="1">SUMIFS(Покупка!AY$25:AY$90,Покупка!$F$25:$F$90,$F80,Покупка!$AC$25:$AC$90,$G80)</f>
        <v>0</v>
      </c>
      <c r="BA80" s="848">
        <f ca="1">SUMIFS(Покупка!AZ$25:AZ$90,Покупка!$F$25:$F$90,$F80,Покупка!$AC$25:$AC$90,$G80)</f>
        <v>0</v>
      </c>
      <c r="BB80" s="848">
        <f ca="1">SUMIFS(Покупка!BA$25:BA$90,Покупка!$F$25:$F$90,$F80,Покупка!$AC$25:$AC$90,$G80)</f>
        <v>0</v>
      </c>
      <c r="BC80" s="848">
        <f ca="1">SUMIFS(Покупка!BB$25:BB$90,Покупка!$F$25:$F$90,$F80,Покупка!$AC$25:$AC$90,$G80)</f>
        <v>0</v>
      </c>
      <c r="BD80" s="848">
        <f t="shared" ca="1" si="9"/>
        <v>0</v>
      </c>
      <c r="BE80" s="848">
        <f t="shared" ca="1" si="10"/>
        <v>0</v>
      </c>
      <c r="BF80" s="848">
        <f t="shared" ca="1" si="11"/>
        <v>0</v>
      </c>
      <c r="BG80" s="848">
        <f t="shared" ca="1" si="12"/>
        <v>0</v>
      </c>
      <c r="BH80" s="848">
        <f t="shared" ca="1" si="13"/>
        <v>0</v>
      </c>
      <c r="BI80" s="848">
        <f t="shared" ca="1" si="14"/>
        <v>0</v>
      </c>
      <c r="BJ80" s="848">
        <f t="shared" ca="1" si="15"/>
        <v>0</v>
      </c>
      <c r="BK80" s="848">
        <f t="shared" ca="1" si="16"/>
        <v>0</v>
      </c>
      <c r="BL80" s="848">
        <f t="shared" ca="1" si="17"/>
        <v>0</v>
      </c>
      <c r="BM80" s="848">
        <f t="shared" ca="1" si="18"/>
        <v>0</v>
      </c>
      <c r="BN80" s="1156"/>
      <c r="BO80" s="1154" t="str">
        <f ca="1">IF(IFERROR(INDEX(Покупка!$K$26:$L$90,MATCH($F80&amp;"6komm",Покупка!$K$26:$K$90,0),2),"")=0,"",IFERROR(INDEX(Покупка!$K$26:$L$90,MATCH($F80&amp;"6komm",Покупка!$K$26:$K$90,0),2),""))</f>
        <v/>
      </c>
      <c r="BP80" s="1156"/>
      <c r="BS80" s="966" t="s">
        <v>999</v>
      </c>
    </row>
    <row r="81" spans="2:75" ht="14.65" hidden="1" customHeight="1">
      <c r="B81" s="15"/>
      <c r="C81" s="26"/>
      <c r="D81" s="26"/>
      <c r="E81" s="538">
        <v>15</v>
      </c>
      <c r="F81" s="3" cm="1">
        <f t="array" aca="1" ref="F81" ca="1">OFFSET(E81,-1,1)</f>
        <v>0</v>
      </c>
      <c r="G81" s="26" t="s">
        <v>1000</v>
      </c>
      <c r="H81" s="26"/>
      <c r="I81" s="26" t="s">
        <v>1416</v>
      </c>
      <c r="J81" s="26"/>
      <c r="K81" s="26" t="s">
        <v>1416</v>
      </c>
      <c r="L81" s="882" t="s">
        <v>1193</v>
      </c>
      <c r="M81" s="26"/>
      <c r="N81" s="26"/>
      <c r="O81" s="26"/>
      <c r="P81" s="26"/>
      <c r="Q81" s="26"/>
      <c r="R81" s="26"/>
      <c r="S81" s="26"/>
      <c r="T81" s="381" t="b" cm="1">
        <f t="array" aca="1" ref="T81" ca="1">T80</f>
        <v>0</v>
      </c>
      <c r="U81" s="26"/>
      <c r="V81" s="26"/>
      <c r="X81" s="1755"/>
      <c r="Z81" s="1735"/>
      <c r="AB81" s="215" t="s">
        <v>1866</v>
      </c>
      <c r="AC81" s="679" t="s">
        <v>1867</v>
      </c>
      <c r="AD81" s="216" t="s">
        <v>766</v>
      </c>
      <c r="AE81" s="175">
        <f ca="1">SUMIFS(Покупка!AE$25:AE$90,Покупка!$F$25:$F$90,$F81,Покупка!$AC$25:$AC$90,$G81)</f>
        <v>0</v>
      </c>
      <c r="AF81" s="175">
        <f ca="1">SUMIFS(Покупка!AF$25:AF$90,Покупка!$F$25:$F$90,$F81,Покупка!$AC$25:$AC$90,$G81)</f>
        <v>0</v>
      </c>
      <c r="AG81" s="175">
        <f ca="1">SUMIFS(Покупка!AG$25:AG$90,Покупка!$F$25:$F$90,$F81,Покупка!$AC$25:$AC$90,$G81)</f>
        <v>0</v>
      </c>
      <c r="AH81" s="848">
        <f t="shared" ca="1" si="7"/>
        <v>0</v>
      </c>
      <c r="AI81" s="848">
        <f ca="1">SUMIFS(Покупка!AH$25:AH$90,Покупка!$F$25:$F$90,$F81,Покупка!$AC$25:$AC$90,$G81)</f>
        <v>0</v>
      </c>
      <c r="AJ81" s="848">
        <f ca="1">SUMIFS(Покупка!AI$25:AI$90,Покупка!$F$25:$F$90,$F81,Покупка!$AC$25:$AC$90,$G81)</f>
        <v>0</v>
      </c>
      <c r="AK81" s="848">
        <f ca="1">SUMIFS(Покупка!AJ$25:AJ$90,Покупка!$F$25:$F$90,$F81,Покупка!$AC$25:$AC$90,$G81)</f>
        <v>0</v>
      </c>
      <c r="AL81" s="848">
        <f ca="1">SUMIFS(Покупка!AK$25:AK$90,Покупка!$F$25:$F$90,$F81,Покупка!$AC$25:$AC$90,$G81)</f>
        <v>0</v>
      </c>
      <c r="AM81" s="848">
        <f ca="1">SUMIFS(Покупка!AL$25:AL$90,Покупка!$F$25:$F$90,$F81,Покупка!$AC$25:$AC$90,$G81)</f>
        <v>0</v>
      </c>
      <c r="AN81" s="848">
        <f ca="1">SUMIFS(Покупка!AM$25:AM$90,Покупка!$F$25:$F$90,$F81,Покупка!$AC$25:$AC$90,$G81)</f>
        <v>0</v>
      </c>
      <c r="AO81" s="848">
        <f ca="1">SUMIFS(Покупка!AN$25:AN$90,Покупка!$F$25:$F$90,$F81,Покупка!$AC$25:$AC$90,$G81)</f>
        <v>0</v>
      </c>
      <c r="AP81" s="848">
        <f ca="1">SUMIFS(Покупка!AO$25:AO$90,Покупка!$F$25:$F$90,$F81,Покупка!$AC$25:$AC$90,$G81)</f>
        <v>0</v>
      </c>
      <c r="AQ81" s="848">
        <f ca="1">SUMIFS(Покупка!AP$25:AP$90,Покупка!$F$25:$F$90,$F81,Покупка!$AC$25:$AC$90,$G81)</f>
        <v>0</v>
      </c>
      <c r="AR81" s="848">
        <f ca="1">SUMIFS(Покупка!AQ$25:AQ$90,Покупка!$F$25:$F$90,$F81,Покупка!$AC$25:$AC$90,$G81)</f>
        <v>0</v>
      </c>
      <c r="AS81" s="848">
        <f ca="1">SUMIFS(Покупка!AR$25:AR$90,Покупка!$F$25:$F$90,$F81,Покупка!$AC$25:$AC$90,$G81)</f>
        <v>0</v>
      </c>
      <c r="AT81" s="848">
        <f ca="1">SUMIFS(Покупка!AS$25:AS$90,Покупка!$F$25:$F$90,$F81,Покупка!$AC$25:$AC$90,$G81)</f>
        <v>0</v>
      </c>
      <c r="AU81" s="848">
        <f ca="1">SUMIFS(Покупка!AT$25:AT$90,Покупка!$F$25:$F$90,$F81,Покупка!$AC$25:$AC$90,$G81)</f>
        <v>0</v>
      </c>
      <c r="AV81" s="848">
        <f ca="1">SUMIFS(Покупка!AU$25:AU$90,Покупка!$F$25:$F$90,$F81,Покупка!$AC$25:$AC$90,$G81)</f>
        <v>0</v>
      </c>
      <c r="AW81" s="848">
        <f ca="1">SUMIFS(Покупка!AV$25:AV$90,Покупка!$F$25:$F$90,$F81,Покупка!$AC$25:$AC$90,$G81)</f>
        <v>0</v>
      </c>
      <c r="AX81" s="848">
        <f ca="1">SUMIFS(Покупка!AW$25:AW$90,Покупка!$F$25:$F$90,$F81,Покупка!$AC$25:$AC$90,$G81)</f>
        <v>0</v>
      </c>
      <c r="AY81" s="848">
        <f ca="1">SUMIFS(Покупка!AX$25:AX$90,Покупка!$F$25:$F$90,$F81,Покупка!$AC$25:$AC$90,$G81)</f>
        <v>0</v>
      </c>
      <c r="AZ81" s="848">
        <f ca="1">SUMIFS(Покупка!AY$25:AY$90,Покупка!$F$25:$F$90,$F81,Покупка!$AC$25:$AC$90,$G81)</f>
        <v>0</v>
      </c>
      <c r="BA81" s="848">
        <f ca="1">SUMIFS(Покупка!AZ$25:AZ$90,Покупка!$F$25:$F$90,$F81,Покупка!$AC$25:$AC$90,$G81)</f>
        <v>0</v>
      </c>
      <c r="BB81" s="848">
        <f ca="1">SUMIFS(Покупка!BA$25:BA$90,Покупка!$F$25:$F$90,$F81,Покупка!$AC$25:$AC$90,$G81)</f>
        <v>0</v>
      </c>
      <c r="BC81" s="848">
        <f ca="1">SUMIFS(Покупка!BB$25:BB$90,Покупка!$F$25:$F$90,$F81,Покупка!$AC$25:$AC$90,$G81)</f>
        <v>0</v>
      </c>
      <c r="BD81" s="848">
        <f t="shared" ca="1" si="9"/>
        <v>0</v>
      </c>
      <c r="BE81" s="848">
        <f t="shared" ca="1" si="10"/>
        <v>0</v>
      </c>
      <c r="BF81" s="848">
        <f t="shared" ca="1" si="11"/>
        <v>0</v>
      </c>
      <c r="BG81" s="848">
        <f t="shared" ca="1" si="12"/>
        <v>0</v>
      </c>
      <c r="BH81" s="848">
        <f t="shared" ca="1" si="13"/>
        <v>0</v>
      </c>
      <c r="BI81" s="848">
        <f t="shared" ca="1" si="14"/>
        <v>0</v>
      </c>
      <c r="BJ81" s="848">
        <f t="shared" ca="1" si="15"/>
        <v>0</v>
      </c>
      <c r="BK81" s="848">
        <f t="shared" ca="1" si="16"/>
        <v>0</v>
      </c>
      <c r="BL81" s="848">
        <f t="shared" ca="1" si="17"/>
        <v>0</v>
      </c>
      <c r="BM81" s="848">
        <f t="shared" ca="1" si="18"/>
        <v>0</v>
      </c>
      <c r="BN81" s="1156"/>
      <c r="BO81" s="1154" t="str">
        <f ca="1">IF(IFERROR(INDEX(Покупка!$K$26:$L$90,MATCH($F81&amp;"7komm",Покупка!$K$26:$K$90,0),2),"")=0,"",IFERROR(INDEX(Покупка!$K$26:$L$90,MATCH($F81&amp;"7komm",Покупка!$K$26:$K$90,0),2),""))</f>
        <v/>
      </c>
      <c r="BP81" s="1156"/>
      <c r="BS81" s="966" t="s">
        <v>1001</v>
      </c>
    </row>
    <row r="82" spans="2:75" ht="14.65" hidden="1" customHeight="1">
      <c r="B82" s="15"/>
      <c r="C82" s="26"/>
      <c r="D82" s="26"/>
      <c r="E82" s="538">
        <v>15</v>
      </c>
      <c r="F82" s="3" cm="1">
        <f t="array" aca="1" ref="F82" ca="1">OFFSET(E82,-1,1)</f>
        <v>0</v>
      </c>
      <c r="G82" s="26" t="s">
        <v>975</v>
      </c>
      <c r="H82" s="26"/>
      <c r="I82" s="26" t="s">
        <v>1491</v>
      </c>
      <c r="J82" s="26"/>
      <c r="K82" s="26" t="s">
        <v>1491</v>
      </c>
      <c r="L82" s="882" t="s">
        <v>1361</v>
      </c>
      <c r="M82" s="26"/>
      <c r="N82" s="26"/>
      <c r="O82" s="26"/>
      <c r="P82" s="26"/>
      <c r="Q82" s="26"/>
      <c r="R82" s="26"/>
      <c r="S82" s="26"/>
      <c r="T82" s="381" t="b" cm="1">
        <f t="array" aca="1" ref="T82" ca="1">T81</f>
        <v>0</v>
      </c>
      <c r="U82" s="26"/>
      <c r="V82" s="26"/>
      <c r="X82" s="1755"/>
      <c r="Z82" s="1735"/>
      <c r="AB82" s="215" t="s">
        <v>1868</v>
      </c>
      <c r="AC82" s="679" t="s">
        <v>1869</v>
      </c>
      <c r="AD82" s="216" t="s">
        <v>766</v>
      </c>
      <c r="AE82" s="175">
        <f ca="1">SUMIFS(Покупка!AE$25:AE$90,Покупка!$F$25:$F$90,$F82,Покупка!$AC$25:$AC$90,$G82)</f>
        <v>0</v>
      </c>
      <c r="AF82" s="175">
        <f ca="1">SUMIFS(Покупка!AF$25:AF$90,Покупка!$F$25:$F$90,$F82,Покупка!$AC$25:$AC$90,$G82)</f>
        <v>0</v>
      </c>
      <c r="AG82" s="175">
        <f ca="1">SUMIFS(Покупка!AG$25:AG$90,Покупка!$F$25:$F$90,$F82,Покупка!$AC$25:$AC$90,$G82)</f>
        <v>0</v>
      </c>
      <c r="AH82" s="848">
        <f t="shared" ca="1" si="7"/>
        <v>0</v>
      </c>
      <c r="AI82" s="848">
        <f ca="1">SUMIFS(Покупка!AH$25:AH$90,Покупка!$F$25:$F$90,$F82,Покупка!$AC$25:$AC$90,$G82)</f>
        <v>0</v>
      </c>
      <c r="AJ82" s="848">
        <f ca="1">SUMIFS(Покупка!AI$25:AI$90,Покупка!$F$25:$F$90,$F82,Покупка!$AC$25:$AC$90,$G82)</f>
        <v>0</v>
      </c>
      <c r="AK82" s="848">
        <f ca="1">SUMIFS(Покупка!AJ$25:AJ$90,Покупка!$F$25:$F$90,$F82,Покупка!$AC$25:$AC$90,$G82)</f>
        <v>0</v>
      </c>
      <c r="AL82" s="848">
        <f ca="1">SUMIFS(Покупка!AK$25:AK$90,Покупка!$F$25:$F$90,$F82,Покупка!$AC$25:$AC$90,$G82)</f>
        <v>0</v>
      </c>
      <c r="AM82" s="848">
        <f ca="1">SUMIFS(Покупка!AL$25:AL$90,Покупка!$F$25:$F$90,$F82,Покупка!$AC$25:$AC$90,$G82)</f>
        <v>0</v>
      </c>
      <c r="AN82" s="848">
        <f ca="1">SUMIFS(Покупка!AM$25:AM$90,Покупка!$F$25:$F$90,$F82,Покупка!$AC$25:$AC$90,$G82)</f>
        <v>0</v>
      </c>
      <c r="AO82" s="848">
        <f ca="1">SUMIFS(Покупка!AN$25:AN$90,Покупка!$F$25:$F$90,$F82,Покупка!$AC$25:$AC$90,$G82)</f>
        <v>0</v>
      </c>
      <c r="AP82" s="848">
        <f ca="1">SUMIFS(Покупка!AO$25:AO$90,Покупка!$F$25:$F$90,$F82,Покупка!$AC$25:$AC$90,$G82)</f>
        <v>0</v>
      </c>
      <c r="AQ82" s="848">
        <f ca="1">SUMIFS(Покупка!AP$25:AP$90,Покупка!$F$25:$F$90,$F82,Покупка!$AC$25:$AC$90,$G82)</f>
        <v>0</v>
      </c>
      <c r="AR82" s="848">
        <f ca="1">SUMIFS(Покупка!AQ$25:AQ$90,Покупка!$F$25:$F$90,$F82,Покупка!$AC$25:$AC$90,$G82)</f>
        <v>0</v>
      </c>
      <c r="AS82" s="848">
        <f ca="1">SUMIFS(Покупка!AR$25:AR$90,Покупка!$F$25:$F$90,$F82,Покупка!$AC$25:$AC$90,$G82)</f>
        <v>0</v>
      </c>
      <c r="AT82" s="848">
        <f ca="1">SUMIFS(Покупка!AS$25:AS$90,Покупка!$F$25:$F$90,$F82,Покупка!$AC$25:$AC$90,$G82)</f>
        <v>0</v>
      </c>
      <c r="AU82" s="848">
        <f ca="1">SUMIFS(Покупка!AT$25:AT$90,Покупка!$F$25:$F$90,$F82,Покупка!$AC$25:$AC$90,$G82)</f>
        <v>0</v>
      </c>
      <c r="AV82" s="848">
        <f ca="1">SUMIFS(Покупка!AU$25:AU$90,Покупка!$F$25:$F$90,$F82,Покупка!$AC$25:$AC$90,$G82)</f>
        <v>0</v>
      </c>
      <c r="AW82" s="848">
        <f ca="1">SUMIFS(Покупка!AV$25:AV$90,Покупка!$F$25:$F$90,$F82,Покупка!$AC$25:$AC$90,$G82)</f>
        <v>0</v>
      </c>
      <c r="AX82" s="848">
        <f ca="1">SUMIFS(Покупка!AW$25:AW$90,Покупка!$F$25:$F$90,$F82,Покупка!$AC$25:$AC$90,$G82)</f>
        <v>0</v>
      </c>
      <c r="AY82" s="848">
        <f ca="1">SUMIFS(Покупка!AX$25:AX$90,Покупка!$F$25:$F$90,$F82,Покупка!$AC$25:$AC$90,$G82)</f>
        <v>0</v>
      </c>
      <c r="AZ82" s="848">
        <f ca="1">SUMIFS(Покупка!AY$25:AY$90,Покупка!$F$25:$F$90,$F82,Покупка!$AC$25:$AC$90,$G82)</f>
        <v>0</v>
      </c>
      <c r="BA82" s="848">
        <f ca="1">SUMIFS(Покупка!AZ$25:AZ$90,Покупка!$F$25:$F$90,$F82,Покупка!$AC$25:$AC$90,$G82)</f>
        <v>0</v>
      </c>
      <c r="BB82" s="848">
        <f ca="1">SUMIFS(Покупка!BA$25:BA$90,Покупка!$F$25:$F$90,$F82,Покупка!$AC$25:$AC$90,$G82)</f>
        <v>0</v>
      </c>
      <c r="BC82" s="848">
        <f ca="1">SUMIFS(Покупка!BB$25:BB$90,Покупка!$F$25:$F$90,$F82,Покупка!$AC$25:$AC$90,$G82)</f>
        <v>0</v>
      </c>
      <c r="BD82" s="848">
        <f t="shared" ca="1" si="9"/>
        <v>0</v>
      </c>
      <c r="BE82" s="848">
        <f t="shared" ca="1" si="10"/>
        <v>0</v>
      </c>
      <c r="BF82" s="848">
        <f t="shared" ca="1" si="11"/>
        <v>0</v>
      </c>
      <c r="BG82" s="848">
        <f t="shared" ca="1" si="12"/>
        <v>0</v>
      </c>
      <c r="BH82" s="848">
        <f t="shared" ca="1" si="13"/>
        <v>0</v>
      </c>
      <c r="BI82" s="848">
        <f t="shared" ca="1" si="14"/>
        <v>0</v>
      </c>
      <c r="BJ82" s="848">
        <f t="shared" ca="1" si="15"/>
        <v>0</v>
      </c>
      <c r="BK82" s="848">
        <f t="shared" ca="1" si="16"/>
        <v>0</v>
      </c>
      <c r="BL82" s="848">
        <f t="shared" ca="1" si="17"/>
        <v>0</v>
      </c>
      <c r="BM82" s="848">
        <f t="shared" ca="1" si="18"/>
        <v>0</v>
      </c>
      <c r="BN82" s="1156"/>
      <c r="BO82" s="1154" t="str">
        <f ca="1">IF(IFERROR(INDEX(Покупка!$K$26:$L$90,MATCH($F82&amp;"2komm",Покупка!$K$26:$K$90,0),2),"")=0,"",IFERROR(INDEX(Покупка!$K$26:$L$90,MATCH($F82&amp;"2komm",Покупка!$K$26:$K$90,0),2),""))</f>
        <v/>
      </c>
      <c r="BP82" s="1156"/>
      <c r="BS82" s="966" t="s">
        <v>1870</v>
      </c>
    </row>
    <row r="83" spans="2:75" ht="14.65" hidden="1" customHeight="1">
      <c r="B83" s="15"/>
      <c r="C83" s="26"/>
      <c r="D83" s="26"/>
      <c r="E83" s="538">
        <v>15</v>
      </c>
      <c r="F83" s="3" cm="1">
        <f t="array" aca="1" ref="F83" ca="1">OFFSET(E83,-1,1)</f>
        <v>0</v>
      </c>
      <c r="G83" s="26" t="s">
        <v>966</v>
      </c>
      <c r="H83" s="26"/>
      <c r="I83" s="26" t="s">
        <v>1493</v>
      </c>
      <c r="J83" s="26"/>
      <c r="K83" s="26" t="s">
        <v>1493</v>
      </c>
      <c r="L83" s="882" t="s">
        <v>1356</v>
      </c>
      <c r="M83" s="26"/>
      <c r="N83" s="26"/>
      <c r="O83" s="26"/>
      <c r="P83" s="26"/>
      <c r="Q83" s="26"/>
      <c r="R83" s="26"/>
      <c r="S83" s="26"/>
      <c r="T83" s="381" t="b" cm="1">
        <f t="array" aca="1" ref="T83" ca="1">T82</f>
        <v>0</v>
      </c>
      <c r="U83" s="26"/>
      <c r="V83" s="26"/>
      <c r="X83" s="1755"/>
      <c r="Z83" s="1735"/>
      <c r="AB83" s="215" t="s">
        <v>1871</v>
      </c>
      <c r="AC83" s="679" t="s">
        <v>1872</v>
      </c>
      <c r="AD83" s="216" t="s">
        <v>766</v>
      </c>
      <c r="AE83" s="175">
        <f ca="1">SUMIFS(Покупка!AE$25:AE$90,Покупка!$F$25:$F$90,$F83,Покупка!$AC$25:$AC$90,$G83)</f>
        <v>0</v>
      </c>
      <c r="AF83" s="175">
        <f ca="1">SUMIFS(Покупка!AF$25:AF$90,Покупка!$F$25:$F$90,$F83,Покупка!$AC$25:$AC$90,$G83)</f>
        <v>0</v>
      </c>
      <c r="AG83" s="175">
        <f ca="1">SUMIFS(Покупка!AG$25:AG$90,Покупка!$F$25:$F$90,$F83,Покупка!$AC$25:$AC$90,$G83)</f>
        <v>0</v>
      </c>
      <c r="AH83" s="848">
        <f t="shared" ca="1" si="7"/>
        <v>0</v>
      </c>
      <c r="AI83" s="848">
        <f ca="1">SUMIFS(Покупка!AH$25:AH$90,Покупка!$F$25:$F$90,$F83,Покупка!$AC$25:$AC$90,$G83)</f>
        <v>0</v>
      </c>
      <c r="AJ83" s="848">
        <f ca="1">SUMIFS(Покупка!AI$25:AI$90,Покупка!$F$25:$F$90,$F83,Покупка!$AC$25:$AC$90,$G83)</f>
        <v>0</v>
      </c>
      <c r="AK83" s="848">
        <f ca="1">SUMIFS(Покупка!AJ$25:AJ$90,Покупка!$F$25:$F$90,$F83,Покупка!$AC$25:$AC$90,$G83)</f>
        <v>0</v>
      </c>
      <c r="AL83" s="848">
        <f ca="1">SUMIFS(Покупка!AK$25:AK$90,Покупка!$F$25:$F$90,$F83,Покупка!$AC$25:$AC$90,$G83)</f>
        <v>0</v>
      </c>
      <c r="AM83" s="848">
        <f ca="1">SUMIFS(Покупка!AL$25:AL$90,Покупка!$F$25:$F$90,$F83,Покупка!$AC$25:$AC$90,$G83)</f>
        <v>0</v>
      </c>
      <c r="AN83" s="848">
        <f ca="1">SUMIFS(Покупка!AM$25:AM$90,Покупка!$F$25:$F$90,$F83,Покупка!$AC$25:$AC$90,$G83)</f>
        <v>0</v>
      </c>
      <c r="AO83" s="848">
        <f ca="1">SUMIFS(Покупка!AN$25:AN$90,Покупка!$F$25:$F$90,$F83,Покупка!$AC$25:$AC$90,$G83)</f>
        <v>0</v>
      </c>
      <c r="AP83" s="848">
        <f ca="1">SUMIFS(Покупка!AO$25:AO$90,Покупка!$F$25:$F$90,$F83,Покупка!$AC$25:$AC$90,$G83)</f>
        <v>0</v>
      </c>
      <c r="AQ83" s="848">
        <f ca="1">SUMIFS(Покупка!AP$25:AP$90,Покупка!$F$25:$F$90,$F83,Покупка!$AC$25:$AC$90,$G83)</f>
        <v>0</v>
      </c>
      <c r="AR83" s="848">
        <f ca="1">SUMIFS(Покупка!AQ$25:AQ$90,Покупка!$F$25:$F$90,$F83,Покупка!$AC$25:$AC$90,$G83)</f>
        <v>0</v>
      </c>
      <c r="AS83" s="848">
        <f ca="1">SUMIFS(Покупка!AR$25:AR$90,Покупка!$F$25:$F$90,$F83,Покупка!$AC$25:$AC$90,$G83)</f>
        <v>0</v>
      </c>
      <c r="AT83" s="848">
        <f ca="1">SUMIFS(Покупка!AS$25:AS$90,Покупка!$F$25:$F$90,$F83,Покупка!$AC$25:$AC$90,$G83)</f>
        <v>0</v>
      </c>
      <c r="AU83" s="848">
        <f ca="1">SUMIFS(Покупка!AT$25:AT$90,Покупка!$F$25:$F$90,$F83,Покупка!$AC$25:$AC$90,$G83)</f>
        <v>0</v>
      </c>
      <c r="AV83" s="848">
        <f ca="1">SUMIFS(Покупка!AU$25:AU$90,Покупка!$F$25:$F$90,$F83,Покупка!$AC$25:$AC$90,$G83)</f>
        <v>0</v>
      </c>
      <c r="AW83" s="848">
        <f ca="1">SUMIFS(Покупка!AV$25:AV$90,Покупка!$F$25:$F$90,$F83,Покупка!$AC$25:$AC$90,$G83)</f>
        <v>0</v>
      </c>
      <c r="AX83" s="848">
        <f ca="1">SUMIFS(Покупка!AW$25:AW$90,Покупка!$F$25:$F$90,$F83,Покупка!$AC$25:$AC$90,$G83)</f>
        <v>0</v>
      </c>
      <c r="AY83" s="848">
        <f ca="1">SUMIFS(Покупка!AX$25:AX$90,Покупка!$F$25:$F$90,$F83,Покупка!$AC$25:$AC$90,$G83)</f>
        <v>0</v>
      </c>
      <c r="AZ83" s="848">
        <f ca="1">SUMIFS(Покупка!AY$25:AY$90,Покупка!$F$25:$F$90,$F83,Покупка!$AC$25:$AC$90,$G83)</f>
        <v>0</v>
      </c>
      <c r="BA83" s="848">
        <f ca="1">SUMIFS(Покупка!AZ$25:AZ$90,Покупка!$F$25:$F$90,$F83,Покупка!$AC$25:$AC$90,$G83)</f>
        <v>0</v>
      </c>
      <c r="BB83" s="848">
        <f ca="1">SUMIFS(Покупка!BA$25:BA$90,Покупка!$F$25:$F$90,$F83,Покупка!$AC$25:$AC$90,$G83)</f>
        <v>0</v>
      </c>
      <c r="BC83" s="848">
        <f ca="1">SUMIFS(Покупка!BB$25:BB$90,Покупка!$F$25:$F$90,$F83,Покупка!$AC$25:$AC$90,$G83)</f>
        <v>0</v>
      </c>
      <c r="BD83" s="848">
        <f t="shared" ca="1" si="9"/>
        <v>0</v>
      </c>
      <c r="BE83" s="848">
        <f t="shared" ca="1" si="10"/>
        <v>0</v>
      </c>
      <c r="BF83" s="848">
        <f t="shared" ca="1" si="11"/>
        <v>0</v>
      </c>
      <c r="BG83" s="848">
        <f t="shared" ca="1" si="12"/>
        <v>0</v>
      </c>
      <c r="BH83" s="848">
        <f t="shared" ca="1" si="13"/>
        <v>0</v>
      </c>
      <c r="BI83" s="848">
        <f t="shared" ca="1" si="14"/>
        <v>0</v>
      </c>
      <c r="BJ83" s="848">
        <f t="shared" ca="1" si="15"/>
        <v>0</v>
      </c>
      <c r="BK83" s="848">
        <f t="shared" ca="1" si="16"/>
        <v>0</v>
      </c>
      <c r="BL83" s="848">
        <f t="shared" ca="1" si="17"/>
        <v>0</v>
      </c>
      <c r="BM83" s="848">
        <f t="shared" ca="1" si="18"/>
        <v>0</v>
      </c>
      <c r="BN83" s="1156"/>
      <c r="BO83" s="1154" t="str">
        <f ca="1">IF(IFERROR(INDEX(Покупка!$K$26:$L$90,MATCH($F83&amp;"1komm",Покупка!$K$26:$K$90,0),2),"")=0,"",IFERROR(INDEX(Покупка!$K$26:$L$90,MATCH($F83&amp;"1komm",Покупка!$K$26:$K$90,0),2),""))</f>
        <v/>
      </c>
      <c r="BP83" s="1156"/>
      <c r="BS83" s="966" t="s">
        <v>1873</v>
      </c>
    </row>
    <row r="84" spans="2:75" ht="14.65" hidden="1" customHeight="1">
      <c r="B84" s="15"/>
      <c r="C84" s="26"/>
      <c r="D84" s="26"/>
      <c r="E84" s="538">
        <v>15</v>
      </c>
      <c r="F84" s="3" cm="1">
        <f t="array" aca="1" ref="F84" ca="1">OFFSET(E84,-1,1)</f>
        <v>0</v>
      </c>
      <c r="G84" s="26" t="s">
        <v>1002</v>
      </c>
      <c r="H84" s="26"/>
      <c r="I84" s="26" t="s">
        <v>1496</v>
      </c>
      <c r="J84" s="26"/>
      <c r="K84" s="26" t="s">
        <v>1496</v>
      </c>
      <c r="L84" s="882"/>
      <c r="M84" s="26"/>
      <c r="N84" s="26"/>
      <c r="O84" s="26"/>
      <c r="P84" s="26"/>
      <c r="Q84" s="26"/>
      <c r="R84" s="26"/>
      <c r="S84" s="26"/>
      <c r="T84" s="381" t="b" cm="1">
        <f t="array" aca="1" ref="T84" ca="1">T83</f>
        <v>0</v>
      </c>
      <c r="U84" s="26"/>
      <c r="V84" s="26"/>
      <c r="X84" s="1755"/>
      <c r="Z84" s="1735"/>
      <c r="AB84" s="215" t="s">
        <v>1874</v>
      </c>
      <c r="AC84" s="679" t="s">
        <v>1875</v>
      </c>
      <c r="AD84" s="216" t="s">
        <v>766</v>
      </c>
      <c r="AE84" s="175">
        <f ca="1">SUMIFS(Покупка!AE$25:AE$90,Покупка!$F$25:$F$90,$F84,Покупка!$AC$25:$AC$90,$G84)</f>
        <v>0</v>
      </c>
      <c r="AF84" s="175">
        <f ca="1">SUMIFS(Покупка!AF$25:AF$90,Покупка!$F$25:$F$90,$F84,Покупка!$AC$25:$AC$90,$G84)</f>
        <v>0</v>
      </c>
      <c r="AG84" s="175">
        <f ca="1">SUMIFS(Покупка!AG$25:AG$90,Покупка!$F$25:$F$90,$F84,Покупка!$AC$25:$AC$90,$G84)</f>
        <v>0</v>
      </c>
      <c r="AH84" s="848">
        <f t="shared" ca="1" si="7"/>
        <v>0</v>
      </c>
      <c r="AI84" s="848">
        <f ca="1">SUMIFS(Покупка!AH$25:AH$90,Покупка!$F$25:$F$90,$F84,Покупка!$AC$25:$AC$90,$G84)</f>
        <v>0</v>
      </c>
      <c r="AJ84" s="848">
        <f ca="1">SUMIFS(Покупка!AI$25:AI$90,Покупка!$F$25:$F$90,$F84,Покупка!$AC$25:$AC$90,$G84)</f>
        <v>0</v>
      </c>
      <c r="AK84" s="848">
        <f ca="1">SUMIFS(Покупка!AJ$25:AJ$90,Покупка!$F$25:$F$90,$F84,Покупка!$AC$25:$AC$90,$G84)</f>
        <v>0</v>
      </c>
      <c r="AL84" s="848">
        <f ca="1">SUMIFS(Покупка!AK$25:AK$90,Покупка!$F$25:$F$90,$F84,Покупка!$AC$25:$AC$90,$G84)</f>
        <v>0</v>
      </c>
      <c r="AM84" s="848">
        <f ca="1">SUMIFS(Покупка!AL$25:AL$90,Покупка!$F$25:$F$90,$F84,Покупка!$AC$25:$AC$90,$G84)</f>
        <v>0</v>
      </c>
      <c r="AN84" s="848">
        <f ca="1">SUMIFS(Покупка!AM$25:AM$90,Покупка!$F$25:$F$90,$F84,Покупка!$AC$25:$AC$90,$G84)</f>
        <v>0</v>
      </c>
      <c r="AO84" s="848">
        <f ca="1">SUMIFS(Покупка!AN$25:AN$90,Покупка!$F$25:$F$90,$F84,Покупка!$AC$25:$AC$90,$G84)</f>
        <v>0</v>
      </c>
      <c r="AP84" s="848">
        <f ca="1">SUMIFS(Покупка!AO$25:AO$90,Покупка!$F$25:$F$90,$F84,Покупка!$AC$25:$AC$90,$G84)</f>
        <v>0</v>
      </c>
      <c r="AQ84" s="848">
        <f ca="1">SUMIFS(Покупка!AP$25:AP$90,Покупка!$F$25:$F$90,$F84,Покупка!$AC$25:$AC$90,$G84)</f>
        <v>0</v>
      </c>
      <c r="AR84" s="848">
        <f ca="1">SUMIFS(Покупка!AQ$25:AQ$90,Покупка!$F$25:$F$90,$F84,Покупка!$AC$25:$AC$90,$G84)</f>
        <v>0</v>
      </c>
      <c r="AS84" s="848">
        <f ca="1">SUMIFS(Покупка!AR$25:AR$90,Покупка!$F$25:$F$90,$F84,Покупка!$AC$25:$AC$90,$G84)</f>
        <v>0</v>
      </c>
      <c r="AT84" s="848">
        <f ca="1">SUMIFS(Покупка!AS$25:AS$90,Покупка!$F$25:$F$90,$F84,Покупка!$AC$25:$AC$90,$G84)</f>
        <v>0</v>
      </c>
      <c r="AU84" s="848">
        <f ca="1">SUMIFS(Покупка!AT$25:AT$90,Покупка!$F$25:$F$90,$F84,Покупка!$AC$25:$AC$90,$G84)</f>
        <v>0</v>
      </c>
      <c r="AV84" s="848">
        <f ca="1">SUMIFS(Покупка!AU$25:AU$90,Покупка!$F$25:$F$90,$F84,Покупка!$AC$25:$AC$90,$G84)</f>
        <v>0</v>
      </c>
      <c r="AW84" s="848">
        <f ca="1">SUMIFS(Покупка!AV$25:AV$90,Покупка!$F$25:$F$90,$F84,Покупка!$AC$25:$AC$90,$G84)</f>
        <v>0</v>
      </c>
      <c r="AX84" s="848">
        <f ca="1">SUMIFS(Покупка!AW$25:AW$90,Покупка!$F$25:$F$90,$F84,Покупка!$AC$25:$AC$90,$G84)</f>
        <v>0</v>
      </c>
      <c r="AY84" s="848">
        <f ca="1">SUMIFS(Покупка!AX$25:AX$90,Покупка!$F$25:$F$90,$F84,Покупка!$AC$25:$AC$90,$G84)</f>
        <v>0</v>
      </c>
      <c r="AZ84" s="848">
        <f ca="1">SUMIFS(Покупка!AY$25:AY$90,Покупка!$F$25:$F$90,$F84,Покупка!$AC$25:$AC$90,$G84)</f>
        <v>0</v>
      </c>
      <c r="BA84" s="848">
        <f ca="1">SUMIFS(Покупка!AZ$25:AZ$90,Покупка!$F$25:$F$90,$F84,Покупка!$AC$25:$AC$90,$G84)</f>
        <v>0</v>
      </c>
      <c r="BB84" s="848">
        <f ca="1">SUMIFS(Покупка!BA$25:BA$90,Покупка!$F$25:$F$90,$F84,Покупка!$AC$25:$AC$90,$G84)</f>
        <v>0</v>
      </c>
      <c r="BC84" s="848">
        <f ca="1">SUMIFS(Покупка!BB$25:BB$90,Покупка!$F$25:$F$90,$F84,Покупка!$AC$25:$AC$90,$G84)</f>
        <v>0</v>
      </c>
      <c r="BD84" s="848">
        <f t="shared" ca="1" si="9"/>
        <v>0</v>
      </c>
      <c r="BE84" s="848">
        <f t="shared" ca="1" si="10"/>
        <v>0</v>
      </c>
      <c r="BF84" s="848">
        <f t="shared" ca="1" si="11"/>
        <v>0</v>
      </c>
      <c r="BG84" s="848">
        <f t="shared" ca="1" si="12"/>
        <v>0</v>
      </c>
      <c r="BH84" s="848">
        <f t="shared" ca="1" si="13"/>
        <v>0</v>
      </c>
      <c r="BI84" s="848">
        <f t="shared" ca="1" si="14"/>
        <v>0</v>
      </c>
      <c r="BJ84" s="848">
        <f t="shared" ca="1" si="15"/>
        <v>0</v>
      </c>
      <c r="BK84" s="848">
        <f t="shared" ca="1" si="16"/>
        <v>0</v>
      </c>
      <c r="BL84" s="848">
        <f t="shared" ca="1" si="17"/>
        <v>0</v>
      </c>
      <c r="BM84" s="848">
        <f t="shared" ca="1" si="18"/>
        <v>0</v>
      </c>
      <c r="BN84" s="1156"/>
      <c r="BO84" s="1154" t="str">
        <f ca="1">IF(IFERROR(INDEX(Покупка!$K$26:$L$90,MATCH($F84&amp;"8komm",Покупка!$K$26:$K$90,0),2),"")=0,"",IFERROR(INDEX(Покупка!$K$26:$L$90,MATCH($F84&amp;"8komm",Покупка!$K$26:$K$90,0),2),""))</f>
        <v/>
      </c>
      <c r="BP84" s="1156"/>
      <c r="BS84" s="966" t="s">
        <v>1003</v>
      </c>
    </row>
    <row r="85" spans="2:75" ht="14.65" hidden="1" customHeight="1">
      <c r="B85" s="15"/>
      <c r="C85" s="26"/>
      <c r="D85" s="26"/>
      <c r="E85" s="538">
        <v>15</v>
      </c>
      <c r="F85" s="3" cm="1">
        <f t="array" aca="1" ref="F85" ca="1">OFFSET(E85,-1,1)</f>
        <v>0</v>
      </c>
      <c r="G85" s="26"/>
      <c r="H85" s="26"/>
      <c r="I85" s="26" t="s">
        <v>1876</v>
      </c>
      <c r="J85" s="26"/>
      <c r="K85" s="26" t="s">
        <v>1876</v>
      </c>
      <c r="L85" s="882"/>
      <c r="M85" s="26"/>
      <c r="N85" s="26"/>
      <c r="O85" s="26"/>
      <c r="P85" s="26"/>
      <c r="Q85" s="26"/>
      <c r="R85" s="26"/>
      <c r="S85" s="26"/>
      <c r="T85" s="381" t="b" cm="1">
        <f t="array" aca="1" ref="T85" ca="1">T84</f>
        <v>0</v>
      </c>
      <c r="U85" s="26"/>
      <c r="V85" s="26"/>
      <c r="X85" s="1755"/>
      <c r="Z85" s="1735"/>
      <c r="AB85" s="215" t="s">
        <v>1877</v>
      </c>
      <c r="AC85" s="679" t="s">
        <v>1878</v>
      </c>
      <c r="AD85" s="216" t="s">
        <v>766</v>
      </c>
      <c r="AE85" s="1155"/>
      <c r="AF85" s="1155"/>
      <c r="AG85" s="1155"/>
      <c r="AH85" s="848">
        <f t="shared" si="7"/>
        <v>0</v>
      </c>
      <c r="AI85" s="1153"/>
      <c r="AJ85" s="1510"/>
      <c r="AK85" s="1153"/>
      <c r="AL85" s="1153"/>
      <c r="AM85" s="1153"/>
      <c r="AN85" s="1153"/>
      <c r="AO85" s="1153"/>
      <c r="AP85" s="1153"/>
      <c r="AQ85" s="1153"/>
      <c r="AR85" s="1153"/>
      <c r="AS85" s="1153"/>
      <c r="AT85" s="1510"/>
      <c r="AU85" s="1153"/>
      <c r="AV85" s="1153"/>
      <c r="AW85" s="1153"/>
      <c r="AX85" s="1153"/>
      <c r="AY85" s="1153"/>
      <c r="AZ85" s="1153"/>
      <c r="BA85" s="1153"/>
      <c r="BB85" s="1153"/>
      <c r="BC85" s="1153"/>
      <c r="BD85" s="848">
        <f t="shared" si="9"/>
        <v>0</v>
      </c>
      <c r="BE85" s="848">
        <f t="shared" si="10"/>
        <v>0</v>
      </c>
      <c r="BF85" s="848">
        <f t="shared" si="11"/>
        <v>0</v>
      </c>
      <c r="BG85" s="848">
        <f t="shared" si="12"/>
        <v>0</v>
      </c>
      <c r="BH85" s="848">
        <f t="shared" si="13"/>
        <v>0</v>
      </c>
      <c r="BI85" s="848">
        <f t="shared" si="14"/>
        <v>0</v>
      </c>
      <c r="BJ85" s="848">
        <f t="shared" si="15"/>
        <v>0</v>
      </c>
      <c r="BK85" s="848">
        <f t="shared" si="16"/>
        <v>0</v>
      </c>
      <c r="BL85" s="848">
        <f t="shared" si="17"/>
        <v>0</v>
      </c>
      <c r="BM85" s="848">
        <f t="shared" si="18"/>
        <v>0</v>
      </c>
      <c r="BN85" s="1156"/>
      <c r="BO85" s="1156"/>
      <c r="BP85" s="1156"/>
      <c r="BS85" s="966" t="s">
        <v>1879</v>
      </c>
    </row>
    <row r="86" spans="2:75" ht="14.65" hidden="1" customHeight="1">
      <c r="B86" s="15"/>
      <c r="C86" s="26"/>
      <c r="D86" s="26"/>
      <c r="E86" s="538">
        <v>15</v>
      </c>
      <c r="F86" s="3" cm="1">
        <f t="array" aca="1" ref="F86" ca="1">OFFSET(E86,-1,1)</f>
        <v>0</v>
      </c>
      <c r="G86" s="26"/>
      <c r="H86" s="26"/>
      <c r="I86" s="26" t="s">
        <v>1880</v>
      </c>
      <c r="J86" s="26"/>
      <c r="K86" s="26" t="s">
        <v>1880</v>
      </c>
      <c r="L86" s="882"/>
      <c r="M86" s="26"/>
      <c r="N86" s="26"/>
      <c r="O86" s="26"/>
      <c r="P86" s="26"/>
      <c r="Q86" s="26"/>
      <c r="R86" s="26"/>
      <c r="S86" s="26"/>
      <c r="T86" s="381" t="b" cm="1">
        <f t="array" aca="1" ref="T86" ca="1">T85</f>
        <v>0</v>
      </c>
      <c r="U86" s="26"/>
      <c r="V86" s="26"/>
      <c r="X86" s="1755"/>
      <c r="Z86" s="1735"/>
      <c r="AB86" s="215" t="s">
        <v>1881</v>
      </c>
      <c r="AC86" s="679" t="s">
        <v>1882</v>
      </c>
      <c r="AD86" s="216" t="s">
        <v>766</v>
      </c>
      <c r="AE86" s="1155"/>
      <c r="AF86" s="1155"/>
      <c r="AG86" s="1155"/>
      <c r="AH86" s="848">
        <f t="shared" si="7"/>
        <v>0</v>
      </c>
      <c r="AI86" s="1153"/>
      <c r="AJ86" s="1510"/>
      <c r="AK86" s="1153"/>
      <c r="AL86" s="1153"/>
      <c r="AM86" s="1153"/>
      <c r="AN86" s="1153"/>
      <c r="AO86" s="1153"/>
      <c r="AP86" s="1153"/>
      <c r="AQ86" s="1153"/>
      <c r="AR86" s="1153"/>
      <c r="AS86" s="1153"/>
      <c r="AT86" s="1510"/>
      <c r="AU86" s="1153"/>
      <c r="AV86" s="1153"/>
      <c r="AW86" s="1153"/>
      <c r="AX86" s="1153"/>
      <c r="AY86" s="1153"/>
      <c r="AZ86" s="1153"/>
      <c r="BA86" s="1153"/>
      <c r="BB86" s="1153"/>
      <c r="BC86" s="1153"/>
      <c r="BD86" s="848">
        <f t="shared" si="9"/>
        <v>0</v>
      </c>
      <c r="BE86" s="848">
        <f t="shared" si="10"/>
        <v>0</v>
      </c>
      <c r="BF86" s="848">
        <f t="shared" si="11"/>
        <v>0</v>
      </c>
      <c r="BG86" s="848">
        <f t="shared" si="12"/>
        <v>0</v>
      </c>
      <c r="BH86" s="848">
        <f t="shared" si="13"/>
        <v>0</v>
      </c>
      <c r="BI86" s="848">
        <f t="shared" si="14"/>
        <v>0</v>
      </c>
      <c r="BJ86" s="848">
        <f t="shared" si="15"/>
        <v>0</v>
      </c>
      <c r="BK86" s="848">
        <f t="shared" si="16"/>
        <v>0</v>
      </c>
      <c r="BL86" s="848">
        <f t="shared" si="17"/>
        <v>0</v>
      </c>
      <c r="BM86" s="848">
        <f t="shared" si="18"/>
        <v>0</v>
      </c>
      <c r="BN86" s="1156"/>
      <c r="BO86" s="1156"/>
      <c r="BP86" s="1156"/>
      <c r="BS86" s="966" t="s">
        <v>1883</v>
      </c>
    </row>
    <row r="87" spans="2:75" ht="14.65" hidden="1" customHeight="1">
      <c r="B87" s="15"/>
      <c r="C87" s="26"/>
      <c r="D87" s="26"/>
      <c r="E87" s="538">
        <v>15</v>
      </c>
      <c r="F87" s="3" cm="1">
        <f t="array" aca="1" ref="F87" ca="1">OFFSET(E87,-1,1)</f>
        <v>0</v>
      </c>
      <c r="G87" s="26" t="s">
        <v>980</v>
      </c>
      <c r="H87" s="26"/>
      <c r="I87" s="26" t="s">
        <v>1884</v>
      </c>
      <c r="J87" s="26"/>
      <c r="K87" s="26" t="s">
        <v>1884</v>
      </c>
      <c r="L87" s="882" t="s">
        <v>1370</v>
      </c>
      <c r="M87" s="26"/>
      <c r="N87" s="26"/>
      <c r="O87" s="26"/>
      <c r="P87" s="26"/>
      <c r="Q87" s="26"/>
      <c r="R87" s="26"/>
      <c r="S87" s="26"/>
      <c r="T87" s="381" t="b" cm="1">
        <f t="array" aca="1" ref="T87" ca="1">T86</f>
        <v>0</v>
      </c>
      <c r="U87" s="26"/>
      <c r="V87" s="26"/>
      <c r="X87" s="1755"/>
      <c r="Z87" s="1735"/>
      <c r="AB87" s="215" t="s">
        <v>1885</v>
      </c>
      <c r="AC87" s="679" t="s">
        <v>1886</v>
      </c>
      <c r="AD87" s="216" t="s">
        <v>766</v>
      </c>
      <c r="AE87" s="175">
        <f ca="1">SUMIFS(Покупка!AE$25:AE$90,Покупка!$F$25:$F$90,$F87,Покупка!$AC$25:$AC$90,$G87)</f>
        <v>0</v>
      </c>
      <c r="AF87" s="175">
        <f ca="1">SUMIFS(Покупка!AF$25:AF$90,Покупка!$F$25:$F$90,$F87,Покупка!$AC$25:$AC$90,$G87)</f>
        <v>0</v>
      </c>
      <c r="AG87" s="175">
        <f ca="1">SUMIFS(Покупка!AG$25:AG$90,Покупка!$F$25:$F$90,$F87,Покупка!$AC$25:$AC$90,$G87)</f>
        <v>0</v>
      </c>
      <c r="AH87" s="848">
        <f t="shared" ca="1" si="7"/>
        <v>0</v>
      </c>
      <c r="AI87" s="848">
        <f ca="1">SUMIFS(Покупка!AH$25:AH$90,Покупка!$F$25:$F$90,$F87,Покупка!$AC$25:$AC$90,$G87)</f>
        <v>0</v>
      </c>
      <c r="AJ87" s="848">
        <f ca="1">SUMIFS(Покупка!AI$25:AI$90,Покупка!$F$25:$F$90,$F87,Покупка!$AC$25:$AC$90,$G87)</f>
        <v>0</v>
      </c>
      <c r="AK87" s="848">
        <f ca="1">SUMIFS(Покупка!AJ$25:AJ$90,Покупка!$F$25:$F$90,$F87,Покупка!$AC$25:$AC$90,$G87)</f>
        <v>0</v>
      </c>
      <c r="AL87" s="848">
        <f ca="1">SUMIFS(Покупка!AK$25:AK$90,Покупка!$F$25:$F$90,$F87,Покупка!$AC$25:$AC$90,$G87)</f>
        <v>0</v>
      </c>
      <c r="AM87" s="848">
        <f ca="1">SUMIFS(Покупка!AL$25:AL$90,Покупка!$F$25:$F$90,$F87,Покупка!$AC$25:$AC$90,$G87)</f>
        <v>0</v>
      </c>
      <c r="AN87" s="848">
        <f ca="1">SUMIFS(Покупка!AM$25:AM$90,Покупка!$F$25:$F$90,$F87,Покупка!$AC$25:$AC$90,$G87)</f>
        <v>0</v>
      </c>
      <c r="AO87" s="848">
        <f ca="1">SUMIFS(Покупка!AN$25:AN$90,Покупка!$F$25:$F$90,$F87,Покупка!$AC$25:$AC$90,$G87)</f>
        <v>0</v>
      </c>
      <c r="AP87" s="848">
        <f ca="1">SUMIFS(Покупка!AO$25:AO$90,Покупка!$F$25:$F$90,$F87,Покупка!$AC$25:$AC$90,$G87)</f>
        <v>0</v>
      </c>
      <c r="AQ87" s="848">
        <f ca="1">SUMIFS(Покупка!AP$25:AP$90,Покупка!$F$25:$F$90,$F87,Покупка!$AC$25:$AC$90,$G87)</f>
        <v>0</v>
      </c>
      <c r="AR87" s="848">
        <f ca="1">SUMIFS(Покупка!AQ$25:AQ$90,Покупка!$F$25:$F$90,$F87,Покупка!$AC$25:$AC$90,$G87)</f>
        <v>0</v>
      </c>
      <c r="AS87" s="848">
        <f ca="1">SUMIFS(Покупка!AR$25:AR$90,Покупка!$F$25:$F$90,$F87,Покупка!$AC$25:$AC$90,$G87)</f>
        <v>0</v>
      </c>
      <c r="AT87" s="848">
        <f ca="1">SUMIFS(Покупка!AS$25:AS$90,Покупка!$F$25:$F$90,$F87,Покупка!$AC$25:$AC$90,$G87)</f>
        <v>0</v>
      </c>
      <c r="AU87" s="848">
        <f ca="1">SUMIFS(Покупка!AT$25:AT$90,Покупка!$F$25:$F$90,$F87,Покупка!$AC$25:$AC$90,$G87)</f>
        <v>0</v>
      </c>
      <c r="AV87" s="848">
        <f ca="1">SUMIFS(Покупка!AU$25:AU$90,Покупка!$F$25:$F$90,$F87,Покупка!$AC$25:$AC$90,$G87)</f>
        <v>0</v>
      </c>
      <c r="AW87" s="848">
        <f ca="1">SUMIFS(Покупка!AV$25:AV$90,Покупка!$F$25:$F$90,$F87,Покупка!$AC$25:$AC$90,$G87)</f>
        <v>0</v>
      </c>
      <c r="AX87" s="848">
        <f ca="1">SUMIFS(Покупка!AW$25:AW$90,Покупка!$F$25:$F$90,$F87,Покупка!$AC$25:$AC$90,$G87)</f>
        <v>0</v>
      </c>
      <c r="AY87" s="848">
        <f ca="1">SUMIFS(Покупка!AX$25:AX$90,Покупка!$F$25:$F$90,$F87,Покупка!$AC$25:$AC$90,$G87)</f>
        <v>0</v>
      </c>
      <c r="AZ87" s="848">
        <f ca="1">SUMIFS(Покупка!AY$25:AY$90,Покупка!$F$25:$F$90,$F87,Покупка!$AC$25:$AC$90,$G87)</f>
        <v>0</v>
      </c>
      <c r="BA87" s="848">
        <f ca="1">SUMIFS(Покупка!AZ$25:AZ$90,Покупка!$F$25:$F$90,$F87,Покупка!$AC$25:$AC$90,$G87)</f>
        <v>0</v>
      </c>
      <c r="BB87" s="848">
        <f ca="1">SUMIFS(Покупка!BA$25:BA$90,Покупка!$F$25:$F$90,$F87,Покупка!$AC$25:$AC$90,$G87)</f>
        <v>0</v>
      </c>
      <c r="BC87" s="848">
        <f ca="1">SUMIFS(Покупка!BB$25:BB$90,Покупка!$F$25:$F$90,$F87,Покупка!$AC$25:$AC$90,$G87)</f>
        <v>0</v>
      </c>
      <c r="BD87" s="848">
        <f t="shared" ca="1" si="9"/>
        <v>0</v>
      </c>
      <c r="BE87" s="848">
        <f t="shared" ca="1" si="10"/>
        <v>0</v>
      </c>
      <c r="BF87" s="848">
        <f t="shared" ca="1" si="11"/>
        <v>0</v>
      </c>
      <c r="BG87" s="848">
        <f t="shared" ca="1" si="12"/>
        <v>0</v>
      </c>
      <c r="BH87" s="848">
        <f t="shared" ca="1" si="13"/>
        <v>0</v>
      </c>
      <c r="BI87" s="848">
        <f t="shared" ca="1" si="14"/>
        <v>0</v>
      </c>
      <c r="BJ87" s="848">
        <f t="shared" ca="1" si="15"/>
        <v>0</v>
      </c>
      <c r="BK87" s="848">
        <f t="shared" ca="1" si="16"/>
        <v>0</v>
      </c>
      <c r="BL87" s="848">
        <f t="shared" ca="1" si="17"/>
        <v>0</v>
      </c>
      <c r="BM87" s="848">
        <f t="shared" ca="1" si="18"/>
        <v>0</v>
      </c>
      <c r="BN87" s="1156"/>
      <c r="BO87" s="1154" t="str">
        <f ca="1">IF(IFERROR(INDEX(Покупка!$K$26:$L$90,MATCH($F87&amp;"3komm",Покупка!$K$26:$K$90,0),2),"")=0,"",IFERROR(INDEX(Покупка!$K$26:$L$90,MATCH($F87&amp;"3komm",Покупка!$K$26:$K$90,0),2),""))</f>
        <v/>
      </c>
      <c r="BP87" s="1156"/>
      <c r="BS87" s="966" t="s">
        <v>1571</v>
      </c>
    </row>
    <row r="88" spans="2:75" ht="14.65" hidden="1" customHeight="1">
      <c r="B88" s="15"/>
      <c r="C88" s="26"/>
      <c r="D88" s="26"/>
      <c r="E88" s="538">
        <v>15</v>
      </c>
      <c r="F88" s="3" cm="1">
        <f t="array" aca="1" ref="F88" ca="1">OFFSET(E88,-1,1)</f>
        <v>0</v>
      </c>
      <c r="G88" s="26" t="s">
        <v>986</v>
      </c>
      <c r="H88" s="26"/>
      <c r="I88" s="26" t="s">
        <v>1887</v>
      </c>
      <c r="J88" s="26"/>
      <c r="K88" s="26" t="s">
        <v>1887</v>
      </c>
      <c r="L88" s="882" t="s">
        <v>1375</v>
      </c>
      <c r="M88" s="26"/>
      <c r="N88" s="26"/>
      <c r="O88" s="26"/>
      <c r="P88" s="26"/>
      <c r="Q88" s="26"/>
      <c r="R88" s="26"/>
      <c r="S88" s="26"/>
      <c r="T88" s="381" t="b" cm="1">
        <f t="array" aca="1" ref="T88" ca="1">T87</f>
        <v>0</v>
      </c>
      <c r="U88" s="26"/>
      <c r="V88" s="26"/>
      <c r="X88" s="1755"/>
      <c r="Z88" s="1735"/>
      <c r="AB88" s="215" t="s">
        <v>1888</v>
      </c>
      <c r="AC88" s="679" t="s">
        <v>1889</v>
      </c>
      <c r="AD88" s="216" t="s">
        <v>766</v>
      </c>
      <c r="AE88" s="175">
        <f ca="1">SUMIFS(Покупка!AE$25:AE$90,Покупка!$F$25:$F$90,$F88,Покупка!$AC$25:$AC$90,$G88)</f>
        <v>0</v>
      </c>
      <c r="AF88" s="175">
        <f ca="1">SUMIFS(Покупка!AF$25:AF$90,Покупка!$F$25:$F$90,$F88,Покупка!$AC$25:$AC$90,$G88)</f>
        <v>0</v>
      </c>
      <c r="AG88" s="175">
        <f ca="1">SUMIFS(Покупка!AG$25:AG$90,Покупка!$F$25:$F$90,$F88,Покупка!$AC$25:$AC$90,$G88)</f>
        <v>0</v>
      </c>
      <c r="AH88" s="848">
        <f t="shared" ca="1" si="7"/>
        <v>0</v>
      </c>
      <c r="AI88" s="848">
        <f ca="1">SUMIFS(Покупка!AH$25:AH$90,Покупка!$F$25:$F$90,$F88,Покупка!$AC$25:$AC$90,$G88)</f>
        <v>0</v>
      </c>
      <c r="AJ88" s="848">
        <f ca="1">SUMIFS(Покупка!AI$25:AI$90,Покупка!$F$25:$F$90,$F88,Покупка!$AC$25:$AC$90,$G88)</f>
        <v>0</v>
      </c>
      <c r="AK88" s="848">
        <f ca="1">SUMIFS(Покупка!AJ$25:AJ$90,Покупка!$F$25:$F$90,$F88,Покупка!$AC$25:$AC$90,$G88)</f>
        <v>0</v>
      </c>
      <c r="AL88" s="848">
        <f ca="1">SUMIFS(Покупка!AK$25:AK$90,Покупка!$F$25:$F$90,$F88,Покупка!$AC$25:$AC$90,$G88)</f>
        <v>0</v>
      </c>
      <c r="AM88" s="848">
        <f ca="1">SUMIFS(Покупка!AL$25:AL$90,Покупка!$F$25:$F$90,$F88,Покупка!$AC$25:$AC$90,$G88)</f>
        <v>0</v>
      </c>
      <c r="AN88" s="848">
        <f ca="1">SUMIFS(Покупка!AM$25:AM$90,Покупка!$F$25:$F$90,$F88,Покупка!$AC$25:$AC$90,$G88)</f>
        <v>0</v>
      </c>
      <c r="AO88" s="848">
        <f ca="1">SUMIFS(Покупка!AN$25:AN$90,Покупка!$F$25:$F$90,$F88,Покупка!$AC$25:$AC$90,$G88)</f>
        <v>0</v>
      </c>
      <c r="AP88" s="848">
        <f ca="1">SUMIFS(Покупка!AO$25:AO$90,Покупка!$F$25:$F$90,$F88,Покупка!$AC$25:$AC$90,$G88)</f>
        <v>0</v>
      </c>
      <c r="AQ88" s="848">
        <f ca="1">SUMIFS(Покупка!AP$25:AP$90,Покупка!$F$25:$F$90,$F88,Покупка!$AC$25:$AC$90,$G88)</f>
        <v>0</v>
      </c>
      <c r="AR88" s="848">
        <f ca="1">SUMIFS(Покупка!AQ$25:AQ$90,Покупка!$F$25:$F$90,$F88,Покупка!$AC$25:$AC$90,$G88)</f>
        <v>0</v>
      </c>
      <c r="AS88" s="848">
        <f ca="1">SUMIFS(Покупка!AR$25:AR$90,Покупка!$F$25:$F$90,$F88,Покупка!$AC$25:$AC$90,$G88)</f>
        <v>0</v>
      </c>
      <c r="AT88" s="848">
        <f ca="1">SUMIFS(Покупка!AS$25:AS$90,Покупка!$F$25:$F$90,$F88,Покупка!$AC$25:$AC$90,$G88)</f>
        <v>0</v>
      </c>
      <c r="AU88" s="848">
        <f ca="1">SUMIFS(Покупка!AT$25:AT$90,Покупка!$F$25:$F$90,$F88,Покупка!$AC$25:$AC$90,$G88)</f>
        <v>0</v>
      </c>
      <c r="AV88" s="848">
        <f ca="1">SUMIFS(Покупка!AU$25:AU$90,Покупка!$F$25:$F$90,$F88,Покупка!$AC$25:$AC$90,$G88)</f>
        <v>0</v>
      </c>
      <c r="AW88" s="848">
        <f ca="1">SUMIFS(Покупка!AV$25:AV$90,Покупка!$F$25:$F$90,$F88,Покупка!$AC$25:$AC$90,$G88)</f>
        <v>0</v>
      </c>
      <c r="AX88" s="848">
        <f ca="1">SUMIFS(Покупка!AW$25:AW$90,Покупка!$F$25:$F$90,$F88,Покупка!$AC$25:$AC$90,$G88)</f>
        <v>0</v>
      </c>
      <c r="AY88" s="848">
        <f ca="1">SUMIFS(Покупка!AX$25:AX$90,Покупка!$F$25:$F$90,$F88,Покупка!$AC$25:$AC$90,$G88)</f>
        <v>0</v>
      </c>
      <c r="AZ88" s="848">
        <f ca="1">SUMIFS(Покупка!AY$25:AY$90,Покупка!$F$25:$F$90,$F88,Покупка!$AC$25:$AC$90,$G88)</f>
        <v>0</v>
      </c>
      <c r="BA88" s="848">
        <f ca="1">SUMIFS(Покупка!AZ$25:AZ$90,Покупка!$F$25:$F$90,$F88,Покупка!$AC$25:$AC$90,$G88)</f>
        <v>0</v>
      </c>
      <c r="BB88" s="848">
        <f ca="1">SUMIFS(Покупка!BA$25:BA$90,Покупка!$F$25:$F$90,$F88,Покупка!$AC$25:$AC$90,$G88)</f>
        <v>0</v>
      </c>
      <c r="BC88" s="848">
        <f ca="1">SUMIFS(Покупка!BB$25:BB$90,Покупка!$F$25:$F$90,$F88,Покупка!$AC$25:$AC$90,$G88)</f>
        <v>0</v>
      </c>
      <c r="BD88" s="848">
        <f t="shared" ca="1" si="9"/>
        <v>0</v>
      </c>
      <c r="BE88" s="848">
        <f t="shared" ca="1" si="10"/>
        <v>0</v>
      </c>
      <c r="BF88" s="848">
        <f t="shared" ca="1" si="11"/>
        <v>0</v>
      </c>
      <c r="BG88" s="848">
        <f t="shared" ca="1" si="12"/>
        <v>0</v>
      </c>
      <c r="BH88" s="848">
        <f t="shared" ca="1" si="13"/>
        <v>0</v>
      </c>
      <c r="BI88" s="848">
        <f t="shared" ca="1" si="14"/>
        <v>0</v>
      </c>
      <c r="BJ88" s="848">
        <f t="shared" ca="1" si="15"/>
        <v>0</v>
      </c>
      <c r="BK88" s="848">
        <f t="shared" ca="1" si="16"/>
        <v>0</v>
      </c>
      <c r="BL88" s="848">
        <f t="shared" ca="1" si="17"/>
        <v>0</v>
      </c>
      <c r="BM88" s="848">
        <f t="shared" ca="1" si="18"/>
        <v>0</v>
      </c>
      <c r="BN88" s="1156"/>
      <c r="BO88" s="1154" t="str">
        <f ca="1">IF(IFERROR(INDEX(Покупка!$K$26:$L$90,MATCH($F88&amp;"4komm",Покупка!$K$26:$K$90,0),2),"")=0,"",IFERROR(INDEX(Покупка!$K$26:$L$90,MATCH($F87&amp;"3komm",Покупка!$K$26:$K$90,0),2),""))</f>
        <v/>
      </c>
      <c r="BP88" s="1156"/>
      <c r="BS88" s="966" t="s">
        <v>1574</v>
      </c>
    </row>
    <row r="89" spans="2:75" ht="14.65" hidden="1" customHeight="1">
      <c r="B89" s="15"/>
      <c r="C89" s="26"/>
      <c r="D89" s="26"/>
      <c r="E89" s="538">
        <v>15</v>
      </c>
      <c r="F89" s="3" cm="1">
        <f t="array" aca="1" ref="F89" ca="1">OFFSET(E89,-1,1)</f>
        <v>0</v>
      </c>
      <c r="G89" s="26" t="s">
        <v>992</v>
      </c>
      <c r="H89" s="26"/>
      <c r="I89" s="26" t="s">
        <v>1890</v>
      </c>
      <c r="J89" s="26"/>
      <c r="K89" s="26" t="s">
        <v>1890</v>
      </c>
      <c r="L89" s="882" t="s">
        <v>1385</v>
      </c>
      <c r="M89" s="26"/>
      <c r="N89" s="26"/>
      <c r="O89" s="26"/>
      <c r="P89" s="26"/>
      <c r="Q89" s="26"/>
      <c r="R89" s="26"/>
      <c r="S89" s="26"/>
      <c r="T89" s="381" t="b" cm="1">
        <f t="array" aca="1" ref="T89" ca="1">T88</f>
        <v>0</v>
      </c>
      <c r="U89" s="26"/>
      <c r="V89" s="26"/>
      <c r="X89" s="1755"/>
      <c r="Z89" s="1735"/>
      <c r="AB89" s="215" t="s">
        <v>1891</v>
      </c>
      <c r="AC89" s="679" t="s">
        <v>1892</v>
      </c>
      <c r="AD89" s="216" t="s">
        <v>766</v>
      </c>
      <c r="AE89" s="175">
        <f ca="1">SUMIFS(Покупка!AE$25:AE$90,Покупка!$F$25:$F$90,$F89,Покупка!$AC$25:$AC$90,$G89)</f>
        <v>0</v>
      </c>
      <c r="AF89" s="175">
        <f ca="1">SUMIFS(Покупка!AF$25:AF$90,Покупка!$F$25:$F$90,$F89,Покупка!$AC$25:$AC$90,$G89)</f>
        <v>0</v>
      </c>
      <c r="AG89" s="175">
        <f ca="1">SUMIFS(Покупка!AG$25:AG$90,Покупка!$F$25:$F$90,$F89,Покупка!$AC$25:$AC$90,$G89)</f>
        <v>0</v>
      </c>
      <c r="AH89" s="848">
        <f t="shared" ca="1" si="7"/>
        <v>0</v>
      </c>
      <c r="AI89" s="848">
        <f ca="1">SUMIFS(Покупка!AH$25:AH$90,Покупка!$F$25:$F$90,$F89,Покупка!$AC$25:$AC$90,$G89)</f>
        <v>0</v>
      </c>
      <c r="AJ89" s="848">
        <f ca="1">SUMIFS(Покупка!AI$25:AI$90,Покупка!$F$25:$F$90,$F89,Покупка!$AC$25:$AC$90,$G89)</f>
        <v>0</v>
      </c>
      <c r="AK89" s="848">
        <f ca="1">SUMIFS(Покупка!AJ$25:AJ$90,Покупка!$F$25:$F$90,$F89,Покупка!$AC$25:$AC$90,$G89)</f>
        <v>0</v>
      </c>
      <c r="AL89" s="848">
        <f ca="1">SUMIFS(Покупка!AK$25:AK$90,Покупка!$F$25:$F$90,$F89,Покупка!$AC$25:$AC$90,$G89)</f>
        <v>0</v>
      </c>
      <c r="AM89" s="848">
        <f ca="1">SUMIFS(Покупка!AL$25:AL$90,Покупка!$F$25:$F$90,$F89,Покупка!$AC$25:$AC$90,$G89)</f>
        <v>0</v>
      </c>
      <c r="AN89" s="848">
        <f ca="1">SUMIFS(Покупка!AM$25:AM$90,Покупка!$F$25:$F$90,$F89,Покупка!$AC$25:$AC$90,$G89)</f>
        <v>0</v>
      </c>
      <c r="AO89" s="848">
        <f ca="1">SUMIFS(Покупка!AN$25:AN$90,Покупка!$F$25:$F$90,$F89,Покупка!$AC$25:$AC$90,$G89)</f>
        <v>0</v>
      </c>
      <c r="AP89" s="848">
        <f ca="1">SUMIFS(Покупка!AO$25:AO$90,Покупка!$F$25:$F$90,$F89,Покупка!$AC$25:$AC$90,$G89)</f>
        <v>0</v>
      </c>
      <c r="AQ89" s="848">
        <f ca="1">SUMIFS(Покупка!AP$25:AP$90,Покупка!$F$25:$F$90,$F89,Покупка!$AC$25:$AC$90,$G89)</f>
        <v>0</v>
      </c>
      <c r="AR89" s="848">
        <f ca="1">SUMIFS(Покупка!AQ$25:AQ$90,Покупка!$F$25:$F$90,$F89,Покупка!$AC$25:$AC$90,$G89)</f>
        <v>0</v>
      </c>
      <c r="AS89" s="848">
        <f ca="1">SUMIFS(Покупка!AR$25:AR$90,Покупка!$F$25:$F$90,$F89,Покупка!$AC$25:$AC$90,$G89)</f>
        <v>0</v>
      </c>
      <c r="AT89" s="848">
        <f ca="1">SUMIFS(Покупка!AS$25:AS$90,Покупка!$F$25:$F$90,$F89,Покупка!$AC$25:$AC$90,$G89)</f>
        <v>0</v>
      </c>
      <c r="AU89" s="848">
        <f ca="1">SUMIFS(Покупка!AT$25:AT$90,Покупка!$F$25:$F$90,$F89,Покупка!$AC$25:$AC$90,$G89)</f>
        <v>0</v>
      </c>
      <c r="AV89" s="848">
        <f ca="1">SUMIFS(Покупка!AU$25:AU$90,Покупка!$F$25:$F$90,$F89,Покупка!$AC$25:$AC$90,$G89)</f>
        <v>0</v>
      </c>
      <c r="AW89" s="848">
        <f ca="1">SUMIFS(Покупка!AV$25:AV$90,Покупка!$F$25:$F$90,$F89,Покупка!$AC$25:$AC$90,$G89)</f>
        <v>0</v>
      </c>
      <c r="AX89" s="848">
        <f ca="1">SUMIFS(Покупка!AW$25:AW$90,Покупка!$F$25:$F$90,$F89,Покупка!$AC$25:$AC$90,$G89)</f>
        <v>0</v>
      </c>
      <c r="AY89" s="848">
        <f ca="1">SUMIFS(Покупка!AX$25:AX$90,Покупка!$F$25:$F$90,$F89,Покупка!$AC$25:$AC$90,$G89)</f>
        <v>0</v>
      </c>
      <c r="AZ89" s="848">
        <f ca="1">SUMIFS(Покупка!AY$25:AY$90,Покупка!$F$25:$F$90,$F89,Покупка!$AC$25:$AC$90,$G89)</f>
        <v>0</v>
      </c>
      <c r="BA89" s="848">
        <f ca="1">SUMIFS(Покупка!AZ$25:AZ$90,Покупка!$F$25:$F$90,$F89,Покупка!$AC$25:$AC$90,$G89)</f>
        <v>0</v>
      </c>
      <c r="BB89" s="848">
        <f ca="1">SUMIFS(Покупка!BA$25:BA$90,Покупка!$F$25:$F$90,$F89,Покупка!$AC$25:$AC$90,$G89)</f>
        <v>0</v>
      </c>
      <c r="BC89" s="848">
        <f ca="1">SUMIFS(Покупка!BB$25:BB$90,Покупка!$F$25:$F$90,$F89,Покупка!$AC$25:$AC$90,$G89)</f>
        <v>0</v>
      </c>
      <c r="BD89" s="848">
        <f t="shared" ca="1" si="9"/>
        <v>0</v>
      </c>
      <c r="BE89" s="848">
        <f t="shared" ca="1" si="10"/>
        <v>0</v>
      </c>
      <c r="BF89" s="848">
        <f t="shared" ca="1" si="11"/>
        <v>0</v>
      </c>
      <c r="BG89" s="848">
        <f t="shared" ca="1" si="12"/>
        <v>0</v>
      </c>
      <c r="BH89" s="848">
        <f t="shared" ca="1" si="13"/>
        <v>0</v>
      </c>
      <c r="BI89" s="848">
        <f t="shared" ca="1" si="14"/>
        <v>0</v>
      </c>
      <c r="BJ89" s="848">
        <f t="shared" ca="1" si="15"/>
        <v>0</v>
      </c>
      <c r="BK89" s="848">
        <f t="shared" ca="1" si="16"/>
        <v>0</v>
      </c>
      <c r="BL89" s="848">
        <f t="shared" ca="1" si="17"/>
        <v>0</v>
      </c>
      <c r="BM89" s="848">
        <f t="shared" ca="1" si="18"/>
        <v>0</v>
      </c>
      <c r="BN89" s="1156"/>
      <c r="BO89" s="1154" t="str">
        <f ca="1">IF(IFERROR(INDEX(Покупка!$K$26:$L$90,MATCH($F89&amp;"5komm",Покупка!$K$26:$K$90,0),2),"")=0,"",IFERROR(INDEX(Покупка!$K$26:$L$90,MATCH($F89&amp;"5komm",Покупка!$K$26:$K$90,0),2),""))</f>
        <v/>
      </c>
      <c r="BP89" s="1156"/>
      <c r="BS89" s="966" t="s">
        <v>1577</v>
      </c>
    </row>
    <row r="90" spans="2:75" s="1133" customFormat="1" ht="14.65" hidden="1" customHeight="1">
      <c r="B90" s="15"/>
      <c r="C90" s="26"/>
      <c r="D90" s="26"/>
      <c r="E90" s="538">
        <v>15</v>
      </c>
      <c r="F90" s="3" cm="1">
        <f t="array" aca="1" ref="F90" ca="1">OFFSET(E90,-1,1)</f>
        <v>0</v>
      </c>
      <c r="G90" s="26" t="s">
        <v>1004</v>
      </c>
      <c r="H90" s="26"/>
      <c r="I90" s="26"/>
      <c r="J90" s="26"/>
      <c r="K90" s="26"/>
      <c r="L90" s="882" t="s">
        <v>1352</v>
      </c>
      <c r="M90" s="26"/>
      <c r="N90" s="26"/>
      <c r="O90" s="26"/>
      <c r="P90" s="26"/>
      <c r="Q90" s="26"/>
      <c r="R90" s="26"/>
      <c r="S90" s="26"/>
      <c r="T90" s="381" t="b" cm="1">
        <f t="array" aca="1" ref="T90" ca="1">T89</f>
        <v>0</v>
      </c>
      <c r="U90" s="26"/>
      <c r="V90" s="26"/>
      <c r="X90" s="1755"/>
      <c r="Z90" s="1735"/>
      <c r="AB90" s="215" t="s">
        <v>1893</v>
      </c>
      <c r="AC90" s="679" t="s">
        <v>1894</v>
      </c>
      <c r="AD90" s="216" t="s">
        <v>766</v>
      </c>
      <c r="AE90" s="175">
        <f ca="1">SUMIFS(Покупка!AE$25:AE$90,Покупка!$F$25:$F$90,$F90,Покупка!$AC$25:$AC$90,$G90)</f>
        <v>0</v>
      </c>
      <c r="AF90" s="175">
        <f ca="1">SUMIFS(Покупка!AF$25:AF$90,Покупка!$F$25:$F$90,$F90,Покупка!$AC$25:$AC$90,$G90)</f>
        <v>0</v>
      </c>
      <c r="AG90" s="175">
        <f ca="1">SUMIFS(Покупка!AG$25:AG$90,Покупка!$F$25:$F$90,$F90,Покупка!$AC$25:$AC$90,$G90)</f>
        <v>0</v>
      </c>
      <c r="AH90" s="848">
        <f t="shared" ca="1" si="7"/>
        <v>0</v>
      </c>
      <c r="AI90" s="848">
        <f ca="1">SUMIFS(Покупка!AH$25:AH$90,Покупка!$F$25:$F$90,$F90,Покупка!$AC$25:$AC$90,$G90)</f>
        <v>0</v>
      </c>
      <c r="AJ90" s="1017">
        <f ca="1">SUMIFS(Покупка!AI$25:AI$90,Покупка!$F$25:$F$90,$F90,Покупка!$AC$25:$AC$90,$G90)</f>
        <v>0</v>
      </c>
      <c r="AK90" s="1017">
        <f ca="1">SUMIFS(Покупка!AJ$25:AJ$90,Покупка!$F$25:$F$90,$F90,Покупка!$AC$25:$AC$90,$G90)</f>
        <v>0</v>
      </c>
      <c r="AL90" s="1017">
        <f ca="1">SUMIFS(Покупка!AK$25:AK$90,Покупка!$F$25:$F$90,$F90,Покупка!$AC$25:$AC$90,$G90)</f>
        <v>0</v>
      </c>
      <c r="AM90" s="1017">
        <f ca="1">SUMIFS(Покупка!AL$25:AL$90,Покупка!$F$25:$F$90,$F90,Покупка!$AC$25:$AC$90,$G90)</f>
        <v>0</v>
      </c>
      <c r="AN90" s="1017">
        <f ca="1">SUMIFS(Покупка!AM$25:AM$90,Покупка!$F$25:$F$90,$F90,Покупка!$AC$25:$AC$90,$G90)</f>
        <v>0</v>
      </c>
      <c r="AO90" s="1017">
        <f ca="1">SUMIFS(Покупка!AN$25:AN$90,Покупка!$F$25:$F$90,$F90,Покупка!$AC$25:$AC$90,$G90)</f>
        <v>0</v>
      </c>
      <c r="AP90" s="1017">
        <f ca="1">SUMIFS(Покупка!AO$25:AO$90,Покупка!$F$25:$F$90,$F90,Покупка!$AC$25:$AC$90,$G90)</f>
        <v>0</v>
      </c>
      <c r="AQ90" s="1017">
        <f ca="1">SUMIFS(Покупка!AP$25:AP$90,Покупка!$F$25:$F$90,$F90,Покупка!$AC$25:$AC$90,$G90)</f>
        <v>0</v>
      </c>
      <c r="AR90" s="1017">
        <f ca="1">SUMIFS(Покупка!AQ$25:AQ$90,Покупка!$F$25:$F$90,$F90,Покупка!$AC$25:$AC$90,$G90)</f>
        <v>0</v>
      </c>
      <c r="AS90" s="1017">
        <f ca="1">SUMIFS(Покупка!AR$25:AR$90,Покупка!$F$25:$F$90,$F90,Покупка!$AC$25:$AC$90,$G90)</f>
        <v>0</v>
      </c>
      <c r="AT90" s="1017">
        <f ca="1">SUMIFS(Покупка!AS$25:AS$90,Покупка!$F$25:$F$90,$F90,Покупка!$AC$25:$AC$90,$G90)</f>
        <v>0</v>
      </c>
      <c r="AU90" s="1017">
        <f ca="1">SUMIFS(Покупка!AT$25:AT$90,Покупка!$F$25:$F$90,$F90,Покупка!$AC$25:$AC$90,$G90)</f>
        <v>0</v>
      </c>
      <c r="AV90" s="1017">
        <f ca="1">SUMIFS(Покупка!AU$25:AU$90,Покупка!$F$25:$F$90,$F90,Покупка!$AC$25:$AC$90,$G90)</f>
        <v>0</v>
      </c>
      <c r="AW90" s="1017">
        <f ca="1">SUMIFS(Покупка!AV$25:AV$90,Покупка!$F$25:$F$90,$F90,Покупка!$AC$25:$AC$90,$G90)</f>
        <v>0</v>
      </c>
      <c r="AX90" s="1017">
        <f ca="1">SUMIFS(Покупка!AW$25:AW$90,Покупка!$F$25:$F$90,$F90,Покупка!$AC$25:$AC$90,$G90)</f>
        <v>0</v>
      </c>
      <c r="AY90" s="1017">
        <f ca="1">SUMIFS(Покупка!AX$25:AX$90,Покупка!$F$25:$F$90,$F90,Покупка!$AC$25:$AC$90,$G90)</f>
        <v>0</v>
      </c>
      <c r="AZ90" s="1017">
        <f ca="1">SUMIFS(Покупка!AY$25:AY$90,Покупка!$F$25:$F$90,$F90,Покупка!$AC$25:$AC$90,$G90)</f>
        <v>0</v>
      </c>
      <c r="BA90" s="1017">
        <f ca="1">SUMIFS(Покупка!AZ$25:AZ$90,Покупка!$F$25:$F$90,$F90,Покупка!$AC$25:$AC$90,$G90)</f>
        <v>0</v>
      </c>
      <c r="BB90" s="1017">
        <f ca="1">SUMIFS(Покупка!BA$25:BA$90,Покупка!$F$25:$F$90,$F90,Покупка!$AC$25:$AC$90,$G90)</f>
        <v>0</v>
      </c>
      <c r="BC90" s="1017">
        <f ca="1">SUMIFS(Покупка!BB$25:BB$90,Покупка!$F$25:$F$90,$F90,Покупка!$AC$25:$AC$90,$G90)</f>
        <v>0</v>
      </c>
      <c r="BD90" s="848">
        <f t="shared" ca="1" si="9"/>
        <v>0</v>
      </c>
      <c r="BE90" s="848">
        <f t="shared" ca="1" si="10"/>
        <v>0</v>
      </c>
      <c r="BF90" s="848">
        <f t="shared" ca="1" si="11"/>
        <v>0</v>
      </c>
      <c r="BG90" s="848">
        <f t="shared" ca="1" si="12"/>
        <v>0</v>
      </c>
      <c r="BH90" s="848">
        <f t="shared" ca="1" si="13"/>
        <v>0</v>
      </c>
      <c r="BI90" s="848">
        <f t="shared" ca="1" si="14"/>
        <v>0</v>
      </c>
      <c r="BJ90" s="848">
        <f t="shared" ca="1" si="15"/>
        <v>0</v>
      </c>
      <c r="BK90" s="848">
        <f t="shared" ca="1" si="16"/>
        <v>0</v>
      </c>
      <c r="BL90" s="848">
        <f t="shared" ca="1" si="17"/>
        <v>0</v>
      </c>
      <c r="BM90" s="848">
        <f t="shared" ca="1" si="18"/>
        <v>0</v>
      </c>
      <c r="BN90" s="1156"/>
      <c r="BO90" s="1154" t="str">
        <f ca="1">IF(IFERROR(INDEX(Покупка!$K$26:$L$90,MATCH($F90&amp;"9komm",Покупка!$K$26:$K$90,0),2),"")=0,"",IFERROR(INDEX(Покупка!$K$26:$L$90,MATCH($F90&amp;"9komm",Покупка!$K$26:$K$90,0),2),""))</f>
        <v/>
      </c>
      <c r="BP90" s="1156"/>
      <c r="BS90" s="966" t="s">
        <v>1005</v>
      </c>
      <c r="BT90" s="966"/>
      <c r="BU90" s="966"/>
      <c r="BV90" s="620"/>
      <c r="BW90" s="620"/>
    </row>
    <row r="91" spans="2:75" ht="14.65" hidden="1" customHeight="1">
      <c r="B91" s="15"/>
      <c r="C91" s="26"/>
      <c r="D91" s="26"/>
      <c r="E91" s="538">
        <v>15</v>
      </c>
      <c r="F91" s="3" cm="1">
        <f t="array" aca="1" ref="F91" ca="1">OFFSET(E91,-1,1)</f>
        <v>0</v>
      </c>
      <c r="G91" s="26"/>
      <c r="H91" s="26"/>
      <c r="I91" s="26" t="s">
        <v>448</v>
      </c>
      <c r="J91" s="26"/>
      <c r="K91" s="26" t="s">
        <v>448</v>
      </c>
      <c r="L91" s="882"/>
      <c r="M91" s="26"/>
      <c r="N91" s="26"/>
      <c r="O91" s="26"/>
      <c r="P91" s="26"/>
      <c r="Q91" s="26"/>
      <c r="R91" s="26"/>
      <c r="S91" s="26"/>
      <c r="T91" s="381" t="b" cm="1">
        <f t="array" aca="1" ref="T91" ca="1">T90</f>
        <v>0</v>
      </c>
      <c r="U91" s="26"/>
      <c r="V91" s="26"/>
      <c r="X91" s="1755"/>
      <c r="Z91" s="1735"/>
      <c r="AB91" s="215" t="s">
        <v>506</v>
      </c>
      <c r="AC91" s="676" t="s">
        <v>1895</v>
      </c>
      <c r="AD91" s="693" t="s">
        <v>766</v>
      </c>
      <c r="AE91" s="175">
        <f ca="1">SUMIFS('Сырье и материалы'!AE$25:AE$35,'Сырье и материалы'!$F$25:$F$35,$F91,'Сырье и материалы'!$AC$25:$AC$35,"Всего по тарифу")</f>
        <v>0</v>
      </c>
      <c r="AF91" s="175">
        <f ca="1">SUMIFS('Сырье и материалы'!AF$25:AF$35,'Сырье и материалы'!$F$25:$F$35,$F91,'Сырье и материалы'!$AC$25:$AC$35,"Всего по тарифу")</f>
        <v>0</v>
      </c>
      <c r="AG91" s="175">
        <f ca="1">SUMIFS('Сырье и материалы'!AG$25:AG$35,'Сырье и материалы'!$F$25:$F$35,$F91,'Сырье и материалы'!$AC$25:$AC$35,"Всего по тарифу")</f>
        <v>0</v>
      </c>
      <c r="AH91" s="848">
        <f t="shared" ca="1" si="7"/>
        <v>0</v>
      </c>
      <c r="AI91" s="848">
        <f ca="1">SUMIFS('Сырье и материалы'!AH$25:AH$35,'Сырье и материалы'!$F$25:$F$35,$F91,'Сырье и материалы'!$AC$25:$AC$35,"Всего по тарифу")</f>
        <v>0</v>
      </c>
      <c r="AJ91" s="848">
        <f ca="1">SUMIFS('Сырье и материалы'!AI$25:AI$35,'Сырье и материалы'!$F$25:$F$35,$F91,'Сырье и материалы'!$AC$25:$AC$35,"Всего по тарифу")</f>
        <v>0</v>
      </c>
      <c r="AK91" s="848">
        <f ca="1">SUMIFS('Сырье и материалы'!AJ$25:AJ$35,'Сырье и материалы'!$F$25:$F$35,$F91,'Сырье и материалы'!$AC$25:$AC$35,"Всего по тарифу")</f>
        <v>0</v>
      </c>
      <c r="AL91" s="848">
        <f ca="1">SUMIFS('Сырье и материалы'!AK$25:AK$35,'Сырье и материалы'!$F$25:$F$35,$F91,'Сырье и материалы'!$AC$25:$AC$35,"Всего по тарифу")</f>
        <v>0</v>
      </c>
      <c r="AM91" s="848">
        <f ca="1">SUMIFS('Сырье и материалы'!AL$25:AL$35,'Сырье и материалы'!$F$25:$F$35,$F91,'Сырье и материалы'!$AC$25:$AC$35,"Всего по тарифу")</f>
        <v>0</v>
      </c>
      <c r="AN91" s="848">
        <f ca="1">SUMIFS('Сырье и материалы'!AM$25:AM$35,'Сырье и материалы'!$F$25:$F$35,$F91,'Сырье и материалы'!$AC$25:$AC$35,"Всего по тарифу")</f>
        <v>0</v>
      </c>
      <c r="AO91" s="848">
        <f ca="1">SUMIFS('Сырье и материалы'!AN$25:AN$35,'Сырье и материалы'!$F$25:$F$35,$F91,'Сырье и материалы'!$AC$25:$AC$35,"Всего по тарифу")</f>
        <v>0</v>
      </c>
      <c r="AP91" s="848">
        <f ca="1">SUMIFS('Сырье и материалы'!AO$25:AO$35,'Сырье и материалы'!$F$25:$F$35,$F91,'Сырье и материалы'!$AC$25:$AC$35,"Всего по тарифу")</f>
        <v>0</v>
      </c>
      <c r="AQ91" s="848">
        <f ca="1">SUMIFS('Сырье и материалы'!AP$25:AP$35,'Сырье и материалы'!$F$25:$F$35,$F91,'Сырье и материалы'!$AC$25:$AC$35,"Всего по тарифу")</f>
        <v>0</v>
      </c>
      <c r="AR91" s="848">
        <f ca="1">SUMIFS('Сырье и материалы'!AQ$25:AQ$35,'Сырье и материалы'!$F$25:$F$35,$F91,'Сырье и материалы'!$AC$25:$AC$35,"Всего по тарифу")</f>
        <v>0</v>
      </c>
      <c r="AS91" s="848">
        <f ca="1">SUMIFS('Сырье и материалы'!AR$25:AR$35,'Сырье и материалы'!$F$25:$F$35,$F91,'Сырье и материалы'!$AC$25:$AC$35,"Всего по тарифу")</f>
        <v>0</v>
      </c>
      <c r="AT91" s="848">
        <f ca="1">SUMIFS('Сырье и материалы'!AS$25:AS$35,'Сырье и материалы'!$F$25:$F$35,$F91,'Сырье и материалы'!$AC$25:$AC$35,"Всего по тарифу")</f>
        <v>0</v>
      </c>
      <c r="AU91" s="848">
        <f ca="1">SUMIFS('Сырье и материалы'!AT$25:AT$35,'Сырье и материалы'!$F$25:$F$35,$F91,'Сырье и материалы'!$AC$25:$AC$35,"Всего по тарифу")</f>
        <v>0</v>
      </c>
      <c r="AV91" s="848">
        <f ca="1">SUMIFS('Сырье и материалы'!AU$25:AU$35,'Сырье и материалы'!$F$25:$F$35,$F91,'Сырье и материалы'!$AC$25:$AC$35,"Всего по тарифу")</f>
        <v>0</v>
      </c>
      <c r="AW91" s="848">
        <f ca="1">SUMIFS('Сырье и материалы'!AV$25:AV$35,'Сырье и материалы'!$F$25:$F$35,$F91,'Сырье и материалы'!$AC$25:$AC$35,"Всего по тарифу")</f>
        <v>0</v>
      </c>
      <c r="AX91" s="848">
        <f ca="1">SUMIFS('Сырье и материалы'!AW$25:AW$35,'Сырье и материалы'!$F$25:$F$35,$F91,'Сырье и материалы'!$AC$25:$AC$35,"Всего по тарифу")</f>
        <v>0</v>
      </c>
      <c r="AY91" s="848">
        <f ca="1">SUMIFS('Сырье и материалы'!AX$25:AX$35,'Сырье и материалы'!$F$25:$F$35,$F91,'Сырье и материалы'!$AC$25:$AC$35,"Всего по тарифу")</f>
        <v>0</v>
      </c>
      <c r="AZ91" s="848">
        <f ca="1">SUMIFS('Сырье и материалы'!AY$25:AY$35,'Сырье и материалы'!$F$25:$F$35,$F91,'Сырье и материалы'!$AC$25:$AC$35,"Всего по тарифу")</f>
        <v>0</v>
      </c>
      <c r="BA91" s="848">
        <f ca="1">SUMIFS('Сырье и материалы'!AZ$25:AZ$35,'Сырье и материалы'!$F$25:$F$35,$F91,'Сырье и материалы'!$AC$25:$AC$35,"Всего по тарифу")</f>
        <v>0</v>
      </c>
      <c r="BB91" s="848">
        <f ca="1">SUMIFS('Сырье и материалы'!BA$25:BA$35,'Сырье и материалы'!$F$25:$F$35,$F91,'Сырье и материалы'!$AC$25:$AC$35,"Всего по тарифу")</f>
        <v>0</v>
      </c>
      <c r="BC91" s="848">
        <f ca="1">SUMIFS('Сырье и материалы'!BB$25:BB$35,'Сырье и материалы'!$F$25:$F$35,$F91,'Сырье и материалы'!$AC$25:$AC$35,"Всего по тарифу")</f>
        <v>0</v>
      </c>
      <c r="BD91" s="848">
        <f t="shared" ca="1" si="9"/>
        <v>0</v>
      </c>
      <c r="BE91" s="848">
        <f t="shared" ca="1" si="10"/>
        <v>0</v>
      </c>
      <c r="BF91" s="848">
        <f t="shared" ca="1" si="11"/>
        <v>0</v>
      </c>
      <c r="BG91" s="848">
        <f t="shared" ca="1" si="12"/>
        <v>0</v>
      </c>
      <c r="BH91" s="848">
        <f t="shared" ca="1" si="13"/>
        <v>0</v>
      </c>
      <c r="BI91" s="848">
        <f t="shared" ca="1" si="14"/>
        <v>0</v>
      </c>
      <c r="BJ91" s="848">
        <f t="shared" ca="1" si="15"/>
        <v>0</v>
      </c>
      <c r="BK91" s="848">
        <f t="shared" ca="1" si="16"/>
        <v>0</v>
      </c>
      <c r="BL91" s="848">
        <f t="shared" ca="1" si="17"/>
        <v>0</v>
      </c>
      <c r="BM91" s="848">
        <f t="shared" ca="1" si="18"/>
        <v>0</v>
      </c>
      <c r="BN91" s="1156"/>
      <c r="BO91" s="1154" t="str">
        <f ca="1">IF(IFERROR(INDEX('Сырье и материалы'!$K$26:$L$35,MATCH($F91&amp;"komm",'Сырье и материалы'!$K$26:$K$35,0),2),"")=0,"",IFERROR(INDEX('Сырье и материалы'!$K$26:$L$35,MATCH($F91&amp;"komm",'Сырье и материалы'!$K$26:$K$35,0),2),""))</f>
        <v/>
      </c>
      <c r="BP91" s="1156"/>
      <c r="BS91" s="966" t="s">
        <v>1550</v>
      </c>
    </row>
    <row r="92" spans="2:75" s="617" customFormat="1" ht="20.45" hidden="1" customHeight="1">
      <c r="B92" s="30"/>
      <c r="C92" s="28"/>
      <c r="D92" s="28"/>
      <c r="E92" s="740">
        <v>21</v>
      </c>
      <c r="F92" s="3" cm="1">
        <f t="array" aca="1" ref="F92" ca="1">OFFSET(E92,-1,1)</f>
        <v>0</v>
      </c>
      <c r="G92" s="28"/>
      <c r="H92" s="26"/>
      <c r="I92" s="26" t="s">
        <v>841</v>
      </c>
      <c r="J92" s="28"/>
      <c r="K92" s="26" t="s">
        <v>841</v>
      </c>
      <c r="L92" s="887" t="s">
        <v>481</v>
      </c>
      <c r="M92" s="28"/>
      <c r="N92" s="28"/>
      <c r="O92" s="28"/>
      <c r="P92" s="28"/>
      <c r="Q92" s="28"/>
      <c r="R92" s="28"/>
      <c r="S92" s="28"/>
      <c r="T92" s="381" t="b" cm="1">
        <f t="array" aca="1" ref="T92" ca="1">T91</f>
        <v>0</v>
      </c>
      <c r="U92" s="28"/>
      <c r="V92" s="28"/>
      <c r="X92" s="1755"/>
      <c r="Z92" s="1735"/>
      <c r="AB92" s="136" t="s">
        <v>510</v>
      </c>
      <c r="AC92" s="273" t="s">
        <v>1896</v>
      </c>
      <c r="AD92" s="129" t="s">
        <v>766</v>
      </c>
      <c r="AE92" s="692">
        <f ca="1">SUM(AE93:AE102)</f>
        <v>0</v>
      </c>
      <c r="AF92" s="692">
        <f ca="1">SUM(AF93:AF102)</f>
        <v>0</v>
      </c>
      <c r="AG92" s="692">
        <f ca="1">SUM(AG93:AG102)</f>
        <v>0</v>
      </c>
      <c r="AH92" s="675">
        <f t="shared" ca="1" si="7"/>
        <v>0</v>
      </c>
      <c r="AI92" s="675">
        <f t="shared" ref="AI92:BC92" ca="1" si="20">SUM(AI93:AI102)</f>
        <v>0</v>
      </c>
      <c r="AJ92" s="684">
        <f t="shared" ca="1" si="20"/>
        <v>0</v>
      </c>
      <c r="AK92" s="675">
        <f t="shared" ca="1" si="20"/>
        <v>0</v>
      </c>
      <c r="AL92" s="675">
        <f t="shared" ca="1" si="20"/>
        <v>0</v>
      </c>
      <c r="AM92" s="675">
        <f t="shared" ca="1" si="20"/>
        <v>0</v>
      </c>
      <c r="AN92" s="675">
        <f t="shared" ca="1" si="20"/>
        <v>0</v>
      </c>
      <c r="AO92" s="675">
        <f t="shared" ca="1" si="20"/>
        <v>0</v>
      </c>
      <c r="AP92" s="675">
        <f t="shared" ca="1" si="20"/>
        <v>0</v>
      </c>
      <c r="AQ92" s="675">
        <f t="shared" ca="1" si="20"/>
        <v>0</v>
      </c>
      <c r="AR92" s="675">
        <f t="shared" ca="1" si="20"/>
        <v>0</v>
      </c>
      <c r="AS92" s="675">
        <f t="shared" ca="1" si="20"/>
        <v>0</v>
      </c>
      <c r="AT92" s="684">
        <f t="shared" ca="1" si="20"/>
        <v>0</v>
      </c>
      <c r="AU92" s="675">
        <f t="shared" ca="1" si="20"/>
        <v>0</v>
      </c>
      <c r="AV92" s="675">
        <f t="shared" ca="1" si="20"/>
        <v>0</v>
      </c>
      <c r="AW92" s="675">
        <f t="shared" ca="1" si="20"/>
        <v>0</v>
      </c>
      <c r="AX92" s="675">
        <f t="shared" ca="1" si="20"/>
        <v>0</v>
      </c>
      <c r="AY92" s="675">
        <f t="shared" ca="1" si="20"/>
        <v>0</v>
      </c>
      <c r="AZ92" s="675">
        <f t="shared" ca="1" si="20"/>
        <v>0</v>
      </c>
      <c r="BA92" s="675">
        <f t="shared" ca="1" si="20"/>
        <v>0</v>
      </c>
      <c r="BB92" s="675">
        <f t="shared" ca="1" si="20"/>
        <v>0</v>
      </c>
      <c r="BC92" s="675">
        <f t="shared" ca="1" si="20"/>
        <v>0</v>
      </c>
      <c r="BD92" s="675">
        <f t="shared" ca="1" si="9"/>
        <v>0</v>
      </c>
      <c r="BE92" s="675">
        <f t="shared" ca="1" si="10"/>
        <v>0</v>
      </c>
      <c r="BF92" s="675">
        <f t="shared" ca="1" si="11"/>
        <v>0</v>
      </c>
      <c r="BG92" s="675">
        <f t="shared" ca="1" si="12"/>
        <v>0</v>
      </c>
      <c r="BH92" s="675">
        <f t="shared" ca="1" si="13"/>
        <v>0</v>
      </c>
      <c r="BI92" s="675">
        <f t="shared" ca="1" si="14"/>
        <v>0</v>
      </c>
      <c r="BJ92" s="675">
        <f t="shared" ca="1" si="15"/>
        <v>0</v>
      </c>
      <c r="BK92" s="675">
        <f t="shared" ca="1" si="16"/>
        <v>0</v>
      </c>
      <c r="BL92" s="675">
        <f t="shared" ca="1" si="17"/>
        <v>0</v>
      </c>
      <c r="BM92" s="675">
        <f t="shared" ca="1" si="18"/>
        <v>0</v>
      </c>
      <c r="BN92" s="1140"/>
      <c r="BO92" s="1154" t="str">
        <f ca="1">IF(IFERROR(INDEX(Налоги!$K$26:$L$55,MATCH($F92&amp;"komm",Налоги!$K$26:$K$55,0),2),"")=0,"",IFERROR(INDEX(Налоги!$K$26:$L$55,MATCH($F92&amp;"komm",Налоги!$K$26:$K$55,0),2),""))</f>
        <v/>
      </c>
      <c r="BP92" s="1140"/>
      <c r="BS92" s="972" t="s">
        <v>1124</v>
      </c>
      <c r="BT92" s="972"/>
      <c r="BU92" s="972"/>
      <c r="BV92" s="624"/>
      <c r="BW92" s="624"/>
    </row>
    <row r="93" spans="2:75" ht="14.65" hidden="1" customHeight="1">
      <c r="B93" s="15"/>
      <c r="C93" s="26"/>
      <c r="D93" s="26"/>
      <c r="E93" s="538">
        <v>15</v>
      </c>
      <c r="F93" s="3" cm="1">
        <f t="array" aca="1" ref="F93" ca="1">OFFSET(E93,-1,1)</f>
        <v>0</v>
      </c>
      <c r="G93" s="827">
        <v>7</v>
      </c>
      <c r="H93" s="26"/>
      <c r="I93" s="26" t="s">
        <v>1897</v>
      </c>
      <c r="J93" s="26"/>
      <c r="K93" s="26" t="s">
        <v>1897</v>
      </c>
      <c r="L93" s="882"/>
      <c r="M93" s="26"/>
      <c r="N93" s="26"/>
      <c r="O93" s="26"/>
      <c r="P93" s="26"/>
      <c r="Q93" s="26"/>
      <c r="R93" s="26"/>
      <c r="S93" s="26"/>
      <c r="T93" s="381" t="b" cm="1">
        <f t="array" aca="1" ref="T93" ca="1">T92</f>
        <v>0</v>
      </c>
      <c r="U93" s="26"/>
      <c r="V93" s="26"/>
      <c r="X93" s="1755"/>
      <c r="Z93" s="1735"/>
      <c r="AB93" s="215" t="s">
        <v>464</v>
      </c>
      <c r="AC93" s="679" t="s">
        <v>1138</v>
      </c>
      <c r="AD93" s="216" t="s">
        <v>766</v>
      </c>
      <c r="AE93" s="175">
        <f ca="1">SUMIFS(Налоги!AE$25:AE$55,Налоги!$F$25:$F$55,$F93,Налоги!$AB$25:$AB$55,$G93)</f>
        <v>0</v>
      </c>
      <c r="AF93" s="175">
        <f ca="1">SUMIFS(Налоги!AF$25:AF$55,Налоги!$F$25:$F$55,$F93,Налоги!$AB$25:$AB$55,$G93)</f>
        <v>0</v>
      </c>
      <c r="AG93" s="175">
        <f ca="1">SUMIFS(Налоги!AG$25:AG$55,Налоги!$F$25:$F$55,$F93,Налоги!$AB$25:$AB$55,$G93)</f>
        <v>0</v>
      </c>
      <c r="AH93" s="848">
        <f t="shared" ca="1" si="7"/>
        <v>0</v>
      </c>
      <c r="AI93" s="848">
        <f ca="1">SUMIFS(Налоги!AH$25:AH$55,Налоги!$F$25:$F$55,$F93,Налоги!$AB$25:$AB$55,$G93)</f>
        <v>0</v>
      </c>
      <c r="AJ93" s="848">
        <f ca="1">SUMIFS(Налоги!AI$25:AI$55,Налоги!$F$25:$F$55,$F93,Налоги!$AB$25:$AB$55,$G93)</f>
        <v>0</v>
      </c>
      <c r="AK93" s="848">
        <f ca="1">SUMIFS(Налоги!AJ$25:AJ$55,Налоги!$F$25:$F$55,$F93,Налоги!$AB$25:$AB$55,$G93)</f>
        <v>0</v>
      </c>
      <c r="AL93" s="848">
        <f ca="1">SUMIFS(Налоги!AK$25:AK$55,Налоги!$F$25:$F$55,$F93,Налоги!$AB$25:$AB$55,$G93)</f>
        <v>0</v>
      </c>
      <c r="AM93" s="848">
        <f ca="1">SUMIFS(Налоги!AL$25:AL$55,Налоги!$F$25:$F$55,$F93,Налоги!$AB$25:$AB$55,$G93)</f>
        <v>0</v>
      </c>
      <c r="AN93" s="848">
        <f ca="1">SUMIFS(Налоги!AM$25:AM$55,Налоги!$F$25:$F$55,$F93,Налоги!$AB$25:$AB$55,$G93)</f>
        <v>0</v>
      </c>
      <c r="AO93" s="848">
        <f ca="1">SUMIFS(Налоги!AN$25:AN$55,Налоги!$F$25:$F$55,$F93,Налоги!$AB$25:$AB$55,$G93)</f>
        <v>0</v>
      </c>
      <c r="AP93" s="848">
        <f ca="1">SUMIFS(Налоги!AO$25:AO$55,Налоги!$F$25:$F$55,$F93,Налоги!$AB$25:$AB$55,$G93)</f>
        <v>0</v>
      </c>
      <c r="AQ93" s="848">
        <f ca="1">SUMIFS(Налоги!AP$25:AP$55,Налоги!$F$25:$F$55,$F93,Налоги!$AB$25:$AB$55,$G93)</f>
        <v>0</v>
      </c>
      <c r="AR93" s="848">
        <f ca="1">SUMIFS(Налоги!AQ$25:AQ$55,Налоги!$F$25:$F$55,$F93,Налоги!$AB$25:$AB$55,$G93)</f>
        <v>0</v>
      </c>
      <c r="AS93" s="848">
        <f ca="1">SUMIFS(Налоги!AR$25:AR$55,Налоги!$F$25:$F$55,$F93,Налоги!$AB$25:$AB$55,$G93)</f>
        <v>0</v>
      </c>
      <c r="AT93" s="848">
        <f ca="1">SUMIFS(Налоги!AS$25:AS$55,Налоги!$F$25:$F$55,$F93,Налоги!$AB$25:$AB$55,$G93)</f>
        <v>0</v>
      </c>
      <c r="AU93" s="848">
        <f ca="1">SUMIFS(Налоги!AT$25:AT$55,Налоги!$F$25:$F$55,$F93,Налоги!$AB$25:$AB$55,$G93)</f>
        <v>0</v>
      </c>
      <c r="AV93" s="848">
        <f ca="1">SUMIFS(Налоги!AU$25:AU$55,Налоги!$F$25:$F$55,$F93,Налоги!$AB$25:$AB$55,$G93)</f>
        <v>0</v>
      </c>
      <c r="AW93" s="848">
        <f ca="1">SUMIFS(Налоги!AV$25:AV$55,Налоги!$F$25:$F$55,$F93,Налоги!$AB$25:$AB$55,$G93)</f>
        <v>0</v>
      </c>
      <c r="AX93" s="848">
        <f ca="1">SUMIFS(Налоги!AW$25:AW$55,Налоги!$F$25:$F$55,$F93,Налоги!$AB$25:$AB$55,$G93)</f>
        <v>0</v>
      </c>
      <c r="AY93" s="848">
        <f ca="1">SUMIFS(Налоги!AX$25:AX$55,Налоги!$F$25:$F$55,$F93,Налоги!$AB$25:$AB$55,$G93)</f>
        <v>0</v>
      </c>
      <c r="AZ93" s="848">
        <f ca="1">SUMIFS(Налоги!AY$25:AY$55,Налоги!$F$25:$F$55,$F93,Налоги!$AB$25:$AB$55,$G93)</f>
        <v>0</v>
      </c>
      <c r="BA93" s="848">
        <f ca="1">SUMIFS(Налоги!AZ$25:AZ$55,Налоги!$F$25:$F$55,$F93,Налоги!$AB$25:$AB$55,$G93)</f>
        <v>0</v>
      </c>
      <c r="BB93" s="848">
        <f ca="1">SUMIFS(Налоги!BA$25:BA$55,Налоги!$F$25:$F$55,$F93,Налоги!$AB$25:$AB$55,$G93)</f>
        <v>0</v>
      </c>
      <c r="BC93" s="848">
        <f ca="1">SUMIFS(Налоги!BB$25:BB$55,Налоги!$F$25:$F$55,$F93,Налоги!$AB$25:$AB$55,$G93)</f>
        <v>0</v>
      </c>
      <c r="BD93" s="848">
        <f t="shared" ca="1" si="9"/>
        <v>0</v>
      </c>
      <c r="BE93" s="848">
        <f t="shared" ca="1" si="10"/>
        <v>0</v>
      </c>
      <c r="BF93" s="848">
        <f t="shared" ca="1" si="11"/>
        <v>0</v>
      </c>
      <c r="BG93" s="848">
        <f t="shared" ca="1" si="12"/>
        <v>0</v>
      </c>
      <c r="BH93" s="848">
        <f t="shared" ca="1" si="13"/>
        <v>0</v>
      </c>
      <c r="BI93" s="848">
        <f t="shared" ca="1" si="14"/>
        <v>0</v>
      </c>
      <c r="BJ93" s="848">
        <f t="shared" ca="1" si="15"/>
        <v>0</v>
      </c>
      <c r="BK93" s="848">
        <f t="shared" ca="1" si="16"/>
        <v>0</v>
      </c>
      <c r="BL93" s="848">
        <f t="shared" ca="1" si="17"/>
        <v>0</v>
      </c>
      <c r="BM93" s="848">
        <f t="shared" ca="1" si="18"/>
        <v>0</v>
      </c>
      <c r="BN93" s="1156"/>
      <c r="BO93" s="1154" t="str">
        <f ca="1">IF(IFERROR(INDEX(Налоги!$K$26:$L$55,MATCH($F93&amp;"7komm",Налоги!$K$26:$K$55,0),2),"")=0,"",IFERROR(INDEX(Налоги!$K$26:$L$55,MATCH($F93&amp;"7komm",Налоги!$K$26:$K$55,0),2),""))</f>
        <v/>
      </c>
      <c r="BP93" s="1156"/>
      <c r="BS93" s="966" t="s">
        <v>1898</v>
      </c>
    </row>
    <row r="94" spans="2:75" ht="14.65" hidden="1" customHeight="1">
      <c r="B94" s="15"/>
      <c r="C94" s="26"/>
      <c r="D94" s="26"/>
      <c r="E94" s="538">
        <v>15</v>
      </c>
      <c r="F94" s="3" cm="1">
        <f t="array" aca="1" ref="F94" ca="1">OFFSET(E94,-1,1)</f>
        <v>0</v>
      </c>
      <c r="G94" s="827">
        <v>6</v>
      </c>
      <c r="H94" s="26"/>
      <c r="I94" s="26" t="s">
        <v>1899</v>
      </c>
      <c r="J94" s="26"/>
      <c r="K94" s="26" t="s">
        <v>1899</v>
      </c>
      <c r="L94" s="882"/>
      <c r="M94" s="26"/>
      <c r="N94" s="26"/>
      <c r="O94" s="26"/>
      <c r="P94" s="26"/>
      <c r="Q94" s="26"/>
      <c r="R94" s="26"/>
      <c r="S94" s="26"/>
      <c r="T94" s="381" t="b" cm="1">
        <f t="array" aca="1" ref="T94" ca="1">T93</f>
        <v>0</v>
      </c>
      <c r="U94" s="26"/>
      <c r="V94" s="26"/>
      <c r="X94" s="1755"/>
      <c r="Z94" s="1735"/>
      <c r="AB94" s="215" t="s">
        <v>1342</v>
      </c>
      <c r="AC94" s="679" t="s">
        <v>1900</v>
      </c>
      <c r="AD94" s="216" t="s">
        <v>766</v>
      </c>
      <c r="AE94" s="175">
        <f ca="1">SUMIFS(Налоги!AE$25:AE$55,Налоги!$F$25:$F$55,$F94,Налоги!$AB$25:$AB$55,$G94)</f>
        <v>0</v>
      </c>
      <c r="AF94" s="175">
        <f ca="1">SUMIFS(Налоги!AF$25:AF$55,Налоги!$F$25:$F$55,$F94,Налоги!$AB$25:$AB$55,$G94)</f>
        <v>0</v>
      </c>
      <c r="AG94" s="175">
        <f ca="1">SUMIFS(Налоги!AG$25:AG$55,Налоги!$F$25:$F$55,$F94,Налоги!$AB$25:$AB$55,$G94)</f>
        <v>0</v>
      </c>
      <c r="AH94" s="848">
        <f t="shared" ca="1" si="7"/>
        <v>0</v>
      </c>
      <c r="AI94" s="848">
        <f ca="1">SUMIFS(Налоги!AH$25:AH$55,Налоги!$F$25:$F$55,$F94,Налоги!$AB$25:$AB$55,$G94)</f>
        <v>0</v>
      </c>
      <c r="AJ94" s="848">
        <f ca="1">SUMIFS(Налоги!AI$25:AI$55,Налоги!$F$25:$F$55,$F94,Налоги!$AB$25:$AB$55,$G94)</f>
        <v>0</v>
      </c>
      <c r="AK94" s="848">
        <f ca="1">SUMIFS(Налоги!AJ$25:AJ$55,Налоги!$F$25:$F$55,$F94,Налоги!$AB$25:$AB$55,$G94)</f>
        <v>0</v>
      </c>
      <c r="AL94" s="848">
        <f ca="1">SUMIFS(Налоги!AK$25:AK$55,Налоги!$F$25:$F$55,$F94,Налоги!$AB$25:$AB$55,$G94)</f>
        <v>0</v>
      </c>
      <c r="AM94" s="848">
        <f ca="1">SUMIFS(Налоги!AL$25:AL$55,Налоги!$F$25:$F$55,$F94,Налоги!$AB$25:$AB$55,$G94)</f>
        <v>0</v>
      </c>
      <c r="AN94" s="848">
        <f ca="1">SUMIFS(Налоги!AM$25:AM$55,Налоги!$F$25:$F$55,$F94,Налоги!$AB$25:$AB$55,$G94)</f>
        <v>0</v>
      </c>
      <c r="AO94" s="848">
        <f ca="1">SUMIFS(Налоги!AN$25:AN$55,Налоги!$F$25:$F$55,$F94,Налоги!$AB$25:$AB$55,$G94)</f>
        <v>0</v>
      </c>
      <c r="AP94" s="848">
        <f ca="1">SUMIFS(Налоги!AO$25:AO$55,Налоги!$F$25:$F$55,$F94,Налоги!$AB$25:$AB$55,$G94)</f>
        <v>0</v>
      </c>
      <c r="AQ94" s="848">
        <f ca="1">SUMIFS(Налоги!AP$25:AP$55,Налоги!$F$25:$F$55,$F94,Налоги!$AB$25:$AB$55,$G94)</f>
        <v>0</v>
      </c>
      <c r="AR94" s="848">
        <f ca="1">SUMIFS(Налоги!AQ$25:AQ$55,Налоги!$F$25:$F$55,$F94,Налоги!$AB$25:$AB$55,$G94)</f>
        <v>0</v>
      </c>
      <c r="AS94" s="848">
        <f ca="1">SUMIFS(Налоги!AR$25:AR$55,Налоги!$F$25:$F$55,$F94,Налоги!$AB$25:$AB$55,$G94)</f>
        <v>0</v>
      </c>
      <c r="AT94" s="848">
        <f ca="1">SUMIFS(Налоги!AS$25:AS$55,Налоги!$F$25:$F$55,$F94,Налоги!$AB$25:$AB$55,$G94)</f>
        <v>0</v>
      </c>
      <c r="AU94" s="848">
        <f ca="1">SUMIFS(Налоги!AT$25:AT$55,Налоги!$F$25:$F$55,$F94,Налоги!$AB$25:$AB$55,$G94)</f>
        <v>0</v>
      </c>
      <c r="AV94" s="848">
        <f ca="1">SUMIFS(Налоги!AU$25:AU$55,Налоги!$F$25:$F$55,$F94,Налоги!$AB$25:$AB$55,$G94)</f>
        <v>0</v>
      </c>
      <c r="AW94" s="848">
        <f ca="1">SUMIFS(Налоги!AV$25:AV$55,Налоги!$F$25:$F$55,$F94,Налоги!$AB$25:$AB$55,$G94)</f>
        <v>0</v>
      </c>
      <c r="AX94" s="848">
        <f ca="1">SUMIFS(Налоги!AW$25:AW$55,Налоги!$F$25:$F$55,$F94,Налоги!$AB$25:$AB$55,$G94)</f>
        <v>0</v>
      </c>
      <c r="AY94" s="848">
        <f ca="1">SUMIFS(Налоги!AX$25:AX$55,Налоги!$F$25:$F$55,$F94,Налоги!$AB$25:$AB$55,$G94)</f>
        <v>0</v>
      </c>
      <c r="AZ94" s="848">
        <f ca="1">SUMIFS(Налоги!AY$25:AY$55,Налоги!$F$25:$F$55,$F94,Налоги!$AB$25:$AB$55,$G94)</f>
        <v>0</v>
      </c>
      <c r="BA94" s="848">
        <f ca="1">SUMIFS(Налоги!AZ$25:AZ$55,Налоги!$F$25:$F$55,$F94,Налоги!$AB$25:$AB$55,$G94)</f>
        <v>0</v>
      </c>
      <c r="BB94" s="848">
        <f ca="1">SUMIFS(Налоги!BA$25:BA$55,Налоги!$F$25:$F$55,$F94,Налоги!$AB$25:$AB$55,$G94)</f>
        <v>0</v>
      </c>
      <c r="BC94" s="848">
        <f ca="1">SUMIFS(Налоги!BB$25:BB$55,Налоги!$F$25:$F$55,$F94,Налоги!$AB$25:$AB$55,$G94)</f>
        <v>0</v>
      </c>
      <c r="BD94" s="848">
        <f t="shared" ca="1" si="9"/>
        <v>0</v>
      </c>
      <c r="BE94" s="848">
        <f t="shared" ca="1" si="10"/>
        <v>0</v>
      </c>
      <c r="BF94" s="848">
        <f t="shared" ca="1" si="11"/>
        <v>0</v>
      </c>
      <c r="BG94" s="848">
        <f t="shared" ca="1" si="12"/>
        <v>0</v>
      </c>
      <c r="BH94" s="848">
        <f t="shared" ca="1" si="13"/>
        <v>0</v>
      </c>
      <c r="BI94" s="848">
        <f t="shared" ca="1" si="14"/>
        <v>0</v>
      </c>
      <c r="BJ94" s="848">
        <f t="shared" ca="1" si="15"/>
        <v>0</v>
      </c>
      <c r="BK94" s="848">
        <f t="shared" ca="1" si="16"/>
        <v>0</v>
      </c>
      <c r="BL94" s="848">
        <f t="shared" ca="1" si="17"/>
        <v>0</v>
      </c>
      <c r="BM94" s="848">
        <f t="shared" ca="1" si="18"/>
        <v>0</v>
      </c>
      <c r="BN94" s="1156"/>
      <c r="BO94" s="1154" t="str">
        <f ca="1">IF(IFERROR(INDEX(Налоги!$K$26:$L$55,MATCH($F94&amp;"6komm",Налоги!$K$26:$K$55,0),2),"")=0,"",IFERROR(INDEX(Налоги!$K$26:$L$55,MATCH($F94&amp;"6komm",Налоги!$K$26:$K$55,0),2),""))</f>
        <v/>
      </c>
      <c r="BP94" s="1156"/>
      <c r="BS94" s="966" t="s">
        <v>1901</v>
      </c>
    </row>
    <row r="95" spans="2:75" ht="14.65" hidden="1" customHeight="1">
      <c r="B95" s="15"/>
      <c r="C95" s="26"/>
      <c r="D95" s="26"/>
      <c r="E95" s="538">
        <v>15</v>
      </c>
      <c r="F95" s="3" cm="1">
        <f t="array" aca="1" ref="F95" ca="1">OFFSET(E95,-1,1)</f>
        <v>0</v>
      </c>
      <c r="G95" s="827">
        <v>2</v>
      </c>
      <c r="H95" s="26"/>
      <c r="I95" s="26" t="s">
        <v>1902</v>
      </c>
      <c r="J95" s="26"/>
      <c r="K95" s="26" t="s">
        <v>1902</v>
      </c>
      <c r="L95" s="882"/>
      <c r="M95" s="26"/>
      <c r="N95" s="26"/>
      <c r="O95" s="26"/>
      <c r="P95" s="26"/>
      <c r="Q95" s="26"/>
      <c r="R95" s="26"/>
      <c r="S95" s="26"/>
      <c r="T95" s="381" t="b" cm="1">
        <f t="array" aca="1" ref="T95" ca="1">T94</f>
        <v>0</v>
      </c>
      <c r="U95" s="26"/>
      <c r="V95" s="26"/>
      <c r="X95" s="1755"/>
      <c r="Z95" s="1735"/>
      <c r="AB95" s="215" t="s">
        <v>1347</v>
      </c>
      <c r="AC95" s="679" t="s">
        <v>1903</v>
      </c>
      <c r="AD95" s="216" t="s">
        <v>766</v>
      </c>
      <c r="AE95" s="175">
        <f ca="1">SUMIFS(Налоги!AE$25:AE$55,Налоги!$F$25:$F$55,$F95,Налоги!$AB$25:$AB$55,$G95)</f>
        <v>0</v>
      </c>
      <c r="AF95" s="175">
        <f ca="1">SUMIFS(Налоги!AF$25:AF$55,Налоги!$F$25:$F$55,$F95,Налоги!$AB$25:$AB$55,$G95)</f>
        <v>0</v>
      </c>
      <c r="AG95" s="175">
        <f ca="1">SUMIFS(Налоги!AG$25:AG$55,Налоги!$F$25:$F$55,$F95,Налоги!$AB$25:$AB$55,$G95)</f>
        <v>0</v>
      </c>
      <c r="AH95" s="848">
        <f t="shared" ca="1" si="7"/>
        <v>0</v>
      </c>
      <c r="AI95" s="848">
        <f ca="1">SUMIFS(Налоги!AH$25:AH$55,Налоги!$F$25:$F$55,$F95,Налоги!$AB$25:$AB$55,$G95)</f>
        <v>0</v>
      </c>
      <c r="AJ95" s="848">
        <f ca="1">SUMIFS(Налоги!AI$25:AI$55,Налоги!$F$25:$F$55,$F95,Налоги!$AB$25:$AB$55,$G95)</f>
        <v>0</v>
      </c>
      <c r="AK95" s="848">
        <f ca="1">SUMIFS(Налоги!AJ$25:AJ$55,Налоги!$F$25:$F$55,$F95,Налоги!$AB$25:$AB$55,$G95)</f>
        <v>0</v>
      </c>
      <c r="AL95" s="848">
        <f ca="1">SUMIFS(Налоги!AK$25:AK$55,Налоги!$F$25:$F$55,$F95,Налоги!$AB$25:$AB$55,$G95)</f>
        <v>0</v>
      </c>
      <c r="AM95" s="848">
        <f ca="1">SUMIFS(Налоги!AL$25:AL$55,Налоги!$F$25:$F$55,$F95,Налоги!$AB$25:$AB$55,$G95)</f>
        <v>0</v>
      </c>
      <c r="AN95" s="848">
        <f ca="1">SUMIFS(Налоги!AM$25:AM$55,Налоги!$F$25:$F$55,$F95,Налоги!$AB$25:$AB$55,$G95)</f>
        <v>0</v>
      </c>
      <c r="AO95" s="848">
        <f ca="1">SUMIFS(Налоги!AN$25:AN$55,Налоги!$F$25:$F$55,$F95,Налоги!$AB$25:$AB$55,$G95)</f>
        <v>0</v>
      </c>
      <c r="AP95" s="848">
        <f ca="1">SUMIFS(Налоги!AO$25:AO$55,Налоги!$F$25:$F$55,$F95,Налоги!$AB$25:$AB$55,$G95)</f>
        <v>0</v>
      </c>
      <c r="AQ95" s="848">
        <f ca="1">SUMIFS(Налоги!AP$25:AP$55,Налоги!$F$25:$F$55,$F95,Налоги!$AB$25:$AB$55,$G95)</f>
        <v>0</v>
      </c>
      <c r="AR95" s="848">
        <f ca="1">SUMIFS(Налоги!AQ$25:AQ$55,Налоги!$F$25:$F$55,$F95,Налоги!$AB$25:$AB$55,$G95)</f>
        <v>0</v>
      </c>
      <c r="AS95" s="848">
        <f ca="1">SUMIFS(Налоги!AR$25:AR$55,Налоги!$F$25:$F$55,$F95,Налоги!$AB$25:$AB$55,$G95)</f>
        <v>0</v>
      </c>
      <c r="AT95" s="848">
        <f ca="1">SUMIFS(Налоги!AS$25:AS$55,Налоги!$F$25:$F$55,$F95,Налоги!$AB$25:$AB$55,$G95)</f>
        <v>0</v>
      </c>
      <c r="AU95" s="848">
        <f ca="1">SUMIFS(Налоги!AT$25:AT$55,Налоги!$F$25:$F$55,$F95,Налоги!$AB$25:$AB$55,$G95)</f>
        <v>0</v>
      </c>
      <c r="AV95" s="848">
        <f ca="1">SUMIFS(Налоги!AU$25:AU$55,Налоги!$F$25:$F$55,$F95,Налоги!$AB$25:$AB$55,$G95)</f>
        <v>0</v>
      </c>
      <c r="AW95" s="848">
        <f ca="1">SUMIFS(Налоги!AV$25:AV$55,Налоги!$F$25:$F$55,$F95,Налоги!$AB$25:$AB$55,$G95)</f>
        <v>0</v>
      </c>
      <c r="AX95" s="848">
        <f ca="1">SUMIFS(Налоги!AW$25:AW$55,Налоги!$F$25:$F$55,$F95,Налоги!$AB$25:$AB$55,$G95)</f>
        <v>0</v>
      </c>
      <c r="AY95" s="848">
        <f ca="1">SUMIFS(Налоги!AX$25:AX$55,Налоги!$F$25:$F$55,$F95,Налоги!$AB$25:$AB$55,$G95)</f>
        <v>0</v>
      </c>
      <c r="AZ95" s="848">
        <f ca="1">SUMIFS(Налоги!AY$25:AY$55,Налоги!$F$25:$F$55,$F95,Налоги!$AB$25:$AB$55,$G95)</f>
        <v>0</v>
      </c>
      <c r="BA95" s="848">
        <f ca="1">SUMIFS(Налоги!AZ$25:AZ$55,Налоги!$F$25:$F$55,$F95,Налоги!$AB$25:$AB$55,$G95)</f>
        <v>0</v>
      </c>
      <c r="BB95" s="848">
        <f ca="1">SUMIFS(Налоги!BA$25:BA$55,Налоги!$F$25:$F$55,$F95,Налоги!$AB$25:$AB$55,$G95)</f>
        <v>0</v>
      </c>
      <c r="BC95" s="848">
        <f ca="1">SUMIFS(Налоги!BB$25:BB$55,Налоги!$F$25:$F$55,$F95,Налоги!$AB$25:$AB$55,$G95)</f>
        <v>0</v>
      </c>
      <c r="BD95" s="848">
        <f t="shared" ca="1" si="9"/>
        <v>0</v>
      </c>
      <c r="BE95" s="848">
        <f t="shared" ca="1" si="10"/>
        <v>0</v>
      </c>
      <c r="BF95" s="848">
        <f t="shared" ca="1" si="11"/>
        <v>0</v>
      </c>
      <c r="BG95" s="848">
        <f t="shared" ca="1" si="12"/>
        <v>0</v>
      </c>
      <c r="BH95" s="848">
        <f t="shared" ca="1" si="13"/>
        <v>0</v>
      </c>
      <c r="BI95" s="848">
        <f t="shared" ca="1" si="14"/>
        <v>0</v>
      </c>
      <c r="BJ95" s="848">
        <f t="shared" ca="1" si="15"/>
        <v>0</v>
      </c>
      <c r="BK95" s="848">
        <f t="shared" ca="1" si="16"/>
        <v>0</v>
      </c>
      <c r="BL95" s="848">
        <f t="shared" ca="1" si="17"/>
        <v>0</v>
      </c>
      <c r="BM95" s="848">
        <f t="shared" ca="1" si="18"/>
        <v>0</v>
      </c>
      <c r="BN95" s="1156"/>
      <c r="BO95" s="1154" t="str">
        <f ca="1">IF(IFERROR(INDEX(Налоги!$K$26:$L$55,MATCH($F95&amp;"2komm",Налоги!$K$26:$K$55,0),2),"")=0,"",IFERROR(INDEX(Налоги!$K$26:$L$55,MATCH($F95&amp;"2komm",Налоги!$K$26:$K$55,0),2),""))</f>
        <v/>
      </c>
      <c r="BP95" s="1156"/>
      <c r="BS95" s="966" t="s">
        <v>1904</v>
      </c>
    </row>
    <row r="96" spans="2:75" ht="14.65" hidden="1" customHeight="1">
      <c r="B96" s="15"/>
      <c r="C96" s="26"/>
      <c r="D96" s="26"/>
      <c r="E96" s="538">
        <v>15</v>
      </c>
      <c r="F96" s="3" cm="1">
        <f t="array" aca="1" ref="F96" ca="1">OFFSET(E96,-1,1)</f>
        <v>0</v>
      </c>
      <c r="G96" s="827">
        <v>4</v>
      </c>
      <c r="H96" s="26"/>
      <c r="I96" s="26" t="s">
        <v>1905</v>
      </c>
      <c r="J96" s="26"/>
      <c r="K96" s="26" t="s">
        <v>1905</v>
      </c>
      <c r="L96" s="882"/>
      <c r="M96" s="26"/>
      <c r="N96" s="26"/>
      <c r="O96" s="26"/>
      <c r="P96" s="26"/>
      <c r="Q96" s="26"/>
      <c r="R96" s="26"/>
      <c r="S96" s="26"/>
      <c r="T96" s="381" t="b" cm="1">
        <f t="array" aca="1" ref="T96" ca="1">T95</f>
        <v>0</v>
      </c>
      <c r="U96" s="26"/>
      <c r="V96" s="26"/>
      <c r="X96" s="1755"/>
      <c r="Z96" s="1735"/>
      <c r="AB96" s="215" t="s">
        <v>1906</v>
      </c>
      <c r="AC96" s="679" t="s">
        <v>1907</v>
      </c>
      <c r="AD96" s="216" t="s">
        <v>766</v>
      </c>
      <c r="AE96" s="175">
        <f ca="1">SUMIFS(Налоги!AE$25:AE$55,Налоги!$F$25:$F$55,$F96,Налоги!$AB$25:$AB$55,$G96)</f>
        <v>0</v>
      </c>
      <c r="AF96" s="175">
        <f ca="1">SUMIFS(Налоги!AF$25:AF$55,Налоги!$F$25:$F$55,$F96,Налоги!$AB$25:$AB$55,$G96)</f>
        <v>0</v>
      </c>
      <c r="AG96" s="175">
        <f ca="1">SUMIFS(Налоги!AG$25:AG$55,Налоги!$F$25:$F$55,$F96,Налоги!$AB$25:$AB$55,$G96)</f>
        <v>0</v>
      </c>
      <c r="AH96" s="848">
        <f t="shared" ca="1" si="7"/>
        <v>0</v>
      </c>
      <c r="AI96" s="848">
        <f ca="1">SUMIFS(Налоги!AH$25:AH$55,Налоги!$F$25:$F$55,$F96,Налоги!$AB$25:$AB$55,$G96)</f>
        <v>0</v>
      </c>
      <c r="AJ96" s="848">
        <f ca="1">SUMIFS(Налоги!AI$25:AI$55,Налоги!$F$25:$F$55,$F96,Налоги!$AB$25:$AB$55,$G96)</f>
        <v>0</v>
      </c>
      <c r="AK96" s="848">
        <f ca="1">SUMIFS(Налоги!AJ$25:AJ$55,Налоги!$F$25:$F$55,$F96,Налоги!$AB$25:$AB$55,$G96)</f>
        <v>0</v>
      </c>
      <c r="AL96" s="848">
        <f ca="1">SUMIFS(Налоги!AK$25:AK$55,Налоги!$F$25:$F$55,$F96,Налоги!$AB$25:$AB$55,$G96)</f>
        <v>0</v>
      </c>
      <c r="AM96" s="848">
        <f ca="1">SUMIFS(Налоги!AL$25:AL$55,Налоги!$F$25:$F$55,$F96,Налоги!$AB$25:$AB$55,$G96)</f>
        <v>0</v>
      </c>
      <c r="AN96" s="848">
        <f ca="1">SUMIFS(Налоги!AM$25:AM$55,Налоги!$F$25:$F$55,$F96,Налоги!$AB$25:$AB$55,$G96)</f>
        <v>0</v>
      </c>
      <c r="AO96" s="848">
        <f ca="1">SUMIFS(Налоги!AN$25:AN$55,Налоги!$F$25:$F$55,$F96,Налоги!$AB$25:$AB$55,$G96)</f>
        <v>0</v>
      </c>
      <c r="AP96" s="848">
        <f ca="1">SUMIFS(Налоги!AO$25:AO$55,Налоги!$F$25:$F$55,$F96,Налоги!$AB$25:$AB$55,$G96)</f>
        <v>0</v>
      </c>
      <c r="AQ96" s="848">
        <f ca="1">SUMIFS(Налоги!AP$25:AP$55,Налоги!$F$25:$F$55,$F96,Налоги!$AB$25:$AB$55,$G96)</f>
        <v>0</v>
      </c>
      <c r="AR96" s="848">
        <f ca="1">SUMIFS(Налоги!AQ$25:AQ$55,Налоги!$F$25:$F$55,$F96,Налоги!$AB$25:$AB$55,$G96)</f>
        <v>0</v>
      </c>
      <c r="AS96" s="848">
        <f ca="1">SUMIFS(Налоги!AR$25:AR$55,Налоги!$F$25:$F$55,$F96,Налоги!$AB$25:$AB$55,$G96)</f>
        <v>0</v>
      </c>
      <c r="AT96" s="848">
        <f ca="1">SUMIFS(Налоги!AS$25:AS$55,Налоги!$F$25:$F$55,$F96,Налоги!$AB$25:$AB$55,$G96)</f>
        <v>0</v>
      </c>
      <c r="AU96" s="848">
        <f ca="1">SUMIFS(Налоги!AT$25:AT$55,Налоги!$F$25:$F$55,$F96,Налоги!$AB$25:$AB$55,$G96)</f>
        <v>0</v>
      </c>
      <c r="AV96" s="848">
        <f ca="1">SUMIFS(Налоги!AU$25:AU$55,Налоги!$F$25:$F$55,$F96,Налоги!$AB$25:$AB$55,$G96)</f>
        <v>0</v>
      </c>
      <c r="AW96" s="848">
        <f ca="1">SUMIFS(Налоги!AV$25:AV$55,Налоги!$F$25:$F$55,$F96,Налоги!$AB$25:$AB$55,$G96)</f>
        <v>0</v>
      </c>
      <c r="AX96" s="848">
        <f ca="1">SUMIFS(Налоги!AW$25:AW$55,Налоги!$F$25:$F$55,$F96,Налоги!$AB$25:$AB$55,$G96)</f>
        <v>0</v>
      </c>
      <c r="AY96" s="848">
        <f ca="1">SUMIFS(Налоги!AX$25:AX$55,Налоги!$F$25:$F$55,$F96,Налоги!$AB$25:$AB$55,$G96)</f>
        <v>0</v>
      </c>
      <c r="AZ96" s="848">
        <f ca="1">SUMIFS(Налоги!AY$25:AY$55,Налоги!$F$25:$F$55,$F96,Налоги!$AB$25:$AB$55,$G96)</f>
        <v>0</v>
      </c>
      <c r="BA96" s="848">
        <f ca="1">SUMIFS(Налоги!AZ$25:AZ$55,Налоги!$F$25:$F$55,$F96,Налоги!$AB$25:$AB$55,$G96)</f>
        <v>0</v>
      </c>
      <c r="BB96" s="848">
        <f ca="1">SUMIFS(Налоги!BA$25:BA$55,Налоги!$F$25:$F$55,$F96,Налоги!$AB$25:$AB$55,$G96)</f>
        <v>0</v>
      </c>
      <c r="BC96" s="848">
        <f ca="1">SUMIFS(Налоги!BB$25:BB$55,Налоги!$F$25:$F$55,$F96,Налоги!$AB$25:$AB$55,$G96)</f>
        <v>0</v>
      </c>
      <c r="BD96" s="848">
        <f t="shared" ca="1" si="9"/>
        <v>0</v>
      </c>
      <c r="BE96" s="848">
        <f t="shared" ca="1" si="10"/>
        <v>0</v>
      </c>
      <c r="BF96" s="848">
        <f t="shared" ca="1" si="11"/>
        <v>0</v>
      </c>
      <c r="BG96" s="848">
        <f t="shared" ca="1" si="12"/>
        <v>0</v>
      </c>
      <c r="BH96" s="848">
        <f t="shared" ca="1" si="13"/>
        <v>0</v>
      </c>
      <c r="BI96" s="848">
        <f t="shared" ca="1" si="14"/>
        <v>0</v>
      </c>
      <c r="BJ96" s="848">
        <f t="shared" ca="1" si="15"/>
        <v>0</v>
      </c>
      <c r="BK96" s="848">
        <f t="shared" ca="1" si="16"/>
        <v>0</v>
      </c>
      <c r="BL96" s="848">
        <f t="shared" ca="1" si="17"/>
        <v>0</v>
      </c>
      <c r="BM96" s="848">
        <f t="shared" ca="1" si="18"/>
        <v>0</v>
      </c>
      <c r="BN96" s="1156"/>
      <c r="BO96" s="1154" t="str">
        <f ca="1">IF(IFERROR(INDEX(Налоги!$K$26:$L$55,MATCH($F96&amp;"4komm",Налоги!$K$26:$K$55,0),2),"")=0,"",IFERROR(INDEX(Налоги!$K$26:$L$55,MATCH($F96&amp;"4komm",Налоги!$K$26:$K$55,0),2),""))</f>
        <v/>
      </c>
      <c r="BP96" s="1156"/>
      <c r="BS96" s="966" t="s">
        <v>1908</v>
      </c>
    </row>
    <row r="97" spans="2:75" ht="14.65" hidden="1" customHeight="1">
      <c r="B97" s="15"/>
      <c r="C97" s="26"/>
      <c r="D97" s="26"/>
      <c r="E97" s="538">
        <v>15</v>
      </c>
      <c r="F97" s="3" cm="1">
        <f t="array" aca="1" ref="F97" ca="1">OFFSET(E97,-1,1)</f>
        <v>0</v>
      </c>
      <c r="G97" s="827">
        <v>5</v>
      </c>
      <c r="H97" s="26"/>
      <c r="I97" s="26" t="s">
        <v>1909</v>
      </c>
      <c r="J97" s="26"/>
      <c r="K97" s="26" t="s">
        <v>1909</v>
      </c>
      <c r="L97" s="882"/>
      <c r="M97" s="26"/>
      <c r="N97" s="26"/>
      <c r="O97" s="26"/>
      <c r="P97" s="26"/>
      <c r="Q97" s="26"/>
      <c r="R97" s="26"/>
      <c r="S97" s="26"/>
      <c r="T97" s="381" t="b" cm="1">
        <f t="array" aca="1" ref="T97" ca="1">T96</f>
        <v>0</v>
      </c>
      <c r="U97" s="26"/>
      <c r="V97" s="26"/>
      <c r="X97" s="1755"/>
      <c r="Z97" s="1735"/>
      <c r="AB97" s="215" t="s">
        <v>1910</v>
      </c>
      <c r="AC97" s="679" t="s">
        <v>1911</v>
      </c>
      <c r="AD97" s="216" t="s">
        <v>766</v>
      </c>
      <c r="AE97" s="175">
        <f ca="1">SUMIFS(Налоги!AE$25:AE$55,Налоги!$F$25:$F$55,$F97,Налоги!$AB$25:$AB$55,$G97)</f>
        <v>0</v>
      </c>
      <c r="AF97" s="175">
        <f ca="1">SUMIFS(Налоги!AF$25:AF$55,Налоги!$F$25:$F$55,$F97,Налоги!$AB$25:$AB$55,$G97)</f>
        <v>0</v>
      </c>
      <c r="AG97" s="175">
        <f ca="1">SUMIFS(Налоги!AG$25:AG$55,Налоги!$F$25:$F$55,$F97,Налоги!$AB$25:$AB$55,$G97)</f>
        <v>0</v>
      </c>
      <c r="AH97" s="848">
        <f t="shared" ca="1" si="7"/>
        <v>0</v>
      </c>
      <c r="AI97" s="848">
        <f ca="1">SUMIFS(Налоги!AH$25:AH$55,Налоги!$F$25:$F$55,$F97,Налоги!$AB$25:$AB$55,$G97)</f>
        <v>0</v>
      </c>
      <c r="AJ97" s="848">
        <f ca="1">SUMIFS(Налоги!AI$25:AI$55,Налоги!$F$25:$F$55,$F97,Налоги!$AB$25:$AB$55,$G97)</f>
        <v>0</v>
      </c>
      <c r="AK97" s="848">
        <f ca="1">SUMIFS(Налоги!AJ$25:AJ$55,Налоги!$F$25:$F$55,$F97,Налоги!$AB$25:$AB$55,$G97)</f>
        <v>0</v>
      </c>
      <c r="AL97" s="848">
        <f ca="1">SUMIFS(Налоги!AK$25:AK$55,Налоги!$F$25:$F$55,$F97,Налоги!$AB$25:$AB$55,$G97)</f>
        <v>0</v>
      </c>
      <c r="AM97" s="848">
        <f ca="1">SUMIFS(Налоги!AL$25:AL$55,Налоги!$F$25:$F$55,$F97,Налоги!$AB$25:$AB$55,$G97)</f>
        <v>0</v>
      </c>
      <c r="AN97" s="848">
        <f ca="1">SUMIFS(Налоги!AM$25:AM$55,Налоги!$F$25:$F$55,$F97,Налоги!$AB$25:$AB$55,$G97)</f>
        <v>0</v>
      </c>
      <c r="AO97" s="848">
        <f ca="1">SUMIFS(Налоги!AN$25:AN$55,Налоги!$F$25:$F$55,$F97,Налоги!$AB$25:$AB$55,$G97)</f>
        <v>0</v>
      </c>
      <c r="AP97" s="848">
        <f ca="1">SUMIFS(Налоги!AO$25:AO$55,Налоги!$F$25:$F$55,$F97,Налоги!$AB$25:$AB$55,$G97)</f>
        <v>0</v>
      </c>
      <c r="AQ97" s="848">
        <f ca="1">SUMIFS(Налоги!AP$25:AP$55,Налоги!$F$25:$F$55,$F97,Налоги!$AB$25:$AB$55,$G97)</f>
        <v>0</v>
      </c>
      <c r="AR97" s="848">
        <f ca="1">SUMIFS(Налоги!AQ$25:AQ$55,Налоги!$F$25:$F$55,$F97,Налоги!$AB$25:$AB$55,$G97)</f>
        <v>0</v>
      </c>
      <c r="AS97" s="848">
        <f ca="1">SUMIFS(Налоги!AR$25:AR$55,Налоги!$F$25:$F$55,$F97,Налоги!$AB$25:$AB$55,$G97)</f>
        <v>0</v>
      </c>
      <c r="AT97" s="848">
        <f ca="1">SUMIFS(Налоги!AS$25:AS$55,Налоги!$F$25:$F$55,$F97,Налоги!$AB$25:$AB$55,$G97)</f>
        <v>0</v>
      </c>
      <c r="AU97" s="848">
        <f ca="1">SUMIFS(Налоги!AT$25:AT$55,Налоги!$F$25:$F$55,$F97,Налоги!$AB$25:$AB$55,$G97)</f>
        <v>0</v>
      </c>
      <c r="AV97" s="848">
        <f ca="1">SUMIFS(Налоги!AU$25:AU$55,Налоги!$F$25:$F$55,$F97,Налоги!$AB$25:$AB$55,$G97)</f>
        <v>0</v>
      </c>
      <c r="AW97" s="848">
        <f ca="1">SUMIFS(Налоги!AV$25:AV$55,Налоги!$F$25:$F$55,$F97,Налоги!$AB$25:$AB$55,$G97)</f>
        <v>0</v>
      </c>
      <c r="AX97" s="848">
        <f ca="1">SUMIFS(Налоги!AW$25:AW$55,Налоги!$F$25:$F$55,$F97,Налоги!$AB$25:$AB$55,$G97)</f>
        <v>0</v>
      </c>
      <c r="AY97" s="848">
        <f ca="1">SUMIFS(Налоги!AX$25:AX$55,Налоги!$F$25:$F$55,$F97,Налоги!$AB$25:$AB$55,$G97)</f>
        <v>0</v>
      </c>
      <c r="AZ97" s="848">
        <f ca="1">SUMIFS(Налоги!AY$25:AY$55,Налоги!$F$25:$F$55,$F97,Налоги!$AB$25:$AB$55,$G97)</f>
        <v>0</v>
      </c>
      <c r="BA97" s="848">
        <f ca="1">SUMIFS(Налоги!AZ$25:AZ$55,Налоги!$F$25:$F$55,$F97,Налоги!$AB$25:$AB$55,$G97)</f>
        <v>0</v>
      </c>
      <c r="BB97" s="848">
        <f ca="1">SUMIFS(Налоги!BA$25:BA$55,Налоги!$F$25:$F$55,$F97,Налоги!$AB$25:$AB$55,$G97)</f>
        <v>0</v>
      </c>
      <c r="BC97" s="848">
        <f ca="1">SUMIFS(Налоги!BB$25:BB$55,Налоги!$F$25:$F$55,$F97,Налоги!$AB$25:$AB$55,$G97)</f>
        <v>0</v>
      </c>
      <c r="BD97" s="848">
        <f t="shared" ca="1" si="9"/>
        <v>0</v>
      </c>
      <c r="BE97" s="848">
        <f t="shared" ca="1" si="10"/>
        <v>0</v>
      </c>
      <c r="BF97" s="848">
        <f t="shared" ca="1" si="11"/>
        <v>0</v>
      </c>
      <c r="BG97" s="848">
        <f t="shared" ca="1" si="12"/>
        <v>0</v>
      </c>
      <c r="BH97" s="848">
        <f t="shared" ca="1" si="13"/>
        <v>0</v>
      </c>
      <c r="BI97" s="848">
        <f t="shared" ca="1" si="14"/>
        <v>0</v>
      </c>
      <c r="BJ97" s="848">
        <f t="shared" ca="1" si="15"/>
        <v>0</v>
      </c>
      <c r="BK97" s="848">
        <f t="shared" ca="1" si="16"/>
        <v>0</v>
      </c>
      <c r="BL97" s="848">
        <f t="shared" ca="1" si="17"/>
        <v>0</v>
      </c>
      <c r="BM97" s="848">
        <f t="shared" ca="1" si="18"/>
        <v>0</v>
      </c>
      <c r="BN97" s="1156"/>
      <c r="BO97" s="1154" t="str">
        <f ca="1">IF(IFERROR(INDEX(Налоги!$K$26:$L$55,MATCH($F97&amp;"5komm",Налоги!$K$26:$K$55,0),2),"")=0,"",IFERROR(INDEX(Налоги!$K$26:$L$55,MATCH($F97&amp;"5komm",Налоги!$K$26:$K$55,0),2),""))</f>
        <v/>
      </c>
      <c r="BP97" s="1156"/>
      <c r="BS97" s="966" t="s">
        <v>1912</v>
      </c>
    </row>
    <row r="98" spans="2:75" ht="14.65" hidden="1" customHeight="1">
      <c r="B98" s="15"/>
      <c r="C98" s="26"/>
      <c r="D98" s="26"/>
      <c r="E98" s="538">
        <v>15</v>
      </c>
      <c r="F98" s="3" cm="1">
        <f t="array" aca="1" ref="F98" ca="1">OFFSET(E98,-1,1)</f>
        <v>0</v>
      </c>
      <c r="G98" s="827">
        <v>1</v>
      </c>
      <c r="H98" s="26"/>
      <c r="I98" s="26" t="s">
        <v>1913</v>
      </c>
      <c r="J98" s="26"/>
      <c r="K98" s="26" t="s">
        <v>1913</v>
      </c>
      <c r="L98" s="882"/>
      <c r="M98" s="26"/>
      <c r="N98" s="26"/>
      <c r="O98" s="26"/>
      <c r="P98" s="26"/>
      <c r="Q98" s="26"/>
      <c r="R98" s="26"/>
      <c r="S98" s="26"/>
      <c r="T98" s="381" t="b" cm="1">
        <f t="array" aca="1" ref="T98" ca="1">T97</f>
        <v>0</v>
      </c>
      <c r="U98" s="26"/>
      <c r="V98" s="26"/>
      <c r="X98" s="1755"/>
      <c r="Z98" s="1735"/>
      <c r="AB98" s="215" t="s">
        <v>1914</v>
      </c>
      <c r="AC98" s="679" t="s">
        <v>1915</v>
      </c>
      <c r="AD98" s="216" t="s">
        <v>766</v>
      </c>
      <c r="AE98" s="175">
        <f ca="1">SUMIFS(Налоги!AE$25:AE$55,Налоги!$F$25:$F$55,$F98,Налоги!$AB$25:$AB$55,$G98)</f>
        <v>0</v>
      </c>
      <c r="AF98" s="175">
        <f ca="1">SUMIFS(Налоги!AF$25:AF$55,Налоги!$F$25:$F$55,$F98,Налоги!$AB$25:$AB$55,$G98)</f>
        <v>0</v>
      </c>
      <c r="AG98" s="175">
        <f ca="1">SUMIFS(Налоги!AG$25:AG$55,Налоги!$F$25:$F$55,$F98,Налоги!$AB$25:$AB$55,$G98)</f>
        <v>0</v>
      </c>
      <c r="AH98" s="848">
        <f t="shared" ca="1" si="7"/>
        <v>0</v>
      </c>
      <c r="AI98" s="848">
        <f ca="1">SUMIFS(Налоги!AH$25:AH$55,Налоги!$F$25:$F$55,$F98,Налоги!$AB$25:$AB$55,$G98)</f>
        <v>0</v>
      </c>
      <c r="AJ98" s="848">
        <f ca="1">SUMIFS(Налоги!AI$25:AI$55,Налоги!$F$25:$F$55,$F98,Налоги!$AB$25:$AB$55,$G98)</f>
        <v>0</v>
      </c>
      <c r="AK98" s="848">
        <f ca="1">SUMIFS(Налоги!AJ$25:AJ$55,Налоги!$F$25:$F$55,$F98,Налоги!$AB$25:$AB$55,$G98)</f>
        <v>0</v>
      </c>
      <c r="AL98" s="848">
        <f ca="1">SUMIFS(Налоги!AK$25:AK$55,Налоги!$F$25:$F$55,$F98,Налоги!$AB$25:$AB$55,$G98)</f>
        <v>0</v>
      </c>
      <c r="AM98" s="848">
        <f ca="1">SUMIFS(Налоги!AL$25:AL$55,Налоги!$F$25:$F$55,$F98,Налоги!$AB$25:$AB$55,$G98)</f>
        <v>0</v>
      </c>
      <c r="AN98" s="848">
        <f ca="1">SUMIFS(Налоги!AM$25:AM$55,Налоги!$F$25:$F$55,$F98,Налоги!$AB$25:$AB$55,$G98)</f>
        <v>0</v>
      </c>
      <c r="AO98" s="848">
        <f ca="1">SUMIFS(Налоги!AN$25:AN$55,Налоги!$F$25:$F$55,$F98,Налоги!$AB$25:$AB$55,$G98)</f>
        <v>0</v>
      </c>
      <c r="AP98" s="848">
        <f ca="1">SUMIFS(Налоги!AO$25:AO$55,Налоги!$F$25:$F$55,$F98,Налоги!$AB$25:$AB$55,$G98)</f>
        <v>0</v>
      </c>
      <c r="AQ98" s="848">
        <f ca="1">SUMIFS(Налоги!AP$25:AP$55,Налоги!$F$25:$F$55,$F98,Налоги!$AB$25:$AB$55,$G98)</f>
        <v>0</v>
      </c>
      <c r="AR98" s="848">
        <f ca="1">SUMIFS(Налоги!AQ$25:AQ$55,Налоги!$F$25:$F$55,$F98,Налоги!$AB$25:$AB$55,$G98)</f>
        <v>0</v>
      </c>
      <c r="AS98" s="848">
        <f ca="1">SUMIFS(Налоги!AR$25:AR$55,Налоги!$F$25:$F$55,$F98,Налоги!$AB$25:$AB$55,$G98)</f>
        <v>0</v>
      </c>
      <c r="AT98" s="848">
        <f ca="1">SUMIFS(Налоги!AS$25:AS$55,Налоги!$F$25:$F$55,$F98,Налоги!$AB$25:$AB$55,$G98)</f>
        <v>0</v>
      </c>
      <c r="AU98" s="848">
        <f ca="1">SUMIFS(Налоги!AT$25:AT$55,Налоги!$F$25:$F$55,$F98,Налоги!$AB$25:$AB$55,$G98)</f>
        <v>0</v>
      </c>
      <c r="AV98" s="848">
        <f ca="1">SUMIFS(Налоги!AU$25:AU$55,Налоги!$F$25:$F$55,$F98,Налоги!$AB$25:$AB$55,$G98)</f>
        <v>0</v>
      </c>
      <c r="AW98" s="848">
        <f ca="1">SUMIFS(Налоги!AV$25:AV$55,Налоги!$F$25:$F$55,$F98,Налоги!$AB$25:$AB$55,$G98)</f>
        <v>0</v>
      </c>
      <c r="AX98" s="848">
        <f ca="1">SUMIFS(Налоги!AW$25:AW$55,Налоги!$F$25:$F$55,$F98,Налоги!$AB$25:$AB$55,$G98)</f>
        <v>0</v>
      </c>
      <c r="AY98" s="848">
        <f ca="1">SUMIFS(Налоги!AX$25:AX$55,Налоги!$F$25:$F$55,$F98,Налоги!$AB$25:$AB$55,$G98)</f>
        <v>0</v>
      </c>
      <c r="AZ98" s="848">
        <f ca="1">SUMIFS(Налоги!AY$25:AY$55,Налоги!$F$25:$F$55,$F98,Налоги!$AB$25:$AB$55,$G98)</f>
        <v>0</v>
      </c>
      <c r="BA98" s="848">
        <f ca="1">SUMIFS(Налоги!AZ$25:AZ$55,Налоги!$F$25:$F$55,$F98,Налоги!$AB$25:$AB$55,$G98)</f>
        <v>0</v>
      </c>
      <c r="BB98" s="848">
        <f ca="1">SUMIFS(Налоги!BA$25:BA$55,Налоги!$F$25:$F$55,$F98,Налоги!$AB$25:$AB$55,$G98)</f>
        <v>0</v>
      </c>
      <c r="BC98" s="848">
        <f ca="1">SUMIFS(Налоги!BB$25:BB$55,Налоги!$F$25:$F$55,$F98,Налоги!$AB$25:$AB$55,$G98)</f>
        <v>0</v>
      </c>
      <c r="BD98" s="848">
        <f t="shared" ca="1" si="9"/>
        <v>0</v>
      </c>
      <c r="BE98" s="848">
        <f t="shared" ca="1" si="10"/>
        <v>0</v>
      </c>
      <c r="BF98" s="848">
        <f t="shared" ca="1" si="11"/>
        <v>0</v>
      </c>
      <c r="BG98" s="848">
        <f t="shared" ca="1" si="12"/>
        <v>0</v>
      </c>
      <c r="BH98" s="848">
        <f t="shared" ca="1" si="13"/>
        <v>0</v>
      </c>
      <c r="BI98" s="848">
        <f t="shared" ca="1" si="14"/>
        <v>0</v>
      </c>
      <c r="BJ98" s="848">
        <f t="shared" ca="1" si="15"/>
        <v>0</v>
      </c>
      <c r="BK98" s="848">
        <f t="shared" ca="1" si="16"/>
        <v>0</v>
      </c>
      <c r="BL98" s="848">
        <f t="shared" ca="1" si="17"/>
        <v>0</v>
      </c>
      <c r="BM98" s="848">
        <f t="shared" ca="1" si="18"/>
        <v>0</v>
      </c>
      <c r="BN98" s="1156"/>
      <c r="BO98" s="1154" t="str">
        <f ca="1">IF(IFERROR(INDEX(Налоги!$K$26:$L$55,MATCH($F98&amp;"1komm",Налоги!$K$26:$K$55,0),2),"")=0,"",IFERROR(INDEX(Налоги!$K$26:$L$55,MATCH($F98&amp;"1komm",Налоги!$K$26:$K$55,0),2),""))</f>
        <v/>
      </c>
      <c r="BP98" s="1156"/>
      <c r="BS98" s="966" t="s">
        <v>1916</v>
      </c>
    </row>
    <row r="99" spans="2:75" ht="14.65" hidden="1" customHeight="1">
      <c r="B99" s="15"/>
      <c r="C99" s="26"/>
      <c r="D99" s="26"/>
      <c r="E99" s="538">
        <v>15</v>
      </c>
      <c r="F99" s="3" cm="1">
        <f t="array" aca="1" ref="F99" ca="1">OFFSET(E99,-1,1)</f>
        <v>0</v>
      </c>
      <c r="G99" s="827">
        <v>3</v>
      </c>
      <c r="H99" s="26"/>
      <c r="I99" s="26" t="s">
        <v>1917</v>
      </c>
      <c r="J99" s="26"/>
      <c r="K99" s="26" t="s">
        <v>1917</v>
      </c>
      <c r="L99" s="882"/>
      <c r="M99" s="26"/>
      <c r="N99" s="26"/>
      <c r="O99" s="26"/>
      <c r="P99" s="26"/>
      <c r="Q99" s="26"/>
      <c r="R99" s="26"/>
      <c r="S99" s="26"/>
      <c r="T99" s="381" t="b" cm="1">
        <f t="array" aca="1" ref="T99" ca="1">T98</f>
        <v>0</v>
      </c>
      <c r="U99" s="26"/>
      <c r="V99" s="26"/>
      <c r="X99" s="1755"/>
      <c r="Z99" s="1735"/>
      <c r="AB99" s="215" t="s">
        <v>1918</v>
      </c>
      <c r="AC99" s="679" t="s">
        <v>1919</v>
      </c>
      <c r="AD99" s="216" t="s">
        <v>766</v>
      </c>
      <c r="AE99" s="1155">
        <f ca="1">SUMIFS(Налоги!AE$25:AE$55,Налоги!$F$25:$F$55,$F99,Налоги!$AB$25:$AB$55,$G99)</f>
        <v>0</v>
      </c>
      <c r="AF99" s="1155">
        <f ca="1">SUMIFS(Налоги!AF$25:AF$55,Налоги!$F$25:$F$55,$F99,Налоги!$AB$25:$AB$55,$G99)</f>
        <v>0</v>
      </c>
      <c r="AG99" s="1155">
        <f ca="1">SUMIFS(Налоги!AG$25:AG$55,Налоги!$F$25:$F$55,$F99,Налоги!$AB$25:$AB$55,$G99)</f>
        <v>0</v>
      </c>
      <c r="AH99" s="848">
        <f t="shared" ca="1" si="7"/>
        <v>0</v>
      </c>
      <c r="AI99" s="1153">
        <f ca="1">SUMIFS(Налоги!AH$25:AH$55,Налоги!$F$25:$F$55,$F99,Налоги!$AB$25:$AB$55,$G99)</f>
        <v>0</v>
      </c>
      <c r="AJ99" s="1510">
        <f ca="1">SUMIFS(Налоги!AI$25:AI$55,Налоги!$F$25:$F$55,$F99,Налоги!$AB$25:$AB$55,$G99)</f>
        <v>0</v>
      </c>
      <c r="AK99" s="1153">
        <f ca="1">SUMIFS(Налоги!AJ$25:AJ$55,Налоги!$F$25:$F$55,$F99,Налоги!$AB$25:$AB$55,$G99)</f>
        <v>0</v>
      </c>
      <c r="AL99" s="1153">
        <f ca="1">SUMIFS(Налоги!AK$25:AK$55,Налоги!$F$25:$F$55,$F99,Налоги!$AB$25:$AB$55,$G99)</f>
        <v>0</v>
      </c>
      <c r="AM99" s="1153">
        <f ca="1">SUMIFS(Налоги!AL$25:AL$55,Налоги!$F$25:$F$55,$F99,Налоги!$AB$25:$AB$55,$G99)</f>
        <v>0</v>
      </c>
      <c r="AN99" s="1153">
        <f ca="1">SUMIFS(Налоги!AM$25:AM$55,Налоги!$F$25:$F$55,$F99,Налоги!$AB$25:$AB$55,$G99)</f>
        <v>0</v>
      </c>
      <c r="AO99" s="1153">
        <f ca="1">SUMIFS(Налоги!AN$25:AN$55,Налоги!$F$25:$F$55,$F99,Налоги!$AB$25:$AB$55,$G99)</f>
        <v>0</v>
      </c>
      <c r="AP99" s="1153">
        <f ca="1">SUMIFS(Налоги!AO$25:AO$55,Налоги!$F$25:$F$55,$F99,Налоги!$AB$25:$AB$55,$G99)</f>
        <v>0</v>
      </c>
      <c r="AQ99" s="1153">
        <f ca="1">SUMIFS(Налоги!AP$25:AP$55,Налоги!$F$25:$F$55,$F99,Налоги!$AB$25:$AB$55,$G99)</f>
        <v>0</v>
      </c>
      <c r="AR99" s="1153">
        <f ca="1">SUMIFS(Налоги!AQ$25:AQ$55,Налоги!$F$25:$F$55,$F99,Налоги!$AB$25:$AB$55,$G99)</f>
        <v>0</v>
      </c>
      <c r="AS99" s="1153">
        <f ca="1">SUMIFS(Налоги!AR$25:AR$55,Налоги!$F$25:$F$55,$F99,Налоги!$AB$25:$AB$55,$G99)</f>
        <v>0</v>
      </c>
      <c r="AT99" s="1510">
        <f ca="1">SUMIFS(Налоги!AS$25:AS$55,Налоги!$F$25:$F$55,$F99,Налоги!$AB$25:$AB$55,$G99)</f>
        <v>0</v>
      </c>
      <c r="AU99" s="1153">
        <f ca="1">SUMIFS(Налоги!AT$25:AT$55,Налоги!$F$25:$F$55,$F99,Налоги!$AB$25:$AB$55,$G99)</f>
        <v>0</v>
      </c>
      <c r="AV99" s="1153">
        <f ca="1">SUMIFS(Налоги!AU$25:AU$55,Налоги!$F$25:$F$55,$F99,Налоги!$AB$25:$AB$55,$G99)</f>
        <v>0</v>
      </c>
      <c r="AW99" s="1153">
        <f ca="1">SUMIFS(Налоги!AV$25:AV$55,Налоги!$F$25:$F$55,$F99,Налоги!$AB$25:$AB$55,$G99)</f>
        <v>0</v>
      </c>
      <c r="AX99" s="1153">
        <f ca="1">SUMIFS(Налоги!AW$25:AW$55,Налоги!$F$25:$F$55,$F99,Налоги!$AB$25:$AB$55,$G99)</f>
        <v>0</v>
      </c>
      <c r="AY99" s="1153">
        <f ca="1">SUMIFS(Налоги!AX$25:AX$55,Налоги!$F$25:$F$55,$F99,Налоги!$AB$25:$AB$55,$G99)</f>
        <v>0</v>
      </c>
      <c r="AZ99" s="1153">
        <f ca="1">SUMIFS(Налоги!AY$25:AY$55,Налоги!$F$25:$F$55,$F99,Налоги!$AB$25:$AB$55,$G99)</f>
        <v>0</v>
      </c>
      <c r="BA99" s="1153">
        <f ca="1">SUMIFS(Налоги!AZ$25:AZ$55,Налоги!$F$25:$F$55,$F99,Налоги!$AB$25:$AB$55,$G99)</f>
        <v>0</v>
      </c>
      <c r="BB99" s="1153">
        <f ca="1">SUMIFS(Налоги!BA$25:BA$55,Налоги!$F$25:$F$55,$F99,Налоги!$AB$25:$AB$55,$G99)</f>
        <v>0</v>
      </c>
      <c r="BC99" s="1153">
        <f ca="1">SUMIFS(Налоги!BB$25:BB$55,Налоги!$F$25:$F$55,$F99,Налоги!$AB$25:$AB$55,$G99)</f>
        <v>0</v>
      </c>
      <c r="BD99" s="848">
        <f t="shared" ca="1" si="9"/>
        <v>0</v>
      </c>
      <c r="BE99" s="848">
        <f t="shared" ca="1" si="10"/>
        <v>0</v>
      </c>
      <c r="BF99" s="848">
        <f t="shared" ca="1" si="11"/>
        <v>0</v>
      </c>
      <c r="BG99" s="848">
        <f t="shared" ca="1" si="12"/>
        <v>0</v>
      </c>
      <c r="BH99" s="848">
        <f t="shared" ca="1" si="13"/>
        <v>0</v>
      </c>
      <c r="BI99" s="848">
        <f t="shared" ca="1" si="14"/>
        <v>0</v>
      </c>
      <c r="BJ99" s="848">
        <f t="shared" ca="1" si="15"/>
        <v>0</v>
      </c>
      <c r="BK99" s="848">
        <f t="shared" ca="1" si="16"/>
        <v>0</v>
      </c>
      <c r="BL99" s="848">
        <f t="shared" ca="1" si="17"/>
        <v>0</v>
      </c>
      <c r="BM99" s="848">
        <f t="shared" ca="1" si="18"/>
        <v>0</v>
      </c>
      <c r="BN99" s="1156"/>
      <c r="BO99" s="1154" t="str">
        <f ca="1">IF(IFERROR(INDEX(Налоги!$K$26:$L$55,MATCH($F99&amp;"5komm",Налоги!$K$26:$K$55,0),2),"")=0,"",IFERROR(INDEX(Налоги!$K$26:$L$55,MATCH($F99&amp;"5komm",Налоги!$K$26:$K$55,0),2),""))</f>
        <v/>
      </c>
      <c r="BP99" s="1156"/>
      <c r="BS99" s="966" t="s">
        <v>1920</v>
      </c>
    </row>
    <row r="100" spans="2:75" ht="14.65" hidden="1" customHeight="1">
      <c r="B100" s="15"/>
      <c r="C100" s="26"/>
      <c r="D100" s="26"/>
      <c r="E100" s="538">
        <v>15</v>
      </c>
      <c r="F100" s="3" cm="1">
        <f t="array" aca="1" ref="F100" ca="1">OFFSET(E100,-1,1)</f>
        <v>0</v>
      </c>
      <c r="G100" s="827">
        <v>8</v>
      </c>
      <c r="H100" s="26"/>
      <c r="I100" s="26" t="s">
        <v>1921</v>
      </c>
      <c r="J100" s="26"/>
      <c r="K100" s="26" t="s">
        <v>1921</v>
      </c>
      <c r="L100" s="882"/>
      <c r="M100" s="26"/>
      <c r="N100" s="26"/>
      <c r="O100" s="26"/>
      <c r="P100" s="26"/>
      <c r="Q100" s="26"/>
      <c r="R100" s="26"/>
      <c r="S100" s="26"/>
      <c r="T100" s="381" t="b" cm="1">
        <f t="array" aca="1" ref="T100" ca="1">T99</f>
        <v>0</v>
      </c>
      <c r="U100" s="26"/>
      <c r="V100" s="26"/>
      <c r="X100" s="1755"/>
      <c r="Z100" s="1735"/>
      <c r="AB100" s="215" t="s">
        <v>1922</v>
      </c>
      <c r="AC100" s="679" t="s">
        <v>1923</v>
      </c>
      <c r="AD100" s="216" t="s">
        <v>766</v>
      </c>
      <c r="AE100" s="175">
        <f ca="1">SUMIFS(Налоги!AE$25:AE$55,Налоги!$F$25:$F$55,$F100,Налоги!$AB$25:$AB$55,$G100)</f>
        <v>0</v>
      </c>
      <c r="AF100" s="175">
        <f ca="1">SUMIFS(Налоги!AF$25:AF$55,Налоги!$F$25:$F$55,$F100,Налоги!$AB$25:$AB$55,$G100)</f>
        <v>0</v>
      </c>
      <c r="AG100" s="175">
        <f ca="1">SUMIFS(Налоги!AG$25:AG$55,Налоги!$F$25:$F$55,$F100,Налоги!$AB$25:$AB$55,$G100)</f>
        <v>0</v>
      </c>
      <c r="AH100" s="848">
        <f t="shared" ca="1" si="7"/>
        <v>0</v>
      </c>
      <c r="AI100" s="848">
        <f ca="1">SUMIFS(Налоги!AH$25:AH$55,Налоги!$F$25:$F$55,$F100,Налоги!$AB$25:$AB$55,$G100)</f>
        <v>0</v>
      </c>
      <c r="AJ100" s="848">
        <f ca="1">SUMIFS(Налоги!AI$25:AI$55,Налоги!$F$25:$F$55,$F100,Налоги!$AB$25:$AB$55,$G100)</f>
        <v>0</v>
      </c>
      <c r="AK100" s="848">
        <f ca="1">SUMIFS(Налоги!AJ$25:AJ$55,Налоги!$F$25:$F$55,$F100,Налоги!$AB$25:$AB$55,$G100)</f>
        <v>0</v>
      </c>
      <c r="AL100" s="848">
        <f ca="1">SUMIFS(Налоги!AK$25:AK$55,Налоги!$F$25:$F$55,$F100,Налоги!$AB$25:$AB$55,$G100)</f>
        <v>0</v>
      </c>
      <c r="AM100" s="848">
        <f ca="1">SUMIFS(Налоги!AL$25:AL$55,Налоги!$F$25:$F$55,$F100,Налоги!$AB$25:$AB$55,$G100)</f>
        <v>0</v>
      </c>
      <c r="AN100" s="848">
        <f ca="1">SUMIFS(Налоги!AM$25:AM$55,Налоги!$F$25:$F$55,$F100,Налоги!$AB$25:$AB$55,$G100)</f>
        <v>0</v>
      </c>
      <c r="AO100" s="848">
        <f ca="1">SUMIFS(Налоги!AN$25:AN$55,Налоги!$F$25:$F$55,$F100,Налоги!$AB$25:$AB$55,$G100)</f>
        <v>0</v>
      </c>
      <c r="AP100" s="848">
        <f ca="1">SUMIFS(Налоги!AO$25:AO$55,Налоги!$F$25:$F$55,$F100,Налоги!$AB$25:$AB$55,$G100)</f>
        <v>0</v>
      </c>
      <c r="AQ100" s="848">
        <f ca="1">SUMIFS(Налоги!AP$25:AP$55,Налоги!$F$25:$F$55,$F100,Налоги!$AB$25:$AB$55,$G100)</f>
        <v>0</v>
      </c>
      <c r="AR100" s="848">
        <f ca="1">SUMIFS(Налоги!AQ$25:AQ$55,Налоги!$F$25:$F$55,$F100,Налоги!$AB$25:$AB$55,$G100)</f>
        <v>0</v>
      </c>
      <c r="AS100" s="848">
        <f ca="1">SUMIFS(Налоги!AR$25:AR$55,Налоги!$F$25:$F$55,$F100,Налоги!$AB$25:$AB$55,$G100)</f>
        <v>0</v>
      </c>
      <c r="AT100" s="848">
        <f ca="1">SUMIFS(Налоги!AS$25:AS$55,Налоги!$F$25:$F$55,$F100,Налоги!$AB$25:$AB$55,$G100)</f>
        <v>0</v>
      </c>
      <c r="AU100" s="848">
        <f ca="1">SUMIFS(Налоги!AT$25:AT$55,Налоги!$F$25:$F$55,$F100,Налоги!$AB$25:$AB$55,$G100)</f>
        <v>0</v>
      </c>
      <c r="AV100" s="848">
        <f ca="1">SUMIFS(Налоги!AU$25:AU$55,Налоги!$F$25:$F$55,$F100,Налоги!$AB$25:$AB$55,$G100)</f>
        <v>0</v>
      </c>
      <c r="AW100" s="848">
        <f ca="1">SUMIFS(Налоги!AV$25:AV$55,Налоги!$F$25:$F$55,$F100,Налоги!$AB$25:$AB$55,$G100)</f>
        <v>0</v>
      </c>
      <c r="AX100" s="848">
        <f ca="1">SUMIFS(Налоги!AW$25:AW$55,Налоги!$F$25:$F$55,$F100,Налоги!$AB$25:$AB$55,$G100)</f>
        <v>0</v>
      </c>
      <c r="AY100" s="848">
        <f ca="1">SUMIFS(Налоги!AX$25:AX$55,Налоги!$F$25:$F$55,$F100,Налоги!$AB$25:$AB$55,$G100)</f>
        <v>0</v>
      </c>
      <c r="AZ100" s="848">
        <f ca="1">SUMIFS(Налоги!AY$25:AY$55,Налоги!$F$25:$F$55,$F100,Налоги!$AB$25:$AB$55,$G100)</f>
        <v>0</v>
      </c>
      <c r="BA100" s="848">
        <f ca="1">SUMIFS(Налоги!AZ$25:AZ$55,Налоги!$F$25:$F$55,$F100,Налоги!$AB$25:$AB$55,$G100)</f>
        <v>0</v>
      </c>
      <c r="BB100" s="848">
        <f ca="1">SUMIFS(Налоги!BA$25:BA$55,Налоги!$F$25:$F$55,$F100,Налоги!$AB$25:$AB$55,$G100)</f>
        <v>0</v>
      </c>
      <c r="BC100" s="848">
        <f ca="1">SUMIFS(Налоги!BB$25:BB$55,Налоги!$F$25:$F$55,$F100,Налоги!$AB$25:$AB$55,$G100)</f>
        <v>0</v>
      </c>
      <c r="BD100" s="848">
        <f t="shared" ca="1" si="9"/>
        <v>0</v>
      </c>
      <c r="BE100" s="848">
        <f t="shared" ca="1" si="10"/>
        <v>0</v>
      </c>
      <c r="BF100" s="848">
        <f t="shared" ca="1" si="11"/>
        <v>0</v>
      </c>
      <c r="BG100" s="848">
        <f t="shared" ca="1" si="12"/>
        <v>0</v>
      </c>
      <c r="BH100" s="848">
        <f t="shared" ca="1" si="13"/>
        <v>0</v>
      </c>
      <c r="BI100" s="848">
        <f t="shared" ca="1" si="14"/>
        <v>0</v>
      </c>
      <c r="BJ100" s="848">
        <f t="shared" ca="1" si="15"/>
        <v>0</v>
      </c>
      <c r="BK100" s="848">
        <f t="shared" ca="1" si="16"/>
        <v>0</v>
      </c>
      <c r="BL100" s="848">
        <f t="shared" ca="1" si="17"/>
        <v>0</v>
      </c>
      <c r="BM100" s="848">
        <f t="shared" ca="1" si="18"/>
        <v>0</v>
      </c>
      <c r="BN100" s="1156"/>
      <c r="BO100" s="1154" t="str">
        <f ca="1">IF(IFERROR(INDEX(Налоги!$K$26:$L$55,MATCH($F100&amp;"8komm",Налоги!$K$26:$K$55,0),2),"")=0,"",IFERROR(INDEX(Налоги!$K$26:$L$55,MATCH($F100&amp;"8komm",Налоги!$K$26:$K$55,0),2),""))</f>
        <v/>
      </c>
      <c r="BP100" s="1156"/>
      <c r="BS100" s="966" t="s">
        <v>1142</v>
      </c>
    </row>
    <row r="101" spans="2:75" s="1133" customFormat="1" ht="14.65" hidden="1" customHeight="1">
      <c r="B101" s="15"/>
      <c r="C101" s="26"/>
      <c r="D101" s="26"/>
      <c r="E101" s="538">
        <v>15</v>
      </c>
      <c r="F101" s="3" cm="1">
        <f t="array" aca="1" ref="F101" ca="1">OFFSET(E101,-1,1)</f>
        <v>0</v>
      </c>
      <c r="G101" s="827">
        <v>9</v>
      </c>
      <c r="H101" s="26"/>
      <c r="I101" s="26"/>
      <c r="J101" s="26"/>
      <c r="K101" s="26"/>
      <c r="L101" s="882"/>
      <c r="M101" s="26"/>
      <c r="N101" s="26"/>
      <c r="O101" s="26"/>
      <c r="P101" s="26"/>
      <c r="Q101" s="26"/>
      <c r="R101" s="26"/>
      <c r="S101" s="26"/>
      <c r="T101" s="381" t="b" cm="1">
        <f t="array" aca="1" ref="T101" ca="1">T100</f>
        <v>0</v>
      </c>
      <c r="U101" s="26"/>
      <c r="V101" s="26"/>
      <c r="X101" s="1755"/>
      <c r="Z101" s="1735"/>
      <c r="AB101" s="215" t="s">
        <v>1924</v>
      </c>
      <c r="AC101" s="694" t="s">
        <v>1925</v>
      </c>
      <c r="AD101" s="216" t="s">
        <v>766</v>
      </c>
      <c r="AE101" s="175">
        <f ca="1">SUMIFS(Налоги!AE$25:AE$55,Налоги!$F$25:$F$55,$F101,Налоги!$AB$25:$AB$55,$G101)</f>
        <v>0</v>
      </c>
      <c r="AF101" s="175">
        <f ca="1">SUMIFS(Налоги!AF$25:AF$55,Налоги!$F$25:$F$55,$F101,Налоги!$AB$25:$AB$55,$G101)</f>
        <v>0</v>
      </c>
      <c r="AG101" s="175">
        <f ca="1">SUMIFS(Налоги!AG$25:AG$55,Налоги!$F$25:$F$55,$F101,Налоги!$AB$25:$AB$55,$G101)</f>
        <v>0</v>
      </c>
      <c r="AH101" s="848">
        <f t="shared" ca="1" si="7"/>
        <v>0</v>
      </c>
      <c r="AI101" s="848">
        <f ca="1">SUMIFS(Налоги!AH$25:AH$55,Налоги!$F$25:$F$55,$F101,Налоги!$AB$25:$AB$55,$G101)</f>
        <v>0</v>
      </c>
      <c r="AJ101" s="848">
        <f ca="1">SUMIFS(Налоги!AI$25:AI$55,Налоги!$F$25:$F$55,$F101,Налоги!$AB$25:$AB$55,$G101)</f>
        <v>0</v>
      </c>
      <c r="AK101" s="848">
        <f ca="1">SUMIFS(Налоги!AJ$25:AJ$55,Налоги!$F$25:$F$55,$F101,Налоги!$AB$25:$AB$55,$G101)</f>
        <v>0</v>
      </c>
      <c r="AL101" s="848">
        <f ca="1">SUMIFS(Налоги!AK$25:AK$55,Налоги!$F$25:$F$55,$F101,Налоги!$AB$25:$AB$55,$G101)</f>
        <v>0</v>
      </c>
      <c r="AM101" s="848">
        <f ca="1">SUMIFS(Налоги!AL$25:AL$55,Налоги!$F$25:$F$55,$F101,Налоги!$AB$25:$AB$55,$G101)</f>
        <v>0</v>
      </c>
      <c r="AN101" s="848">
        <f ca="1">SUMIFS(Налоги!AM$25:AM$55,Налоги!$F$25:$F$55,$F101,Налоги!$AB$25:$AB$55,$G101)</f>
        <v>0</v>
      </c>
      <c r="AO101" s="848">
        <f ca="1">SUMIFS(Налоги!AN$25:AN$55,Налоги!$F$25:$F$55,$F101,Налоги!$AB$25:$AB$55,$G101)</f>
        <v>0</v>
      </c>
      <c r="AP101" s="848">
        <f ca="1">SUMIFS(Налоги!AO$25:AO$55,Налоги!$F$25:$F$55,$F101,Налоги!$AB$25:$AB$55,$G101)</f>
        <v>0</v>
      </c>
      <c r="AQ101" s="848">
        <f ca="1">SUMIFS(Налоги!AP$25:AP$55,Налоги!$F$25:$F$55,$F101,Налоги!$AB$25:$AB$55,$G101)</f>
        <v>0</v>
      </c>
      <c r="AR101" s="848">
        <f ca="1">SUMIFS(Налоги!AQ$25:AQ$55,Налоги!$F$25:$F$55,$F101,Налоги!$AB$25:$AB$55,$G101)</f>
        <v>0</v>
      </c>
      <c r="AS101" s="848">
        <f ca="1">SUMIFS(Налоги!AR$25:AR$55,Налоги!$F$25:$F$55,$F101,Налоги!$AB$25:$AB$55,$G101)</f>
        <v>0</v>
      </c>
      <c r="AT101" s="848">
        <f ca="1">SUMIFS(Налоги!AS$25:AS$55,Налоги!$F$25:$F$55,$F101,Налоги!$AB$25:$AB$55,$G101)</f>
        <v>0</v>
      </c>
      <c r="AU101" s="848">
        <f ca="1">SUMIFS(Налоги!AT$25:AT$55,Налоги!$F$25:$F$55,$F101,Налоги!$AB$25:$AB$55,$G101)</f>
        <v>0</v>
      </c>
      <c r="AV101" s="848">
        <f ca="1">SUMIFS(Налоги!AU$25:AU$55,Налоги!$F$25:$F$55,$F101,Налоги!$AB$25:$AB$55,$G101)</f>
        <v>0</v>
      </c>
      <c r="AW101" s="848">
        <f ca="1">SUMIFS(Налоги!AV$25:AV$55,Налоги!$F$25:$F$55,$F101,Налоги!$AB$25:$AB$55,$G101)</f>
        <v>0</v>
      </c>
      <c r="AX101" s="848">
        <f ca="1">SUMIFS(Налоги!AW$25:AW$55,Налоги!$F$25:$F$55,$F101,Налоги!$AB$25:$AB$55,$G101)</f>
        <v>0</v>
      </c>
      <c r="AY101" s="848">
        <f ca="1">SUMIFS(Налоги!AX$25:AX$55,Налоги!$F$25:$F$55,$F101,Налоги!$AB$25:$AB$55,$G101)</f>
        <v>0</v>
      </c>
      <c r="AZ101" s="848">
        <f ca="1">SUMIFS(Налоги!AY$25:AY$55,Налоги!$F$25:$F$55,$F101,Налоги!$AB$25:$AB$55,$G101)</f>
        <v>0</v>
      </c>
      <c r="BA101" s="848">
        <f ca="1">SUMIFS(Налоги!AZ$25:AZ$55,Налоги!$F$25:$F$55,$F101,Налоги!$AB$25:$AB$55,$G101)</f>
        <v>0</v>
      </c>
      <c r="BB101" s="848">
        <f ca="1">SUMIFS(Налоги!BA$25:BA$55,Налоги!$F$25:$F$55,$F101,Налоги!$AB$25:$AB$55,$G101)</f>
        <v>0</v>
      </c>
      <c r="BC101" s="848">
        <f ca="1">SUMIFS(Налоги!BB$25:BB$55,Налоги!$F$25:$F$55,$F101,Налоги!$AB$25:$AB$55,$G101)</f>
        <v>0</v>
      </c>
      <c r="BD101" s="848">
        <f t="shared" ca="1" si="9"/>
        <v>0</v>
      </c>
      <c r="BE101" s="848">
        <f t="shared" ca="1" si="10"/>
        <v>0</v>
      </c>
      <c r="BF101" s="848">
        <f t="shared" ca="1" si="11"/>
        <v>0</v>
      </c>
      <c r="BG101" s="848">
        <f t="shared" ca="1" si="12"/>
        <v>0</v>
      </c>
      <c r="BH101" s="848">
        <f t="shared" ca="1" si="13"/>
        <v>0</v>
      </c>
      <c r="BI101" s="848">
        <f t="shared" ca="1" si="14"/>
        <v>0</v>
      </c>
      <c r="BJ101" s="848">
        <f t="shared" ca="1" si="15"/>
        <v>0</v>
      </c>
      <c r="BK101" s="848">
        <f t="shared" ca="1" si="16"/>
        <v>0</v>
      </c>
      <c r="BL101" s="848">
        <f t="shared" ca="1" si="17"/>
        <v>0</v>
      </c>
      <c r="BM101" s="848">
        <f t="shared" ca="1" si="18"/>
        <v>0</v>
      </c>
      <c r="BN101" s="1156"/>
      <c r="BO101" s="1154" t="str">
        <f ca="1">IF(IFERROR(INDEX(Налоги!$K$26:$L$55,MATCH($F101&amp;"9komm",Налоги!$K$26:$K$55,0),2),"")=0,"",IFERROR(INDEX(Налоги!$K$26:$L$55,MATCH($F101&amp;"9komm",Налоги!$K$26:$K$55,0),2),""))</f>
        <v/>
      </c>
      <c r="BP101" s="1156"/>
      <c r="BS101" s="973" t="s">
        <v>1926</v>
      </c>
      <c r="BT101" s="973"/>
      <c r="BU101" s="973"/>
      <c r="BV101" s="974"/>
      <c r="BW101" s="974"/>
    </row>
    <row r="102" spans="2:75" ht="14.65" hidden="1" customHeight="1">
      <c r="B102" s="15"/>
      <c r="C102" s="26"/>
      <c r="D102" s="26"/>
      <c r="E102" s="538">
        <v>15</v>
      </c>
      <c r="F102" s="3" cm="1">
        <f t="array" aca="1" ref="F102" ca="1">OFFSET(E102,-1,1)</f>
        <v>0</v>
      </c>
      <c r="G102" s="827">
        <v>10</v>
      </c>
      <c r="H102" s="26"/>
      <c r="I102" s="26" t="s">
        <v>1927</v>
      </c>
      <c r="J102" s="26"/>
      <c r="K102" s="26" t="s">
        <v>1927</v>
      </c>
      <c r="L102" s="882"/>
      <c r="M102" s="26"/>
      <c r="N102" s="26"/>
      <c r="O102" s="26"/>
      <c r="P102" s="26"/>
      <c r="Q102" s="26"/>
      <c r="R102" s="26"/>
      <c r="S102" s="26"/>
      <c r="T102" s="381" t="b" cm="1">
        <f t="array" aca="1" ref="T102" ca="1">T101</f>
        <v>0</v>
      </c>
      <c r="U102" s="26"/>
      <c r="V102" s="26"/>
      <c r="X102" s="1755"/>
      <c r="Z102" s="1735"/>
      <c r="AB102" s="215" t="s">
        <v>1928</v>
      </c>
      <c r="AC102" s="695" t="s">
        <v>1929</v>
      </c>
      <c r="AD102" s="216" t="s">
        <v>766</v>
      </c>
      <c r="AE102" s="175">
        <f ca="1">SUMIFS(Налоги!AE$25:AE$55,Налоги!$F$25:$F$55,$F102,Налоги!$AB$25:$AB$55,$G102)</f>
        <v>0</v>
      </c>
      <c r="AF102" s="175">
        <f ca="1">SUMIFS(Налоги!AF$25:AF$55,Налоги!$F$25:$F$55,$F102,Налоги!$AB$25:$AB$55,$G102)</f>
        <v>0</v>
      </c>
      <c r="AG102" s="175">
        <f ca="1">SUMIFS(Налоги!AG$25:AG$55,Налоги!$F$25:$F$55,$F102,Налоги!$AB$25:$AB$55,$G102)</f>
        <v>0</v>
      </c>
      <c r="AH102" s="848">
        <f t="shared" ca="1" si="7"/>
        <v>0</v>
      </c>
      <c r="AI102" s="848">
        <f ca="1">SUMIFS(Налоги!AH$25:AH$55,Налоги!$F$25:$F$55,$F102,Налоги!$AB$25:$AB$55,$G102)</f>
        <v>0</v>
      </c>
      <c r="AJ102" s="848">
        <f ca="1">SUMIFS(Налоги!AI$25:AI$55,Налоги!$F$25:$F$55,$F102,Налоги!$AB$25:$AB$55,$G102)</f>
        <v>0</v>
      </c>
      <c r="AK102" s="848">
        <f ca="1">SUMIFS(Налоги!AJ$25:AJ$55,Налоги!$F$25:$F$55,$F102,Налоги!$AB$25:$AB$55,$G102)</f>
        <v>0</v>
      </c>
      <c r="AL102" s="848">
        <f ca="1">SUMIFS(Налоги!AK$25:AK$55,Налоги!$F$25:$F$55,$F102,Налоги!$AB$25:$AB$55,$G102)</f>
        <v>0</v>
      </c>
      <c r="AM102" s="848">
        <f ca="1">SUMIFS(Налоги!AL$25:AL$55,Налоги!$F$25:$F$55,$F102,Налоги!$AB$25:$AB$55,$G102)</f>
        <v>0</v>
      </c>
      <c r="AN102" s="848">
        <f ca="1">SUMIFS(Налоги!AM$25:AM$55,Налоги!$F$25:$F$55,$F102,Налоги!$AB$25:$AB$55,$G102)</f>
        <v>0</v>
      </c>
      <c r="AO102" s="848">
        <f ca="1">SUMIFS(Налоги!AN$25:AN$55,Налоги!$F$25:$F$55,$F102,Налоги!$AB$25:$AB$55,$G102)</f>
        <v>0</v>
      </c>
      <c r="AP102" s="848">
        <f ca="1">SUMIFS(Налоги!AO$25:AO$55,Налоги!$F$25:$F$55,$F102,Налоги!$AB$25:$AB$55,$G102)</f>
        <v>0</v>
      </c>
      <c r="AQ102" s="848">
        <f ca="1">SUMIFS(Налоги!AP$25:AP$55,Налоги!$F$25:$F$55,$F102,Налоги!$AB$25:$AB$55,$G102)</f>
        <v>0</v>
      </c>
      <c r="AR102" s="848">
        <f ca="1">SUMIFS(Налоги!AQ$25:AQ$55,Налоги!$F$25:$F$55,$F102,Налоги!$AB$25:$AB$55,$G102)</f>
        <v>0</v>
      </c>
      <c r="AS102" s="848">
        <f ca="1">SUMIFS(Налоги!AR$25:AR$55,Налоги!$F$25:$F$55,$F102,Налоги!$AB$25:$AB$55,$G102)</f>
        <v>0</v>
      </c>
      <c r="AT102" s="848">
        <f ca="1">SUMIFS(Налоги!AS$25:AS$55,Налоги!$F$25:$F$55,$F102,Налоги!$AB$25:$AB$55,$G102)</f>
        <v>0</v>
      </c>
      <c r="AU102" s="848">
        <f ca="1">SUMIFS(Налоги!AT$25:AT$55,Налоги!$F$25:$F$55,$F102,Налоги!$AB$25:$AB$55,$G102)</f>
        <v>0</v>
      </c>
      <c r="AV102" s="848">
        <f ca="1">SUMIFS(Налоги!AU$25:AU$55,Налоги!$F$25:$F$55,$F102,Налоги!$AB$25:$AB$55,$G102)</f>
        <v>0</v>
      </c>
      <c r="AW102" s="848">
        <f ca="1">SUMIFS(Налоги!AV$25:AV$55,Налоги!$F$25:$F$55,$F102,Налоги!$AB$25:$AB$55,$G102)</f>
        <v>0</v>
      </c>
      <c r="AX102" s="848">
        <f ca="1">SUMIFS(Налоги!AW$25:AW$55,Налоги!$F$25:$F$55,$F102,Налоги!$AB$25:$AB$55,$G102)</f>
        <v>0</v>
      </c>
      <c r="AY102" s="848">
        <f ca="1">SUMIFS(Налоги!AX$25:AX$55,Налоги!$F$25:$F$55,$F102,Налоги!$AB$25:$AB$55,$G102)</f>
        <v>0</v>
      </c>
      <c r="AZ102" s="848">
        <f ca="1">SUMIFS(Налоги!AY$25:AY$55,Налоги!$F$25:$F$55,$F102,Налоги!$AB$25:$AB$55,$G102)</f>
        <v>0</v>
      </c>
      <c r="BA102" s="848">
        <f ca="1">SUMIFS(Налоги!AZ$25:AZ$55,Налоги!$F$25:$F$55,$F102,Налоги!$AB$25:$AB$55,$G102)</f>
        <v>0</v>
      </c>
      <c r="BB102" s="848">
        <f ca="1">SUMIFS(Налоги!BA$25:BA$55,Налоги!$F$25:$F$55,$F102,Налоги!$AB$25:$AB$55,$G102)</f>
        <v>0</v>
      </c>
      <c r="BC102" s="848">
        <f ca="1">SUMIFS(Налоги!BB$25:BB$55,Налоги!$F$25:$F$55,$F102,Налоги!$AB$25:$AB$55,$G102)</f>
        <v>0</v>
      </c>
      <c r="BD102" s="848">
        <f t="shared" ca="1" si="9"/>
        <v>0</v>
      </c>
      <c r="BE102" s="848">
        <f t="shared" ca="1" si="10"/>
        <v>0</v>
      </c>
      <c r="BF102" s="848">
        <f t="shared" ca="1" si="11"/>
        <v>0</v>
      </c>
      <c r="BG102" s="848">
        <f t="shared" ca="1" si="12"/>
        <v>0</v>
      </c>
      <c r="BH102" s="848">
        <f t="shared" ca="1" si="13"/>
        <v>0</v>
      </c>
      <c r="BI102" s="848">
        <f t="shared" ca="1" si="14"/>
        <v>0</v>
      </c>
      <c r="BJ102" s="848">
        <f t="shared" ca="1" si="15"/>
        <v>0</v>
      </c>
      <c r="BK102" s="848">
        <f t="shared" ca="1" si="16"/>
        <v>0</v>
      </c>
      <c r="BL102" s="848">
        <f t="shared" ca="1" si="17"/>
        <v>0</v>
      </c>
      <c r="BM102" s="848">
        <f t="shared" ca="1" si="18"/>
        <v>0</v>
      </c>
      <c r="BN102" s="1156"/>
      <c r="BO102" s="1154" t="str">
        <f ca="1">IF(IFERROR(INDEX(Налоги!$K$26:$L$55,MATCH($F102&amp;"10komm",Налоги!$K$26:$K$55,0),2),"")=0,"",IFERROR(INDEX(Налоги!$K$26:$L$55,MATCH($F102&amp;"10komm",Налоги!$K$26:$K$55,0),2),""))</f>
        <v/>
      </c>
      <c r="BP102" s="1156"/>
      <c r="BS102" s="966" t="s">
        <v>1930</v>
      </c>
    </row>
    <row r="103" spans="2:75" ht="65.849999999999994" hidden="1" customHeight="1">
      <c r="E103" s="620">
        <v>67.5</v>
      </c>
      <c r="F103" s="3" cm="1">
        <f t="array" aca="1" ref="F103" ca="1">OFFSET(E103,-1,1)</f>
        <v>0</v>
      </c>
      <c r="G103" s="77" t="s">
        <v>1295</v>
      </c>
      <c r="I103" s="77" t="s">
        <v>843</v>
      </c>
      <c r="K103" s="77" t="s">
        <v>843</v>
      </c>
      <c r="L103" s="882"/>
      <c r="M103" s="26"/>
      <c r="T103" s="381" t="b" cm="1">
        <f t="array" aca="1" ref="T103" ca="1">T102</f>
        <v>0</v>
      </c>
      <c r="X103" s="1755"/>
      <c r="Z103" s="1735"/>
      <c r="AB103" s="215" t="s">
        <v>844</v>
      </c>
      <c r="AC103" s="696" t="s">
        <v>1298</v>
      </c>
      <c r="AD103" s="216" t="s">
        <v>766</v>
      </c>
      <c r="AE103" s="1157"/>
      <c r="AF103" s="1157"/>
      <c r="AG103" s="1157"/>
      <c r="AH103" s="848">
        <f t="shared" si="7"/>
        <v>0</v>
      </c>
      <c r="AI103" s="1158"/>
      <c r="AJ103" s="1511"/>
      <c r="AK103" s="1158"/>
      <c r="AL103" s="1158"/>
      <c r="AM103" s="1158"/>
      <c r="AN103" s="1158"/>
      <c r="AO103" s="1158"/>
      <c r="AP103" s="1158"/>
      <c r="AQ103" s="1158"/>
      <c r="AR103" s="1158"/>
      <c r="AS103" s="1158"/>
      <c r="AT103" s="1511"/>
      <c r="AU103" s="1158"/>
      <c r="AV103" s="1158"/>
      <c r="AW103" s="1158"/>
      <c r="AX103" s="1158"/>
      <c r="AY103" s="1158"/>
      <c r="AZ103" s="1158"/>
      <c r="BA103" s="1158"/>
      <c r="BB103" s="1158"/>
      <c r="BC103" s="1158"/>
      <c r="BD103" s="848">
        <f t="shared" si="9"/>
        <v>0</v>
      </c>
      <c r="BE103" s="848">
        <f t="shared" si="10"/>
        <v>0</v>
      </c>
      <c r="BF103" s="848">
        <f t="shared" si="11"/>
        <v>0</v>
      </c>
      <c r="BG103" s="848">
        <f t="shared" si="12"/>
        <v>0</v>
      </c>
      <c r="BH103" s="848">
        <f t="shared" si="13"/>
        <v>0</v>
      </c>
      <c r="BI103" s="848">
        <f t="shared" si="14"/>
        <v>0</v>
      </c>
      <c r="BJ103" s="848">
        <f t="shared" si="15"/>
        <v>0</v>
      </c>
      <c r="BK103" s="848">
        <f t="shared" si="16"/>
        <v>0</v>
      </c>
      <c r="BL103" s="848">
        <f t="shared" si="17"/>
        <v>0</v>
      </c>
      <c r="BM103" s="848">
        <f t="shared" si="18"/>
        <v>0</v>
      </c>
      <c r="BN103" s="1156"/>
      <c r="BO103" s="1156"/>
      <c r="BP103" s="1156"/>
      <c r="BS103" s="966" t="s">
        <v>1931</v>
      </c>
    </row>
    <row r="104" spans="2:75" ht="14.65" hidden="1" customHeight="1">
      <c r="E104" s="620">
        <v>15</v>
      </c>
      <c r="F104" s="3" cm="1">
        <f t="array" aca="1" ref="F104" ca="1">OFFSET(E104,-1,1)</f>
        <v>0</v>
      </c>
      <c r="G104" s="77" t="s">
        <v>919</v>
      </c>
      <c r="I104" s="77" t="s">
        <v>846</v>
      </c>
      <c r="K104" s="77" t="s">
        <v>846</v>
      </c>
      <c r="L104" s="882" t="s">
        <v>477</v>
      </c>
      <c r="M104" s="26"/>
      <c r="T104" s="381" t="b" cm="1">
        <f t="array" aca="1" ref="T104" ca="1">T103</f>
        <v>0</v>
      </c>
      <c r="X104" s="1755"/>
      <c r="Z104" s="1735"/>
      <c r="AB104" s="215" t="s">
        <v>847</v>
      </c>
      <c r="AC104" s="676" t="s">
        <v>919</v>
      </c>
      <c r="AD104" s="216" t="s">
        <v>766</v>
      </c>
      <c r="AE104" s="175">
        <f ca="1">SUMIFS(Аренда!AE$25:AE$47,Аренда!$F$25:$F$47,$F104,Аренда!$G$25:$G$47,"Арендная и концессионная плата, лизинговые платежи")</f>
        <v>0</v>
      </c>
      <c r="AF104" s="175">
        <f ca="1">SUMIFS(Аренда!AF$25:AF$47,Аренда!$F$25:$F$47,$F104,Аренда!$G$25:$G$47,"Арендная и концессионная плата, лизинговые платежи")</f>
        <v>0</v>
      </c>
      <c r="AG104" s="175">
        <f ca="1">SUMIFS(Аренда!AG$25:AG$47,Аренда!$F$25:$F$47,$F104,Аренда!$G$25:$G$47,"Арендная и концессионная плата, лизинговые платежи")</f>
        <v>0</v>
      </c>
      <c r="AH104" s="848">
        <f t="shared" ca="1" si="7"/>
        <v>0</v>
      </c>
      <c r="AI104" s="175">
        <f ca="1">SUMIFS(Аренда!AH$25:AH$47,Аренда!$F$25:$F$47,$F104,Аренда!$G$25:$G$47,"Арендная и концессионная плата, лизинговые платежи")</f>
        <v>0</v>
      </c>
      <c r="AJ104" s="175">
        <f ca="1">SUMIFS(Аренда!AI$25:AI$47,Аренда!$F$25:$F$47,$F104,Аренда!$G$25:$G$47,"Арендная и концессионная плата, лизинговые платежи")</f>
        <v>0</v>
      </c>
      <c r="AK104" s="175">
        <f ca="1">SUMIFS(Аренда!AJ$25:AJ$47,Аренда!$F$25:$F$47,$F104,Аренда!$G$25:$G$47,"Арендная и концессионная плата, лизинговые платежи")</f>
        <v>0</v>
      </c>
      <c r="AL104" s="175">
        <f ca="1">SUMIFS(Аренда!AK$25:AK$47,Аренда!$F$25:$F$47,$F104,Аренда!$G$25:$G$47,"Арендная и концессионная плата, лизинговые платежи")</f>
        <v>0</v>
      </c>
      <c r="AM104" s="175">
        <f ca="1">SUMIFS(Аренда!AL$25:AL$47,Аренда!$F$25:$F$47,$F104,Аренда!$G$25:$G$47,"Арендная и концессионная плата, лизинговые платежи")</f>
        <v>0</v>
      </c>
      <c r="AN104" s="175">
        <f ca="1">SUMIFS(Аренда!AM$25:AM$47,Аренда!$F$25:$F$47,$F104,Аренда!$G$25:$G$47,"Арендная и концессионная плата, лизинговые платежи")</f>
        <v>0</v>
      </c>
      <c r="AO104" s="175">
        <f ca="1">SUMIFS(Аренда!AN$25:AN$47,Аренда!$F$25:$F$47,$F104,Аренда!$G$25:$G$47,"Арендная и концессионная плата, лизинговые платежи")</f>
        <v>0</v>
      </c>
      <c r="AP104" s="175">
        <f ca="1">SUMIFS(Аренда!AO$25:AO$47,Аренда!$F$25:$F$47,$F104,Аренда!$G$25:$G$47,"Арендная и концессионная плата, лизинговые платежи")</f>
        <v>0</v>
      </c>
      <c r="AQ104" s="175">
        <f ca="1">SUMIFS(Аренда!AP$25:AP$47,Аренда!$F$25:$F$47,$F104,Аренда!$G$25:$G$47,"Арендная и концессионная плата, лизинговые платежи")</f>
        <v>0</v>
      </c>
      <c r="AR104" s="175">
        <f ca="1">SUMIFS(Аренда!AQ$25:AQ$47,Аренда!$F$25:$F$47,$F104,Аренда!$G$25:$G$47,"Арендная и концессионная плата, лизинговые платежи")</f>
        <v>0</v>
      </c>
      <c r="AS104" s="175">
        <f ca="1">SUMIFS(Аренда!AR$25:AR$47,Аренда!$F$25:$F$47,$F104,Аренда!$G$25:$G$47,"Арендная и концессионная плата, лизинговые платежи")</f>
        <v>0</v>
      </c>
      <c r="AT104" s="175">
        <f ca="1">SUMIFS(Аренда!AS$25:AS$47,Аренда!$F$25:$F$47,$F104,Аренда!$G$25:$G$47,"Арендная и концессионная плата, лизинговые платежи")</f>
        <v>0</v>
      </c>
      <c r="AU104" s="175">
        <f ca="1">SUMIFS(Аренда!AT$25:AT$47,Аренда!$F$25:$F$47,$F104,Аренда!$G$25:$G$47,"Арендная и концессионная плата, лизинговые платежи")</f>
        <v>0</v>
      </c>
      <c r="AV104" s="175">
        <f ca="1">SUMIFS(Аренда!AU$25:AU$47,Аренда!$F$25:$F$47,$F104,Аренда!$G$25:$G$47,"Арендная и концессионная плата, лизинговые платежи")</f>
        <v>0</v>
      </c>
      <c r="AW104" s="175">
        <f ca="1">SUMIFS(Аренда!AV$25:AV$47,Аренда!$F$25:$F$47,$F104,Аренда!$G$25:$G$47,"Арендная и концессионная плата, лизинговые платежи")</f>
        <v>0</v>
      </c>
      <c r="AX104" s="175">
        <f ca="1">SUMIFS(Аренда!AW$25:AW$47,Аренда!$F$25:$F$47,$F104,Аренда!$G$25:$G$47,"Арендная и концессионная плата, лизинговые платежи")</f>
        <v>0</v>
      </c>
      <c r="AY104" s="175">
        <f ca="1">SUMIFS(Аренда!AX$25:AX$47,Аренда!$F$25:$F$47,$F104,Аренда!$G$25:$G$47,"Арендная и концессионная плата, лизинговые платежи")</f>
        <v>0</v>
      </c>
      <c r="AZ104" s="175">
        <f ca="1">SUMIFS(Аренда!AY$25:AY$47,Аренда!$F$25:$F$47,$F104,Аренда!$G$25:$G$47,"Арендная и концессионная плата, лизинговые платежи")</f>
        <v>0</v>
      </c>
      <c r="BA104" s="175">
        <f ca="1">SUMIFS(Аренда!AZ$25:AZ$47,Аренда!$F$25:$F$47,$F104,Аренда!$G$25:$G$47,"Арендная и концессионная плата, лизинговые платежи")</f>
        <v>0</v>
      </c>
      <c r="BB104" s="175">
        <f ca="1">SUMIFS(Аренда!BA$25:BA$47,Аренда!$F$25:$F$47,$F104,Аренда!$G$25:$G$47,"Арендная и концессионная плата, лизинговые платежи")</f>
        <v>0</v>
      </c>
      <c r="BC104" s="175">
        <f ca="1">SUMIFS(Аренда!BB$25:BB$47,Аренда!$F$25:$F$47,$F104,Аренда!$G$25:$G$47,"Арендная и концессионная плата, лизинговые платежи")</f>
        <v>0</v>
      </c>
      <c r="BD104" s="848">
        <f t="shared" ca="1" si="9"/>
        <v>0</v>
      </c>
      <c r="BE104" s="848">
        <f t="shared" ca="1" si="10"/>
        <v>0</v>
      </c>
      <c r="BF104" s="848">
        <f t="shared" ca="1" si="11"/>
        <v>0</v>
      </c>
      <c r="BG104" s="848">
        <f t="shared" ca="1" si="12"/>
        <v>0</v>
      </c>
      <c r="BH104" s="848">
        <f t="shared" ca="1" si="13"/>
        <v>0</v>
      </c>
      <c r="BI104" s="848">
        <f t="shared" ca="1" si="14"/>
        <v>0</v>
      </c>
      <c r="BJ104" s="848">
        <f t="shared" ca="1" si="15"/>
        <v>0</v>
      </c>
      <c r="BK104" s="848">
        <f t="shared" ca="1" si="16"/>
        <v>0</v>
      </c>
      <c r="BL104" s="848">
        <f t="shared" ca="1" si="17"/>
        <v>0</v>
      </c>
      <c r="BM104" s="848">
        <f t="shared" ca="1" si="18"/>
        <v>0</v>
      </c>
      <c r="BN104" s="1156"/>
      <c r="BO104" s="1159" t="str">
        <f ca="1">IF(IFERROR(INDEX(Аренда!$K$26:$L$47,MATCH($F104&amp;"komm",Аренда!$K$26:$K$47,0),2),"")=0,"",IFERROR(INDEX(Аренда!$K$26:$L$47,MATCH($F104&amp;"komm",Аренда!$K$26:$K$47,0),2),""))</f>
        <v/>
      </c>
      <c r="BP104" s="1156"/>
      <c r="BS104" s="966" t="s">
        <v>1932</v>
      </c>
    </row>
    <row r="105" spans="2:75" ht="14.65" hidden="1" customHeight="1">
      <c r="B105" s="349" t="b">
        <f>STATUS_GO="да"</f>
        <v>1</v>
      </c>
      <c r="E105" s="620">
        <v>15</v>
      </c>
      <c r="F105" s="3" cm="1">
        <f t="array" aca="1" ref="F105" ca="1">OFFSET(E105,-1,1)</f>
        <v>0</v>
      </c>
      <c r="I105" s="77" t="s">
        <v>1933</v>
      </c>
      <c r="K105" s="77" t="s">
        <v>1933</v>
      </c>
      <c r="L105" s="882"/>
      <c r="M105" s="26"/>
      <c r="T105" s="381" t="b" cm="1">
        <f t="array" aca="1" ref="T105" ca="1">T104</f>
        <v>0</v>
      </c>
      <c r="X105" s="1755"/>
      <c r="Z105" s="1735"/>
      <c r="AB105" s="215" t="s">
        <v>1362</v>
      </c>
      <c r="AC105" s="676" t="s">
        <v>1934</v>
      </c>
      <c r="AD105" s="216" t="s">
        <v>766</v>
      </c>
      <c r="AE105" s="1155"/>
      <c r="AF105" s="1155"/>
      <c r="AG105" s="1155"/>
      <c r="AH105" s="848">
        <f t="shared" si="7"/>
        <v>0</v>
      </c>
      <c r="AI105" s="1153"/>
      <c r="AJ105" s="1510"/>
      <c r="AK105" s="1153"/>
      <c r="AL105" s="1153"/>
      <c r="AM105" s="1153"/>
      <c r="AN105" s="1153"/>
      <c r="AO105" s="1153"/>
      <c r="AP105" s="1153"/>
      <c r="AQ105" s="1153"/>
      <c r="AR105" s="1153"/>
      <c r="AS105" s="1153"/>
      <c r="AT105" s="1510"/>
      <c r="AU105" s="1153"/>
      <c r="AV105" s="1153"/>
      <c r="AW105" s="1153"/>
      <c r="AX105" s="1153"/>
      <c r="AY105" s="1153"/>
      <c r="AZ105" s="1153"/>
      <c r="BA105" s="1153"/>
      <c r="BB105" s="1153"/>
      <c r="BC105" s="1153"/>
      <c r="BD105" s="848">
        <f t="shared" si="9"/>
        <v>0</v>
      </c>
      <c r="BE105" s="848">
        <f t="shared" si="10"/>
        <v>0</v>
      </c>
      <c r="BF105" s="848">
        <f t="shared" si="11"/>
        <v>0</v>
      </c>
      <c r="BG105" s="848">
        <f t="shared" si="12"/>
        <v>0</v>
      </c>
      <c r="BH105" s="848">
        <f t="shared" si="13"/>
        <v>0</v>
      </c>
      <c r="BI105" s="848">
        <f t="shared" si="14"/>
        <v>0</v>
      </c>
      <c r="BJ105" s="848">
        <f t="shared" si="15"/>
        <v>0</v>
      </c>
      <c r="BK105" s="848">
        <f t="shared" si="16"/>
        <v>0</v>
      </c>
      <c r="BL105" s="848">
        <f t="shared" si="17"/>
        <v>0</v>
      </c>
      <c r="BM105" s="848">
        <f t="shared" si="18"/>
        <v>0</v>
      </c>
      <c r="BN105" s="1156"/>
      <c r="BO105" s="1156"/>
      <c r="BP105" s="1156"/>
      <c r="BS105" s="966" t="s">
        <v>1935</v>
      </c>
    </row>
    <row r="106" spans="2:75" ht="14.65" hidden="1" customHeight="1">
      <c r="B106" s="349" t="b">
        <f>STATUS_GO="да"</f>
        <v>1</v>
      </c>
      <c r="E106" s="620">
        <v>15</v>
      </c>
      <c r="F106" s="3" cm="1">
        <f t="array" aca="1" ref="F106" ca="1">OFFSET(E106,-1,1)</f>
        <v>0</v>
      </c>
      <c r="G106" s="77" t="s">
        <v>1304</v>
      </c>
      <c r="I106" s="77" t="s">
        <v>1936</v>
      </c>
      <c r="K106" s="77" t="s">
        <v>1936</v>
      </c>
      <c r="L106" s="882"/>
      <c r="M106" s="26"/>
      <c r="T106" s="381" t="b" cm="1">
        <f t="array" aca="1" ref="T106" ca="1">T105</f>
        <v>0</v>
      </c>
      <c r="X106" s="1755"/>
      <c r="Z106" s="1735"/>
      <c r="AB106" s="215" t="s">
        <v>1937</v>
      </c>
      <c r="AC106" s="679" t="s">
        <v>1304</v>
      </c>
      <c r="AD106" s="216" t="s">
        <v>766</v>
      </c>
      <c r="AE106" s="1155"/>
      <c r="AF106" s="1155"/>
      <c r="AG106" s="1155"/>
      <c r="AH106" s="848">
        <f t="shared" si="7"/>
        <v>0</v>
      </c>
      <c r="AI106" s="1153"/>
      <c r="AJ106" s="1510"/>
      <c r="AK106" s="1153"/>
      <c r="AL106" s="1153"/>
      <c r="AM106" s="1153"/>
      <c r="AN106" s="1153"/>
      <c r="AO106" s="1153"/>
      <c r="AP106" s="1153"/>
      <c r="AQ106" s="1153"/>
      <c r="AR106" s="1153"/>
      <c r="AS106" s="1153"/>
      <c r="AT106" s="1510"/>
      <c r="AU106" s="1153"/>
      <c r="AV106" s="1153"/>
      <c r="AW106" s="1153"/>
      <c r="AX106" s="1153"/>
      <c r="AY106" s="1153"/>
      <c r="AZ106" s="1153"/>
      <c r="BA106" s="1153"/>
      <c r="BB106" s="1153"/>
      <c r="BC106" s="1153"/>
      <c r="BD106" s="848">
        <f t="shared" si="9"/>
        <v>0</v>
      </c>
      <c r="BE106" s="848">
        <f t="shared" si="10"/>
        <v>0</v>
      </c>
      <c r="BF106" s="848">
        <f t="shared" si="11"/>
        <v>0</v>
      </c>
      <c r="BG106" s="848">
        <f t="shared" si="12"/>
        <v>0</v>
      </c>
      <c r="BH106" s="848">
        <f t="shared" si="13"/>
        <v>0</v>
      </c>
      <c r="BI106" s="848">
        <f t="shared" si="14"/>
        <v>0</v>
      </c>
      <c r="BJ106" s="848">
        <f t="shared" si="15"/>
        <v>0</v>
      </c>
      <c r="BK106" s="848">
        <f t="shared" si="16"/>
        <v>0</v>
      </c>
      <c r="BL106" s="848">
        <f t="shared" si="17"/>
        <v>0</v>
      </c>
      <c r="BM106" s="848">
        <f t="shared" si="18"/>
        <v>0</v>
      </c>
      <c r="BN106" s="1156"/>
      <c r="BO106" s="1159" t="str">
        <f ca="1">IF(IFERROR(INDEX('Сбытовые расходы ГО'!$K$26:$M$51,MATCH($F106&amp;"komm",'Сбытовые расходы ГО'!$K$26:$K$51,0),2),"")=0,"",IFERROR(INDEX('Сбытовые расходы ГО'!$K$26:$M$51,MATCH($F106&amp;"komm",'Сбытовые расходы ГО'!$K$26:$K$51,0),2),""))</f>
        <v/>
      </c>
      <c r="BP106" s="1156"/>
      <c r="BS106" s="966" t="s">
        <v>1938</v>
      </c>
    </row>
    <row r="107" spans="2:75" ht="14.65" hidden="1" customHeight="1">
      <c r="E107" s="620">
        <v>15</v>
      </c>
      <c r="F107" s="3" cm="1">
        <f t="array" aca="1" ref="F107" ca="1">OFFSET(E107,-1,1)</f>
        <v>0</v>
      </c>
      <c r="G107" s="77" t="s">
        <v>1309</v>
      </c>
      <c r="I107" s="77" t="s">
        <v>1939</v>
      </c>
      <c r="K107" s="77" t="s">
        <v>1939</v>
      </c>
      <c r="L107" s="882"/>
      <c r="M107" s="26"/>
      <c r="T107" s="381" t="b" cm="1">
        <f t="array" aca="1" ref="T107" ca="1">T106</f>
        <v>0</v>
      </c>
      <c r="X107" s="1755"/>
      <c r="Z107" s="1735"/>
      <c r="AB107" s="215" t="s">
        <v>1367</v>
      </c>
      <c r="AC107" s="676" t="s">
        <v>1309</v>
      </c>
      <c r="AD107" s="216" t="s">
        <v>766</v>
      </c>
      <c r="AE107" s="1155"/>
      <c r="AF107" s="1155"/>
      <c r="AG107" s="1155"/>
      <c r="AH107" s="848">
        <f t="shared" si="7"/>
        <v>0</v>
      </c>
      <c r="AI107" s="1153"/>
      <c r="AJ107" s="1510">
        <f ca="1">SUMIFS(Экономия_корр!AE$25:AE$43,Экономия_корр!$F$25:$F$43,$F107,Экономия_корр!$AC$25:$AC$43,"Экономия расходов с учетом ИПЦ")</f>
        <v>0</v>
      </c>
      <c r="AK107" s="1153">
        <f ca="1">SUMIFS(Экономия_корр!AF$25:AF$43,Экономия_корр!$F$25:$F$43,$F107,Экономия_корр!$AC$25:$AC$43,"Экономия расходов с учетом ИПЦ")</f>
        <v>0</v>
      </c>
      <c r="AL107" s="1153">
        <f ca="1">SUMIFS(Экономия_корр!AG$25:AG$43,Экономия_корр!$F$25:$F$43,$F107,Экономия_корр!$AC$25:$AC$43,"Экономия расходов с учетом ИПЦ")</f>
        <v>0</v>
      </c>
      <c r="AM107" s="1153">
        <f ca="1">SUMIFS(Экономия_корр!AH$25:AH$43,Экономия_корр!$F$25:$F$43,$F107,Экономия_корр!$AC$25:$AC$43,"Экономия расходов с учетом ИПЦ")</f>
        <v>0</v>
      </c>
      <c r="AN107" s="1153">
        <f ca="1">SUMIFS(Экономия_корр!AI$25:AI$43,Экономия_корр!$F$25:$F$43,$F107,Экономия_корр!$AC$25:$AC$43,"Экономия расходов с учетом ИПЦ")</f>
        <v>0</v>
      </c>
      <c r="AO107" s="1153">
        <f ca="1">SUMIFS(Экономия_корр!AJ$25:AJ$43,Экономия_корр!$F$25:$F$43,$F107,Экономия_корр!$AC$25:$AC$43,"Экономия расходов с учетом ИПЦ")</f>
        <v>0</v>
      </c>
      <c r="AP107" s="1153">
        <f ca="1">SUMIFS(Экономия_корр!AK$25:AK$43,Экономия_корр!$F$25:$F$43,$F107,Экономия_корр!$AC$25:$AC$43,"Экономия расходов с учетом ИПЦ")</f>
        <v>0</v>
      </c>
      <c r="AQ107" s="1153">
        <f ca="1">SUMIFS(Экономия_корр!AL$25:AL$43,Экономия_корр!$F$25:$F$43,$F107,Экономия_корр!$AC$25:$AC$43,"Экономия расходов с учетом ИПЦ")</f>
        <v>0</v>
      </c>
      <c r="AR107" s="1153">
        <f ca="1">SUMIFS(Экономия_корр!AM$25:AM$43,Экономия_корр!$F$25:$F$43,$F107,Экономия_корр!$AC$25:$AC$43,"Экономия расходов с учетом ИПЦ")</f>
        <v>0</v>
      </c>
      <c r="AS107" s="1153">
        <f ca="1">SUMIFS(Экономия_корр!AN$25:AN$43,Экономия_корр!$F$25:$F$43,$F107,Экономия_корр!$AC$25:$AC$43,"Экономия расходов с учетом ИПЦ")</f>
        <v>0</v>
      </c>
      <c r="AT107" s="1510">
        <f ca="1">SUMIFS(Экономия_корр!AO$25:AO$43,Экономия_корр!$F$25:$F$43,$F107,Экономия_корр!$AC$25:$AC$43,"Экономия расходов с учетом ИПЦ")</f>
        <v>0</v>
      </c>
      <c r="AU107" s="1153">
        <f ca="1">SUMIFS(Экономия_корр!AP$25:AP$43,Экономия_корр!$F$25:$F$43,$F107,Экономия_корр!$AC$25:$AC$43,"Экономия расходов с учетом ИПЦ")</f>
        <v>0</v>
      </c>
      <c r="AV107" s="1153">
        <f ca="1">SUMIFS(Экономия_корр!AQ$25:AQ$43,Экономия_корр!$F$25:$F$43,$F107,Экономия_корр!$AC$25:$AC$43,"Экономия расходов с учетом ИПЦ")</f>
        <v>0</v>
      </c>
      <c r="AW107" s="1153">
        <f ca="1">SUMIFS(Экономия_корр!AR$25:AR$43,Экономия_корр!$F$25:$F$43,$F107,Экономия_корр!$AC$25:$AC$43,"Экономия расходов с учетом ИПЦ")</f>
        <v>0</v>
      </c>
      <c r="AX107" s="1153">
        <f ca="1">SUMIFS(Экономия_корр!AS$25:AS$43,Экономия_корр!$F$25:$F$43,$F107,Экономия_корр!$AC$25:$AC$43,"Экономия расходов с учетом ИПЦ")</f>
        <v>0</v>
      </c>
      <c r="AY107" s="1153">
        <f ca="1">SUMIFS(Экономия_корр!AT$25:AT$43,Экономия_корр!$F$25:$F$43,$F107,Экономия_корр!$AC$25:$AC$43,"Экономия расходов с учетом ИПЦ")</f>
        <v>0</v>
      </c>
      <c r="AZ107" s="1153">
        <f ca="1">SUMIFS(Экономия_корр!AU$25:AU$43,Экономия_корр!$F$25:$F$43,$F107,Экономия_корр!$AC$25:$AC$43,"Экономия расходов с учетом ИПЦ")</f>
        <v>0</v>
      </c>
      <c r="BA107" s="1153">
        <f ca="1">SUMIFS(Экономия_корр!AV$25:AV$43,Экономия_корр!$F$25:$F$43,$F107,Экономия_корр!$AC$25:$AC$43,"Экономия расходов с учетом ИПЦ")</f>
        <v>0</v>
      </c>
      <c r="BB107" s="1153">
        <f ca="1">SUMIFS(Экономия_корр!AW$25:AW$43,Экономия_корр!$F$25:$F$43,$F107,Экономия_корр!$AC$25:$AC$43,"Экономия расходов с учетом ИПЦ")</f>
        <v>0</v>
      </c>
      <c r="BC107" s="1153">
        <f ca="1">SUMIFS(Экономия_корр!AX$25:AX$43,Экономия_корр!$F$25:$F$43,$F107,Экономия_корр!$AC$25:$AC$43,"Экономия расходов с учетом ИПЦ")</f>
        <v>0</v>
      </c>
      <c r="BD107" s="848">
        <f t="shared" si="9"/>
        <v>0</v>
      </c>
      <c r="BE107" s="848">
        <f t="shared" ca="1" si="10"/>
        <v>0</v>
      </c>
      <c r="BF107" s="848">
        <f t="shared" ca="1" si="11"/>
        <v>0</v>
      </c>
      <c r="BG107" s="848">
        <f t="shared" ca="1" si="12"/>
        <v>0</v>
      </c>
      <c r="BH107" s="848">
        <f t="shared" ca="1" si="13"/>
        <v>0</v>
      </c>
      <c r="BI107" s="848">
        <f t="shared" ca="1" si="14"/>
        <v>0</v>
      </c>
      <c r="BJ107" s="848">
        <f t="shared" ca="1" si="15"/>
        <v>0</v>
      </c>
      <c r="BK107" s="848">
        <f t="shared" ca="1" si="16"/>
        <v>0</v>
      </c>
      <c r="BL107" s="848">
        <f t="shared" ca="1" si="17"/>
        <v>0</v>
      </c>
      <c r="BM107" s="848">
        <f t="shared" ca="1" si="18"/>
        <v>0</v>
      </c>
      <c r="BN107" s="1156"/>
      <c r="BO107" s="1156"/>
      <c r="BP107" s="1156"/>
      <c r="BS107" s="966" t="s">
        <v>1940</v>
      </c>
    </row>
    <row r="108" spans="2:75" ht="14.65" hidden="1" customHeight="1">
      <c r="E108" s="620">
        <v>15</v>
      </c>
      <c r="F108" s="3" cm="1">
        <f t="array" aca="1" ref="F108" ca="1">OFFSET(E108,-1,1)</f>
        <v>0</v>
      </c>
      <c r="G108" s="77" t="s">
        <v>1314</v>
      </c>
      <c r="I108" s="77" t="s">
        <v>1941</v>
      </c>
      <c r="K108" s="77" t="s">
        <v>1941</v>
      </c>
      <c r="L108" s="882"/>
      <c r="M108" s="26"/>
      <c r="T108" s="381" t="b" cm="1">
        <f t="array" aca="1" ref="T108" ca="1">T107</f>
        <v>0</v>
      </c>
      <c r="X108" s="1755"/>
      <c r="Z108" s="1735"/>
      <c r="AB108" s="215" t="s">
        <v>1942</v>
      </c>
      <c r="AC108" s="676" t="s">
        <v>1314</v>
      </c>
      <c r="AD108" s="216" t="s">
        <v>766</v>
      </c>
      <c r="AE108" s="1155"/>
      <c r="AF108" s="1155"/>
      <c r="AG108" s="1155"/>
      <c r="AH108" s="848">
        <f t="shared" si="7"/>
        <v>0</v>
      </c>
      <c r="AI108" s="1153"/>
      <c r="AJ108" s="1510"/>
      <c r="AK108" s="1153"/>
      <c r="AL108" s="1153"/>
      <c r="AM108" s="1153"/>
      <c r="AN108" s="1153"/>
      <c r="AO108" s="1153"/>
      <c r="AP108" s="1153"/>
      <c r="AQ108" s="1153"/>
      <c r="AR108" s="1153"/>
      <c r="AS108" s="1153"/>
      <c r="AT108" s="1510"/>
      <c r="AU108" s="1153"/>
      <c r="AV108" s="1153"/>
      <c r="AW108" s="1153"/>
      <c r="AX108" s="1153"/>
      <c r="AY108" s="1153"/>
      <c r="AZ108" s="1153"/>
      <c r="BA108" s="1153"/>
      <c r="BB108" s="1153"/>
      <c r="BC108" s="1153"/>
      <c r="BD108" s="848">
        <f t="shared" si="9"/>
        <v>0</v>
      </c>
      <c r="BE108" s="848">
        <f t="shared" si="10"/>
        <v>0</v>
      </c>
      <c r="BF108" s="848">
        <f t="shared" si="11"/>
        <v>0</v>
      </c>
      <c r="BG108" s="848">
        <f t="shared" si="12"/>
        <v>0</v>
      </c>
      <c r="BH108" s="848">
        <f t="shared" si="13"/>
        <v>0</v>
      </c>
      <c r="BI108" s="848">
        <f t="shared" si="14"/>
        <v>0</v>
      </c>
      <c r="BJ108" s="848">
        <f t="shared" si="15"/>
        <v>0</v>
      </c>
      <c r="BK108" s="848">
        <f t="shared" si="16"/>
        <v>0</v>
      </c>
      <c r="BL108" s="848">
        <f t="shared" si="17"/>
        <v>0</v>
      </c>
      <c r="BM108" s="848">
        <f t="shared" si="18"/>
        <v>0</v>
      </c>
      <c r="BN108" s="1156"/>
      <c r="BO108" s="1156"/>
      <c r="BP108" s="1156"/>
      <c r="BS108" s="966" t="s">
        <v>1664</v>
      </c>
    </row>
    <row r="109" spans="2:75" ht="14.65" hidden="1" customHeight="1">
      <c r="E109" s="620">
        <v>15</v>
      </c>
      <c r="F109" s="3" cm="1">
        <f t="array" aca="1" ref="F109" ca="1">OFFSET(E109,-1,1)</f>
        <v>0</v>
      </c>
      <c r="G109" s="77" t="s">
        <v>1319</v>
      </c>
      <c r="I109" s="77" t="s">
        <v>1943</v>
      </c>
      <c r="K109" s="77" t="s">
        <v>1943</v>
      </c>
      <c r="L109" s="882"/>
      <c r="M109" s="26"/>
      <c r="T109" s="381" t="b" cm="1">
        <f t="array" aca="1" ref="T109" ca="1">T108</f>
        <v>0</v>
      </c>
      <c r="X109" s="1755"/>
      <c r="Z109" s="1735"/>
      <c r="AB109" s="215" t="s">
        <v>1386</v>
      </c>
      <c r="AC109" s="676" t="s">
        <v>1319</v>
      </c>
      <c r="AD109" s="216" t="s">
        <v>766</v>
      </c>
      <c r="AE109" s="1155"/>
      <c r="AF109" s="1155"/>
      <c r="AG109" s="1155"/>
      <c r="AH109" s="848">
        <f t="shared" si="7"/>
        <v>0</v>
      </c>
      <c r="AI109" s="1153"/>
      <c r="AJ109" s="1510"/>
      <c r="AK109" s="1153"/>
      <c r="AL109" s="1153"/>
      <c r="AM109" s="1153"/>
      <c r="AN109" s="1153"/>
      <c r="AO109" s="1153"/>
      <c r="AP109" s="1153"/>
      <c r="AQ109" s="1153"/>
      <c r="AR109" s="1153"/>
      <c r="AS109" s="1153"/>
      <c r="AT109" s="1510"/>
      <c r="AU109" s="1153"/>
      <c r="AV109" s="1153"/>
      <c r="AW109" s="1153"/>
      <c r="AX109" s="1153"/>
      <c r="AY109" s="1153"/>
      <c r="AZ109" s="1153"/>
      <c r="BA109" s="1153"/>
      <c r="BB109" s="1153"/>
      <c r="BC109" s="1153"/>
      <c r="BD109" s="848">
        <f t="shared" si="9"/>
        <v>0</v>
      </c>
      <c r="BE109" s="848">
        <f t="shared" si="10"/>
        <v>0</v>
      </c>
      <c r="BF109" s="848">
        <f t="shared" si="11"/>
        <v>0</v>
      </c>
      <c r="BG109" s="848">
        <f t="shared" si="12"/>
        <v>0</v>
      </c>
      <c r="BH109" s="848">
        <f t="shared" si="13"/>
        <v>0</v>
      </c>
      <c r="BI109" s="848">
        <f t="shared" si="14"/>
        <v>0</v>
      </c>
      <c r="BJ109" s="848">
        <f t="shared" si="15"/>
        <v>0</v>
      </c>
      <c r="BK109" s="848">
        <f t="shared" si="16"/>
        <v>0</v>
      </c>
      <c r="BL109" s="848">
        <f t="shared" si="17"/>
        <v>0</v>
      </c>
      <c r="BM109" s="848">
        <f t="shared" si="18"/>
        <v>0</v>
      </c>
      <c r="BN109" s="1156"/>
      <c r="BO109" s="1156"/>
      <c r="BP109" s="1156"/>
      <c r="BS109" s="966" t="s">
        <v>1944</v>
      </c>
    </row>
    <row r="110" spans="2:75" ht="14.65" hidden="1" customHeight="1">
      <c r="E110" s="620">
        <v>15</v>
      </c>
      <c r="F110" s="3" cm="1">
        <f t="array" aca="1" ref="F110" ca="1">OFFSET(E110,-1,1)</f>
        <v>0</v>
      </c>
      <c r="G110" s="77" t="s">
        <v>1324</v>
      </c>
      <c r="I110" s="77" t="s">
        <v>1945</v>
      </c>
      <c r="K110" s="77" t="s">
        <v>1945</v>
      </c>
      <c r="L110" s="882"/>
      <c r="M110" s="26"/>
      <c r="T110" s="381" t="b" cm="1">
        <f t="array" aca="1" ref="T110" ca="1">T109</f>
        <v>0</v>
      </c>
      <c r="X110" s="1755"/>
      <c r="Z110" s="1735"/>
      <c r="AB110" s="215" t="s">
        <v>1390</v>
      </c>
      <c r="AC110" s="676" t="s">
        <v>1324</v>
      </c>
      <c r="AD110" s="216" t="s">
        <v>766</v>
      </c>
      <c r="AE110" s="265">
        <f>SUM(AE111,AE112)</f>
        <v>0</v>
      </c>
      <c r="AF110" s="175">
        <f>SUM(AF111,AF112)</f>
        <v>0</v>
      </c>
      <c r="AG110" s="175">
        <f>SUM(AG111,AG112)</f>
        <v>0</v>
      </c>
      <c r="AH110" s="848">
        <f t="shared" si="7"/>
        <v>0</v>
      </c>
      <c r="AI110" s="848">
        <f t="shared" ref="AI110:BC110" si="21">SUM(AI111,AI112)</f>
        <v>0</v>
      </c>
      <c r="AJ110" s="849">
        <f t="shared" si="21"/>
        <v>0</v>
      </c>
      <c r="AK110" s="848">
        <f t="shared" si="21"/>
        <v>0</v>
      </c>
      <c r="AL110" s="848">
        <f t="shared" si="21"/>
        <v>0</v>
      </c>
      <c r="AM110" s="848">
        <f t="shared" si="21"/>
        <v>0</v>
      </c>
      <c r="AN110" s="848">
        <f t="shared" si="21"/>
        <v>0</v>
      </c>
      <c r="AO110" s="848">
        <f t="shared" si="21"/>
        <v>0</v>
      </c>
      <c r="AP110" s="848">
        <f t="shared" si="21"/>
        <v>0</v>
      </c>
      <c r="AQ110" s="848">
        <f t="shared" si="21"/>
        <v>0</v>
      </c>
      <c r="AR110" s="848">
        <f t="shared" si="21"/>
        <v>0</v>
      </c>
      <c r="AS110" s="848">
        <f t="shared" si="21"/>
        <v>0</v>
      </c>
      <c r="AT110" s="849">
        <f t="shared" si="21"/>
        <v>0</v>
      </c>
      <c r="AU110" s="848">
        <f t="shared" si="21"/>
        <v>0</v>
      </c>
      <c r="AV110" s="848">
        <f t="shared" si="21"/>
        <v>0</v>
      </c>
      <c r="AW110" s="848">
        <f t="shared" si="21"/>
        <v>0</v>
      </c>
      <c r="AX110" s="848">
        <f t="shared" si="21"/>
        <v>0</v>
      </c>
      <c r="AY110" s="848">
        <f t="shared" si="21"/>
        <v>0</v>
      </c>
      <c r="AZ110" s="848">
        <f t="shared" si="21"/>
        <v>0</v>
      </c>
      <c r="BA110" s="848">
        <f t="shared" si="21"/>
        <v>0</v>
      </c>
      <c r="BB110" s="848">
        <f t="shared" si="21"/>
        <v>0</v>
      </c>
      <c r="BC110" s="848">
        <f t="shared" si="21"/>
        <v>0</v>
      </c>
      <c r="BD110" s="848">
        <f t="shared" si="9"/>
        <v>0</v>
      </c>
      <c r="BE110" s="848">
        <f t="shared" si="10"/>
        <v>0</v>
      </c>
      <c r="BF110" s="848">
        <f t="shared" si="11"/>
        <v>0</v>
      </c>
      <c r="BG110" s="848">
        <f t="shared" si="12"/>
        <v>0</v>
      </c>
      <c r="BH110" s="848">
        <f t="shared" si="13"/>
        <v>0</v>
      </c>
      <c r="BI110" s="848">
        <f t="shared" si="14"/>
        <v>0</v>
      </c>
      <c r="BJ110" s="848">
        <f t="shared" si="15"/>
        <v>0</v>
      </c>
      <c r="BK110" s="848">
        <f t="shared" si="16"/>
        <v>0</v>
      </c>
      <c r="BL110" s="848">
        <f t="shared" si="17"/>
        <v>0</v>
      </c>
      <c r="BM110" s="848">
        <f t="shared" si="18"/>
        <v>0</v>
      </c>
      <c r="BN110" s="1156"/>
      <c r="BO110" s="1156"/>
      <c r="BP110" s="1156"/>
      <c r="BS110" s="966" t="s">
        <v>1946</v>
      </c>
    </row>
    <row r="111" spans="2:75" ht="14.65" hidden="1" customHeight="1">
      <c r="E111" s="620">
        <v>15</v>
      </c>
      <c r="F111" s="3" cm="1">
        <f t="array" aca="1" ref="F111" ca="1">OFFSET(E111,-1,1)</f>
        <v>0</v>
      </c>
      <c r="I111" s="77" t="s">
        <v>1947</v>
      </c>
      <c r="K111" s="77" t="s">
        <v>1947</v>
      </c>
      <c r="L111" s="882"/>
      <c r="M111" s="26"/>
      <c r="T111" s="381" t="b" cm="1">
        <f t="array" aca="1" ref="T111" ca="1">T110</f>
        <v>0</v>
      </c>
      <c r="X111" s="1755"/>
      <c r="Z111" s="1735"/>
      <c r="AB111" s="215" t="s">
        <v>1948</v>
      </c>
      <c r="AC111" s="679" t="s">
        <v>1949</v>
      </c>
      <c r="AD111" s="216" t="s">
        <v>766</v>
      </c>
      <c r="AE111" s="1155"/>
      <c r="AF111" s="1155"/>
      <c r="AG111" s="1155"/>
      <c r="AH111" s="848">
        <f t="shared" si="7"/>
        <v>0</v>
      </c>
      <c r="AI111" s="1153"/>
      <c r="AJ111" s="1510"/>
      <c r="AK111" s="1153"/>
      <c r="AL111" s="1153"/>
      <c r="AM111" s="1153"/>
      <c r="AN111" s="1153"/>
      <c r="AO111" s="1153"/>
      <c r="AP111" s="1153"/>
      <c r="AQ111" s="1153"/>
      <c r="AR111" s="1153"/>
      <c r="AS111" s="1153"/>
      <c r="AT111" s="1510"/>
      <c r="AU111" s="1153"/>
      <c r="AV111" s="1153"/>
      <c r="AW111" s="1153"/>
      <c r="AX111" s="1153"/>
      <c r="AY111" s="1153"/>
      <c r="AZ111" s="1153"/>
      <c r="BA111" s="1153"/>
      <c r="BB111" s="1153"/>
      <c r="BC111" s="1153"/>
      <c r="BD111" s="848">
        <f t="shared" si="9"/>
        <v>0</v>
      </c>
      <c r="BE111" s="848">
        <f t="shared" si="10"/>
        <v>0</v>
      </c>
      <c r="BF111" s="848">
        <f t="shared" si="11"/>
        <v>0</v>
      </c>
      <c r="BG111" s="848">
        <f t="shared" si="12"/>
        <v>0</v>
      </c>
      <c r="BH111" s="848">
        <f t="shared" si="13"/>
        <v>0</v>
      </c>
      <c r="BI111" s="848">
        <f t="shared" si="14"/>
        <v>0</v>
      </c>
      <c r="BJ111" s="848">
        <f t="shared" si="15"/>
        <v>0</v>
      </c>
      <c r="BK111" s="848">
        <f t="shared" si="16"/>
        <v>0</v>
      </c>
      <c r="BL111" s="848">
        <f t="shared" si="17"/>
        <v>0</v>
      </c>
      <c r="BM111" s="848">
        <f t="shared" si="18"/>
        <v>0</v>
      </c>
      <c r="BN111" s="1156"/>
      <c r="BO111" s="1156"/>
      <c r="BP111" s="1156"/>
      <c r="BS111" s="966" t="s">
        <v>1117</v>
      </c>
    </row>
    <row r="112" spans="2:75" ht="14.65" hidden="1" customHeight="1">
      <c r="E112" s="620">
        <v>15</v>
      </c>
      <c r="F112" s="3" cm="1">
        <f t="array" aca="1" ref="F112" ca="1">OFFSET(E112,-1,1)</f>
        <v>0</v>
      </c>
      <c r="I112" s="77" t="s">
        <v>1950</v>
      </c>
      <c r="K112" s="77" t="s">
        <v>1950</v>
      </c>
      <c r="L112" s="882" t="s">
        <v>833</v>
      </c>
      <c r="M112" s="26"/>
      <c r="T112" s="381" t="b" cm="1">
        <f t="array" aca="1" ref="T112" ca="1">T111</f>
        <v>0</v>
      </c>
      <c r="X112" s="1755"/>
      <c r="Z112" s="1735"/>
      <c r="AB112" s="215" t="s">
        <v>1951</v>
      </c>
      <c r="AC112" s="679" t="s">
        <v>1952</v>
      </c>
      <c r="AD112" s="216" t="s">
        <v>766</v>
      </c>
      <c r="AE112" s="1155"/>
      <c r="AF112" s="1155"/>
      <c r="AG112" s="1155"/>
      <c r="AH112" s="848">
        <f t="shared" si="7"/>
        <v>0</v>
      </c>
      <c r="AI112" s="1153"/>
      <c r="AJ112" s="1510"/>
      <c r="AK112" s="1153"/>
      <c r="AL112" s="1153"/>
      <c r="AM112" s="1153"/>
      <c r="AN112" s="1153"/>
      <c r="AO112" s="1153"/>
      <c r="AP112" s="1153"/>
      <c r="AQ112" s="1153"/>
      <c r="AR112" s="1153"/>
      <c r="AS112" s="1153"/>
      <c r="AT112" s="1510"/>
      <c r="AU112" s="1153"/>
      <c r="AV112" s="1153"/>
      <c r="AW112" s="1153"/>
      <c r="AX112" s="1153"/>
      <c r="AY112" s="1153"/>
      <c r="AZ112" s="1153"/>
      <c r="BA112" s="1153"/>
      <c r="BB112" s="1153"/>
      <c r="BC112" s="1153"/>
      <c r="BD112" s="848">
        <f t="shared" si="9"/>
        <v>0</v>
      </c>
      <c r="BE112" s="848">
        <f t="shared" si="10"/>
        <v>0</v>
      </c>
      <c r="BF112" s="848">
        <f t="shared" si="11"/>
        <v>0</v>
      </c>
      <c r="BG112" s="848">
        <f t="shared" si="12"/>
        <v>0</v>
      </c>
      <c r="BH112" s="848">
        <f t="shared" si="13"/>
        <v>0</v>
      </c>
      <c r="BI112" s="848">
        <f t="shared" si="14"/>
        <v>0</v>
      </c>
      <c r="BJ112" s="848">
        <f t="shared" si="15"/>
        <v>0</v>
      </c>
      <c r="BK112" s="848">
        <f t="shared" si="16"/>
        <v>0</v>
      </c>
      <c r="BL112" s="848">
        <f t="shared" si="17"/>
        <v>0</v>
      </c>
      <c r="BM112" s="848">
        <f t="shared" si="18"/>
        <v>0</v>
      </c>
      <c r="BN112" s="1156"/>
      <c r="BO112" s="1156"/>
      <c r="BP112" s="1156"/>
      <c r="BS112" s="966" t="s">
        <v>1953</v>
      </c>
    </row>
    <row r="113" spans="2:75" ht="21.95" hidden="1" customHeight="1">
      <c r="E113" s="620">
        <v>22.5</v>
      </c>
      <c r="F113" s="3" cm="1">
        <f t="array" aca="1" ref="F113" ca="1">OFFSET(E113,-1,1)</f>
        <v>0</v>
      </c>
      <c r="G113" s="77" t="s">
        <v>1329</v>
      </c>
      <c r="I113" s="77" t="s">
        <v>1954</v>
      </c>
      <c r="K113" s="77" t="s">
        <v>1954</v>
      </c>
      <c r="L113" s="882"/>
      <c r="M113" s="26"/>
      <c r="T113" s="381" t="b" cm="1">
        <f t="array" aca="1" ref="T113" ca="1">T112</f>
        <v>0</v>
      </c>
      <c r="X113" s="1755"/>
      <c r="Z113" s="1735"/>
      <c r="AB113" s="215" t="s">
        <v>1393</v>
      </c>
      <c r="AC113" s="676" t="s">
        <v>1955</v>
      </c>
      <c r="AD113" s="216" t="s">
        <v>766</v>
      </c>
      <c r="AE113" s="1155"/>
      <c r="AF113" s="1155"/>
      <c r="AG113" s="1155"/>
      <c r="AH113" s="848">
        <f t="shared" si="7"/>
        <v>0</v>
      </c>
      <c r="AI113" s="1153"/>
      <c r="AJ113" s="1510"/>
      <c r="AK113" s="1153"/>
      <c r="AL113" s="1153"/>
      <c r="AM113" s="1153"/>
      <c r="AN113" s="1153"/>
      <c r="AO113" s="1153"/>
      <c r="AP113" s="1153"/>
      <c r="AQ113" s="1153"/>
      <c r="AR113" s="1153"/>
      <c r="AS113" s="1153"/>
      <c r="AT113" s="1510"/>
      <c r="AU113" s="1153"/>
      <c r="AV113" s="1153"/>
      <c r="AW113" s="1153"/>
      <c r="AX113" s="1153"/>
      <c r="AY113" s="1153"/>
      <c r="AZ113" s="1153"/>
      <c r="BA113" s="1153"/>
      <c r="BB113" s="1153"/>
      <c r="BC113" s="1153"/>
      <c r="BD113" s="848">
        <f t="shared" si="9"/>
        <v>0</v>
      </c>
      <c r="BE113" s="848">
        <f t="shared" si="10"/>
        <v>0</v>
      </c>
      <c r="BF113" s="848">
        <f t="shared" si="11"/>
        <v>0</v>
      </c>
      <c r="BG113" s="848">
        <f t="shared" si="12"/>
        <v>0</v>
      </c>
      <c r="BH113" s="848">
        <f t="shared" si="13"/>
        <v>0</v>
      </c>
      <c r="BI113" s="848">
        <f t="shared" si="14"/>
        <v>0</v>
      </c>
      <c r="BJ113" s="848">
        <f t="shared" si="15"/>
        <v>0</v>
      </c>
      <c r="BK113" s="848">
        <f t="shared" si="16"/>
        <v>0</v>
      </c>
      <c r="BL113" s="848">
        <f t="shared" si="17"/>
        <v>0</v>
      </c>
      <c r="BM113" s="848">
        <f t="shared" si="18"/>
        <v>0</v>
      </c>
      <c r="BN113" s="1156"/>
      <c r="BO113" s="1156"/>
      <c r="BP113" s="1156"/>
      <c r="BS113" s="966" t="s">
        <v>1956</v>
      </c>
    </row>
    <row r="114" spans="2:75" s="617" customFormat="1" ht="20.45" hidden="1" customHeight="1">
      <c r="B114" s="352"/>
      <c r="E114" s="624">
        <v>21</v>
      </c>
      <c r="F114" s="3" cm="1">
        <f t="array" aca="1" ref="F114" ca="1">OFFSET(E114,-1,1)</f>
        <v>0</v>
      </c>
      <c r="G114" s="77" t="s">
        <v>1957</v>
      </c>
      <c r="H114" s="77"/>
      <c r="I114" s="77" t="s">
        <v>325</v>
      </c>
      <c r="K114" s="77" t="s">
        <v>325</v>
      </c>
      <c r="L114" s="887" t="s">
        <v>1186</v>
      </c>
      <c r="M114" s="28"/>
      <c r="T114" s="381" t="b" cm="1">
        <f t="array" aca="1" ref="T114" ca="1">T113</f>
        <v>0</v>
      </c>
      <c r="X114" s="1755"/>
      <c r="Z114" s="1735"/>
      <c r="AB114" s="136" t="s">
        <v>321</v>
      </c>
      <c r="AC114" s="130" t="s">
        <v>1958</v>
      </c>
      <c r="AD114" s="129" t="s">
        <v>766</v>
      </c>
      <c r="AE114" s="692">
        <f ca="1">SUMIFS(ЭЭ!AE$25:AE$67,ЭЭ!$F$25:$F$67,$F114,ЭЭ!$AC$25:$AC$67,"Всего по тарифу")</f>
        <v>0</v>
      </c>
      <c r="AF114" s="692">
        <f ca="1">SUMIFS(ЭЭ!AF$25:AF$67,ЭЭ!$F$25:$F$67,$F114,ЭЭ!$AC$25:$AC$67,"Всего по тарифу")</f>
        <v>0</v>
      </c>
      <c r="AG114" s="692">
        <f ca="1">SUMIFS(ЭЭ!AG$25:AG$67,ЭЭ!$F$25:$F$67,$F114,ЭЭ!$AC$25:$AC$67,"Всего по тарифу")</f>
        <v>0</v>
      </c>
      <c r="AH114" s="675">
        <f t="shared" ca="1" si="7"/>
        <v>0</v>
      </c>
      <c r="AI114" s="675">
        <f ca="1">SUMIFS(ЭЭ!AH$25:AH$67,ЭЭ!$F$25:$F$67,$F114,ЭЭ!$AC$25:$AC$67,"Всего по тарифу")</f>
        <v>0</v>
      </c>
      <c r="AJ114" s="675">
        <f ca="1">SUMIFS(ЭЭ!AI$25:AI$67,ЭЭ!$F$25:$F$67,$F114,ЭЭ!$AC$25:$AC$67,"Всего по тарифу")</f>
        <v>0</v>
      </c>
      <c r="AK114" s="675">
        <f ca="1">SUMIFS(ЭЭ!AJ$25:AJ$67,ЭЭ!$F$25:$F$67,$F114,ЭЭ!$AC$25:$AC$67,"Всего по тарифу")</f>
        <v>0</v>
      </c>
      <c r="AL114" s="675">
        <f ca="1">SUMIFS(ЭЭ!AK$25:AK$67,ЭЭ!$F$25:$F$67,$F114,ЭЭ!$AC$25:$AC$67,"Всего по тарифу")</f>
        <v>0</v>
      </c>
      <c r="AM114" s="675">
        <f ca="1">SUMIFS(ЭЭ!AL$25:AL$67,ЭЭ!$F$25:$F$67,$F114,ЭЭ!$AC$25:$AC$67,"Всего по тарифу")</f>
        <v>0</v>
      </c>
      <c r="AN114" s="675">
        <f ca="1">SUMIFS(ЭЭ!AM$25:AM$67,ЭЭ!$F$25:$F$67,$F114,ЭЭ!$AC$25:$AC$67,"Всего по тарифу")</f>
        <v>0</v>
      </c>
      <c r="AO114" s="675">
        <f ca="1">SUMIFS(ЭЭ!AN$25:AN$67,ЭЭ!$F$25:$F$67,$F114,ЭЭ!$AC$25:$AC$67,"Всего по тарифу")</f>
        <v>0</v>
      </c>
      <c r="AP114" s="675">
        <f ca="1">SUMIFS(ЭЭ!AO$25:AO$67,ЭЭ!$F$25:$F$67,$F114,ЭЭ!$AC$25:$AC$67,"Всего по тарифу")</f>
        <v>0</v>
      </c>
      <c r="AQ114" s="675">
        <f ca="1">SUMIFS(ЭЭ!AP$25:AP$67,ЭЭ!$F$25:$F$67,$F114,ЭЭ!$AC$25:$AC$67,"Всего по тарифу")</f>
        <v>0</v>
      </c>
      <c r="AR114" s="675">
        <f ca="1">SUMIFS(ЭЭ!AQ$25:AQ$67,ЭЭ!$F$25:$F$67,$F114,ЭЭ!$AC$25:$AC$67,"Всего по тарифу")</f>
        <v>0</v>
      </c>
      <c r="AS114" s="675">
        <f ca="1">SUMIFS(ЭЭ!AR$25:AR$67,ЭЭ!$F$25:$F$67,$F114,ЭЭ!$AC$25:$AC$67,"Всего по тарифу")</f>
        <v>0</v>
      </c>
      <c r="AT114" s="675">
        <f ca="1">SUMIFS(ЭЭ!AS$25:AS$67,ЭЭ!$F$25:$F$67,$F114,ЭЭ!$AC$25:$AC$67,"Всего по тарифу")</f>
        <v>0</v>
      </c>
      <c r="AU114" s="675">
        <f ca="1">SUMIFS(ЭЭ!AT$25:AT$67,ЭЭ!$F$25:$F$67,$F114,ЭЭ!$AC$25:$AC$67,"Всего по тарифу")</f>
        <v>0</v>
      </c>
      <c r="AV114" s="675">
        <f ca="1">SUMIFS(ЭЭ!AU$25:AU$67,ЭЭ!$F$25:$F$67,$F114,ЭЭ!$AC$25:$AC$67,"Всего по тарифу")</f>
        <v>0</v>
      </c>
      <c r="AW114" s="675">
        <f ca="1">SUMIFS(ЭЭ!AV$25:AV$67,ЭЭ!$F$25:$F$67,$F114,ЭЭ!$AC$25:$AC$67,"Всего по тарифу")</f>
        <v>0</v>
      </c>
      <c r="AX114" s="675">
        <f ca="1">SUMIFS(ЭЭ!AW$25:AW$67,ЭЭ!$F$25:$F$67,$F114,ЭЭ!$AC$25:$AC$67,"Всего по тарифу")</f>
        <v>0</v>
      </c>
      <c r="AY114" s="675">
        <f ca="1">SUMIFS(ЭЭ!AX$25:AX$67,ЭЭ!$F$25:$F$67,$F114,ЭЭ!$AC$25:$AC$67,"Всего по тарифу")</f>
        <v>0</v>
      </c>
      <c r="AZ114" s="675">
        <f ca="1">SUMIFS(ЭЭ!AY$25:AY$67,ЭЭ!$F$25:$F$67,$F114,ЭЭ!$AC$25:$AC$67,"Всего по тарифу")</f>
        <v>0</v>
      </c>
      <c r="BA114" s="675">
        <f ca="1">SUMIFS(ЭЭ!AZ$25:AZ$67,ЭЭ!$F$25:$F$67,$F114,ЭЭ!$AC$25:$AC$67,"Всего по тарифу")</f>
        <v>0</v>
      </c>
      <c r="BB114" s="675">
        <f ca="1">SUMIFS(ЭЭ!BA$25:BA$67,ЭЭ!$F$25:$F$67,$F114,ЭЭ!$AC$25:$AC$67,"Всего по тарифу")</f>
        <v>0</v>
      </c>
      <c r="BC114" s="675">
        <f ca="1">SUMIFS(ЭЭ!BB$25:BB$67,ЭЭ!$F$25:$F$67,$F114,ЭЭ!$AC$25:$AC$67,"Всего по тарифу")</f>
        <v>0</v>
      </c>
      <c r="BD114" s="675">
        <f t="shared" ca="1" si="9"/>
        <v>0</v>
      </c>
      <c r="BE114" s="675">
        <f t="shared" ca="1" si="10"/>
        <v>0</v>
      </c>
      <c r="BF114" s="675">
        <f t="shared" ca="1" si="11"/>
        <v>0</v>
      </c>
      <c r="BG114" s="675">
        <f t="shared" ca="1" si="12"/>
        <v>0</v>
      </c>
      <c r="BH114" s="675">
        <f t="shared" ca="1" si="13"/>
        <v>0</v>
      </c>
      <c r="BI114" s="675">
        <f t="shared" ca="1" si="14"/>
        <v>0</v>
      </c>
      <c r="BJ114" s="675">
        <f t="shared" ca="1" si="15"/>
        <v>0</v>
      </c>
      <c r="BK114" s="675">
        <f t="shared" ca="1" si="16"/>
        <v>0</v>
      </c>
      <c r="BL114" s="675">
        <f t="shared" ca="1" si="17"/>
        <v>0</v>
      </c>
      <c r="BM114" s="675">
        <f t="shared" ca="1" si="18"/>
        <v>0</v>
      </c>
      <c r="BN114" s="1156"/>
      <c r="BO114" s="1159" t="str">
        <f ca="1">IF(IFERROR(INDEX(ЭЭ!$K$26:$L$67,MATCH($F114&amp;"komm",ЭЭ!$K$26:$K$67,0),2),"")=0,"",IFERROR(INDEX(ЭЭ!$K$26:$L$67,MATCH($F114&amp;"komm",ЭЭ!$K$26:$K$67,0),2),""))</f>
        <v/>
      </c>
      <c r="BP114" s="1156"/>
      <c r="BS114" s="972" t="s">
        <v>1558</v>
      </c>
      <c r="BT114" s="972"/>
      <c r="BU114" s="972"/>
      <c r="BV114" s="624"/>
      <c r="BW114" s="624"/>
    </row>
    <row r="115" spans="2:75" s="617" customFormat="1" ht="21.95" hidden="1" customHeight="1">
      <c r="B115" s="81" t="b">
        <f>method_reg="Метод индексации"</f>
        <v>0</v>
      </c>
      <c r="E115" s="624">
        <v>22.5</v>
      </c>
      <c r="F115" s="3" cm="1">
        <f t="array" aca="1" ref="F115" ca="1">OFFSET(E115,-1,1)</f>
        <v>0</v>
      </c>
      <c r="G115" s="77" t="s">
        <v>1351</v>
      </c>
      <c r="H115" s="77"/>
      <c r="I115" s="77" t="s">
        <v>327</v>
      </c>
      <c r="K115" s="77" t="s">
        <v>327</v>
      </c>
      <c r="L115" s="887" t="s">
        <v>326</v>
      </c>
      <c r="M115" s="28"/>
      <c r="T115" s="381" t="b" cm="1">
        <f t="array" aca="1" ref="T115" ca="1">T114</f>
        <v>0</v>
      </c>
      <c r="X115" s="1755"/>
      <c r="Z115" s="1735"/>
      <c r="AB115" s="136" t="s">
        <v>523</v>
      </c>
      <c r="AC115" s="130" t="s">
        <v>1959</v>
      </c>
      <c r="AD115" s="129" t="s">
        <v>766</v>
      </c>
      <c r="AE115" s="692">
        <f ca="1">SUMIFS(Амортизация!AE$25:AE$125,Амортизация!$F$25:$F$125,$F115,Амортизация!$AC$25:$AC$125,"Сумма амортизационных отчислений")</f>
        <v>0</v>
      </c>
      <c r="AF115" s="692">
        <f ca="1">SUMIFS(Амортизация!AF$25:AF$125,Амортизация!$F$25:$F$125,$F115,Амортизация!$AC$25:$AC$125,"Сумма амортизационных отчислений")</f>
        <v>0</v>
      </c>
      <c r="AG115" s="692">
        <f ca="1">SUMIFS(Амортизация!AG$25:AG$125,Амортизация!$F$25:$F$125,$F115,Амортизация!$AC$25:$AC$125,"Сумма амортизационных отчислений")</f>
        <v>0</v>
      </c>
      <c r="AH115" s="675">
        <f t="shared" ca="1" si="7"/>
        <v>0</v>
      </c>
      <c r="AI115" s="675">
        <f ca="1">SUMIFS(Амортизация!AH$25:AH$125,Амортизация!$F$25:$F$125,$F115,Амортизация!$AC$25:$AC$125,"Сумма амортизационных отчислений")</f>
        <v>0</v>
      </c>
      <c r="AJ115" s="675">
        <f ca="1">SUMIFS(Амортизация!AI$25:AI$125,Амортизация!$F$25:$F$125,$F115,Амортизация!$AC$25:$AC$125,"Сумма амортизационных отчислений")</f>
        <v>0</v>
      </c>
      <c r="AK115" s="675">
        <f ca="1">SUMIFS(Амортизация!AJ$25:AJ$125,Амортизация!$F$25:$F$125,$F115,Амортизация!$AC$25:$AC$125,"Сумма амортизационных отчислений")</f>
        <v>0</v>
      </c>
      <c r="AL115" s="675">
        <f ca="1">SUMIFS(Амортизация!AK$25:AK$125,Амортизация!$F$25:$F$125,$F115,Амортизация!$AC$25:$AC$125,"Сумма амортизационных отчислений")</f>
        <v>0</v>
      </c>
      <c r="AM115" s="675">
        <f ca="1">SUMIFS(Амортизация!AL$25:AL$125,Амортизация!$F$25:$F$125,$F115,Амортизация!$AC$25:$AC$125,"Сумма амортизационных отчислений")</f>
        <v>0</v>
      </c>
      <c r="AN115" s="675">
        <f ca="1">SUMIFS(Амортизация!AM$25:AM$125,Амортизация!$F$25:$F$125,$F115,Амортизация!$AC$25:$AC$125,"Сумма амортизационных отчислений")</f>
        <v>0</v>
      </c>
      <c r="AO115" s="675">
        <f ca="1">SUMIFS(Амортизация!AN$25:AN$125,Амортизация!$F$25:$F$125,$F115,Амортизация!$AC$25:$AC$125,"Сумма амортизационных отчислений")</f>
        <v>0</v>
      </c>
      <c r="AP115" s="675">
        <f ca="1">SUMIFS(Амортизация!AO$25:AO$125,Амортизация!$F$25:$F$125,$F115,Амортизация!$AC$25:$AC$125,"Сумма амортизационных отчислений")</f>
        <v>0</v>
      </c>
      <c r="AQ115" s="675">
        <f ca="1">SUMIFS(Амортизация!AP$25:AP$125,Амортизация!$F$25:$F$125,$F115,Амортизация!$AC$25:$AC$125,"Сумма амортизационных отчислений")</f>
        <v>0</v>
      </c>
      <c r="AR115" s="675">
        <f ca="1">SUMIFS(Амортизация!AQ$25:AQ$125,Амортизация!$F$25:$F$125,$F115,Амортизация!$AC$25:$AC$125,"Сумма амортизационных отчислений")</f>
        <v>0</v>
      </c>
      <c r="AS115" s="675">
        <f ca="1">SUMIFS(Амортизация!AR$25:AR$125,Амортизация!$F$25:$F$125,$F115,Амортизация!$AC$25:$AC$125,"Сумма амортизационных отчислений")</f>
        <v>0</v>
      </c>
      <c r="AT115" s="675">
        <f ca="1">SUMIFS(Амортизация!AS$25:AS$125,Амортизация!$F$25:$F$125,$F115,Амортизация!$AC$25:$AC$125,"Сумма амортизационных отчислений")</f>
        <v>0</v>
      </c>
      <c r="AU115" s="675">
        <f ca="1">SUMIFS(Амортизация!AT$25:AT$125,Амортизация!$F$25:$F$125,$F115,Амортизация!$AC$25:$AC$125,"Сумма амортизационных отчислений")</f>
        <v>0</v>
      </c>
      <c r="AV115" s="675">
        <f ca="1">SUMIFS(Амортизация!AU$25:AU$125,Амортизация!$F$25:$F$125,$F115,Амортизация!$AC$25:$AC$125,"Сумма амортизационных отчислений")</f>
        <v>0</v>
      </c>
      <c r="AW115" s="675">
        <f ca="1">SUMIFS(Амортизация!AV$25:AV$125,Амортизация!$F$25:$F$125,$F115,Амортизация!$AC$25:$AC$125,"Сумма амортизационных отчислений")</f>
        <v>0</v>
      </c>
      <c r="AX115" s="675">
        <f ca="1">SUMIFS(Амортизация!AW$25:AW$125,Амортизация!$F$25:$F$125,$F115,Амортизация!$AC$25:$AC$125,"Сумма амортизационных отчислений")</f>
        <v>0</v>
      </c>
      <c r="AY115" s="675">
        <f ca="1">SUMIFS(Амортизация!AX$25:AX$125,Амортизация!$F$25:$F$125,$F115,Амортизация!$AC$25:$AC$125,"Сумма амортизационных отчислений")</f>
        <v>0</v>
      </c>
      <c r="AZ115" s="675">
        <f ca="1">SUMIFS(Амортизация!AY$25:AY$125,Амортизация!$F$25:$F$125,$F115,Амортизация!$AC$25:$AC$125,"Сумма амортизационных отчислений")</f>
        <v>0</v>
      </c>
      <c r="BA115" s="675">
        <f ca="1">SUMIFS(Амортизация!AZ$25:AZ$125,Амортизация!$F$25:$F$125,$F115,Амортизация!$AC$25:$AC$125,"Сумма амортизационных отчислений")</f>
        <v>0</v>
      </c>
      <c r="BB115" s="675">
        <f ca="1">SUMIFS(Амортизация!BA$25:BA$125,Амортизация!$F$25:$F$125,$F115,Амортизация!$AC$25:$AC$125,"Сумма амортизационных отчислений")</f>
        <v>0</v>
      </c>
      <c r="BC115" s="675">
        <f ca="1">SUMIFS(Амортизация!BB$25:BB$125,Амортизация!$F$25:$F$125,$F115,Амортизация!$AC$25:$AC$125,"Сумма амортизационных отчислений")</f>
        <v>0</v>
      </c>
      <c r="BD115" s="675">
        <f t="shared" ca="1" si="9"/>
        <v>0</v>
      </c>
      <c r="BE115" s="675">
        <f t="shared" ca="1" si="10"/>
        <v>0</v>
      </c>
      <c r="BF115" s="675">
        <f t="shared" ca="1" si="11"/>
        <v>0</v>
      </c>
      <c r="BG115" s="675">
        <f t="shared" ca="1" si="12"/>
        <v>0</v>
      </c>
      <c r="BH115" s="675">
        <f t="shared" ca="1" si="13"/>
        <v>0</v>
      </c>
      <c r="BI115" s="675">
        <f t="shared" ca="1" si="14"/>
        <v>0</v>
      </c>
      <c r="BJ115" s="675">
        <f t="shared" ca="1" si="15"/>
        <v>0</v>
      </c>
      <c r="BK115" s="675">
        <f t="shared" ca="1" si="16"/>
        <v>0</v>
      </c>
      <c r="BL115" s="675">
        <f t="shared" ca="1" si="17"/>
        <v>0</v>
      </c>
      <c r="BM115" s="675">
        <f t="shared" ca="1" si="18"/>
        <v>0</v>
      </c>
      <c r="BN115" s="1156"/>
      <c r="BO115" s="1154" t="str">
        <f ca="1">IF(IFERROR(INDEX(Амортизация!$K$26:$L$125,MATCH($F115&amp;"komm",Амортизация!$K$26:$K$125,0),2),"")=0,"",IFERROR(INDEX(Амортизация!$K$26:$L$125,MATCH($F115&amp;"komm",Амортизация!$K$26:$K$125,0),2),""))</f>
        <v/>
      </c>
      <c r="BP115" s="1156"/>
      <c r="BS115" s="972" t="s">
        <v>1096</v>
      </c>
      <c r="BT115" s="972"/>
      <c r="BU115" s="972"/>
      <c r="BV115" s="624"/>
      <c r="BW115" s="624"/>
    </row>
    <row r="116" spans="2:75" ht="14.65" hidden="1" customHeight="1">
      <c r="B116" s="349" t="b" cm="1">
        <f t="array" ref="B116">B115</f>
        <v>0</v>
      </c>
      <c r="E116" s="620">
        <v>15</v>
      </c>
      <c r="F116" s="3" cm="1">
        <f t="array" aca="1" ref="F116" ca="1">OFFSET(E116,-1,1)</f>
        <v>0</v>
      </c>
      <c r="I116" s="77" t="s">
        <v>501</v>
      </c>
      <c r="K116" s="77" t="s">
        <v>501</v>
      </c>
      <c r="L116" s="882" t="s">
        <v>515</v>
      </c>
      <c r="M116" s="26"/>
      <c r="T116" s="381" t="b" cm="1">
        <f t="array" aca="1" ref="T116" ca="1">T115</f>
        <v>0</v>
      </c>
      <c r="X116" s="1755"/>
      <c r="Z116" s="1735"/>
      <c r="AB116" s="215" t="s">
        <v>639</v>
      </c>
      <c r="AC116" s="676" t="s">
        <v>1651</v>
      </c>
      <c r="AD116" s="216" t="s">
        <v>766</v>
      </c>
      <c r="AE116" s="1155">
        <f ca="1">SUMIFS('ИП + источники'!AF$27:AF$87,'ИП + источники'!$F$27:$F$87,$F116,'ИП + источники'!$AC$27:$AC$87,"Амортизационные отчисления")+SUMIFS('ИП + источники'!AF$27:AF$87,'ИП + источники'!$F$27:$F$87,$F116,'ИП + источники'!$AC$27:$AC$87,"погашение займов и кредитов из амортизации")</f>
        <v>0</v>
      </c>
      <c r="AF116" s="1155">
        <f ca="1">SUMIFS('ИП + источники'!AG$27:AG$87,'ИП + источники'!$F$27:$F$87,$F116,'ИП + источники'!$AC$27:$AC$87,"Амортизационные отчисления")+SUMIFS('ИП + источники'!AG$27:AG$87,'ИП + источники'!$F$27:$F$87,$F116,'ИП + источники'!$AC$27:$AC$87,"погашение займов и кредитов из амортизации")</f>
        <v>0</v>
      </c>
      <c r="AG116" s="1155">
        <f ca="1">SUMIFS('ИП + источники'!AH$27:AH$87,'ИП + источники'!$F$27:$F$87,$F116,'ИП + источники'!$AC$27:$AC$87,"Амортизационные отчисления")+SUMIFS('ИП + источники'!AH$27:AH$87,'ИП + источники'!$F$27:$F$87,$F116,'ИП + источники'!$AC$27:$AC$87,"погашение займов и кредитов из амортизации")</f>
        <v>0</v>
      </c>
      <c r="AH116" s="848">
        <f t="shared" ca="1" si="7"/>
        <v>0</v>
      </c>
      <c r="AI116" s="1153">
        <f ca="1">SUMIFS('ИП + источники'!AJ$27:AJ$87,'ИП + источники'!$F$27:$F$87,$F116,'ИП + источники'!$AC$27:$AC$87,"Амортизационные отчисления")+SUMIFS('ИП + источники'!AJ$27:AJ$87,'ИП + источники'!$F$27:$F$87,$F116,'ИП + источники'!$AC$27:$AC$87,"погашение займов и кредитов из амортизации")</f>
        <v>0</v>
      </c>
      <c r="AJ116" s="1510">
        <f ca="1">SUMIFS('ИП + источники'!AK$27:AK$87,'ИП + источники'!$F$27:$F$87,$F116,'ИП + источники'!$AC$27:$AC$87,"Амортизационные отчисления")+SUMIFS('ИП + источники'!AK$27:AK$87,'ИП + источники'!$F$27:$F$87,$F116,'ИП + источники'!$AC$27:$AC$87,"погашение займов и кредитов из амортизации")</f>
        <v>0</v>
      </c>
      <c r="AK116" s="1153">
        <f ca="1">SUMIFS('ИП + источники'!AL$27:AL$87,'ИП + источники'!$F$27:$F$87,$F116,'ИП + источники'!$AC$27:$AC$87,"Амортизационные отчисления")+SUMIFS('ИП + источники'!AL$27:AL$87,'ИП + источники'!$F$27:$F$87,$F116,'ИП + источники'!$AC$27:$AC$87,"погашение займов и кредитов из амортизации")</f>
        <v>0</v>
      </c>
      <c r="AL116" s="1153">
        <f ca="1">SUMIFS('ИП + источники'!AM$27:AM$87,'ИП + источники'!$F$27:$F$87,$F116,'ИП + источники'!$AC$27:$AC$87,"Амортизационные отчисления")+SUMIFS('ИП + источники'!AM$27:AM$87,'ИП + источники'!$F$27:$F$87,$F116,'ИП + источники'!$AC$27:$AC$87,"погашение займов и кредитов из амортизации")</f>
        <v>0</v>
      </c>
      <c r="AM116" s="1153">
        <f ca="1">SUMIFS('ИП + источники'!AN$27:AN$87,'ИП + источники'!$F$27:$F$87,$F116,'ИП + источники'!$AC$27:$AC$87,"Амортизационные отчисления")+SUMIFS('ИП + источники'!AN$27:AN$87,'ИП + источники'!$F$27:$F$87,$F116,'ИП + источники'!$AC$27:$AC$87,"погашение займов и кредитов из амортизации")</f>
        <v>0</v>
      </c>
      <c r="AN116" s="1153">
        <f ca="1">SUMIFS('ИП + источники'!AO$27:AO$87,'ИП + источники'!$F$27:$F$87,$F116,'ИП + источники'!$AC$27:$AC$87,"Амортизационные отчисления")+SUMIFS('ИП + источники'!AO$27:AO$87,'ИП + источники'!$F$27:$F$87,$F116,'ИП + источники'!$AC$27:$AC$87,"погашение займов и кредитов из амортизации")</f>
        <v>0</v>
      </c>
      <c r="AO116" s="1153">
        <f ca="1">SUMIFS('ИП + источники'!AP$27:AP$87,'ИП + источники'!$F$27:$F$87,$F116,'ИП + источники'!$AC$27:$AC$87,"Амортизационные отчисления")+SUMIFS('ИП + источники'!AP$27:AP$87,'ИП + источники'!$F$27:$F$87,$F116,'ИП + источники'!$AC$27:$AC$87,"погашение займов и кредитов из амортизации")</f>
        <v>0</v>
      </c>
      <c r="AP116" s="1153">
        <f ca="1">SUMIFS('ИП + источники'!AQ$27:AQ$87,'ИП + источники'!$F$27:$F$87,$F116,'ИП + источники'!$AC$27:$AC$87,"Амортизационные отчисления")+SUMIFS('ИП + источники'!AQ$27:AQ$87,'ИП + источники'!$F$27:$F$87,$F116,'ИП + источники'!$AC$27:$AC$87,"погашение займов и кредитов из амортизации")</f>
        <v>0</v>
      </c>
      <c r="AQ116" s="1153">
        <f ca="1">SUMIFS('ИП + источники'!AR$27:AR$87,'ИП + источники'!$F$27:$F$87,$F116,'ИП + источники'!$AC$27:$AC$87,"Амортизационные отчисления")+SUMIFS('ИП + источники'!AR$27:AR$87,'ИП + источники'!$F$27:$F$87,$F116,'ИП + источники'!$AC$27:$AC$87,"погашение займов и кредитов из амортизации")</f>
        <v>0</v>
      </c>
      <c r="AR116" s="1153">
        <f ca="1">SUMIFS('ИП + источники'!AS$27:AS$87,'ИП + источники'!$F$27:$F$87,$F116,'ИП + источники'!$AC$27:$AC$87,"Амортизационные отчисления")+SUMIFS('ИП + источники'!AS$27:AS$87,'ИП + источники'!$F$27:$F$87,$F116,'ИП + источники'!$AC$27:$AC$87,"погашение займов и кредитов из амортизации")</f>
        <v>0</v>
      </c>
      <c r="AS116" s="1153">
        <f ca="1">SUMIFS('ИП + источники'!AT$27:AT$87,'ИП + источники'!$F$27:$F$87,$F116,'ИП + источники'!$AC$27:$AC$87,"Амортизационные отчисления")+SUMIFS('ИП + источники'!AT$27:AT$87,'ИП + источники'!$F$27:$F$87,$F116,'ИП + источники'!$AC$27:$AC$87,"погашение займов и кредитов из амортизации")</f>
        <v>0</v>
      </c>
      <c r="AT116" s="1510">
        <f ca="1">SUMIFS('ИП + источники'!AU$27:AU$87,'ИП + источники'!$F$27:$F$87,$F116,'ИП + источники'!$AC$27:$AC$87,"Амортизационные отчисления")+SUMIFS('ИП + источники'!AU$27:AU$87,'ИП + источники'!$F$27:$F$87,$F116,'ИП + источники'!$AC$27:$AC$87,"погашение займов и кредитов из амортизации")</f>
        <v>0</v>
      </c>
      <c r="AU116" s="1153">
        <f ca="1">SUMIFS('ИП + источники'!AV$27:AV$87,'ИП + источники'!$F$27:$F$87,$F116,'ИП + источники'!$AC$27:$AC$87,"Амортизационные отчисления")+SUMIFS('ИП + источники'!AV$27:AV$87,'ИП + источники'!$F$27:$F$87,$F116,'ИП + источники'!$AC$27:$AC$87,"погашение займов и кредитов из амортизации")</f>
        <v>0</v>
      </c>
      <c r="AV116" s="1153">
        <f ca="1">SUMIFS('ИП + источники'!AW$27:AW$87,'ИП + источники'!$F$27:$F$87,$F116,'ИП + источники'!$AC$27:$AC$87,"Амортизационные отчисления")+SUMIFS('ИП + источники'!AW$27:AW$87,'ИП + источники'!$F$27:$F$87,$F116,'ИП + источники'!$AC$27:$AC$87,"погашение займов и кредитов из амортизации")</f>
        <v>0</v>
      </c>
      <c r="AW116" s="1153">
        <f ca="1">SUMIFS('ИП + источники'!AX$27:AX$87,'ИП + источники'!$F$27:$F$87,$F116,'ИП + источники'!$AC$27:$AC$87,"Амортизационные отчисления")+SUMIFS('ИП + источники'!AX$27:AX$87,'ИП + источники'!$F$27:$F$87,$F116,'ИП + источники'!$AC$27:$AC$87,"погашение займов и кредитов из амортизации")</f>
        <v>0</v>
      </c>
      <c r="AX116" s="1153">
        <f ca="1">SUMIFS('ИП + источники'!AY$27:AY$87,'ИП + источники'!$F$27:$F$87,$F116,'ИП + источники'!$AC$27:$AC$87,"Амортизационные отчисления")+SUMIFS('ИП + источники'!AY$27:AY$87,'ИП + источники'!$F$27:$F$87,$F116,'ИП + источники'!$AC$27:$AC$87,"погашение займов и кредитов из амортизации")</f>
        <v>0</v>
      </c>
      <c r="AY116" s="1153">
        <f ca="1">SUMIFS('ИП + источники'!AZ$27:AZ$87,'ИП + источники'!$F$27:$F$87,$F116,'ИП + источники'!$AC$27:$AC$87,"Амортизационные отчисления")+SUMIFS('ИП + источники'!AZ$27:AZ$87,'ИП + источники'!$F$27:$F$87,$F116,'ИП + источники'!$AC$27:$AC$87,"погашение займов и кредитов из амортизации")</f>
        <v>0</v>
      </c>
      <c r="AZ116" s="1153">
        <f ca="1">SUMIFS('ИП + источники'!BA$27:BA$87,'ИП + источники'!$F$27:$F$87,$F116,'ИП + источники'!$AC$27:$AC$87,"Амортизационные отчисления")+SUMIFS('ИП + источники'!BA$27:BA$87,'ИП + источники'!$F$27:$F$87,$F116,'ИП + источники'!$AC$27:$AC$87,"погашение займов и кредитов из амортизации")</f>
        <v>0</v>
      </c>
      <c r="BA116" s="1153">
        <f ca="1">SUMIFS('ИП + источники'!BB$27:BB$87,'ИП + источники'!$F$27:$F$87,$F116,'ИП + источники'!$AC$27:$AC$87,"Амортизационные отчисления")+SUMIFS('ИП + источники'!BB$27:BB$87,'ИП + источники'!$F$27:$F$87,$F116,'ИП + источники'!$AC$27:$AC$87,"погашение займов и кредитов из амортизации")</f>
        <v>0</v>
      </c>
      <c r="BB116" s="1153">
        <f ca="1">SUMIFS('ИП + источники'!BC$27:BC$87,'ИП + источники'!$F$27:$F$87,$F116,'ИП + источники'!$AC$27:$AC$87,"Амортизационные отчисления")+SUMIFS('ИП + источники'!BC$27:BC$87,'ИП + источники'!$F$27:$F$87,$F116,'ИП + источники'!$AC$27:$AC$87,"погашение займов и кредитов из амортизации")</f>
        <v>0</v>
      </c>
      <c r="BC116" s="1153">
        <f ca="1">SUMIFS('ИП + источники'!BD$27:BD$87,'ИП + источники'!$F$27:$F$87,$F116,'ИП + источники'!$AC$27:$AC$87,"Амортизационные отчисления")+SUMIFS('ИП + источники'!BD$27:BD$87,'ИП + источники'!$F$27:$F$87,$F116,'ИП + источники'!$AC$27:$AC$87,"погашение займов и кредитов из амортизации")</f>
        <v>0</v>
      </c>
      <c r="BD116" s="848">
        <f t="shared" ca="1" si="9"/>
        <v>0</v>
      </c>
      <c r="BE116" s="848">
        <f t="shared" ca="1" si="10"/>
        <v>0</v>
      </c>
      <c r="BF116" s="848">
        <f t="shared" ca="1" si="11"/>
        <v>0</v>
      </c>
      <c r="BG116" s="848">
        <f t="shared" ca="1" si="12"/>
        <v>0</v>
      </c>
      <c r="BH116" s="848">
        <f t="shared" ca="1" si="13"/>
        <v>0</v>
      </c>
      <c r="BI116" s="848">
        <f t="shared" ca="1" si="14"/>
        <v>0</v>
      </c>
      <c r="BJ116" s="848">
        <f t="shared" ca="1" si="15"/>
        <v>0</v>
      </c>
      <c r="BK116" s="848">
        <f t="shared" ca="1" si="16"/>
        <v>0</v>
      </c>
      <c r="BL116" s="848">
        <f t="shared" ca="1" si="17"/>
        <v>0</v>
      </c>
      <c r="BM116" s="848">
        <f t="shared" ca="1" si="18"/>
        <v>0</v>
      </c>
      <c r="BN116" s="1156"/>
      <c r="BO116" s="1156"/>
      <c r="BP116" s="1156"/>
      <c r="BS116" s="966" t="s">
        <v>1652</v>
      </c>
    </row>
    <row r="117" spans="2:75" s="617" customFormat="1" ht="20.45" hidden="1" customHeight="1">
      <c r="B117" s="349" t="b" cm="1">
        <f t="array" ref="B117">B116</f>
        <v>0</v>
      </c>
      <c r="E117" s="624">
        <v>21</v>
      </c>
      <c r="F117" s="3" cm="1">
        <f t="array" aca="1" ref="F117" ca="1">OFFSET(E117,-1,1)</f>
        <v>0</v>
      </c>
      <c r="G117" s="77" t="s">
        <v>1355</v>
      </c>
      <c r="H117" s="77"/>
      <c r="I117" s="77" t="s">
        <v>326</v>
      </c>
      <c r="K117" s="77" t="s">
        <v>326</v>
      </c>
      <c r="L117" s="887" t="s">
        <v>528</v>
      </c>
      <c r="M117" s="28"/>
      <c r="T117" s="381" t="b" cm="1">
        <f t="array" aca="1" ref="T117" ca="1">T116</f>
        <v>0</v>
      </c>
      <c r="X117" s="1755"/>
      <c r="Z117" s="1735"/>
      <c r="AB117" s="136" t="s">
        <v>478</v>
      </c>
      <c r="AC117" s="130" t="s">
        <v>1355</v>
      </c>
      <c r="AD117" s="152" t="s">
        <v>766</v>
      </c>
      <c r="AE117" s="131">
        <f ca="1">AE118+AE119+AE120+AE121</f>
        <v>0</v>
      </c>
      <c r="AF117" s="131">
        <f ca="1">AF118+AF119+AF120+AF121</f>
        <v>0</v>
      </c>
      <c r="AG117" s="131">
        <f ca="1">AG118+AG119+AG120+AG121</f>
        <v>0</v>
      </c>
      <c r="AH117" s="684">
        <f t="shared" ca="1" si="7"/>
        <v>0</v>
      </c>
      <c r="AI117" s="684">
        <f t="shared" ref="AI117:BC117" ca="1" si="22">AI118+AI119+AI120+AI121</f>
        <v>0</v>
      </c>
      <c r="AJ117" s="684">
        <f t="shared" ca="1" si="22"/>
        <v>0</v>
      </c>
      <c r="AK117" s="684">
        <f t="shared" ca="1" si="22"/>
        <v>0</v>
      </c>
      <c r="AL117" s="684">
        <f t="shared" ca="1" si="22"/>
        <v>0</v>
      </c>
      <c r="AM117" s="684">
        <f t="shared" ca="1" si="22"/>
        <v>0</v>
      </c>
      <c r="AN117" s="684">
        <f t="shared" ca="1" si="22"/>
        <v>0</v>
      </c>
      <c r="AO117" s="684">
        <f t="shared" ca="1" si="22"/>
        <v>0</v>
      </c>
      <c r="AP117" s="684">
        <f t="shared" ca="1" si="22"/>
        <v>0</v>
      </c>
      <c r="AQ117" s="684">
        <f t="shared" ca="1" si="22"/>
        <v>0</v>
      </c>
      <c r="AR117" s="684">
        <f t="shared" ca="1" si="22"/>
        <v>0</v>
      </c>
      <c r="AS117" s="684">
        <f t="shared" ca="1" si="22"/>
        <v>0</v>
      </c>
      <c r="AT117" s="684">
        <f t="shared" ca="1" si="22"/>
        <v>0</v>
      </c>
      <c r="AU117" s="684">
        <f t="shared" ca="1" si="22"/>
        <v>0</v>
      </c>
      <c r="AV117" s="684">
        <f t="shared" ca="1" si="22"/>
        <v>0</v>
      </c>
      <c r="AW117" s="684">
        <f t="shared" ca="1" si="22"/>
        <v>0</v>
      </c>
      <c r="AX117" s="684">
        <f t="shared" ca="1" si="22"/>
        <v>0</v>
      </c>
      <c r="AY117" s="684">
        <f t="shared" ca="1" si="22"/>
        <v>0</v>
      </c>
      <c r="AZ117" s="684">
        <f t="shared" ca="1" si="22"/>
        <v>0</v>
      </c>
      <c r="BA117" s="684">
        <f t="shared" ca="1" si="22"/>
        <v>0</v>
      </c>
      <c r="BB117" s="684">
        <f t="shared" ca="1" si="22"/>
        <v>0</v>
      </c>
      <c r="BC117" s="684">
        <f t="shared" ca="1" si="22"/>
        <v>0</v>
      </c>
      <c r="BD117" s="675">
        <f t="shared" ca="1" si="9"/>
        <v>0</v>
      </c>
      <c r="BE117" s="675">
        <f t="shared" ca="1" si="10"/>
        <v>0</v>
      </c>
      <c r="BF117" s="675">
        <f t="shared" ca="1" si="11"/>
        <v>0</v>
      </c>
      <c r="BG117" s="675">
        <f t="shared" ca="1" si="12"/>
        <v>0</v>
      </c>
      <c r="BH117" s="675">
        <f t="shared" ca="1" si="13"/>
        <v>0</v>
      </c>
      <c r="BI117" s="675">
        <f t="shared" ca="1" si="14"/>
        <v>0</v>
      </c>
      <c r="BJ117" s="675">
        <f t="shared" ca="1" si="15"/>
        <v>0</v>
      </c>
      <c r="BK117" s="675">
        <f t="shared" ca="1" si="16"/>
        <v>0</v>
      </c>
      <c r="BL117" s="675">
        <f t="shared" ca="1" si="17"/>
        <v>0</v>
      </c>
      <c r="BM117" s="675">
        <f t="shared" ca="1" si="18"/>
        <v>0</v>
      </c>
      <c r="BN117" s="1156"/>
      <c r="BO117" s="1156"/>
      <c r="BP117" s="1156"/>
      <c r="BS117" s="965" t="s">
        <v>1359</v>
      </c>
      <c r="BT117" s="972"/>
      <c r="BU117" s="972"/>
      <c r="BV117" s="624"/>
      <c r="BW117" s="624"/>
    </row>
    <row r="118" spans="2:75" ht="14.65" hidden="1" customHeight="1">
      <c r="B118" s="349" t="b" cm="1">
        <f t="array" ref="B118">B117</f>
        <v>0</v>
      </c>
      <c r="E118" s="620">
        <v>15</v>
      </c>
      <c r="F118" s="3" cm="1">
        <f t="array" aca="1" ref="F118" ca="1">OFFSET(E118,-1,1)</f>
        <v>0</v>
      </c>
      <c r="I118" s="77" t="s">
        <v>515</v>
      </c>
      <c r="K118" s="77" t="s">
        <v>515</v>
      </c>
      <c r="L118" s="882"/>
      <c r="M118" s="26"/>
      <c r="T118" s="381" t="b" cm="1">
        <f t="array" aca="1" ref="T118" ca="1">T117</f>
        <v>0</v>
      </c>
      <c r="X118" s="1755"/>
      <c r="Z118" s="1735"/>
      <c r="AB118" s="215" t="s">
        <v>646</v>
      </c>
      <c r="AC118" s="676" t="s">
        <v>1960</v>
      </c>
      <c r="AD118" s="216" t="s">
        <v>766</v>
      </c>
      <c r="AE118" s="1155">
        <f ca="1">SUMIFS('ИП + источники'!AF$27:AF$87,'ИП + источники'!$F$27:$F$87,$F118,'ИП + источники'!$AC$27:$AC$87,"погашение займов и кредитов из нормативной прибыли")</f>
        <v>0</v>
      </c>
      <c r="AF118" s="1155">
        <f ca="1">SUMIFS('ИП + источники'!AG$27:AG$87,'ИП + источники'!$F$27:$F$87,$F118,'ИП + источники'!$AC$27:$AC$87,"погашение займов и кредитов из нормативной прибыли")</f>
        <v>0</v>
      </c>
      <c r="AG118" s="1155">
        <f ca="1">SUMIFS('ИП + источники'!AH$27:AH$87,'ИП + источники'!$F$27:$F$87,$F118,'ИП + источники'!$AC$27:$AC$87,"погашение займов и кредитов из нормативной прибыли")</f>
        <v>0</v>
      </c>
      <c r="AH118" s="848">
        <f t="shared" ca="1" si="7"/>
        <v>0</v>
      </c>
      <c r="AI118" s="1153">
        <f ca="1">SUMIFS('ИП + источники'!AJ$27:AJ$87,'ИП + источники'!$F$27:$F$87,$F118,'ИП + источники'!$AC$27:$AC$87,"погашение займов и кредитов из нормативной прибыли")</f>
        <v>0</v>
      </c>
      <c r="AJ118" s="1510">
        <f ca="1">SUMIFS('ИП + источники'!AK$27:AK$87,'ИП + источники'!$F$27:$F$87,$F118,'ИП + источники'!$AC$27:$AC$87,"погашение займов и кредитов из нормативной прибыли")</f>
        <v>0</v>
      </c>
      <c r="AK118" s="1153">
        <f ca="1">SUMIFS('ИП + источники'!AL$27:AL$87,'ИП + источники'!$F$27:$F$87,$F118,'ИП + источники'!$AC$27:$AC$87,"погашение займов и кредитов из нормативной прибыли")</f>
        <v>0</v>
      </c>
      <c r="AL118" s="1153">
        <f ca="1">SUMIFS('ИП + источники'!AM$27:AM$87,'ИП + источники'!$F$27:$F$87,$F118,'ИП + источники'!$AC$27:$AC$87,"погашение займов и кредитов из нормативной прибыли")</f>
        <v>0</v>
      </c>
      <c r="AM118" s="1153">
        <f ca="1">SUMIFS('ИП + источники'!AN$27:AN$87,'ИП + источники'!$F$27:$F$87,$F118,'ИП + источники'!$AC$27:$AC$87,"погашение займов и кредитов из нормативной прибыли")</f>
        <v>0</v>
      </c>
      <c r="AN118" s="1153">
        <f ca="1">SUMIFS('ИП + источники'!AO$27:AO$87,'ИП + источники'!$F$27:$F$87,$F118,'ИП + источники'!$AC$27:$AC$87,"погашение займов и кредитов из нормативной прибыли")</f>
        <v>0</v>
      </c>
      <c r="AO118" s="1153">
        <f ca="1">SUMIFS('ИП + источники'!AP$27:AP$87,'ИП + источники'!$F$27:$F$87,$F118,'ИП + источники'!$AC$27:$AC$87,"погашение займов и кредитов из нормативной прибыли")</f>
        <v>0</v>
      </c>
      <c r="AP118" s="1153">
        <f ca="1">SUMIFS('ИП + источники'!AQ$27:AQ$87,'ИП + источники'!$F$27:$F$87,$F118,'ИП + источники'!$AC$27:$AC$87,"погашение займов и кредитов из нормативной прибыли")</f>
        <v>0</v>
      </c>
      <c r="AQ118" s="1153">
        <f ca="1">SUMIFS('ИП + источники'!AR$27:AR$87,'ИП + источники'!$F$27:$F$87,$F118,'ИП + источники'!$AC$27:$AC$87,"погашение займов и кредитов из нормативной прибыли")</f>
        <v>0</v>
      </c>
      <c r="AR118" s="1153">
        <f ca="1">SUMIFS('ИП + источники'!AS$27:AS$87,'ИП + источники'!$F$27:$F$87,$F118,'ИП + источники'!$AC$27:$AC$87,"погашение займов и кредитов из нормативной прибыли")</f>
        <v>0</v>
      </c>
      <c r="AS118" s="1153">
        <f ca="1">SUMIFS('ИП + источники'!AT$27:AT$87,'ИП + источники'!$F$27:$F$87,$F118,'ИП + источники'!$AC$27:$AC$87,"погашение займов и кредитов из нормативной прибыли")</f>
        <v>0</v>
      </c>
      <c r="AT118" s="1510">
        <f ca="1">SUMIFS('ИП + источники'!AU$27:AU$87,'ИП + источники'!$F$27:$F$87,$F118,'ИП + источники'!$AC$27:$AC$87,"погашение займов и кредитов из нормативной прибыли")</f>
        <v>0</v>
      </c>
      <c r="AU118" s="1153">
        <f ca="1">SUMIFS('ИП + источники'!AV$27:AV$87,'ИП + источники'!$F$27:$F$87,$F118,'ИП + источники'!$AC$27:$AC$87,"погашение займов и кредитов из нормативной прибыли")</f>
        <v>0</v>
      </c>
      <c r="AV118" s="1153">
        <f ca="1">SUMIFS('ИП + источники'!AW$27:AW$87,'ИП + источники'!$F$27:$F$87,$F118,'ИП + источники'!$AC$27:$AC$87,"погашение займов и кредитов из нормативной прибыли")</f>
        <v>0</v>
      </c>
      <c r="AW118" s="1153">
        <f ca="1">SUMIFS('ИП + источники'!AX$27:AX$87,'ИП + источники'!$F$27:$F$87,$F118,'ИП + источники'!$AC$27:$AC$87,"погашение займов и кредитов из нормативной прибыли")</f>
        <v>0</v>
      </c>
      <c r="AX118" s="1153">
        <f ca="1">SUMIFS('ИП + источники'!AY$27:AY$87,'ИП + источники'!$F$27:$F$87,$F118,'ИП + источники'!$AC$27:$AC$87,"погашение займов и кредитов из нормативной прибыли")</f>
        <v>0</v>
      </c>
      <c r="AY118" s="1153">
        <f ca="1">SUMIFS('ИП + источники'!AZ$27:AZ$87,'ИП + источники'!$F$27:$F$87,$F118,'ИП + источники'!$AC$27:$AC$87,"погашение займов и кредитов из нормативной прибыли")</f>
        <v>0</v>
      </c>
      <c r="AZ118" s="1153">
        <f ca="1">SUMIFS('ИП + источники'!BA$27:BA$87,'ИП + источники'!$F$27:$F$87,$F118,'ИП + источники'!$AC$27:$AC$87,"погашение займов и кредитов из нормативной прибыли")</f>
        <v>0</v>
      </c>
      <c r="BA118" s="1153">
        <f ca="1">SUMIFS('ИП + источники'!BB$27:BB$87,'ИП + источники'!$F$27:$F$87,$F118,'ИП + источники'!$AC$27:$AC$87,"погашение займов и кредитов из нормативной прибыли")</f>
        <v>0</v>
      </c>
      <c r="BB118" s="1153">
        <f ca="1">SUMIFS('ИП + источники'!BC$27:BC$87,'ИП + источники'!$F$27:$F$87,$F118,'ИП + источники'!$AC$27:$AC$87,"погашение займов и кредитов из нормативной прибыли")</f>
        <v>0</v>
      </c>
      <c r="BC118" s="1153">
        <f ca="1">SUMIFS('ИП + источники'!BD$27:BD$87,'ИП + источники'!$F$27:$F$87,$F118,'ИП + источники'!$AC$27:$AC$87,"погашение займов и кредитов из нормативной прибыли")</f>
        <v>0</v>
      </c>
      <c r="BD118" s="848">
        <f t="shared" ca="1" si="9"/>
        <v>0</v>
      </c>
      <c r="BE118" s="848">
        <f t="shared" ca="1" si="10"/>
        <v>0</v>
      </c>
      <c r="BF118" s="848">
        <f t="shared" ca="1" si="11"/>
        <v>0</v>
      </c>
      <c r="BG118" s="848">
        <f t="shared" ca="1" si="12"/>
        <v>0</v>
      </c>
      <c r="BH118" s="848">
        <f t="shared" ca="1" si="13"/>
        <v>0</v>
      </c>
      <c r="BI118" s="848">
        <f t="shared" ca="1" si="14"/>
        <v>0</v>
      </c>
      <c r="BJ118" s="848">
        <f t="shared" ca="1" si="15"/>
        <v>0</v>
      </c>
      <c r="BK118" s="848">
        <f t="shared" ca="1" si="16"/>
        <v>0</v>
      </c>
      <c r="BL118" s="848">
        <f t="shared" ca="1" si="17"/>
        <v>0</v>
      </c>
      <c r="BM118" s="848">
        <f t="shared" ca="1" si="18"/>
        <v>0</v>
      </c>
      <c r="BN118" s="1156"/>
      <c r="BO118" s="1154" t="str">
        <f ca="1">IF(IFERROR(INDEX('ИП + источники'!$K$28:$L$87,MATCH($F118&amp;"2komm",'ИП + источники'!$K$28:$K$87,0),2),"")=0,"",IFERROR(INDEX('ИП + источники'!$K$28:$L$87,MATCH($F118&amp;"2komm",'ИП + источники'!$K$28:$K$87,0),2),""))</f>
        <v/>
      </c>
      <c r="BP118" s="1156"/>
      <c r="BS118" s="966" t="s">
        <v>1961</v>
      </c>
    </row>
    <row r="119" spans="2:75" ht="14.65" hidden="1" customHeight="1">
      <c r="B119" s="349" t="b" cm="1">
        <f t="array" ref="B119">B118</f>
        <v>0</v>
      </c>
      <c r="E119" s="620">
        <v>15</v>
      </c>
      <c r="F119" s="3" cm="1">
        <f t="array" aca="1" ref="F119" ca="1">OFFSET(E119,-1,1)</f>
        <v>0</v>
      </c>
      <c r="I119" s="77" t="s">
        <v>519</v>
      </c>
      <c r="K119" s="77" t="s">
        <v>519</v>
      </c>
      <c r="L119" s="882"/>
      <c r="M119" s="26"/>
      <c r="T119" s="381" t="b" cm="1">
        <f t="array" aca="1" ref="T119" ca="1">T118</f>
        <v>0</v>
      </c>
      <c r="X119" s="1755"/>
      <c r="Z119" s="1735"/>
      <c r="AB119" s="215" t="s">
        <v>649</v>
      </c>
      <c r="AC119" s="676" t="s">
        <v>1962</v>
      </c>
      <c r="AD119" s="216" t="s">
        <v>766</v>
      </c>
      <c r="AE119" s="1155">
        <f ca="1">SUMIFS('ИП + источники'!AF$27:AF$87,'ИП + источники'!$F$27:$F$87,$F119,'ИП + источники'!$AC$27:$AC$87,"уплата процентов по кредитам из нормативной прибыли")</f>
        <v>0</v>
      </c>
      <c r="AF119" s="1155">
        <f ca="1">SUMIFS('ИП + источники'!AG$27:AG$87,'ИП + источники'!$F$27:$F$87,$F119,'ИП + источники'!$AC$27:$AC$87,"уплата процентов по кредитам из нормативной прибыли")</f>
        <v>0</v>
      </c>
      <c r="AG119" s="1155">
        <f ca="1">SUMIFS('ИП + источники'!AH$27:AH$87,'ИП + источники'!$F$27:$F$87,$F119,'ИП + источники'!$AC$27:$AC$87,"уплата процентов по кредитам из нормативной прибыли")</f>
        <v>0</v>
      </c>
      <c r="AH119" s="848">
        <f t="shared" ca="1" si="7"/>
        <v>0</v>
      </c>
      <c r="AI119" s="1153">
        <f ca="1">SUMIFS('ИП + источники'!AJ$27:AJ$87,'ИП + источники'!$F$27:$F$87,$F119,'ИП + источники'!$AC$27:$AC$87,"уплата процентов по кредитам из нормативной прибыли")</f>
        <v>0</v>
      </c>
      <c r="AJ119" s="1510">
        <f ca="1">SUMIFS('ИП + источники'!AK$27:AK$87,'ИП + источники'!$F$27:$F$87,$F119,'ИП + источники'!$AC$27:$AC$87,"уплата процентов по кредитам из нормативной прибыли")</f>
        <v>0</v>
      </c>
      <c r="AK119" s="1153">
        <f ca="1">SUMIFS('ИП + источники'!AL$27:AL$87,'ИП + источники'!$F$27:$F$87,$F119,'ИП + источники'!$AC$27:$AC$87,"уплата процентов по кредитам из нормативной прибыли")</f>
        <v>0</v>
      </c>
      <c r="AL119" s="1153">
        <f ca="1">SUMIFS('ИП + источники'!AM$27:AM$87,'ИП + источники'!$F$27:$F$87,$F119,'ИП + источники'!$AC$27:$AC$87,"уплата процентов по кредитам из нормативной прибыли")</f>
        <v>0</v>
      </c>
      <c r="AM119" s="1153">
        <f ca="1">SUMIFS('ИП + источники'!AN$27:AN$87,'ИП + источники'!$F$27:$F$87,$F119,'ИП + источники'!$AC$27:$AC$87,"уплата процентов по кредитам из нормативной прибыли")</f>
        <v>0</v>
      </c>
      <c r="AN119" s="1153">
        <f ca="1">SUMIFS('ИП + источники'!AO$27:AO$87,'ИП + источники'!$F$27:$F$87,$F119,'ИП + источники'!$AC$27:$AC$87,"уплата процентов по кредитам из нормативной прибыли")</f>
        <v>0</v>
      </c>
      <c r="AO119" s="1153">
        <f ca="1">SUMIFS('ИП + источники'!AP$27:AP$87,'ИП + источники'!$F$27:$F$87,$F119,'ИП + источники'!$AC$27:$AC$87,"уплата процентов по кредитам из нормативной прибыли")</f>
        <v>0</v>
      </c>
      <c r="AP119" s="1153">
        <f ca="1">SUMIFS('ИП + источники'!AQ$27:AQ$87,'ИП + источники'!$F$27:$F$87,$F119,'ИП + источники'!$AC$27:$AC$87,"уплата процентов по кредитам из нормативной прибыли")</f>
        <v>0</v>
      </c>
      <c r="AQ119" s="1153">
        <f ca="1">SUMIFS('ИП + источники'!AR$27:AR$87,'ИП + источники'!$F$27:$F$87,$F119,'ИП + источники'!$AC$27:$AC$87,"уплата процентов по кредитам из нормативной прибыли")</f>
        <v>0</v>
      </c>
      <c r="AR119" s="1153">
        <f ca="1">SUMIFS('ИП + источники'!AS$27:AS$87,'ИП + источники'!$F$27:$F$87,$F119,'ИП + источники'!$AC$27:$AC$87,"уплата процентов по кредитам из нормативной прибыли")</f>
        <v>0</v>
      </c>
      <c r="AS119" s="1153">
        <f ca="1">SUMIFS('ИП + источники'!AT$27:AT$87,'ИП + источники'!$F$27:$F$87,$F119,'ИП + источники'!$AC$27:$AC$87,"уплата процентов по кредитам из нормативной прибыли")</f>
        <v>0</v>
      </c>
      <c r="AT119" s="1510">
        <f ca="1">SUMIFS('ИП + источники'!AU$27:AU$87,'ИП + источники'!$F$27:$F$87,$F119,'ИП + источники'!$AC$27:$AC$87,"уплата процентов по кредитам из нормативной прибыли")</f>
        <v>0</v>
      </c>
      <c r="AU119" s="1153">
        <f ca="1">SUMIFS('ИП + источники'!AV$27:AV$87,'ИП + источники'!$F$27:$F$87,$F119,'ИП + источники'!$AC$27:$AC$87,"уплата процентов по кредитам из нормативной прибыли")</f>
        <v>0</v>
      </c>
      <c r="AV119" s="1153">
        <f ca="1">SUMIFS('ИП + источники'!AW$27:AW$87,'ИП + источники'!$F$27:$F$87,$F119,'ИП + источники'!$AC$27:$AC$87,"уплата процентов по кредитам из нормативной прибыли")</f>
        <v>0</v>
      </c>
      <c r="AW119" s="1153">
        <f ca="1">SUMIFS('ИП + источники'!AX$27:AX$87,'ИП + источники'!$F$27:$F$87,$F119,'ИП + источники'!$AC$27:$AC$87,"уплата процентов по кредитам из нормативной прибыли")</f>
        <v>0</v>
      </c>
      <c r="AX119" s="1153">
        <f ca="1">SUMIFS('ИП + источники'!AY$27:AY$87,'ИП + источники'!$F$27:$F$87,$F119,'ИП + источники'!$AC$27:$AC$87,"уплата процентов по кредитам из нормативной прибыли")</f>
        <v>0</v>
      </c>
      <c r="AY119" s="1153">
        <f ca="1">SUMIFS('ИП + источники'!AZ$27:AZ$87,'ИП + источники'!$F$27:$F$87,$F119,'ИП + источники'!$AC$27:$AC$87,"уплата процентов по кредитам из нормативной прибыли")</f>
        <v>0</v>
      </c>
      <c r="AZ119" s="1153">
        <f ca="1">SUMIFS('ИП + источники'!BA$27:BA$87,'ИП + источники'!$F$27:$F$87,$F119,'ИП + источники'!$AC$27:$AC$87,"уплата процентов по кредитам из нормативной прибыли")</f>
        <v>0</v>
      </c>
      <c r="BA119" s="1153">
        <f ca="1">SUMIFS('ИП + источники'!BB$27:BB$87,'ИП + источники'!$F$27:$F$87,$F119,'ИП + источники'!$AC$27:$AC$87,"уплата процентов по кредитам из нормативной прибыли")</f>
        <v>0</v>
      </c>
      <c r="BB119" s="1153">
        <f ca="1">SUMIFS('ИП + источники'!BC$27:BC$87,'ИП + источники'!$F$27:$F$87,$F119,'ИП + источники'!$AC$27:$AC$87,"уплата процентов по кредитам из нормативной прибыли")</f>
        <v>0</v>
      </c>
      <c r="BC119" s="1153">
        <f ca="1">SUMIFS('ИП + источники'!BD$27:BD$87,'ИП + источники'!$F$27:$F$87,$F119,'ИП + источники'!$AC$27:$AC$87,"уплата процентов по кредитам из нормативной прибыли")</f>
        <v>0</v>
      </c>
      <c r="BD119" s="848">
        <f t="shared" ca="1" si="9"/>
        <v>0</v>
      </c>
      <c r="BE119" s="848">
        <f t="shared" ca="1" si="10"/>
        <v>0</v>
      </c>
      <c r="BF119" s="848">
        <f t="shared" ca="1" si="11"/>
        <v>0</v>
      </c>
      <c r="BG119" s="848">
        <f t="shared" ca="1" si="12"/>
        <v>0</v>
      </c>
      <c r="BH119" s="848">
        <f t="shared" ca="1" si="13"/>
        <v>0</v>
      </c>
      <c r="BI119" s="848">
        <f t="shared" ca="1" si="14"/>
        <v>0</v>
      </c>
      <c r="BJ119" s="848">
        <f t="shared" ca="1" si="15"/>
        <v>0</v>
      </c>
      <c r="BK119" s="848">
        <f t="shared" ca="1" si="16"/>
        <v>0</v>
      </c>
      <c r="BL119" s="848">
        <f t="shared" ca="1" si="17"/>
        <v>0</v>
      </c>
      <c r="BM119" s="848">
        <f t="shared" ca="1" si="18"/>
        <v>0</v>
      </c>
      <c r="BN119" s="1156"/>
      <c r="BO119" s="1154" t="str">
        <f ca="1">IF(IFERROR(INDEX('ИП + источники'!$K$28:$L$87,MATCH($F119&amp;"3komm",'ИП + источники'!$K$28:$K$87,0),2),"")=0,"",IFERROR(INDEX('ИП + источники'!$K$28:$L$87,MATCH($F119&amp;"3komm",'ИП + источники'!$K$28:$K$87,0),2),""))</f>
        <v/>
      </c>
      <c r="BP119" s="1156"/>
      <c r="BS119" s="966" t="s">
        <v>1963</v>
      </c>
    </row>
    <row r="120" spans="2:75" ht="14.65" hidden="1" customHeight="1">
      <c r="B120" s="349" t="b" cm="1">
        <f t="array" ref="B120">B119</f>
        <v>0</v>
      </c>
      <c r="E120" s="620">
        <v>15</v>
      </c>
      <c r="F120" s="3" cm="1">
        <f t="array" aca="1" ref="F120" ca="1">OFFSET(E120,-1,1)</f>
        <v>0</v>
      </c>
      <c r="I120" s="77" t="s">
        <v>736</v>
      </c>
      <c r="K120" s="77" t="s">
        <v>736</v>
      </c>
      <c r="L120" s="882" t="s">
        <v>535</v>
      </c>
      <c r="M120" s="26"/>
      <c r="T120" s="381" t="b" cm="1">
        <f t="array" aca="1" ref="T120" ca="1">T119</f>
        <v>0</v>
      </c>
      <c r="X120" s="1755"/>
      <c r="Z120" s="1735"/>
      <c r="AB120" s="215" t="s">
        <v>876</v>
      </c>
      <c r="AC120" s="676" t="s">
        <v>1964</v>
      </c>
      <c r="AD120" s="216" t="s">
        <v>766</v>
      </c>
      <c r="AE120" s="1155">
        <f ca="1">SUMIFS('ИП + источники'!AF$27:AF$87,'ИП + источники'!$F$27:$F$87,$F120,'ИП + источники'!$AC$27:$AC$87,"Прибыль на капвложения")</f>
        <v>0</v>
      </c>
      <c r="AF120" s="1155">
        <f ca="1">SUMIFS('ИП + источники'!AG$27:AG$87,'ИП + источники'!$F$27:$F$87,$F120,'ИП + источники'!$AC$27:$AC$87,"Прибыль на капвложения")</f>
        <v>0</v>
      </c>
      <c r="AG120" s="1155">
        <f ca="1">SUMIFS('ИП + источники'!AH$27:AH$87,'ИП + источники'!$F$27:$F$87,$F120,'ИП + источники'!$AC$27:$AC$87,"Прибыль на капвложения")</f>
        <v>0</v>
      </c>
      <c r="AH120" s="848">
        <f t="shared" ca="1" si="7"/>
        <v>0</v>
      </c>
      <c r="AI120" s="1153">
        <f ca="1">SUMIFS('ИП + источники'!AJ$27:AJ$87,'ИП + источники'!$F$27:$F$87,$F120,'ИП + источники'!$AC$27:$AC$87,"Прибыль на капвложения")</f>
        <v>0</v>
      </c>
      <c r="AJ120" s="1510">
        <f ca="1">SUMIFS('ИП + источники'!AK$27:AK$87,'ИП + источники'!$F$27:$F$87,$F120,'ИП + источники'!$AC$27:$AC$87,"Прибыль на капвложения")</f>
        <v>0</v>
      </c>
      <c r="AK120" s="1153">
        <f ca="1">SUMIFS('ИП + источники'!AL$27:AL$87,'ИП + источники'!$F$27:$F$87,$F120,'ИП + источники'!$AC$27:$AC$87,"Прибыль на капвложения")</f>
        <v>0</v>
      </c>
      <c r="AL120" s="1153">
        <f ca="1">SUMIFS('ИП + источники'!AM$27:AM$87,'ИП + источники'!$F$27:$F$87,$F120,'ИП + источники'!$AC$27:$AC$87,"Прибыль на капвложения")</f>
        <v>0</v>
      </c>
      <c r="AM120" s="1153">
        <f ca="1">SUMIFS('ИП + источники'!AN$27:AN$87,'ИП + источники'!$F$27:$F$87,$F120,'ИП + источники'!$AC$27:$AC$87,"Прибыль на капвложения")</f>
        <v>0</v>
      </c>
      <c r="AN120" s="1153">
        <f ca="1">SUMIFS('ИП + источники'!AO$27:AO$87,'ИП + источники'!$F$27:$F$87,$F120,'ИП + источники'!$AC$27:$AC$87,"Прибыль на капвложения")</f>
        <v>0</v>
      </c>
      <c r="AO120" s="1153">
        <f ca="1">SUMIFS('ИП + источники'!AP$27:AP$87,'ИП + источники'!$F$27:$F$87,$F120,'ИП + источники'!$AC$27:$AC$87,"Прибыль на капвложения")</f>
        <v>0</v>
      </c>
      <c r="AP120" s="1153">
        <f ca="1">SUMIFS('ИП + источники'!AQ$27:AQ$87,'ИП + источники'!$F$27:$F$87,$F120,'ИП + источники'!$AC$27:$AC$87,"Прибыль на капвложения")</f>
        <v>0</v>
      </c>
      <c r="AQ120" s="1153">
        <f ca="1">SUMIFS('ИП + источники'!AR$27:AR$87,'ИП + источники'!$F$27:$F$87,$F120,'ИП + источники'!$AC$27:$AC$87,"Прибыль на капвложения")</f>
        <v>0</v>
      </c>
      <c r="AR120" s="1153">
        <f ca="1">SUMIFS('ИП + источники'!AS$27:AS$87,'ИП + источники'!$F$27:$F$87,$F120,'ИП + источники'!$AC$27:$AC$87,"Прибыль на капвложения")</f>
        <v>0</v>
      </c>
      <c r="AS120" s="1153">
        <f ca="1">SUMIFS('ИП + источники'!AT$27:AT$87,'ИП + источники'!$F$27:$F$87,$F120,'ИП + источники'!$AC$27:$AC$87,"Прибыль на капвложения")</f>
        <v>0</v>
      </c>
      <c r="AT120" s="1510">
        <f ca="1">SUMIFS('ИП + источники'!AU$27:AU$87,'ИП + источники'!$F$27:$F$87,$F120,'ИП + источники'!$AC$27:$AC$87,"Прибыль на капвложения")</f>
        <v>0</v>
      </c>
      <c r="AU120" s="1153">
        <f ca="1">SUMIFS('ИП + источники'!AV$27:AV$87,'ИП + источники'!$F$27:$F$87,$F120,'ИП + источники'!$AC$27:$AC$87,"Прибыль на капвложения")</f>
        <v>0</v>
      </c>
      <c r="AV120" s="1153">
        <f ca="1">SUMIFS('ИП + источники'!AW$27:AW$87,'ИП + источники'!$F$27:$F$87,$F120,'ИП + источники'!$AC$27:$AC$87,"Прибыль на капвложения")</f>
        <v>0</v>
      </c>
      <c r="AW120" s="1153">
        <f ca="1">SUMIFS('ИП + источники'!AX$27:AX$87,'ИП + источники'!$F$27:$F$87,$F120,'ИП + источники'!$AC$27:$AC$87,"Прибыль на капвложения")</f>
        <v>0</v>
      </c>
      <c r="AX120" s="1153">
        <f ca="1">SUMIFS('ИП + источники'!AY$27:AY$87,'ИП + источники'!$F$27:$F$87,$F120,'ИП + источники'!$AC$27:$AC$87,"Прибыль на капвложения")</f>
        <v>0</v>
      </c>
      <c r="AY120" s="1153">
        <f ca="1">SUMIFS('ИП + источники'!AZ$27:AZ$87,'ИП + источники'!$F$27:$F$87,$F120,'ИП + источники'!$AC$27:$AC$87,"Прибыль на капвложения")</f>
        <v>0</v>
      </c>
      <c r="AZ120" s="1153">
        <f ca="1">SUMIFS('ИП + источники'!BA$27:BA$87,'ИП + источники'!$F$27:$F$87,$F120,'ИП + источники'!$AC$27:$AC$87,"Прибыль на капвложения")</f>
        <v>0</v>
      </c>
      <c r="BA120" s="1153">
        <f ca="1">SUMIFS('ИП + источники'!BB$27:BB$87,'ИП + источники'!$F$27:$F$87,$F120,'ИП + источники'!$AC$27:$AC$87,"Прибыль на капвложения")</f>
        <v>0</v>
      </c>
      <c r="BB120" s="1153">
        <f ca="1">SUMIFS('ИП + источники'!BC$27:BC$87,'ИП + источники'!$F$27:$F$87,$F120,'ИП + источники'!$AC$27:$AC$87,"Прибыль на капвложения")</f>
        <v>0</v>
      </c>
      <c r="BC120" s="1153">
        <f ca="1">SUMIFS('ИП + источники'!BD$27:BD$87,'ИП + источники'!$F$27:$F$87,$F120,'ИП + источники'!$AC$27:$AC$87,"Прибыль на капвложения")</f>
        <v>0</v>
      </c>
      <c r="BD120" s="848">
        <f t="shared" ca="1" si="9"/>
        <v>0</v>
      </c>
      <c r="BE120" s="848">
        <f t="shared" ca="1" si="10"/>
        <v>0</v>
      </c>
      <c r="BF120" s="848">
        <f t="shared" ca="1" si="11"/>
        <v>0</v>
      </c>
      <c r="BG120" s="848">
        <f t="shared" ca="1" si="12"/>
        <v>0</v>
      </c>
      <c r="BH120" s="848">
        <f t="shared" ca="1" si="13"/>
        <v>0</v>
      </c>
      <c r="BI120" s="848">
        <f t="shared" ca="1" si="14"/>
        <v>0</v>
      </c>
      <c r="BJ120" s="848">
        <f t="shared" ca="1" si="15"/>
        <v>0</v>
      </c>
      <c r="BK120" s="848">
        <f t="shared" ca="1" si="16"/>
        <v>0</v>
      </c>
      <c r="BL120" s="848">
        <f t="shared" ca="1" si="17"/>
        <v>0</v>
      </c>
      <c r="BM120" s="848">
        <f t="shared" ca="1" si="18"/>
        <v>0</v>
      </c>
      <c r="BN120" s="1156"/>
      <c r="BO120" s="1154" t="str">
        <f ca="1">IF(IFERROR(INDEX('ИП + источники'!$K$28:$L$87,MATCH($F120&amp;"1komm",'ИП + источники'!$K$28:$K$87,0),2),"")=0,"",IFERROR(INDEX('ИП + источники'!$K$28:$L$87,MATCH($F120&amp;"1komm",'ИП + источники'!$K$28:$K$87,0),2),""))</f>
        <v/>
      </c>
      <c r="BP120" s="1156"/>
      <c r="BS120" s="966" t="s">
        <v>1659</v>
      </c>
    </row>
    <row r="121" spans="2:75" ht="21.95" hidden="1" customHeight="1">
      <c r="B121" s="349" t="b" cm="1">
        <f t="array" ref="B121">B120</f>
        <v>0</v>
      </c>
      <c r="E121" s="620">
        <v>22.5</v>
      </c>
      <c r="F121" s="3" cm="1">
        <f t="array" aca="1" ref="F121" ca="1">OFFSET(E121,-1,1)</f>
        <v>0</v>
      </c>
      <c r="G121" s="77" t="s">
        <v>1965</v>
      </c>
      <c r="I121" s="77" t="s">
        <v>878</v>
      </c>
      <c r="K121" s="77" t="s">
        <v>878</v>
      </c>
      <c r="L121" s="882" t="s">
        <v>539</v>
      </c>
      <c r="M121" s="26"/>
      <c r="T121" s="381" t="b" cm="1">
        <f t="array" aca="1" ref="T121" ca="1">T120</f>
        <v>0</v>
      </c>
      <c r="X121" s="1755"/>
      <c r="Z121" s="1735"/>
      <c r="AB121" s="215" t="s">
        <v>879</v>
      </c>
      <c r="AC121" s="676" t="s">
        <v>1966</v>
      </c>
      <c r="AD121" s="216" t="s">
        <v>766</v>
      </c>
      <c r="AE121" s="1155"/>
      <c r="AF121" s="1155"/>
      <c r="AG121" s="1155"/>
      <c r="AH121" s="848">
        <f t="shared" si="7"/>
        <v>0</v>
      </c>
      <c r="AI121" s="1153"/>
      <c r="AJ121" s="1510"/>
      <c r="AK121" s="1153"/>
      <c r="AL121" s="1153"/>
      <c r="AM121" s="1153"/>
      <c r="AN121" s="1153"/>
      <c r="AO121" s="1153"/>
      <c r="AP121" s="1153"/>
      <c r="AQ121" s="1153"/>
      <c r="AR121" s="1153"/>
      <c r="AS121" s="1153"/>
      <c r="AT121" s="1510"/>
      <c r="AU121" s="1153"/>
      <c r="AV121" s="1153"/>
      <c r="AW121" s="1153"/>
      <c r="AX121" s="1153"/>
      <c r="AY121" s="1153"/>
      <c r="AZ121" s="1153"/>
      <c r="BA121" s="1153"/>
      <c r="BB121" s="1153"/>
      <c r="BC121" s="1153"/>
      <c r="BD121" s="848">
        <f t="shared" si="9"/>
        <v>0</v>
      </c>
      <c r="BE121" s="848">
        <f t="shared" si="10"/>
        <v>0</v>
      </c>
      <c r="BF121" s="848">
        <f t="shared" si="11"/>
        <v>0</v>
      </c>
      <c r="BG121" s="848">
        <f t="shared" si="12"/>
        <v>0</v>
      </c>
      <c r="BH121" s="848">
        <f t="shared" si="13"/>
        <v>0</v>
      </c>
      <c r="BI121" s="848">
        <f t="shared" si="14"/>
        <v>0</v>
      </c>
      <c r="BJ121" s="848">
        <f t="shared" si="15"/>
        <v>0</v>
      </c>
      <c r="BK121" s="848">
        <f t="shared" si="16"/>
        <v>0</v>
      </c>
      <c r="BL121" s="848">
        <f t="shared" si="17"/>
        <v>0</v>
      </c>
      <c r="BM121" s="848">
        <f t="shared" si="18"/>
        <v>0</v>
      </c>
      <c r="BN121" s="1156"/>
      <c r="BO121" s="1156"/>
      <c r="BP121" s="1156"/>
      <c r="BS121" s="966" t="s">
        <v>1967</v>
      </c>
    </row>
    <row r="122" spans="2:75" ht="14.65" hidden="1" customHeight="1">
      <c r="B122" s="349" t="b">
        <f>AND(method_reg="Метод индексации",STATUS_GO="да")</f>
        <v>0</v>
      </c>
      <c r="E122" s="620">
        <v>15</v>
      </c>
      <c r="F122" s="3" cm="1">
        <f t="array" aca="1" ref="F122" ca="1">OFFSET(E122,-1,1)</f>
        <v>0</v>
      </c>
      <c r="G122" s="77" t="s">
        <v>1662</v>
      </c>
      <c r="I122" s="77" t="s">
        <v>477</v>
      </c>
      <c r="K122" s="77" t="s">
        <v>477</v>
      </c>
      <c r="L122" s="882" t="s">
        <v>543</v>
      </c>
      <c r="M122" s="26"/>
      <c r="T122" s="381" t="b" cm="1">
        <f t="array" aca="1" ref="T122" ca="1">T121</f>
        <v>0</v>
      </c>
      <c r="X122" s="1755"/>
      <c r="Z122" s="1735"/>
      <c r="AB122" s="215" t="s">
        <v>482</v>
      </c>
      <c r="AC122" s="369" t="s">
        <v>1662</v>
      </c>
      <c r="AD122" s="216" t="s">
        <v>766</v>
      </c>
      <c r="AE122" s="1155"/>
      <c r="AF122" s="1155"/>
      <c r="AG122" s="1155"/>
      <c r="AH122" s="848">
        <f t="shared" si="7"/>
        <v>0</v>
      </c>
      <c r="AI122" s="1153"/>
      <c r="AJ122" s="1510"/>
      <c r="AK122" s="1153"/>
      <c r="AL122" s="1153"/>
      <c r="AM122" s="1153"/>
      <c r="AN122" s="1153"/>
      <c r="AO122" s="1153"/>
      <c r="AP122" s="1153"/>
      <c r="AQ122" s="1153"/>
      <c r="AR122" s="1153"/>
      <c r="AS122" s="1153"/>
      <c r="AT122" s="1510"/>
      <c r="AU122" s="1153"/>
      <c r="AV122" s="1153"/>
      <c r="AW122" s="1153"/>
      <c r="AX122" s="1153"/>
      <c r="AY122" s="1153"/>
      <c r="AZ122" s="1153"/>
      <c r="BA122" s="1153"/>
      <c r="BB122" s="1153"/>
      <c r="BC122" s="1153"/>
      <c r="BD122" s="848">
        <f t="shared" si="9"/>
        <v>0</v>
      </c>
      <c r="BE122" s="848">
        <f t="shared" si="10"/>
        <v>0</v>
      </c>
      <c r="BF122" s="848">
        <f t="shared" si="11"/>
        <v>0</v>
      </c>
      <c r="BG122" s="848">
        <f t="shared" si="12"/>
        <v>0</v>
      </c>
      <c r="BH122" s="848">
        <f t="shared" si="13"/>
        <v>0</v>
      </c>
      <c r="BI122" s="848">
        <f t="shared" si="14"/>
        <v>0</v>
      </c>
      <c r="BJ122" s="848">
        <f t="shared" si="15"/>
        <v>0</v>
      </c>
      <c r="BK122" s="848">
        <f t="shared" si="16"/>
        <v>0</v>
      </c>
      <c r="BL122" s="848">
        <f t="shared" si="17"/>
        <v>0</v>
      </c>
      <c r="BM122" s="848">
        <f t="shared" si="18"/>
        <v>0</v>
      </c>
      <c r="BN122" s="1156"/>
      <c r="BO122" s="1156"/>
      <c r="BP122" s="1156"/>
      <c r="BS122" s="966" t="s">
        <v>1663</v>
      </c>
    </row>
    <row r="123" spans="2:75" ht="14.65" hidden="1" customHeight="1">
      <c r="B123" s="877" t="b">
        <f>method_reg="Метод обеспечения доходности инвестированного капитала"</f>
        <v>0</v>
      </c>
      <c r="E123" s="620">
        <v>15</v>
      </c>
      <c r="F123" s="3" cm="1">
        <f t="array" aca="1" ref="F123" ca="1">OFFSET(E123,-1,1)</f>
        <v>0</v>
      </c>
      <c r="K123" s="26" t="s">
        <v>327</v>
      </c>
      <c r="L123" s="882"/>
      <c r="M123" s="26"/>
      <c r="T123" s="381" t="b" cm="1">
        <f t="array" aca="1" ref="T123" ca="1">T122</f>
        <v>0</v>
      </c>
      <c r="X123" s="1755"/>
      <c r="Z123" s="1735"/>
      <c r="AB123" s="706" t="s">
        <v>523</v>
      </c>
      <c r="AC123" s="707" t="s">
        <v>1968</v>
      </c>
      <c r="AD123" s="708" t="s">
        <v>766</v>
      </c>
      <c r="AE123" s="1146"/>
      <c r="AF123" s="1146"/>
      <c r="AG123" s="1146"/>
      <c r="AH123" s="675">
        <f t="shared" si="7"/>
        <v>0</v>
      </c>
      <c r="AI123" s="1146"/>
      <c r="AJ123" s="1475"/>
      <c r="AK123" s="1146"/>
      <c r="AL123" s="1146"/>
      <c r="AM123" s="1146"/>
      <c r="AN123" s="1146"/>
      <c r="AO123" s="1146"/>
      <c r="AP123" s="1146"/>
      <c r="AQ123" s="1146"/>
      <c r="AR123" s="1146"/>
      <c r="AS123" s="1146"/>
      <c r="AT123" s="1475"/>
      <c r="AU123" s="1146"/>
      <c r="AV123" s="1146"/>
      <c r="AW123" s="1146"/>
      <c r="AX123" s="1146"/>
      <c r="AY123" s="1146"/>
      <c r="AZ123" s="1146"/>
      <c r="BA123" s="1146"/>
      <c r="BB123" s="1146"/>
      <c r="BC123" s="1146"/>
      <c r="BD123" s="675">
        <f t="shared" si="9"/>
        <v>0</v>
      </c>
      <c r="BE123" s="675">
        <f t="shared" si="10"/>
        <v>0</v>
      </c>
      <c r="BF123" s="675">
        <f t="shared" si="11"/>
        <v>0</v>
      </c>
      <c r="BG123" s="675">
        <f t="shared" si="12"/>
        <v>0</v>
      </c>
      <c r="BH123" s="675">
        <f t="shared" si="13"/>
        <v>0</v>
      </c>
      <c r="BI123" s="675">
        <f t="shared" si="14"/>
        <v>0</v>
      </c>
      <c r="BJ123" s="675">
        <f t="shared" si="15"/>
        <v>0</v>
      </c>
      <c r="BK123" s="675">
        <f t="shared" si="16"/>
        <v>0</v>
      </c>
      <c r="BL123" s="675">
        <f t="shared" si="17"/>
        <v>0</v>
      </c>
      <c r="BM123" s="675">
        <f t="shared" si="18"/>
        <v>0</v>
      </c>
      <c r="BN123" s="1147"/>
      <c r="BO123" s="1147"/>
      <c r="BP123" s="1147"/>
      <c r="BS123" s="966" t="s">
        <v>1969</v>
      </c>
    </row>
    <row r="124" spans="2:75" ht="14.65" hidden="1" customHeight="1">
      <c r="B124" s="877" t="b" cm="1">
        <f t="array" ref="B124">B123</f>
        <v>0</v>
      </c>
      <c r="E124" s="620">
        <v>15</v>
      </c>
      <c r="F124" s="3" cm="1">
        <f t="array" aca="1" ref="F124" ca="1">OFFSET(E124,-1,1)</f>
        <v>0</v>
      </c>
      <c r="K124" s="26" t="s">
        <v>501</v>
      </c>
      <c r="L124" s="882"/>
      <c r="M124" s="26"/>
      <c r="T124" s="381" t="b" cm="1">
        <f t="array" aca="1" ref="T124" ca="1">T123</f>
        <v>0</v>
      </c>
      <c r="X124" s="1755"/>
      <c r="Z124" s="1735"/>
      <c r="AB124" s="709" t="s">
        <v>639</v>
      </c>
      <c r="AC124" s="710" t="s">
        <v>1970</v>
      </c>
      <c r="AD124" s="711" t="s">
        <v>766</v>
      </c>
      <c r="AE124" s="1153"/>
      <c r="AF124" s="1153"/>
      <c r="AG124" s="1153"/>
      <c r="AH124" s="847"/>
      <c r="AI124" s="1153"/>
      <c r="AJ124" s="1510"/>
      <c r="AK124" s="1153"/>
      <c r="AL124" s="1153"/>
      <c r="AM124" s="1153"/>
      <c r="AN124" s="1153"/>
      <c r="AO124" s="1153"/>
      <c r="AP124" s="1153"/>
      <c r="AQ124" s="1153"/>
      <c r="AR124" s="1153"/>
      <c r="AS124" s="1153"/>
      <c r="AT124" s="1510"/>
      <c r="AU124" s="1153"/>
      <c r="AV124" s="1153"/>
      <c r="AW124" s="1153"/>
      <c r="AX124" s="1153"/>
      <c r="AY124" s="1153"/>
      <c r="AZ124" s="1153"/>
      <c r="BA124" s="1153"/>
      <c r="BB124" s="1153"/>
      <c r="BC124" s="1153"/>
      <c r="BD124" s="847"/>
      <c r="BE124" s="847"/>
      <c r="BF124" s="847"/>
      <c r="BG124" s="847"/>
      <c r="BH124" s="847"/>
      <c r="BI124" s="847"/>
      <c r="BJ124" s="847"/>
      <c r="BK124" s="847"/>
      <c r="BL124" s="847"/>
      <c r="BM124" s="847"/>
      <c r="BN124" s="1151"/>
      <c r="BO124" s="1151"/>
      <c r="BP124" s="1151"/>
      <c r="BS124" s="966" t="s">
        <v>1971</v>
      </c>
    </row>
    <row r="125" spans="2:75" ht="14.65" hidden="1" customHeight="1">
      <c r="B125" s="877" t="b" cm="1">
        <f t="array" ref="B125">B124</f>
        <v>0</v>
      </c>
      <c r="E125" s="620">
        <v>15</v>
      </c>
      <c r="F125" s="3" cm="1">
        <f t="array" aca="1" ref="F125" ca="1">OFFSET(E125,-1,1)</f>
        <v>0</v>
      </c>
      <c r="K125" s="26" t="s">
        <v>505</v>
      </c>
      <c r="L125" s="882"/>
      <c r="M125" s="26"/>
      <c r="T125" s="381" t="b" cm="1">
        <f t="array" aca="1" ref="T125" ca="1">T124</f>
        <v>0</v>
      </c>
      <c r="X125" s="1755"/>
      <c r="Z125" s="1735"/>
      <c r="AB125" s="709" t="s">
        <v>642</v>
      </c>
      <c r="AC125" s="710" t="s">
        <v>1972</v>
      </c>
      <c r="AD125" s="711" t="s">
        <v>1973</v>
      </c>
      <c r="AE125" s="1153"/>
      <c r="AF125" s="1153"/>
      <c r="AG125" s="1153"/>
      <c r="AH125" s="847"/>
      <c r="AI125" s="1153"/>
      <c r="AJ125" s="1510"/>
      <c r="AK125" s="1153"/>
      <c r="AL125" s="1153"/>
      <c r="AM125" s="1153"/>
      <c r="AN125" s="1153"/>
      <c r="AO125" s="1153"/>
      <c r="AP125" s="1153"/>
      <c r="AQ125" s="1153"/>
      <c r="AR125" s="1153"/>
      <c r="AS125" s="1153"/>
      <c r="AT125" s="1510"/>
      <c r="AU125" s="1153"/>
      <c r="AV125" s="1153"/>
      <c r="AW125" s="1153"/>
      <c r="AX125" s="1153"/>
      <c r="AY125" s="1153"/>
      <c r="AZ125" s="1153"/>
      <c r="BA125" s="1153"/>
      <c r="BB125" s="1153"/>
      <c r="BC125" s="1153"/>
      <c r="BD125" s="847"/>
      <c r="BE125" s="847"/>
      <c r="BF125" s="847"/>
      <c r="BG125" s="847"/>
      <c r="BH125" s="847"/>
      <c r="BI125" s="847"/>
      <c r="BJ125" s="847"/>
      <c r="BK125" s="847"/>
      <c r="BL125" s="847"/>
      <c r="BM125" s="847"/>
      <c r="BN125" s="1151"/>
      <c r="BO125" s="1151"/>
      <c r="BP125" s="1151"/>
      <c r="BS125" s="966" t="s">
        <v>1974</v>
      </c>
    </row>
    <row r="126" spans="2:75" ht="14.65" hidden="1" customHeight="1">
      <c r="B126" s="877" t="b" cm="1">
        <f t="array" ref="B126">B125</f>
        <v>0</v>
      </c>
      <c r="E126" s="620">
        <v>15</v>
      </c>
      <c r="F126" s="3" cm="1">
        <f t="array" aca="1" ref="F126" ca="1">OFFSET(E126,-1,1)</f>
        <v>0</v>
      </c>
      <c r="K126" s="26" t="s">
        <v>326</v>
      </c>
      <c r="L126" s="882"/>
      <c r="M126" s="26"/>
      <c r="T126" s="381" t="b" cm="1">
        <f t="array" aca="1" ref="T126" ca="1">T125</f>
        <v>0</v>
      </c>
      <c r="X126" s="1755"/>
      <c r="Z126" s="1735"/>
      <c r="AB126" s="706" t="s">
        <v>478</v>
      </c>
      <c r="AC126" s="707" t="s">
        <v>1975</v>
      </c>
      <c r="AD126" s="708" t="s">
        <v>766</v>
      </c>
      <c r="AE126" s="1146"/>
      <c r="AF126" s="1146"/>
      <c r="AG126" s="1146"/>
      <c r="AH126" s="675">
        <f>AG126-AF126</f>
        <v>0</v>
      </c>
      <c r="AI126" s="1146"/>
      <c r="AJ126" s="1475"/>
      <c r="AK126" s="1146"/>
      <c r="AL126" s="1146"/>
      <c r="AM126" s="1146"/>
      <c r="AN126" s="1146"/>
      <c r="AO126" s="1146"/>
      <c r="AP126" s="1146"/>
      <c r="AQ126" s="1146"/>
      <c r="AR126" s="1146"/>
      <c r="AS126" s="1146"/>
      <c r="AT126" s="1475"/>
      <c r="AU126" s="1146"/>
      <c r="AV126" s="1146"/>
      <c r="AW126" s="1146"/>
      <c r="AX126" s="1146"/>
      <c r="AY126" s="1146"/>
      <c r="AZ126" s="1146"/>
      <c r="BA126" s="1146"/>
      <c r="BB126" s="1146"/>
      <c r="BC126" s="1146"/>
      <c r="BD126" s="675">
        <f>IF(AI126=0,0,(AT126-AI126)/AI126*100)</f>
        <v>0</v>
      </c>
      <c r="BE126" s="675">
        <f t="shared" ref="BE126:BM126" si="23">IF(AT126=0,0,(AU126-AT126)/AT126*100)</f>
        <v>0</v>
      </c>
      <c r="BF126" s="675">
        <f t="shared" si="23"/>
        <v>0</v>
      </c>
      <c r="BG126" s="675">
        <f t="shared" si="23"/>
        <v>0</v>
      </c>
      <c r="BH126" s="675">
        <f t="shared" si="23"/>
        <v>0</v>
      </c>
      <c r="BI126" s="675">
        <f t="shared" si="23"/>
        <v>0</v>
      </c>
      <c r="BJ126" s="675">
        <f t="shared" si="23"/>
        <v>0</v>
      </c>
      <c r="BK126" s="675">
        <f t="shared" si="23"/>
        <v>0</v>
      </c>
      <c r="BL126" s="675">
        <f t="shared" si="23"/>
        <v>0</v>
      </c>
      <c r="BM126" s="675">
        <f t="shared" si="23"/>
        <v>0</v>
      </c>
      <c r="BN126" s="1147"/>
      <c r="BO126" s="1147"/>
      <c r="BP126" s="1147"/>
      <c r="BS126" s="966" t="s">
        <v>1976</v>
      </c>
    </row>
    <row r="127" spans="2:75" ht="14.65" hidden="1" customHeight="1">
      <c r="B127" s="877" t="b" cm="1">
        <f t="array" ref="B127">B126</f>
        <v>0</v>
      </c>
      <c r="E127" s="620">
        <v>15</v>
      </c>
      <c r="F127" s="3" cm="1">
        <f t="array" aca="1" ref="F127" ca="1">OFFSET(E127,-1,1)</f>
        <v>0</v>
      </c>
      <c r="K127" s="26" t="s">
        <v>515</v>
      </c>
      <c r="L127" s="882"/>
      <c r="M127" s="26"/>
      <c r="T127" s="381" t="b" cm="1">
        <f t="array" aca="1" ref="T127" ca="1">T126</f>
        <v>0</v>
      </c>
      <c r="X127" s="1755"/>
      <c r="Z127" s="1735"/>
      <c r="AB127" s="709" t="s">
        <v>646</v>
      </c>
      <c r="AC127" s="710" t="s">
        <v>1977</v>
      </c>
      <c r="AD127" s="711" t="s">
        <v>766</v>
      </c>
      <c r="AE127" s="1153"/>
      <c r="AF127" s="1153"/>
      <c r="AG127" s="1153"/>
      <c r="AH127" s="847"/>
      <c r="AI127" s="1153"/>
      <c r="AJ127" s="1510"/>
      <c r="AK127" s="1153"/>
      <c r="AL127" s="1153"/>
      <c r="AM127" s="1153"/>
      <c r="AN127" s="1153"/>
      <c r="AO127" s="1153"/>
      <c r="AP127" s="1153"/>
      <c r="AQ127" s="1153"/>
      <c r="AR127" s="1153"/>
      <c r="AS127" s="1153"/>
      <c r="AT127" s="1510"/>
      <c r="AU127" s="1153"/>
      <c r="AV127" s="1153"/>
      <c r="AW127" s="1153"/>
      <c r="AX127" s="1153"/>
      <c r="AY127" s="1153"/>
      <c r="AZ127" s="1153"/>
      <c r="BA127" s="1153"/>
      <c r="BB127" s="1153"/>
      <c r="BC127" s="1153"/>
      <c r="BD127" s="847"/>
      <c r="BE127" s="847"/>
      <c r="BF127" s="847"/>
      <c r="BG127" s="847"/>
      <c r="BH127" s="847"/>
      <c r="BI127" s="847"/>
      <c r="BJ127" s="847"/>
      <c r="BK127" s="847"/>
      <c r="BL127" s="847"/>
      <c r="BM127" s="847"/>
      <c r="BN127" s="1151"/>
      <c r="BO127" s="1151"/>
      <c r="BP127" s="1151"/>
      <c r="BS127" s="966" t="s">
        <v>1978</v>
      </c>
    </row>
    <row r="128" spans="2:75" ht="14.65" hidden="1" customHeight="1">
      <c r="B128" s="877" t="b" cm="1">
        <f t="array" ref="B128">B127</f>
        <v>0</v>
      </c>
      <c r="E128" s="620">
        <v>15</v>
      </c>
      <c r="F128" s="3" cm="1">
        <f t="array" aca="1" ref="F128" ca="1">OFFSET(E128,-1,1)</f>
        <v>0</v>
      </c>
      <c r="K128" s="26" t="s">
        <v>519</v>
      </c>
      <c r="L128" s="882"/>
      <c r="M128" s="26"/>
      <c r="T128" s="381" t="b" cm="1">
        <f t="array" aca="1" ref="T128" ca="1">T127</f>
        <v>0</v>
      </c>
      <c r="X128" s="1755"/>
      <c r="Z128" s="1735"/>
      <c r="AB128" s="709" t="s">
        <v>649</v>
      </c>
      <c r="AC128" s="710" t="s">
        <v>1979</v>
      </c>
      <c r="AD128" s="711" t="s">
        <v>423</v>
      </c>
      <c r="AE128" s="1153"/>
      <c r="AF128" s="1153"/>
      <c r="AG128" s="1153"/>
      <c r="AH128" s="847"/>
      <c r="AI128" s="1153"/>
      <c r="AJ128" s="1510"/>
      <c r="AK128" s="1153"/>
      <c r="AL128" s="1153"/>
      <c r="AM128" s="1153"/>
      <c r="AN128" s="1153"/>
      <c r="AO128" s="1153"/>
      <c r="AP128" s="1153"/>
      <c r="AQ128" s="1153"/>
      <c r="AR128" s="1153"/>
      <c r="AS128" s="1153"/>
      <c r="AT128" s="1510"/>
      <c r="AU128" s="1153"/>
      <c r="AV128" s="1153"/>
      <c r="AW128" s="1153"/>
      <c r="AX128" s="1153"/>
      <c r="AY128" s="1153"/>
      <c r="AZ128" s="1153"/>
      <c r="BA128" s="1153"/>
      <c r="BB128" s="1153"/>
      <c r="BC128" s="1153"/>
      <c r="BD128" s="847"/>
      <c r="BE128" s="847"/>
      <c r="BF128" s="847"/>
      <c r="BG128" s="847"/>
      <c r="BH128" s="847"/>
      <c r="BI128" s="847"/>
      <c r="BJ128" s="847"/>
      <c r="BK128" s="847"/>
      <c r="BL128" s="847"/>
      <c r="BM128" s="847"/>
      <c r="BN128" s="1151"/>
      <c r="BO128" s="1151"/>
      <c r="BP128" s="1151"/>
      <c r="BS128" s="966" t="s">
        <v>1980</v>
      </c>
    </row>
    <row r="129" spans="2:75" ht="14.65" hidden="1" customHeight="1">
      <c r="B129" s="877" t="b" cm="1">
        <f t="array" ref="B129">B128</f>
        <v>0</v>
      </c>
      <c r="E129" s="620">
        <v>15</v>
      </c>
      <c r="F129" s="3" cm="1">
        <f t="array" aca="1" ref="F129" ca="1">OFFSET(E129,-1,1)</f>
        <v>0</v>
      </c>
      <c r="K129" s="26" t="s">
        <v>736</v>
      </c>
      <c r="L129" s="882"/>
      <c r="M129" s="26"/>
      <c r="T129" s="381" t="b" cm="1">
        <f t="array" aca="1" ref="T129" ca="1">T128</f>
        <v>0</v>
      </c>
      <c r="X129" s="1755"/>
      <c r="Z129" s="1735"/>
      <c r="AB129" s="709" t="s">
        <v>876</v>
      </c>
      <c r="AC129" s="710" t="s">
        <v>1981</v>
      </c>
      <c r="AD129" s="711" t="s">
        <v>766</v>
      </c>
      <c r="AE129" s="1153"/>
      <c r="AF129" s="1153"/>
      <c r="AG129" s="1153"/>
      <c r="AH129" s="847"/>
      <c r="AI129" s="1153"/>
      <c r="AJ129" s="1510"/>
      <c r="AK129" s="1153"/>
      <c r="AL129" s="1153"/>
      <c r="AM129" s="1153"/>
      <c r="AN129" s="1153"/>
      <c r="AO129" s="1153"/>
      <c r="AP129" s="1153"/>
      <c r="AQ129" s="1153"/>
      <c r="AR129" s="1153"/>
      <c r="AS129" s="1153"/>
      <c r="AT129" s="1510"/>
      <c r="AU129" s="1153"/>
      <c r="AV129" s="1153"/>
      <c r="AW129" s="1153"/>
      <c r="AX129" s="1153"/>
      <c r="AY129" s="1153"/>
      <c r="AZ129" s="1153"/>
      <c r="BA129" s="1153"/>
      <c r="BB129" s="1153"/>
      <c r="BC129" s="1153"/>
      <c r="BD129" s="847"/>
      <c r="BE129" s="847"/>
      <c r="BF129" s="847"/>
      <c r="BG129" s="847"/>
      <c r="BH129" s="847"/>
      <c r="BI129" s="847"/>
      <c r="BJ129" s="847"/>
      <c r="BK129" s="847"/>
      <c r="BL129" s="847"/>
      <c r="BM129" s="847"/>
      <c r="BN129" s="1151"/>
      <c r="BO129" s="1151"/>
      <c r="BP129" s="1151"/>
      <c r="BS129" s="966" t="s">
        <v>1982</v>
      </c>
    </row>
    <row r="130" spans="2:75" ht="14.65" hidden="1" customHeight="1">
      <c r="B130" s="877" t="b" cm="1">
        <f t="array" ref="B130">B129</f>
        <v>0</v>
      </c>
      <c r="E130" s="620">
        <v>15</v>
      </c>
      <c r="F130" s="3" cm="1">
        <f t="array" aca="1" ref="F130" ca="1">OFFSET(E130,-1,1)</f>
        <v>0</v>
      </c>
      <c r="K130" s="26" t="s">
        <v>878</v>
      </c>
      <c r="L130" s="882"/>
      <c r="M130" s="26"/>
      <c r="T130" s="381" t="b" cm="1">
        <f t="array" aca="1" ref="T130" ca="1">T129</f>
        <v>0</v>
      </c>
      <c r="X130" s="1755"/>
      <c r="Z130" s="1735"/>
      <c r="AB130" s="709" t="s">
        <v>879</v>
      </c>
      <c r="AC130" s="710" t="s">
        <v>1983</v>
      </c>
      <c r="AD130" s="711" t="s">
        <v>766</v>
      </c>
      <c r="AE130" s="1153"/>
      <c r="AF130" s="1153"/>
      <c r="AG130" s="1153"/>
      <c r="AH130" s="847"/>
      <c r="AI130" s="1153"/>
      <c r="AJ130" s="1510"/>
      <c r="AK130" s="1153"/>
      <c r="AL130" s="1153"/>
      <c r="AM130" s="1153"/>
      <c r="AN130" s="1153"/>
      <c r="AO130" s="1153"/>
      <c r="AP130" s="1153"/>
      <c r="AQ130" s="1153"/>
      <c r="AR130" s="1153"/>
      <c r="AS130" s="1153"/>
      <c r="AT130" s="1510"/>
      <c r="AU130" s="1153"/>
      <c r="AV130" s="1153"/>
      <c r="AW130" s="1153"/>
      <c r="AX130" s="1153"/>
      <c r="AY130" s="1153"/>
      <c r="AZ130" s="1153"/>
      <c r="BA130" s="1153"/>
      <c r="BB130" s="1153"/>
      <c r="BC130" s="1153"/>
      <c r="BD130" s="847"/>
      <c r="BE130" s="847"/>
      <c r="BF130" s="847"/>
      <c r="BG130" s="847"/>
      <c r="BH130" s="847"/>
      <c r="BI130" s="847"/>
      <c r="BJ130" s="847"/>
      <c r="BK130" s="847"/>
      <c r="BL130" s="847"/>
      <c r="BM130" s="847"/>
      <c r="BN130" s="1151"/>
      <c r="BO130" s="1151"/>
      <c r="BP130" s="1151"/>
      <c r="BS130" s="966" t="s">
        <v>1984</v>
      </c>
    </row>
    <row r="131" spans="2:75" ht="14.65" hidden="1" customHeight="1">
      <c r="B131" s="877" t="b" cm="1">
        <f t="array" ref="B131">B130</f>
        <v>0</v>
      </c>
      <c r="E131" s="620">
        <v>15</v>
      </c>
      <c r="F131" s="3" cm="1">
        <f t="array" aca="1" ref="F131" ca="1">OFFSET(E131,-1,1)</f>
        <v>0</v>
      </c>
      <c r="K131" s="26" t="s">
        <v>1985</v>
      </c>
      <c r="L131" s="882"/>
      <c r="M131" s="26"/>
      <c r="T131" s="381" t="b" cm="1">
        <f t="array" aca="1" ref="T131" ca="1">T130</f>
        <v>0</v>
      </c>
      <c r="X131" s="1755"/>
      <c r="Z131" s="1735"/>
      <c r="AB131" s="709" t="s">
        <v>1986</v>
      </c>
      <c r="AC131" s="712" t="s">
        <v>1987</v>
      </c>
      <c r="AD131" s="711" t="s">
        <v>423</v>
      </c>
      <c r="AE131" s="1153"/>
      <c r="AF131" s="1153"/>
      <c r="AG131" s="1153"/>
      <c r="AH131" s="847"/>
      <c r="AI131" s="1153"/>
      <c r="AJ131" s="1510"/>
      <c r="AK131" s="1153"/>
      <c r="AL131" s="1153"/>
      <c r="AM131" s="1153"/>
      <c r="AN131" s="1153"/>
      <c r="AO131" s="1153"/>
      <c r="AP131" s="1153"/>
      <c r="AQ131" s="1153"/>
      <c r="AR131" s="1153"/>
      <c r="AS131" s="1153"/>
      <c r="AT131" s="1510"/>
      <c r="AU131" s="1153"/>
      <c r="AV131" s="1153"/>
      <c r="AW131" s="1153"/>
      <c r="AX131" s="1153"/>
      <c r="AY131" s="1153"/>
      <c r="AZ131" s="1153"/>
      <c r="BA131" s="1153"/>
      <c r="BB131" s="1153"/>
      <c r="BC131" s="1153"/>
      <c r="BD131" s="847"/>
      <c r="BE131" s="847"/>
      <c r="BF131" s="847"/>
      <c r="BG131" s="847"/>
      <c r="BH131" s="847"/>
      <c r="BI131" s="847"/>
      <c r="BJ131" s="847"/>
      <c r="BK131" s="847"/>
      <c r="BL131" s="847"/>
      <c r="BM131" s="847"/>
      <c r="BN131" s="1151"/>
      <c r="BO131" s="1151"/>
      <c r="BP131" s="1151"/>
      <c r="BS131" s="966" t="s">
        <v>1988</v>
      </c>
    </row>
    <row r="132" spans="2:75" ht="14.65" hidden="1" customHeight="1">
      <c r="B132" s="877" t="b" cm="1">
        <f t="array" ref="B132">B131</f>
        <v>0</v>
      </c>
      <c r="E132" s="620">
        <v>15</v>
      </c>
      <c r="F132" s="3" cm="1">
        <f t="array" aca="1" ref="F132" ca="1">OFFSET(E132,-1,1)</f>
        <v>0</v>
      </c>
      <c r="K132" s="26" t="s">
        <v>881</v>
      </c>
      <c r="L132" s="882"/>
      <c r="M132" s="26"/>
      <c r="T132" s="381" t="b" cm="1">
        <f t="array" aca="1" ref="T132" ca="1">T131</f>
        <v>0</v>
      </c>
      <c r="X132" s="1755"/>
      <c r="Z132" s="1735"/>
      <c r="AB132" s="709" t="s">
        <v>882</v>
      </c>
      <c r="AC132" s="710" t="s">
        <v>1989</v>
      </c>
      <c r="AD132" s="711" t="s">
        <v>423</v>
      </c>
      <c r="AE132" s="1153"/>
      <c r="AF132" s="1153"/>
      <c r="AG132" s="1153"/>
      <c r="AH132" s="847"/>
      <c r="AI132" s="1153"/>
      <c r="AJ132" s="1510"/>
      <c r="AK132" s="1153"/>
      <c r="AL132" s="1153"/>
      <c r="AM132" s="1153"/>
      <c r="AN132" s="1153"/>
      <c r="AO132" s="1153"/>
      <c r="AP132" s="1153"/>
      <c r="AQ132" s="1153"/>
      <c r="AR132" s="1153"/>
      <c r="AS132" s="1153"/>
      <c r="AT132" s="1510"/>
      <c r="AU132" s="1153"/>
      <c r="AV132" s="1153"/>
      <c r="AW132" s="1153"/>
      <c r="AX132" s="1153"/>
      <c r="AY132" s="1153"/>
      <c r="AZ132" s="1153"/>
      <c r="BA132" s="1153"/>
      <c r="BB132" s="1153"/>
      <c r="BC132" s="1153"/>
      <c r="BD132" s="847"/>
      <c r="BE132" s="847"/>
      <c r="BF132" s="847"/>
      <c r="BG132" s="847"/>
      <c r="BH132" s="847"/>
      <c r="BI132" s="847"/>
      <c r="BJ132" s="847"/>
      <c r="BK132" s="847"/>
      <c r="BL132" s="847"/>
      <c r="BM132" s="847"/>
      <c r="BN132" s="1151"/>
      <c r="BO132" s="1151"/>
      <c r="BP132" s="1151"/>
      <c r="BS132" s="966" t="s">
        <v>1990</v>
      </c>
    </row>
    <row r="133" spans="2:75" ht="14.65" hidden="1" customHeight="1">
      <c r="B133" s="877" t="b" cm="1">
        <f t="array" ref="B133">B132</f>
        <v>0</v>
      </c>
      <c r="E133" s="620">
        <v>15</v>
      </c>
      <c r="F133" s="3" cm="1">
        <f t="array" aca="1" ref="F133" ca="1">OFFSET(E133,-1,1)</f>
        <v>0</v>
      </c>
      <c r="K133" s="26" t="s">
        <v>1991</v>
      </c>
      <c r="L133" s="882"/>
      <c r="M133" s="26"/>
      <c r="T133" s="381" t="b" cm="1">
        <f t="array" aca="1" ref="T133" ca="1">T132</f>
        <v>0</v>
      </c>
      <c r="X133" s="1755"/>
      <c r="Z133" s="1735"/>
      <c r="AB133" s="709" t="s">
        <v>1992</v>
      </c>
      <c r="AC133" s="712" t="s">
        <v>1993</v>
      </c>
      <c r="AD133" s="711" t="s">
        <v>423</v>
      </c>
      <c r="AE133" s="1153"/>
      <c r="AF133" s="1153"/>
      <c r="AG133" s="1153"/>
      <c r="AH133" s="847"/>
      <c r="AI133" s="1153"/>
      <c r="AJ133" s="1510"/>
      <c r="AK133" s="1153"/>
      <c r="AL133" s="1153"/>
      <c r="AM133" s="1153"/>
      <c r="AN133" s="1153"/>
      <c r="AO133" s="1153"/>
      <c r="AP133" s="1153"/>
      <c r="AQ133" s="1153"/>
      <c r="AR133" s="1153"/>
      <c r="AS133" s="1153"/>
      <c r="AT133" s="1510"/>
      <c r="AU133" s="1153"/>
      <c r="AV133" s="1153"/>
      <c r="AW133" s="1153"/>
      <c r="AX133" s="1153"/>
      <c r="AY133" s="1153"/>
      <c r="AZ133" s="1153"/>
      <c r="BA133" s="1153"/>
      <c r="BB133" s="1153"/>
      <c r="BC133" s="1153"/>
      <c r="BD133" s="847"/>
      <c r="BE133" s="847"/>
      <c r="BF133" s="847"/>
      <c r="BG133" s="847"/>
      <c r="BH133" s="847"/>
      <c r="BI133" s="847"/>
      <c r="BJ133" s="847"/>
      <c r="BK133" s="847"/>
      <c r="BL133" s="847"/>
      <c r="BM133" s="847"/>
      <c r="BN133" s="1151"/>
      <c r="BO133" s="1151"/>
      <c r="BP133" s="1151"/>
      <c r="BS133" s="966" t="s">
        <v>1994</v>
      </c>
    </row>
    <row r="134" spans="2:75" ht="14.65" hidden="1" customHeight="1">
      <c r="B134" s="877" t="b" cm="1">
        <f t="array" ref="B134">B133</f>
        <v>0</v>
      </c>
      <c r="E134" s="620">
        <v>15</v>
      </c>
      <c r="F134" s="3" cm="1">
        <f t="array" aca="1" ref="F134" ca="1">OFFSET(E134,-1,1)</f>
        <v>0</v>
      </c>
      <c r="K134" s="26" t="s">
        <v>1995</v>
      </c>
      <c r="L134" s="882"/>
      <c r="M134" s="26"/>
      <c r="T134" s="381" t="b" cm="1">
        <f t="array" aca="1" ref="T134" ca="1">T133</f>
        <v>0</v>
      </c>
      <c r="X134" s="1755"/>
      <c r="Z134" s="1735"/>
      <c r="AB134" s="709" t="s">
        <v>1996</v>
      </c>
      <c r="AC134" s="712" t="s">
        <v>1997</v>
      </c>
      <c r="AD134" s="711" t="s">
        <v>423</v>
      </c>
      <c r="AE134" s="1153"/>
      <c r="AF134" s="1153"/>
      <c r="AG134" s="1153"/>
      <c r="AH134" s="847"/>
      <c r="AI134" s="1153"/>
      <c r="AJ134" s="1510"/>
      <c r="AK134" s="1153"/>
      <c r="AL134" s="1153"/>
      <c r="AM134" s="1153"/>
      <c r="AN134" s="1153"/>
      <c r="AO134" s="1153"/>
      <c r="AP134" s="1153"/>
      <c r="AQ134" s="1153"/>
      <c r="AR134" s="1153"/>
      <c r="AS134" s="1153"/>
      <c r="AT134" s="1510"/>
      <c r="AU134" s="1153"/>
      <c r="AV134" s="1153"/>
      <c r="AW134" s="1153"/>
      <c r="AX134" s="1153"/>
      <c r="AY134" s="1153"/>
      <c r="AZ134" s="1153"/>
      <c r="BA134" s="1153"/>
      <c r="BB134" s="1153"/>
      <c r="BC134" s="1153"/>
      <c r="BD134" s="847"/>
      <c r="BE134" s="847"/>
      <c r="BF134" s="847"/>
      <c r="BG134" s="847"/>
      <c r="BH134" s="847"/>
      <c r="BI134" s="847"/>
      <c r="BJ134" s="847"/>
      <c r="BK134" s="847"/>
      <c r="BL134" s="847"/>
      <c r="BM134" s="847"/>
      <c r="BN134" s="1151"/>
      <c r="BO134" s="1151"/>
      <c r="BP134" s="1151"/>
      <c r="BS134" s="966" t="s">
        <v>1998</v>
      </c>
    </row>
    <row r="135" spans="2:75" s="617" customFormat="1" ht="20.45" hidden="1" customHeight="1">
      <c r="B135" s="352"/>
      <c r="D135" s="28" t="str">
        <f>IF(B134,"6","7")</f>
        <v>7</v>
      </c>
      <c r="E135" s="624">
        <v>21</v>
      </c>
      <c r="F135" s="3" cm="1">
        <f t="array" aca="1" ref="F135" ca="1">OFFSET(E135,-1,1)</f>
        <v>0</v>
      </c>
      <c r="G135" s="77" t="s">
        <v>1999</v>
      </c>
      <c r="H135" s="77"/>
      <c r="I135" s="292" t="s">
        <v>2000</v>
      </c>
      <c r="K135" s="292" t="s">
        <v>2000</v>
      </c>
      <c r="L135" s="887"/>
      <c r="M135" s="28"/>
      <c r="T135" s="381" t="b" cm="1">
        <f t="array" aca="1" ref="T135" ca="1">T134</f>
        <v>0</v>
      </c>
      <c r="X135" s="1755"/>
      <c r="Z135" s="1735"/>
      <c r="AB135" s="129" t="str" cm="1">
        <f t="array" ref="AB135">D135</f>
        <v>7</v>
      </c>
      <c r="AC135" s="137" t="s">
        <v>1440</v>
      </c>
      <c r="AD135" s="129" t="s">
        <v>766</v>
      </c>
      <c r="AE135" s="1137"/>
      <c r="AF135" s="1137"/>
      <c r="AG135" s="1137"/>
      <c r="AH135" s="675">
        <f>AG135-AF135</f>
        <v>0</v>
      </c>
      <c r="AI135" s="1146"/>
      <c r="AJ135" s="1510">
        <f ca="1">SUMIFS('Корректировка НВВ'!$AF$25:$AF$129,'Корректировка НВВ'!$F$25:$F$129,$F135,'Корректировка НВВ'!$I$25:$I$129,$G135)</f>
        <v>0</v>
      </c>
      <c r="AK135" s="1146"/>
      <c r="AL135" s="1146"/>
      <c r="AM135" s="1146"/>
      <c r="AN135" s="1146"/>
      <c r="AO135" s="1146"/>
      <c r="AP135" s="1146"/>
      <c r="AQ135" s="1146"/>
      <c r="AR135" s="1146"/>
      <c r="AS135" s="1146"/>
      <c r="AT135" s="1510">
        <f ca="1">SUMIFS('Корректировка НВВ'!$AG$25:$AG$129,'Корректировка НВВ'!$F$25:$F$129,$F135,'Корректировка НВВ'!$I$25:$I$129,$G135)</f>
        <v>0</v>
      </c>
      <c r="AU135" s="1146"/>
      <c r="AV135" s="1146"/>
      <c r="AW135" s="1146"/>
      <c r="AX135" s="1146"/>
      <c r="AY135" s="1146"/>
      <c r="AZ135" s="1146"/>
      <c r="BA135" s="1146"/>
      <c r="BB135" s="1146"/>
      <c r="BC135" s="1146"/>
      <c r="BD135" s="675">
        <f>IF(AI135=0,0,(AT135-AI135)/AI135*100)</f>
        <v>0</v>
      </c>
      <c r="BE135" s="675">
        <f t="shared" ref="BE135:BM135" ca="1" si="24">IF(AT135=0,0,(AU135-AT135)/AT135*100)</f>
        <v>0</v>
      </c>
      <c r="BF135" s="675">
        <f t="shared" si="24"/>
        <v>0</v>
      </c>
      <c r="BG135" s="675">
        <f t="shared" si="24"/>
        <v>0</v>
      </c>
      <c r="BH135" s="675">
        <f t="shared" si="24"/>
        <v>0</v>
      </c>
      <c r="BI135" s="675">
        <f t="shared" si="24"/>
        <v>0</v>
      </c>
      <c r="BJ135" s="675">
        <f t="shared" si="24"/>
        <v>0</v>
      </c>
      <c r="BK135" s="675">
        <f t="shared" si="24"/>
        <v>0</v>
      </c>
      <c r="BL135" s="675">
        <f t="shared" si="24"/>
        <v>0</v>
      </c>
      <c r="BM135" s="675">
        <f t="shared" si="24"/>
        <v>0</v>
      </c>
      <c r="BN135" s="1140"/>
      <c r="BO135" s="1154" t="str">
        <f ca="1">IF(IFERROR(INDEX('Корректировка НВВ'!$K$26:$L$129,MATCH($F135&amp;"11komm",'Корректировка НВВ'!$K$26:$K$129,0),2),"")=0,"",IFERROR(INDEX('Корректировка НВВ'!$K$26:$L$129,MATCH($F135&amp;"11komm",'Корректировка НВВ'!$K$26:$K$129,0),2),""))</f>
        <v/>
      </c>
      <c r="BP135" s="1140"/>
      <c r="BS135" s="972" t="s">
        <v>2001</v>
      </c>
      <c r="BT135" s="972"/>
      <c r="BU135" s="972"/>
      <c r="BV135" s="624"/>
      <c r="BW135" s="624"/>
    </row>
    <row r="136" spans="2:75" ht="14.65" hidden="1" customHeight="1">
      <c r="D136" s="26" t="str" cm="1">
        <f t="array" ref="D136">D135</f>
        <v>7</v>
      </c>
      <c r="E136" s="620">
        <v>15</v>
      </c>
      <c r="F136" s="3" cm="1">
        <f t="array" aca="1" ref="F136" ca="1">OFFSET(E136,-1,1)</f>
        <v>0</v>
      </c>
      <c r="L136" s="882"/>
      <c r="M136" s="26"/>
      <c r="T136" s="381" t="b" cm="1">
        <f t="array" aca="1" ref="T136" ca="1">T135</f>
        <v>0</v>
      </c>
      <c r="X136" s="1755"/>
      <c r="Z136" s="1735"/>
      <c r="AB136" s="216"/>
      <c r="AC136" s="369" t="s">
        <v>2002</v>
      </c>
      <c r="AD136" s="216"/>
      <c r="AE136" s="850"/>
      <c r="AF136" s="850"/>
      <c r="AG136" s="850"/>
      <c r="AH136" s="847"/>
      <c r="AI136" s="847"/>
      <c r="AJ136" s="847"/>
      <c r="AK136" s="847"/>
      <c r="AL136" s="847"/>
      <c r="AM136" s="847"/>
      <c r="AN136" s="847"/>
      <c r="AO136" s="847"/>
      <c r="AP136" s="847"/>
      <c r="AQ136" s="847"/>
      <c r="AR136" s="847"/>
      <c r="AS136" s="847"/>
      <c r="AT136" s="847"/>
      <c r="AU136" s="847"/>
      <c r="AV136" s="847"/>
      <c r="AW136" s="847"/>
      <c r="AX136" s="847"/>
      <c r="AY136" s="847"/>
      <c r="AZ136" s="847"/>
      <c r="BA136" s="847"/>
      <c r="BB136" s="847"/>
      <c r="BC136" s="847"/>
      <c r="BD136" s="847"/>
      <c r="BE136" s="847"/>
      <c r="BF136" s="847"/>
      <c r="BG136" s="847"/>
      <c r="BH136" s="847"/>
      <c r="BI136" s="847"/>
      <c r="BJ136" s="847"/>
      <c r="BK136" s="847"/>
      <c r="BL136" s="847"/>
      <c r="BM136" s="847"/>
      <c r="BN136" s="442"/>
      <c r="BO136" s="442"/>
      <c r="BP136" s="442"/>
    </row>
    <row r="137" spans="2:75" ht="21.95" hidden="1" customHeight="1">
      <c r="D137" s="26" t="str" cm="1">
        <f t="array" ref="D137">D136</f>
        <v>7</v>
      </c>
      <c r="E137" s="620">
        <v>22.5</v>
      </c>
      <c r="F137" s="3" cm="1">
        <f t="array" aca="1" ref="F137" ca="1">OFFSET(E137,-1,1)</f>
        <v>0</v>
      </c>
      <c r="G137" s="77" t="s">
        <v>365</v>
      </c>
      <c r="I137" s="77" t="s">
        <v>481</v>
      </c>
      <c r="K137" s="77" t="s">
        <v>481</v>
      </c>
      <c r="L137" s="882"/>
      <c r="M137" s="26"/>
      <c r="T137" s="381" t="b" cm="1">
        <f t="array" aca="1" ref="T137" ca="1">T136</f>
        <v>0</v>
      </c>
      <c r="X137" s="1755"/>
      <c r="Z137" s="1735"/>
      <c r="AB137" s="216" t="str">
        <f>D137&amp;".1"</f>
        <v>7.1</v>
      </c>
      <c r="AC137" s="676" t="s">
        <v>2003</v>
      </c>
      <c r="AD137" s="216" t="s">
        <v>766</v>
      </c>
      <c r="AE137" s="1155"/>
      <c r="AF137" s="1155"/>
      <c r="AG137" s="1155"/>
      <c r="AH137" s="848">
        <f t="shared" ref="AH137:AH150" si="25">AG137-AF137</f>
        <v>0</v>
      </c>
      <c r="AI137" s="1153"/>
      <c r="AJ137" s="1510">
        <f ca="1">SUMIFS('Корректировка НВВ'!$AF$25:$AF$129,'Корректировка НВВ'!$F$25:$F$129,$F137,'Корректировка НВВ'!$I$25:$I$129,$G137)</f>
        <v>0</v>
      </c>
      <c r="AK137" s="1153"/>
      <c r="AL137" s="1153"/>
      <c r="AM137" s="1153"/>
      <c r="AN137" s="1153"/>
      <c r="AO137" s="1153"/>
      <c r="AP137" s="1153"/>
      <c r="AQ137" s="1153"/>
      <c r="AR137" s="1153"/>
      <c r="AS137" s="1153"/>
      <c r="AT137" s="1510">
        <f ca="1">SUMIFS('Корректировка НВВ'!$AG$25:$AG$129,'Корректировка НВВ'!$F$25:$F$129,$F137,'Корректировка НВВ'!$I$25:$I$129,$G137)</f>
        <v>0</v>
      </c>
      <c r="AU137" s="1153"/>
      <c r="AV137" s="1153"/>
      <c r="AW137" s="1153"/>
      <c r="AX137" s="1153"/>
      <c r="AY137" s="1153"/>
      <c r="AZ137" s="1153"/>
      <c r="BA137" s="1153"/>
      <c r="BB137" s="1153"/>
      <c r="BC137" s="1153"/>
      <c r="BD137" s="847"/>
      <c r="BE137" s="847"/>
      <c r="BF137" s="847"/>
      <c r="BG137" s="847"/>
      <c r="BH137" s="847"/>
      <c r="BI137" s="847"/>
      <c r="BJ137" s="847"/>
      <c r="BK137" s="847"/>
      <c r="BL137" s="847"/>
      <c r="BM137" s="847"/>
      <c r="BN137" s="1156"/>
      <c r="BO137" s="1154" t="str">
        <f ca="1">IF(IFERROR(INDEX('Корректировка НВВ'!$K$26:$L$129,MATCH($F137&amp;"1komm",'Корректировка НВВ'!$K$26:$K$129,0),2),"")=0,"",IFERROR(INDEX('Корректировка НВВ'!$K$26:$L$129,MATCH($F137&amp;"1komm",'Корректировка НВВ'!$K$26:$K$129,0),2),""))</f>
        <v/>
      </c>
      <c r="BP137" s="1156"/>
      <c r="BS137" s="966" t="s">
        <v>2004</v>
      </c>
    </row>
    <row r="138" spans="2:75" ht="98.65" hidden="1" customHeight="1">
      <c r="D138" s="26" t="str" cm="1">
        <f t="array" ref="D138">D137</f>
        <v>7</v>
      </c>
      <c r="E138" s="620">
        <v>101.25</v>
      </c>
      <c r="F138" s="3" cm="1">
        <f t="array" aca="1" ref="F138" ca="1">OFFSET(E138,-1,1)</f>
        <v>0</v>
      </c>
      <c r="G138" s="77" t="s">
        <v>2005</v>
      </c>
      <c r="I138" s="77" t="s">
        <v>528</v>
      </c>
      <c r="K138" s="77" t="s">
        <v>528</v>
      </c>
      <c r="L138" s="882"/>
      <c r="M138" s="26"/>
      <c r="T138" s="381" t="b" cm="1">
        <f t="array" aca="1" ref="T138" ca="1">T137</f>
        <v>0</v>
      </c>
      <c r="X138" s="1755"/>
      <c r="Z138" s="1735"/>
      <c r="AB138" s="216" t="str">
        <f>D138&amp;".2"</f>
        <v>7.2</v>
      </c>
      <c r="AC138" s="676" t="s">
        <v>2006</v>
      </c>
      <c r="AD138" s="216" t="s">
        <v>766</v>
      </c>
      <c r="AE138" s="1155"/>
      <c r="AF138" s="1155"/>
      <c r="AG138" s="1155"/>
      <c r="AH138" s="848">
        <f t="shared" si="25"/>
        <v>0</v>
      </c>
      <c r="AI138" s="1153"/>
      <c r="AJ138" s="1510">
        <f ca="1">SUMIFS('Корректировка НВВ'!$AF$25:$AF$129,'Корректировка НВВ'!$F$25:$F$129,$F138,'Корректировка НВВ'!$I$25:$I$129,$G138)</f>
        <v>0</v>
      </c>
      <c r="AK138" s="1153"/>
      <c r="AL138" s="1153"/>
      <c r="AM138" s="1153"/>
      <c r="AN138" s="1153"/>
      <c r="AO138" s="1153"/>
      <c r="AP138" s="1153"/>
      <c r="AQ138" s="1153"/>
      <c r="AR138" s="1153"/>
      <c r="AS138" s="1153"/>
      <c r="AT138" s="1510">
        <f ca="1">SUMIFS('Корректировка НВВ'!$AG$25:$AG$129,'Корректировка НВВ'!$F$25:$F$129,$F138,'Корректировка НВВ'!$I$25:$I$129,$G138)</f>
        <v>0</v>
      </c>
      <c r="AU138" s="1153"/>
      <c r="AV138" s="1153"/>
      <c r="AW138" s="1153"/>
      <c r="AX138" s="1153"/>
      <c r="AY138" s="1153"/>
      <c r="AZ138" s="1153"/>
      <c r="BA138" s="1153"/>
      <c r="BB138" s="1153"/>
      <c r="BC138" s="1153"/>
      <c r="BD138" s="847"/>
      <c r="BE138" s="847"/>
      <c r="BF138" s="847"/>
      <c r="BG138" s="847"/>
      <c r="BH138" s="847"/>
      <c r="BI138" s="847"/>
      <c r="BJ138" s="847"/>
      <c r="BK138" s="847"/>
      <c r="BL138" s="847"/>
      <c r="BM138" s="847"/>
      <c r="BN138" s="1156"/>
      <c r="BO138" s="1154" t="str">
        <f ca="1">IF(IFERROR(INDEX('Корректировка НВВ'!$K$26:$L$129,MATCH($F138&amp;"2komm",'Корректировка НВВ'!$K$26:$K$129,0),2),"")=0,"",IFERROR(INDEX('Корректировка НВВ'!$K$26:$L$129,MATCH($F138&amp;"2komm",'Корректировка НВВ'!$K$26:$K$129,0),2),""))</f>
        <v/>
      </c>
      <c r="BP138" s="1156"/>
      <c r="BS138" s="966" t="s">
        <v>2007</v>
      </c>
    </row>
    <row r="139" spans="2:75" ht="43.9" hidden="1" customHeight="1">
      <c r="D139" s="26" t="str" cm="1">
        <f t="array" ref="D139">D138</f>
        <v>7</v>
      </c>
      <c r="E139" s="620">
        <v>45</v>
      </c>
      <c r="F139" s="3" cm="1">
        <f t="array" aca="1" ref="F139" ca="1">OFFSET(E139,-1,1)</f>
        <v>0</v>
      </c>
      <c r="I139" s="77" t="s">
        <v>543</v>
      </c>
      <c r="K139" s="77" t="s">
        <v>543</v>
      </c>
      <c r="L139" s="882"/>
      <c r="M139" s="26"/>
      <c r="T139" s="381" t="b" cm="1">
        <f t="array" aca="1" ref="T139" ca="1">T138</f>
        <v>0</v>
      </c>
      <c r="X139" s="1755"/>
      <c r="Z139" s="1735"/>
      <c r="AB139" s="216" t="str">
        <f>D139&amp;".3"</f>
        <v>7.3</v>
      </c>
      <c r="AC139" s="676" t="s">
        <v>2008</v>
      </c>
      <c r="AD139" s="216" t="s">
        <v>766</v>
      </c>
      <c r="AE139" s="1155"/>
      <c r="AF139" s="1155"/>
      <c r="AG139" s="1155"/>
      <c r="AH139" s="848">
        <f t="shared" si="25"/>
        <v>0</v>
      </c>
      <c r="AI139" s="1153"/>
      <c r="AJ139" s="1510">
        <f ca="1">SUMIFS('Корректировка НВВ'!$AF$25:$AF$129,'Корректировка НВВ'!$F$25:$F$129,$F139,'Корректировка НВВ'!$I$25:$I$129,"L1")+SUMIFS('Корректировка НВВ'!$AF$25:$AF$129,'Корректировка НВВ'!$F$25:$F$129,$F139,'Корректировка НВВ'!$I$25:$I$129,"L2")</f>
        <v>0</v>
      </c>
      <c r="AK139" s="1153"/>
      <c r="AL139" s="1153"/>
      <c r="AM139" s="1153"/>
      <c r="AN139" s="1153"/>
      <c r="AO139" s="1153"/>
      <c r="AP139" s="1153"/>
      <c r="AQ139" s="1153"/>
      <c r="AR139" s="1153"/>
      <c r="AS139" s="1153"/>
      <c r="AT139" s="1510">
        <f ca="1">SUMIFS('Корректировка НВВ'!$AG$25:$AG$129,'Корректировка НВВ'!$F$25:$F$129,$F139,'Корректировка НВВ'!$I$25:$I$129,"L1")+SUMIFS('Корректировка НВВ'!$AF$25:$AF$129,'Корректировка НВВ'!$F$25:$F$129,$F139,'Корректировка НВВ'!$I$25:$I$129,"L2")</f>
        <v>0</v>
      </c>
      <c r="AU139" s="1153"/>
      <c r="AV139" s="1153"/>
      <c r="AW139" s="1153"/>
      <c r="AX139" s="1153"/>
      <c r="AY139" s="1153"/>
      <c r="AZ139" s="1153"/>
      <c r="BA139" s="1153"/>
      <c r="BB139" s="1153"/>
      <c r="BC139" s="1153"/>
      <c r="BD139" s="847"/>
      <c r="BE139" s="847"/>
      <c r="BF139" s="847"/>
      <c r="BG139" s="847"/>
      <c r="BH139" s="847"/>
      <c r="BI139" s="847"/>
      <c r="BJ139" s="847"/>
      <c r="BK139" s="847"/>
      <c r="BL139" s="847"/>
      <c r="BM139" s="847"/>
      <c r="BN139" s="1156"/>
      <c r="BO139" s="1154"/>
      <c r="BP139" s="1156"/>
      <c r="BS139" s="966" t="s">
        <v>2009</v>
      </c>
    </row>
    <row r="140" spans="2:75" ht="87.75" hidden="1" customHeight="1">
      <c r="B140" s="362" t="b">
        <f>S27="Водоотведение"</f>
        <v>0</v>
      </c>
      <c r="D140" s="26" t="str" cm="1">
        <f t="array" ref="D140">D139</f>
        <v>7</v>
      </c>
      <c r="E140" s="620">
        <v>90</v>
      </c>
      <c r="F140" s="3" cm="1">
        <f t="array" aca="1" ref="F140" ca="1">OFFSET(E140,-1,1)</f>
        <v>0</v>
      </c>
      <c r="G140" s="77" t="s">
        <v>2010</v>
      </c>
      <c r="H140" s="2"/>
      <c r="I140" s="77" t="s">
        <v>712</v>
      </c>
      <c r="K140" s="77" t="s">
        <v>712</v>
      </c>
      <c r="L140" s="882" t="s">
        <v>709</v>
      </c>
      <c r="M140" s="26"/>
      <c r="T140" s="381" t="b" cm="1">
        <f t="array" aca="1" ref="T140" ca="1">T139</f>
        <v>0</v>
      </c>
      <c r="X140" s="1755"/>
      <c r="Z140" s="1735"/>
      <c r="AB140" s="216" t="str">
        <f>D140&amp;".4"</f>
        <v>7.4</v>
      </c>
      <c r="AC140" s="676" t="s">
        <v>1665</v>
      </c>
      <c r="AD140" s="680" t="s">
        <v>766</v>
      </c>
      <c r="AE140" s="1155"/>
      <c r="AF140" s="1155"/>
      <c r="AG140" s="1155"/>
      <c r="AH140" s="848">
        <f t="shared" si="25"/>
        <v>0</v>
      </c>
      <c r="AI140" s="1153"/>
      <c r="AJ140" s="1510">
        <f ca="1">SUMIFS('Корректировка НВВ'!$AF$25:$AF$129,'Корректировка НВВ'!$F$25:$F$129,$F140,'Корректировка НВВ'!$I$25:$I$129,$G140)</f>
        <v>0</v>
      </c>
      <c r="AK140" s="1153"/>
      <c r="AL140" s="1153"/>
      <c r="AM140" s="1153"/>
      <c r="AN140" s="1153"/>
      <c r="AO140" s="1153"/>
      <c r="AP140" s="1153"/>
      <c r="AQ140" s="1153"/>
      <c r="AR140" s="1153"/>
      <c r="AS140" s="1153"/>
      <c r="AT140" s="1510">
        <f ca="1">SUMIFS('Корректировка НВВ'!$AG$25:$AG$129,'Корректировка НВВ'!$F$25:$F$129,$F140,'Корректировка НВВ'!$I$25:$I$129,$G140)</f>
        <v>0</v>
      </c>
      <c r="AU140" s="1153"/>
      <c r="AV140" s="1153"/>
      <c r="AW140" s="1153"/>
      <c r="AX140" s="1153"/>
      <c r="AY140" s="1153"/>
      <c r="AZ140" s="1153"/>
      <c r="BA140" s="1153"/>
      <c r="BB140" s="1153"/>
      <c r="BC140" s="1153"/>
      <c r="BD140" s="847"/>
      <c r="BE140" s="847"/>
      <c r="BF140" s="847"/>
      <c r="BG140" s="847"/>
      <c r="BH140" s="847"/>
      <c r="BI140" s="847"/>
      <c r="BJ140" s="847"/>
      <c r="BK140" s="847"/>
      <c r="BL140" s="847"/>
      <c r="BM140" s="847"/>
      <c r="BN140" s="1156"/>
      <c r="BO140" s="1154" t="str">
        <f ca="1">IF(IFERROR(INDEX('Корректировка НВВ'!$K$26:$L$129,MATCH($F140&amp;"3komm",'Корректировка НВВ'!$K$26:$K$129,0),2),"")=0,"",IFERROR(INDEX('Корректировка НВВ'!$K$26:$L$129,MATCH($F140&amp;"3komm",'Корректировка НВВ'!$K$26:$K$129,0),2),""))</f>
        <v/>
      </c>
      <c r="BP140" s="1156"/>
      <c r="BS140" s="966" t="s">
        <v>1216</v>
      </c>
    </row>
    <row r="141" spans="2:75" ht="54.75" hidden="1" customHeight="1">
      <c r="B141" s="362" t="b" cm="1">
        <f t="array" ref="B141">B140</f>
        <v>0</v>
      </c>
      <c r="D141" s="26" t="str" cm="1">
        <f t="array" ref="D141">D140</f>
        <v>7</v>
      </c>
      <c r="E141" s="620">
        <v>56.25</v>
      </c>
      <c r="F141" s="3" cm="1">
        <f t="array" aca="1" ref="F141" ca="1">OFFSET(E141,-1,1)</f>
        <v>0</v>
      </c>
      <c r="G141" s="77" t="s">
        <v>2011</v>
      </c>
      <c r="H141" s="2"/>
      <c r="I141" s="77" t="s">
        <v>744</v>
      </c>
      <c r="K141" s="77" t="s">
        <v>744</v>
      </c>
      <c r="L141" s="882" t="s">
        <v>712</v>
      </c>
      <c r="M141" s="26"/>
      <c r="T141" s="381" t="b" cm="1">
        <f t="array" aca="1" ref="T141" ca="1">T140</f>
        <v>0</v>
      </c>
      <c r="X141" s="1755"/>
      <c r="Z141" s="1735"/>
      <c r="AB141" s="216" t="str">
        <f>D141&amp;".5"</f>
        <v>7.5</v>
      </c>
      <c r="AC141" s="676" t="s">
        <v>1667</v>
      </c>
      <c r="AD141" s="680" t="s">
        <v>766</v>
      </c>
      <c r="AE141" s="1155"/>
      <c r="AF141" s="1155"/>
      <c r="AG141" s="1155"/>
      <c r="AH141" s="848">
        <f t="shared" si="25"/>
        <v>0</v>
      </c>
      <c r="AI141" s="1153"/>
      <c r="AJ141" s="1510">
        <f ca="1">SUMIFS('Корректировка НВВ'!$AF$25:$AF$129,'Корректировка НВВ'!$F$25:$F$129,$F141,'Корректировка НВВ'!$I$25:$I$129,$G141)</f>
        <v>0</v>
      </c>
      <c r="AK141" s="1153"/>
      <c r="AL141" s="1153"/>
      <c r="AM141" s="1153"/>
      <c r="AN141" s="1153"/>
      <c r="AO141" s="1153"/>
      <c r="AP141" s="1153"/>
      <c r="AQ141" s="1153"/>
      <c r="AR141" s="1153"/>
      <c r="AS141" s="1153"/>
      <c r="AT141" s="1510">
        <f ca="1">SUMIFS('Корректировка НВВ'!$AG$25:$AG$129,'Корректировка НВВ'!$F$25:$F$129,$F141,'Корректировка НВВ'!$I$25:$I$129,$G141)</f>
        <v>0</v>
      </c>
      <c r="AU141" s="1153"/>
      <c r="AV141" s="1153"/>
      <c r="AW141" s="1153"/>
      <c r="AX141" s="1153"/>
      <c r="AY141" s="1153"/>
      <c r="AZ141" s="1153"/>
      <c r="BA141" s="1153"/>
      <c r="BB141" s="1153"/>
      <c r="BC141" s="1153"/>
      <c r="BD141" s="847"/>
      <c r="BE141" s="847"/>
      <c r="BF141" s="847"/>
      <c r="BG141" s="847"/>
      <c r="BH141" s="847"/>
      <c r="BI141" s="847"/>
      <c r="BJ141" s="847"/>
      <c r="BK141" s="847"/>
      <c r="BL141" s="847"/>
      <c r="BM141" s="847"/>
      <c r="BN141" s="1156"/>
      <c r="BO141" s="1154" t="str">
        <f ca="1">IF(IFERROR(INDEX('Корректировка НВВ'!$K$26:$L$129,MATCH($F141&amp;"4komm",'Корректировка НВВ'!$K$26:$K$129,0),2),"")=0,"",IFERROR(INDEX('Корректировка НВВ'!$K$26:$L$129,MATCH($F141&amp;"4komm",'Корректировка НВВ'!$K$26:$K$129,0),2),""))</f>
        <v/>
      </c>
      <c r="BP141" s="1156"/>
      <c r="BS141" s="966" t="s">
        <v>1220</v>
      </c>
    </row>
    <row r="142" spans="2:75" ht="14.65" hidden="1" customHeight="1">
      <c r="D142" s="26" t="str" cm="1">
        <f t="array" ref="D142">D141</f>
        <v>7</v>
      </c>
      <c r="E142" s="620">
        <v>15</v>
      </c>
      <c r="F142" s="3" cm="1">
        <f t="array" aca="1" ref="F142" ca="1">OFFSET(E142,-1,1)</f>
        <v>0</v>
      </c>
      <c r="G142" s="77" t="s">
        <v>2012</v>
      </c>
      <c r="I142" s="77" t="s">
        <v>745</v>
      </c>
      <c r="K142" s="77" t="s">
        <v>745</v>
      </c>
      <c r="L142" s="882" t="s">
        <v>744</v>
      </c>
      <c r="M142" s="26"/>
      <c r="T142" s="381" t="b" cm="1">
        <f t="array" aca="1" ref="T142" ca="1">T141</f>
        <v>0</v>
      </c>
      <c r="X142" s="1755"/>
      <c r="Z142" s="1735"/>
      <c r="AB142" s="216" t="str">
        <f>IF(B141,D142&amp;".6",D142&amp;".4")</f>
        <v>7.4</v>
      </c>
      <c r="AC142" s="676" t="s">
        <v>1433</v>
      </c>
      <c r="AD142" s="216" t="s">
        <v>766</v>
      </c>
      <c r="AE142" s="1155"/>
      <c r="AF142" s="1155"/>
      <c r="AG142" s="1155"/>
      <c r="AH142" s="848">
        <f t="shared" si="25"/>
        <v>0</v>
      </c>
      <c r="AI142" s="1153"/>
      <c r="AJ142" s="1510">
        <f ca="1">SUMIFS('Корректировка НВВ'!$AF$25:$AF$129,'Корректировка НВВ'!$F$25:$F$129,$F142,'Корректировка НВВ'!$I$25:$I$129,$G142)</f>
        <v>0</v>
      </c>
      <c r="AK142" s="1153"/>
      <c r="AL142" s="1153"/>
      <c r="AM142" s="1153"/>
      <c r="AN142" s="1153"/>
      <c r="AO142" s="1153"/>
      <c r="AP142" s="1153"/>
      <c r="AQ142" s="1153"/>
      <c r="AR142" s="1153"/>
      <c r="AS142" s="1153"/>
      <c r="AT142" s="1510">
        <f ca="1">SUMIFS('Корректировка НВВ'!$AG$25:$AG$129,'Корректировка НВВ'!$F$25:$F$129,$F142,'Корректировка НВВ'!$I$25:$I$129,$G142)</f>
        <v>0</v>
      </c>
      <c r="AU142" s="1153"/>
      <c r="AV142" s="1153"/>
      <c r="AW142" s="1153"/>
      <c r="AX142" s="1153"/>
      <c r="AY142" s="1153"/>
      <c r="AZ142" s="1153"/>
      <c r="BA142" s="1153"/>
      <c r="BB142" s="1153"/>
      <c r="BC142" s="1153"/>
      <c r="BD142" s="847"/>
      <c r="BE142" s="847"/>
      <c r="BF142" s="847"/>
      <c r="BG142" s="847"/>
      <c r="BH142" s="847"/>
      <c r="BI142" s="847"/>
      <c r="BJ142" s="847"/>
      <c r="BK142" s="847"/>
      <c r="BL142" s="847"/>
      <c r="BM142" s="847"/>
      <c r="BN142" s="1156"/>
      <c r="BO142" s="1154" t="str">
        <f ca="1">IF(IFERROR(INDEX('Корректировка НВВ'!$K$26:$L$129,MATCH($F142&amp;"5komm",'Корректировка НВВ'!$K$26:$K$129,0),2),"")=0,"",IFERROR(INDEX('Корректировка НВВ'!$K$26:$L$129,MATCH($F142&amp;"5komm",'Корректировка НВВ'!$K$26:$K$129,0),2),""))</f>
        <v/>
      </c>
      <c r="BP142" s="1156"/>
      <c r="BS142" s="966" t="s">
        <v>2013</v>
      </c>
    </row>
    <row r="143" spans="2:75" ht="14.65" hidden="1" customHeight="1">
      <c r="D143" s="26" t="str" cm="1">
        <f t="array" ref="D143">D142</f>
        <v>7</v>
      </c>
      <c r="E143" s="620">
        <v>15</v>
      </c>
      <c r="F143" s="3" cm="1">
        <f t="array" aca="1" ref="F143" ca="1">OFFSET(E143,-1,1)</f>
        <v>0</v>
      </c>
      <c r="G143" s="77" t="s">
        <v>2014</v>
      </c>
      <c r="I143" s="77" t="s">
        <v>1677</v>
      </c>
      <c r="K143" s="77" t="s">
        <v>1677</v>
      </c>
      <c r="L143" s="882" t="s">
        <v>745</v>
      </c>
      <c r="M143" s="26"/>
      <c r="T143" s="381" t="b" cm="1">
        <f t="array" aca="1" ref="T143" ca="1">T142</f>
        <v>0</v>
      </c>
      <c r="X143" s="1755"/>
      <c r="Z143" s="1735"/>
      <c r="AB143" s="216" t="str">
        <f>IF(B141,D142&amp;".7",D142&amp;".5")</f>
        <v>7.5</v>
      </c>
      <c r="AC143" s="676" t="s">
        <v>1395</v>
      </c>
      <c r="AD143" s="216" t="s">
        <v>766</v>
      </c>
      <c r="AE143" s="1155">
        <f>AE144+AE145</f>
        <v>0</v>
      </c>
      <c r="AF143" s="1155">
        <f>AF144+AF145</f>
        <v>0</v>
      </c>
      <c r="AG143" s="1155">
        <f>AG144+AG145</f>
        <v>0</v>
      </c>
      <c r="AH143" s="848">
        <f t="shared" si="25"/>
        <v>0</v>
      </c>
      <c r="AI143" s="1153">
        <f>AI144+AI145</f>
        <v>0</v>
      </c>
      <c r="AJ143" s="1510">
        <f ca="1">SUMIFS('Корректировка НВВ'!$AF$25:$AF$129,'Корректировка НВВ'!$F$25:$F$129,$F143,'Корректировка НВВ'!$I$25:$I$129,$G143)</f>
        <v>0</v>
      </c>
      <c r="AK143" s="1153">
        <f t="shared" ref="AK143:AS143" si="26">AK144+AK145</f>
        <v>0</v>
      </c>
      <c r="AL143" s="1153">
        <f t="shared" si="26"/>
        <v>0</v>
      </c>
      <c r="AM143" s="1153">
        <f t="shared" si="26"/>
        <v>0</v>
      </c>
      <c r="AN143" s="1153">
        <f t="shared" si="26"/>
        <v>0</v>
      </c>
      <c r="AO143" s="1153">
        <f t="shared" si="26"/>
        <v>0</v>
      </c>
      <c r="AP143" s="1153">
        <f t="shared" si="26"/>
        <v>0</v>
      </c>
      <c r="AQ143" s="1153">
        <f t="shared" si="26"/>
        <v>0</v>
      </c>
      <c r="AR143" s="1153">
        <f t="shared" si="26"/>
        <v>0</v>
      </c>
      <c r="AS143" s="1153">
        <f t="shared" si="26"/>
        <v>0</v>
      </c>
      <c r="AT143" s="1510">
        <f ca="1">SUMIFS('Корректировка НВВ'!$AG$25:$AG$129,'Корректировка НВВ'!$F$25:$F$129,$F143,'Корректировка НВВ'!$I$25:$I$129,$G143)</f>
        <v>0</v>
      </c>
      <c r="AU143" s="1153">
        <f t="shared" ref="AU143:BC143" si="27">AU144+AU145</f>
        <v>0</v>
      </c>
      <c r="AV143" s="1153">
        <f t="shared" si="27"/>
        <v>0</v>
      </c>
      <c r="AW143" s="1153">
        <f t="shared" si="27"/>
        <v>0</v>
      </c>
      <c r="AX143" s="1153">
        <f t="shared" si="27"/>
        <v>0</v>
      </c>
      <c r="AY143" s="1153">
        <f t="shared" si="27"/>
        <v>0</v>
      </c>
      <c r="AZ143" s="1153">
        <f t="shared" si="27"/>
        <v>0</v>
      </c>
      <c r="BA143" s="1153">
        <f t="shared" si="27"/>
        <v>0</v>
      </c>
      <c r="BB143" s="1153">
        <f t="shared" si="27"/>
        <v>0</v>
      </c>
      <c r="BC143" s="1153">
        <f t="shared" si="27"/>
        <v>0</v>
      </c>
      <c r="BD143" s="848">
        <f>IF(AI143=0,0,(AT143-AI143)/AI143*100)</f>
        <v>0</v>
      </c>
      <c r="BE143" s="848">
        <f t="shared" ref="BE143:BM143" ca="1" si="28">IF(AT143=0,0,(AU143-AT143)/AT143*100)</f>
        <v>0</v>
      </c>
      <c r="BF143" s="848">
        <f t="shared" si="28"/>
        <v>0</v>
      </c>
      <c r="BG143" s="848">
        <f t="shared" si="28"/>
        <v>0</v>
      </c>
      <c r="BH143" s="848">
        <f t="shared" si="28"/>
        <v>0</v>
      </c>
      <c r="BI143" s="848">
        <f t="shared" si="28"/>
        <v>0</v>
      </c>
      <c r="BJ143" s="848">
        <f t="shared" si="28"/>
        <v>0</v>
      </c>
      <c r="BK143" s="848">
        <f t="shared" si="28"/>
        <v>0</v>
      </c>
      <c r="BL143" s="848">
        <f t="shared" si="28"/>
        <v>0</v>
      </c>
      <c r="BM143" s="848">
        <f t="shared" si="28"/>
        <v>0</v>
      </c>
      <c r="BN143" s="1156"/>
      <c r="BO143" s="1154" t="str">
        <f ca="1">IF(IFERROR(INDEX('Корректировка НВВ'!$K$26:$L$129,MATCH($F143&amp;"6komm",'Корректировка НВВ'!$K$26:$K$129,0),2),"")=0,"",IFERROR(INDEX('Корректировка НВВ'!$K$26:$L$129,MATCH($F143&amp;"6komm",'Корректировка НВВ'!$K$26:$K$129,0),2),""))</f>
        <v/>
      </c>
      <c r="BP143" s="1156"/>
      <c r="BS143" s="966" t="s">
        <v>1397</v>
      </c>
    </row>
    <row r="144" spans="2:75" ht="21.95" hidden="1" customHeight="1">
      <c r="D144" s="26" t="str" cm="1">
        <f t="array" ref="D144">D143</f>
        <v>7</v>
      </c>
      <c r="E144" s="620">
        <v>22.5</v>
      </c>
      <c r="F144" s="3" cm="1">
        <f t="array" aca="1" ref="F144" ca="1">OFFSET(E144,-1,1)</f>
        <v>0</v>
      </c>
      <c r="G144" s="77" t="s">
        <v>2015</v>
      </c>
      <c r="I144" s="77" t="s">
        <v>2016</v>
      </c>
      <c r="K144" s="77" t="s">
        <v>2016</v>
      </c>
      <c r="L144" s="882" t="s">
        <v>1672</v>
      </c>
      <c r="M144" s="26"/>
      <c r="T144" s="381" t="b" cm="1">
        <f t="array" aca="1" ref="T144" ca="1">T143</f>
        <v>0</v>
      </c>
      <c r="X144" s="1755"/>
      <c r="Z144" s="1735"/>
      <c r="AB144" s="216" t="str">
        <f>AB143&amp;".1"</f>
        <v>7.5.1</v>
      </c>
      <c r="AC144" s="695" t="s">
        <v>1398</v>
      </c>
      <c r="AD144" s="216" t="s">
        <v>766</v>
      </c>
      <c r="AE144" s="1155"/>
      <c r="AF144" s="1155"/>
      <c r="AG144" s="1155"/>
      <c r="AH144" s="848">
        <f t="shared" si="25"/>
        <v>0</v>
      </c>
      <c r="AI144" s="1153"/>
      <c r="AJ144" s="1510">
        <f ca="1">SUMIFS('Корректировка НВВ'!$AF$25:$AF$129,'Корректировка НВВ'!$F$25:$F$129,$F144,'Корректировка НВВ'!$I$25:$I$129,$G144)</f>
        <v>0</v>
      </c>
      <c r="AK144" s="1153"/>
      <c r="AL144" s="1153"/>
      <c r="AM144" s="1153"/>
      <c r="AN144" s="1153"/>
      <c r="AO144" s="1153"/>
      <c r="AP144" s="1153"/>
      <c r="AQ144" s="1153"/>
      <c r="AR144" s="1153"/>
      <c r="AS144" s="1153"/>
      <c r="AT144" s="1510">
        <f ca="1">SUMIFS('Корректировка НВВ'!$AG$25:$AG$129,'Корректировка НВВ'!$F$25:$F$129,$F144,'Корректировка НВВ'!$I$25:$I$129,$G144)</f>
        <v>0</v>
      </c>
      <c r="AU144" s="1153"/>
      <c r="AV144" s="1153"/>
      <c r="AW144" s="1153"/>
      <c r="AX144" s="1153"/>
      <c r="AY144" s="1153"/>
      <c r="AZ144" s="1153"/>
      <c r="BA144" s="1153"/>
      <c r="BB144" s="1153"/>
      <c r="BC144" s="1153"/>
      <c r="BD144" s="847"/>
      <c r="BE144" s="847"/>
      <c r="BF144" s="847"/>
      <c r="BG144" s="847"/>
      <c r="BH144" s="847"/>
      <c r="BI144" s="847"/>
      <c r="BJ144" s="847"/>
      <c r="BK144" s="847"/>
      <c r="BL144" s="847"/>
      <c r="BM144" s="847"/>
      <c r="BN144" s="1156"/>
      <c r="BO144" s="1154" t="str">
        <f ca="1">IF(IFERROR(INDEX('Корректировка НВВ'!$K$26:$L$129,MATCH($F144&amp;"7komm",'Корректировка НВВ'!$K$26:$K$129,0),2),"")=0,"",IFERROR(INDEX('Корректировка НВВ'!$K$26:$L$129,MATCH($F144&amp;"7komm",'Корректировка НВВ'!$K$26:$K$129,0),2),""))</f>
        <v/>
      </c>
      <c r="BP144" s="1156"/>
      <c r="BS144" s="966" t="s">
        <v>1399</v>
      </c>
    </row>
    <row r="145" spans="2:75" ht="21.95" hidden="1" customHeight="1">
      <c r="D145" s="26" t="str" cm="1">
        <f t="array" ref="D145">D144</f>
        <v>7</v>
      </c>
      <c r="E145" s="620">
        <v>22.5</v>
      </c>
      <c r="F145" s="3" cm="1">
        <f t="array" aca="1" ref="F145" ca="1">OFFSET(E145,-1,1)</f>
        <v>0</v>
      </c>
      <c r="G145" s="77" t="s">
        <v>2017</v>
      </c>
      <c r="I145" s="77" t="s">
        <v>2018</v>
      </c>
      <c r="K145" s="77" t="s">
        <v>2018</v>
      </c>
      <c r="L145" s="882" t="s">
        <v>1674</v>
      </c>
      <c r="M145" s="26"/>
      <c r="T145" s="381" t="b" cm="1">
        <f t="array" aca="1" ref="T145" ca="1">T144</f>
        <v>0</v>
      </c>
      <c r="X145" s="1755"/>
      <c r="Z145" s="1735"/>
      <c r="AB145" s="216" t="str">
        <f>AB143&amp;".2"</f>
        <v>7.5.2</v>
      </c>
      <c r="AC145" s="695" t="s">
        <v>1400</v>
      </c>
      <c r="AD145" s="216" t="s">
        <v>766</v>
      </c>
      <c r="AE145" s="1155"/>
      <c r="AF145" s="1155"/>
      <c r="AG145" s="1155"/>
      <c r="AH145" s="848">
        <f t="shared" si="25"/>
        <v>0</v>
      </c>
      <c r="AI145" s="1153"/>
      <c r="AJ145" s="1510">
        <f ca="1">SUMIFS('Корректировка НВВ'!$AF$25:$AF$129,'Корректировка НВВ'!$F$25:$F$129,$F145,'Корректировка НВВ'!$I$25:$I$129,$G145)</f>
        <v>0</v>
      </c>
      <c r="AK145" s="1153"/>
      <c r="AL145" s="1153"/>
      <c r="AM145" s="1153"/>
      <c r="AN145" s="1153"/>
      <c r="AO145" s="1153"/>
      <c r="AP145" s="1153"/>
      <c r="AQ145" s="1153"/>
      <c r="AR145" s="1153"/>
      <c r="AS145" s="1153"/>
      <c r="AT145" s="1510">
        <f ca="1">SUMIFS('Корректировка НВВ'!$AG$25:$AG$129,'Корректировка НВВ'!$F$25:$F$129,$F145,'Корректировка НВВ'!$I$25:$I$129,$G145)</f>
        <v>0</v>
      </c>
      <c r="AU145" s="1153"/>
      <c r="AV145" s="1153"/>
      <c r="AW145" s="1153"/>
      <c r="AX145" s="1153"/>
      <c r="AY145" s="1153"/>
      <c r="AZ145" s="1153"/>
      <c r="BA145" s="1153"/>
      <c r="BB145" s="1153"/>
      <c r="BC145" s="1153"/>
      <c r="BD145" s="847"/>
      <c r="BE145" s="847"/>
      <c r="BF145" s="847"/>
      <c r="BG145" s="847"/>
      <c r="BH145" s="847"/>
      <c r="BI145" s="847"/>
      <c r="BJ145" s="847"/>
      <c r="BK145" s="847"/>
      <c r="BL145" s="847"/>
      <c r="BM145" s="847"/>
      <c r="BN145" s="1156"/>
      <c r="BO145" s="1154" t="str">
        <f ca="1">IF(IFERROR(INDEX('Корректировка НВВ'!$K$26:$L$129,MATCH($F145&amp;"8komm",'Корректировка НВВ'!$K$26:$K$129,0),2),"")=0,"",IFERROR(INDEX('Корректировка НВВ'!$K$26:$L$129,MATCH($F145&amp;"8komm",'Корректировка НВВ'!$K$26:$K$129,0),2),""))</f>
        <v/>
      </c>
      <c r="BP145" s="1156"/>
      <c r="BS145" s="966" t="s">
        <v>1401</v>
      </c>
    </row>
    <row r="146" spans="2:75" ht="14.65" hidden="1" customHeight="1">
      <c r="D146" s="26" t="str" cm="1">
        <f t="array" ref="D146">D145</f>
        <v>7</v>
      </c>
      <c r="E146" s="620">
        <v>15</v>
      </c>
      <c r="F146" s="3" cm="1">
        <f t="array" aca="1" ref="F146" ca="1">OFFSET(E146,-1,1)</f>
        <v>0</v>
      </c>
      <c r="G146" s="77" t="s">
        <v>310</v>
      </c>
      <c r="I146" s="77" t="s">
        <v>1678</v>
      </c>
      <c r="K146" s="77" t="s">
        <v>1678</v>
      </c>
      <c r="L146" s="882" t="s">
        <v>1677</v>
      </c>
      <c r="M146" s="26"/>
      <c r="T146" s="381" t="b" cm="1">
        <f t="array" aca="1" ref="T146" ca="1">T145</f>
        <v>0</v>
      </c>
      <c r="X146" s="1755"/>
      <c r="Z146" s="1735"/>
      <c r="AB146" s="216" t="str">
        <f>IF(B141,D142&amp;".8",D142&amp;".6")</f>
        <v>7.6</v>
      </c>
      <c r="AC146" s="696" t="s">
        <v>1402</v>
      </c>
      <c r="AD146" s="216" t="s">
        <v>766</v>
      </c>
      <c r="AE146" s="1155"/>
      <c r="AF146" s="1155"/>
      <c r="AG146" s="1155"/>
      <c r="AH146" s="848">
        <f t="shared" si="25"/>
        <v>0</v>
      </c>
      <c r="AI146" s="1153"/>
      <c r="AJ146" s="1510">
        <f ca="1">SUMIFS('Корректировка НВВ'!$AF$25:$AF$129,'Корректировка НВВ'!$F$25:$F$129,$F146,'Корректировка НВВ'!$I$25:$I$129,$G146)</f>
        <v>0</v>
      </c>
      <c r="AK146" s="1153"/>
      <c r="AL146" s="1153"/>
      <c r="AM146" s="1153"/>
      <c r="AN146" s="1153"/>
      <c r="AO146" s="1153"/>
      <c r="AP146" s="1153"/>
      <c r="AQ146" s="1153"/>
      <c r="AR146" s="1153"/>
      <c r="AS146" s="1153"/>
      <c r="AT146" s="1510">
        <f ca="1">SUMIFS('Корректировка НВВ'!$AG$25:$AG$129,'Корректировка НВВ'!$F$25:$F$129,$F146,'Корректировка НВВ'!$I$25:$I$129,$G146)</f>
        <v>0</v>
      </c>
      <c r="AU146" s="1153"/>
      <c r="AV146" s="1153"/>
      <c r="AW146" s="1153"/>
      <c r="AX146" s="1153"/>
      <c r="AY146" s="1153"/>
      <c r="AZ146" s="1153"/>
      <c r="BA146" s="1153"/>
      <c r="BB146" s="1153"/>
      <c r="BC146" s="1153"/>
      <c r="BD146" s="847"/>
      <c r="BE146" s="847"/>
      <c r="BF146" s="847"/>
      <c r="BG146" s="847"/>
      <c r="BH146" s="847"/>
      <c r="BI146" s="847"/>
      <c r="BJ146" s="847"/>
      <c r="BK146" s="847"/>
      <c r="BL146" s="847"/>
      <c r="BM146" s="847"/>
      <c r="BN146" s="1156"/>
      <c r="BO146" s="1154" t="str">
        <f ca="1">IF(IFERROR(INDEX('Корректировка НВВ'!$K$26:$L$129,MATCH($F146&amp;"9komm",'Корректировка НВВ'!$K$26:$K$129,0),2),"")=0,"",IFERROR(INDEX('Корректировка НВВ'!$K$26:$L$129,MATCH($F146&amp;"9komm",'Корректировка НВВ'!$K$26:$K$129,0),2),""))</f>
        <v/>
      </c>
      <c r="BP146" s="1156"/>
      <c r="BS146" s="966" t="s">
        <v>2019</v>
      </c>
    </row>
    <row r="147" spans="2:75" ht="14.65" hidden="1" customHeight="1">
      <c r="D147" s="26" t="str" cm="1">
        <f t="array" ref="D147">D146</f>
        <v>7</v>
      </c>
      <c r="E147" s="620">
        <v>15</v>
      </c>
      <c r="F147" s="3" cm="1">
        <f t="array" aca="1" ref="F147" ca="1">OFFSET(E147,-1,1)</f>
        <v>0</v>
      </c>
      <c r="G147" s="77" t="s">
        <v>2020</v>
      </c>
      <c r="I147" s="77" t="s">
        <v>1680</v>
      </c>
      <c r="K147" s="77" t="s">
        <v>1680</v>
      </c>
      <c r="L147" s="882" t="s">
        <v>1678</v>
      </c>
      <c r="M147" s="26"/>
      <c r="T147" s="381" t="b" cm="1">
        <f t="array" aca="1" ref="T147" ca="1">T146</f>
        <v>0</v>
      </c>
      <c r="X147" s="1755"/>
      <c r="Z147" s="1735"/>
      <c r="AB147" s="216" t="str">
        <f>IF(B141,D142&amp;".9",D142&amp;".7")</f>
        <v>7.7</v>
      </c>
      <c r="AC147" s="696" t="s">
        <v>1404</v>
      </c>
      <c r="AD147" s="216" t="s">
        <v>766</v>
      </c>
      <c r="AE147" s="1155"/>
      <c r="AF147" s="1155"/>
      <c r="AG147" s="1155"/>
      <c r="AH147" s="848">
        <f t="shared" si="25"/>
        <v>0</v>
      </c>
      <c r="AI147" s="1153"/>
      <c r="AJ147" s="1510">
        <f ca="1">SUMIFS('Корректировка НВВ'!$AF$25:$AF$129,'Корректировка НВВ'!$F$25:$F$129,$F147,'Корректировка НВВ'!$I$25:$I$129,$G147)</f>
        <v>0</v>
      </c>
      <c r="AK147" s="1153"/>
      <c r="AL147" s="1153"/>
      <c r="AM147" s="1153"/>
      <c r="AN147" s="1153"/>
      <c r="AO147" s="1153"/>
      <c r="AP147" s="1153"/>
      <c r="AQ147" s="1153"/>
      <c r="AR147" s="1153"/>
      <c r="AS147" s="1153"/>
      <c r="AT147" s="1510">
        <f ca="1">SUMIFS('Корректировка НВВ'!$AG$25:$AG$129,'Корректировка НВВ'!$F$25:$F$129,$F147,'Корректировка НВВ'!$I$25:$I$129,$G147)</f>
        <v>0</v>
      </c>
      <c r="AU147" s="1153"/>
      <c r="AV147" s="1153"/>
      <c r="AW147" s="1153"/>
      <c r="AX147" s="1153"/>
      <c r="AY147" s="1153"/>
      <c r="AZ147" s="1153"/>
      <c r="BA147" s="1153"/>
      <c r="BB147" s="1153"/>
      <c r="BC147" s="1153"/>
      <c r="BD147" s="847"/>
      <c r="BE147" s="847"/>
      <c r="BF147" s="847"/>
      <c r="BG147" s="847"/>
      <c r="BH147" s="847"/>
      <c r="BI147" s="847"/>
      <c r="BJ147" s="847"/>
      <c r="BK147" s="847"/>
      <c r="BL147" s="847"/>
      <c r="BM147" s="847"/>
      <c r="BN147" s="1156"/>
      <c r="BO147" s="1154" t="str">
        <f ca="1">IF(IFERROR(INDEX('Корректировка НВВ'!$K$26:$L$129,MATCH($F147&amp;"10komm",'Корректировка НВВ'!$K$26:$K$129,0),2),"")=0,"",IFERROR(INDEX('Корректировка НВВ'!$K$26:$L$129,MATCH($F147&amp;"10komm",'Корректировка НВВ'!$K$26:$K$129,0),2),""))</f>
        <v/>
      </c>
      <c r="BP147" s="1156"/>
      <c r="BS147" s="966" t="s">
        <v>1405</v>
      </c>
    </row>
    <row r="148" spans="2:75" s="617" customFormat="1" ht="20.45" hidden="1" customHeight="1">
      <c r="B148" s="352"/>
      <c r="D148" s="28">
        <f>D147+1</f>
        <v>8</v>
      </c>
      <c r="E148" s="624">
        <v>21</v>
      </c>
      <c r="F148" s="3" cm="1">
        <f t="array" aca="1" ref="F148" ca="1">OFFSET(E148,-1,1)</f>
        <v>0</v>
      </c>
      <c r="I148" s="81" t="s">
        <v>551</v>
      </c>
      <c r="K148" s="81" t="s">
        <v>551</v>
      </c>
      <c r="L148" s="887"/>
      <c r="M148" s="28"/>
      <c r="T148" s="381" t="b" cm="1">
        <f t="array" aca="1" ref="T148" ca="1">T147</f>
        <v>0</v>
      </c>
      <c r="X148" s="1755"/>
      <c r="Z148" s="1735"/>
      <c r="AB148" s="129" cm="1">
        <f t="array" ref="AB148">D148</f>
        <v>8</v>
      </c>
      <c r="AC148" s="130" t="s">
        <v>2021</v>
      </c>
      <c r="AD148" s="129" t="s">
        <v>766</v>
      </c>
      <c r="AE148" s="1137"/>
      <c r="AF148" s="1137"/>
      <c r="AG148" s="1137"/>
      <c r="AH148" s="675">
        <f t="shared" si="25"/>
        <v>0</v>
      </c>
      <c r="AI148" s="1146"/>
      <c r="AJ148" s="1475"/>
      <c r="AK148" s="1146"/>
      <c r="AL148" s="1146"/>
      <c r="AM148" s="1146"/>
      <c r="AN148" s="1146"/>
      <c r="AO148" s="1146"/>
      <c r="AP148" s="1146"/>
      <c r="AQ148" s="1146"/>
      <c r="AR148" s="1146"/>
      <c r="AS148" s="1146"/>
      <c r="AT148" s="1475"/>
      <c r="AU148" s="1146"/>
      <c r="AV148" s="1146"/>
      <c r="AW148" s="1146"/>
      <c r="AX148" s="1146"/>
      <c r="AY148" s="1146"/>
      <c r="AZ148" s="1146"/>
      <c r="BA148" s="1146"/>
      <c r="BB148" s="1146"/>
      <c r="BC148" s="1146"/>
      <c r="BD148" s="678"/>
      <c r="BE148" s="678"/>
      <c r="BF148" s="678"/>
      <c r="BG148" s="678"/>
      <c r="BH148" s="678"/>
      <c r="BI148" s="678"/>
      <c r="BJ148" s="678"/>
      <c r="BK148" s="678"/>
      <c r="BL148" s="678"/>
      <c r="BM148" s="678"/>
      <c r="BN148" s="1140"/>
      <c r="BO148" s="1140"/>
      <c r="BP148" s="1140"/>
      <c r="BS148" s="972" t="s">
        <v>2022</v>
      </c>
      <c r="BT148" s="972"/>
      <c r="BU148" s="972"/>
      <c r="BV148" s="624"/>
      <c r="BW148" s="624"/>
    </row>
    <row r="149" spans="2:75" ht="14.65" hidden="1" customHeight="1">
      <c r="D149" s="28" cm="1">
        <f t="array" ref="D149">D148</f>
        <v>8</v>
      </c>
      <c r="E149" s="620">
        <v>15</v>
      </c>
      <c r="F149" s="3" cm="1">
        <f t="array" aca="1" ref="F149" ca="1">OFFSET(E149,-1,1)</f>
        <v>0</v>
      </c>
      <c r="I149" s="77" t="s">
        <v>555</v>
      </c>
      <c r="K149" s="77" t="s">
        <v>555</v>
      </c>
      <c r="L149" s="882"/>
      <c r="M149" s="26"/>
      <c r="T149" s="381" t="b" cm="1">
        <f t="array" aca="1" ref="T149" ca="1">T148</f>
        <v>0</v>
      </c>
      <c r="X149" s="1755"/>
      <c r="Z149" s="1735"/>
      <c r="AB149" s="216" t="str">
        <f>D149&amp;".1"</f>
        <v>8.1</v>
      </c>
      <c r="AC149" s="676" t="s">
        <v>2023</v>
      </c>
      <c r="AD149" s="216" t="s">
        <v>423</v>
      </c>
      <c r="AE149" s="175">
        <f ca="1">IF(AE150=0,0,AE148/(AE150+AE135)*100)</f>
        <v>0</v>
      </c>
      <c r="AF149" s="175">
        <f ca="1">IF(AF150=0,0,AF148/(AF150+AF135)*100)</f>
        <v>0</v>
      </c>
      <c r="AG149" s="175">
        <f ca="1">IF(AG150=0,0,AG148/(AG150+AG135)*100)</f>
        <v>0</v>
      </c>
      <c r="AH149" s="848">
        <f t="shared" ca="1" si="25"/>
        <v>0</v>
      </c>
      <c r="AI149" s="848">
        <f t="shared" ref="AI149:BC149" ca="1" si="29">IF(AI150=0,0,AI148/(AI150+AI135)*100)</f>
        <v>0</v>
      </c>
      <c r="AJ149" s="848">
        <f t="shared" ca="1" si="29"/>
        <v>0</v>
      </c>
      <c r="AK149" s="848">
        <f t="shared" ca="1" si="29"/>
        <v>0</v>
      </c>
      <c r="AL149" s="848">
        <f t="shared" ca="1" si="29"/>
        <v>0</v>
      </c>
      <c r="AM149" s="848">
        <f t="shared" ca="1" si="29"/>
        <v>0</v>
      </c>
      <c r="AN149" s="848">
        <f t="shared" ca="1" si="29"/>
        <v>0</v>
      </c>
      <c r="AO149" s="848">
        <f t="shared" ca="1" si="29"/>
        <v>0</v>
      </c>
      <c r="AP149" s="848">
        <f t="shared" ca="1" si="29"/>
        <v>0</v>
      </c>
      <c r="AQ149" s="848">
        <f t="shared" ca="1" si="29"/>
        <v>0</v>
      </c>
      <c r="AR149" s="848">
        <f t="shared" ca="1" si="29"/>
        <v>0</v>
      </c>
      <c r="AS149" s="848">
        <f t="shared" ca="1" si="29"/>
        <v>0</v>
      </c>
      <c r="AT149" s="848">
        <f t="shared" ca="1" si="29"/>
        <v>0</v>
      </c>
      <c r="AU149" s="848">
        <f t="shared" ca="1" si="29"/>
        <v>0</v>
      </c>
      <c r="AV149" s="848">
        <f t="shared" ca="1" si="29"/>
        <v>0</v>
      </c>
      <c r="AW149" s="848">
        <f t="shared" ca="1" si="29"/>
        <v>0</v>
      </c>
      <c r="AX149" s="848">
        <f t="shared" ca="1" si="29"/>
        <v>0</v>
      </c>
      <c r="AY149" s="848">
        <f t="shared" ca="1" si="29"/>
        <v>0</v>
      </c>
      <c r="AZ149" s="848">
        <f t="shared" ca="1" si="29"/>
        <v>0</v>
      </c>
      <c r="BA149" s="848">
        <f t="shared" ca="1" si="29"/>
        <v>0</v>
      </c>
      <c r="BB149" s="848">
        <f t="shared" ca="1" si="29"/>
        <v>0</v>
      </c>
      <c r="BC149" s="848">
        <f t="shared" ca="1" si="29"/>
        <v>0</v>
      </c>
      <c r="BD149" s="847"/>
      <c r="BE149" s="847"/>
      <c r="BF149" s="847"/>
      <c r="BG149" s="847"/>
      <c r="BH149" s="847"/>
      <c r="BI149" s="847"/>
      <c r="BJ149" s="847"/>
      <c r="BK149" s="847"/>
      <c r="BL149" s="847"/>
      <c r="BM149" s="847"/>
      <c r="BN149" s="1156"/>
      <c r="BO149" s="1156"/>
      <c r="BP149" s="1156"/>
      <c r="BS149" s="966" t="s">
        <v>2024</v>
      </c>
    </row>
    <row r="150" spans="2:75" s="617" customFormat="1" ht="20.45" hidden="1" customHeight="1">
      <c r="B150" s="352"/>
      <c r="D150" s="28">
        <f>D149+1</f>
        <v>9</v>
      </c>
      <c r="E150" s="624">
        <v>21</v>
      </c>
      <c r="F150" s="3" cm="1">
        <f t="array" aca="1" ref="F150" ca="1">OFFSET(E150,-1,1)</f>
        <v>0</v>
      </c>
      <c r="H150" s="77"/>
      <c r="I150" s="77" t="s">
        <v>709</v>
      </c>
      <c r="K150" s="77" t="s">
        <v>709</v>
      </c>
      <c r="L150" s="887" t="s">
        <v>1680</v>
      </c>
      <c r="M150" s="28"/>
      <c r="T150" s="381" t="b" cm="1">
        <f t="array" aca="1" ref="T150" ca="1">T149</f>
        <v>0</v>
      </c>
      <c r="X150" s="1755"/>
      <c r="Z150" s="1735"/>
      <c r="AB150" s="129" cm="1">
        <f t="array" ref="AB150">D150</f>
        <v>9</v>
      </c>
      <c r="AC150" s="130" t="s">
        <v>1682</v>
      </c>
      <c r="AD150" s="152" t="s">
        <v>766</v>
      </c>
      <c r="AE150" s="131">
        <f ca="1">AE28+AE78+AE114+AE115+AE117+AE122+AE123+AE126</f>
        <v>0</v>
      </c>
      <c r="AF150" s="131">
        <f ca="1">AF28+AF78+AF114+AF115+AF117+AF122+AF123+AF126</f>
        <v>0</v>
      </c>
      <c r="AG150" s="131">
        <f ca="1">AG28+AG78+AG114+AG115+AG117+AG122+AG123+AG126</f>
        <v>0</v>
      </c>
      <c r="AH150" s="675">
        <f t="shared" ca="1" si="25"/>
        <v>0</v>
      </c>
      <c r="AI150" s="131">
        <f t="shared" ref="AI150:BC150" ca="1" si="30">AI28+AI78+AI114+AI115+AI117+AI122+AI123+AI126</f>
        <v>0</v>
      </c>
      <c r="AJ150" s="131">
        <f t="shared" ca="1" si="30"/>
        <v>0</v>
      </c>
      <c r="AK150" s="131">
        <f t="shared" ca="1" si="30"/>
        <v>0</v>
      </c>
      <c r="AL150" s="131">
        <f t="shared" ca="1" si="30"/>
        <v>0</v>
      </c>
      <c r="AM150" s="131">
        <f t="shared" ca="1" si="30"/>
        <v>0</v>
      </c>
      <c r="AN150" s="131">
        <f t="shared" ca="1" si="30"/>
        <v>0</v>
      </c>
      <c r="AO150" s="131">
        <f t="shared" ca="1" si="30"/>
        <v>0</v>
      </c>
      <c r="AP150" s="131">
        <f t="shared" ca="1" si="30"/>
        <v>0</v>
      </c>
      <c r="AQ150" s="131">
        <f t="shared" ca="1" si="30"/>
        <v>0</v>
      </c>
      <c r="AR150" s="131">
        <f t="shared" ca="1" si="30"/>
        <v>0</v>
      </c>
      <c r="AS150" s="131">
        <f t="shared" ca="1" si="30"/>
        <v>0</v>
      </c>
      <c r="AT150" s="131">
        <f t="shared" ca="1" si="30"/>
        <v>0</v>
      </c>
      <c r="AU150" s="131">
        <f t="shared" ca="1" si="30"/>
        <v>0</v>
      </c>
      <c r="AV150" s="131">
        <f t="shared" ca="1" si="30"/>
        <v>0</v>
      </c>
      <c r="AW150" s="131">
        <f t="shared" ca="1" si="30"/>
        <v>0</v>
      </c>
      <c r="AX150" s="131">
        <f t="shared" ca="1" si="30"/>
        <v>0</v>
      </c>
      <c r="AY150" s="131">
        <f t="shared" ca="1" si="30"/>
        <v>0</v>
      </c>
      <c r="AZ150" s="131">
        <f t="shared" ca="1" si="30"/>
        <v>0</v>
      </c>
      <c r="BA150" s="131">
        <f t="shared" ca="1" si="30"/>
        <v>0</v>
      </c>
      <c r="BB150" s="131">
        <f t="shared" ca="1" si="30"/>
        <v>0</v>
      </c>
      <c r="BC150" s="131">
        <f t="shared" ca="1" si="30"/>
        <v>0</v>
      </c>
      <c r="BD150" s="675">
        <f ca="1">IF(AI150=0,0,(AT150-AI150)/AI150*100)</f>
        <v>0</v>
      </c>
      <c r="BE150" s="675">
        <f t="shared" ref="BE150:BM151" ca="1" si="31">IF(AT150=0,0,(AU150-AT150)/AT150*100)</f>
        <v>0</v>
      </c>
      <c r="BF150" s="675">
        <f t="shared" ca="1" si="31"/>
        <v>0</v>
      </c>
      <c r="BG150" s="675">
        <f t="shared" ca="1" si="31"/>
        <v>0</v>
      </c>
      <c r="BH150" s="675">
        <f t="shared" ca="1" si="31"/>
        <v>0</v>
      </c>
      <c r="BI150" s="675">
        <f t="shared" ca="1" si="31"/>
        <v>0</v>
      </c>
      <c r="BJ150" s="675">
        <f t="shared" ca="1" si="31"/>
        <v>0</v>
      </c>
      <c r="BK150" s="675">
        <f t="shared" ca="1" si="31"/>
        <v>0</v>
      </c>
      <c r="BL150" s="675">
        <f t="shared" ca="1" si="31"/>
        <v>0</v>
      </c>
      <c r="BM150" s="675">
        <f t="shared" ca="1" si="31"/>
        <v>0</v>
      </c>
      <c r="BN150" s="1156"/>
      <c r="BO150" s="1156"/>
      <c r="BP150" s="1156"/>
      <c r="BS150" s="972" t="s">
        <v>1683</v>
      </c>
      <c r="BT150" s="972"/>
      <c r="BU150" s="972"/>
      <c r="BV150" s="624"/>
      <c r="BW150" s="624"/>
    </row>
    <row r="151" spans="2:75" s="617" customFormat="1" ht="20.45" hidden="1" customHeight="1">
      <c r="B151" s="352"/>
      <c r="D151" s="28">
        <f>D150+1</f>
        <v>10</v>
      </c>
      <c r="E151" s="624">
        <v>21</v>
      </c>
      <c r="F151" s="3" cm="1">
        <f t="array" aca="1" ref="F151" ca="1">OFFSET(E151,-1,1)</f>
        <v>0</v>
      </c>
      <c r="H151" s="77"/>
      <c r="I151" s="77" t="s">
        <v>1692</v>
      </c>
      <c r="K151" s="77" t="s">
        <v>1692</v>
      </c>
      <c r="L151" s="887"/>
      <c r="M151" s="28"/>
      <c r="T151" s="381" t="b" cm="1">
        <f t="array" aca="1" ref="T151" ca="1">T150</f>
        <v>0</v>
      </c>
      <c r="X151" s="1755"/>
      <c r="Z151" s="1735"/>
      <c r="AB151" s="129" cm="1">
        <f t="array" ref="AB151">D151</f>
        <v>10</v>
      </c>
      <c r="AC151" s="130" t="s">
        <v>2025</v>
      </c>
      <c r="AD151" s="129" t="s">
        <v>766</v>
      </c>
      <c r="AE151" s="131">
        <f t="shared" ref="AE151:BC151" ca="1" si="32">AE150+AE135+AE148</f>
        <v>0</v>
      </c>
      <c r="AF151" s="131">
        <f t="shared" ca="1" si="32"/>
        <v>0</v>
      </c>
      <c r="AG151" s="131">
        <f t="shared" ca="1" si="32"/>
        <v>0</v>
      </c>
      <c r="AH151" s="684">
        <f t="shared" ca="1" si="32"/>
        <v>0</v>
      </c>
      <c r="AI151" s="684">
        <f t="shared" ca="1" si="32"/>
        <v>0</v>
      </c>
      <c r="AJ151" s="684">
        <f t="shared" ca="1" si="32"/>
        <v>0</v>
      </c>
      <c r="AK151" s="684">
        <f t="shared" ca="1" si="32"/>
        <v>0</v>
      </c>
      <c r="AL151" s="684">
        <f t="shared" ca="1" si="32"/>
        <v>0</v>
      </c>
      <c r="AM151" s="684">
        <f t="shared" ca="1" si="32"/>
        <v>0</v>
      </c>
      <c r="AN151" s="684">
        <f t="shared" ca="1" si="32"/>
        <v>0</v>
      </c>
      <c r="AO151" s="684">
        <f t="shared" ca="1" si="32"/>
        <v>0</v>
      </c>
      <c r="AP151" s="684">
        <f t="shared" ca="1" si="32"/>
        <v>0</v>
      </c>
      <c r="AQ151" s="684">
        <f t="shared" ca="1" si="32"/>
        <v>0</v>
      </c>
      <c r="AR151" s="684">
        <f t="shared" ca="1" si="32"/>
        <v>0</v>
      </c>
      <c r="AS151" s="684">
        <f t="shared" ca="1" si="32"/>
        <v>0</v>
      </c>
      <c r="AT151" s="684">
        <f t="shared" ca="1" si="32"/>
        <v>0</v>
      </c>
      <c r="AU151" s="684">
        <f t="shared" ca="1" si="32"/>
        <v>0</v>
      </c>
      <c r="AV151" s="684">
        <f t="shared" ca="1" si="32"/>
        <v>0</v>
      </c>
      <c r="AW151" s="684">
        <f t="shared" ca="1" si="32"/>
        <v>0</v>
      </c>
      <c r="AX151" s="684">
        <f t="shared" ca="1" si="32"/>
        <v>0</v>
      </c>
      <c r="AY151" s="684">
        <f t="shared" ca="1" si="32"/>
        <v>0</v>
      </c>
      <c r="AZ151" s="684">
        <f t="shared" ca="1" si="32"/>
        <v>0</v>
      </c>
      <c r="BA151" s="684">
        <f t="shared" ca="1" si="32"/>
        <v>0</v>
      </c>
      <c r="BB151" s="684">
        <f t="shared" ca="1" si="32"/>
        <v>0</v>
      </c>
      <c r="BC151" s="684">
        <f t="shared" ca="1" si="32"/>
        <v>0</v>
      </c>
      <c r="BD151" s="675">
        <f ca="1">IF(AI151=0,0,(AT151-AI151)/AI151*100)</f>
        <v>0</v>
      </c>
      <c r="BE151" s="675">
        <f t="shared" ca="1" si="31"/>
        <v>0</v>
      </c>
      <c r="BF151" s="675">
        <f t="shared" ca="1" si="31"/>
        <v>0</v>
      </c>
      <c r="BG151" s="675">
        <f t="shared" ca="1" si="31"/>
        <v>0</v>
      </c>
      <c r="BH151" s="675">
        <f t="shared" ca="1" si="31"/>
        <v>0</v>
      </c>
      <c r="BI151" s="675">
        <f t="shared" ca="1" si="31"/>
        <v>0</v>
      </c>
      <c r="BJ151" s="675">
        <f t="shared" ca="1" si="31"/>
        <v>0</v>
      </c>
      <c r="BK151" s="675">
        <f t="shared" ca="1" si="31"/>
        <v>0</v>
      </c>
      <c r="BL151" s="675">
        <f t="shared" ca="1" si="31"/>
        <v>0</v>
      </c>
      <c r="BM151" s="675">
        <f t="shared" ca="1" si="31"/>
        <v>0</v>
      </c>
      <c r="BN151" s="1156"/>
      <c r="BO151" s="1156"/>
      <c r="BP151" s="1156"/>
      <c r="BS151" s="972" t="s">
        <v>2026</v>
      </c>
      <c r="BT151" s="972"/>
      <c r="BU151" s="972"/>
      <c r="BV151" s="624"/>
      <c r="BW151" s="624"/>
    </row>
    <row r="152" spans="2:75" ht="14.65" hidden="1" customHeight="1">
      <c r="B152" s="362" t="b">
        <f>A27="двухставочный"</f>
        <v>0</v>
      </c>
      <c r="D152" s="26" cm="1">
        <f t="array" ref="D152">D151</f>
        <v>10</v>
      </c>
      <c r="E152" s="620">
        <v>15</v>
      </c>
      <c r="F152" s="3" cm="1">
        <f t="array" aca="1" ref="F152" ca="1">OFFSET(E152,-1,1)</f>
        <v>0</v>
      </c>
      <c r="H152" s="2"/>
      <c r="I152" s="291" t="s">
        <v>1696</v>
      </c>
      <c r="K152" s="291" t="s">
        <v>1696</v>
      </c>
      <c r="L152" s="882" t="s">
        <v>1684</v>
      </c>
      <c r="M152" s="26"/>
      <c r="T152" s="381" t="b" cm="1">
        <f t="array" aca="1" ref="T152" ca="1">T151</f>
        <v>0</v>
      </c>
      <c r="X152" s="1755"/>
      <c r="Z152" s="1735"/>
      <c r="AB152" s="216" t="str">
        <f>D152&amp;".1"</f>
        <v>10.1</v>
      </c>
      <c r="AC152" s="696" t="s">
        <v>1686</v>
      </c>
      <c r="AD152" s="216" t="s">
        <v>766</v>
      </c>
      <c r="AE152" s="1155"/>
      <c r="AF152" s="1155"/>
      <c r="AG152" s="1155"/>
      <c r="AH152" s="848">
        <f t="shared" ref="AH152:AH158" si="33">AG152-AF152</f>
        <v>0</v>
      </c>
      <c r="AI152" s="1153"/>
      <c r="AJ152" s="1510"/>
      <c r="AK152" s="1153"/>
      <c r="AL152" s="1153"/>
      <c r="AM152" s="1153"/>
      <c r="AN152" s="1153"/>
      <c r="AO152" s="1153"/>
      <c r="AP152" s="1153"/>
      <c r="AQ152" s="1153"/>
      <c r="AR152" s="1153"/>
      <c r="AS152" s="1153"/>
      <c r="AT152" s="1510"/>
      <c r="AU152" s="1153"/>
      <c r="AV152" s="1153"/>
      <c r="AW152" s="1153"/>
      <c r="AX152" s="1153"/>
      <c r="AY152" s="1153"/>
      <c r="AZ152" s="1153"/>
      <c r="BA152" s="1153"/>
      <c r="BB152" s="1153"/>
      <c r="BC152" s="1153"/>
      <c r="BD152" s="847"/>
      <c r="BE152" s="847"/>
      <c r="BF152" s="847"/>
      <c r="BG152" s="847"/>
      <c r="BH152" s="847"/>
      <c r="BI152" s="847"/>
      <c r="BJ152" s="847"/>
      <c r="BK152" s="847"/>
      <c r="BL152" s="847"/>
      <c r="BM152" s="847"/>
      <c r="BN152" s="1156"/>
      <c r="BO152" s="1156"/>
      <c r="BP152" s="1156"/>
      <c r="BS152" s="964" t="s">
        <v>1687</v>
      </c>
    </row>
    <row r="153" spans="2:75" ht="14.65" hidden="1" customHeight="1">
      <c r="B153" s="362" t="b">
        <f>A27="двухставочный"</f>
        <v>0</v>
      </c>
      <c r="D153" s="26" cm="1">
        <f t="array" ref="D153">D152</f>
        <v>10</v>
      </c>
      <c r="E153" s="620">
        <v>15</v>
      </c>
      <c r="F153" s="3" cm="1">
        <f t="array" aca="1" ref="F153" ca="1">OFFSET(E153,-1,1)</f>
        <v>0</v>
      </c>
      <c r="H153" s="2"/>
      <c r="I153" s="291" t="s">
        <v>1700</v>
      </c>
      <c r="K153" s="291" t="s">
        <v>1700</v>
      </c>
      <c r="L153" s="882" t="s">
        <v>1688</v>
      </c>
      <c r="M153" s="26"/>
      <c r="T153" s="381" t="b" cm="1">
        <f t="array" aca="1" ref="T153" ca="1">T152</f>
        <v>0</v>
      </c>
      <c r="X153" s="1755"/>
      <c r="Z153" s="1735"/>
      <c r="AB153" s="216" t="str">
        <f>D153&amp;".2"</f>
        <v>10.2</v>
      </c>
      <c r="AC153" s="696" t="s">
        <v>1690</v>
      </c>
      <c r="AD153" s="216" t="s">
        <v>766</v>
      </c>
      <c r="AE153" s="1155"/>
      <c r="AF153" s="1155"/>
      <c r="AG153" s="1155"/>
      <c r="AH153" s="848">
        <f t="shared" si="33"/>
        <v>0</v>
      </c>
      <c r="AI153" s="1153"/>
      <c r="AJ153" s="1510"/>
      <c r="AK153" s="1153"/>
      <c r="AL153" s="1153"/>
      <c r="AM153" s="1153"/>
      <c r="AN153" s="1153"/>
      <c r="AO153" s="1153"/>
      <c r="AP153" s="1153"/>
      <c r="AQ153" s="1153"/>
      <c r="AR153" s="1153"/>
      <c r="AS153" s="1153"/>
      <c r="AT153" s="1510"/>
      <c r="AU153" s="1153"/>
      <c r="AV153" s="1153"/>
      <c r="AW153" s="1153"/>
      <c r="AX153" s="1153"/>
      <c r="AY153" s="1153"/>
      <c r="AZ153" s="1153"/>
      <c r="BA153" s="1153"/>
      <c r="BB153" s="1153"/>
      <c r="BC153" s="1153"/>
      <c r="BD153" s="847"/>
      <c r="BE153" s="847"/>
      <c r="BF153" s="847"/>
      <c r="BG153" s="847"/>
      <c r="BH153" s="847"/>
      <c r="BI153" s="847"/>
      <c r="BJ153" s="847"/>
      <c r="BK153" s="847"/>
      <c r="BL153" s="847"/>
      <c r="BM153" s="847"/>
      <c r="BN153" s="1156"/>
      <c r="BO153" s="1156"/>
      <c r="BP153" s="1156"/>
      <c r="BS153" s="964" t="s">
        <v>1691</v>
      </c>
    </row>
    <row r="154" spans="2:75" s="617" customFormat="1" ht="20.45" hidden="1" customHeight="1">
      <c r="B154" s="352"/>
      <c r="D154" s="28">
        <f>D153+1</f>
        <v>11</v>
      </c>
      <c r="E154" s="624">
        <v>21</v>
      </c>
      <c r="F154" s="3" cm="1">
        <f t="array" aca="1" ref="F154" ca="1">OFFSET(E154,-1,1)</f>
        <v>0</v>
      </c>
      <c r="G154" s="77" t="s">
        <v>1463</v>
      </c>
      <c r="H154" s="77"/>
      <c r="I154" s="77" t="s">
        <v>1720</v>
      </c>
      <c r="K154" s="77" t="s">
        <v>1720</v>
      </c>
      <c r="L154" s="887" t="s">
        <v>1692</v>
      </c>
      <c r="M154" s="28"/>
      <c r="T154" s="381" t="b" cm="1">
        <f t="array" aca="1" ref="T154" ca="1">T153</f>
        <v>0</v>
      </c>
      <c r="X154" s="1755"/>
      <c r="Z154" s="1735"/>
      <c r="AB154" s="129" cm="1">
        <f t="array" ref="AB154">D154</f>
        <v>11</v>
      </c>
      <c r="AC154" s="130" t="s">
        <v>1694</v>
      </c>
      <c r="AD154" s="129" t="s">
        <v>499</v>
      </c>
      <c r="AE154" s="699">
        <f ca="1">SUMIFS(Баланс!AE$26:AE$209,Баланс!$F$26:$F$209,$F154,Баланс!$G$26:$G$209,"ПО")</f>
        <v>0</v>
      </c>
      <c r="AF154" s="699">
        <f ca="1">SUMIFS(Баланс!AF$26:AF$209,Баланс!$F$26:$F$209,$F154,Баланс!$G$26:$G$209,"ПО")</f>
        <v>0</v>
      </c>
      <c r="AG154" s="699">
        <f ca="1">SUMIFS(Баланс!AG$26:AG$209,Баланс!$F$26:$F$209,$F154,Баланс!$G$26:$G$209,"ПО")</f>
        <v>0</v>
      </c>
      <c r="AH154" s="700">
        <f t="shared" ca="1" si="33"/>
        <v>0</v>
      </c>
      <c r="AI154" s="700">
        <f ca="1">SUMIFS(Баланс!AH$26:AH$209,Баланс!$F$26:$F$209,$F154,Баланс!$G$26:$G$209,"ПО")</f>
        <v>0</v>
      </c>
      <c r="AJ154" s="700">
        <f ca="1">SUMIFS(Баланс!AI$26:AI$209,Баланс!$F$26:$F$209,$F154,Баланс!$G$26:$G$209,"ПО")</f>
        <v>0</v>
      </c>
      <c r="AK154" s="700">
        <f ca="1">SUMIFS(Баланс!AJ$26:AJ$209,Баланс!$F$26:$F$209,$F154,Баланс!$G$26:$G$209,"ПО")</f>
        <v>0</v>
      </c>
      <c r="AL154" s="700">
        <f ca="1">SUMIFS(Баланс!AK$26:AK$209,Баланс!$F$26:$F$209,$F154,Баланс!$G$26:$G$209,"ПО")</f>
        <v>0</v>
      </c>
      <c r="AM154" s="700">
        <f ca="1">SUMIFS(Баланс!AL$26:AL$209,Баланс!$F$26:$F$209,$F154,Баланс!$G$26:$G$209,"ПО")</f>
        <v>0</v>
      </c>
      <c r="AN154" s="700">
        <f ca="1">SUMIFS(Баланс!AM$26:AM$209,Баланс!$F$26:$F$209,$F154,Баланс!$G$26:$G$209,"ПО")</f>
        <v>0</v>
      </c>
      <c r="AO154" s="700">
        <f ca="1">SUMIFS(Баланс!AN$26:AN$209,Баланс!$F$26:$F$209,$F154,Баланс!$G$26:$G$209,"ПО")</f>
        <v>0</v>
      </c>
      <c r="AP154" s="700">
        <f ca="1">SUMIFS(Баланс!AO$26:AO$209,Баланс!$F$26:$F$209,$F154,Баланс!$G$26:$G$209,"ПО")</f>
        <v>0</v>
      </c>
      <c r="AQ154" s="700">
        <f ca="1">SUMIFS(Баланс!AP$26:AP$209,Баланс!$F$26:$F$209,$F154,Баланс!$G$26:$G$209,"ПО")</f>
        <v>0</v>
      </c>
      <c r="AR154" s="700">
        <f ca="1">SUMIFS(Баланс!AQ$26:AQ$209,Баланс!$F$26:$F$209,$F154,Баланс!$G$26:$G$209,"ПО")</f>
        <v>0</v>
      </c>
      <c r="AS154" s="700">
        <f ca="1">SUMIFS(Баланс!AR$26:AR$209,Баланс!$F$26:$F$209,$F154,Баланс!$G$26:$G$209,"ПО")</f>
        <v>0</v>
      </c>
      <c r="AT154" s="700">
        <f ca="1">SUMIFS(Баланс!AS$26:AS$209,Баланс!$F$26:$F$209,$F154,Баланс!$G$26:$G$209,"ПО")</f>
        <v>0</v>
      </c>
      <c r="AU154" s="700">
        <f ca="1">SUMIFS(Баланс!AT$26:AT$209,Баланс!$F$26:$F$209,$F154,Баланс!$G$26:$G$209,"ПО")</f>
        <v>0</v>
      </c>
      <c r="AV154" s="700">
        <f ca="1">SUMIFS(Баланс!AU$26:AU$209,Баланс!$F$26:$F$209,$F154,Баланс!$G$26:$G$209,"ПО")</f>
        <v>0</v>
      </c>
      <c r="AW154" s="700">
        <f ca="1">SUMIFS(Баланс!AV$26:AV$209,Баланс!$F$26:$F$209,$F154,Баланс!$G$26:$G$209,"ПО")</f>
        <v>0</v>
      </c>
      <c r="AX154" s="700">
        <f ca="1">SUMIFS(Баланс!AW$26:AW$209,Баланс!$F$26:$F$209,$F154,Баланс!$G$26:$G$209,"ПО")</f>
        <v>0</v>
      </c>
      <c r="AY154" s="700">
        <f ca="1">SUMIFS(Баланс!AX$26:AX$209,Баланс!$F$26:$F$209,$F154,Баланс!$G$26:$G$209,"ПО")</f>
        <v>0</v>
      </c>
      <c r="AZ154" s="700">
        <f ca="1">SUMIFS(Баланс!AY$26:AY$209,Баланс!$F$26:$F$209,$F154,Баланс!$G$26:$G$209,"ПО")</f>
        <v>0</v>
      </c>
      <c r="BA154" s="700">
        <f ca="1">SUMIFS(Баланс!AZ$26:AZ$209,Баланс!$F$26:$F$209,$F154,Баланс!$G$26:$G$209,"ПО")</f>
        <v>0</v>
      </c>
      <c r="BB154" s="700">
        <f ca="1">SUMIFS(Баланс!BA$26:BA$209,Баланс!$F$26:$F$209,$F154,Баланс!$G$26:$G$209,"ПО")</f>
        <v>0</v>
      </c>
      <c r="BC154" s="700">
        <f ca="1">SUMIFS(Баланс!BB$26:BB$209,Баланс!$F$26:$F$209,$F154,Баланс!$G$26:$G$209,"ПО")</f>
        <v>0</v>
      </c>
      <c r="BD154" s="678"/>
      <c r="BE154" s="678"/>
      <c r="BF154" s="678"/>
      <c r="BG154" s="678"/>
      <c r="BH154" s="678"/>
      <c r="BI154" s="678"/>
      <c r="BJ154" s="678"/>
      <c r="BK154" s="678"/>
      <c r="BL154" s="678"/>
      <c r="BM154" s="678"/>
      <c r="BN154" s="1156"/>
      <c r="BO154" s="1156"/>
      <c r="BP154" s="1156"/>
      <c r="BS154" s="965" t="s">
        <v>1695</v>
      </c>
      <c r="BT154" s="972"/>
      <c r="BU154" s="972"/>
      <c r="BV154" s="624"/>
      <c r="BW154" s="624"/>
    </row>
    <row r="155" spans="2:75" ht="14.65" hidden="1" customHeight="1">
      <c r="D155" s="26" cm="1">
        <f t="array" ref="D155">D154</f>
        <v>11</v>
      </c>
      <c r="E155" s="620">
        <v>15</v>
      </c>
      <c r="F155" s="3" cm="1">
        <f t="array" aca="1" ref="F155" ca="1">OFFSET(E155,-1,1)</f>
        <v>0</v>
      </c>
      <c r="G155" s="77" t="s">
        <v>1490</v>
      </c>
      <c r="I155" s="77" t="s">
        <v>2027</v>
      </c>
      <c r="K155" s="77" t="s">
        <v>2027</v>
      </c>
      <c r="L155" s="882" t="s">
        <v>1696</v>
      </c>
      <c r="M155" s="26"/>
      <c r="T155" s="381" t="b" cm="1">
        <f t="array" aca="1" ref="T155" ca="1">T154</f>
        <v>0</v>
      </c>
      <c r="X155" s="1755"/>
      <c r="Z155" s="1735"/>
      <c r="AB155" s="216" t="str">
        <f>D155&amp;".1"</f>
        <v>11.1</v>
      </c>
      <c r="AC155" s="1012" t="s">
        <v>1698</v>
      </c>
      <c r="AD155" s="216" t="s">
        <v>499</v>
      </c>
      <c r="AE155" s="1160">
        <f ca="1">AE154/2</f>
        <v>0</v>
      </c>
      <c r="AF155" s="1160">
        <f ca="1">AF154/2</f>
        <v>0</v>
      </c>
      <c r="AG155" s="1160">
        <f ca="1">AG154/2</f>
        <v>0</v>
      </c>
      <c r="AH155" s="846">
        <f t="shared" ca="1" si="33"/>
        <v>0</v>
      </c>
      <c r="AI155" s="1161">
        <f ca="1">AI154/2</f>
        <v>0</v>
      </c>
      <c r="AJ155" s="1512">
        <f ca="1">IF(god=2026,AJ154/12*9,AJ154/2)</f>
        <v>0</v>
      </c>
      <c r="AK155" s="1160">
        <f ca="1">IF(god=2025,AK154/12*9,AK154/2)</f>
        <v>0</v>
      </c>
      <c r="AL155" s="1161">
        <f t="shared" ref="AL155:AS155" ca="1" si="34">AL154/2</f>
        <v>0</v>
      </c>
      <c r="AM155" s="1161">
        <f t="shared" ca="1" si="34"/>
        <v>0</v>
      </c>
      <c r="AN155" s="1161">
        <f t="shared" ca="1" si="34"/>
        <v>0</v>
      </c>
      <c r="AO155" s="1161">
        <f t="shared" ca="1" si="34"/>
        <v>0</v>
      </c>
      <c r="AP155" s="1161">
        <f t="shared" ca="1" si="34"/>
        <v>0</v>
      </c>
      <c r="AQ155" s="1161">
        <f t="shared" ca="1" si="34"/>
        <v>0</v>
      </c>
      <c r="AR155" s="1161">
        <f t="shared" ca="1" si="34"/>
        <v>0</v>
      </c>
      <c r="AS155" s="1161">
        <f t="shared" ca="1" si="34"/>
        <v>0</v>
      </c>
      <c r="AT155" s="1478">
        <f ca="1">IF(god=2026,AT154/12*9,AT154/2)</f>
        <v>0</v>
      </c>
      <c r="AU155" s="1161">
        <f ca="1">IF(god=2025,AU154/12*9,AU154/2)</f>
        <v>0</v>
      </c>
      <c r="AV155" s="1161">
        <f t="shared" ref="AV155:BC155" ca="1" si="35">AV154/2</f>
        <v>0</v>
      </c>
      <c r="AW155" s="1161">
        <f t="shared" ca="1" si="35"/>
        <v>0</v>
      </c>
      <c r="AX155" s="1161">
        <f t="shared" ca="1" si="35"/>
        <v>0</v>
      </c>
      <c r="AY155" s="1161">
        <f t="shared" ca="1" si="35"/>
        <v>0</v>
      </c>
      <c r="AZ155" s="1161">
        <f t="shared" ca="1" si="35"/>
        <v>0</v>
      </c>
      <c r="BA155" s="1161">
        <f t="shared" ca="1" si="35"/>
        <v>0</v>
      </c>
      <c r="BB155" s="1161">
        <f t="shared" ca="1" si="35"/>
        <v>0</v>
      </c>
      <c r="BC155" s="1161">
        <f t="shared" ca="1" si="35"/>
        <v>0</v>
      </c>
      <c r="BD155" s="847"/>
      <c r="BE155" s="847"/>
      <c r="BF155" s="847"/>
      <c r="BG155" s="847"/>
      <c r="BH155" s="847"/>
      <c r="BI155" s="847"/>
      <c r="BJ155" s="847"/>
      <c r="BK155" s="847"/>
      <c r="BL155" s="847"/>
      <c r="BM155" s="847"/>
      <c r="BN155" s="1156"/>
      <c r="BO155" s="1156"/>
      <c r="BP155" s="1156"/>
      <c r="BS155" s="964" t="s">
        <v>1699</v>
      </c>
    </row>
    <row r="156" spans="2:75" ht="14.65" hidden="1" customHeight="1">
      <c r="D156" s="26" cm="1">
        <f t="array" ref="D156">D155</f>
        <v>11</v>
      </c>
      <c r="E156" s="620">
        <v>15</v>
      </c>
      <c r="F156" s="3" cm="1">
        <f t="array" aca="1" ref="F156" ca="1">OFFSET(E156,-1,1)</f>
        <v>0</v>
      </c>
      <c r="G156" s="77" t="s">
        <v>1451</v>
      </c>
      <c r="I156" s="77" t="s">
        <v>2028</v>
      </c>
      <c r="K156" s="77" t="s">
        <v>2028</v>
      </c>
      <c r="L156" s="882" t="s">
        <v>1700</v>
      </c>
      <c r="M156" s="26"/>
      <c r="T156" s="381" t="b" cm="1">
        <f t="array" aca="1" ref="T156" ca="1">T155</f>
        <v>0</v>
      </c>
      <c r="X156" s="1755"/>
      <c r="Z156" s="1735"/>
      <c r="AB156" s="216" t="str">
        <f>D156&amp;".2"</f>
        <v>11.2</v>
      </c>
      <c r="AC156" s="1012" t="s">
        <v>1702</v>
      </c>
      <c r="AD156" s="216" t="s">
        <v>1454</v>
      </c>
      <c r="AE156" s="1155"/>
      <c r="AF156" s="1155"/>
      <c r="AG156" s="1155"/>
      <c r="AH156" s="848">
        <f t="shared" si="33"/>
        <v>0</v>
      </c>
      <c r="AI156" s="1162"/>
      <c r="AJ156" s="1480"/>
      <c r="AK156" s="1162"/>
      <c r="AL156" s="1162"/>
      <c r="AM156" s="1162"/>
      <c r="AN156" s="1162"/>
      <c r="AO156" s="1162"/>
      <c r="AP156" s="1162"/>
      <c r="AQ156" s="1162"/>
      <c r="AR156" s="1162"/>
      <c r="AS156" s="1162"/>
      <c r="AT156" s="1480"/>
      <c r="AU156" s="1162" cm="1">
        <f t="array" aca="1" ref="AU156" ca="1">AT158</f>
        <v>0</v>
      </c>
      <c r="AV156" s="1162" cm="1">
        <f t="array" aca="1" ref="AV156" ca="1">AU158</f>
        <v>0</v>
      </c>
      <c r="AW156" s="1162" cm="1">
        <f t="array" aca="1" ref="AW156" ca="1">AV158</f>
        <v>0</v>
      </c>
      <c r="AX156" s="1162" cm="1">
        <f t="array" aca="1" ref="AX156" ca="1">AW158</f>
        <v>0</v>
      </c>
      <c r="AY156" s="1162" cm="1">
        <f t="array" aca="1" ref="AY156" ca="1">AX158</f>
        <v>0</v>
      </c>
      <c r="AZ156" s="1162" cm="1">
        <f t="array" aca="1" ref="AZ156" ca="1">AY158</f>
        <v>0</v>
      </c>
      <c r="BA156" s="1162" cm="1">
        <f t="array" aca="1" ref="BA156" ca="1">AZ158</f>
        <v>0</v>
      </c>
      <c r="BB156" s="1162" cm="1">
        <f t="array" aca="1" ref="BB156" ca="1">BA158</f>
        <v>0</v>
      </c>
      <c r="BC156" s="1162" cm="1">
        <f t="array" aca="1" ref="BC156" ca="1">BB158</f>
        <v>0</v>
      </c>
      <c r="BD156" s="847"/>
      <c r="BE156" s="847"/>
      <c r="BF156" s="847"/>
      <c r="BG156" s="847"/>
      <c r="BH156" s="847"/>
      <c r="BI156" s="847"/>
      <c r="BJ156" s="847"/>
      <c r="BK156" s="847"/>
      <c r="BL156" s="847"/>
      <c r="BM156" s="847"/>
      <c r="BN156" s="1156"/>
      <c r="BO156" s="1156"/>
      <c r="BP156" s="1156"/>
      <c r="BS156" s="964" t="s">
        <v>1703</v>
      </c>
    </row>
    <row r="157" spans="2:75" ht="14.65" hidden="1" customHeight="1">
      <c r="D157" s="26" cm="1">
        <f t="array" ref="D157">D156</f>
        <v>11</v>
      </c>
      <c r="E157" s="620">
        <v>15</v>
      </c>
      <c r="F157" s="3" cm="1">
        <f t="array" aca="1" ref="F157" ca="1">OFFSET(E157,-1,1)</f>
        <v>0</v>
      </c>
      <c r="G157" s="77" t="s">
        <v>1503</v>
      </c>
      <c r="I157" s="77" t="s">
        <v>2029</v>
      </c>
      <c r="K157" s="77" t="s">
        <v>2029</v>
      </c>
      <c r="L157" s="882" t="s">
        <v>1704</v>
      </c>
      <c r="M157" s="26"/>
      <c r="T157" s="381" t="b" cm="1">
        <f t="array" aca="1" ref="T157" ca="1">T156</f>
        <v>0</v>
      </c>
      <c r="X157" s="1755"/>
      <c r="Z157" s="1735"/>
      <c r="AB157" s="216" t="str">
        <f>D157&amp;".3"</f>
        <v>11.3</v>
      </c>
      <c r="AC157" s="1012" t="s">
        <v>2030</v>
      </c>
      <c r="AD157" s="216" t="s">
        <v>499</v>
      </c>
      <c r="AE157" s="851">
        <f ca="1">AE154-AE155</f>
        <v>0</v>
      </c>
      <c r="AF157" s="851">
        <f ca="1">AF154-AF155</f>
        <v>0</v>
      </c>
      <c r="AG157" s="851">
        <f ca="1">AG154-AG155</f>
        <v>0</v>
      </c>
      <c r="AH157" s="846">
        <f t="shared" ca="1" si="33"/>
        <v>0</v>
      </c>
      <c r="AI157" s="739">
        <f t="shared" ref="AI157:BC157" ca="1" si="36">AI154-AI155</f>
        <v>0</v>
      </c>
      <c r="AJ157" s="739">
        <f t="shared" ca="1" si="36"/>
        <v>0</v>
      </c>
      <c r="AK157" s="739">
        <f t="shared" ca="1" si="36"/>
        <v>0</v>
      </c>
      <c r="AL157" s="739">
        <f t="shared" ca="1" si="36"/>
        <v>0</v>
      </c>
      <c r="AM157" s="739">
        <f t="shared" ca="1" si="36"/>
        <v>0</v>
      </c>
      <c r="AN157" s="739">
        <f t="shared" ca="1" si="36"/>
        <v>0</v>
      </c>
      <c r="AO157" s="739">
        <f t="shared" ca="1" si="36"/>
        <v>0</v>
      </c>
      <c r="AP157" s="739">
        <f t="shared" ca="1" si="36"/>
        <v>0</v>
      </c>
      <c r="AQ157" s="739">
        <f t="shared" ca="1" si="36"/>
        <v>0</v>
      </c>
      <c r="AR157" s="739">
        <f t="shared" ca="1" si="36"/>
        <v>0</v>
      </c>
      <c r="AS157" s="739">
        <f t="shared" ca="1" si="36"/>
        <v>0</v>
      </c>
      <c r="AT157" s="739">
        <f t="shared" ca="1" si="36"/>
        <v>0</v>
      </c>
      <c r="AU157" s="739">
        <f t="shared" ca="1" si="36"/>
        <v>0</v>
      </c>
      <c r="AV157" s="739">
        <f t="shared" ca="1" si="36"/>
        <v>0</v>
      </c>
      <c r="AW157" s="739">
        <f t="shared" ca="1" si="36"/>
        <v>0</v>
      </c>
      <c r="AX157" s="739">
        <f t="shared" ca="1" si="36"/>
        <v>0</v>
      </c>
      <c r="AY157" s="739">
        <f t="shared" ca="1" si="36"/>
        <v>0</v>
      </c>
      <c r="AZ157" s="739">
        <f t="shared" ca="1" si="36"/>
        <v>0</v>
      </c>
      <c r="BA157" s="739">
        <f t="shared" ca="1" si="36"/>
        <v>0</v>
      </c>
      <c r="BB157" s="739">
        <f t="shared" ca="1" si="36"/>
        <v>0</v>
      </c>
      <c r="BC157" s="739">
        <f t="shared" ca="1" si="36"/>
        <v>0</v>
      </c>
      <c r="BD157" s="847"/>
      <c r="BE157" s="847"/>
      <c r="BF157" s="847"/>
      <c r="BG157" s="847"/>
      <c r="BH157" s="847"/>
      <c r="BI157" s="847"/>
      <c r="BJ157" s="847"/>
      <c r="BK157" s="847"/>
      <c r="BL157" s="847"/>
      <c r="BM157" s="847"/>
      <c r="BN157" s="1156"/>
      <c r="BO157" s="1156"/>
      <c r="BP157" s="1156"/>
      <c r="BS157" s="964" t="s">
        <v>1707</v>
      </c>
    </row>
    <row r="158" spans="2:75" ht="14.65" hidden="1" customHeight="1">
      <c r="D158" s="26" cm="1">
        <f t="array" ref="D158">D157</f>
        <v>11</v>
      </c>
      <c r="E158" s="620">
        <v>15</v>
      </c>
      <c r="F158" s="3" cm="1">
        <f t="array" aca="1" ref="F158" ca="1">OFFSET(E158,-1,1)</f>
        <v>0</v>
      </c>
      <c r="G158" s="77" t="s">
        <v>1456</v>
      </c>
      <c r="I158" s="77" t="s">
        <v>2031</v>
      </c>
      <c r="K158" s="77" t="s">
        <v>2031</v>
      </c>
      <c r="L158" s="882" t="s">
        <v>1708</v>
      </c>
      <c r="M158" s="26"/>
      <c r="T158" s="381" t="b" cm="1">
        <f t="array" aca="1" ref="T158" ca="1">T157</f>
        <v>0</v>
      </c>
      <c r="X158" s="1755"/>
      <c r="Z158" s="1735"/>
      <c r="AB158" s="216" t="str">
        <f>D158&amp;".4"</f>
        <v>11.4</v>
      </c>
      <c r="AC158" s="1012" t="s">
        <v>1710</v>
      </c>
      <c r="AD158" s="216" t="s">
        <v>1454</v>
      </c>
      <c r="AE158" s="1155">
        <f ca="1">IF(AE157=0,0,(AE151-AE155*AE156)/AE157)</f>
        <v>0</v>
      </c>
      <c r="AF158" s="1155">
        <f ca="1">IF(AF157=0,0,(AF151-AF155*AF156)/AF157)</f>
        <v>0</v>
      </c>
      <c r="AG158" s="1155">
        <f ca="1">IF(AG157=0,0,(AG151-AG155*AG156)/AG157)</f>
        <v>0</v>
      </c>
      <c r="AH158" s="848">
        <f t="shared" ca="1" si="33"/>
        <v>0</v>
      </c>
      <c r="AI158" s="1162">
        <f t="shared" ref="AI158:BC158" ca="1" si="37">IF(AI157=0,0,(AI151-AI155*AI156)/AI157)</f>
        <v>0</v>
      </c>
      <c r="AJ158" s="1480">
        <f t="shared" ca="1" si="37"/>
        <v>0</v>
      </c>
      <c r="AK158" s="1162">
        <f t="shared" ca="1" si="37"/>
        <v>0</v>
      </c>
      <c r="AL158" s="1162">
        <f t="shared" ca="1" si="37"/>
        <v>0</v>
      </c>
      <c r="AM158" s="1162">
        <f t="shared" ca="1" si="37"/>
        <v>0</v>
      </c>
      <c r="AN158" s="1162">
        <f t="shared" ca="1" si="37"/>
        <v>0</v>
      </c>
      <c r="AO158" s="1162">
        <f t="shared" ca="1" si="37"/>
        <v>0</v>
      </c>
      <c r="AP158" s="1162">
        <f t="shared" ca="1" si="37"/>
        <v>0</v>
      </c>
      <c r="AQ158" s="1162">
        <f t="shared" ca="1" si="37"/>
        <v>0</v>
      </c>
      <c r="AR158" s="1162">
        <f t="shared" ca="1" si="37"/>
        <v>0</v>
      </c>
      <c r="AS158" s="1162">
        <f t="shared" ca="1" si="37"/>
        <v>0</v>
      </c>
      <c r="AT158" s="1480">
        <f t="shared" ca="1" si="37"/>
        <v>0</v>
      </c>
      <c r="AU158" s="1162">
        <f t="shared" ca="1" si="37"/>
        <v>0</v>
      </c>
      <c r="AV158" s="1162">
        <f t="shared" ca="1" si="37"/>
        <v>0</v>
      </c>
      <c r="AW158" s="1162">
        <f t="shared" ca="1" si="37"/>
        <v>0</v>
      </c>
      <c r="AX158" s="1162">
        <f t="shared" ca="1" si="37"/>
        <v>0</v>
      </c>
      <c r="AY158" s="1162">
        <f t="shared" ca="1" si="37"/>
        <v>0</v>
      </c>
      <c r="AZ158" s="1162">
        <f t="shared" ca="1" si="37"/>
        <v>0</v>
      </c>
      <c r="BA158" s="1162">
        <f t="shared" ca="1" si="37"/>
        <v>0</v>
      </c>
      <c r="BB158" s="1162">
        <f t="shared" ca="1" si="37"/>
        <v>0</v>
      </c>
      <c r="BC158" s="1162">
        <f t="shared" ca="1" si="37"/>
        <v>0</v>
      </c>
      <c r="BD158" s="847"/>
      <c r="BE158" s="847"/>
      <c r="BF158" s="847"/>
      <c r="BG158" s="847"/>
      <c r="BH158" s="847"/>
      <c r="BI158" s="847"/>
      <c r="BJ158" s="847"/>
      <c r="BK158" s="847"/>
      <c r="BL158" s="847"/>
      <c r="BM158" s="847"/>
      <c r="BN158" s="1156"/>
      <c r="BO158" s="1156"/>
      <c r="BP158" s="1156"/>
      <c r="BS158" s="964" t="s">
        <v>1711</v>
      </c>
    </row>
    <row r="159" spans="2:75" ht="14.65" hidden="1" customHeight="1">
      <c r="D159" s="26" cm="1">
        <f t="array" ref="D159">D158</f>
        <v>11</v>
      </c>
      <c r="E159" s="620">
        <v>15</v>
      </c>
      <c r="F159" s="3" cm="1">
        <f t="array" aca="1" ref="F159" ca="1">OFFSET(E159,-1,1)</f>
        <v>0</v>
      </c>
      <c r="I159" s="77" t="s">
        <v>2032</v>
      </c>
      <c r="K159" s="77" t="s">
        <v>2032</v>
      </c>
      <c r="L159" s="882" t="s">
        <v>1712</v>
      </c>
      <c r="M159" s="26"/>
      <c r="T159" s="381" t="b" cm="1">
        <f t="array" aca="1" ref="T159" ca="1">T158</f>
        <v>0</v>
      </c>
      <c r="X159" s="1755"/>
      <c r="Z159" s="1735"/>
      <c r="AB159" s="216" t="str">
        <f>D159&amp;".5"</f>
        <v>11.5</v>
      </c>
      <c r="AC159" s="1012" t="s">
        <v>1714</v>
      </c>
      <c r="AD159" s="216" t="s">
        <v>423</v>
      </c>
      <c r="AE159" s="175">
        <f>IF(AE156=0,0,AE158/AE156*100)</f>
        <v>0</v>
      </c>
      <c r="AF159" s="175">
        <f>IF(AF156=0,0,AF158/AF156*100)</f>
        <v>0</v>
      </c>
      <c r="AG159" s="175">
        <f>IF(AG156=0,0,AG158/AG156*100)</f>
        <v>0</v>
      </c>
      <c r="AH159" s="847"/>
      <c r="AI159" s="716">
        <f t="shared" ref="AI159:BC159" si="38">IF(AI156=0,0,AI158/AI156*100)</f>
        <v>0</v>
      </c>
      <c r="AJ159" s="716">
        <f t="shared" si="38"/>
        <v>0</v>
      </c>
      <c r="AK159" s="716">
        <f t="shared" si="38"/>
        <v>0</v>
      </c>
      <c r="AL159" s="716">
        <f t="shared" si="38"/>
        <v>0</v>
      </c>
      <c r="AM159" s="716">
        <f t="shared" si="38"/>
        <v>0</v>
      </c>
      <c r="AN159" s="716">
        <f t="shared" si="38"/>
        <v>0</v>
      </c>
      <c r="AO159" s="716">
        <f t="shared" si="38"/>
        <v>0</v>
      </c>
      <c r="AP159" s="716">
        <f t="shared" si="38"/>
        <v>0</v>
      </c>
      <c r="AQ159" s="716">
        <f t="shared" si="38"/>
        <v>0</v>
      </c>
      <c r="AR159" s="716">
        <f t="shared" si="38"/>
        <v>0</v>
      </c>
      <c r="AS159" s="716">
        <f t="shared" si="38"/>
        <v>0</v>
      </c>
      <c r="AT159" s="716">
        <f t="shared" si="38"/>
        <v>0</v>
      </c>
      <c r="AU159" s="716">
        <f t="shared" ca="1" si="38"/>
        <v>0</v>
      </c>
      <c r="AV159" s="716">
        <f t="shared" ca="1" si="38"/>
        <v>0</v>
      </c>
      <c r="AW159" s="716">
        <f t="shared" ca="1" si="38"/>
        <v>0</v>
      </c>
      <c r="AX159" s="716">
        <f t="shared" ca="1" si="38"/>
        <v>0</v>
      </c>
      <c r="AY159" s="716">
        <f t="shared" ca="1" si="38"/>
        <v>0</v>
      </c>
      <c r="AZ159" s="716">
        <f t="shared" ca="1" si="38"/>
        <v>0</v>
      </c>
      <c r="BA159" s="716">
        <f t="shared" ca="1" si="38"/>
        <v>0</v>
      </c>
      <c r="BB159" s="716">
        <f t="shared" ca="1" si="38"/>
        <v>0</v>
      </c>
      <c r="BC159" s="716">
        <f t="shared" ca="1" si="38"/>
        <v>0</v>
      </c>
      <c r="BD159" s="847"/>
      <c r="BE159" s="847"/>
      <c r="BF159" s="847"/>
      <c r="BG159" s="847"/>
      <c r="BH159" s="847"/>
      <c r="BI159" s="847"/>
      <c r="BJ159" s="847"/>
      <c r="BK159" s="847"/>
      <c r="BL159" s="847"/>
      <c r="BM159" s="847"/>
      <c r="BN159" s="1156"/>
      <c r="BO159" s="1156"/>
      <c r="BP159" s="1156"/>
      <c r="BS159" s="964" t="s">
        <v>1715</v>
      </c>
    </row>
    <row r="160" spans="2:75" ht="14.65" hidden="1" customHeight="1">
      <c r="D160" s="26" cm="1">
        <f t="array" ref="D160">D159</f>
        <v>11</v>
      </c>
      <c r="E160" s="620">
        <v>15</v>
      </c>
      <c r="F160" s="3" cm="1">
        <f t="array" aca="1" ref="F160" ca="1">OFFSET(E160,-1,1)</f>
        <v>0</v>
      </c>
      <c r="I160" s="77" t="s">
        <v>2033</v>
      </c>
      <c r="K160" s="77" t="s">
        <v>2033</v>
      </c>
      <c r="L160" s="882" t="s">
        <v>1716</v>
      </c>
      <c r="M160" s="26"/>
      <c r="T160" s="381" t="b" cm="1">
        <f t="array" aca="1" ref="T160" ca="1">T159</f>
        <v>0</v>
      </c>
      <c r="X160" s="1755"/>
      <c r="Z160" s="1735"/>
      <c r="AB160" s="216" t="str">
        <f>D160&amp;".6"</f>
        <v>11.6</v>
      </c>
      <c r="AC160" s="1012" t="s">
        <v>1718</v>
      </c>
      <c r="AD160" s="216" t="s">
        <v>1454</v>
      </c>
      <c r="AE160" s="1155">
        <f ca="1">IF(AE154=0,0,AE151/AE154)</f>
        <v>0</v>
      </c>
      <c r="AF160" s="1155">
        <f ca="1">IF(AF154=0,0,AF151/AF154)</f>
        <v>0</v>
      </c>
      <c r="AG160" s="1155">
        <f ca="1">IF(AG154=0,0,AG151/AG154)</f>
        <v>0</v>
      </c>
      <c r="AH160" s="848">
        <f ca="1">AG160-AF160</f>
        <v>0</v>
      </c>
      <c r="AI160" s="1162">
        <f t="shared" ref="AI160:BC160" ca="1" si="39">IF(AI154=0,0,AI151/AI154)</f>
        <v>0</v>
      </c>
      <c r="AJ160" s="1480">
        <f t="shared" ca="1" si="39"/>
        <v>0</v>
      </c>
      <c r="AK160" s="1162">
        <f t="shared" ca="1" si="39"/>
        <v>0</v>
      </c>
      <c r="AL160" s="1162">
        <f t="shared" ca="1" si="39"/>
        <v>0</v>
      </c>
      <c r="AM160" s="1162">
        <f t="shared" ca="1" si="39"/>
        <v>0</v>
      </c>
      <c r="AN160" s="1162">
        <f t="shared" ca="1" si="39"/>
        <v>0</v>
      </c>
      <c r="AO160" s="1162">
        <f t="shared" ca="1" si="39"/>
        <v>0</v>
      </c>
      <c r="AP160" s="1162">
        <f t="shared" ca="1" si="39"/>
        <v>0</v>
      </c>
      <c r="AQ160" s="1162">
        <f t="shared" ca="1" si="39"/>
        <v>0</v>
      </c>
      <c r="AR160" s="1162">
        <f t="shared" ca="1" si="39"/>
        <v>0</v>
      </c>
      <c r="AS160" s="1162">
        <f t="shared" ca="1" si="39"/>
        <v>0</v>
      </c>
      <c r="AT160" s="1480">
        <f t="shared" ca="1" si="39"/>
        <v>0</v>
      </c>
      <c r="AU160" s="1162">
        <f t="shared" ca="1" si="39"/>
        <v>0</v>
      </c>
      <c r="AV160" s="1162">
        <f t="shared" ca="1" si="39"/>
        <v>0</v>
      </c>
      <c r="AW160" s="1162">
        <f t="shared" ca="1" si="39"/>
        <v>0</v>
      </c>
      <c r="AX160" s="1162">
        <f t="shared" ca="1" si="39"/>
        <v>0</v>
      </c>
      <c r="AY160" s="1162">
        <f t="shared" ca="1" si="39"/>
        <v>0</v>
      </c>
      <c r="AZ160" s="1162">
        <f t="shared" ca="1" si="39"/>
        <v>0</v>
      </c>
      <c r="BA160" s="1162">
        <f t="shared" ca="1" si="39"/>
        <v>0</v>
      </c>
      <c r="BB160" s="1162">
        <f t="shared" ca="1" si="39"/>
        <v>0</v>
      </c>
      <c r="BC160" s="1162">
        <f t="shared" ca="1" si="39"/>
        <v>0</v>
      </c>
      <c r="BD160" s="847"/>
      <c r="BE160" s="847"/>
      <c r="BF160" s="847"/>
      <c r="BG160" s="847"/>
      <c r="BH160" s="847"/>
      <c r="BI160" s="847"/>
      <c r="BJ160" s="847"/>
      <c r="BK160" s="847"/>
      <c r="BL160" s="847"/>
      <c r="BM160" s="847"/>
      <c r="BN160" s="1156"/>
      <c r="BO160" s="1156"/>
      <c r="BP160" s="1156"/>
      <c r="BS160" s="964" t="s">
        <v>1719</v>
      </c>
    </row>
    <row r="161" spans="1:75" s="617" customFormat="1" ht="20.45" hidden="1" customHeight="1">
      <c r="B161" s="352"/>
      <c r="D161" s="28">
        <f>D160+1</f>
        <v>12</v>
      </c>
      <c r="E161" s="624">
        <v>21</v>
      </c>
      <c r="F161" s="3" cm="1">
        <f t="array" aca="1" ref="F161" ca="1">OFFSET(E161,-1,1)</f>
        <v>0</v>
      </c>
      <c r="H161" s="77"/>
      <c r="I161" s="77" t="s">
        <v>1724</v>
      </c>
      <c r="K161" s="77" t="s">
        <v>1724</v>
      </c>
      <c r="L161" s="887" t="s">
        <v>1720</v>
      </c>
      <c r="M161" s="28"/>
      <c r="T161" s="381" t="b" cm="1">
        <f t="array" aca="1" ref="T161" ca="1">T160</f>
        <v>0</v>
      </c>
      <c r="X161" s="1755"/>
      <c r="Z161" s="1735"/>
      <c r="AB161" s="129" cm="1">
        <f t="array" ref="AB161">D161</f>
        <v>12</v>
      </c>
      <c r="AC161" s="130" t="s">
        <v>1722</v>
      </c>
      <c r="AD161" s="129" t="s">
        <v>766</v>
      </c>
      <c r="AE161" s="1150">
        <f ca="1">IF(AE154=0,0,AE151/AE154*AE162)</f>
        <v>0</v>
      </c>
      <c r="AF161" s="1150">
        <f ca="1">IF(AF154=0,0,AF151/AF154*AF162)</f>
        <v>0</v>
      </c>
      <c r="AG161" s="1150">
        <f ca="1">IF(AG154=0,0,AG151/AG154*AG162)</f>
        <v>0</v>
      </c>
      <c r="AH161" s="684">
        <f ca="1">AH163*AH164+AH165*AH166</f>
        <v>0</v>
      </c>
      <c r="AI161" s="1163">
        <f t="shared" ref="AI161:BC161" ca="1" si="40">IF(AI154=0,0,AI151/AI154*AI162)</f>
        <v>0</v>
      </c>
      <c r="AJ161" s="1513">
        <f t="shared" ca="1" si="40"/>
        <v>0</v>
      </c>
      <c r="AK161" s="1163">
        <f t="shared" ca="1" si="40"/>
        <v>0</v>
      </c>
      <c r="AL161" s="1163">
        <f t="shared" ca="1" si="40"/>
        <v>0</v>
      </c>
      <c r="AM161" s="1163">
        <f t="shared" ca="1" si="40"/>
        <v>0</v>
      </c>
      <c r="AN161" s="1163">
        <f t="shared" ca="1" si="40"/>
        <v>0</v>
      </c>
      <c r="AO161" s="1163">
        <f t="shared" ca="1" si="40"/>
        <v>0</v>
      </c>
      <c r="AP161" s="1163">
        <f t="shared" ca="1" si="40"/>
        <v>0</v>
      </c>
      <c r="AQ161" s="1163">
        <f t="shared" ca="1" si="40"/>
        <v>0</v>
      </c>
      <c r="AR161" s="1163">
        <f t="shared" ca="1" si="40"/>
        <v>0</v>
      </c>
      <c r="AS161" s="1163">
        <f t="shared" ca="1" si="40"/>
        <v>0</v>
      </c>
      <c r="AT161" s="1513">
        <f t="shared" ca="1" si="40"/>
        <v>0</v>
      </c>
      <c r="AU161" s="1163">
        <f t="shared" ca="1" si="40"/>
        <v>0</v>
      </c>
      <c r="AV161" s="1163">
        <f t="shared" ca="1" si="40"/>
        <v>0</v>
      </c>
      <c r="AW161" s="1163">
        <f t="shared" ca="1" si="40"/>
        <v>0</v>
      </c>
      <c r="AX161" s="1163">
        <f t="shared" ca="1" si="40"/>
        <v>0</v>
      </c>
      <c r="AY161" s="1163">
        <f t="shared" ca="1" si="40"/>
        <v>0</v>
      </c>
      <c r="AZ161" s="1163">
        <f t="shared" ca="1" si="40"/>
        <v>0</v>
      </c>
      <c r="BA161" s="1163">
        <f t="shared" ca="1" si="40"/>
        <v>0</v>
      </c>
      <c r="BB161" s="1163">
        <f t="shared" ca="1" si="40"/>
        <v>0</v>
      </c>
      <c r="BC161" s="1163">
        <f t="shared" ca="1" si="40"/>
        <v>0</v>
      </c>
      <c r="BD161" s="675">
        <f ca="1">IF(AI161=0,0,(AT161-AI161)/AI161*100)</f>
        <v>0</v>
      </c>
      <c r="BE161" s="675">
        <f t="shared" ref="BE161:BM161" ca="1" si="41">IF(AT161=0,0,(AU161-AT161)/AT161*100)</f>
        <v>0</v>
      </c>
      <c r="BF161" s="675">
        <f t="shared" ca="1" si="41"/>
        <v>0</v>
      </c>
      <c r="BG161" s="675">
        <f t="shared" ca="1" si="41"/>
        <v>0</v>
      </c>
      <c r="BH161" s="675">
        <f t="shared" ca="1" si="41"/>
        <v>0</v>
      </c>
      <c r="BI161" s="675">
        <f t="shared" ca="1" si="41"/>
        <v>0</v>
      </c>
      <c r="BJ161" s="675">
        <f t="shared" ca="1" si="41"/>
        <v>0</v>
      </c>
      <c r="BK161" s="675">
        <f t="shared" ca="1" si="41"/>
        <v>0</v>
      </c>
      <c r="BL161" s="675">
        <f t="shared" ca="1" si="41"/>
        <v>0</v>
      </c>
      <c r="BM161" s="675">
        <f t="shared" ca="1" si="41"/>
        <v>0</v>
      </c>
      <c r="BN161" s="1156"/>
      <c r="BO161" s="1156"/>
      <c r="BP161" s="1156"/>
      <c r="BS161" s="965" t="s">
        <v>1723</v>
      </c>
      <c r="BT161" s="972"/>
      <c r="BU161" s="972"/>
      <c r="BV161" s="624"/>
      <c r="BW161" s="624"/>
    </row>
    <row r="162" spans="1:75" s="617" customFormat="1" ht="20.45" hidden="1" customHeight="1">
      <c r="B162" s="352"/>
      <c r="D162" s="28">
        <f>D161+1</f>
        <v>13</v>
      </c>
      <c r="E162" s="624">
        <v>21</v>
      </c>
      <c r="F162" s="3" cm="1">
        <f t="array" aca="1" ref="F162" ca="1">OFFSET(E162,-1,1)</f>
        <v>0</v>
      </c>
      <c r="G162" s="77" t="s">
        <v>1476</v>
      </c>
      <c r="H162" s="77"/>
      <c r="I162" s="77" t="s">
        <v>2034</v>
      </c>
      <c r="K162" s="77" t="s">
        <v>2034</v>
      </c>
      <c r="L162" s="887" t="s">
        <v>1724</v>
      </c>
      <c r="M162" s="28"/>
      <c r="T162" s="381" t="b" cm="1">
        <f t="array" aca="1" ref="T162" ca="1">T161</f>
        <v>0</v>
      </c>
      <c r="X162" s="1755"/>
      <c r="Z162" s="1735"/>
      <c r="AB162" s="129" cm="1">
        <f t="array" ref="AB162">D162</f>
        <v>13</v>
      </c>
      <c r="AC162" s="130" t="s">
        <v>1726</v>
      </c>
      <c r="AD162" s="129" t="s">
        <v>499</v>
      </c>
      <c r="AE162" s="699">
        <f ca="1">SUMIFS(Баланс!AE$26:AE$209,Баланс!$F$26:$F$209,$F162,Баланс!$G$26:$G$209,"население")</f>
        <v>0</v>
      </c>
      <c r="AF162" s="699">
        <f ca="1">SUMIFS(Баланс!AF$26:AF$209,Баланс!$F$26:$F$209,$F162,Баланс!$G$26:$G$209,"население")</f>
        <v>0</v>
      </c>
      <c r="AG162" s="699">
        <f ca="1">SUMIFS(Баланс!AG$26:AG$209,Баланс!$F$26:$F$209,$F162,Баланс!$G$26:$G$209,"население")</f>
        <v>0</v>
      </c>
      <c r="AH162" s="700">
        <f ca="1">AG162-AF162</f>
        <v>0</v>
      </c>
      <c r="AI162" s="700">
        <f ca="1">SUMIFS(Баланс!AH$26:AH$209,Баланс!$F$26:$F$209,$F162,Баланс!$G$26:$G$209,"население")</f>
        <v>0</v>
      </c>
      <c r="AJ162" s="700">
        <f ca="1">SUMIFS(Баланс!AI$26:AI$209,Баланс!$F$26:$F$209,$F162,Баланс!$G$26:$G$209,"население")</f>
        <v>0</v>
      </c>
      <c r="AK162" s="700">
        <f ca="1">SUMIFS(Баланс!AJ$26:AJ$209,Баланс!$F$26:$F$209,$F162,Баланс!$G$26:$G$209,"население")</f>
        <v>0</v>
      </c>
      <c r="AL162" s="700">
        <f ca="1">SUMIFS(Баланс!AK$26:AK$209,Баланс!$F$26:$F$209,$F162,Баланс!$G$26:$G$209,"население")</f>
        <v>0</v>
      </c>
      <c r="AM162" s="700">
        <f ca="1">SUMIFS(Баланс!AL$26:AL$209,Баланс!$F$26:$F$209,$F162,Баланс!$G$26:$G$209,"население")</f>
        <v>0</v>
      </c>
      <c r="AN162" s="700">
        <f ca="1">SUMIFS(Баланс!AM$26:AM$209,Баланс!$F$26:$F$209,$F162,Баланс!$G$26:$G$209,"население")</f>
        <v>0</v>
      </c>
      <c r="AO162" s="700">
        <f ca="1">SUMIFS(Баланс!AN$26:AN$209,Баланс!$F$26:$F$209,$F162,Баланс!$G$26:$G$209,"население")</f>
        <v>0</v>
      </c>
      <c r="AP162" s="700">
        <f ca="1">SUMIFS(Баланс!AO$26:AO$209,Баланс!$F$26:$F$209,$F162,Баланс!$G$26:$G$209,"население")</f>
        <v>0</v>
      </c>
      <c r="AQ162" s="700">
        <f ca="1">SUMIFS(Баланс!AP$26:AP$209,Баланс!$F$26:$F$209,$F162,Баланс!$G$26:$G$209,"население")</f>
        <v>0</v>
      </c>
      <c r="AR162" s="700">
        <f ca="1">SUMIFS(Баланс!AQ$26:AQ$209,Баланс!$F$26:$F$209,$F162,Баланс!$G$26:$G$209,"население")</f>
        <v>0</v>
      </c>
      <c r="AS162" s="700">
        <f ca="1">SUMIFS(Баланс!AR$26:AR$209,Баланс!$F$26:$F$209,$F162,Баланс!$G$26:$G$209,"население")</f>
        <v>0</v>
      </c>
      <c r="AT162" s="700">
        <f ca="1">SUMIFS(Баланс!AS$26:AS$209,Баланс!$F$26:$F$209,$F162,Баланс!$G$26:$G$209,"население")</f>
        <v>0</v>
      </c>
      <c r="AU162" s="700">
        <f ca="1">SUMIFS(Баланс!AT$26:AT$209,Баланс!$F$26:$F$209,$F162,Баланс!$G$26:$G$209,"население")</f>
        <v>0</v>
      </c>
      <c r="AV162" s="700">
        <f ca="1">SUMIFS(Баланс!AU$26:AU$209,Баланс!$F$26:$F$209,$F162,Баланс!$G$26:$G$209,"население")</f>
        <v>0</v>
      </c>
      <c r="AW162" s="700">
        <f ca="1">SUMIFS(Баланс!AV$26:AV$209,Баланс!$F$26:$F$209,$F162,Баланс!$G$26:$G$209,"население")</f>
        <v>0</v>
      </c>
      <c r="AX162" s="700">
        <f ca="1">SUMIFS(Баланс!AW$26:AW$209,Баланс!$F$26:$F$209,$F162,Баланс!$G$26:$G$209,"население")</f>
        <v>0</v>
      </c>
      <c r="AY162" s="700">
        <f ca="1">SUMIFS(Баланс!AX$26:AX$209,Баланс!$F$26:$F$209,$F162,Баланс!$G$26:$G$209,"население")</f>
        <v>0</v>
      </c>
      <c r="AZ162" s="700">
        <f ca="1">SUMIFS(Баланс!AY$26:AY$209,Баланс!$F$26:$F$209,$F162,Баланс!$G$26:$G$209,"население")</f>
        <v>0</v>
      </c>
      <c r="BA162" s="700">
        <f ca="1">SUMIFS(Баланс!AZ$26:AZ$209,Баланс!$F$26:$F$209,$F162,Баланс!$G$26:$G$209,"население")</f>
        <v>0</v>
      </c>
      <c r="BB162" s="700">
        <f ca="1">SUMIFS(Баланс!BA$26:BA$209,Баланс!$F$26:$F$209,$F162,Баланс!$G$26:$G$209,"население")</f>
        <v>0</v>
      </c>
      <c r="BC162" s="700">
        <f ca="1">SUMIFS(Баланс!BB$26:BB$209,Баланс!$F$26:$F$209,$F162,Баланс!$G$26:$G$209,"население")</f>
        <v>0</v>
      </c>
      <c r="BD162" s="678"/>
      <c r="BE162" s="678"/>
      <c r="BF162" s="678"/>
      <c r="BG162" s="678"/>
      <c r="BH162" s="678"/>
      <c r="BI162" s="678"/>
      <c r="BJ162" s="678"/>
      <c r="BK162" s="678"/>
      <c r="BL162" s="678"/>
      <c r="BM162" s="678"/>
      <c r="BN162" s="1156"/>
      <c r="BO162" s="1156"/>
      <c r="BP162" s="1156"/>
      <c r="BS162" s="965" t="s">
        <v>1727</v>
      </c>
      <c r="BT162" s="972"/>
      <c r="BU162" s="972"/>
      <c r="BV162" s="624"/>
      <c r="BW162" s="624"/>
    </row>
    <row r="163" spans="1:75" ht="14.65" hidden="1" customHeight="1">
      <c r="D163" s="26" cm="1">
        <f t="array" ref="D163">D162</f>
        <v>13</v>
      </c>
      <c r="E163" s="620">
        <v>15</v>
      </c>
      <c r="F163" s="3" cm="1">
        <f t="array" aca="1" ref="F163" ca="1">OFFSET(E163,-1,1)</f>
        <v>0</v>
      </c>
      <c r="G163" s="77" t="s">
        <v>1510</v>
      </c>
      <c r="I163" s="77" t="s">
        <v>2035</v>
      </c>
      <c r="K163" s="77" t="s">
        <v>2035</v>
      </c>
      <c r="L163" s="882" t="s">
        <v>1728</v>
      </c>
      <c r="M163" s="26"/>
      <c r="T163" s="381" t="b" cm="1">
        <f t="array" aca="1" ref="T163" ca="1">T162</f>
        <v>0</v>
      </c>
      <c r="X163" s="1755"/>
      <c r="Z163" s="1735"/>
      <c r="AB163" s="216" t="str">
        <f>D163&amp;".1"</f>
        <v>13.1</v>
      </c>
      <c r="AC163" s="1012" t="s">
        <v>1730</v>
      </c>
      <c r="AD163" s="216" t="s">
        <v>499</v>
      </c>
      <c r="AE163" s="1160">
        <f ca="1">AE162/2</f>
        <v>0</v>
      </c>
      <c r="AF163" s="1160">
        <f ca="1">AF162/2</f>
        <v>0</v>
      </c>
      <c r="AG163" s="1160">
        <f ca="1">AG162/2</f>
        <v>0</v>
      </c>
      <c r="AH163" s="846">
        <f ca="1">AG163-AF163</f>
        <v>0</v>
      </c>
      <c r="AI163" s="1161">
        <f ca="1">AI162/2</f>
        <v>0</v>
      </c>
      <c r="AJ163" s="1512">
        <f ca="1">IF(god=2026,AJ162/12*9,AJ162/2)</f>
        <v>0</v>
      </c>
      <c r="AK163" s="1160">
        <f ca="1">IF(god=2025,AK162/12*9,AK162/2)</f>
        <v>0</v>
      </c>
      <c r="AL163" s="1161">
        <f t="shared" ref="AL163:AS163" ca="1" si="42">AL162/2</f>
        <v>0</v>
      </c>
      <c r="AM163" s="1161">
        <f t="shared" ca="1" si="42"/>
        <v>0</v>
      </c>
      <c r="AN163" s="1161">
        <f t="shared" ca="1" si="42"/>
        <v>0</v>
      </c>
      <c r="AO163" s="1161">
        <f t="shared" ca="1" si="42"/>
        <v>0</v>
      </c>
      <c r="AP163" s="1161">
        <f t="shared" ca="1" si="42"/>
        <v>0</v>
      </c>
      <c r="AQ163" s="1161">
        <f t="shared" ca="1" si="42"/>
        <v>0</v>
      </c>
      <c r="AR163" s="1161">
        <f t="shared" ca="1" si="42"/>
        <v>0</v>
      </c>
      <c r="AS163" s="1161">
        <f t="shared" ca="1" si="42"/>
        <v>0</v>
      </c>
      <c r="AT163" s="1478">
        <f ca="1">IF(god=2026,AT162/12*9,AT162/2)</f>
        <v>0</v>
      </c>
      <c r="AU163" s="1161">
        <f ca="1">IF(god=2025,AU162/12*9,AU162/2)</f>
        <v>0</v>
      </c>
      <c r="AV163" s="1161">
        <f t="shared" ref="AV163:BC163" ca="1" si="43">AV162/2</f>
        <v>0</v>
      </c>
      <c r="AW163" s="1161">
        <f t="shared" ca="1" si="43"/>
        <v>0</v>
      </c>
      <c r="AX163" s="1161">
        <f t="shared" ca="1" si="43"/>
        <v>0</v>
      </c>
      <c r="AY163" s="1161">
        <f t="shared" ca="1" si="43"/>
        <v>0</v>
      </c>
      <c r="AZ163" s="1161">
        <f t="shared" ca="1" si="43"/>
        <v>0</v>
      </c>
      <c r="BA163" s="1161">
        <f t="shared" ca="1" si="43"/>
        <v>0</v>
      </c>
      <c r="BB163" s="1161">
        <f t="shared" ca="1" si="43"/>
        <v>0</v>
      </c>
      <c r="BC163" s="1161">
        <f t="shared" ca="1" si="43"/>
        <v>0</v>
      </c>
      <c r="BD163" s="847"/>
      <c r="BE163" s="847"/>
      <c r="BF163" s="847"/>
      <c r="BG163" s="847"/>
      <c r="BH163" s="847"/>
      <c r="BI163" s="847"/>
      <c r="BJ163" s="847"/>
      <c r="BK163" s="847"/>
      <c r="BL163" s="847"/>
      <c r="BM163" s="847"/>
      <c r="BN163" s="1156"/>
      <c r="BO163" s="1156"/>
      <c r="BP163" s="1156"/>
      <c r="BS163" s="964" t="s">
        <v>1731</v>
      </c>
    </row>
    <row r="164" spans="1:75" ht="14.65" hidden="1" customHeight="1">
      <c r="D164" s="26" cm="1">
        <f t="array" ref="D164">D163</f>
        <v>13</v>
      </c>
      <c r="E164" s="620">
        <v>15</v>
      </c>
      <c r="F164" s="3" cm="1">
        <f t="array" aca="1" ref="F164" ca="1">OFFSET(E164,-1,1)</f>
        <v>0</v>
      </c>
      <c r="G164" s="77" t="s">
        <v>1466</v>
      </c>
      <c r="I164" s="77" t="s">
        <v>2036</v>
      </c>
      <c r="K164" s="77" t="s">
        <v>2036</v>
      </c>
      <c r="L164" s="882" t="s">
        <v>1732</v>
      </c>
      <c r="M164" s="26"/>
      <c r="T164" s="381" t="b" cm="1">
        <f t="array" aca="1" ref="T164" ca="1">T163</f>
        <v>0</v>
      </c>
      <c r="X164" s="1755"/>
      <c r="Z164" s="1735"/>
      <c r="AB164" s="216" t="str">
        <f>D164&amp;".2"</f>
        <v>13.2</v>
      </c>
      <c r="AC164" s="1012" t="s">
        <v>1734</v>
      </c>
      <c r="AD164" s="216" t="s">
        <v>1454</v>
      </c>
      <c r="AE164" s="1162">
        <f ca="1">IF(AE162=0,0,AE156*(1+Сценарии!AE$26))</f>
        <v>0</v>
      </c>
      <c r="AF164" s="1162">
        <f ca="1">IF(AF162=0,0,AF156*(1+Сценарии!AF$26))</f>
        <v>0</v>
      </c>
      <c r="AG164" s="1162">
        <f ca="1">IF(AG162=0,0,AG156*(1+Сценарии!AG$26))</f>
        <v>0</v>
      </c>
      <c r="AH164" s="848">
        <f ca="1">AG164-AF164</f>
        <v>0</v>
      </c>
      <c r="AI164" s="1162">
        <f ca="1">IF(AI162=0,0,AI156*(1+Сценарии!AI$26))</f>
        <v>0</v>
      </c>
      <c r="AJ164" s="1480">
        <f ca="1">IF(AJ162=0,0,AJ156*(1+Сценарии!AJ$26))</f>
        <v>0</v>
      </c>
      <c r="AK164" s="1162">
        <f ca="1">IF(AK162=0,0,AK156*(1+Сценарии!AO$26))</f>
        <v>0</v>
      </c>
      <c r="AL164" s="1162">
        <f ca="1">IF(AL162=0,0,AL156*(1+Сценарии!AP$26))</f>
        <v>0</v>
      </c>
      <c r="AM164" s="1162">
        <f ca="1">IF(AM162=0,0,AM156*(1+Сценарии!AQ$26))</f>
        <v>0</v>
      </c>
      <c r="AN164" s="1162">
        <f ca="1">IF(AN162=0,0,AN156*(1+Сценарии!AR$26))</f>
        <v>0</v>
      </c>
      <c r="AO164" s="1162">
        <f ca="1">IF(AO162=0,0,AO156*(1+Сценарии!AS$26))</f>
        <v>0</v>
      </c>
      <c r="AP164" s="1162">
        <f ca="1">IF(AP162=0,0,AP156*(1+Сценарии!AT$26))</f>
        <v>0</v>
      </c>
      <c r="AQ164" s="1162">
        <f ca="1">IF(AQ162=0,0,AQ156*(1+Сценарии!AU$26))</f>
        <v>0</v>
      </c>
      <c r="AR164" s="1162">
        <f ca="1">IF(AR162=0,0,AR156*(1+Сценарии!AV$26))</f>
        <v>0</v>
      </c>
      <c r="AS164" s="1162">
        <f ca="1">IF(AS162=0,0,AS156*(1+Сценарии!AW$26))</f>
        <v>0</v>
      </c>
      <c r="AT164" s="1480">
        <f ca="1">IF(AT162=0,0,AT156*(1+Сценарии!AK$26))</f>
        <v>0</v>
      </c>
      <c r="AU164" s="1162">
        <f ca="1">IF(AU162=0,0,AU156*(1+Сценарии!AX$26))</f>
        <v>0</v>
      </c>
      <c r="AV164" s="1162">
        <f ca="1">IF(AV162=0,0,AV156*(1+Сценарии!AY$26))</f>
        <v>0</v>
      </c>
      <c r="AW164" s="1162">
        <f ca="1">IF(AW162=0,0,AW156*(1+Сценарии!AZ$26))</f>
        <v>0</v>
      </c>
      <c r="AX164" s="1162">
        <f ca="1">IF(AX162=0,0,AX156*(1+Сценарии!BA$26))</f>
        <v>0</v>
      </c>
      <c r="AY164" s="1162">
        <f ca="1">IF(AY162=0,0,AY156*(1+Сценарии!BB$26))</f>
        <v>0</v>
      </c>
      <c r="AZ164" s="1162">
        <f ca="1">IF(AZ162=0,0,AZ156*(1+Сценарии!BC$26))</f>
        <v>0</v>
      </c>
      <c r="BA164" s="1162">
        <f ca="1">IF(BA162=0,0,BA156*(1+Сценарии!BD$26))</f>
        <v>0</v>
      </c>
      <c r="BB164" s="1162">
        <f ca="1">IF(BB162=0,0,BB156*(1+Сценарии!BE$26))</f>
        <v>0</v>
      </c>
      <c r="BC164" s="1162">
        <f ca="1">IF(BC162=0,0,BC156*(1+Сценарии!BF$26))</f>
        <v>0</v>
      </c>
      <c r="BD164" s="847"/>
      <c r="BE164" s="847"/>
      <c r="BF164" s="847"/>
      <c r="BG164" s="847"/>
      <c r="BH164" s="847"/>
      <c r="BI164" s="847"/>
      <c r="BJ164" s="847"/>
      <c r="BK164" s="847"/>
      <c r="BL164" s="847"/>
      <c r="BM164" s="847"/>
      <c r="BN164" s="1156"/>
      <c r="BO164" s="1156"/>
      <c r="BP164" s="1156"/>
      <c r="BS164" s="964" t="s">
        <v>1735</v>
      </c>
    </row>
    <row r="165" spans="1:75" ht="14.65" hidden="1" customHeight="1">
      <c r="B165" s="15"/>
      <c r="C165" s="26"/>
      <c r="D165" s="26" cm="1">
        <f t="array" ref="D165">D164</f>
        <v>13</v>
      </c>
      <c r="E165" s="538">
        <v>15</v>
      </c>
      <c r="F165" s="3" cm="1">
        <f t="array" aca="1" ref="F165" ca="1">OFFSET(E165,-1,1)</f>
        <v>0</v>
      </c>
      <c r="G165" s="26" t="s">
        <v>1517</v>
      </c>
      <c r="H165" s="26"/>
      <c r="I165" s="26" t="s">
        <v>2037</v>
      </c>
      <c r="J165" s="26"/>
      <c r="K165" s="26" t="s">
        <v>2037</v>
      </c>
      <c r="L165" s="882" t="s">
        <v>1736</v>
      </c>
      <c r="M165" s="26"/>
      <c r="N165" s="26"/>
      <c r="O165" s="26"/>
      <c r="P165" s="26"/>
      <c r="Q165" s="26"/>
      <c r="R165" s="26"/>
      <c r="S165" s="26"/>
      <c r="T165" s="381" t="b" cm="1">
        <f t="array" aca="1" ref="T165" ca="1">T164</f>
        <v>0</v>
      </c>
      <c r="U165" s="26"/>
      <c r="V165" s="26"/>
      <c r="W165" s="26"/>
      <c r="X165" s="1755"/>
      <c r="Z165" s="1735"/>
      <c r="AB165" s="216" t="str">
        <f>D165&amp;".3"</f>
        <v>13.3</v>
      </c>
      <c r="AC165" s="1012" t="s">
        <v>1706</v>
      </c>
      <c r="AD165" s="216" t="s">
        <v>499</v>
      </c>
      <c r="AE165" s="851">
        <f ca="1">AE162-AE163</f>
        <v>0</v>
      </c>
      <c r="AF165" s="851">
        <f ca="1">AF162-AF163</f>
        <v>0</v>
      </c>
      <c r="AG165" s="851">
        <f ca="1">AG162-AG163</f>
        <v>0</v>
      </c>
      <c r="AH165" s="846">
        <f ca="1">AG165-AF165</f>
        <v>0</v>
      </c>
      <c r="AI165" s="739">
        <f t="shared" ref="AI165:BC165" ca="1" si="44">AI162-AI163</f>
        <v>0</v>
      </c>
      <c r="AJ165" s="739">
        <f t="shared" ca="1" si="44"/>
        <v>0</v>
      </c>
      <c r="AK165" s="739">
        <f t="shared" ca="1" si="44"/>
        <v>0</v>
      </c>
      <c r="AL165" s="739">
        <f t="shared" ca="1" si="44"/>
        <v>0</v>
      </c>
      <c r="AM165" s="739">
        <f t="shared" ca="1" si="44"/>
        <v>0</v>
      </c>
      <c r="AN165" s="739">
        <f t="shared" ca="1" si="44"/>
        <v>0</v>
      </c>
      <c r="AO165" s="739">
        <f t="shared" ca="1" si="44"/>
        <v>0</v>
      </c>
      <c r="AP165" s="739">
        <f t="shared" ca="1" si="44"/>
        <v>0</v>
      </c>
      <c r="AQ165" s="739">
        <f t="shared" ca="1" si="44"/>
        <v>0</v>
      </c>
      <c r="AR165" s="739">
        <f t="shared" ca="1" si="44"/>
        <v>0</v>
      </c>
      <c r="AS165" s="739">
        <f t="shared" ca="1" si="44"/>
        <v>0</v>
      </c>
      <c r="AT165" s="739">
        <f t="shared" ca="1" si="44"/>
        <v>0</v>
      </c>
      <c r="AU165" s="739">
        <f t="shared" ca="1" si="44"/>
        <v>0</v>
      </c>
      <c r="AV165" s="739">
        <f t="shared" ca="1" si="44"/>
        <v>0</v>
      </c>
      <c r="AW165" s="739">
        <f t="shared" ca="1" si="44"/>
        <v>0</v>
      </c>
      <c r="AX165" s="739">
        <f t="shared" ca="1" si="44"/>
        <v>0</v>
      </c>
      <c r="AY165" s="739">
        <f t="shared" ca="1" si="44"/>
        <v>0</v>
      </c>
      <c r="AZ165" s="739">
        <f t="shared" ca="1" si="44"/>
        <v>0</v>
      </c>
      <c r="BA165" s="739">
        <f t="shared" ca="1" si="44"/>
        <v>0</v>
      </c>
      <c r="BB165" s="739">
        <f t="shared" ca="1" si="44"/>
        <v>0</v>
      </c>
      <c r="BC165" s="739">
        <f t="shared" ca="1" si="44"/>
        <v>0</v>
      </c>
      <c r="BD165" s="847"/>
      <c r="BE165" s="847"/>
      <c r="BF165" s="847"/>
      <c r="BG165" s="847"/>
      <c r="BH165" s="847"/>
      <c r="BI165" s="847"/>
      <c r="BJ165" s="847"/>
      <c r="BK165" s="847"/>
      <c r="BL165" s="847"/>
      <c r="BM165" s="847"/>
      <c r="BN165" s="1156"/>
      <c r="BO165" s="1156"/>
      <c r="BP165" s="1156"/>
      <c r="BS165" s="964" t="s">
        <v>1738</v>
      </c>
    </row>
    <row r="166" spans="1:75" ht="14.65" hidden="1" customHeight="1">
      <c r="B166" s="15"/>
      <c r="C166" s="26"/>
      <c r="D166" s="26" cm="1">
        <f t="array" ref="D166">D165</f>
        <v>13</v>
      </c>
      <c r="E166" s="538">
        <v>15</v>
      </c>
      <c r="F166" s="3" cm="1">
        <f t="array" aca="1" ref="F166" ca="1">OFFSET(E166,-1,1)</f>
        <v>0</v>
      </c>
      <c r="G166" s="26" t="s">
        <v>1470</v>
      </c>
      <c r="H166" s="26"/>
      <c r="I166" s="26" t="s">
        <v>2038</v>
      </c>
      <c r="J166" s="26"/>
      <c r="K166" s="26" t="s">
        <v>2038</v>
      </c>
      <c r="L166" s="882" t="s">
        <v>1739</v>
      </c>
      <c r="M166" s="26"/>
      <c r="N166" s="26"/>
      <c r="O166" s="26"/>
      <c r="P166" s="26"/>
      <c r="Q166" s="26"/>
      <c r="R166" s="26"/>
      <c r="S166" s="26"/>
      <c r="T166" s="381" t="b" cm="1">
        <f t="array" aca="1" ref="T166" ca="1">T165</f>
        <v>0</v>
      </c>
      <c r="U166" s="26"/>
      <c r="V166" s="26"/>
      <c r="W166" s="26"/>
      <c r="X166" s="1755"/>
      <c r="Z166" s="1735"/>
      <c r="AB166" s="216" t="str">
        <f>D166&amp;".4"</f>
        <v>13.4</v>
      </c>
      <c r="AC166" s="1012" t="s">
        <v>1710</v>
      </c>
      <c r="AD166" s="216" t="s">
        <v>1454</v>
      </c>
      <c r="AE166" s="1162">
        <f ca="1">IF(AE162=0,0,AE158*(1+Сценарии!AE$26))</f>
        <v>0</v>
      </c>
      <c r="AF166" s="1162">
        <f ca="1">IF(AF162=0,0,AF158*(1+Сценарии!AF$26))</f>
        <v>0</v>
      </c>
      <c r="AG166" s="1162">
        <f ca="1">IF(AG162=0,0,AG158*(1+Сценарии!AG$26))</f>
        <v>0</v>
      </c>
      <c r="AH166" s="848">
        <f ca="1">AG166-AF166</f>
        <v>0</v>
      </c>
      <c r="AI166" s="1162">
        <f ca="1">IF(AI162=0,0,AI158*(1+Сценарии!AI$26))</f>
        <v>0</v>
      </c>
      <c r="AJ166" s="1480">
        <f ca="1">IF(AJ162=0,0,AJ158*(1+Сценарии!AJ$26))</f>
        <v>0</v>
      </c>
      <c r="AK166" s="1162">
        <f ca="1">IF(AK162=0,0,AK158*(1+Сценарии!AO$26))</f>
        <v>0</v>
      </c>
      <c r="AL166" s="1162">
        <f ca="1">IF(AL162=0,0,AL158*(1+Сценарии!AP$26))</f>
        <v>0</v>
      </c>
      <c r="AM166" s="1162">
        <f ca="1">IF(AM162=0,0,AM158*(1+Сценарии!AQ$26))</f>
        <v>0</v>
      </c>
      <c r="AN166" s="1162">
        <f ca="1">IF(AN162=0,0,AN158*(1+Сценарии!AR$26))</f>
        <v>0</v>
      </c>
      <c r="AO166" s="1162">
        <f ca="1">IF(AO162=0,0,AO158*(1+Сценарии!AS$26))</f>
        <v>0</v>
      </c>
      <c r="AP166" s="1162">
        <f ca="1">IF(AP162=0,0,AP158*(1+Сценарии!AT$26))</f>
        <v>0</v>
      </c>
      <c r="AQ166" s="1162">
        <f ca="1">IF(AQ162=0,0,AQ158*(1+Сценарии!AU$26))</f>
        <v>0</v>
      </c>
      <c r="AR166" s="1162">
        <f ca="1">IF(AR162=0,0,AR158*(1+Сценарии!AV$26))</f>
        <v>0</v>
      </c>
      <c r="AS166" s="1162">
        <f ca="1">IF(AS162=0,0,AS158*(1+Сценарии!AW$26))</f>
        <v>0</v>
      </c>
      <c r="AT166" s="1480">
        <f ca="1">IF(AT162=0,0,AT158*(1+Сценарии!AK$26))</f>
        <v>0</v>
      </c>
      <c r="AU166" s="1162">
        <f ca="1">IF(AU162=0,0,AU158*(1+Сценарии!AX$26))</f>
        <v>0</v>
      </c>
      <c r="AV166" s="1162">
        <f ca="1">IF(AV162=0,0,AV158*(1+Сценарии!AY$26))</f>
        <v>0</v>
      </c>
      <c r="AW166" s="1162">
        <f ca="1">IF(AW162=0,0,AW158*(1+Сценарии!AZ$26))</f>
        <v>0</v>
      </c>
      <c r="AX166" s="1162">
        <f ca="1">IF(AX162=0,0,AX158*(1+Сценарии!BA$26))</f>
        <v>0</v>
      </c>
      <c r="AY166" s="1162">
        <f ca="1">IF(AY162=0,0,AY158*(1+Сценарии!BB$26))</f>
        <v>0</v>
      </c>
      <c r="AZ166" s="1162">
        <f ca="1">IF(AZ162=0,0,AZ158*(1+Сценарии!BC$26))</f>
        <v>0</v>
      </c>
      <c r="BA166" s="1162">
        <f ca="1">IF(BA162=0,0,BA158*(1+Сценарии!BD$26))</f>
        <v>0</v>
      </c>
      <c r="BB166" s="1162">
        <f ca="1">IF(BB162=0,0,BB158*(1+Сценарии!BE$26))</f>
        <v>0</v>
      </c>
      <c r="BC166" s="1162">
        <f ca="1">IF(BC162=0,0,BC158*(1+Сценарии!BF$26))</f>
        <v>0</v>
      </c>
      <c r="BD166" s="847"/>
      <c r="BE166" s="847"/>
      <c r="BF166" s="847"/>
      <c r="BG166" s="847"/>
      <c r="BH166" s="847"/>
      <c r="BI166" s="847"/>
      <c r="BJ166" s="847"/>
      <c r="BK166" s="847"/>
      <c r="BL166" s="847"/>
      <c r="BM166" s="847"/>
      <c r="BN166" s="1156"/>
      <c r="BO166" s="1156"/>
      <c r="BP166" s="1156"/>
      <c r="BS166" s="964" t="s">
        <v>1742</v>
      </c>
    </row>
    <row r="167" spans="1:75" ht="14.65" hidden="1" customHeight="1">
      <c r="B167" s="15"/>
      <c r="C167" s="26"/>
      <c r="D167" s="26">
        <f>D166+1</f>
        <v>14</v>
      </c>
      <c r="E167" s="538">
        <v>15</v>
      </c>
      <c r="F167" s="3" cm="1">
        <f t="array" aca="1" ref="F167" ca="1">OFFSET(E167,-1,1)</f>
        <v>0</v>
      </c>
      <c r="G167" s="26"/>
      <c r="H167" s="26"/>
      <c r="I167" s="26"/>
      <c r="J167" s="26"/>
      <c r="K167" s="26"/>
      <c r="L167" s="882"/>
      <c r="M167" s="26"/>
      <c r="N167" s="26"/>
      <c r="O167" s="26"/>
      <c r="P167" s="26"/>
      <c r="Q167" s="26"/>
      <c r="R167" s="26"/>
      <c r="S167" s="26"/>
      <c r="T167" s="381" t="b" cm="1">
        <f t="array" aca="1" ref="T167" ca="1">T166</f>
        <v>0</v>
      </c>
      <c r="U167" s="26"/>
      <c r="V167" s="26"/>
      <c r="W167" s="26"/>
      <c r="X167" s="1755"/>
      <c r="Z167" s="1735"/>
      <c r="AB167" s="129" cm="1">
        <f t="array" ref="AB167">D167</f>
        <v>14</v>
      </c>
      <c r="AC167" s="130" t="s">
        <v>1744</v>
      </c>
      <c r="AD167" s="129" t="s">
        <v>766</v>
      </c>
      <c r="AE167" s="1155"/>
      <c r="AF167" s="1155"/>
      <c r="AG167" s="1155"/>
      <c r="AH167" s="848"/>
      <c r="AI167" s="1162"/>
      <c r="AJ167" s="1480"/>
      <c r="AK167" s="1162"/>
      <c r="AL167" s="1162"/>
      <c r="AM167" s="1162"/>
      <c r="AN167" s="1162"/>
      <c r="AO167" s="1162"/>
      <c r="AP167" s="1162"/>
      <c r="AQ167" s="1162"/>
      <c r="AR167" s="1162"/>
      <c r="AS167" s="1162"/>
      <c r="AT167" s="1480"/>
      <c r="AU167" s="1162"/>
      <c r="AV167" s="1162"/>
      <c r="AW167" s="1162"/>
      <c r="AX167" s="1162"/>
      <c r="AY167" s="1162"/>
      <c r="AZ167" s="1162"/>
      <c r="BA167" s="1162"/>
      <c r="BB167" s="1162"/>
      <c r="BC167" s="1162"/>
      <c r="BD167" s="847"/>
      <c r="BE167" s="847"/>
      <c r="BF167" s="847"/>
      <c r="BG167" s="847"/>
      <c r="BH167" s="847"/>
      <c r="BI167" s="847"/>
      <c r="BJ167" s="847"/>
      <c r="BK167" s="847"/>
      <c r="BL167" s="847"/>
      <c r="BM167" s="847"/>
      <c r="BN167" s="1156"/>
      <c r="BO167" s="1156"/>
      <c r="BP167" s="1156"/>
      <c r="BS167" s="964" t="s">
        <v>1745</v>
      </c>
    </row>
    <row r="168" spans="1:75" ht="20.45" hidden="1" customHeight="1">
      <c r="B168" s="15"/>
      <c r="C168" s="26"/>
      <c r="D168" s="26" cm="1">
        <f t="array" ref="D168">D167</f>
        <v>14</v>
      </c>
      <c r="E168" s="538">
        <v>21</v>
      </c>
      <c r="F168" s="3" cm="1">
        <f t="array" aca="1" ref="F168" ca="1">OFFSET(E168,-1,1)</f>
        <v>0</v>
      </c>
      <c r="G168" s="26"/>
      <c r="H168" s="26"/>
      <c r="I168" s="26"/>
      <c r="J168" s="26"/>
      <c r="K168" s="26"/>
      <c r="L168" s="882"/>
      <c r="M168" s="26"/>
      <c r="N168" s="26"/>
      <c r="O168" s="26"/>
      <c r="P168" s="26"/>
      <c r="Q168" s="26"/>
      <c r="R168" s="26"/>
      <c r="S168" s="26"/>
      <c r="T168" s="381" t="b" cm="1">
        <f t="array" aca="1" ref="T168" ca="1">T167</f>
        <v>0</v>
      </c>
      <c r="U168" s="26"/>
      <c r="V168" s="26"/>
      <c r="W168" s="26"/>
      <c r="X168" s="1755"/>
      <c r="Z168" s="1735"/>
      <c r="AB168" s="216" t="str">
        <f>D168&amp;".1"</f>
        <v>14.1</v>
      </c>
      <c r="AC168" s="676" t="s">
        <v>1747</v>
      </c>
      <c r="AD168" s="216" t="s">
        <v>766</v>
      </c>
      <c r="AE168" s="1155"/>
      <c r="AF168" s="1155"/>
      <c r="AG168" s="1155"/>
      <c r="AH168" s="848">
        <f>AG168-AF168</f>
        <v>0</v>
      </c>
      <c r="AI168" s="1162"/>
      <c r="AJ168" s="1480"/>
      <c r="AK168" s="1162"/>
      <c r="AL168" s="1162"/>
      <c r="AM168" s="1162"/>
      <c r="AN168" s="1162"/>
      <c r="AO168" s="1162"/>
      <c r="AP168" s="1162"/>
      <c r="AQ168" s="1162"/>
      <c r="AR168" s="1162"/>
      <c r="AS168" s="1162"/>
      <c r="AT168" s="1480"/>
      <c r="AU168" s="1162"/>
      <c r="AV168" s="1162"/>
      <c r="AW168" s="1162"/>
      <c r="AX168" s="1162"/>
      <c r="AY168" s="1162"/>
      <c r="AZ168" s="1162"/>
      <c r="BA168" s="1162"/>
      <c r="BB168" s="1162"/>
      <c r="BC168" s="1162"/>
      <c r="BD168" s="847"/>
      <c r="BE168" s="847"/>
      <c r="BF168" s="847"/>
      <c r="BG168" s="847"/>
      <c r="BH168" s="847"/>
      <c r="BI168" s="847"/>
      <c r="BJ168" s="847"/>
      <c r="BK168" s="847"/>
      <c r="BL168" s="847"/>
      <c r="BM168" s="847"/>
      <c r="BN168" s="1156"/>
      <c r="BO168" s="1156"/>
      <c r="BP168" s="1156"/>
      <c r="BS168" s="964" t="s">
        <v>1748</v>
      </c>
      <c r="BT168" s="973"/>
      <c r="BU168" s="973"/>
      <c r="BV168" s="974"/>
      <c r="BW168" s="974"/>
    </row>
    <row r="169" spans="1:75" ht="64.900000000000006" hidden="1" customHeight="1">
      <c r="B169" s="15"/>
      <c r="C169" s="26"/>
      <c r="D169" s="26" cm="1">
        <f t="array" ref="D169">D168</f>
        <v>14</v>
      </c>
      <c r="E169" s="538">
        <v>66.599999999999994</v>
      </c>
      <c r="F169" s="3" cm="1">
        <f t="array" aca="1" ref="F169" ca="1">OFFSET(E169,-1,1)</f>
        <v>0</v>
      </c>
      <c r="G169" s="26"/>
      <c r="H169" s="26"/>
      <c r="I169" s="26"/>
      <c r="J169" s="26"/>
      <c r="K169" s="26"/>
      <c r="L169" s="882"/>
      <c r="M169" s="26"/>
      <c r="N169" s="26"/>
      <c r="O169" s="26"/>
      <c r="P169" s="26"/>
      <c r="Q169" s="26"/>
      <c r="R169" s="26"/>
      <c r="S169" s="26"/>
      <c r="T169" s="381" t="b" cm="1">
        <f t="array" aca="1" ref="T169" ca="1">T168</f>
        <v>0</v>
      </c>
      <c r="U169" s="26"/>
      <c r="V169" s="26"/>
      <c r="W169" s="26"/>
      <c r="X169" s="1755"/>
      <c r="Z169" s="1735"/>
      <c r="AB169" s="216" t="str">
        <f>D169&amp;".2"</f>
        <v>14.2</v>
      </c>
      <c r="AC169" s="676" t="s">
        <v>1750</v>
      </c>
      <c r="AD169" s="216" t="s">
        <v>766</v>
      </c>
      <c r="AE169" s="1155"/>
      <c r="AF169" s="1155"/>
      <c r="AG169" s="1155"/>
      <c r="AH169" s="848">
        <f>AG169-AF169</f>
        <v>0</v>
      </c>
      <c r="AI169" s="1162"/>
      <c r="AJ169" s="1480"/>
      <c r="AK169" s="1162"/>
      <c r="AL169" s="1162"/>
      <c r="AM169" s="1162"/>
      <c r="AN169" s="1162"/>
      <c r="AO169" s="1162"/>
      <c r="AP169" s="1162"/>
      <c r="AQ169" s="1162"/>
      <c r="AR169" s="1162"/>
      <c r="AS169" s="1162"/>
      <c r="AT169" s="1480"/>
      <c r="AU169" s="1162"/>
      <c r="AV169" s="1162"/>
      <c r="AW169" s="1162"/>
      <c r="AX169" s="1162"/>
      <c r="AY169" s="1162"/>
      <c r="AZ169" s="1162"/>
      <c r="BA169" s="1162"/>
      <c r="BB169" s="1162"/>
      <c r="BC169" s="1162"/>
      <c r="BD169" s="847"/>
      <c r="BE169" s="847"/>
      <c r="BF169" s="847"/>
      <c r="BG169" s="847"/>
      <c r="BH169" s="847"/>
      <c r="BI169" s="847"/>
      <c r="BJ169" s="847"/>
      <c r="BK169" s="847"/>
      <c r="BL169" s="847"/>
      <c r="BM169" s="847"/>
      <c r="BN169" s="1156"/>
      <c r="BO169" s="1156"/>
      <c r="BP169" s="1156"/>
      <c r="BS169" s="964" t="s">
        <v>1751</v>
      </c>
      <c r="BT169" s="973"/>
      <c r="BU169" s="973"/>
      <c r="BV169" s="974"/>
      <c r="BW169" s="974"/>
    </row>
    <row r="170" spans="1:75" ht="44.45" hidden="1" customHeight="1">
      <c r="A170" s="414"/>
      <c r="B170" s="667"/>
      <c r="C170" s="26"/>
      <c r="D170" s="26" cm="1">
        <f t="array" ref="D170">D169</f>
        <v>14</v>
      </c>
      <c r="E170" s="538">
        <v>45.6</v>
      </c>
      <c r="F170" s="3" cm="1">
        <f t="array" aca="1" ref="F170" ca="1">OFFSET(E170,-1,1)</f>
        <v>0</v>
      </c>
      <c r="G170" s="26"/>
      <c r="H170" s="26"/>
      <c r="I170" s="26"/>
      <c r="J170" s="26"/>
      <c r="K170" s="26"/>
      <c r="L170" s="882"/>
      <c r="M170" s="26"/>
      <c r="N170" s="26"/>
      <c r="O170" s="26"/>
      <c r="P170" s="26"/>
      <c r="Q170" s="26"/>
      <c r="R170" s="26"/>
      <c r="S170" s="26"/>
      <c r="T170" s="381" t="b" cm="1">
        <f t="array" aca="1" ref="T170" ca="1">T169</f>
        <v>0</v>
      </c>
      <c r="U170" s="26"/>
      <c r="V170" s="26"/>
      <c r="W170" s="26"/>
      <c r="X170" s="1755"/>
      <c r="Y170" s="414"/>
      <c r="Z170" s="1735"/>
      <c r="AA170" s="414"/>
      <c r="AB170" s="216" t="str">
        <f>D170&amp;".3"</f>
        <v>14.3</v>
      </c>
      <c r="AC170" s="676" t="s">
        <v>2039</v>
      </c>
      <c r="AD170" s="216" t="s">
        <v>766</v>
      </c>
      <c r="AE170" s="850"/>
      <c r="AF170" s="1155"/>
      <c r="AG170" s="1155"/>
      <c r="AH170" s="175">
        <f>AG170-AF170</f>
        <v>0</v>
      </c>
      <c r="AI170" s="850"/>
      <c r="AJ170" s="850"/>
      <c r="AK170" s="850"/>
      <c r="AL170" s="850"/>
      <c r="AM170" s="850"/>
      <c r="AN170" s="850"/>
      <c r="AO170" s="850"/>
      <c r="AP170" s="850"/>
      <c r="AQ170" s="850"/>
      <c r="AR170" s="850"/>
      <c r="AS170" s="850"/>
      <c r="AT170" s="850"/>
      <c r="AU170" s="850"/>
      <c r="AV170" s="850"/>
      <c r="AW170" s="850"/>
      <c r="AX170" s="850"/>
      <c r="AY170" s="850"/>
      <c r="AZ170" s="850"/>
      <c r="BA170" s="850"/>
      <c r="BB170" s="850"/>
      <c r="BC170" s="850"/>
      <c r="BD170" s="850"/>
      <c r="BE170" s="850"/>
      <c r="BF170" s="850"/>
      <c r="BG170" s="850"/>
      <c r="BH170" s="850"/>
      <c r="BI170" s="850"/>
      <c r="BJ170" s="850"/>
      <c r="BK170" s="850"/>
      <c r="BL170" s="850"/>
      <c r="BM170" s="850"/>
      <c r="BN170" s="1156"/>
      <c r="BO170" s="1156"/>
      <c r="BP170" s="1156"/>
      <c r="BS170" s="973" t="s">
        <v>2040</v>
      </c>
      <c r="BT170" s="973"/>
      <c r="BU170" s="973"/>
      <c r="BV170" s="974"/>
      <c r="BW170" s="974"/>
    </row>
    <row r="171" spans="1:75" s="454" customFormat="1" ht="14.25" customHeight="1">
      <c r="A171" s="1210"/>
      <c r="B171" s="345"/>
      <c r="C171" s="1210"/>
      <c r="D171" s="1210"/>
      <c r="E171" s="535">
        <v>15</v>
      </c>
      <c r="F171" s="17" t="str" cm="1">
        <f t="array" ref="F171">X171</f>
        <v>1</v>
      </c>
      <c r="G171" s="17" t="str" cm="1">
        <f t="array" ref="G171">INDEX('Общие сведения'!$AK$179:$AK$208,MATCH($X171,'Общие сведения'!$Z$179:$Z$208,0))</f>
        <v>одноставочный</v>
      </c>
      <c r="H171" s="1210"/>
      <c r="I171" s="17"/>
      <c r="J171" s="1210"/>
      <c r="K171" s="1210"/>
      <c r="L171" s="884"/>
      <c r="M171" s="343"/>
      <c r="N171" s="1210"/>
      <c r="O171" s="1210"/>
      <c r="P171" s="1210"/>
      <c r="Q171" s="1210"/>
      <c r="R171" s="1210"/>
      <c r="S171" s="41" t="str" cm="1">
        <f t="array" ref="S171">INDEX('Общие сведения'!$AE$179:$AE$208,MATCH($X171,'Общие сведения'!$Z$179:$Z$208,0))</f>
        <v>Водоснабжение</v>
      </c>
      <c r="T171" s="381" t="b">
        <f>X171&gt;0</f>
        <v>1</v>
      </c>
      <c r="U171" s="1210"/>
      <c r="V171" s="41" t="str" cm="1">
        <f t="array" ref="V171">'Калькуляция (МИ)'!$AB$171</f>
        <v>Тариф 1 (Водоснабжение) - тариф на питьевую воду</v>
      </c>
      <c r="W171" s="1210"/>
      <c r="X171" s="1755" t="s">
        <v>281</v>
      </c>
      <c r="Y171" s="1210"/>
      <c r="Z171" s="1735"/>
      <c r="AA171" s="1210"/>
      <c r="AB171" s="293" t="str" cm="1">
        <f t="array" ref="AB171">'Калькуляция (МИ)'!$AB$171</f>
        <v>Тариф 1 (Водоснабжение) - тариф на питьевую воду</v>
      </c>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69"/>
      <c r="BF171" s="169"/>
      <c r="BG171" s="169"/>
      <c r="BH171" s="169"/>
      <c r="BI171" s="169"/>
      <c r="BJ171" s="169"/>
      <c r="BK171" s="169"/>
      <c r="BL171" s="169"/>
      <c r="BM171" s="169"/>
      <c r="BN171" s="169"/>
      <c r="BO171" s="169"/>
      <c r="BP171" s="169"/>
      <c r="BQ171" s="1210"/>
      <c r="BR171" s="1210"/>
      <c r="BS171" s="899"/>
      <c r="BT171" s="899"/>
      <c r="BU171" s="899"/>
      <c r="BV171" s="535"/>
      <c r="BW171" s="535"/>
    </row>
    <row r="172" spans="1:75" s="1514" customFormat="1" ht="20.25" customHeight="1">
      <c r="A172" s="80"/>
      <c r="B172" s="351"/>
      <c r="C172" s="80"/>
      <c r="D172" s="80"/>
      <c r="E172" s="622">
        <v>21</v>
      </c>
      <c r="F172" s="3" t="str" cm="1">
        <f t="array" aca="1" ref="F172" ca="1">OFFSET(E172,-1,1)</f>
        <v>1</v>
      </c>
      <c r="G172" s="80"/>
      <c r="H172" s="289"/>
      <c r="I172" s="289" t="s">
        <v>323</v>
      </c>
      <c r="J172" s="80"/>
      <c r="K172" s="289" t="s">
        <v>323</v>
      </c>
      <c r="L172" s="885"/>
      <c r="M172" s="769"/>
      <c r="N172" s="80"/>
      <c r="O172" s="80"/>
      <c r="P172" s="80"/>
      <c r="Q172" s="80"/>
      <c r="R172" s="80" t="s">
        <v>2044</v>
      </c>
      <c r="S172" s="80"/>
      <c r="T172" s="381" t="b" cm="1">
        <f t="array" ref="T172">T171</f>
        <v>1</v>
      </c>
      <c r="U172" s="80"/>
      <c r="V172" s="80"/>
      <c r="W172" s="80"/>
      <c r="X172" s="1755"/>
      <c r="Y172" s="80"/>
      <c r="Z172" s="1735"/>
      <c r="AA172" s="80"/>
      <c r="AB172" s="165" t="s">
        <v>281</v>
      </c>
      <c r="AC172" s="130" t="s">
        <v>1764</v>
      </c>
      <c r="AD172" s="152" t="s">
        <v>766</v>
      </c>
      <c r="AE172" s="675">
        <f ca="1">SUM(AE174,AE191,AE197,AE217,AE218,AE219)</f>
        <v>0</v>
      </c>
      <c r="AF172" s="675">
        <f ca="1">SUM(AF174,AF191,AF197,AF217,AF218,AF219)</f>
        <v>0</v>
      </c>
      <c r="AG172" s="675">
        <f ca="1">SUM(AG174,AG191,AG197,AG217,AG218,AG219)</f>
        <v>0</v>
      </c>
      <c r="AH172" s="675">
        <f t="shared" ref="AH172:AH203" ca="1" si="45">AG172-AF172</f>
        <v>0</v>
      </c>
      <c r="AI172" s="1475">
        <f ca="1">AE172*AI173</f>
        <v>0</v>
      </c>
      <c r="AJ172" s="1475">
        <f t="shared" ref="AJ172:AS172" ca="1" si="46">AI172*AJ173</f>
        <v>0</v>
      </c>
      <c r="AK172" s="1475">
        <f t="shared" ca="1" si="46"/>
        <v>0</v>
      </c>
      <c r="AL172" s="1475">
        <f t="shared" ca="1" si="46"/>
        <v>0</v>
      </c>
      <c r="AM172" s="1475">
        <f t="shared" ca="1" si="46"/>
        <v>0</v>
      </c>
      <c r="AN172" s="1475">
        <f t="shared" ca="1" si="46"/>
        <v>0</v>
      </c>
      <c r="AO172" s="1475">
        <f t="shared" ca="1" si="46"/>
        <v>0</v>
      </c>
      <c r="AP172" s="1475">
        <f t="shared" ca="1" si="46"/>
        <v>0</v>
      </c>
      <c r="AQ172" s="1475">
        <f t="shared" ca="1" si="46"/>
        <v>0</v>
      </c>
      <c r="AR172" s="1475">
        <f t="shared" ca="1" si="46"/>
        <v>0</v>
      </c>
      <c r="AS172" s="1475">
        <f t="shared" ca="1" si="46"/>
        <v>0</v>
      </c>
      <c r="AT172" s="1475">
        <f ca="1">AI172*AT173</f>
        <v>0</v>
      </c>
      <c r="AU172" s="1475">
        <f t="shared" ref="AU172:BC172" ca="1" si="47">AT172*AU173</f>
        <v>0</v>
      </c>
      <c r="AV172" s="1475">
        <f t="shared" ca="1" si="47"/>
        <v>0</v>
      </c>
      <c r="AW172" s="1475">
        <f t="shared" ca="1" si="47"/>
        <v>0</v>
      </c>
      <c r="AX172" s="1475">
        <f t="shared" ca="1" si="47"/>
        <v>0</v>
      </c>
      <c r="AY172" s="1475">
        <f t="shared" ca="1" si="47"/>
        <v>0</v>
      </c>
      <c r="AZ172" s="1475">
        <f t="shared" ca="1" si="47"/>
        <v>0</v>
      </c>
      <c r="BA172" s="1475">
        <f t="shared" ca="1" si="47"/>
        <v>0</v>
      </c>
      <c r="BB172" s="1475">
        <f t="shared" ca="1" si="47"/>
        <v>0</v>
      </c>
      <c r="BC172" s="1475">
        <f t="shared" ca="1" si="47"/>
        <v>0</v>
      </c>
      <c r="BD172" s="675">
        <f ca="1">IF(AI172=0,0,(AT172-AI172)/AI172*100)</f>
        <v>0</v>
      </c>
      <c r="BE172" s="675">
        <f t="shared" ref="BE172:BM172" ca="1" si="48">IF(AT172=0,0,(AU172-AT172)/AT172*100)</f>
        <v>0</v>
      </c>
      <c r="BF172" s="675">
        <f t="shared" ca="1" si="48"/>
        <v>0</v>
      </c>
      <c r="BG172" s="675">
        <f t="shared" ca="1" si="48"/>
        <v>0</v>
      </c>
      <c r="BH172" s="675">
        <f t="shared" ca="1" si="48"/>
        <v>0</v>
      </c>
      <c r="BI172" s="675">
        <f t="shared" ca="1" si="48"/>
        <v>0</v>
      </c>
      <c r="BJ172" s="675">
        <f t="shared" ca="1" si="48"/>
        <v>0</v>
      </c>
      <c r="BK172" s="675">
        <f t="shared" ca="1" si="48"/>
        <v>0</v>
      </c>
      <c r="BL172" s="675">
        <f t="shared" ca="1" si="48"/>
        <v>0</v>
      </c>
      <c r="BM172" s="675">
        <f t="shared" ca="1" si="48"/>
        <v>0</v>
      </c>
      <c r="BN172" s="1515"/>
      <c r="BO172" s="1515"/>
      <c r="BP172" s="1515"/>
      <c r="BQ172" s="79"/>
      <c r="BR172" s="80"/>
      <c r="BS172" s="970" t="s">
        <v>491</v>
      </c>
      <c r="BT172" s="970"/>
      <c r="BU172" s="970"/>
      <c r="BV172" s="622"/>
      <c r="BW172" s="622"/>
    </row>
    <row r="173" spans="1:75" s="1327" customFormat="1" ht="14.25" customHeight="1">
      <c r="A173" s="1177"/>
      <c r="B173" s="880"/>
      <c r="C173" s="1177"/>
      <c r="D173" s="1177"/>
      <c r="E173" s="620">
        <v>15</v>
      </c>
      <c r="F173" s="3" t="str" cm="1">
        <f t="array" aca="1" ref="F173" ca="1">OFFSET(E173,-1,1)</f>
        <v>1</v>
      </c>
      <c r="G173" s="1177"/>
      <c r="H173" s="290"/>
      <c r="I173" s="290" t="s">
        <v>427</v>
      </c>
      <c r="J173" s="1177"/>
      <c r="K173" s="290" t="s">
        <v>427</v>
      </c>
      <c r="L173" s="882"/>
      <c r="M173" s="26"/>
      <c r="N173" s="1177"/>
      <c r="O173" s="1177"/>
      <c r="P173" s="1177"/>
      <c r="Q173" s="1177"/>
      <c r="R173" s="80" t="s">
        <v>2044</v>
      </c>
      <c r="S173" s="1177"/>
      <c r="T173" s="381" t="b" cm="1">
        <f t="array" ref="T173">T172</f>
        <v>1</v>
      </c>
      <c r="U173" s="1177"/>
      <c r="V173" s="1177"/>
      <c r="W173" s="1177"/>
      <c r="X173" s="1755"/>
      <c r="Y173" s="1177"/>
      <c r="Z173" s="1735"/>
      <c r="AA173" s="1177"/>
      <c r="AB173" s="215" t="s">
        <v>821</v>
      </c>
      <c r="AC173" s="676" t="s">
        <v>1765</v>
      </c>
      <c r="AD173" s="216"/>
      <c r="AE173" s="1502"/>
      <c r="AF173" s="1502"/>
      <c r="AG173" s="1502"/>
      <c r="AH173" s="846">
        <f t="shared" si="45"/>
        <v>0</v>
      </c>
      <c r="AI173" s="1502">
        <f ca="1">SUMIFS(INDEX(Сценарии!$AE$25:$BF$82,,MATCH(AI$8,Сценарии!$AE$8:$BF$8,0)),Сценарии!$F$25:$F$82,$F173,Сценарии!$G$25:$G$82,"ИОР")</f>
        <v>1</v>
      </c>
      <c r="AJ173" s="1502">
        <f ca="1">SUMIFS(INDEX(Сценарии!$AE$25:$BF$82,,MATCH(AJ$8,Сценарии!$AE$8:$BF$8,0)),Сценарии!$F$25:$F$82,$F173,Сценарии!$G$25:$G$82,"ИОР")</f>
        <v>1</v>
      </c>
      <c r="AK173" s="1502">
        <f ca="1">SUMIFS(INDEX(Сценарии!$AE$25:$BF$82,,MATCH(AK$8,Сценарии!$AE$8:$BF$8,0)),Сценарии!$F$25:$F$82,$F173,Сценарии!$G$25:$G$82,"ИОР")</f>
        <v>1</v>
      </c>
      <c r="AL173" s="1502">
        <f ca="1">SUMIFS(INDEX(Сценарии!$AE$25:$BF$82,,MATCH(AL$8,Сценарии!$AE$8:$BF$8,0)),Сценарии!$F$25:$F$82,$F173,Сценарии!$G$25:$G$82,"ИОР")</f>
        <v>1</v>
      </c>
      <c r="AM173" s="1502">
        <f ca="1">SUMIFS(INDEX(Сценарии!$AE$25:$BF$82,,MATCH(AM$8,Сценарии!$AE$8:$BF$8,0)),Сценарии!$F$25:$F$82,$F173,Сценарии!$G$25:$G$82,"ИОР")</f>
        <v>1</v>
      </c>
      <c r="AN173" s="1502">
        <f ca="1">SUMIFS(INDEX(Сценарии!$AE$25:$BF$82,,MATCH(AN$8,Сценарии!$AE$8:$BF$8,0)),Сценарии!$F$25:$F$82,$F173,Сценарии!$G$25:$G$82,"ИОР")</f>
        <v>1</v>
      </c>
      <c r="AO173" s="1502">
        <f ca="1">SUMIFS(INDEX(Сценарии!$AE$25:$BF$82,,MATCH(AO$8,Сценарии!$AE$8:$BF$8,0)),Сценарии!$F$25:$F$82,$F173,Сценарии!$G$25:$G$82,"ИОР")</f>
        <v>1</v>
      </c>
      <c r="AP173" s="1502">
        <f ca="1">SUMIFS(INDEX(Сценарии!$AE$25:$BF$82,,MATCH(AP$8,Сценарии!$AE$8:$BF$8,0)),Сценарии!$F$25:$F$82,$F173,Сценарии!$G$25:$G$82,"ИОР")</f>
        <v>1</v>
      </c>
      <c r="AQ173" s="1502">
        <f ca="1">SUMIFS(INDEX(Сценарии!$AE$25:$BF$82,,MATCH(AQ$8,Сценарии!$AE$8:$BF$8,0)),Сценарии!$F$25:$F$82,$F173,Сценарии!$G$25:$G$82,"ИОР")</f>
        <v>1</v>
      </c>
      <c r="AR173" s="1502">
        <f ca="1">SUMIFS(INDEX(Сценарии!$AE$25:$BF$82,,MATCH(AR$8,Сценарии!$AE$8:$BF$8,0)),Сценарии!$F$25:$F$82,$F173,Сценарии!$G$25:$G$82,"ИОР")</f>
        <v>1</v>
      </c>
      <c r="AS173" s="1502">
        <f ca="1">SUMIFS(INDEX(Сценарии!$AE$25:$BF$82,,MATCH(AS$8,Сценарии!$AE$8:$BF$8,0)),Сценарии!$F$25:$F$82,$F173,Сценарии!$G$25:$G$82,"ИОР")</f>
        <v>1</v>
      </c>
      <c r="AT173" s="1502">
        <f ca="1">SUMIFS(INDEX(Сценарии!$AE$25:$BF$82,,MATCH(AT$8,Сценарии!$AE$8:$BF$8,0)),Сценарии!$F$25:$F$82,$F173,Сценарии!$G$25:$G$82,"ИОР")</f>
        <v>1.0509999999999999</v>
      </c>
      <c r="AU173" s="1502">
        <f ca="1">SUMIFS(INDEX(Сценарии!$AE$25:$BF$82,,MATCH(AU$8,Сценарии!$AE$8:$BF$8,0)),Сценарии!$F$25:$F$82,$F173,Сценарии!$G$25:$G$82,"ИОР")</f>
        <v>1</v>
      </c>
      <c r="AV173" s="1502">
        <f ca="1">SUMIFS(INDEX(Сценарии!$AE$25:$BF$82,,MATCH(AV$8,Сценарии!$AE$8:$BF$8,0)),Сценарии!$F$25:$F$82,$F173,Сценарии!$G$25:$G$82,"ИОР")</f>
        <v>1</v>
      </c>
      <c r="AW173" s="1502">
        <f ca="1">SUMIFS(INDEX(Сценарии!$AE$25:$BF$82,,MATCH(AW$8,Сценарии!$AE$8:$BF$8,0)),Сценарии!$F$25:$F$82,$F173,Сценарии!$G$25:$G$82,"ИОР")</f>
        <v>1</v>
      </c>
      <c r="AX173" s="1502">
        <f ca="1">SUMIFS(INDEX(Сценарии!$AE$25:$BF$82,,MATCH(AX$8,Сценарии!$AE$8:$BF$8,0)),Сценарии!$F$25:$F$82,$F173,Сценарии!$G$25:$G$82,"ИОР")</f>
        <v>1</v>
      </c>
      <c r="AY173" s="1502">
        <f ca="1">SUMIFS(INDEX(Сценарии!$AE$25:$BF$82,,MATCH(AY$8,Сценарии!$AE$8:$BF$8,0)),Сценарии!$F$25:$F$82,$F173,Сценарии!$G$25:$G$82,"ИОР")</f>
        <v>1</v>
      </c>
      <c r="AZ173" s="1502">
        <f ca="1">SUMIFS(INDEX(Сценарии!$AE$25:$BF$82,,MATCH(AZ$8,Сценарии!$AE$8:$BF$8,0)),Сценарии!$F$25:$F$82,$F173,Сценарии!$G$25:$G$82,"ИОР")</f>
        <v>1</v>
      </c>
      <c r="BA173" s="1502">
        <f ca="1">SUMIFS(INDEX(Сценарии!$AE$25:$BF$82,,MATCH(BA$8,Сценарии!$AE$8:$BF$8,0)),Сценарии!$F$25:$F$82,$F173,Сценарии!$G$25:$G$82,"ИОР")</f>
        <v>1</v>
      </c>
      <c r="BB173" s="1502">
        <f ca="1">SUMIFS(INDEX(Сценарии!$AE$25:$BF$82,,MATCH(BB$8,Сценарии!$AE$8:$BF$8,0)),Сценарии!$F$25:$F$82,$F173,Сценарии!$G$25:$G$82,"ИОР")</f>
        <v>1</v>
      </c>
      <c r="BC173" s="1502">
        <f ca="1">SUMIFS(INDEX(Сценарии!$AE$25:$BF$82,,MATCH(BC$8,Сценарии!$AE$8:$BF$8,0)),Сценарии!$F$25:$F$82,$F173,Сценарии!$G$25:$G$82,"ИОР")</f>
        <v>1</v>
      </c>
      <c r="BD173" s="847"/>
      <c r="BE173" s="847"/>
      <c r="BF173" s="847"/>
      <c r="BG173" s="847"/>
      <c r="BH173" s="847"/>
      <c r="BI173" s="847"/>
      <c r="BJ173" s="847"/>
      <c r="BK173" s="847"/>
      <c r="BL173" s="847"/>
      <c r="BM173" s="847"/>
      <c r="BN173" s="1515"/>
      <c r="BO173" s="1515"/>
      <c r="BP173" s="1515"/>
      <c r="BQ173" s="1177"/>
      <c r="BR173" s="1177"/>
      <c r="BS173" s="966" t="s">
        <v>1766</v>
      </c>
      <c r="BT173" s="966"/>
      <c r="BU173" s="966"/>
      <c r="BV173" s="881"/>
      <c r="BW173" s="881"/>
    </row>
    <row r="174" spans="1:75" s="351" customFormat="1" ht="20.25" customHeight="1">
      <c r="A174" s="79"/>
      <c r="C174" s="79"/>
      <c r="D174" s="79"/>
      <c r="E174" s="623">
        <v>21</v>
      </c>
      <c r="F174" s="3" t="str" cm="1">
        <f t="array" aca="1" ref="F174" ca="1">OFFSET(E174,-1,1)</f>
        <v>1</v>
      </c>
      <c r="G174" s="79"/>
      <c r="H174" s="289"/>
      <c r="I174" s="289" t="s">
        <v>431</v>
      </c>
      <c r="J174" s="79"/>
      <c r="K174" s="289" t="s">
        <v>431</v>
      </c>
      <c r="L174" s="886" t="s">
        <v>323</v>
      </c>
      <c r="M174" s="772"/>
      <c r="N174" s="79"/>
      <c r="O174" s="79"/>
      <c r="P174" s="79"/>
      <c r="Q174" s="77" t="s">
        <v>2044</v>
      </c>
      <c r="R174" s="80" t="s">
        <v>2044</v>
      </c>
      <c r="S174" s="79"/>
      <c r="T174" s="381" t="b" cm="1">
        <f t="array" ref="T174">T173</f>
        <v>1</v>
      </c>
      <c r="U174" s="79"/>
      <c r="V174" s="79"/>
      <c r="W174" s="79"/>
      <c r="X174" s="1755"/>
      <c r="Y174" s="79"/>
      <c r="Z174" s="1735"/>
      <c r="AA174" s="79"/>
      <c r="AB174" s="165" t="s">
        <v>824</v>
      </c>
      <c r="AC174" s="273" t="s">
        <v>1546</v>
      </c>
      <c r="AD174" s="152" t="s">
        <v>766</v>
      </c>
      <c r="AE174" s="675">
        <f ca="1">SUM(AE175,AE178,AE179,AE182,AE183)</f>
        <v>0</v>
      </c>
      <c r="AF174" s="675">
        <f ca="1">SUM(AF175,AF178,AF179,AF182,AF183)</f>
        <v>0</v>
      </c>
      <c r="AG174" s="675">
        <f ca="1">SUM(AG175,AG178,AG179,AG182,AG183)</f>
        <v>0</v>
      </c>
      <c r="AH174" s="675">
        <f t="shared" ca="1" si="45"/>
        <v>0</v>
      </c>
      <c r="AI174" s="1503">
        <f ca="1">SUM(AI175,AI178,AI179,AI182,AI183)</f>
        <v>0</v>
      </c>
      <c r="AJ174" s="1502"/>
      <c r="AK174" s="678"/>
      <c r="AL174" s="678"/>
      <c r="AM174" s="678"/>
      <c r="AN174" s="678"/>
      <c r="AO174" s="678"/>
      <c r="AP174" s="678"/>
      <c r="AQ174" s="678"/>
      <c r="AR174" s="678"/>
      <c r="AS174" s="678"/>
      <c r="AT174" s="678"/>
      <c r="AU174" s="678"/>
      <c r="AV174" s="678"/>
      <c r="AW174" s="678"/>
      <c r="AX174" s="678"/>
      <c r="AY174" s="678"/>
      <c r="AZ174" s="678"/>
      <c r="BA174" s="678"/>
      <c r="BB174" s="678"/>
      <c r="BC174" s="678"/>
      <c r="BD174" s="678"/>
      <c r="BE174" s="678"/>
      <c r="BF174" s="678"/>
      <c r="BG174" s="678"/>
      <c r="BH174" s="678"/>
      <c r="BI174" s="678"/>
      <c r="BJ174" s="678"/>
      <c r="BK174" s="678"/>
      <c r="BL174" s="678"/>
      <c r="BM174" s="678"/>
      <c r="BN174" s="1516"/>
      <c r="BO174" s="1516"/>
      <c r="BP174" s="1516"/>
      <c r="BQ174" s="79"/>
      <c r="BR174" s="79"/>
      <c r="BS174" s="964" t="s">
        <v>484</v>
      </c>
      <c r="BT174" s="971"/>
      <c r="BU174" s="971"/>
      <c r="BV174" s="623"/>
      <c r="BW174" s="623"/>
    </row>
    <row r="175" spans="1:75" s="1327" customFormat="1" ht="14.25" customHeight="1">
      <c r="A175" s="1177"/>
      <c r="B175" s="880"/>
      <c r="C175" s="1177"/>
      <c r="D175" s="1177"/>
      <c r="E175" s="620">
        <v>15</v>
      </c>
      <c r="F175" s="3" t="str" cm="1">
        <f t="array" aca="1" ref="F175" ca="1">OFFSET(E175,-1,1)</f>
        <v>1</v>
      </c>
      <c r="G175" s="1177"/>
      <c r="H175" s="290"/>
      <c r="I175" s="290" t="s">
        <v>1186</v>
      </c>
      <c r="J175" s="1177"/>
      <c r="K175" s="290" t="s">
        <v>1186</v>
      </c>
      <c r="L175" s="882" t="s">
        <v>427</v>
      </c>
      <c r="M175" s="26"/>
      <c r="N175" s="1177"/>
      <c r="O175" s="1177"/>
      <c r="P175" s="1177"/>
      <c r="Q175" s="77" t="s">
        <v>2044</v>
      </c>
      <c r="R175" s="80" t="s">
        <v>2044</v>
      </c>
      <c r="S175" s="1177"/>
      <c r="T175" s="381" t="b" cm="1">
        <f t="array" ref="T175">T174</f>
        <v>1</v>
      </c>
      <c r="U175" s="1177"/>
      <c r="V175" s="1177"/>
      <c r="W175" s="1177"/>
      <c r="X175" s="1755"/>
      <c r="Y175" s="1177"/>
      <c r="Z175" s="1735"/>
      <c r="AA175" s="1177"/>
      <c r="AB175" s="215" t="s">
        <v>1187</v>
      </c>
      <c r="AC175" s="679" t="s">
        <v>1767</v>
      </c>
      <c r="AD175" s="680" t="s">
        <v>766</v>
      </c>
      <c r="AE175" s="848">
        <f>SUM(AE176,AE177)</f>
        <v>0</v>
      </c>
      <c r="AF175" s="848">
        <f>SUM(AF176,AF177)</f>
        <v>0</v>
      </c>
      <c r="AG175" s="848">
        <f>SUM(AG176,AG177)</f>
        <v>0</v>
      </c>
      <c r="AH175" s="848">
        <f t="shared" si="45"/>
        <v>0</v>
      </c>
      <c r="AI175" s="1504">
        <f>SUM(AI176,AI177)</f>
        <v>0</v>
      </c>
      <c r="AJ175" s="1502"/>
      <c r="AK175" s="847"/>
      <c r="AL175" s="847"/>
      <c r="AM175" s="847"/>
      <c r="AN175" s="847"/>
      <c r="AO175" s="847"/>
      <c r="AP175" s="847"/>
      <c r="AQ175" s="847"/>
      <c r="AR175" s="847"/>
      <c r="AS175" s="847"/>
      <c r="AT175" s="847"/>
      <c r="AU175" s="847"/>
      <c r="AV175" s="847"/>
      <c r="AW175" s="847"/>
      <c r="AX175" s="847"/>
      <c r="AY175" s="847"/>
      <c r="AZ175" s="847"/>
      <c r="BA175" s="847"/>
      <c r="BB175" s="847"/>
      <c r="BC175" s="847"/>
      <c r="BD175" s="847"/>
      <c r="BE175" s="847"/>
      <c r="BF175" s="847"/>
      <c r="BG175" s="847"/>
      <c r="BH175" s="847"/>
      <c r="BI175" s="847"/>
      <c r="BJ175" s="847"/>
      <c r="BK175" s="847"/>
      <c r="BL175" s="847"/>
      <c r="BM175" s="847"/>
      <c r="BN175" s="1515"/>
      <c r="BO175" s="1515"/>
      <c r="BP175" s="1515"/>
      <c r="BQ175" s="29"/>
      <c r="BR175" s="1177"/>
      <c r="BS175" s="965" t="s">
        <v>1548</v>
      </c>
      <c r="BT175" s="966"/>
      <c r="BU175" s="966"/>
      <c r="BV175" s="881"/>
      <c r="BW175" s="881"/>
    </row>
    <row r="176" spans="1:75" s="1327" customFormat="1" ht="14.25" customHeight="1">
      <c r="A176" s="1177"/>
      <c r="B176" s="880"/>
      <c r="C176" s="1177"/>
      <c r="D176" s="1177"/>
      <c r="E176" s="620">
        <v>15</v>
      </c>
      <c r="F176" s="3" t="str" cm="1">
        <f t="array" aca="1" ref="F176" ca="1">OFFSET(E176,-1,1)</f>
        <v>1</v>
      </c>
      <c r="G176" s="1177"/>
      <c r="H176" s="290"/>
      <c r="I176" s="290" t="s">
        <v>1768</v>
      </c>
      <c r="J176" s="1177"/>
      <c r="K176" s="290" t="s">
        <v>1768</v>
      </c>
      <c r="L176" s="882" t="s">
        <v>928</v>
      </c>
      <c r="M176" s="26"/>
      <c r="N176" s="1177"/>
      <c r="O176" s="1177"/>
      <c r="P176" s="1177"/>
      <c r="Q176" s="77" t="s">
        <v>2044</v>
      </c>
      <c r="R176" s="80" t="s">
        <v>2044</v>
      </c>
      <c r="S176" s="1177"/>
      <c r="T176" s="381" t="b" cm="1">
        <f t="array" ref="T176">T175</f>
        <v>1</v>
      </c>
      <c r="U176" s="1177"/>
      <c r="V176" s="1177"/>
      <c r="W176" s="1177"/>
      <c r="X176" s="1755"/>
      <c r="Y176" s="1177"/>
      <c r="Z176" s="1735"/>
      <c r="AA176" s="1177"/>
      <c r="AB176" s="215" t="s">
        <v>1769</v>
      </c>
      <c r="AC176" s="682" t="s">
        <v>1551</v>
      </c>
      <c r="AD176" s="680" t="s">
        <v>766</v>
      </c>
      <c r="AE176" s="1510"/>
      <c r="AF176" s="1510"/>
      <c r="AG176" s="1510"/>
      <c r="AH176" s="848">
        <f t="shared" si="45"/>
        <v>0</v>
      </c>
      <c r="AI176" s="1505"/>
      <c r="AJ176" s="1502"/>
      <c r="AK176" s="847"/>
      <c r="AL176" s="847"/>
      <c r="AM176" s="847"/>
      <c r="AN176" s="847"/>
      <c r="AO176" s="847"/>
      <c r="AP176" s="847"/>
      <c r="AQ176" s="847"/>
      <c r="AR176" s="847"/>
      <c r="AS176" s="847"/>
      <c r="AT176" s="847"/>
      <c r="AU176" s="847"/>
      <c r="AV176" s="847"/>
      <c r="AW176" s="847"/>
      <c r="AX176" s="847"/>
      <c r="AY176" s="847"/>
      <c r="AZ176" s="847"/>
      <c r="BA176" s="847"/>
      <c r="BB176" s="847"/>
      <c r="BC176" s="847"/>
      <c r="BD176" s="847"/>
      <c r="BE176" s="847"/>
      <c r="BF176" s="847"/>
      <c r="BG176" s="847"/>
      <c r="BH176" s="847"/>
      <c r="BI176" s="847"/>
      <c r="BJ176" s="847"/>
      <c r="BK176" s="847"/>
      <c r="BL176" s="847"/>
      <c r="BM176" s="847"/>
      <c r="BN176" s="1515"/>
      <c r="BO176" s="1515"/>
      <c r="BP176" s="1515"/>
      <c r="BQ176" s="1177"/>
      <c r="BR176" s="1177"/>
      <c r="BS176" s="964" t="s">
        <v>1552</v>
      </c>
      <c r="BT176" s="966"/>
      <c r="BU176" s="966"/>
      <c r="BV176" s="881"/>
      <c r="BW176" s="881"/>
    </row>
    <row r="177" spans="1:75" s="1327" customFormat="1" ht="14.25" customHeight="1">
      <c r="A177" s="1177"/>
      <c r="B177" s="880"/>
      <c r="C177" s="1177"/>
      <c r="D177" s="1177"/>
      <c r="E177" s="620">
        <v>15</v>
      </c>
      <c r="F177" s="3" t="str" cm="1">
        <f t="array" aca="1" ref="F177" ca="1">OFFSET(E177,-1,1)</f>
        <v>1</v>
      </c>
      <c r="G177" s="1177"/>
      <c r="H177" s="290"/>
      <c r="I177" s="290" t="s">
        <v>1770</v>
      </c>
      <c r="J177" s="1177"/>
      <c r="K177" s="290" t="s">
        <v>1770</v>
      </c>
      <c r="L177" s="882" t="s">
        <v>1161</v>
      </c>
      <c r="M177" s="26"/>
      <c r="N177" s="1177"/>
      <c r="O177" s="1177"/>
      <c r="P177" s="1177"/>
      <c r="Q177" s="77" t="s">
        <v>2044</v>
      </c>
      <c r="R177" s="80" t="s">
        <v>2044</v>
      </c>
      <c r="S177" s="1177"/>
      <c r="T177" s="381" t="b" cm="1">
        <f t="array" ref="T177">T176</f>
        <v>1</v>
      </c>
      <c r="U177" s="1177"/>
      <c r="V177" s="1177"/>
      <c r="W177" s="1177"/>
      <c r="X177" s="1755"/>
      <c r="Y177" s="1177"/>
      <c r="Z177" s="1735"/>
      <c r="AA177" s="1177"/>
      <c r="AB177" s="215" t="s">
        <v>1771</v>
      </c>
      <c r="AC177" s="682" t="s">
        <v>1553</v>
      </c>
      <c r="AD177" s="680" t="s">
        <v>766</v>
      </c>
      <c r="AE177" s="1510"/>
      <c r="AF177" s="1510"/>
      <c r="AG177" s="1510"/>
      <c r="AH177" s="848">
        <f t="shared" si="45"/>
        <v>0</v>
      </c>
      <c r="AI177" s="1505"/>
      <c r="AJ177" s="1502"/>
      <c r="AK177" s="847"/>
      <c r="AL177" s="847"/>
      <c r="AM177" s="847"/>
      <c r="AN177" s="847"/>
      <c r="AO177" s="847"/>
      <c r="AP177" s="847"/>
      <c r="AQ177" s="847"/>
      <c r="AR177" s="847"/>
      <c r="AS177" s="847"/>
      <c r="AT177" s="847"/>
      <c r="AU177" s="847"/>
      <c r="AV177" s="847"/>
      <c r="AW177" s="847"/>
      <c r="AX177" s="847"/>
      <c r="AY177" s="847"/>
      <c r="AZ177" s="847"/>
      <c r="BA177" s="847"/>
      <c r="BB177" s="847"/>
      <c r="BC177" s="847"/>
      <c r="BD177" s="847"/>
      <c r="BE177" s="847"/>
      <c r="BF177" s="847"/>
      <c r="BG177" s="847"/>
      <c r="BH177" s="847"/>
      <c r="BI177" s="847"/>
      <c r="BJ177" s="847"/>
      <c r="BK177" s="847"/>
      <c r="BL177" s="847"/>
      <c r="BM177" s="847"/>
      <c r="BN177" s="1515"/>
      <c r="BO177" s="1515"/>
      <c r="BP177" s="1515"/>
      <c r="BQ177" s="1177"/>
      <c r="BR177" s="1177"/>
      <c r="BS177" s="964" t="s">
        <v>1554</v>
      </c>
      <c r="BT177" s="966"/>
      <c r="BU177" s="966"/>
      <c r="BV177" s="881"/>
      <c r="BW177" s="881"/>
    </row>
    <row r="178" spans="1:75" s="1327" customFormat="1" ht="21.75" customHeight="1">
      <c r="A178" s="1177"/>
      <c r="B178" s="880"/>
      <c r="C178" s="1177"/>
      <c r="D178" s="1177"/>
      <c r="E178" s="620">
        <v>22.5</v>
      </c>
      <c r="F178" s="3" t="str" cm="1">
        <f t="array" aca="1" ref="F178" ca="1">OFFSET(E178,-1,1)</f>
        <v>1</v>
      </c>
      <c r="G178" s="1177"/>
      <c r="H178" s="290"/>
      <c r="I178" s="290" t="s">
        <v>1189</v>
      </c>
      <c r="J178" s="1177"/>
      <c r="K178" s="290" t="s">
        <v>1189</v>
      </c>
      <c r="L178" s="882" t="s">
        <v>434</v>
      </c>
      <c r="M178" s="26"/>
      <c r="N178" s="1177"/>
      <c r="O178" s="1177"/>
      <c r="P178" s="1177"/>
      <c r="Q178" s="77" t="s">
        <v>2044</v>
      </c>
      <c r="R178" s="80" t="s">
        <v>2044</v>
      </c>
      <c r="S178" s="1177"/>
      <c r="T178" s="381" t="b" cm="1">
        <f t="array" ref="T178">T177</f>
        <v>1</v>
      </c>
      <c r="U178" s="1177"/>
      <c r="V178" s="1177"/>
      <c r="W178" s="1177"/>
      <c r="X178" s="1755"/>
      <c r="Y178" s="1177"/>
      <c r="Z178" s="1735"/>
      <c r="AA178" s="1177"/>
      <c r="AB178" s="215" t="s">
        <v>1190</v>
      </c>
      <c r="AC178" s="679" t="s">
        <v>1772</v>
      </c>
      <c r="AD178" s="680" t="s">
        <v>766</v>
      </c>
      <c r="AE178" s="1510"/>
      <c r="AF178" s="1510"/>
      <c r="AG178" s="1510"/>
      <c r="AH178" s="848">
        <f t="shared" si="45"/>
        <v>0</v>
      </c>
      <c r="AI178" s="1505"/>
      <c r="AJ178" s="1502"/>
      <c r="AK178" s="847"/>
      <c r="AL178" s="847"/>
      <c r="AM178" s="847"/>
      <c r="AN178" s="847"/>
      <c r="AO178" s="847"/>
      <c r="AP178" s="847"/>
      <c r="AQ178" s="847"/>
      <c r="AR178" s="847"/>
      <c r="AS178" s="847"/>
      <c r="AT178" s="847"/>
      <c r="AU178" s="847"/>
      <c r="AV178" s="847"/>
      <c r="AW178" s="847"/>
      <c r="AX178" s="847"/>
      <c r="AY178" s="847"/>
      <c r="AZ178" s="847"/>
      <c r="BA178" s="847"/>
      <c r="BB178" s="847"/>
      <c r="BC178" s="847"/>
      <c r="BD178" s="847"/>
      <c r="BE178" s="847"/>
      <c r="BF178" s="847"/>
      <c r="BG178" s="847"/>
      <c r="BH178" s="847"/>
      <c r="BI178" s="847"/>
      <c r="BJ178" s="847"/>
      <c r="BK178" s="847"/>
      <c r="BL178" s="847"/>
      <c r="BM178" s="847"/>
      <c r="BN178" s="1515"/>
      <c r="BO178" s="1515"/>
      <c r="BP178" s="1515"/>
      <c r="BQ178" s="1177"/>
      <c r="BR178" s="1177"/>
      <c r="BS178" s="965" t="s">
        <v>1579</v>
      </c>
      <c r="BT178" s="966"/>
      <c r="BU178" s="966"/>
      <c r="BV178" s="881"/>
      <c r="BW178" s="881"/>
    </row>
    <row r="179" spans="1:75" s="1327" customFormat="1" ht="21.75" customHeight="1">
      <c r="A179" s="1177"/>
      <c r="B179" s="880"/>
      <c r="C179" s="1177"/>
      <c r="D179" s="1177"/>
      <c r="E179" s="620">
        <v>22.5</v>
      </c>
      <c r="F179" s="3" t="str" cm="1">
        <f t="array" aca="1" ref="F179" ca="1">OFFSET(E179,-1,1)</f>
        <v>1</v>
      </c>
      <c r="G179" s="1177"/>
      <c r="H179" s="290"/>
      <c r="I179" s="290" t="s">
        <v>1193</v>
      </c>
      <c r="J179" s="1177"/>
      <c r="K179" s="290" t="s">
        <v>1193</v>
      </c>
      <c r="L179" s="882" t="s">
        <v>438</v>
      </c>
      <c r="M179" s="26"/>
      <c r="N179" s="1177"/>
      <c r="O179" s="1177"/>
      <c r="P179" s="1177"/>
      <c r="Q179" s="77" t="s">
        <v>2044</v>
      </c>
      <c r="R179" s="80" t="s">
        <v>2044</v>
      </c>
      <c r="S179" s="1177"/>
      <c r="T179" s="381" t="b" cm="1">
        <f t="array" ref="T179">T178</f>
        <v>1</v>
      </c>
      <c r="U179" s="1177"/>
      <c r="V179" s="1177"/>
      <c r="W179" s="1177"/>
      <c r="X179" s="1755"/>
      <c r="Y179" s="1177"/>
      <c r="Z179" s="1735"/>
      <c r="AA179" s="1177"/>
      <c r="AB179" s="215" t="s">
        <v>1194</v>
      </c>
      <c r="AC179" s="679" t="s">
        <v>1773</v>
      </c>
      <c r="AD179" s="680" t="s">
        <v>766</v>
      </c>
      <c r="AE179" s="849">
        <f ca="1">AE180+AE181</f>
        <v>0</v>
      </c>
      <c r="AF179" s="849">
        <f ca="1">AF180+AF181</f>
        <v>0</v>
      </c>
      <c r="AG179" s="849">
        <f ca="1">AG180+AG181</f>
        <v>0</v>
      </c>
      <c r="AH179" s="848">
        <f t="shared" ca="1" si="45"/>
        <v>0</v>
      </c>
      <c r="AI179" s="1506">
        <f ca="1">AI180+AI181</f>
        <v>0</v>
      </c>
      <c r="AJ179" s="1502"/>
      <c r="AK179" s="847"/>
      <c r="AL179" s="847"/>
      <c r="AM179" s="847"/>
      <c r="AN179" s="847"/>
      <c r="AO179" s="847"/>
      <c r="AP179" s="847"/>
      <c r="AQ179" s="847"/>
      <c r="AR179" s="847"/>
      <c r="AS179" s="847"/>
      <c r="AT179" s="847"/>
      <c r="AU179" s="847"/>
      <c r="AV179" s="847"/>
      <c r="AW179" s="847"/>
      <c r="AX179" s="847"/>
      <c r="AY179" s="847"/>
      <c r="AZ179" s="847"/>
      <c r="BA179" s="847"/>
      <c r="BB179" s="847"/>
      <c r="BC179" s="847"/>
      <c r="BD179" s="847"/>
      <c r="BE179" s="847"/>
      <c r="BF179" s="847"/>
      <c r="BG179" s="847"/>
      <c r="BH179" s="847"/>
      <c r="BI179" s="847"/>
      <c r="BJ179" s="847"/>
      <c r="BK179" s="847"/>
      <c r="BL179" s="847"/>
      <c r="BM179" s="847"/>
      <c r="BN179" s="1515"/>
      <c r="BO179" s="1515"/>
      <c r="BP179" s="1515"/>
      <c r="BQ179" s="1177"/>
      <c r="BR179" s="1177"/>
      <c r="BS179" s="965" t="s">
        <v>1774</v>
      </c>
      <c r="BT179" s="966"/>
      <c r="BU179" s="966"/>
      <c r="BV179" s="881"/>
      <c r="BW179" s="881"/>
    </row>
    <row r="180" spans="1:75" s="1327" customFormat="1" ht="14.25" customHeight="1">
      <c r="A180" s="1177"/>
      <c r="B180" s="880"/>
      <c r="C180" s="1177"/>
      <c r="D180" s="1177"/>
      <c r="E180" s="620">
        <v>15</v>
      </c>
      <c r="F180" s="3" t="str" cm="1">
        <f t="array" aca="1" ref="F180" ca="1">OFFSET(E180,-1,1)</f>
        <v>1</v>
      </c>
      <c r="G180" s="261" t="s">
        <v>1011</v>
      </c>
      <c r="H180" s="290"/>
      <c r="I180" s="290" t="s">
        <v>1337</v>
      </c>
      <c r="J180" s="1177"/>
      <c r="K180" s="290" t="s">
        <v>1337</v>
      </c>
      <c r="L180" s="882" t="s">
        <v>1213</v>
      </c>
      <c r="M180" s="26"/>
      <c r="N180" s="1177"/>
      <c r="O180" s="1177"/>
      <c r="P180" s="1177"/>
      <c r="Q180" s="77" t="s">
        <v>2044</v>
      </c>
      <c r="R180" s="80" t="s">
        <v>2044</v>
      </c>
      <c r="S180" s="1177"/>
      <c r="T180" s="381" t="b" cm="1">
        <f t="array" ref="T180">T179</f>
        <v>1</v>
      </c>
      <c r="U180" s="1177"/>
      <c r="V180" s="1177"/>
      <c r="W180" s="1177"/>
      <c r="X180" s="1755"/>
      <c r="Y180" s="1177"/>
      <c r="Z180" s="1735"/>
      <c r="AA180" s="1177"/>
      <c r="AB180" s="215" t="s">
        <v>1775</v>
      </c>
      <c r="AC180" s="682" t="s">
        <v>1582</v>
      </c>
      <c r="AD180" s="680" t="s">
        <v>766</v>
      </c>
      <c r="AE180" s="1510"/>
      <c r="AF180" s="1510"/>
      <c r="AG180" s="1510"/>
      <c r="AH180" s="848">
        <f t="shared" si="45"/>
        <v>0</v>
      </c>
      <c r="AI180" s="1505"/>
      <c r="AJ180" s="1502"/>
      <c r="AK180" s="847"/>
      <c r="AL180" s="847"/>
      <c r="AM180" s="847"/>
      <c r="AN180" s="847"/>
      <c r="AO180" s="847"/>
      <c r="AP180" s="847"/>
      <c r="AQ180" s="847"/>
      <c r="AR180" s="847"/>
      <c r="AS180" s="847"/>
      <c r="AT180" s="847"/>
      <c r="AU180" s="847"/>
      <c r="AV180" s="847"/>
      <c r="AW180" s="847"/>
      <c r="AX180" s="847"/>
      <c r="AY180" s="847"/>
      <c r="AZ180" s="847"/>
      <c r="BA180" s="847"/>
      <c r="BB180" s="847"/>
      <c r="BC180" s="847"/>
      <c r="BD180" s="847"/>
      <c r="BE180" s="847"/>
      <c r="BF180" s="847"/>
      <c r="BG180" s="847"/>
      <c r="BH180" s="847"/>
      <c r="BI180" s="847"/>
      <c r="BJ180" s="847"/>
      <c r="BK180" s="847"/>
      <c r="BL180" s="847"/>
      <c r="BM180" s="847"/>
      <c r="BN180" s="1515"/>
      <c r="BO180" s="1517" t="str">
        <f ca="1">IF(IFERROR(INDEX(ФОТ!$K$26:$L$77,MATCH($F180&amp;"1komm",ФОТ!$K$26:$K$77,0),2),"")=0,"",IFERROR(INDEX(ФОТ!$K$26:$L$77,MATCH($F180&amp;"1komm",ФОТ!$K$26:$K$77,0),2),""))</f>
        <v/>
      </c>
      <c r="BP180" s="1515"/>
      <c r="BQ180" s="1177"/>
      <c r="BR180" s="1177"/>
      <c r="BS180" s="964" t="s">
        <v>1583</v>
      </c>
      <c r="BT180" s="966"/>
      <c r="BU180" s="966"/>
      <c r="BV180" s="881"/>
      <c r="BW180" s="881"/>
    </row>
    <row r="181" spans="1:75" s="1327" customFormat="1" ht="21.75" customHeight="1">
      <c r="A181" s="1177"/>
      <c r="B181" s="880"/>
      <c r="C181" s="1177"/>
      <c r="D181" s="1177"/>
      <c r="E181" s="620">
        <v>22.5</v>
      </c>
      <c r="F181" s="3" t="str" cm="1">
        <f t="array" aca="1" ref="F181" ca="1">OFFSET(E181,-1,1)</f>
        <v>1</v>
      </c>
      <c r="G181" s="261" t="s">
        <v>1023</v>
      </c>
      <c r="H181" s="290"/>
      <c r="I181" s="290" t="s">
        <v>1341</v>
      </c>
      <c r="J181" s="1177"/>
      <c r="K181" s="290" t="s">
        <v>1341</v>
      </c>
      <c r="L181" s="882" t="s">
        <v>1214</v>
      </c>
      <c r="M181" s="26"/>
      <c r="N181" s="1177"/>
      <c r="O181" s="1177"/>
      <c r="P181" s="1177"/>
      <c r="Q181" s="77" t="s">
        <v>2044</v>
      </c>
      <c r="R181" s="80" t="s">
        <v>2044</v>
      </c>
      <c r="S181" s="1177"/>
      <c r="T181" s="381" t="b" cm="1">
        <f t="array" ref="T181">T180</f>
        <v>1</v>
      </c>
      <c r="U181" s="1177"/>
      <c r="V181" s="1177"/>
      <c r="W181" s="1177"/>
      <c r="X181" s="1755"/>
      <c r="Y181" s="1177"/>
      <c r="Z181" s="1735"/>
      <c r="AA181" s="1177"/>
      <c r="AB181" s="215" t="s">
        <v>1776</v>
      </c>
      <c r="AC181" s="682" t="s">
        <v>1777</v>
      </c>
      <c r="AD181" s="680" t="s">
        <v>766</v>
      </c>
      <c r="AE181" s="1510">
        <f ca="1">AE180*SUMIFS(INDEX(Сценарии!$AE$25:$BF$82,,MATCH(AE$8,Сценарии!$AE$8:$BF$8,0)),Сценарии!$F$25:$F$82,$F181,Сценарии!$G$25:$G$82,"СВФОТ")/100</f>
        <v>0</v>
      </c>
      <c r="AF181" s="1510">
        <f ca="1">AF180*SUMIFS(INDEX(Сценарии!$AE$25:$BF$82,,MATCH(AF$8,Сценарии!$AE$8:$BF$8,0)),Сценарии!$F$25:$F$82,$F181,Сценарии!$G$25:$G$82,"СВФОТ")/100</f>
        <v>0</v>
      </c>
      <c r="AG181" s="1510">
        <f ca="1">AG180*SUMIFS(INDEX(Сценарии!$AE$25:$BF$82,,MATCH(AG$8,Сценарии!$AE$8:$BF$8,0)),Сценарии!$F$25:$F$82,$F181,Сценарии!$G$25:$G$82,"СВФОТ")/100</f>
        <v>0</v>
      </c>
      <c r="AH181" s="848">
        <f t="shared" ca="1" si="45"/>
        <v>0</v>
      </c>
      <c r="AI181" s="1505">
        <f ca="1">AI180*SUMIFS(INDEX(Сценарии!$AE$25:$BF$82,,MATCH(AG$8,Сценарии!$AE$8:$BF$8,0)),Сценарии!$F$25:$F$82,$F181,Сценарии!$G$25:$G$82,"СВФОТ")/100</f>
        <v>0</v>
      </c>
      <c r="AJ181" s="1502"/>
      <c r="AK181" s="847"/>
      <c r="AL181" s="847"/>
      <c r="AM181" s="847"/>
      <c r="AN181" s="847"/>
      <c r="AO181" s="847"/>
      <c r="AP181" s="847"/>
      <c r="AQ181" s="847"/>
      <c r="AR181" s="847"/>
      <c r="AS181" s="847"/>
      <c r="AT181" s="847"/>
      <c r="AU181" s="847"/>
      <c r="AV181" s="847"/>
      <c r="AW181" s="847"/>
      <c r="AX181" s="847"/>
      <c r="AY181" s="847"/>
      <c r="AZ181" s="847"/>
      <c r="BA181" s="847"/>
      <c r="BB181" s="847"/>
      <c r="BC181" s="847"/>
      <c r="BD181" s="847"/>
      <c r="BE181" s="847"/>
      <c r="BF181" s="847"/>
      <c r="BG181" s="847"/>
      <c r="BH181" s="847"/>
      <c r="BI181" s="847"/>
      <c r="BJ181" s="847"/>
      <c r="BK181" s="847"/>
      <c r="BL181" s="847"/>
      <c r="BM181" s="847"/>
      <c r="BN181" s="1515"/>
      <c r="BO181" s="1517" t="str">
        <f ca="1">IF(IFERROR(INDEX(ФОТ!$K$26:$L$77,MATCH($F181&amp;"2komm",ФОТ!$K$26:$K$77,0),2),"")=0,"",IFERROR(INDEX(ФОТ!$K$26:$L$77,MATCH($F181&amp;"2komm",ФОТ!$K$26:$K$77,0),2),""))</f>
        <v/>
      </c>
      <c r="BP181" s="1515"/>
      <c r="BQ181" s="1177"/>
      <c r="BR181" s="1177"/>
      <c r="BS181" s="964" t="s">
        <v>1585</v>
      </c>
      <c r="BT181" s="966"/>
      <c r="BU181" s="966"/>
      <c r="BV181" s="881"/>
      <c r="BW181" s="881"/>
    </row>
    <row r="182" spans="1:75" s="1327" customFormat="1" ht="14.25" customHeight="1">
      <c r="A182" s="1177"/>
      <c r="B182" s="880"/>
      <c r="C182" s="1177"/>
      <c r="D182" s="1177"/>
      <c r="E182" s="620">
        <v>15</v>
      </c>
      <c r="F182" s="3" t="str" cm="1">
        <f t="array" aca="1" ref="F182" ca="1">OFFSET(E182,-1,1)</f>
        <v>1</v>
      </c>
      <c r="G182" s="1177"/>
      <c r="H182" s="290"/>
      <c r="I182" s="290" t="s">
        <v>1352</v>
      </c>
      <c r="J182" s="1177"/>
      <c r="K182" s="290" t="s">
        <v>1352</v>
      </c>
      <c r="L182" s="882" t="s">
        <v>1587</v>
      </c>
      <c r="M182" s="26"/>
      <c r="N182" s="1177"/>
      <c r="O182" s="1177"/>
      <c r="P182" s="1177"/>
      <c r="Q182" s="77" t="s">
        <v>2044</v>
      </c>
      <c r="R182" s="80" t="s">
        <v>2044</v>
      </c>
      <c r="S182" s="1177"/>
      <c r="T182" s="381" t="b" cm="1">
        <f t="array" ref="T182">T181</f>
        <v>1</v>
      </c>
      <c r="U182" s="1177"/>
      <c r="V182" s="1177"/>
      <c r="W182" s="1177"/>
      <c r="X182" s="1755"/>
      <c r="Y182" s="1177"/>
      <c r="Z182" s="1735"/>
      <c r="AA182" s="1177"/>
      <c r="AB182" s="215" t="s">
        <v>1561</v>
      </c>
      <c r="AC182" s="679" t="s">
        <v>1778</v>
      </c>
      <c r="AD182" s="680" t="s">
        <v>766</v>
      </c>
      <c r="AE182" s="1510"/>
      <c r="AF182" s="1510"/>
      <c r="AG182" s="1510"/>
      <c r="AH182" s="848">
        <f t="shared" si="45"/>
        <v>0</v>
      </c>
      <c r="AI182" s="1505"/>
      <c r="AJ182" s="1502"/>
      <c r="AK182" s="847"/>
      <c r="AL182" s="847"/>
      <c r="AM182" s="847"/>
      <c r="AN182" s="847"/>
      <c r="AO182" s="847"/>
      <c r="AP182" s="847"/>
      <c r="AQ182" s="847"/>
      <c r="AR182" s="847"/>
      <c r="AS182" s="847"/>
      <c r="AT182" s="847"/>
      <c r="AU182" s="847"/>
      <c r="AV182" s="847"/>
      <c r="AW182" s="847"/>
      <c r="AX182" s="847"/>
      <c r="AY182" s="847"/>
      <c r="AZ182" s="847"/>
      <c r="BA182" s="847"/>
      <c r="BB182" s="847"/>
      <c r="BC182" s="847"/>
      <c r="BD182" s="847"/>
      <c r="BE182" s="847"/>
      <c r="BF182" s="847"/>
      <c r="BG182" s="847"/>
      <c r="BH182" s="847"/>
      <c r="BI182" s="847"/>
      <c r="BJ182" s="847"/>
      <c r="BK182" s="847"/>
      <c r="BL182" s="847"/>
      <c r="BM182" s="847"/>
      <c r="BN182" s="1515"/>
      <c r="BO182" s="1515"/>
      <c r="BP182" s="1515"/>
      <c r="BQ182" s="1177"/>
      <c r="BR182" s="1177"/>
      <c r="BS182" s="965" t="s">
        <v>1590</v>
      </c>
      <c r="BT182" s="966"/>
      <c r="BU182" s="966"/>
      <c r="BV182" s="881"/>
      <c r="BW182" s="881"/>
    </row>
    <row r="183" spans="1:75" s="1327" customFormat="1" ht="14.25" customHeight="1">
      <c r="A183" s="1177"/>
      <c r="B183" s="880"/>
      <c r="C183" s="1177"/>
      <c r="D183" s="1177"/>
      <c r="E183" s="620">
        <v>15</v>
      </c>
      <c r="F183" s="3" t="str" cm="1">
        <f t="array" aca="1" ref="F183" ca="1">OFFSET(E183,-1,1)</f>
        <v>1</v>
      </c>
      <c r="G183" s="1177"/>
      <c r="H183" s="290"/>
      <c r="I183" s="290" t="s">
        <v>1356</v>
      </c>
      <c r="J183" s="1177"/>
      <c r="K183" s="290" t="s">
        <v>1356</v>
      </c>
      <c r="L183" s="882" t="s">
        <v>1591</v>
      </c>
      <c r="M183" s="1177"/>
      <c r="N183" s="1177"/>
      <c r="O183" s="1177"/>
      <c r="P183" s="1177"/>
      <c r="Q183" s="77" t="s">
        <v>2044</v>
      </c>
      <c r="R183" s="80" t="s">
        <v>2044</v>
      </c>
      <c r="S183" s="1177"/>
      <c r="T183" s="381" t="b" cm="1">
        <f t="array" ref="T183">T182</f>
        <v>1</v>
      </c>
      <c r="U183" s="1177"/>
      <c r="V183" s="1177"/>
      <c r="W183" s="1177"/>
      <c r="X183" s="1755"/>
      <c r="Y183" s="1177"/>
      <c r="Z183" s="1735"/>
      <c r="AA183" s="1177"/>
      <c r="AB183" s="215" t="s">
        <v>1563</v>
      </c>
      <c r="AC183" s="679" t="s">
        <v>1779</v>
      </c>
      <c r="AD183" s="216" t="s">
        <v>766</v>
      </c>
      <c r="AE183" s="849">
        <f>SUM(AE184:AE190)</f>
        <v>0</v>
      </c>
      <c r="AF183" s="849">
        <f>SUM(AF184:AF190)</f>
        <v>0</v>
      </c>
      <c r="AG183" s="849">
        <f>SUM(AG184:AG190)</f>
        <v>0</v>
      </c>
      <c r="AH183" s="848">
        <f t="shared" si="45"/>
        <v>0</v>
      </c>
      <c r="AI183" s="1506">
        <f>SUM(AI184:AI190)</f>
        <v>0</v>
      </c>
      <c r="AJ183" s="1502"/>
      <c r="AK183" s="847"/>
      <c r="AL183" s="847"/>
      <c r="AM183" s="847"/>
      <c r="AN183" s="847"/>
      <c r="AO183" s="847"/>
      <c r="AP183" s="847"/>
      <c r="AQ183" s="847"/>
      <c r="AR183" s="847"/>
      <c r="AS183" s="847"/>
      <c r="AT183" s="847"/>
      <c r="AU183" s="847"/>
      <c r="AV183" s="847"/>
      <c r="AW183" s="847"/>
      <c r="AX183" s="847"/>
      <c r="AY183" s="847"/>
      <c r="AZ183" s="847"/>
      <c r="BA183" s="847"/>
      <c r="BB183" s="847"/>
      <c r="BC183" s="847"/>
      <c r="BD183" s="847"/>
      <c r="BE183" s="847"/>
      <c r="BF183" s="847"/>
      <c r="BG183" s="847"/>
      <c r="BH183" s="847"/>
      <c r="BI183" s="847"/>
      <c r="BJ183" s="847"/>
      <c r="BK183" s="847"/>
      <c r="BL183" s="847"/>
      <c r="BM183" s="847"/>
      <c r="BN183" s="1515"/>
      <c r="BO183" s="1515"/>
      <c r="BP183" s="1515"/>
      <c r="BQ183" s="1177"/>
      <c r="BR183" s="1177"/>
      <c r="BS183" s="965" t="s">
        <v>1780</v>
      </c>
      <c r="BT183" s="966"/>
      <c r="BU183" s="966"/>
      <c r="BV183" s="881"/>
      <c r="BW183" s="881"/>
    </row>
    <row r="184" spans="1:75" s="1327" customFormat="1" ht="14.25" customHeight="1">
      <c r="A184" s="1177"/>
      <c r="B184" s="880"/>
      <c r="C184" s="1177"/>
      <c r="D184" s="1177"/>
      <c r="E184" s="620">
        <v>15</v>
      </c>
      <c r="F184" s="3" t="str" cm="1">
        <f t="array" aca="1" ref="F184" ca="1">OFFSET(E184,-1,1)</f>
        <v>1</v>
      </c>
      <c r="G184" s="1177"/>
      <c r="H184" s="290"/>
      <c r="I184" s="290" t="s">
        <v>1781</v>
      </c>
      <c r="J184" s="1177"/>
      <c r="K184" s="290" t="s">
        <v>1781</v>
      </c>
      <c r="L184" s="882" t="s">
        <v>1591</v>
      </c>
      <c r="M184" s="26" t="s">
        <v>1599</v>
      </c>
      <c r="N184" s="1177"/>
      <c r="O184" s="1177"/>
      <c r="P184" s="1177"/>
      <c r="Q184" s="77" t="s">
        <v>2044</v>
      </c>
      <c r="R184" s="80" t="s">
        <v>2044</v>
      </c>
      <c r="S184" s="1177"/>
      <c r="T184" s="381" t="b" cm="1">
        <f t="array" ref="T184">T183</f>
        <v>1</v>
      </c>
      <c r="U184" s="1177"/>
      <c r="V184" s="1177"/>
      <c r="W184" s="1177"/>
      <c r="X184" s="1755"/>
      <c r="Y184" s="1177"/>
      <c r="Z184" s="1735"/>
      <c r="AA184" s="1177"/>
      <c r="AB184" s="215" t="s">
        <v>1782</v>
      </c>
      <c r="AC184" s="682" t="s">
        <v>1783</v>
      </c>
      <c r="AD184" s="216" t="s">
        <v>766</v>
      </c>
      <c r="AE184" s="1510"/>
      <c r="AF184" s="1510"/>
      <c r="AG184" s="1510"/>
      <c r="AH184" s="848">
        <f t="shared" si="45"/>
        <v>0</v>
      </c>
      <c r="AI184" s="1505"/>
      <c r="AJ184" s="1502"/>
      <c r="AK184" s="847"/>
      <c r="AL184" s="847"/>
      <c r="AM184" s="847"/>
      <c r="AN184" s="847"/>
      <c r="AO184" s="847"/>
      <c r="AP184" s="847"/>
      <c r="AQ184" s="847"/>
      <c r="AR184" s="847"/>
      <c r="AS184" s="847"/>
      <c r="AT184" s="847"/>
      <c r="AU184" s="847"/>
      <c r="AV184" s="847"/>
      <c r="AW184" s="847"/>
      <c r="AX184" s="847"/>
      <c r="AY184" s="847"/>
      <c r="AZ184" s="847"/>
      <c r="BA184" s="847"/>
      <c r="BB184" s="847"/>
      <c r="BC184" s="847"/>
      <c r="BD184" s="847"/>
      <c r="BE184" s="847"/>
      <c r="BF184" s="847"/>
      <c r="BG184" s="847"/>
      <c r="BH184" s="847"/>
      <c r="BI184" s="847"/>
      <c r="BJ184" s="847"/>
      <c r="BK184" s="847"/>
      <c r="BL184" s="847"/>
      <c r="BM184" s="847"/>
      <c r="BN184" s="1515"/>
      <c r="BO184" s="1515"/>
      <c r="BP184" s="1515"/>
      <c r="BQ184" s="1177"/>
      <c r="BR184" s="1177"/>
      <c r="BS184" s="964" t="s">
        <v>1602</v>
      </c>
      <c r="BT184" s="966"/>
      <c r="BU184" s="966"/>
      <c r="BV184" s="881"/>
      <c r="BW184" s="881"/>
    </row>
    <row r="185" spans="1:75" s="1327" customFormat="1" ht="21.75" customHeight="1">
      <c r="A185" s="1177"/>
      <c r="B185" s="880"/>
      <c r="C185" s="1177"/>
      <c r="D185" s="1177"/>
      <c r="E185" s="620">
        <v>22.5</v>
      </c>
      <c r="F185" s="3" t="str" cm="1">
        <f t="array" aca="1" ref="F185" ca="1">OFFSET(E185,-1,1)</f>
        <v>1</v>
      </c>
      <c r="G185" s="1177"/>
      <c r="H185" s="290"/>
      <c r="I185" s="290" t="s">
        <v>1784</v>
      </c>
      <c r="J185" s="1177"/>
      <c r="K185" s="290" t="s">
        <v>1784</v>
      </c>
      <c r="L185" s="882" t="s">
        <v>1591</v>
      </c>
      <c r="M185" s="26" t="s">
        <v>1595</v>
      </c>
      <c r="N185" s="1177"/>
      <c r="O185" s="1177"/>
      <c r="P185" s="1177"/>
      <c r="Q185" s="77" t="s">
        <v>2044</v>
      </c>
      <c r="R185" s="80" t="s">
        <v>2044</v>
      </c>
      <c r="S185" s="1177"/>
      <c r="T185" s="381" t="b" cm="1">
        <f t="array" ref="T185">T184</f>
        <v>1</v>
      </c>
      <c r="U185" s="1177"/>
      <c r="V185" s="1177"/>
      <c r="W185" s="1177"/>
      <c r="X185" s="1755"/>
      <c r="Y185" s="1177"/>
      <c r="Z185" s="1735"/>
      <c r="AA185" s="1177"/>
      <c r="AB185" s="215" t="s">
        <v>1785</v>
      </c>
      <c r="AC185" s="682" t="s">
        <v>1786</v>
      </c>
      <c r="AD185" s="216" t="s">
        <v>766</v>
      </c>
      <c r="AE185" s="1510"/>
      <c r="AF185" s="1510"/>
      <c r="AG185" s="1510"/>
      <c r="AH185" s="848">
        <f t="shared" si="45"/>
        <v>0</v>
      </c>
      <c r="AI185" s="1505"/>
      <c r="AJ185" s="1502"/>
      <c r="AK185" s="847"/>
      <c r="AL185" s="847"/>
      <c r="AM185" s="847"/>
      <c r="AN185" s="847"/>
      <c r="AO185" s="847"/>
      <c r="AP185" s="847"/>
      <c r="AQ185" s="847"/>
      <c r="AR185" s="847"/>
      <c r="AS185" s="847"/>
      <c r="AT185" s="847"/>
      <c r="AU185" s="847"/>
      <c r="AV185" s="847"/>
      <c r="AW185" s="847"/>
      <c r="AX185" s="847"/>
      <c r="AY185" s="847"/>
      <c r="AZ185" s="847"/>
      <c r="BA185" s="847"/>
      <c r="BB185" s="847"/>
      <c r="BC185" s="847"/>
      <c r="BD185" s="847"/>
      <c r="BE185" s="847"/>
      <c r="BF185" s="847"/>
      <c r="BG185" s="847"/>
      <c r="BH185" s="847"/>
      <c r="BI185" s="847"/>
      <c r="BJ185" s="847"/>
      <c r="BK185" s="847"/>
      <c r="BL185" s="847"/>
      <c r="BM185" s="847"/>
      <c r="BN185" s="1515"/>
      <c r="BO185" s="1515"/>
      <c r="BP185" s="1515"/>
      <c r="BQ185" s="1177"/>
      <c r="BR185" s="1177"/>
      <c r="BS185" s="966" t="s">
        <v>1787</v>
      </c>
      <c r="BT185" s="966"/>
      <c r="BU185" s="966"/>
      <c r="BV185" s="881"/>
      <c r="BW185" s="881"/>
    </row>
    <row r="186" spans="1:75" s="1327" customFormat="1" ht="21.75" customHeight="1">
      <c r="A186" s="1177"/>
      <c r="B186" s="880"/>
      <c r="C186" s="1177"/>
      <c r="D186" s="1177"/>
      <c r="E186" s="620">
        <v>22.5</v>
      </c>
      <c r="F186" s="3" t="str" cm="1">
        <f t="array" aca="1" ref="F186" ca="1">OFFSET(E186,-1,1)</f>
        <v>1</v>
      </c>
      <c r="G186" s="1177"/>
      <c r="H186" s="290"/>
      <c r="I186" s="290" t="s">
        <v>1788</v>
      </c>
      <c r="J186" s="1177"/>
      <c r="K186" s="290" t="s">
        <v>1788</v>
      </c>
      <c r="L186" s="1177"/>
      <c r="M186" s="1177"/>
      <c r="N186" s="1177"/>
      <c r="O186" s="1177"/>
      <c r="P186" s="1177"/>
      <c r="Q186" s="77" t="s">
        <v>2044</v>
      </c>
      <c r="R186" s="80" t="s">
        <v>2044</v>
      </c>
      <c r="S186" s="1177"/>
      <c r="T186" s="381" t="b" cm="1">
        <f t="array" ref="T186">T185</f>
        <v>1</v>
      </c>
      <c r="U186" s="1177"/>
      <c r="V186" s="1177"/>
      <c r="W186" s="1177"/>
      <c r="X186" s="1755"/>
      <c r="Y186" s="1177"/>
      <c r="Z186" s="1735"/>
      <c r="AA186" s="1177"/>
      <c r="AB186" s="215" t="s">
        <v>1789</v>
      </c>
      <c r="AC186" s="683" t="s">
        <v>1790</v>
      </c>
      <c r="AD186" s="216" t="s">
        <v>766</v>
      </c>
      <c r="AE186" s="1510"/>
      <c r="AF186" s="1510"/>
      <c r="AG186" s="1510"/>
      <c r="AH186" s="848">
        <f t="shared" si="45"/>
        <v>0</v>
      </c>
      <c r="AI186" s="1505"/>
      <c r="AJ186" s="1502"/>
      <c r="AK186" s="847"/>
      <c r="AL186" s="847"/>
      <c r="AM186" s="847"/>
      <c r="AN186" s="847"/>
      <c r="AO186" s="847"/>
      <c r="AP186" s="847"/>
      <c r="AQ186" s="847"/>
      <c r="AR186" s="847"/>
      <c r="AS186" s="847"/>
      <c r="AT186" s="847"/>
      <c r="AU186" s="847"/>
      <c r="AV186" s="847"/>
      <c r="AW186" s="847"/>
      <c r="AX186" s="847"/>
      <c r="AY186" s="847"/>
      <c r="AZ186" s="847"/>
      <c r="BA186" s="847"/>
      <c r="BB186" s="847"/>
      <c r="BC186" s="847"/>
      <c r="BD186" s="847"/>
      <c r="BE186" s="847"/>
      <c r="BF186" s="847"/>
      <c r="BG186" s="847"/>
      <c r="BH186" s="847"/>
      <c r="BI186" s="847"/>
      <c r="BJ186" s="847"/>
      <c r="BK186" s="847"/>
      <c r="BL186" s="847"/>
      <c r="BM186" s="847"/>
      <c r="BN186" s="1515"/>
      <c r="BO186" s="1515"/>
      <c r="BP186" s="1515"/>
      <c r="BQ186" s="1177"/>
      <c r="BR186" s="1177"/>
      <c r="BS186" s="966" t="s">
        <v>1791</v>
      </c>
      <c r="BT186" s="966"/>
      <c r="BU186" s="966"/>
      <c r="BV186" s="881"/>
      <c r="BW186" s="881"/>
    </row>
    <row r="187" spans="1:75" s="1327" customFormat="1" ht="21.75" customHeight="1">
      <c r="A187" s="1177"/>
      <c r="B187" s="880"/>
      <c r="C187" s="1177"/>
      <c r="D187" s="1177"/>
      <c r="E187" s="620">
        <v>22.5</v>
      </c>
      <c r="F187" s="3" t="str" cm="1">
        <f t="array" aca="1" ref="F187" ca="1">OFFSET(E187,-1,1)</f>
        <v>1</v>
      </c>
      <c r="G187" s="1177"/>
      <c r="H187" s="290"/>
      <c r="I187" s="290" t="s">
        <v>1792</v>
      </c>
      <c r="J187" s="1177"/>
      <c r="K187" s="290" t="s">
        <v>1792</v>
      </c>
      <c r="L187" s="882"/>
      <c r="M187" s="1177"/>
      <c r="N187" s="1177"/>
      <c r="O187" s="1177"/>
      <c r="P187" s="1177"/>
      <c r="Q187" s="77" t="s">
        <v>2044</v>
      </c>
      <c r="R187" s="80" t="s">
        <v>2044</v>
      </c>
      <c r="S187" s="1177"/>
      <c r="T187" s="381" t="b" cm="1">
        <f t="array" ref="T187">T186</f>
        <v>1</v>
      </c>
      <c r="U187" s="1177"/>
      <c r="V187" s="1177"/>
      <c r="W187" s="1177"/>
      <c r="X187" s="1755"/>
      <c r="Y187" s="1177"/>
      <c r="Z187" s="1735"/>
      <c r="AA187" s="1177"/>
      <c r="AB187" s="215" t="s">
        <v>1793</v>
      </c>
      <c r="AC187" s="683" t="s">
        <v>1794</v>
      </c>
      <c r="AD187" s="216" t="s">
        <v>766</v>
      </c>
      <c r="AE187" s="1510"/>
      <c r="AF187" s="1510"/>
      <c r="AG187" s="1510"/>
      <c r="AH187" s="848">
        <f t="shared" si="45"/>
        <v>0</v>
      </c>
      <c r="AI187" s="1505"/>
      <c r="AJ187" s="1502"/>
      <c r="AK187" s="847"/>
      <c r="AL187" s="847"/>
      <c r="AM187" s="847"/>
      <c r="AN187" s="847"/>
      <c r="AO187" s="847"/>
      <c r="AP187" s="847"/>
      <c r="AQ187" s="847"/>
      <c r="AR187" s="847"/>
      <c r="AS187" s="847"/>
      <c r="AT187" s="847"/>
      <c r="AU187" s="847"/>
      <c r="AV187" s="847"/>
      <c r="AW187" s="847"/>
      <c r="AX187" s="847"/>
      <c r="AY187" s="847"/>
      <c r="AZ187" s="847"/>
      <c r="BA187" s="847"/>
      <c r="BB187" s="847"/>
      <c r="BC187" s="847"/>
      <c r="BD187" s="847"/>
      <c r="BE187" s="847"/>
      <c r="BF187" s="847"/>
      <c r="BG187" s="847"/>
      <c r="BH187" s="847"/>
      <c r="BI187" s="847"/>
      <c r="BJ187" s="847"/>
      <c r="BK187" s="847"/>
      <c r="BL187" s="847"/>
      <c r="BM187" s="847"/>
      <c r="BN187" s="1515"/>
      <c r="BO187" s="1515"/>
      <c r="BP187" s="1515"/>
      <c r="BQ187" s="1177"/>
      <c r="BR187" s="1177"/>
      <c r="BS187" s="966" t="s">
        <v>1795</v>
      </c>
      <c r="BT187" s="966"/>
      <c r="BU187" s="966"/>
      <c r="BV187" s="881"/>
      <c r="BW187" s="881"/>
    </row>
    <row r="188" spans="1:75" s="1327" customFormat="1" ht="43.5" customHeight="1">
      <c r="A188" s="1177"/>
      <c r="B188" s="880"/>
      <c r="C188" s="1177"/>
      <c r="D188" s="1177"/>
      <c r="E188" s="620">
        <v>45</v>
      </c>
      <c r="F188" s="3" t="str" cm="1">
        <f t="array" aca="1" ref="F188" ca="1">OFFSET(E188,-1,1)</f>
        <v>1</v>
      </c>
      <c r="G188" s="1177"/>
      <c r="H188" s="290"/>
      <c r="I188" s="290" t="s">
        <v>1796</v>
      </c>
      <c r="J188" s="1177"/>
      <c r="K188" s="290" t="s">
        <v>1796</v>
      </c>
      <c r="L188" s="882" t="s">
        <v>1591</v>
      </c>
      <c r="M188" s="26" t="s">
        <v>1603</v>
      </c>
      <c r="N188" s="1177"/>
      <c r="O188" s="1177"/>
      <c r="P188" s="1177"/>
      <c r="Q188" s="77" t="s">
        <v>2044</v>
      </c>
      <c r="R188" s="80" t="s">
        <v>2044</v>
      </c>
      <c r="S188" s="1177"/>
      <c r="T188" s="381" t="b" cm="1">
        <f t="array" ref="T188">T187</f>
        <v>1</v>
      </c>
      <c r="U188" s="1177"/>
      <c r="V188" s="1177"/>
      <c r="W188" s="1177"/>
      <c r="X188" s="1755"/>
      <c r="Y188" s="1177"/>
      <c r="Z188" s="1735"/>
      <c r="AA188" s="1177"/>
      <c r="AB188" s="215" t="s">
        <v>1797</v>
      </c>
      <c r="AC188" s="682" t="s">
        <v>1798</v>
      </c>
      <c r="AD188" s="216" t="s">
        <v>766</v>
      </c>
      <c r="AE188" s="1510"/>
      <c r="AF188" s="1510"/>
      <c r="AG188" s="1510"/>
      <c r="AH188" s="848">
        <f t="shared" si="45"/>
        <v>0</v>
      </c>
      <c r="AI188" s="1505"/>
      <c r="AJ188" s="1502"/>
      <c r="AK188" s="847"/>
      <c r="AL188" s="847"/>
      <c r="AM188" s="847"/>
      <c r="AN188" s="847"/>
      <c r="AO188" s="847"/>
      <c r="AP188" s="847"/>
      <c r="AQ188" s="847"/>
      <c r="AR188" s="847"/>
      <c r="AS188" s="847"/>
      <c r="AT188" s="847"/>
      <c r="AU188" s="847"/>
      <c r="AV188" s="847"/>
      <c r="AW188" s="847"/>
      <c r="AX188" s="847"/>
      <c r="AY188" s="847"/>
      <c r="AZ188" s="847"/>
      <c r="BA188" s="847"/>
      <c r="BB188" s="847"/>
      <c r="BC188" s="847"/>
      <c r="BD188" s="847"/>
      <c r="BE188" s="847"/>
      <c r="BF188" s="847"/>
      <c r="BG188" s="847"/>
      <c r="BH188" s="847"/>
      <c r="BI188" s="847"/>
      <c r="BJ188" s="847"/>
      <c r="BK188" s="847"/>
      <c r="BL188" s="847"/>
      <c r="BM188" s="847"/>
      <c r="BN188" s="1515"/>
      <c r="BO188" s="1515"/>
      <c r="BP188" s="1515"/>
      <c r="BQ188" s="1177"/>
      <c r="BR188" s="1177"/>
      <c r="BS188" s="966" t="s">
        <v>1606</v>
      </c>
      <c r="BT188" s="966"/>
      <c r="BU188" s="966"/>
      <c r="BV188" s="881"/>
      <c r="BW188" s="881"/>
    </row>
    <row r="189" spans="1:75" s="1327" customFormat="1" ht="14.25" customHeight="1">
      <c r="A189" s="1177"/>
      <c r="B189" s="880"/>
      <c r="C189" s="1177"/>
      <c r="D189" s="1177"/>
      <c r="E189" s="620">
        <v>15</v>
      </c>
      <c r="F189" s="3" t="str" cm="1">
        <f t="array" aca="1" ref="F189" ca="1">OFFSET(E189,-1,1)</f>
        <v>1</v>
      </c>
      <c r="G189" s="1177"/>
      <c r="H189" s="290"/>
      <c r="I189" s="290" t="s">
        <v>1799</v>
      </c>
      <c r="J189" s="1177"/>
      <c r="K189" s="290" t="s">
        <v>1799</v>
      </c>
      <c r="L189" s="882" t="s">
        <v>1591</v>
      </c>
      <c r="M189" s="26" t="s">
        <v>1607</v>
      </c>
      <c r="N189" s="1177"/>
      <c r="O189" s="1177"/>
      <c r="P189" s="1177"/>
      <c r="Q189" s="77" t="s">
        <v>2044</v>
      </c>
      <c r="R189" s="80" t="s">
        <v>2044</v>
      </c>
      <c r="S189" s="1177"/>
      <c r="T189" s="381" t="b" cm="1">
        <f t="array" ref="T189">T188</f>
        <v>1</v>
      </c>
      <c r="U189" s="1177"/>
      <c r="V189" s="1177"/>
      <c r="W189" s="1177"/>
      <c r="X189" s="1755"/>
      <c r="Y189" s="1177"/>
      <c r="Z189" s="1735"/>
      <c r="AA189" s="1177"/>
      <c r="AB189" s="215" t="s">
        <v>1800</v>
      </c>
      <c r="AC189" s="682" t="s">
        <v>1609</v>
      </c>
      <c r="AD189" s="216" t="s">
        <v>766</v>
      </c>
      <c r="AE189" s="1510"/>
      <c r="AF189" s="1510"/>
      <c r="AG189" s="1510"/>
      <c r="AH189" s="848">
        <f t="shared" si="45"/>
        <v>0</v>
      </c>
      <c r="AI189" s="1505"/>
      <c r="AJ189" s="1502"/>
      <c r="AK189" s="847"/>
      <c r="AL189" s="847"/>
      <c r="AM189" s="847"/>
      <c r="AN189" s="847"/>
      <c r="AO189" s="847"/>
      <c r="AP189" s="847"/>
      <c r="AQ189" s="847"/>
      <c r="AR189" s="847"/>
      <c r="AS189" s="847"/>
      <c r="AT189" s="847"/>
      <c r="AU189" s="847"/>
      <c r="AV189" s="847"/>
      <c r="AW189" s="847"/>
      <c r="AX189" s="847"/>
      <c r="AY189" s="847"/>
      <c r="AZ189" s="847"/>
      <c r="BA189" s="847"/>
      <c r="BB189" s="847"/>
      <c r="BC189" s="847"/>
      <c r="BD189" s="847"/>
      <c r="BE189" s="847"/>
      <c r="BF189" s="847"/>
      <c r="BG189" s="847"/>
      <c r="BH189" s="847"/>
      <c r="BI189" s="847"/>
      <c r="BJ189" s="847"/>
      <c r="BK189" s="847"/>
      <c r="BL189" s="847"/>
      <c r="BM189" s="847"/>
      <c r="BN189" s="1515"/>
      <c r="BO189" s="1515"/>
      <c r="BP189" s="1515"/>
      <c r="BQ189" s="1177"/>
      <c r="BR189" s="1177"/>
      <c r="BS189" s="966" t="s">
        <v>1610</v>
      </c>
      <c r="BT189" s="966"/>
      <c r="BU189" s="966"/>
      <c r="BV189" s="881"/>
      <c r="BW189" s="881"/>
    </row>
    <row r="190" spans="1:75" s="1327" customFormat="1" ht="14.25" customHeight="1">
      <c r="A190" s="1177"/>
      <c r="B190" s="880"/>
      <c r="C190" s="1177"/>
      <c r="D190" s="1177"/>
      <c r="E190" s="620">
        <v>15</v>
      </c>
      <c r="F190" s="3" t="str" cm="1">
        <f t="array" aca="1" ref="F190" ca="1">OFFSET(E190,-1,1)</f>
        <v>1</v>
      </c>
      <c r="G190" s="1177"/>
      <c r="H190" s="290"/>
      <c r="I190" s="290" t="s">
        <v>1801</v>
      </c>
      <c r="J190" s="1177"/>
      <c r="K190" s="290" t="s">
        <v>1801</v>
      </c>
      <c r="L190" s="882"/>
      <c r="M190" s="26"/>
      <c r="N190" s="1177"/>
      <c r="O190" s="1177"/>
      <c r="P190" s="1177"/>
      <c r="Q190" s="77" t="s">
        <v>2044</v>
      </c>
      <c r="R190" s="80" t="s">
        <v>2044</v>
      </c>
      <c r="S190" s="1177"/>
      <c r="T190" s="381" t="b" cm="1">
        <f t="array" ref="T190">T189</f>
        <v>1</v>
      </c>
      <c r="U190" s="1177"/>
      <c r="V190" s="1177"/>
      <c r="W190" s="1177"/>
      <c r="X190" s="1755"/>
      <c r="Y190" s="1177"/>
      <c r="Z190" s="1735"/>
      <c r="AA190" s="1177"/>
      <c r="AB190" s="215" t="s">
        <v>1802</v>
      </c>
      <c r="AC190" s="682" t="s">
        <v>1803</v>
      </c>
      <c r="AD190" s="216" t="s">
        <v>766</v>
      </c>
      <c r="AE190" s="1510"/>
      <c r="AF190" s="1510"/>
      <c r="AG190" s="1510"/>
      <c r="AH190" s="848">
        <f t="shared" si="45"/>
        <v>0</v>
      </c>
      <c r="AI190" s="1505"/>
      <c r="AJ190" s="1257"/>
      <c r="AK190" s="847"/>
      <c r="AL190" s="847"/>
      <c r="AM190" s="847"/>
      <c r="AN190" s="847"/>
      <c r="AO190" s="847"/>
      <c r="AP190" s="847"/>
      <c r="AQ190" s="847"/>
      <c r="AR190" s="847"/>
      <c r="AS190" s="847"/>
      <c r="AT190" s="847"/>
      <c r="AU190" s="847"/>
      <c r="AV190" s="847"/>
      <c r="AW190" s="847"/>
      <c r="AX190" s="847"/>
      <c r="AY190" s="847"/>
      <c r="AZ190" s="847"/>
      <c r="BA190" s="847"/>
      <c r="BB190" s="847"/>
      <c r="BC190" s="847"/>
      <c r="BD190" s="847"/>
      <c r="BE190" s="847"/>
      <c r="BF190" s="847"/>
      <c r="BG190" s="847"/>
      <c r="BH190" s="847"/>
      <c r="BI190" s="847"/>
      <c r="BJ190" s="847"/>
      <c r="BK190" s="847"/>
      <c r="BL190" s="847"/>
      <c r="BM190" s="847"/>
      <c r="BN190" s="1515"/>
      <c r="BO190" s="1515"/>
      <c r="BP190" s="1515"/>
      <c r="BQ190" s="1177"/>
      <c r="BR190" s="1177"/>
      <c r="BS190" s="966" t="s">
        <v>1594</v>
      </c>
      <c r="BT190" s="966"/>
      <c r="BU190" s="966"/>
      <c r="BV190" s="881"/>
      <c r="BW190" s="881"/>
    </row>
    <row r="191" spans="1:75" s="1518" customFormat="1" ht="20.25" customHeight="1">
      <c r="A191" s="617"/>
      <c r="B191" s="352"/>
      <c r="C191" s="617"/>
      <c r="D191" s="617"/>
      <c r="E191" s="624">
        <v>21</v>
      </c>
      <c r="F191" s="3" t="str" cm="1">
        <f t="array" aca="1" ref="F191" ca="1">OFFSET(E191,-1,1)</f>
        <v>1</v>
      </c>
      <c r="G191" s="617"/>
      <c r="H191" s="290"/>
      <c r="I191" s="290" t="s">
        <v>434</v>
      </c>
      <c r="J191" s="617"/>
      <c r="K191" s="290" t="s">
        <v>434</v>
      </c>
      <c r="L191" s="887"/>
      <c r="M191" s="28"/>
      <c r="N191" s="617"/>
      <c r="O191" s="617"/>
      <c r="P191" s="617"/>
      <c r="Q191" s="77" t="s">
        <v>2044</v>
      </c>
      <c r="R191" s="80" t="s">
        <v>2044</v>
      </c>
      <c r="S191" s="617"/>
      <c r="T191" s="381" t="b" cm="1">
        <f t="array" ref="T191">T190</f>
        <v>1</v>
      </c>
      <c r="U191" s="617"/>
      <c r="V191" s="617"/>
      <c r="W191" s="617"/>
      <c r="X191" s="1755"/>
      <c r="Y191" s="617"/>
      <c r="Z191" s="1735"/>
      <c r="AA191" s="617"/>
      <c r="AB191" s="136" t="s">
        <v>827</v>
      </c>
      <c r="AC191" s="273" t="s">
        <v>1614</v>
      </c>
      <c r="AD191" s="129" t="s">
        <v>766</v>
      </c>
      <c r="AE191" s="684">
        <f>AE192+AE193+AE194</f>
        <v>0</v>
      </c>
      <c r="AF191" s="684">
        <f>AF192+AF193+AF194</f>
        <v>0</v>
      </c>
      <c r="AG191" s="684">
        <f>AG192+AG193+AG194</f>
        <v>0</v>
      </c>
      <c r="AH191" s="675">
        <f t="shared" si="45"/>
        <v>0</v>
      </c>
      <c r="AI191" s="1507">
        <f>AI192+AI193+AI194</f>
        <v>0</v>
      </c>
      <c r="AJ191" s="1502"/>
      <c r="AK191" s="678"/>
      <c r="AL191" s="678"/>
      <c r="AM191" s="678"/>
      <c r="AN191" s="678"/>
      <c r="AO191" s="678"/>
      <c r="AP191" s="678"/>
      <c r="AQ191" s="678"/>
      <c r="AR191" s="678"/>
      <c r="AS191" s="678"/>
      <c r="AT191" s="678"/>
      <c r="AU191" s="678"/>
      <c r="AV191" s="678"/>
      <c r="AW191" s="678"/>
      <c r="AX191" s="678"/>
      <c r="AY191" s="678"/>
      <c r="AZ191" s="678"/>
      <c r="BA191" s="678"/>
      <c r="BB191" s="678"/>
      <c r="BC191" s="678"/>
      <c r="BD191" s="678"/>
      <c r="BE191" s="678"/>
      <c r="BF191" s="678"/>
      <c r="BG191" s="678"/>
      <c r="BH191" s="678"/>
      <c r="BI191" s="678"/>
      <c r="BJ191" s="678"/>
      <c r="BK191" s="678"/>
      <c r="BL191" s="678"/>
      <c r="BM191" s="678"/>
      <c r="BN191" s="1516"/>
      <c r="BO191" s="1516"/>
      <c r="BP191" s="1516"/>
      <c r="BQ191" s="617"/>
      <c r="BR191" s="617"/>
      <c r="BS191" s="965" t="s">
        <v>1615</v>
      </c>
      <c r="BT191" s="972"/>
      <c r="BU191" s="972"/>
      <c r="BV191" s="624"/>
      <c r="BW191" s="624"/>
    </row>
    <row r="192" spans="1:75" s="1327" customFormat="1" ht="21.75" customHeight="1">
      <c r="A192" s="1177"/>
      <c r="B192" s="880"/>
      <c r="C192" s="1177"/>
      <c r="D192" s="1177"/>
      <c r="E192" s="620">
        <v>22.5</v>
      </c>
      <c r="F192" s="3" t="str" cm="1">
        <f t="array" aca="1" ref="F192" ca="1">OFFSET(E192,-1,1)</f>
        <v>1</v>
      </c>
      <c r="G192" s="1177"/>
      <c r="H192" s="290"/>
      <c r="I192" s="290" t="s">
        <v>1199</v>
      </c>
      <c r="J192" s="1177"/>
      <c r="K192" s="290" t="s">
        <v>1199</v>
      </c>
      <c r="L192" s="882"/>
      <c r="M192" s="26"/>
      <c r="N192" s="1177"/>
      <c r="O192" s="1177"/>
      <c r="P192" s="1177"/>
      <c r="Q192" s="77" t="s">
        <v>2044</v>
      </c>
      <c r="R192" s="80" t="s">
        <v>2044</v>
      </c>
      <c r="S192" s="1177"/>
      <c r="T192" s="381" t="b" cm="1">
        <f t="array" ref="T192">T191</f>
        <v>1</v>
      </c>
      <c r="U192" s="1177"/>
      <c r="V192" s="1177"/>
      <c r="W192" s="1177"/>
      <c r="X192" s="1755"/>
      <c r="Y192" s="1177"/>
      <c r="Z192" s="1735"/>
      <c r="AA192" s="1177"/>
      <c r="AB192" s="215" t="s">
        <v>1200</v>
      </c>
      <c r="AC192" s="679" t="s">
        <v>1804</v>
      </c>
      <c r="AD192" s="216" t="s">
        <v>766</v>
      </c>
      <c r="AE192" s="1510"/>
      <c r="AF192" s="1510"/>
      <c r="AG192" s="1510"/>
      <c r="AH192" s="848">
        <f t="shared" si="45"/>
        <v>0</v>
      </c>
      <c r="AI192" s="1505"/>
      <c r="AJ192" s="1502"/>
      <c r="AK192" s="847"/>
      <c r="AL192" s="847"/>
      <c r="AM192" s="847"/>
      <c r="AN192" s="847"/>
      <c r="AO192" s="847"/>
      <c r="AP192" s="847"/>
      <c r="AQ192" s="847"/>
      <c r="AR192" s="847"/>
      <c r="AS192" s="847"/>
      <c r="AT192" s="847"/>
      <c r="AU192" s="847"/>
      <c r="AV192" s="847"/>
      <c r="AW192" s="847"/>
      <c r="AX192" s="847"/>
      <c r="AY192" s="847"/>
      <c r="AZ192" s="847"/>
      <c r="BA192" s="847"/>
      <c r="BB192" s="847"/>
      <c r="BC192" s="847"/>
      <c r="BD192" s="847"/>
      <c r="BE192" s="847"/>
      <c r="BF192" s="847"/>
      <c r="BG192" s="847"/>
      <c r="BH192" s="847"/>
      <c r="BI192" s="847"/>
      <c r="BJ192" s="847"/>
      <c r="BK192" s="847"/>
      <c r="BL192" s="847"/>
      <c r="BM192" s="847"/>
      <c r="BN192" s="1515"/>
      <c r="BO192" s="1515"/>
      <c r="BP192" s="1515"/>
      <c r="BQ192" s="1177"/>
      <c r="BR192" s="1177"/>
      <c r="BS192" s="964" t="s">
        <v>1617</v>
      </c>
      <c r="BT192" s="966"/>
      <c r="BU192" s="966"/>
      <c r="BV192" s="881"/>
      <c r="BW192" s="881"/>
    </row>
    <row r="193" spans="1:75" s="1327" customFormat="1" ht="21.75" customHeight="1">
      <c r="A193" s="1177"/>
      <c r="B193" s="880"/>
      <c r="C193" s="1177"/>
      <c r="D193" s="1177"/>
      <c r="E193" s="620">
        <v>22.5</v>
      </c>
      <c r="F193" s="3" t="str" cm="1">
        <f t="array" aca="1" ref="F193" ca="1">OFFSET(E193,-1,1)</f>
        <v>1</v>
      </c>
      <c r="G193" s="1177"/>
      <c r="H193" s="290"/>
      <c r="I193" s="290" t="s">
        <v>1203</v>
      </c>
      <c r="J193" s="1177"/>
      <c r="K193" s="290" t="s">
        <v>1203</v>
      </c>
      <c r="L193" s="882"/>
      <c r="M193" s="26"/>
      <c r="N193" s="1177"/>
      <c r="O193" s="1177"/>
      <c r="P193" s="1177"/>
      <c r="Q193" s="77" t="s">
        <v>2044</v>
      </c>
      <c r="R193" s="80" t="s">
        <v>2044</v>
      </c>
      <c r="S193" s="1177"/>
      <c r="T193" s="381" t="b" cm="1">
        <f t="array" ref="T193">T192</f>
        <v>1</v>
      </c>
      <c r="U193" s="1177"/>
      <c r="V193" s="1177"/>
      <c r="W193" s="1177"/>
      <c r="X193" s="1755"/>
      <c r="Y193" s="1177"/>
      <c r="Z193" s="1735"/>
      <c r="AA193" s="1177"/>
      <c r="AB193" s="215" t="s">
        <v>1204</v>
      </c>
      <c r="AC193" s="679" t="s">
        <v>1805</v>
      </c>
      <c r="AD193" s="216" t="s">
        <v>766</v>
      </c>
      <c r="AE193" s="1510"/>
      <c r="AF193" s="1510"/>
      <c r="AG193" s="1510"/>
      <c r="AH193" s="848">
        <f t="shared" si="45"/>
        <v>0</v>
      </c>
      <c r="AI193" s="1505"/>
      <c r="AJ193" s="1502"/>
      <c r="AK193" s="847"/>
      <c r="AL193" s="847"/>
      <c r="AM193" s="847"/>
      <c r="AN193" s="847"/>
      <c r="AO193" s="847"/>
      <c r="AP193" s="847"/>
      <c r="AQ193" s="847"/>
      <c r="AR193" s="847"/>
      <c r="AS193" s="847"/>
      <c r="AT193" s="847"/>
      <c r="AU193" s="847"/>
      <c r="AV193" s="847"/>
      <c r="AW193" s="847"/>
      <c r="AX193" s="847"/>
      <c r="AY193" s="847"/>
      <c r="AZ193" s="847"/>
      <c r="BA193" s="847"/>
      <c r="BB193" s="847"/>
      <c r="BC193" s="847"/>
      <c r="BD193" s="847"/>
      <c r="BE193" s="847"/>
      <c r="BF193" s="847"/>
      <c r="BG193" s="847"/>
      <c r="BH193" s="847"/>
      <c r="BI193" s="847"/>
      <c r="BJ193" s="847"/>
      <c r="BK193" s="847"/>
      <c r="BL193" s="847"/>
      <c r="BM193" s="847"/>
      <c r="BN193" s="1515"/>
      <c r="BO193" s="1515"/>
      <c r="BP193" s="1515"/>
      <c r="BQ193" s="1177"/>
      <c r="BR193" s="1177"/>
      <c r="BS193" s="966" t="s">
        <v>1806</v>
      </c>
      <c r="BT193" s="966"/>
      <c r="BU193" s="966"/>
      <c r="BV193" s="881"/>
      <c r="BW193" s="881"/>
    </row>
    <row r="194" spans="1:75" s="1327" customFormat="1" ht="21.75" customHeight="1">
      <c r="A194" s="1177"/>
      <c r="B194" s="880"/>
      <c r="C194" s="1177"/>
      <c r="D194" s="1177"/>
      <c r="E194" s="620">
        <v>22.5</v>
      </c>
      <c r="F194" s="3" t="str" cm="1">
        <f t="array" aca="1" ref="F194" ca="1">OFFSET(E194,-1,1)</f>
        <v>1</v>
      </c>
      <c r="G194" s="1177"/>
      <c r="H194" s="290"/>
      <c r="I194" s="290" t="s">
        <v>1207</v>
      </c>
      <c r="J194" s="1177"/>
      <c r="K194" s="290" t="s">
        <v>1207</v>
      </c>
      <c r="L194" s="882" t="s">
        <v>448</v>
      </c>
      <c r="M194" s="26"/>
      <c r="N194" s="1177"/>
      <c r="O194" s="1177"/>
      <c r="P194" s="1177"/>
      <c r="Q194" s="77" t="s">
        <v>2044</v>
      </c>
      <c r="R194" s="80" t="s">
        <v>2044</v>
      </c>
      <c r="S194" s="1177"/>
      <c r="T194" s="381" t="b" cm="1">
        <f t="array" ref="T194">T193</f>
        <v>1</v>
      </c>
      <c r="U194" s="1177"/>
      <c r="V194" s="1177"/>
      <c r="W194" s="1177"/>
      <c r="X194" s="1755"/>
      <c r="Y194" s="1177"/>
      <c r="Z194" s="1735"/>
      <c r="AA194" s="1177"/>
      <c r="AB194" s="215" t="s">
        <v>1208</v>
      </c>
      <c r="AC194" s="679" t="s">
        <v>1807</v>
      </c>
      <c r="AD194" s="216" t="s">
        <v>766</v>
      </c>
      <c r="AE194" s="1510"/>
      <c r="AF194" s="1510"/>
      <c r="AG194" s="1510"/>
      <c r="AH194" s="848">
        <f t="shared" si="45"/>
        <v>0</v>
      </c>
      <c r="AI194" s="1505"/>
      <c r="AJ194" s="1502"/>
      <c r="AK194" s="847"/>
      <c r="AL194" s="847"/>
      <c r="AM194" s="847"/>
      <c r="AN194" s="847"/>
      <c r="AO194" s="847"/>
      <c r="AP194" s="847"/>
      <c r="AQ194" s="847"/>
      <c r="AR194" s="847"/>
      <c r="AS194" s="847"/>
      <c r="AT194" s="847"/>
      <c r="AU194" s="847"/>
      <c r="AV194" s="847"/>
      <c r="AW194" s="847"/>
      <c r="AX194" s="847"/>
      <c r="AY194" s="847"/>
      <c r="AZ194" s="847"/>
      <c r="BA194" s="847"/>
      <c r="BB194" s="847"/>
      <c r="BC194" s="847"/>
      <c r="BD194" s="847"/>
      <c r="BE194" s="847"/>
      <c r="BF194" s="847"/>
      <c r="BG194" s="847"/>
      <c r="BH194" s="847"/>
      <c r="BI194" s="847"/>
      <c r="BJ194" s="847"/>
      <c r="BK194" s="847"/>
      <c r="BL194" s="847"/>
      <c r="BM194" s="847"/>
      <c r="BN194" s="1515"/>
      <c r="BO194" s="1515"/>
      <c r="BP194" s="1515"/>
      <c r="BQ194" s="1177"/>
      <c r="BR194" s="1177"/>
      <c r="BS194" s="964" t="s">
        <v>1619</v>
      </c>
      <c r="BT194" s="966"/>
      <c r="BU194" s="966"/>
      <c r="BV194" s="881"/>
      <c r="BW194" s="881"/>
    </row>
    <row r="195" spans="1:75" s="1327" customFormat="1" ht="14.25" customHeight="1">
      <c r="A195" s="1177"/>
      <c r="B195" s="880"/>
      <c r="C195" s="1177"/>
      <c r="D195" s="1177"/>
      <c r="E195" s="620">
        <v>15</v>
      </c>
      <c r="F195" s="3" t="str" cm="1">
        <f t="array" aca="1" ref="F195" ca="1">OFFSET(E195,-1,1)</f>
        <v>1</v>
      </c>
      <c r="G195" s="2" t="s">
        <v>1026</v>
      </c>
      <c r="H195" s="290"/>
      <c r="I195" s="290" t="s">
        <v>1808</v>
      </c>
      <c r="J195" s="1177"/>
      <c r="K195" s="290" t="s">
        <v>1808</v>
      </c>
      <c r="L195" s="882" t="s">
        <v>1620</v>
      </c>
      <c r="M195" s="26"/>
      <c r="N195" s="1177"/>
      <c r="O195" s="1177"/>
      <c r="P195" s="1177"/>
      <c r="Q195" s="77" t="s">
        <v>2044</v>
      </c>
      <c r="R195" s="80" t="s">
        <v>2044</v>
      </c>
      <c r="S195" s="1177"/>
      <c r="T195" s="381" t="b" cm="1">
        <f t="array" ref="T195">T194</f>
        <v>1</v>
      </c>
      <c r="U195" s="1177"/>
      <c r="V195" s="1177"/>
      <c r="W195" s="1177"/>
      <c r="X195" s="1755"/>
      <c r="Y195" s="1177"/>
      <c r="Z195" s="1735"/>
      <c r="AA195" s="1177"/>
      <c r="AB195" s="215" t="s">
        <v>1809</v>
      </c>
      <c r="AC195" s="682" t="s">
        <v>1621</v>
      </c>
      <c r="AD195" s="216" t="s">
        <v>766</v>
      </c>
      <c r="AE195" s="1510"/>
      <c r="AF195" s="1510"/>
      <c r="AG195" s="1510"/>
      <c r="AH195" s="848">
        <f t="shared" si="45"/>
        <v>0</v>
      </c>
      <c r="AI195" s="1505"/>
      <c r="AJ195" s="1502"/>
      <c r="AK195" s="847"/>
      <c r="AL195" s="847"/>
      <c r="AM195" s="847"/>
      <c r="AN195" s="847"/>
      <c r="AO195" s="847"/>
      <c r="AP195" s="847"/>
      <c r="AQ195" s="847"/>
      <c r="AR195" s="847"/>
      <c r="AS195" s="847"/>
      <c r="AT195" s="847"/>
      <c r="AU195" s="847"/>
      <c r="AV195" s="847"/>
      <c r="AW195" s="847"/>
      <c r="AX195" s="847"/>
      <c r="AY195" s="847"/>
      <c r="AZ195" s="847"/>
      <c r="BA195" s="847"/>
      <c r="BB195" s="847"/>
      <c r="BC195" s="847"/>
      <c r="BD195" s="847"/>
      <c r="BE195" s="847"/>
      <c r="BF195" s="847"/>
      <c r="BG195" s="847"/>
      <c r="BH195" s="847"/>
      <c r="BI195" s="847"/>
      <c r="BJ195" s="847"/>
      <c r="BK195" s="847"/>
      <c r="BL195" s="847"/>
      <c r="BM195" s="847"/>
      <c r="BN195" s="1515"/>
      <c r="BO195" s="1517" t="str">
        <f ca="1">IF(IFERROR(INDEX(ФОТ!$K$26:$L$77,MATCH($F195&amp;"3komm",ФОТ!$K$26:$K$77,0),2),"")=0,"",IFERROR(INDEX(ФОТ!$K$26:$L$77,MATCH($F195&amp;"3komm",ФОТ!$K$26:$K$77,0),2),""))</f>
        <v/>
      </c>
      <c r="BP195" s="1515"/>
      <c r="BQ195" s="1177"/>
      <c r="BR195" s="1177"/>
      <c r="BS195" s="964" t="s">
        <v>1622</v>
      </c>
      <c r="BT195" s="966"/>
      <c r="BU195" s="966"/>
      <c r="BV195" s="881"/>
      <c r="BW195" s="881"/>
    </row>
    <row r="196" spans="1:75" s="1327" customFormat="1" ht="21.75" customHeight="1">
      <c r="A196" s="1177"/>
      <c r="B196" s="880"/>
      <c r="C196" s="1177"/>
      <c r="D196" s="1177"/>
      <c r="E196" s="620">
        <v>22.5</v>
      </c>
      <c r="F196" s="3" t="str" cm="1">
        <f t="array" aca="1" ref="F196" ca="1">OFFSET(E196,-1,1)</f>
        <v>1</v>
      </c>
      <c r="G196" s="2" t="s">
        <v>1031</v>
      </c>
      <c r="H196" s="290"/>
      <c r="I196" s="290" t="s">
        <v>1810</v>
      </c>
      <c r="J196" s="1177"/>
      <c r="K196" s="290" t="s">
        <v>1810</v>
      </c>
      <c r="L196" s="882" t="s">
        <v>1623</v>
      </c>
      <c r="M196" s="26"/>
      <c r="N196" s="1177"/>
      <c r="O196" s="1177"/>
      <c r="P196" s="1177"/>
      <c r="Q196" s="77" t="s">
        <v>2044</v>
      </c>
      <c r="R196" s="80" t="s">
        <v>2044</v>
      </c>
      <c r="S196" s="1177"/>
      <c r="T196" s="381" t="b" cm="1">
        <f t="array" ref="T196">T195</f>
        <v>1</v>
      </c>
      <c r="U196" s="1177"/>
      <c r="V196" s="1177"/>
      <c r="W196" s="1177"/>
      <c r="X196" s="1755"/>
      <c r="Y196" s="1177"/>
      <c r="Z196" s="1735"/>
      <c r="AA196" s="1177"/>
      <c r="AB196" s="215" t="s">
        <v>1811</v>
      </c>
      <c r="AC196" s="682" t="s">
        <v>1812</v>
      </c>
      <c r="AD196" s="216" t="s">
        <v>766</v>
      </c>
      <c r="AE196" s="1510">
        <f ca="1">AE195*SUMIFS(INDEX(Сценарии!$AE$25:$BF$82,,MATCH(AE$8,Сценарии!$AE$8:$BF$8,0)),Сценарии!$F$25:$F$82,$F196,Сценарии!$G$25:$G$82,"СВФОТ")/100</f>
        <v>0</v>
      </c>
      <c r="AF196" s="1510">
        <f ca="1">AF195*SUMIFS(INDEX(Сценарии!$AE$25:$BF$82,,MATCH(AF$8,Сценарии!$AE$8:$BF$8,0)),Сценарии!$F$25:$F$82,$F196,Сценарии!$G$25:$G$82,"СВФОТ")/100</f>
        <v>0</v>
      </c>
      <c r="AG196" s="1510">
        <f ca="1">AG195*SUMIFS(INDEX(Сценарии!$AE$25:$BF$82,,MATCH(AG$8,Сценарии!$AE$8:$BF$8,0)),Сценарии!$F$25:$F$82,$F196,Сценарии!$G$25:$G$82,"СВФОТ")/100</f>
        <v>0</v>
      </c>
      <c r="AH196" s="848">
        <f t="shared" ca="1" si="45"/>
        <v>0</v>
      </c>
      <c r="AI196" s="1505">
        <f ca="1">AI195*SUMIFS(INDEX(Сценарии!$AE$25:$BF$82,,MATCH(AG$8,Сценарии!$AE$8:$BF$8,0)),Сценарии!$F$25:$F$82,$F196,Сценарии!$G$25:$G$82,"СВФОТ")/100</f>
        <v>0</v>
      </c>
      <c r="AJ196" s="1502"/>
      <c r="AK196" s="847"/>
      <c r="AL196" s="847"/>
      <c r="AM196" s="847"/>
      <c r="AN196" s="847"/>
      <c r="AO196" s="847"/>
      <c r="AP196" s="847"/>
      <c r="AQ196" s="847"/>
      <c r="AR196" s="847"/>
      <c r="AS196" s="847"/>
      <c r="AT196" s="847"/>
      <c r="AU196" s="847"/>
      <c r="AV196" s="847"/>
      <c r="AW196" s="847"/>
      <c r="AX196" s="847"/>
      <c r="AY196" s="847"/>
      <c r="AZ196" s="847"/>
      <c r="BA196" s="847"/>
      <c r="BB196" s="847"/>
      <c r="BC196" s="847"/>
      <c r="BD196" s="847"/>
      <c r="BE196" s="847"/>
      <c r="BF196" s="847"/>
      <c r="BG196" s="847"/>
      <c r="BH196" s="847"/>
      <c r="BI196" s="847"/>
      <c r="BJ196" s="847"/>
      <c r="BK196" s="847"/>
      <c r="BL196" s="847"/>
      <c r="BM196" s="847"/>
      <c r="BN196" s="1515"/>
      <c r="BO196" s="1517" t="str">
        <f ca="1">IF(IFERROR(INDEX(ФОТ!$K$26:$L$77,MATCH($F196&amp;"4komm",ФОТ!$K$26:$K$77,0),2),"")=0,"",IFERROR(INDEX(ФОТ!$K$26:$L$77,MATCH($F196&amp;"4komm",ФОТ!$K$26:$K$77,0),2),""))</f>
        <v/>
      </c>
      <c r="BP196" s="1515"/>
      <c r="BQ196" s="1177"/>
      <c r="BR196" s="1177"/>
      <c r="BS196" s="964" t="s">
        <v>1625</v>
      </c>
      <c r="BT196" s="966"/>
      <c r="BU196" s="966"/>
      <c r="BV196" s="881"/>
      <c r="BW196" s="881"/>
    </row>
    <row r="197" spans="1:75" s="1519" customFormat="1" ht="20.25" customHeight="1">
      <c r="A197" s="617"/>
      <c r="B197" s="352"/>
      <c r="C197" s="617"/>
      <c r="D197" s="617"/>
      <c r="E197" s="624">
        <v>21</v>
      </c>
      <c r="F197" s="3" t="str" cm="1">
        <f t="array" aca="1" ref="F197" ca="1">OFFSET(E197,-1,1)</f>
        <v>1</v>
      </c>
      <c r="G197" s="617"/>
      <c r="H197" s="290"/>
      <c r="I197" s="290" t="s">
        <v>438</v>
      </c>
      <c r="J197" s="617"/>
      <c r="K197" s="290" t="s">
        <v>438</v>
      </c>
      <c r="L197" s="887" t="s">
        <v>325</v>
      </c>
      <c r="M197" s="28"/>
      <c r="N197" s="617"/>
      <c r="O197" s="617"/>
      <c r="P197" s="617"/>
      <c r="Q197" s="77" t="s">
        <v>2044</v>
      </c>
      <c r="R197" s="80" t="s">
        <v>2044</v>
      </c>
      <c r="S197" s="617"/>
      <c r="T197" s="381" t="b" cm="1">
        <f t="array" ref="T197">T196</f>
        <v>1</v>
      </c>
      <c r="U197" s="617"/>
      <c r="V197" s="617"/>
      <c r="W197" s="617"/>
      <c r="X197" s="1755"/>
      <c r="Y197" s="617"/>
      <c r="Z197" s="1735"/>
      <c r="AA197" s="617"/>
      <c r="AB197" s="136" t="s">
        <v>830</v>
      </c>
      <c r="AC197" s="273" t="s">
        <v>1813</v>
      </c>
      <c r="AD197" s="129" t="s">
        <v>766</v>
      </c>
      <c r="AE197" s="684">
        <f ca="1">AE198+AE206+AE209+AE210+AE211+AE212+AE213</f>
        <v>0</v>
      </c>
      <c r="AF197" s="684">
        <f ca="1">AF198+AF206+AF209+AF210+AF211+AF212+AF213</f>
        <v>0</v>
      </c>
      <c r="AG197" s="684">
        <f ca="1">AG198+AG206+AG209+AG210+AG211+AG212+AG213</f>
        <v>0</v>
      </c>
      <c r="AH197" s="675">
        <f t="shared" ca="1" si="45"/>
        <v>0</v>
      </c>
      <c r="AI197" s="1507">
        <f ca="1">AI198+AI206+AI209+AI210+AI211+AI212+AI213</f>
        <v>0</v>
      </c>
      <c r="AJ197" s="1502"/>
      <c r="AK197" s="678"/>
      <c r="AL197" s="678"/>
      <c r="AM197" s="678"/>
      <c r="AN197" s="678"/>
      <c r="AO197" s="678"/>
      <c r="AP197" s="678"/>
      <c r="AQ197" s="678"/>
      <c r="AR197" s="678"/>
      <c r="AS197" s="678"/>
      <c r="AT197" s="678"/>
      <c r="AU197" s="678"/>
      <c r="AV197" s="678"/>
      <c r="AW197" s="678"/>
      <c r="AX197" s="678"/>
      <c r="AY197" s="678"/>
      <c r="AZ197" s="678"/>
      <c r="BA197" s="678"/>
      <c r="BB197" s="678"/>
      <c r="BC197" s="678"/>
      <c r="BD197" s="678"/>
      <c r="BE197" s="678"/>
      <c r="BF197" s="678"/>
      <c r="BG197" s="678"/>
      <c r="BH197" s="678"/>
      <c r="BI197" s="678"/>
      <c r="BJ197" s="678"/>
      <c r="BK197" s="678"/>
      <c r="BL197" s="678"/>
      <c r="BM197" s="678"/>
      <c r="BN197" s="1516"/>
      <c r="BO197" s="1516"/>
      <c r="BP197" s="1516"/>
      <c r="BQ197" s="617"/>
      <c r="BR197" s="617"/>
      <c r="BS197" s="965" t="s">
        <v>1627</v>
      </c>
      <c r="BT197" s="972"/>
      <c r="BU197" s="972"/>
      <c r="BV197" s="624"/>
      <c r="BW197" s="624"/>
    </row>
    <row r="198" spans="1:75" s="1327" customFormat="1" ht="21.75" customHeight="1">
      <c r="A198" s="1177"/>
      <c r="B198" s="880"/>
      <c r="C198" s="1177"/>
      <c r="D198" s="1177"/>
      <c r="E198" s="620">
        <v>22.5</v>
      </c>
      <c r="F198" s="3" t="str" cm="1">
        <f t="array" aca="1" ref="F198" ca="1">OFFSET(E198,-1,1)</f>
        <v>1</v>
      </c>
      <c r="G198" s="77" t="s">
        <v>1052</v>
      </c>
      <c r="H198" s="290"/>
      <c r="I198" s="290" t="s">
        <v>1213</v>
      </c>
      <c r="J198" s="1177"/>
      <c r="K198" s="290" t="s">
        <v>1213</v>
      </c>
      <c r="L198" s="882" t="s">
        <v>851</v>
      </c>
      <c r="M198" s="26"/>
      <c r="N198" s="1177"/>
      <c r="O198" s="1177"/>
      <c r="P198" s="1177"/>
      <c r="Q198" s="77" t="s">
        <v>2044</v>
      </c>
      <c r="R198" s="80" t="s">
        <v>2044</v>
      </c>
      <c r="S198" s="1177"/>
      <c r="T198" s="381" t="b" cm="1">
        <f t="array" ref="T198">T197</f>
        <v>1</v>
      </c>
      <c r="U198" s="1177"/>
      <c r="V198" s="1177"/>
      <c r="W198" s="1177"/>
      <c r="X198" s="1755"/>
      <c r="Y198" s="1177"/>
      <c r="Z198" s="1735"/>
      <c r="AA198" s="1177"/>
      <c r="AB198" s="215" t="s">
        <v>941</v>
      </c>
      <c r="AC198" s="679" t="s">
        <v>1814</v>
      </c>
      <c r="AD198" s="216" t="s">
        <v>766</v>
      </c>
      <c r="AE198" s="849">
        <f>SUM(AE199:AE205)</f>
        <v>0</v>
      </c>
      <c r="AF198" s="849">
        <f>SUM(AF199:AF205)</f>
        <v>0</v>
      </c>
      <c r="AG198" s="849">
        <f>SUM(AG199:AG205)</f>
        <v>0</v>
      </c>
      <c r="AH198" s="848">
        <f t="shared" si="45"/>
        <v>0</v>
      </c>
      <c r="AI198" s="1506">
        <f>SUM(AI199:AI205)</f>
        <v>0</v>
      </c>
      <c r="AJ198" s="1502"/>
      <c r="AK198" s="847"/>
      <c r="AL198" s="847"/>
      <c r="AM198" s="847"/>
      <c r="AN198" s="847"/>
      <c r="AO198" s="847"/>
      <c r="AP198" s="847"/>
      <c r="AQ198" s="847"/>
      <c r="AR198" s="847"/>
      <c r="AS198" s="847"/>
      <c r="AT198" s="847"/>
      <c r="AU198" s="847"/>
      <c r="AV198" s="847"/>
      <c r="AW198" s="847"/>
      <c r="AX198" s="847"/>
      <c r="AY198" s="847"/>
      <c r="AZ198" s="847"/>
      <c r="BA198" s="847"/>
      <c r="BB198" s="847"/>
      <c r="BC198" s="847"/>
      <c r="BD198" s="847"/>
      <c r="BE198" s="847"/>
      <c r="BF198" s="847"/>
      <c r="BG198" s="847"/>
      <c r="BH198" s="847"/>
      <c r="BI198" s="847"/>
      <c r="BJ198" s="847"/>
      <c r="BK198" s="847"/>
      <c r="BL198" s="847"/>
      <c r="BM198" s="847"/>
      <c r="BN198" s="1515"/>
      <c r="BO198" s="1517" t="str">
        <f ca="1">IF(IFERROR(INDEX(Административные!$K$26:$L$65,MATCH($F198&amp;"17komm",Административные!$K$26:$K$65,0),2),"")=0,"",IFERROR(INDEX(Административные!$K$26:$L$65,MATCH($F198&amp;"17komm",Административные!$K$26:$K$65,0),2),""))</f>
        <v/>
      </c>
      <c r="BP198" s="1515"/>
      <c r="BQ198" s="1177"/>
      <c r="BR198" s="1177"/>
      <c r="BS198" s="964" t="s">
        <v>1054</v>
      </c>
      <c r="BT198" s="966"/>
      <c r="BU198" s="966"/>
      <c r="BV198" s="881"/>
      <c r="BW198" s="881"/>
    </row>
    <row r="199" spans="1:75" s="1327" customFormat="1" ht="14.25" customHeight="1">
      <c r="A199" s="1177"/>
      <c r="B199" s="880"/>
      <c r="C199" s="1177"/>
      <c r="D199" s="1177"/>
      <c r="E199" s="620">
        <v>15</v>
      </c>
      <c r="F199" s="3" t="str" cm="1">
        <f t="array" aca="1" ref="F199" ca="1">OFFSET(E199,-1,1)</f>
        <v>1</v>
      </c>
      <c r="G199" s="77" t="s">
        <v>1055</v>
      </c>
      <c r="H199" s="290"/>
      <c r="I199" s="290" t="s">
        <v>1815</v>
      </c>
      <c r="J199" s="1177"/>
      <c r="K199" s="290" t="s">
        <v>1815</v>
      </c>
      <c r="L199" s="882"/>
      <c r="M199" s="26"/>
      <c r="N199" s="1177"/>
      <c r="O199" s="1177"/>
      <c r="P199" s="1177"/>
      <c r="Q199" s="77" t="s">
        <v>2044</v>
      </c>
      <c r="R199" s="80" t="s">
        <v>2044</v>
      </c>
      <c r="S199" s="1177"/>
      <c r="T199" s="381" t="b" cm="1">
        <f t="array" ref="T199">T198</f>
        <v>1</v>
      </c>
      <c r="U199" s="1177"/>
      <c r="V199" s="1177"/>
      <c r="W199" s="1177"/>
      <c r="X199" s="1755"/>
      <c r="Y199" s="1177"/>
      <c r="Z199" s="1735"/>
      <c r="AA199" s="1177"/>
      <c r="AB199" s="215" t="s">
        <v>1816</v>
      </c>
      <c r="AC199" s="682" t="s">
        <v>1056</v>
      </c>
      <c r="AD199" s="216" t="s">
        <v>766</v>
      </c>
      <c r="AE199" s="1510"/>
      <c r="AF199" s="1510"/>
      <c r="AG199" s="1510"/>
      <c r="AH199" s="848">
        <f t="shared" si="45"/>
        <v>0</v>
      </c>
      <c r="AI199" s="1505"/>
      <c r="AJ199" s="1502"/>
      <c r="AK199" s="847"/>
      <c r="AL199" s="847"/>
      <c r="AM199" s="847"/>
      <c r="AN199" s="847"/>
      <c r="AO199" s="847"/>
      <c r="AP199" s="847"/>
      <c r="AQ199" s="847"/>
      <c r="AR199" s="847"/>
      <c r="AS199" s="847"/>
      <c r="AT199" s="847"/>
      <c r="AU199" s="847"/>
      <c r="AV199" s="847"/>
      <c r="AW199" s="847"/>
      <c r="AX199" s="847"/>
      <c r="AY199" s="847"/>
      <c r="AZ199" s="847"/>
      <c r="BA199" s="847"/>
      <c r="BB199" s="847"/>
      <c r="BC199" s="847"/>
      <c r="BD199" s="847"/>
      <c r="BE199" s="847"/>
      <c r="BF199" s="847"/>
      <c r="BG199" s="847"/>
      <c r="BH199" s="847"/>
      <c r="BI199" s="847"/>
      <c r="BJ199" s="847"/>
      <c r="BK199" s="847"/>
      <c r="BL199" s="847"/>
      <c r="BM199" s="847"/>
      <c r="BN199" s="1515"/>
      <c r="BO199" s="1517" t="str">
        <f ca="1">IF(IFERROR(INDEX(Административные!$K$26:$L$65,MATCH($F199&amp;"18komm",Административные!$K$26:$K$65,0),2),"")=0,"",IFERROR(INDEX(Административные!$K$26:$L$65,MATCH($F199&amp;"18komm",Административные!$K$26:$K$65,0),2),""))</f>
        <v/>
      </c>
      <c r="BP199" s="1515"/>
      <c r="BQ199" s="1177"/>
      <c r="BR199" s="1177"/>
      <c r="BS199" s="966" t="s">
        <v>1057</v>
      </c>
      <c r="BT199" s="966"/>
      <c r="BU199" s="966"/>
      <c r="BV199" s="881"/>
      <c r="BW199" s="881"/>
    </row>
    <row r="200" spans="1:75" s="1327" customFormat="1" ht="14.25" customHeight="1">
      <c r="A200" s="1177"/>
      <c r="B200" s="880"/>
      <c r="C200" s="1177"/>
      <c r="D200" s="1177"/>
      <c r="E200" s="620">
        <v>15</v>
      </c>
      <c r="F200" s="3" t="str" cm="1">
        <f t="array" aca="1" ref="F200" ca="1">OFFSET(E200,-1,1)</f>
        <v>1</v>
      </c>
      <c r="G200" s="77" t="s">
        <v>1058</v>
      </c>
      <c r="H200" s="290"/>
      <c r="I200" s="290" t="s">
        <v>1817</v>
      </c>
      <c r="J200" s="1177"/>
      <c r="K200" s="290" t="s">
        <v>1817</v>
      </c>
      <c r="L200" s="882"/>
      <c r="M200" s="26"/>
      <c r="N200" s="1177"/>
      <c r="O200" s="1177"/>
      <c r="P200" s="1177"/>
      <c r="Q200" s="77" t="s">
        <v>2044</v>
      </c>
      <c r="R200" s="80" t="s">
        <v>2044</v>
      </c>
      <c r="S200" s="1177"/>
      <c r="T200" s="381" t="b" cm="1">
        <f t="array" ref="T200">T199</f>
        <v>1</v>
      </c>
      <c r="U200" s="1177"/>
      <c r="V200" s="1177"/>
      <c r="W200" s="1177"/>
      <c r="X200" s="1755"/>
      <c r="Y200" s="1177"/>
      <c r="Z200" s="1735"/>
      <c r="AA200" s="1177"/>
      <c r="AB200" s="215" t="s">
        <v>1818</v>
      </c>
      <c r="AC200" s="682" t="s">
        <v>1059</v>
      </c>
      <c r="AD200" s="216" t="s">
        <v>766</v>
      </c>
      <c r="AE200" s="1510"/>
      <c r="AF200" s="1510"/>
      <c r="AG200" s="1510"/>
      <c r="AH200" s="848">
        <f t="shared" si="45"/>
        <v>0</v>
      </c>
      <c r="AI200" s="1505"/>
      <c r="AJ200" s="1502"/>
      <c r="AK200" s="847"/>
      <c r="AL200" s="847"/>
      <c r="AM200" s="847"/>
      <c r="AN200" s="847"/>
      <c r="AO200" s="847"/>
      <c r="AP200" s="847"/>
      <c r="AQ200" s="847"/>
      <c r="AR200" s="847"/>
      <c r="AS200" s="847"/>
      <c r="AT200" s="847"/>
      <c r="AU200" s="847"/>
      <c r="AV200" s="847"/>
      <c r="AW200" s="847"/>
      <c r="AX200" s="847"/>
      <c r="AY200" s="847"/>
      <c r="AZ200" s="847"/>
      <c r="BA200" s="847"/>
      <c r="BB200" s="847"/>
      <c r="BC200" s="847"/>
      <c r="BD200" s="847"/>
      <c r="BE200" s="847"/>
      <c r="BF200" s="847"/>
      <c r="BG200" s="847"/>
      <c r="BH200" s="847"/>
      <c r="BI200" s="847"/>
      <c r="BJ200" s="847"/>
      <c r="BK200" s="847"/>
      <c r="BL200" s="847"/>
      <c r="BM200" s="847"/>
      <c r="BN200" s="1515"/>
      <c r="BO200" s="1517" t="str">
        <f ca="1">IF(IFERROR(INDEX(Административные!$K$26:$L$65,MATCH($F200&amp;"11komm",Административные!$K$26:$K$65,0),2),"")=0,"",IFERROR(INDEX(Административные!$K$26:$L$65,MATCH($F200&amp;"11komm",Административные!$K$26:$K$65,0),2),""))</f>
        <v/>
      </c>
      <c r="BP200" s="1515"/>
      <c r="BQ200" s="1177"/>
      <c r="BR200" s="1177"/>
      <c r="BS200" s="966" t="s">
        <v>1060</v>
      </c>
      <c r="BT200" s="966"/>
      <c r="BU200" s="966"/>
      <c r="BV200" s="881"/>
      <c r="BW200" s="881"/>
    </row>
    <row r="201" spans="1:75" s="1327" customFormat="1" ht="14.25" customHeight="1">
      <c r="A201" s="1177"/>
      <c r="B201" s="880"/>
      <c r="C201" s="1177"/>
      <c r="D201" s="1177"/>
      <c r="E201" s="620">
        <v>15</v>
      </c>
      <c r="F201" s="3" t="str" cm="1">
        <f t="array" aca="1" ref="F201" ca="1">OFFSET(E201,-1,1)</f>
        <v>1</v>
      </c>
      <c r="G201" s="77" t="s">
        <v>1061</v>
      </c>
      <c r="H201" s="290"/>
      <c r="I201" s="290" t="s">
        <v>1819</v>
      </c>
      <c r="J201" s="1177"/>
      <c r="K201" s="290" t="s">
        <v>1819</v>
      </c>
      <c r="L201" s="882"/>
      <c r="M201" s="26"/>
      <c r="N201" s="1177"/>
      <c r="O201" s="1177"/>
      <c r="P201" s="1177"/>
      <c r="Q201" s="77" t="s">
        <v>2044</v>
      </c>
      <c r="R201" s="80" t="s">
        <v>2044</v>
      </c>
      <c r="S201" s="1177"/>
      <c r="T201" s="381" t="b" cm="1">
        <f t="array" ref="T201">T200</f>
        <v>1</v>
      </c>
      <c r="U201" s="1177"/>
      <c r="V201" s="1177"/>
      <c r="W201" s="1177"/>
      <c r="X201" s="1755"/>
      <c r="Y201" s="1177"/>
      <c r="Z201" s="1735"/>
      <c r="AA201" s="1177"/>
      <c r="AB201" s="215" t="s">
        <v>1820</v>
      </c>
      <c r="AC201" s="682" t="s">
        <v>1062</v>
      </c>
      <c r="AD201" s="216" t="s">
        <v>766</v>
      </c>
      <c r="AE201" s="1510"/>
      <c r="AF201" s="1510"/>
      <c r="AG201" s="1510"/>
      <c r="AH201" s="848">
        <f t="shared" si="45"/>
        <v>0</v>
      </c>
      <c r="AI201" s="1505"/>
      <c r="AJ201" s="1502"/>
      <c r="AK201" s="847"/>
      <c r="AL201" s="847"/>
      <c r="AM201" s="847"/>
      <c r="AN201" s="847"/>
      <c r="AO201" s="847"/>
      <c r="AP201" s="847"/>
      <c r="AQ201" s="847"/>
      <c r="AR201" s="847"/>
      <c r="AS201" s="847"/>
      <c r="AT201" s="847"/>
      <c r="AU201" s="847"/>
      <c r="AV201" s="847"/>
      <c r="AW201" s="847"/>
      <c r="AX201" s="847"/>
      <c r="AY201" s="847"/>
      <c r="AZ201" s="847"/>
      <c r="BA201" s="847"/>
      <c r="BB201" s="847"/>
      <c r="BC201" s="847"/>
      <c r="BD201" s="847"/>
      <c r="BE201" s="847"/>
      <c r="BF201" s="847"/>
      <c r="BG201" s="847"/>
      <c r="BH201" s="847"/>
      <c r="BI201" s="847"/>
      <c r="BJ201" s="847"/>
      <c r="BK201" s="847"/>
      <c r="BL201" s="847"/>
      <c r="BM201" s="847"/>
      <c r="BN201" s="1515"/>
      <c r="BO201" s="1517" t="str">
        <f ca="1">IF(IFERROR(INDEX(Административные!$K$26:$L$65,MATCH($F201&amp;"12komm",Административные!$K$26:$K$65,0),2),"")=0,"",IFERROR(INDEX(Административные!$K$26:$L$65,MATCH($F201&amp;"12komm",Административные!$K$26:$K$65,0),2),""))</f>
        <v/>
      </c>
      <c r="BP201" s="1515"/>
      <c r="BQ201" s="1177"/>
      <c r="BR201" s="1177"/>
      <c r="BS201" s="966" t="s">
        <v>1063</v>
      </c>
      <c r="BT201" s="966"/>
      <c r="BU201" s="966"/>
      <c r="BV201" s="881"/>
      <c r="BW201" s="881"/>
    </row>
    <row r="202" spans="1:75" s="1327" customFormat="1" ht="14.25" customHeight="1">
      <c r="A202" s="1177"/>
      <c r="B202" s="880"/>
      <c r="C202" s="1177"/>
      <c r="D202" s="1177"/>
      <c r="E202" s="620">
        <v>15</v>
      </c>
      <c r="F202" s="3" t="str" cm="1">
        <f t="array" aca="1" ref="F202" ca="1">OFFSET(E202,-1,1)</f>
        <v>1</v>
      </c>
      <c r="G202" s="77" t="s">
        <v>1064</v>
      </c>
      <c r="H202" s="290"/>
      <c r="I202" s="290" t="s">
        <v>1821</v>
      </c>
      <c r="J202" s="1177"/>
      <c r="K202" s="290" t="s">
        <v>1821</v>
      </c>
      <c r="L202" s="882"/>
      <c r="M202" s="26"/>
      <c r="N202" s="1177"/>
      <c r="O202" s="1177"/>
      <c r="P202" s="1177"/>
      <c r="Q202" s="77" t="s">
        <v>2044</v>
      </c>
      <c r="R202" s="80" t="s">
        <v>2044</v>
      </c>
      <c r="S202" s="1177"/>
      <c r="T202" s="381" t="b" cm="1">
        <f t="array" ref="T202">T201</f>
        <v>1</v>
      </c>
      <c r="U202" s="1177"/>
      <c r="V202" s="1177"/>
      <c r="W202" s="1177"/>
      <c r="X202" s="1755"/>
      <c r="Y202" s="1177"/>
      <c r="Z202" s="1735"/>
      <c r="AA202" s="1177"/>
      <c r="AB202" s="215" t="s">
        <v>1822</v>
      </c>
      <c r="AC202" s="682" t="s">
        <v>1065</v>
      </c>
      <c r="AD202" s="216" t="s">
        <v>766</v>
      </c>
      <c r="AE202" s="1510"/>
      <c r="AF202" s="1510"/>
      <c r="AG202" s="1510"/>
      <c r="AH202" s="848">
        <f t="shared" si="45"/>
        <v>0</v>
      </c>
      <c r="AI202" s="1505"/>
      <c r="AJ202" s="1502"/>
      <c r="AK202" s="847"/>
      <c r="AL202" s="847"/>
      <c r="AM202" s="847"/>
      <c r="AN202" s="847"/>
      <c r="AO202" s="847"/>
      <c r="AP202" s="847"/>
      <c r="AQ202" s="847"/>
      <c r="AR202" s="847"/>
      <c r="AS202" s="847"/>
      <c r="AT202" s="847"/>
      <c r="AU202" s="847"/>
      <c r="AV202" s="847"/>
      <c r="AW202" s="847"/>
      <c r="AX202" s="847"/>
      <c r="AY202" s="847"/>
      <c r="AZ202" s="847"/>
      <c r="BA202" s="847"/>
      <c r="BB202" s="847"/>
      <c r="BC202" s="847"/>
      <c r="BD202" s="847"/>
      <c r="BE202" s="847"/>
      <c r="BF202" s="847"/>
      <c r="BG202" s="847"/>
      <c r="BH202" s="847"/>
      <c r="BI202" s="847"/>
      <c r="BJ202" s="847"/>
      <c r="BK202" s="847"/>
      <c r="BL202" s="847"/>
      <c r="BM202" s="847"/>
      <c r="BN202" s="1515"/>
      <c r="BO202" s="1517" t="str">
        <f ca="1">IF(IFERROR(INDEX(Административные!$K$26:$L$65,MATCH($F202&amp;"13komm",Административные!$K$26:$K$65,0),2),"")=0,"",IFERROR(INDEX(Административные!$K$26:$L$65,MATCH($F202&amp;"13komm",Административные!$K$26:$K$65,0),2),""))</f>
        <v/>
      </c>
      <c r="BP202" s="1515"/>
      <c r="BQ202" s="1177"/>
      <c r="BR202" s="1177"/>
      <c r="BS202" s="966" t="s">
        <v>1066</v>
      </c>
      <c r="BT202" s="966"/>
      <c r="BU202" s="966"/>
      <c r="BV202" s="881"/>
      <c r="BW202" s="881"/>
    </row>
    <row r="203" spans="1:75" s="1327" customFormat="1" ht="14.25" customHeight="1">
      <c r="A203" s="1177"/>
      <c r="B203" s="880"/>
      <c r="C203" s="1177"/>
      <c r="D203" s="1177"/>
      <c r="E203" s="620">
        <v>15</v>
      </c>
      <c r="F203" s="3" t="str" cm="1">
        <f t="array" aca="1" ref="F203" ca="1">OFFSET(E203,-1,1)</f>
        <v>1</v>
      </c>
      <c r="G203" s="77" t="s">
        <v>1067</v>
      </c>
      <c r="H203" s="290"/>
      <c r="I203" s="290" t="s">
        <v>1823</v>
      </c>
      <c r="J203" s="1177"/>
      <c r="K203" s="290" t="s">
        <v>1823</v>
      </c>
      <c r="L203" s="882"/>
      <c r="M203" s="26"/>
      <c r="N203" s="1177"/>
      <c r="O203" s="1177"/>
      <c r="P203" s="1177"/>
      <c r="Q203" s="77" t="s">
        <v>2044</v>
      </c>
      <c r="R203" s="80" t="s">
        <v>2044</v>
      </c>
      <c r="S203" s="1177"/>
      <c r="T203" s="381" t="b" cm="1">
        <f t="array" ref="T203">T202</f>
        <v>1</v>
      </c>
      <c r="U203" s="1177"/>
      <c r="V203" s="1177"/>
      <c r="W203" s="1177"/>
      <c r="X203" s="1755"/>
      <c r="Y203" s="1177"/>
      <c r="Z203" s="1735"/>
      <c r="AA203" s="1177"/>
      <c r="AB203" s="215" t="s">
        <v>1824</v>
      </c>
      <c r="AC203" s="682" t="s">
        <v>1068</v>
      </c>
      <c r="AD203" s="216" t="s">
        <v>766</v>
      </c>
      <c r="AE203" s="1510"/>
      <c r="AF203" s="1510"/>
      <c r="AG203" s="1510"/>
      <c r="AH203" s="848">
        <f t="shared" si="45"/>
        <v>0</v>
      </c>
      <c r="AI203" s="1505"/>
      <c r="AJ203" s="1502"/>
      <c r="AK203" s="847"/>
      <c r="AL203" s="847"/>
      <c r="AM203" s="847"/>
      <c r="AN203" s="847"/>
      <c r="AO203" s="847"/>
      <c r="AP203" s="847"/>
      <c r="AQ203" s="847"/>
      <c r="AR203" s="847"/>
      <c r="AS203" s="847"/>
      <c r="AT203" s="847"/>
      <c r="AU203" s="847"/>
      <c r="AV203" s="847"/>
      <c r="AW203" s="847"/>
      <c r="AX203" s="847"/>
      <c r="AY203" s="847"/>
      <c r="AZ203" s="847"/>
      <c r="BA203" s="847"/>
      <c r="BB203" s="847"/>
      <c r="BC203" s="847"/>
      <c r="BD203" s="847"/>
      <c r="BE203" s="847"/>
      <c r="BF203" s="847"/>
      <c r="BG203" s="847"/>
      <c r="BH203" s="847"/>
      <c r="BI203" s="847"/>
      <c r="BJ203" s="847"/>
      <c r="BK203" s="847"/>
      <c r="BL203" s="847"/>
      <c r="BM203" s="847"/>
      <c r="BN203" s="1515"/>
      <c r="BO203" s="1517" t="str">
        <f ca="1">IF(IFERROR(INDEX(Административные!$K$26:$L$65,MATCH($F203&amp;"14komm",Административные!$K$26:$K$65,0),2),"")=0,"",IFERROR(INDEX(Административные!$K$26:$L$65,MATCH($F203&amp;"14komm",Административные!$K$26:$K$65,0),2),""))</f>
        <v/>
      </c>
      <c r="BP203" s="1515"/>
      <c r="BQ203" s="1177"/>
      <c r="BR203" s="1177"/>
      <c r="BS203" s="966" t="s">
        <v>1825</v>
      </c>
      <c r="BT203" s="966"/>
      <c r="BU203" s="966"/>
      <c r="BV203" s="881"/>
      <c r="BW203" s="881"/>
    </row>
    <row r="204" spans="1:75" s="1327" customFormat="1" ht="14.25" customHeight="1">
      <c r="A204" s="1177"/>
      <c r="B204" s="880"/>
      <c r="C204" s="1177"/>
      <c r="D204" s="1177"/>
      <c r="E204" s="620">
        <v>15</v>
      </c>
      <c r="F204" s="3" t="str" cm="1">
        <f t="array" aca="1" ref="F204" ca="1">OFFSET(E204,-1,1)</f>
        <v>1</v>
      </c>
      <c r="G204" s="77" t="s">
        <v>1070</v>
      </c>
      <c r="H204" s="290"/>
      <c r="I204" s="290" t="s">
        <v>1826</v>
      </c>
      <c r="J204" s="1177"/>
      <c r="K204" s="290" t="s">
        <v>1826</v>
      </c>
      <c r="L204" s="882"/>
      <c r="M204" s="26"/>
      <c r="N204" s="1177"/>
      <c r="O204" s="1177"/>
      <c r="P204" s="1177"/>
      <c r="Q204" s="77" t="s">
        <v>2044</v>
      </c>
      <c r="R204" s="80" t="s">
        <v>2044</v>
      </c>
      <c r="S204" s="1177"/>
      <c r="T204" s="381" t="b" cm="1">
        <f t="array" ref="T204">T203</f>
        <v>1</v>
      </c>
      <c r="U204" s="1177"/>
      <c r="V204" s="1177"/>
      <c r="W204" s="1177"/>
      <c r="X204" s="1755"/>
      <c r="Y204" s="1177"/>
      <c r="Z204" s="1735"/>
      <c r="AA204" s="1177"/>
      <c r="AB204" s="215" t="s">
        <v>1827</v>
      </c>
      <c r="AC204" s="682" t="s">
        <v>1073</v>
      </c>
      <c r="AD204" s="216" t="s">
        <v>766</v>
      </c>
      <c r="AE204" s="1510"/>
      <c r="AF204" s="1510"/>
      <c r="AG204" s="1510"/>
      <c r="AH204" s="848">
        <f t="shared" ref="AH204:AH235" si="49">AG204-AF204</f>
        <v>0</v>
      </c>
      <c r="AI204" s="1505"/>
      <c r="AJ204" s="1502"/>
      <c r="AK204" s="847"/>
      <c r="AL204" s="847"/>
      <c r="AM204" s="847"/>
      <c r="AN204" s="847"/>
      <c r="AO204" s="847"/>
      <c r="AP204" s="847"/>
      <c r="AQ204" s="847"/>
      <c r="AR204" s="847"/>
      <c r="AS204" s="847"/>
      <c r="AT204" s="847"/>
      <c r="AU204" s="847"/>
      <c r="AV204" s="847"/>
      <c r="AW204" s="847"/>
      <c r="AX204" s="847"/>
      <c r="AY204" s="847"/>
      <c r="AZ204" s="847"/>
      <c r="BA204" s="847"/>
      <c r="BB204" s="847"/>
      <c r="BC204" s="847"/>
      <c r="BD204" s="847"/>
      <c r="BE204" s="847"/>
      <c r="BF204" s="847"/>
      <c r="BG204" s="847"/>
      <c r="BH204" s="847"/>
      <c r="BI204" s="847"/>
      <c r="BJ204" s="847"/>
      <c r="BK204" s="847"/>
      <c r="BL204" s="847"/>
      <c r="BM204" s="847"/>
      <c r="BN204" s="1515"/>
      <c r="BO204" s="1517" t="str">
        <f ca="1">IF(IFERROR(INDEX(Административные!$K$26:$L$65,MATCH($F204&amp;"15komm",Административные!$K$26:$K$65,0),2),"")=0,"",IFERROR(INDEX(Административные!$K$26:$L$65,MATCH($F204&amp;"15komm",Административные!$K$26:$K$65,0),2),""))</f>
        <v/>
      </c>
      <c r="BP204" s="1515"/>
      <c r="BQ204" s="1177"/>
      <c r="BR204" s="1177"/>
      <c r="BS204" s="966" t="s">
        <v>1074</v>
      </c>
      <c r="BT204" s="966"/>
      <c r="BU204" s="966"/>
      <c r="BV204" s="881"/>
      <c r="BW204" s="881"/>
    </row>
    <row r="205" spans="1:75" s="1327" customFormat="1" ht="14.25" customHeight="1">
      <c r="A205" s="1177"/>
      <c r="B205" s="880"/>
      <c r="C205" s="1177"/>
      <c r="D205" s="1177"/>
      <c r="E205" s="620">
        <v>15</v>
      </c>
      <c r="F205" s="3" t="str" cm="1">
        <f t="array" aca="1" ref="F205" ca="1">OFFSET(E205,-1,1)</f>
        <v>1</v>
      </c>
      <c r="G205" s="77" t="s">
        <v>1075</v>
      </c>
      <c r="H205" s="290"/>
      <c r="I205" s="290" t="s">
        <v>1828</v>
      </c>
      <c r="J205" s="1177"/>
      <c r="K205" s="290" t="s">
        <v>1828</v>
      </c>
      <c r="L205" s="882"/>
      <c r="M205" s="26"/>
      <c r="N205" s="1177"/>
      <c r="O205" s="1177"/>
      <c r="P205" s="1177"/>
      <c r="Q205" s="77" t="s">
        <v>2044</v>
      </c>
      <c r="R205" s="80" t="s">
        <v>2044</v>
      </c>
      <c r="S205" s="1177"/>
      <c r="T205" s="381" t="b" cm="1">
        <f t="array" ref="T205">T204</f>
        <v>1</v>
      </c>
      <c r="U205" s="1177"/>
      <c r="V205" s="1177"/>
      <c r="W205" s="1177"/>
      <c r="X205" s="1755"/>
      <c r="Y205" s="1177"/>
      <c r="Z205" s="1735"/>
      <c r="AA205" s="1177"/>
      <c r="AB205" s="215" t="s">
        <v>1829</v>
      </c>
      <c r="AC205" s="682" t="s">
        <v>1078</v>
      </c>
      <c r="AD205" s="216" t="s">
        <v>766</v>
      </c>
      <c r="AE205" s="1510"/>
      <c r="AF205" s="1510"/>
      <c r="AG205" s="1510"/>
      <c r="AH205" s="848">
        <f t="shared" si="49"/>
        <v>0</v>
      </c>
      <c r="AI205" s="1505"/>
      <c r="AJ205" s="1502"/>
      <c r="AK205" s="847"/>
      <c r="AL205" s="847"/>
      <c r="AM205" s="847"/>
      <c r="AN205" s="847"/>
      <c r="AO205" s="847"/>
      <c r="AP205" s="847"/>
      <c r="AQ205" s="847"/>
      <c r="AR205" s="847"/>
      <c r="AS205" s="847"/>
      <c r="AT205" s="847"/>
      <c r="AU205" s="847"/>
      <c r="AV205" s="847"/>
      <c r="AW205" s="847"/>
      <c r="AX205" s="847"/>
      <c r="AY205" s="847"/>
      <c r="AZ205" s="847"/>
      <c r="BA205" s="847"/>
      <c r="BB205" s="847"/>
      <c r="BC205" s="847"/>
      <c r="BD205" s="847"/>
      <c r="BE205" s="847"/>
      <c r="BF205" s="847"/>
      <c r="BG205" s="847"/>
      <c r="BH205" s="847"/>
      <c r="BI205" s="847"/>
      <c r="BJ205" s="847"/>
      <c r="BK205" s="847"/>
      <c r="BL205" s="847"/>
      <c r="BM205" s="847"/>
      <c r="BN205" s="1515"/>
      <c r="BO205" s="1517" t="str">
        <f ca="1">IF(IFERROR(INDEX(Административные!$K$26:$L$65,MATCH($F205&amp;"16komm",Административные!$K$26:$K$65,0),2),"")=0,"",IFERROR(INDEX(Административные!$K$26:$L$65,MATCH($F205&amp;"16komm",Административные!$K$26:$K$65,0),2),""))</f>
        <v/>
      </c>
      <c r="BP205" s="1515"/>
      <c r="BQ205" s="1177"/>
      <c r="BR205" s="1177"/>
      <c r="BS205" s="966" t="s">
        <v>1830</v>
      </c>
      <c r="BT205" s="966"/>
      <c r="BU205" s="966"/>
      <c r="BV205" s="881"/>
      <c r="BW205" s="881"/>
    </row>
    <row r="206" spans="1:75" s="1327" customFormat="1" ht="21.75" customHeight="1">
      <c r="A206" s="1177"/>
      <c r="B206" s="880"/>
      <c r="C206" s="1177"/>
      <c r="D206" s="1177"/>
      <c r="E206" s="620">
        <v>22.5</v>
      </c>
      <c r="F206" s="3" t="str" cm="1">
        <f t="array" aca="1" ref="F206" ca="1">OFFSET(E206,-1,1)</f>
        <v>1</v>
      </c>
      <c r="G206" s="1177"/>
      <c r="H206" s="290"/>
      <c r="I206" s="290" t="s">
        <v>1214</v>
      </c>
      <c r="J206" s="1177"/>
      <c r="K206" s="290" t="s">
        <v>1214</v>
      </c>
      <c r="L206" s="882" t="s">
        <v>853</v>
      </c>
      <c r="M206" s="26"/>
      <c r="N206" s="1177"/>
      <c r="O206" s="1177"/>
      <c r="P206" s="1177"/>
      <c r="Q206" s="77" t="s">
        <v>2044</v>
      </c>
      <c r="R206" s="80" t="s">
        <v>2044</v>
      </c>
      <c r="S206" s="1177"/>
      <c r="T206" s="381" t="b" cm="1">
        <f t="array" ref="T206">T205</f>
        <v>1</v>
      </c>
      <c r="U206" s="1177"/>
      <c r="V206" s="1177"/>
      <c r="W206" s="1177"/>
      <c r="X206" s="1755"/>
      <c r="Y206" s="1177"/>
      <c r="Z206" s="1735"/>
      <c r="AA206" s="1177"/>
      <c r="AB206" s="215" t="s">
        <v>944</v>
      </c>
      <c r="AC206" s="679" t="s">
        <v>1831</v>
      </c>
      <c r="AD206" s="216" t="s">
        <v>766</v>
      </c>
      <c r="AE206" s="849">
        <f ca="1">AE207+AE208</f>
        <v>0</v>
      </c>
      <c r="AF206" s="849">
        <f ca="1">AF207+AF208</f>
        <v>0</v>
      </c>
      <c r="AG206" s="849">
        <f ca="1">AG207+AG208</f>
        <v>0</v>
      </c>
      <c r="AH206" s="848">
        <f t="shared" ca="1" si="49"/>
        <v>0</v>
      </c>
      <c r="AI206" s="1506">
        <f ca="1">AI207+AI208</f>
        <v>0</v>
      </c>
      <c r="AJ206" s="1502"/>
      <c r="AK206" s="847"/>
      <c r="AL206" s="847"/>
      <c r="AM206" s="847"/>
      <c r="AN206" s="847"/>
      <c r="AO206" s="847"/>
      <c r="AP206" s="847"/>
      <c r="AQ206" s="847"/>
      <c r="AR206" s="847"/>
      <c r="AS206" s="847"/>
      <c r="AT206" s="847"/>
      <c r="AU206" s="847"/>
      <c r="AV206" s="847"/>
      <c r="AW206" s="847"/>
      <c r="AX206" s="847"/>
      <c r="AY206" s="847"/>
      <c r="AZ206" s="847"/>
      <c r="BA206" s="847"/>
      <c r="BB206" s="847"/>
      <c r="BC206" s="847"/>
      <c r="BD206" s="847"/>
      <c r="BE206" s="847"/>
      <c r="BF206" s="847"/>
      <c r="BG206" s="847"/>
      <c r="BH206" s="847"/>
      <c r="BI206" s="847"/>
      <c r="BJ206" s="847"/>
      <c r="BK206" s="847"/>
      <c r="BL206" s="847"/>
      <c r="BM206" s="847"/>
      <c r="BN206" s="1515"/>
      <c r="BO206" s="1515"/>
      <c r="BP206" s="1515"/>
      <c r="BQ206" s="1177"/>
      <c r="BR206" s="1177"/>
      <c r="BS206" s="964" t="s">
        <v>1630</v>
      </c>
      <c r="BT206" s="966"/>
      <c r="BU206" s="966"/>
      <c r="BV206" s="881"/>
      <c r="BW206" s="881"/>
    </row>
    <row r="207" spans="1:75" s="1327" customFormat="1" ht="14.25" customHeight="1">
      <c r="A207" s="1177"/>
      <c r="B207" s="880"/>
      <c r="C207" s="1177"/>
      <c r="D207" s="1177"/>
      <c r="E207" s="620">
        <v>15</v>
      </c>
      <c r="F207" s="3" t="str" cm="1">
        <f t="array" aca="1" ref="F207" ca="1">OFFSET(E207,-1,1)</f>
        <v>1</v>
      </c>
      <c r="G207" s="77" t="s">
        <v>1034</v>
      </c>
      <c r="H207" s="290"/>
      <c r="I207" s="290" t="s">
        <v>1832</v>
      </c>
      <c r="J207" s="1177"/>
      <c r="K207" s="290" t="s">
        <v>1832</v>
      </c>
      <c r="L207" s="882" t="s">
        <v>463</v>
      </c>
      <c r="M207" s="26"/>
      <c r="N207" s="1177"/>
      <c r="O207" s="1177"/>
      <c r="P207" s="1177"/>
      <c r="Q207" s="77" t="s">
        <v>2044</v>
      </c>
      <c r="R207" s="80" t="s">
        <v>2044</v>
      </c>
      <c r="S207" s="1177"/>
      <c r="T207" s="381" t="b" cm="1">
        <f t="array" ref="T207">T206</f>
        <v>1</v>
      </c>
      <c r="U207" s="1177"/>
      <c r="V207" s="1177"/>
      <c r="W207" s="1177"/>
      <c r="X207" s="1755"/>
      <c r="Y207" s="1177"/>
      <c r="Z207" s="1735"/>
      <c r="AA207" s="1177"/>
      <c r="AB207" s="215" t="s">
        <v>1833</v>
      </c>
      <c r="AC207" s="682" t="s">
        <v>1631</v>
      </c>
      <c r="AD207" s="685" t="s">
        <v>766</v>
      </c>
      <c r="AE207" s="1510"/>
      <c r="AF207" s="1510"/>
      <c r="AG207" s="1510"/>
      <c r="AH207" s="848">
        <f t="shared" si="49"/>
        <v>0</v>
      </c>
      <c r="AI207" s="1505"/>
      <c r="AJ207" s="1502"/>
      <c r="AK207" s="847"/>
      <c r="AL207" s="847"/>
      <c r="AM207" s="847"/>
      <c r="AN207" s="847"/>
      <c r="AO207" s="847"/>
      <c r="AP207" s="847"/>
      <c r="AQ207" s="847"/>
      <c r="AR207" s="847"/>
      <c r="AS207" s="847"/>
      <c r="AT207" s="847"/>
      <c r="AU207" s="847"/>
      <c r="AV207" s="847"/>
      <c r="AW207" s="847"/>
      <c r="AX207" s="847"/>
      <c r="AY207" s="847"/>
      <c r="AZ207" s="847"/>
      <c r="BA207" s="847"/>
      <c r="BB207" s="847"/>
      <c r="BC207" s="847"/>
      <c r="BD207" s="847"/>
      <c r="BE207" s="847"/>
      <c r="BF207" s="847"/>
      <c r="BG207" s="847"/>
      <c r="BH207" s="847"/>
      <c r="BI207" s="847"/>
      <c r="BJ207" s="847"/>
      <c r="BK207" s="847"/>
      <c r="BL207" s="847"/>
      <c r="BM207" s="847"/>
      <c r="BN207" s="1515"/>
      <c r="BO207" s="1517" t="str">
        <f ca="1">IF(IFERROR(INDEX(ФОТ!$K$26:$L$77,MATCH($F207&amp;"5komm",ФОТ!$K$26:$K$77,0),2),"")=0,"",IFERROR(INDEX(ФОТ!$K$26:$L$77,MATCH($F207&amp;"5komm",ФОТ!$K$26:$K$77,0),2),""))</f>
        <v/>
      </c>
      <c r="BP207" s="1515"/>
      <c r="BQ207" s="1177"/>
      <c r="BR207" s="1177"/>
      <c r="BS207" s="964" t="s">
        <v>1051</v>
      </c>
      <c r="BT207" s="966"/>
      <c r="BU207" s="966"/>
      <c r="BV207" s="881"/>
      <c r="BW207" s="881"/>
    </row>
    <row r="208" spans="1:75" s="1327" customFormat="1" ht="21.75" customHeight="1">
      <c r="A208" s="1177"/>
      <c r="B208" s="880"/>
      <c r="C208" s="1177"/>
      <c r="D208" s="1177"/>
      <c r="E208" s="620">
        <v>22.5</v>
      </c>
      <c r="F208" s="3" t="str" cm="1">
        <f t="array" aca="1" ref="F208" ca="1">OFFSET(E208,-1,1)</f>
        <v>1</v>
      </c>
      <c r="G208" s="77" t="s">
        <v>1039</v>
      </c>
      <c r="H208" s="290"/>
      <c r="I208" s="290" t="s">
        <v>1834</v>
      </c>
      <c r="J208" s="1177"/>
      <c r="K208" s="290" t="s">
        <v>1834</v>
      </c>
      <c r="L208" s="882" t="s">
        <v>468</v>
      </c>
      <c r="M208" s="26"/>
      <c r="N208" s="1177"/>
      <c r="O208" s="1177"/>
      <c r="P208" s="1177"/>
      <c r="Q208" s="77" t="s">
        <v>2044</v>
      </c>
      <c r="R208" s="80" t="s">
        <v>2044</v>
      </c>
      <c r="S208" s="1177"/>
      <c r="T208" s="381" t="b" cm="1">
        <f t="array" ref="T208">T207</f>
        <v>1</v>
      </c>
      <c r="U208" s="1177"/>
      <c r="V208" s="1177"/>
      <c r="W208" s="1177"/>
      <c r="X208" s="1755"/>
      <c r="Y208" s="1177"/>
      <c r="Z208" s="1735"/>
      <c r="AA208" s="1177"/>
      <c r="AB208" s="215" t="s">
        <v>1835</v>
      </c>
      <c r="AC208" s="682" t="s">
        <v>1836</v>
      </c>
      <c r="AD208" s="216" t="s">
        <v>766</v>
      </c>
      <c r="AE208" s="1510">
        <f ca="1">AE207*SUMIFS(INDEX(Сценарии!$AE$25:$BF$82,,MATCH(AE$8,Сценарии!$AE$8:$BF$8,0)),Сценарии!$F$25:$F$82,$F208,Сценарии!$G$25:$G$82,"СВФОТ")/100</f>
        <v>0</v>
      </c>
      <c r="AF208" s="1510">
        <f ca="1">AF207*SUMIFS(INDEX(Сценарии!$AE$25:$BF$82,,MATCH(AF$8,Сценарии!$AE$8:$BF$8,0)),Сценарии!$F$25:$F$82,$F208,Сценарии!$G$25:$G$82,"СВФОТ")/100</f>
        <v>0</v>
      </c>
      <c r="AG208" s="1510">
        <f ca="1">AG207*SUMIFS(INDEX(Сценарии!$AE$25:$BF$82,,MATCH(AG$8,Сценарии!$AE$8:$BF$8,0)),Сценарии!$F$25:$F$82,$F208,Сценарии!$G$25:$G$82,"СВФОТ")/100</f>
        <v>0</v>
      </c>
      <c r="AH208" s="848">
        <f t="shared" ca="1" si="49"/>
        <v>0</v>
      </c>
      <c r="AI208" s="1505">
        <f ca="1">AI207*SUMIFS(INDEX(Сценарии!$AE$25:$BF$82,,MATCH(AG$8,Сценарии!$AE$8:$BF$8,0)),Сценарии!$F$25:$F$82,$F208,Сценарии!$G$25:$G$82,"СВФОТ")/100</f>
        <v>0</v>
      </c>
      <c r="AJ208" s="1502"/>
      <c r="AK208" s="847"/>
      <c r="AL208" s="847"/>
      <c r="AM208" s="847"/>
      <c r="AN208" s="847"/>
      <c r="AO208" s="847"/>
      <c r="AP208" s="847"/>
      <c r="AQ208" s="847"/>
      <c r="AR208" s="847"/>
      <c r="AS208" s="847"/>
      <c r="AT208" s="847"/>
      <c r="AU208" s="847"/>
      <c r="AV208" s="847"/>
      <c r="AW208" s="847"/>
      <c r="AX208" s="847"/>
      <c r="AY208" s="847"/>
      <c r="AZ208" s="847"/>
      <c r="BA208" s="847"/>
      <c r="BB208" s="847"/>
      <c r="BC208" s="847"/>
      <c r="BD208" s="847"/>
      <c r="BE208" s="847"/>
      <c r="BF208" s="847"/>
      <c r="BG208" s="847"/>
      <c r="BH208" s="847"/>
      <c r="BI208" s="847"/>
      <c r="BJ208" s="847"/>
      <c r="BK208" s="847"/>
      <c r="BL208" s="847"/>
      <c r="BM208" s="847"/>
      <c r="BN208" s="1515"/>
      <c r="BO208" s="1517" t="str">
        <f ca="1">IF(IFERROR(INDEX(ФОТ!$K$26:$L$77,MATCH($F208&amp;"6komm",ФОТ!$K$26:$K$77,0),2),"")=0,"",IFERROR(INDEX(ФОТ!$K$26:$L$77,MATCH($F208&amp;"6komm",ФОТ!$K$26:$K$77,0),2),""))</f>
        <v/>
      </c>
      <c r="BP208" s="1515"/>
      <c r="BQ208" s="1177"/>
      <c r="BR208" s="1177"/>
      <c r="BS208" s="964" t="s">
        <v>1633</v>
      </c>
      <c r="BT208" s="966"/>
      <c r="BU208" s="966"/>
      <c r="BV208" s="881"/>
      <c r="BW208" s="881"/>
    </row>
    <row r="209" spans="1:75" s="1327" customFormat="1" ht="32.25" customHeight="1">
      <c r="A209" s="1177"/>
      <c r="B209" s="880"/>
      <c r="C209" s="1177"/>
      <c r="D209" s="1177"/>
      <c r="E209" s="620">
        <v>33.75</v>
      </c>
      <c r="F209" s="3" t="str" cm="1">
        <f t="array" aca="1" ref="F209" ca="1">OFFSET(E209,-1,1)</f>
        <v>1</v>
      </c>
      <c r="G209" s="2" t="s">
        <v>1080</v>
      </c>
      <c r="H209" s="290"/>
      <c r="I209" s="290" t="s">
        <v>1217</v>
      </c>
      <c r="J209" s="1177"/>
      <c r="K209" s="290" t="s">
        <v>1217</v>
      </c>
      <c r="L209" s="882" t="s">
        <v>855</v>
      </c>
      <c r="M209" s="26"/>
      <c r="N209" s="1177"/>
      <c r="O209" s="1177"/>
      <c r="P209" s="1177"/>
      <c r="Q209" s="77" t="s">
        <v>2044</v>
      </c>
      <c r="R209" s="80" t="s">
        <v>2044</v>
      </c>
      <c r="S209" s="1177"/>
      <c r="T209" s="381" t="b" cm="1">
        <f t="array" ref="T209">T208</f>
        <v>1</v>
      </c>
      <c r="U209" s="1177"/>
      <c r="V209" s="1177"/>
      <c r="W209" s="1177"/>
      <c r="X209" s="1755"/>
      <c r="Y209" s="1177"/>
      <c r="Z209" s="1735"/>
      <c r="AA209" s="1177"/>
      <c r="AB209" s="215" t="s">
        <v>1218</v>
      </c>
      <c r="AC209" s="679" t="s">
        <v>1837</v>
      </c>
      <c r="AD209" s="216" t="s">
        <v>766</v>
      </c>
      <c r="AE209" s="1510"/>
      <c r="AF209" s="1510"/>
      <c r="AG209" s="1510"/>
      <c r="AH209" s="848">
        <f t="shared" si="49"/>
        <v>0</v>
      </c>
      <c r="AI209" s="1505"/>
      <c r="AJ209" s="1502"/>
      <c r="AK209" s="847"/>
      <c r="AL209" s="847"/>
      <c r="AM209" s="847"/>
      <c r="AN209" s="847"/>
      <c r="AO209" s="847"/>
      <c r="AP209" s="847"/>
      <c r="AQ209" s="847"/>
      <c r="AR209" s="847"/>
      <c r="AS209" s="847"/>
      <c r="AT209" s="847"/>
      <c r="AU209" s="847"/>
      <c r="AV209" s="847"/>
      <c r="AW209" s="847"/>
      <c r="AX209" s="847"/>
      <c r="AY209" s="847"/>
      <c r="AZ209" s="847"/>
      <c r="BA209" s="847"/>
      <c r="BB209" s="847"/>
      <c r="BC209" s="847"/>
      <c r="BD209" s="847"/>
      <c r="BE209" s="847"/>
      <c r="BF209" s="847"/>
      <c r="BG209" s="847"/>
      <c r="BH209" s="847"/>
      <c r="BI209" s="847"/>
      <c r="BJ209" s="847"/>
      <c r="BK209" s="847"/>
      <c r="BL209" s="847"/>
      <c r="BM209" s="847"/>
      <c r="BN209" s="1515"/>
      <c r="BO209" s="1517" t="str">
        <f ca="1">IF(IFERROR(INDEX(Административные!$K$26:$L$65,MATCH($F209&amp;"2komm",Административные!$K$26:$K$65,0),2),"")=0,"",IFERROR(INDEX(Административные!$K$26:$L$65,MATCH($F209&amp;"2komm",Административные!$K$26:$K$65,0),2),""))</f>
        <v/>
      </c>
      <c r="BP209" s="1515"/>
      <c r="BQ209" s="1177"/>
      <c r="BR209" s="1177"/>
      <c r="BS209" s="964" t="s">
        <v>1082</v>
      </c>
      <c r="BT209" s="966"/>
      <c r="BU209" s="966"/>
      <c r="BV209" s="881"/>
      <c r="BW209" s="881"/>
    </row>
    <row r="210" spans="1:75" s="1327" customFormat="1" ht="14.25" customHeight="1">
      <c r="A210" s="1177"/>
      <c r="B210" s="880"/>
      <c r="C210" s="1177"/>
      <c r="D210" s="1177"/>
      <c r="E210" s="620">
        <v>15</v>
      </c>
      <c r="F210" s="3" t="str" cm="1">
        <f t="array" aca="1" ref="F210" ca="1">OFFSET(E210,-1,1)</f>
        <v>1</v>
      </c>
      <c r="G210" s="2" t="s">
        <v>1083</v>
      </c>
      <c r="H210" s="290"/>
      <c r="I210" s="290" t="s">
        <v>1221</v>
      </c>
      <c r="J210" s="1177"/>
      <c r="K210" s="290" t="s">
        <v>1221</v>
      </c>
      <c r="L210" s="882" t="s">
        <v>857</v>
      </c>
      <c r="M210" s="26"/>
      <c r="N210" s="1177"/>
      <c r="O210" s="1177"/>
      <c r="P210" s="1177"/>
      <c r="Q210" s="77" t="s">
        <v>2044</v>
      </c>
      <c r="R210" s="80" t="s">
        <v>2044</v>
      </c>
      <c r="S210" s="1177"/>
      <c r="T210" s="381" t="b" cm="1">
        <f t="array" ref="T210">T209</f>
        <v>1</v>
      </c>
      <c r="U210" s="1177"/>
      <c r="V210" s="1177"/>
      <c r="W210" s="1177"/>
      <c r="X210" s="1755"/>
      <c r="Y210" s="1177"/>
      <c r="Z210" s="1735"/>
      <c r="AA210" s="1177"/>
      <c r="AB210" s="215" t="s">
        <v>1222</v>
      </c>
      <c r="AC210" s="679" t="s">
        <v>1838</v>
      </c>
      <c r="AD210" s="216" t="s">
        <v>766</v>
      </c>
      <c r="AE210" s="1510"/>
      <c r="AF210" s="1510"/>
      <c r="AG210" s="1510"/>
      <c r="AH210" s="848">
        <f t="shared" si="49"/>
        <v>0</v>
      </c>
      <c r="AI210" s="1505"/>
      <c r="AJ210" s="1502"/>
      <c r="AK210" s="847"/>
      <c r="AL210" s="847"/>
      <c r="AM210" s="847"/>
      <c r="AN210" s="847"/>
      <c r="AO210" s="847"/>
      <c r="AP210" s="847"/>
      <c r="AQ210" s="847"/>
      <c r="AR210" s="847"/>
      <c r="AS210" s="847"/>
      <c r="AT210" s="847"/>
      <c r="AU210" s="847"/>
      <c r="AV210" s="847"/>
      <c r="AW210" s="847"/>
      <c r="AX210" s="847"/>
      <c r="AY210" s="847"/>
      <c r="AZ210" s="847"/>
      <c r="BA210" s="847"/>
      <c r="BB210" s="847"/>
      <c r="BC210" s="847"/>
      <c r="BD210" s="847"/>
      <c r="BE210" s="847"/>
      <c r="BF210" s="847"/>
      <c r="BG210" s="847"/>
      <c r="BH210" s="847"/>
      <c r="BI210" s="847"/>
      <c r="BJ210" s="847"/>
      <c r="BK210" s="847"/>
      <c r="BL210" s="847"/>
      <c r="BM210" s="847"/>
      <c r="BN210" s="1515"/>
      <c r="BO210" s="1517" t="str">
        <f ca="1">IF(IFERROR(INDEX(Административные!$K$26:$L$65,MATCH($F210&amp;"3komm",Административные!$K$26:$K$65,0),2),"")=0,"",IFERROR(INDEX(Административные!$K$26:$L$65,MATCH($F210&amp;"3komm",Административные!$K$26:$K$65,0),2),""))</f>
        <v/>
      </c>
      <c r="BP210" s="1515"/>
      <c r="BQ210" s="1177"/>
      <c r="BR210" s="1177"/>
      <c r="BS210" s="964" t="s">
        <v>1085</v>
      </c>
      <c r="BT210" s="966"/>
      <c r="BU210" s="966"/>
      <c r="BV210" s="881"/>
      <c r="BW210" s="881"/>
    </row>
    <row r="211" spans="1:75" s="1327" customFormat="1" ht="14.25" customHeight="1">
      <c r="A211" s="1177"/>
      <c r="B211" s="880"/>
      <c r="C211" s="1177"/>
      <c r="D211" s="1177"/>
      <c r="E211" s="620">
        <v>15</v>
      </c>
      <c r="F211" s="3" t="str" cm="1">
        <f t="array" aca="1" ref="F211" ca="1">OFFSET(E211,-1,1)</f>
        <v>1</v>
      </c>
      <c r="G211" s="2" t="s">
        <v>1086</v>
      </c>
      <c r="H211" s="290"/>
      <c r="I211" s="290" t="s">
        <v>1839</v>
      </c>
      <c r="J211" s="1177"/>
      <c r="K211" s="290" t="s">
        <v>1839</v>
      </c>
      <c r="L211" s="882" t="s">
        <v>860</v>
      </c>
      <c r="M211" s="26"/>
      <c r="N211" s="1177"/>
      <c r="O211" s="1177"/>
      <c r="P211" s="1177"/>
      <c r="Q211" s="77" t="s">
        <v>2044</v>
      </c>
      <c r="R211" s="80" t="s">
        <v>2044</v>
      </c>
      <c r="S211" s="1177"/>
      <c r="T211" s="381" t="b" cm="1">
        <f t="array" ref="T211">T210</f>
        <v>1</v>
      </c>
      <c r="U211" s="1177"/>
      <c r="V211" s="1177"/>
      <c r="W211" s="1177"/>
      <c r="X211" s="1755"/>
      <c r="Y211" s="1177"/>
      <c r="Z211" s="1735"/>
      <c r="AA211" s="1177"/>
      <c r="AB211" s="215" t="s">
        <v>1840</v>
      </c>
      <c r="AC211" s="679" t="s">
        <v>1841</v>
      </c>
      <c r="AD211" s="216" t="s">
        <v>766</v>
      </c>
      <c r="AE211" s="1510"/>
      <c r="AF211" s="1510"/>
      <c r="AG211" s="1510"/>
      <c r="AH211" s="848">
        <f t="shared" si="49"/>
        <v>0</v>
      </c>
      <c r="AI211" s="1505"/>
      <c r="AJ211" s="1502"/>
      <c r="AK211" s="847"/>
      <c r="AL211" s="847"/>
      <c r="AM211" s="847"/>
      <c r="AN211" s="847"/>
      <c r="AO211" s="847"/>
      <c r="AP211" s="847"/>
      <c r="AQ211" s="847"/>
      <c r="AR211" s="847"/>
      <c r="AS211" s="847"/>
      <c r="AT211" s="847"/>
      <c r="AU211" s="847"/>
      <c r="AV211" s="847"/>
      <c r="AW211" s="847"/>
      <c r="AX211" s="847"/>
      <c r="AY211" s="847"/>
      <c r="AZ211" s="847"/>
      <c r="BA211" s="847"/>
      <c r="BB211" s="847"/>
      <c r="BC211" s="847"/>
      <c r="BD211" s="847"/>
      <c r="BE211" s="847"/>
      <c r="BF211" s="847"/>
      <c r="BG211" s="847"/>
      <c r="BH211" s="847"/>
      <c r="BI211" s="847"/>
      <c r="BJ211" s="847"/>
      <c r="BK211" s="847"/>
      <c r="BL211" s="847"/>
      <c r="BM211" s="847"/>
      <c r="BN211" s="1515"/>
      <c r="BO211" s="1517" t="str">
        <f ca="1">IF(IFERROR(INDEX(Административные!$K$26:$L$65,MATCH($F211&amp;"4komm",Административные!$K$26:$K$65,0),2),"")=0,"",IFERROR(INDEX(Административные!$K$26:$L$65,MATCH($F211&amp;"4komm",Административные!$K$26:$K$65,0),2),""))</f>
        <v/>
      </c>
      <c r="BP211" s="1515"/>
      <c r="BQ211" s="1177"/>
      <c r="BR211" s="1177"/>
      <c r="BS211" s="964" t="s">
        <v>1088</v>
      </c>
      <c r="BT211" s="966"/>
      <c r="BU211" s="966"/>
      <c r="BV211" s="881"/>
      <c r="BW211" s="881"/>
    </row>
    <row r="212" spans="1:75" s="1327" customFormat="1" ht="14.25" customHeight="1">
      <c r="A212" s="1177"/>
      <c r="B212" s="880"/>
      <c r="C212" s="1177"/>
      <c r="D212" s="1177"/>
      <c r="E212" s="620">
        <v>15</v>
      </c>
      <c r="F212" s="3" t="str" cm="1">
        <f t="array" aca="1" ref="F212" ca="1">OFFSET(E212,-1,1)</f>
        <v>1</v>
      </c>
      <c r="G212" s="2" t="s">
        <v>1089</v>
      </c>
      <c r="H212" s="290"/>
      <c r="I212" s="290" t="s">
        <v>1842</v>
      </c>
      <c r="J212" s="1177"/>
      <c r="K212" s="290" t="s">
        <v>1842</v>
      </c>
      <c r="L212" s="882" t="s">
        <v>1071</v>
      </c>
      <c r="M212" s="26"/>
      <c r="N212" s="1177"/>
      <c r="O212" s="1177"/>
      <c r="P212" s="1177"/>
      <c r="Q212" s="77" t="s">
        <v>2044</v>
      </c>
      <c r="R212" s="80" t="s">
        <v>2044</v>
      </c>
      <c r="S212" s="1177"/>
      <c r="T212" s="381" t="b" cm="1">
        <f t="array" ref="T212">T211</f>
        <v>1</v>
      </c>
      <c r="U212" s="1177"/>
      <c r="V212" s="1177"/>
      <c r="W212" s="1177"/>
      <c r="X212" s="1755"/>
      <c r="Y212" s="1177"/>
      <c r="Z212" s="1735"/>
      <c r="AA212" s="1177"/>
      <c r="AB212" s="215" t="s">
        <v>1843</v>
      </c>
      <c r="AC212" s="679" t="s">
        <v>1844</v>
      </c>
      <c r="AD212" s="216" t="s">
        <v>766</v>
      </c>
      <c r="AE212" s="1510"/>
      <c r="AF212" s="1510"/>
      <c r="AG212" s="1510"/>
      <c r="AH212" s="848">
        <f t="shared" si="49"/>
        <v>0</v>
      </c>
      <c r="AI212" s="1505"/>
      <c r="AJ212" s="1502"/>
      <c r="AK212" s="847"/>
      <c r="AL212" s="847"/>
      <c r="AM212" s="847"/>
      <c r="AN212" s="847"/>
      <c r="AO212" s="847"/>
      <c r="AP212" s="847"/>
      <c r="AQ212" s="847"/>
      <c r="AR212" s="847"/>
      <c r="AS212" s="847"/>
      <c r="AT212" s="847"/>
      <c r="AU212" s="847"/>
      <c r="AV212" s="847"/>
      <c r="AW212" s="847"/>
      <c r="AX212" s="847"/>
      <c r="AY212" s="847"/>
      <c r="AZ212" s="847"/>
      <c r="BA212" s="847"/>
      <c r="BB212" s="847"/>
      <c r="BC212" s="847"/>
      <c r="BD212" s="847"/>
      <c r="BE212" s="847"/>
      <c r="BF212" s="847"/>
      <c r="BG212" s="847"/>
      <c r="BH212" s="847"/>
      <c r="BI212" s="847"/>
      <c r="BJ212" s="847"/>
      <c r="BK212" s="847"/>
      <c r="BL212" s="847"/>
      <c r="BM212" s="847"/>
      <c r="BN212" s="1515"/>
      <c r="BO212" s="1517" t="str">
        <f ca="1">IF(IFERROR(INDEX(Административные!$K$26:$L$65,MATCH($F212&amp;"5komm",Административные!$K$26:$K$65,0),2),"")=0,"",IFERROR(INDEX(Административные!$K$26:$L$65,MATCH($F212&amp;"5komm",Административные!$K$26:$K$65,0),2),""))</f>
        <v/>
      </c>
      <c r="BP212" s="1515"/>
      <c r="BQ212" s="1177"/>
      <c r="BR212" s="1177"/>
      <c r="BS212" s="964" t="s">
        <v>1635</v>
      </c>
      <c r="BT212" s="966"/>
      <c r="BU212" s="966"/>
      <c r="BV212" s="881"/>
      <c r="BW212" s="881"/>
    </row>
    <row r="213" spans="1:75" s="1327" customFormat="1" ht="14.25" customHeight="1">
      <c r="A213" s="1177"/>
      <c r="B213" s="880"/>
      <c r="C213" s="1177"/>
      <c r="D213" s="1177"/>
      <c r="E213" s="620">
        <v>15</v>
      </c>
      <c r="F213" s="3" t="str" cm="1">
        <f t="array" aca="1" ref="F213" ca="1">OFFSET(E213,-1,1)</f>
        <v>1</v>
      </c>
      <c r="G213" s="2" t="s">
        <v>1092</v>
      </c>
      <c r="H213" s="290"/>
      <c r="I213" s="290" t="s">
        <v>1845</v>
      </c>
      <c r="J213" s="1177"/>
      <c r="K213" s="290" t="s">
        <v>1845</v>
      </c>
      <c r="L213" s="882" t="s">
        <v>1076</v>
      </c>
      <c r="M213" s="26"/>
      <c r="N213" s="1177"/>
      <c r="O213" s="1177"/>
      <c r="P213" s="1177"/>
      <c r="Q213" s="77" t="s">
        <v>2044</v>
      </c>
      <c r="R213" s="80" t="s">
        <v>2044</v>
      </c>
      <c r="S213" s="1177"/>
      <c r="T213" s="381" t="b" cm="1">
        <f t="array" ref="T213">T212</f>
        <v>1</v>
      </c>
      <c r="U213" s="1177"/>
      <c r="V213" s="1177"/>
      <c r="W213" s="1177"/>
      <c r="X213" s="1755"/>
      <c r="Y213" s="1177"/>
      <c r="Z213" s="1735"/>
      <c r="AA213" s="1177"/>
      <c r="AB213" s="215" t="s">
        <v>1846</v>
      </c>
      <c r="AC213" s="679" t="s">
        <v>1847</v>
      </c>
      <c r="AD213" s="216" t="s">
        <v>766</v>
      </c>
      <c r="AE213" s="848">
        <f>SUM(AE214:AE216)</f>
        <v>0</v>
      </c>
      <c r="AF213" s="848">
        <f>SUM(AF214:AF216)</f>
        <v>0</v>
      </c>
      <c r="AG213" s="848">
        <f>SUM(AG214:AG216)</f>
        <v>0</v>
      </c>
      <c r="AH213" s="848">
        <f t="shared" si="49"/>
        <v>0</v>
      </c>
      <c r="AI213" s="1504">
        <f>SUM(AI214:AI216)</f>
        <v>0</v>
      </c>
      <c r="AJ213" s="1502"/>
      <c r="AK213" s="847"/>
      <c r="AL213" s="847"/>
      <c r="AM213" s="847"/>
      <c r="AN213" s="847"/>
      <c r="AO213" s="847"/>
      <c r="AP213" s="847"/>
      <c r="AQ213" s="847"/>
      <c r="AR213" s="847"/>
      <c r="AS213" s="847"/>
      <c r="AT213" s="847"/>
      <c r="AU213" s="847"/>
      <c r="AV213" s="847"/>
      <c r="AW213" s="847"/>
      <c r="AX213" s="847"/>
      <c r="AY213" s="847"/>
      <c r="AZ213" s="847"/>
      <c r="BA213" s="847"/>
      <c r="BB213" s="847"/>
      <c r="BC213" s="847"/>
      <c r="BD213" s="847"/>
      <c r="BE213" s="847"/>
      <c r="BF213" s="847"/>
      <c r="BG213" s="847"/>
      <c r="BH213" s="847"/>
      <c r="BI213" s="847"/>
      <c r="BJ213" s="847"/>
      <c r="BK213" s="847"/>
      <c r="BL213" s="847"/>
      <c r="BM213" s="847"/>
      <c r="BN213" s="1515"/>
      <c r="BO213" s="1517" t="str">
        <f ca="1">IF(IFERROR(INDEX(Административные!$K$26:$L$65,MATCH($F213&amp;"6komm",Административные!$K$26:$K$65,0),2),"")=0,"",IFERROR(INDEX(Административные!$K$26:$L$65,MATCH($F213&amp;"6komm",Административные!$K$26:$K$65,0),2),""))</f>
        <v/>
      </c>
      <c r="BP213" s="1515"/>
      <c r="BQ213" s="1177"/>
      <c r="BR213" s="1177"/>
      <c r="BS213" s="964" t="s">
        <v>1637</v>
      </c>
      <c r="BT213" s="966"/>
      <c r="BU213" s="966"/>
      <c r="BV213" s="881"/>
      <c r="BW213" s="881"/>
    </row>
    <row r="214" spans="1:75" s="1327" customFormat="1" ht="14.25" customHeight="1">
      <c r="A214" s="1177"/>
      <c r="B214" s="880"/>
      <c r="C214" s="1177"/>
      <c r="D214" s="1177"/>
      <c r="E214" s="620">
        <v>15</v>
      </c>
      <c r="F214" s="3" t="str" cm="1">
        <f t="array" aca="1" ref="F214" ca="1">OFFSET(E214,-1,1)</f>
        <v>1</v>
      </c>
      <c r="G214" s="2" t="s">
        <v>1094</v>
      </c>
      <c r="H214" s="290"/>
      <c r="I214" s="290" t="s">
        <v>1848</v>
      </c>
      <c r="J214" s="1177"/>
      <c r="K214" s="290" t="s">
        <v>1848</v>
      </c>
      <c r="L214" s="882" t="s">
        <v>1638</v>
      </c>
      <c r="M214" s="26"/>
      <c r="N214" s="1177"/>
      <c r="O214" s="1177"/>
      <c r="P214" s="1177"/>
      <c r="Q214" s="77" t="s">
        <v>2044</v>
      </c>
      <c r="R214" s="80" t="s">
        <v>2044</v>
      </c>
      <c r="S214" s="1177"/>
      <c r="T214" s="381" t="b" cm="1">
        <f t="array" ref="T214">T213</f>
        <v>1</v>
      </c>
      <c r="U214" s="1177"/>
      <c r="V214" s="1177"/>
      <c r="W214" s="1177"/>
      <c r="X214" s="1755"/>
      <c r="Y214" s="1177"/>
      <c r="Z214" s="1735"/>
      <c r="AA214" s="1177"/>
      <c r="AB214" s="215" t="s">
        <v>1849</v>
      </c>
      <c r="AC214" s="682" t="s">
        <v>1640</v>
      </c>
      <c r="AD214" s="216" t="s">
        <v>766</v>
      </c>
      <c r="AE214" s="1510"/>
      <c r="AF214" s="1510"/>
      <c r="AG214" s="1510"/>
      <c r="AH214" s="848">
        <f t="shared" si="49"/>
        <v>0</v>
      </c>
      <c r="AI214" s="1505"/>
      <c r="AJ214" s="1502"/>
      <c r="AK214" s="847"/>
      <c r="AL214" s="847"/>
      <c r="AM214" s="847"/>
      <c r="AN214" s="847"/>
      <c r="AO214" s="847"/>
      <c r="AP214" s="847"/>
      <c r="AQ214" s="847"/>
      <c r="AR214" s="847"/>
      <c r="AS214" s="847"/>
      <c r="AT214" s="847"/>
      <c r="AU214" s="847"/>
      <c r="AV214" s="847"/>
      <c r="AW214" s="847"/>
      <c r="AX214" s="847"/>
      <c r="AY214" s="847"/>
      <c r="AZ214" s="847"/>
      <c r="BA214" s="847"/>
      <c r="BB214" s="847"/>
      <c r="BC214" s="847"/>
      <c r="BD214" s="847"/>
      <c r="BE214" s="847"/>
      <c r="BF214" s="847"/>
      <c r="BG214" s="847"/>
      <c r="BH214" s="847"/>
      <c r="BI214" s="847"/>
      <c r="BJ214" s="847"/>
      <c r="BK214" s="847"/>
      <c r="BL214" s="847"/>
      <c r="BM214" s="847"/>
      <c r="BN214" s="1515"/>
      <c r="BO214" s="1517" t="str">
        <f ca="1">IF(IFERROR(INDEX(Административные!$K$26:$L$65,MATCH($F214&amp;"7komm",Административные!$K$26:$K$65,0),2),"")=0,"",IFERROR(INDEX(Административные!$K$26:$L$65,MATCH($F214&amp;"7komm",Административные!$K$26:$K$65,0),2),""))</f>
        <v/>
      </c>
      <c r="BP214" s="1515"/>
      <c r="BQ214" s="1177"/>
      <c r="BR214" s="1177"/>
      <c r="BS214" s="964" t="s">
        <v>1641</v>
      </c>
      <c r="BT214" s="966"/>
      <c r="BU214" s="966"/>
      <c r="BV214" s="881"/>
      <c r="BW214" s="881"/>
    </row>
    <row r="215" spans="1:75" s="1327" customFormat="1" ht="14.25" customHeight="1">
      <c r="A215" s="1177"/>
      <c r="B215" s="880"/>
      <c r="C215" s="1177"/>
      <c r="D215" s="1177"/>
      <c r="E215" s="620">
        <v>15</v>
      </c>
      <c r="F215" s="3" t="str" cm="1">
        <f t="array" aca="1" ref="F215" ca="1">OFFSET(E215,-1,1)</f>
        <v>1</v>
      </c>
      <c r="G215" s="2" t="s">
        <v>1097</v>
      </c>
      <c r="H215" s="290"/>
      <c r="I215" s="290" t="s">
        <v>1850</v>
      </c>
      <c r="J215" s="1177"/>
      <c r="K215" s="290" t="s">
        <v>1850</v>
      </c>
      <c r="L215" s="882" t="s">
        <v>1642</v>
      </c>
      <c r="M215" s="26"/>
      <c r="N215" s="1177"/>
      <c r="O215" s="1177"/>
      <c r="P215" s="1177"/>
      <c r="Q215" s="77" t="s">
        <v>2044</v>
      </c>
      <c r="R215" s="80" t="s">
        <v>2044</v>
      </c>
      <c r="S215" s="1177"/>
      <c r="T215" s="381" t="b" cm="1">
        <f t="array" ref="T215">T214</f>
        <v>1</v>
      </c>
      <c r="U215" s="1177"/>
      <c r="V215" s="1177"/>
      <c r="W215" s="1177"/>
      <c r="X215" s="1755"/>
      <c r="Y215" s="1177"/>
      <c r="Z215" s="1735"/>
      <c r="AA215" s="1177"/>
      <c r="AB215" s="215" t="s">
        <v>1851</v>
      </c>
      <c r="AC215" s="682" t="s">
        <v>1098</v>
      </c>
      <c r="AD215" s="216" t="s">
        <v>766</v>
      </c>
      <c r="AE215" s="1510"/>
      <c r="AF215" s="1510"/>
      <c r="AG215" s="1510"/>
      <c r="AH215" s="848">
        <f t="shared" si="49"/>
        <v>0</v>
      </c>
      <c r="AI215" s="1505"/>
      <c r="AJ215" s="1502"/>
      <c r="AK215" s="847"/>
      <c r="AL215" s="847"/>
      <c r="AM215" s="847"/>
      <c r="AN215" s="847"/>
      <c r="AO215" s="847"/>
      <c r="AP215" s="847"/>
      <c r="AQ215" s="847"/>
      <c r="AR215" s="847"/>
      <c r="AS215" s="847"/>
      <c r="AT215" s="847"/>
      <c r="AU215" s="847"/>
      <c r="AV215" s="847"/>
      <c r="AW215" s="847"/>
      <c r="AX215" s="847"/>
      <c r="AY215" s="847"/>
      <c r="AZ215" s="847"/>
      <c r="BA215" s="847"/>
      <c r="BB215" s="847"/>
      <c r="BC215" s="847"/>
      <c r="BD215" s="847"/>
      <c r="BE215" s="847"/>
      <c r="BF215" s="847"/>
      <c r="BG215" s="847"/>
      <c r="BH215" s="847"/>
      <c r="BI215" s="847"/>
      <c r="BJ215" s="847"/>
      <c r="BK215" s="847"/>
      <c r="BL215" s="847"/>
      <c r="BM215" s="847"/>
      <c r="BN215" s="1515"/>
      <c r="BO215" s="1517" t="str">
        <f ca="1">IF(IFERROR(INDEX(Административные!$K$26:$L$65,MATCH($F215&amp;"8komm",Административные!$K$26:$K$65,0),2),"")=0,"",IFERROR(INDEX(Административные!$K$26:$L$65,MATCH($F215&amp;"8komm",Административные!$K$26:$K$65,0),2),""))</f>
        <v/>
      </c>
      <c r="BP215" s="1515"/>
      <c r="BQ215" s="1177"/>
      <c r="BR215" s="1177"/>
      <c r="BS215" s="964" t="s">
        <v>1644</v>
      </c>
      <c r="BT215" s="966"/>
      <c r="BU215" s="966"/>
      <c r="BV215" s="881"/>
      <c r="BW215" s="881"/>
    </row>
    <row r="216" spans="1:75" s="1327" customFormat="1" ht="14.25" customHeight="1">
      <c r="A216" s="1177"/>
      <c r="B216" s="880"/>
      <c r="C216" s="1177"/>
      <c r="D216" s="1177"/>
      <c r="E216" s="620">
        <v>15</v>
      </c>
      <c r="F216" s="3" t="str" cm="1">
        <f t="array" aca="1" ref="F216" ca="1">OFFSET(E216,-1,1)</f>
        <v>1</v>
      </c>
      <c r="G216" s="77" t="s">
        <v>1100</v>
      </c>
      <c r="H216" s="290"/>
      <c r="I216" s="290" t="s">
        <v>1852</v>
      </c>
      <c r="J216" s="1177"/>
      <c r="K216" s="290" t="s">
        <v>1852</v>
      </c>
      <c r="L216" s="882" t="s">
        <v>1645</v>
      </c>
      <c r="M216" s="26"/>
      <c r="N216" s="1177"/>
      <c r="O216" s="1177"/>
      <c r="P216" s="1177"/>
      <c r="Q216" s="77" t="s">
        <v>2044</v>
      </c>
      <c r="R216" s="80" t="s">
        <v>2044</v>
      </c>
      <c r="S216" s="1177"/>
      <c r="T216" s="381" t="b" cm="1">
        <f t="array" ref="T216">T215</f>
        <v>1</v>
      </c>
      <c r="U216" s="1177"/>
      <c r="V216" s="1177"/>
      <c r="W216" s="1177"/>
      <c r="X216" s="1755"/>
      <c r="Y216" s="1177"/>
      <c r="Z216" s="1735"/>
      <c r="AA216" s="1177"/>
      <c r="AB216" s="215" t="s">
        <v>1853</v>
      </c>
      <c r="AC216" s="682" t="s">
        <v>1101</v>
      </c>
      <c r="AD216" s="216" t="s">
        <v>766</v>
      </c>
      <c r="AE216" s="1510"/>
      <c r="AF216" s="1510"/>
      <c r="AG216" s="1510"/>
      <c r="AH216" s="848">
        <f t="shared" si="49"/>
        <v>0</v>
      </c>
      <c r="AI216" s="1505"/>
      <c r="AJ216" s="1257"/>
      <c r="AK216" s="847"/>
      <c r="AL216" s="847"/>
      <c r="AM216" s="847"/>
      <c r="AN216" s="847"/>
      <c r="AO216" s="847"/>
      <c r="AP216" s="847"/>
      <c r="AQ216" s="847"/>
      <c r="AR216" s="847"/>
      <c r="AS216" s="847"/>
      <c r="AT216" s="847"/>
      <c r="AU216" s="847"/>
      <c r="AV216" s="847"/>
      <c r="AW216" s="847"/>
      <c r="AX216" s="847"/>
      <c r="AY216" s="847"/>
      <c r="AZ216" s="847"/>
      <c r="BA216" s="847"/>
      <c r="BB216" s="847"/>
      <c r="BC216" s="847"/>
      <c r="BD216" s="847"/>
      <c r="BE216" s="847"/>
      <c r="BF216" s="847"/>
      <c r="BG216" s="847"/>
      <c r="BH216" s="847"/>
      <c r="BI216" s="847"/>
      <c r="BJ216" s="847"/>
      <c r="BK216" s="847"/>
      <c r="BL216" s="847"/>
      <c r="BM216" s="847"/>
      <c r="BN216" s="1515"/>
      <c r="BO216" s="1517" t="str">
        <f ca="1">IF(IFERROR(INDEX(Административные!$K$26:$L$65,MATCH($F216&amp;"9komm",Административные!$K$26:$K$65,0),2),"")=0,"",IFERROR(INDEX(Административные!$K$26:$L$65,MATCH($F216&amp;"9komm",Административные!$K$26:$K$65,0),2),""))</f>
        <v/>
      </c>
      <c r="BP216" s="1515"/>
      <c r="BQ216" s="1177"/>
      <c r="BR216" s="1177"/>
      <c r="BS216" s="964" t="s">
        <v>1647</v>
      </c>
      <c r="BT216" s="966"/>
      <c r="BU216" s="966"/>
      <c r="BV216" s="881"/>
      <c r="BW216" s="881"/>
    </row>
    <row r="217" spans="1:75" s="1327" customFormat="1" ht="21.75" customHeight="1">
      <c r="A217" s="1177"/>
      <c r="B217" s="349" t="b">
        <f>STATUS_GO="да"</f>
        <v>1</v>
      </c>
      <c r="C217" s="1177"/>
      <c r="D217" s="1177"/>
      <c r="E217" s="620">
        <v>22.5</v>
      </c>
      <c r="F217" s="3" t="str" cm="1">
        <f t="array" aca="1" ref="F217" ca="1">OFFSET(E217,-1,1)</f>
        <v>1</v>
      </c>
      <c r="G217" s="1177"/>
      <c r="H217" s="290"/>
      <c r="I217" s="290" t="s">
        <v>833</v>
      </c>
      <c r="J217" s="1177"/>
      <c r="K217" s="290" t="s">
        <v>833</v>
      </c>
      <c r="L217" s="882" t="s">
        <v>327</v>
      </c>
      <c r="M217" s="26"/>
      <c r="N217" s="1177"/>
      <c r="O217" s="1177"/>
      <c r="P217" s="1177"/>
      <c r="Q217" s="77" t="s">
        <v>2044</v>
      </c>
      <c r="R217" s="80" t="s">
        <v>2044</v>
      </c>
      <c r="S217" s="1177"/>
      <c r="T217" s="381" t="b" cm="1">
        <f t="array" ref="T217">T216</f>
        <v>1</v>
      </c>
      <c r="U217" s="1177"/>
      <c r="V217" s="1177"/>
      <c r="W217" s="1177"/>
      <c r="X217" s="1755"/>
      <c r="Y217" s="1177"/>
      <c r="Z217" s="1735"/>
      <c r="AA217" s="1177"/>
      <c r="AB217" s="215" t="s">
        <v>834</v>
      </c>
      <c r="AC217" s="676" t="s">
        <v>1854</v>
      </c>
      <c r="AD217" s="216" t="s">
        <v>766</v>
      </c>
      <c r="AE217" s="1510"/>
      <c r="AF217" s="1510"/>
      <c r="AG217" s="1510"/>
      <c r="AH217" s="848">
        <f t="shared" si="49"/>
        <v>0</v>
      </c>
      <c r="AI217" s="1505"/>
      <c r="AJ217" s="1502"/>
      <c r="AK217" s="847"/>
      <c r="AL217" s="847"/>
      <c r="AM217" s="847"/>
      <c r="AN217" s="847"/>
      <c r="AO217" s="847"/>
      <c r="AP217" s="847"/>
      <c r="AQ217" s="847"/>
      <c r="AR217" s="847"/>
      <c r="AS217" s="847"/>
      <c r="AT217" s="847"/>
      <c r="AU217" s="847"/>
      <c r="AV217" s="847"/>
      <c r="AW217" s="847"/>
      <c r="AX217" s="847"/>
      <c r="AY217" s="847"/>
      <c r="AZ217" s="847"/>
      <c r="BA217" s="847"/>
      <c r="BB217" s="847"/>
      <c r="BC217" s="847"/>
      <c r="BD217" s="847"/>
      <c r="BE217" s="847"/>
      <c r="BF217" s="847"/>
      <c r="BG217" s="847"/>
      <c r="BH217" s="847"/>
      <c r="BI217" s="847"/>
      <c r="BJ217" s="847"/>
      <c r="BK217" s="847"/>
      <c r="BL217" s="847"/>
      <c r="BM217" s="847"/>
      <c r="BN217" s="1515"/>
      <c r="BO217" s="1515"/>
      <c r="BP217" s="1515"/>
      <c r="BQ217" s="1177"/>
      <c r="BR217" s="1177"/>
      <c r="BS217" s="965" t="s">
        <v>1649</v>
      </c>
      <c r="BT217" s="966"/>
      <c r="BU217" s="966"/>
      <c r="BV217" s="881"/>
      <c r="BW217" s="881"/>
    </row>
    <row r="218" spans="1:75" s="1327" customFormat="1" ht="14.25" customHeight="1">
      <c r="A218" s="1177"/>
      <c r="B218" s="880"/>
      <c r="C218" s="1177"/>
      <c r="D218" s="1177"/>
      <c r="E218" s="620">
        <v>15</v>
      </c>
      <c r="F218" s="3" t="str" cm="1">
        <f t="array" aca="1" ref="F218" ca="1">OFFSET(E218,-1,1)</f>
        <v>1</v>
      </c>
      <c r="G218" s="1177"/>
      <c r="H218" s="290"/>
      <c r="I218" s="290" t="s">
        <v>1587</v>
      </c>
      <c r="J218" s="1177"/>
      <c r="K218" s="290" t="s">
        <v>1587</v>
      </c>
      <c r="L218" s="882"/>
      <c r="M218" s="26"/>
      <c r="N218" s="1177"/>
      <c r="O218" s="1177"/>
      <c r="P218" s="1177"/>
      <c r="Q218" s="77" t="s">
        <v>2044</v>
      </c>
      <c r="R218" s="80" t="s">
        <v>2044</v>
      </c>
      <c r="S218" s="1177"/>
      <c r="T218" s="381" t="b" cm="1">
        <f t="array" ref="T218">T217</f>
        <v>1</v>
      </c>
      <c r="U218" s="1177"/>
      <c r="V218" s="1177"/>
      <c r="W218" s="1177"/>
      <c r="X218" s="1755"/>
      <c r="Y218" s="1177"/>
      <c r="Z218" s="1735"/>
      <c r="AA218" s="1177"/>
      <c r="AB218" s="215" t="s">
        <v>1588</v>
      </c>
      <c r="AC218" s="676" t="s">
        <v>1855</v>
      </c>
      <c r="AD218" s="216" t="s">
        <v>766</v>
      </c>
      <c r="AE218" s="1510"/>
      <c r="AF218" s="1510"/>
      <c r="AG218" s="1510"/>
      <c r="AH218" s="848">
        <f t="shared" si="49"/>
        <v>0</v>
      </c>
      <c r="AI218" s="1505"/>
      <c r="AJ218" s="1502"/>
      <c r="AK218" s="847"/>
      <c r="AL218" s="847"/>
      <c r="AM218" s="847"/>
      <c r="AN218" s="847"/>
      <c r="AO218" s="847"/>
      <c r="AP218" s="847"/>
      <c r="AQ218" s="847"/>
      <c r="AR218" s="847"/>
      <c r="AS218" s="847"/>
      <c r="AT218" s="847"/>
      <c r="AU218" s="847"/>
      <c r="AV218" s="847"/>
      <c r="AW218" s="847"/>
      <c r="AX218" s="847"/>
      <c r="AY218" s="847"/>
      <c r="AZ218" s="847"/>
      <c r="BA218" s="847"/>
      <c r="BB218" s="847"/>
      <c r="BC218" s="847"/>
      <c r="BD218" s="847"/>
      <c r="BE218" s="847"/>
      <c r="BF218" s="847"/>
      <c r="BG218" s="847"/>
      <c r="BH218" s="847"/>
      <c r="BI218" s="847"/>
      <c r="BJ218" s="847"/>
      <c r="BK218" s="847"/>
      <c r="BL218" s="847"/>
      <c r="BM218" s="847"/>
      <c r="BN218" s="1515"/>
      <c r="BO218" s="1515"/>
      <c r="BP218" s="1515"/>
      <c r="BQ218" s="1177"/>
      <c r="BR218" s="1177"/>
      <c r="BS218" s="966" t="s">
        <v>1856</v>
      </c>
      <c r="BT218" s="966"/>
      <c r="BU218" s="966"/>
      <c r="BV218" s="881"/>
      <c r="BW218" s="881"/>
    </row>
    <row r="219" spans="1:75" s="1520" customFormat="1" ht="20.25" customHeight="1">
      <c r="A219" s="617"/>
      <c r="B219" s="352"/>
      <c r="C219" s="617"/>
      <c r="D219" s="617"/>
      <c r="E219" s="624">
        <v>21</v>
      </c>
      <c r="F219" s="3" t="str" cm="1">
        <f t="array" aca="1" ref="F219" ca="1">OFFSET(E219,-1,1)</f>
        <v>1</v>
      </c>
      <c r="G219" s="617"/>
      <c r="H219" s="290"/>
      <c r="I219" s="290" t="s">
        <v>1591</v>
      </c>
      <c r="J219" s="617"/>
      <c r="K219" s="290" t="s">
        <v>1591</v>
      </c>
      <c r="L219" s="887"/>
      <c r="M219" s="28"/>
      <c r="N219" s="617"/>
      <c r="O219" s="617"/>
      <c r="P219" s="617"/>
      <c r="Q219" s="77" t="s">
        <v>2044</v>
      </c>
      <c r="R219" s="80" t="s">
        <v>2044</v>
      </c>
      <c r="S219" s="617"/>
      <c r="T219" s="381" t="b" cm="1">
        <f t="array" ref="T219">T218</f>
        <v>1</v>
      </c>
      <c r="U219" s="617"/>
      <c r="V219" s="617"/>
      <c r="W219" s="617"/>
      <c r="X219" s="1755"/>
      <c r="Y219" s="617"/>
      <c r="Z219" s="1735"/>
      <c r="AA219" s="617"/>
      <c r="AB219" s="136" t="s">
        <v>1592</v>
      </c>
      <c r="AC219" s="273" t="s">
        <v>1857</v>
      </c>
      <c r="AD219" s="129" t="s">
        <v>766</v>
      </c>
      <c r="AE219" s="684">
        <f>SUM(AE220:AE221)</f>
        <v>0</v>
      </c>
      <c r="AF219" s="684">
        <f>SUM(AF220:AF221)</f>
        <v>0</v>
      </c>
      <c r="AG219" s="684">
        <f>SUM(AG220:AG221)</f>
        <v>0</v>
      </c>
      <c r="AH219" s="675">
        <f t="shared" si="49"/>
        <v>0</v>
      </c>
      <c r="AI219" s="1507">
        <f>SUM(AI220:AI221)</f>
        <v>0</v>
      </c>
      <c r="AJ219" s="1502"/>
      <c r="AK219" s="678"/>
      <c r="AL219" s="678"/>
      <c r="AM219" s="678"/>
      <c r="AN219" s="678"/>
      <c r="AO219" s="678"/>
      <c r="AP219" s="678"/>
      <c r="AQ219" s="678"/>
      <c r="AR219" s="678"/>
      <c r="AS219" s="678"/>
      <c r="AT219" s="847"/>
      <c r="AU219" s="847"/>
      <c r="AV219" s="678"/>
      <c r="AW219" s="678"/>
      <c r="AX219" s="678"/>
      <c r="AY219" s="678"/>
      <c r="AZ219" s="678"/>
      <c r="BA219" s="678"/>
      <c r="BB219" s="678"/>
      <c r="BC219" s="678"/>
      <c r="BD219" s="678"/>
      <c r="BE219" s="678"/>
      <c r="BF219" s="678"/>
      <c r="BG219" s="678"/>
      <c r="BH219" s="678"/>
      <c r="BI219" s="678"/>
      <c r="BJ219" s="678"/>
      <c r="BK219" s="678"/>
      <c r="BL219" s="678"/>
      <c r="BM219" s="678"/>
      <c r="BN219" s="1516"/>
      <c r="BO219" s="1516"/>
      <c r="BP219" s="1516"/>
      <c r="BQ219" s="617"/>
      <c r="BR219" s="617"/>
      <c r="BS219" s="972" t="s">
        <v>1858</v>
      </c>
      <c r="BT219" s="972"/>
      <c r="BU219" s="972"/>
      <c r="BV219" s="624"/>
      <c r="BW219" s="624"/>
    </row>
    <row r="220" spans="1:75" s="1327" customFormat="1" ht="14.25" hidden="1" customHeight="1">
      <c r="A220" s="1177"/>
      <c r="B220" s="880"/>
      <c r="C220" s="1177"/>
      <c r="D220" s="1177"/>
      <c r="E220" s="620">
        <v>15</v>
      </c>
      <c r="F220" s="3" t="str" cm="1">
        <f t="array" aca="1" ref="F220" ca="1">OFFSET(E220,-1,1)</f>
        <v>1</v>
      </c>
      <c r="G220" s="1177"/>
      <c r="H220" s="1177"/>
      <c r="I220" s="290" t="s">
        <v>1591</v>
      </c>
      <c r="J220" s="77" cm="1">
        <f t="array" ref="J220">AC220</f>
        <v>0</v>
      </c>
      <c r="K220" s="290" t="s">
        <v>1591</v>
      </c>
      <c r="L220" s="882"/>
      <c r="M220" s="26"/>
      <c r="N220" s="1177"/>
      <c r="O220" s="1177"/>
      <c r="P220" s="1177"/>
      <c r="Q220" s="77" t="s">
        <v>2044</v>
      </c>
      <c r="R220" s="80" t="s">
        <v>2044</v>
      </c>
      <c r="S220" s="1177"/>
      <c r="T220" s="381" t="b">
        <f ca="1">AND(F220&gt;0,Y220&gt;0)</f>
        <v>0</v>
      </c>
      <c r="U220" s="1177"/>
      <c r="V220" s="1177"/>
      <c r="W220" s="77" t="s">
        <v>173</v>
      </c>
      <c r="X220" s="1755"/>
      <c r="Y220" s="77">
        <v>0</v>
      </c>
      <c r="Z220" s="1735"/>
      <c r="AA220" s="337" t="s">
        <v>174</v>
      </c>
      <c r="AB220" s="216" t="str">
        <f>"1.7."&amp;Y220</f>
        <v>1.7.0</v>
      </c>
      <c r="AC220" s="1143"/>
      <c r="AD220" s="216" t="s">
        <v>766</v>
      </c>
      <c r="AE220" s="1155"/>
      <c r="AF220" s="1155"/>
      <c r="AG220" s="1155"/>
      <c r="AH220" s="175">
        <f t="shared" si="49"/>
        <v>0</v>
      </c>
      <c r="AI220" s="1508"/>
      <c r="AJ220" s="1509"/>
      <c r="AK220" s="850"/>
      <c r="AL220" s="850"/>
      <c r="AM220" s="850"/>
      <c r="AN220" s="850"/>
      <c r="AO220" s="850"/>
      <c r="AP220" s="850"/>
      <c r="AQ220" s="850"/>
      <c r="AR220" s="850"/>
      <c r="AS220" s="850"/>
      <c r="AT220" s="847"/>
      <c r="AU220" s="850"/>
      <c r="AV220" s="850"/>
      <c r="AW220" s="850"/>
      <c r="AX220" s="850"/>
      <c r="AY220" s="850"/>
      <c r="AZ220" s="850"/>
      <c r="BA220" s="850"/>
      <c r="BB220" s="850"/>
      <c r="BC220" s="850"/>
      <c r="BD220" s="678"/>
      <c r="BE220" s="850"/>
      <c r="BF220" s="850"/>
      <c r="BG220" s="850"/>
      <c r="BH220" s="850"/>
      <c r="BI220" s="850"/>
      <c r="BJ220" s="850"/>
      <c r="BK220" s="850"/>
      <c r="BL220" s="850"/>
      <c r="BM220" s="850"/>
      <c r="BN220" s="1156"/>
      <c r="BO220" s="1156"/>
      <c r="BP220" s="1156"/>
      <c r="BQ220" s="1177"/>
      <c r="BR220" s="1177"/>
      <c r="BS220" s="966" t="s">
        <v>1858</v>
      </c>
      <c r="BT220" s="966" t="s">
        <v>1859</v>
      </c>
      <c r="BU220" s="966" cm="1">
        <f t="array" ref="BU220">AC220</f>
        <v>0</v>
      </c>
      <c r="BV220" s="881"/>
      <c r="BW220" s="620" t="b">
        <v>1</v>
      </c>
    </row>
    <row r="221" spans="1:75" s="1327" customFormat="1" ht="14.25" customHeight="1">
      <c r="A221" s="1177"/>
      <c r="B221" s="880"/>
      <c r="C221" s="1177"/>
      <c r="D221" s="1177"/>
      <c r="E221" s="620">
        <v>15</v>
      </c>
      <c r="F221" s="3" t="str" cm="1">
        <f t="array" aca="1" ref="F221" ca="1">OFFSET(E221,-1,1)</f>
        <v>1</v>
      </c>
      <c r="G221" s="276"/>
      <c r="H221" s="1177"/>
      <c r="I221" s="1177"/>
      <c r="J221" s="77" t="s">
        <v>1860</v>
      </c>
      <c r="K221" s="1177"/>
      <c r="L221" s="882"/>
      <c r="M221" s="26"/>
      <c r="N221" s="1177"/>
      <c r="O221" s="1177"/>
      <c r="P221" s="1177"/>
      <c r="Q221" s="1177"/>
      <c r="R221" s="1177"/>
      <c r="S221" s="1177"/>
      <c r="T221" s="381" t="b">
        <f ca="1">F221&gt;0</f>
        <v>1</v>
      </c>
      <c r="U221" s="1177"/>
      <c r="V221" s="1177"/>
      <c r="W221" s="619" t="s">
        <v>2045</v>
      </c>
      <c r="X221" s="1755"/>
      <c r="Y221" s="1177"/>
      <c r="Z221" s="1735"/>
      <c r="AA221" s="1177"/>
      <c r="AB221" s="689"/>
      <c r="AC221" s="176" t="s">
        <v>177</v>
      </c>
      <c r="AD221" s="690"/>
      <c r="AE221" s="690"/>
      <c r="AF221" s="690"/>
      <c r="AG221" s="690"/>
      <c r="AH221" s="690"/>
      <c r="AI221" s="690"/>
      <c r="AJ221" s="690"/>
      <c r="AK221" s="690"/>
      <c r="AL221" s="690"/>
      <c r="AM221" s="690"/>
      <c r="AN221" s="690"/>
      <c r="AO221" s="690"/>
      <c r="AP221" s="690"/>
      <c r="AQ221" s="690"/>
      <c r="AR221" s="690"/>
      <c r="AS221" s="690"/>
      <c r="AT221" s="690"/>
      <c r="AU221" s="690"/>
      <c r="AV221" s="690"/>
      <c r="AW221" s="690"/>
      <c r="AX221" s="690"/>
      <c r="AY221" s="690"/>
      <c r="AZ221" s="690"/>
      <c r="BA221" s="690"/>
      <c r="BB221" s="690"/>
      <c r="BC221" s="690"/>
      <c r="BD221" s="690"/>
      <c r="BE221" s="690"/>
      <c r="BF221" s="690"/>
      <c r="BG221" s="690"/>
      <c r="BH221" s="690"/>
      <c r="BI221" s="690"/>
      <c r="BJ221" s="690"/>
      <c r="BK221" s="690"/>
      <c r="BL221" s="690"/>
      <c r="BM221" s="690"/>
      <c r="BN221" s="690"/>
      <c r="BO221" s="690"/>
      <c r="BP221" s="691"/>
      <c r="BQ221" s="1177"/>
      <c r="BR221" s="1177"/>
      <c r="BS221" s="966"/>
      <c r="BT221" s="966"/>
      <c r="BU221" s="966"/>
      <c r="BV221" s="620" t="s">
        <v>1859</v>
      </c>
      <c r="BW221" s="881"/>
    </row>
    <row r="222" spans="1:75" s="1521" customFormat="1" ht="20.25" customHeight="1">
      <c r="A222" s="617"/>
      <c r="B222" s="352"/>
      <c r="C222" s="617"/>
      <c r="D222" s="617"/>
      <c r="E222" s="624">
        <v>21</v>
      </c>
      <c r="F222" s="3" t="str" cm="1">
        <f t="array" aca="1" ref="F222" ca="1">OFFSET(E222,-1,1)</f>
        <v>1</v>
      </c>
      <c r="G222" s="617"/>
      <c r="H222" s="77"/>
      <c r="I222" s="77" t="s">
        <v>324</v>
      </c>
      <c r="J222" s="617"/>
      <c r="K222" s="77" t="s">
        <v>324</v>
      </c>
      <c r="L222" s="887"/>
      <c r="M222" s="28"/>
      <c r="N222" s="617"/>
      <c r="O222" s="617"/>
      <c r="P222" s="617"/>
      <c r="Q222" s="617"/>
      <c r="R222" s="617"/>
      <c r="S222" s="617"/>
      <c r="T222" s="381" t="b" cm="1">
        <f t="array" aca="1" ref="T222" ca="1">T221</f>
        <v>1</v>
      </c>
      <c r="U222" s="617"/>
      <c r="V222" s="617"/>
      <c r="W222" s="617"/>
      <c r="X222" s="1755"/>
      <c r="Y222" s="617"/>
      <c r="Z222" s="1735"/>
      <c r="AA222" s="617"/>
      <c r="AB222" s="165" t="s">
        <v>224</v>
      </c>
      <c r="AC222" s="130" t="s">
        <v>1861</v>
      </c>
      <c r="AD222" s="152" t="s">
        <v>766</v>
      </c>
      <c r="AE222" s="131">
        <f ca="1">AE223+AE235+AE236++AE247+AE248+AE249+AE251+AE252+AE253+AE254+AE257</f>
        <v>140.82</v>
      </c>
      <c r="AF222" s="131">
        <f ca="1">AF223+AF235+AF236++AF247+AF248+AF249+AF251+AF252+AF253+AF254+AF257</f>
        <v>5.6</v>
      </c>
      <c r="AG222" s="131">
        <f ca="1">AG223+AG235+AG236++AG247+AG248+AG249+AG251+AG252+AG253+AG254+AG257</f>
        <v>5.6</v>
      </c>
      <c r="AH222" s="675">
        <f t="shared" ref="AH222:AH267" ca="1" si="50">AG222-AF222</f>
        <v>0</v>
      </c>
      <c r="AI222" s="684">
        <f t="shared" ref="AI222:BC222" ca="1" si="51">AI223+AI235+AI236++AI247+AI248+AI249+AI251+AI252+AI253+AI254+AI257</f>
        <v>146.88999999999999</v>
      </c>
      <c r="AJ222" s="684">
        <f t="shared" ca="1" si="51"/>
        <v>155.30000000000001</v>
      </c>
      <c r="AK222" s="684">
        <f t="shared" ca="1" si="51"/>
        <v>0</v>
      </c>
      <c r="AL222" s="684">
        <f t="shared" ca="1" si="51"/>
        <v>0</v>
      </c>
      <c r="AM222" s="684">
        <f t="shared" ca="1" si="51"/>
        <v>0</v>
      </c>
      <c r="AN222" s="684">
        <f t="shared" ca="1" si="51"/>
        <v>0</v>
      </c>
      <c r="AO222" s="684">
        <f t="shared" ca="1" si="51"/>
        <v>0</v>
      </c>
      <c r="AP222" s="684">
        <f t="shared" ca="1" si="51"/>
        <v>0</v>
      </c>
      <c r="AQ222" s="684">
        <f t="shared" ca="1" si="51"/>
        <v>0</v>
      </c>
      <c r="AR222" s="684">
        <f t="shared" ca="1" si="51"/>
        <v>0</v>
      </c>
      <c r="AS222" s="684">
        <f t="shared" ca="1" si="51"/>
        <v>0</v>
      </c>
      <c r="AT222" s="684">
        <f t="shared" ca="1" si="51"/>
        <v>155.33000000000001</v>
      </c>
      <c r="AU222" s="684">
        <f t="shared" ca="1" si="51"/>
        <v>0</v>
      </c>
      <c r="AV222" s="684">
        <f t="shared" ca="1" si="51"/>
        <v>0</v>
      </c>
      <c r="AW222" s="684">
        <f t="shared" ca="1" si="51"/>
        <v>0</v>
      </c>
      <c r="AX222" s="684">
        <f t="shared" ca="1" si="51"/>
        <v>0</v>
      </c>
      <c r="AY222" s="684">
        <f t="shared" ca="1" si="51"/>
        <v>0</v>
      </c>
      <c r="AZ222" s="684">
        <f t="shared" ca="1" si="51"/>
        <v>0</v>
      </c>
      <c r="BA222" s="684">
        <f t="shared" ca="1" si="51"/>
        <v>0</v>
      </c>
      <c r="BB222" s="684">
        <f t="shared" ca="1" si="51"/>
        <v>0</v>
      </c>
      <c r="BC222" s="684">
        <f t="shared" ca="1" si="51"/>
        <v>0</v>
      </c>
      <c r="BD222" s="675">
        <f t="shared" ref="BD222:BD267" ca="1" si="52">IF(AI222=0,0,(AT222-AI222)/AI222*100)</f>
        <v>5.7457961740077792</v>
      </c>
      <c r="BE222" s="675">
        <f t="shared" ref="BE222:BE267" ca="1" si="53">IF(AT222=0,0,(AU222-AT222)/AT222*100)</f>
        <v>-100</v>
      </c>
      <c r="BF222" s="675">
        <f t="shared" ref="BF222:BF267" ca="1" si="54">IF(AU222=0,0,(AV222-AU222)/AU222*100)</f>
        <v>0</v>
      </c>
      <c r="BG222" s="675">
        <f t="shared" ref="BG222:BG267" ca="1" si="55">IF(AV222=0,0,(AW222-AV222)/AV222*100)</f>
        <v>0</v>
      </c>
      <c r="BH222" s="675">
        <f t="shared" ref="BH222:BH267" ca="1" si="56">IF(AW222=0,0,(AX222-AW222)/AW222*100)</f>
        <v>0</v>
      </c>
      <c r="BI222" s="675">
        <f t="shared" ref="BI222:BI267" ca="1" si="57">IF(AX222=0,0,(AY222-AX222)/AX222*100)</f>
        <v>0</v>
      </c>
      <c r="BJ222" s="675">
        <f t="shared" ref="BJ222:BJ267" ca="1" si="58">IF(AY222=0,0,(AZ222-AY222)/AY222*100)</f>
        <v>0</v>
      </c>
      <c r="BK222" s="675">
        <f t="shared" ref="BK222:BK267" ca="1" si="59">IF(AZ222=0,0,(BA222-AZ222)/AZ222*100)</f>
        <v>0</v>
      </c>
      <c r="BL222" s="675">
        <f t="shared" ref="BL222:BL267" ca="1" si="60">IF(BA222=0,0,(BB222-BA222)/BA222*100)</f>
        <v>0</v>
      </c>
      <c r="BM222" s="675">
        <f t="shared" ref="BM222:BM267" ca="1" si="61">IF(BB222=0,0,(BC222-BB222)/BB222*100)</f>
        <v>0</v>
      </c>
      <c r="BN222" s="1522"/>
      <c r="BO222" s="1522"/>
      <c r="BP222" s="1522"/>
      <c r="BQ222" s="79"/>
      <c r="BR222" s="617"/>
      <c r="BS222" s="972" t="s">
        <v>1862</v>
      </c>
      <c r="BT222" s="972"/>
      <c r="BU222" s="972"/>
      <c r="BV222" s="624"/>
      <c r="BW222" s="624"/>
    </row>
    <row r="223" spans="1:75" s="1523" customFormat="1" ht="21.75" customHeight="1">
      <c r="A223" s="617"/>
      <c r="B223" s="352"/>
      <c r="C223" s="617"/>
      <c r="D223" s="617"/>
      <c r="E223" s="624">
        <v>22.5</v>
      </c>
      <c r="F223" s="3" t="str" cm="1">
        <f t="array" aca="1" ref="F223" ca="1">OFFSET(E223,-1,1)</f>
        <v>1</v>
      </c>
      <c r="G223" s="617"/>
      <c r="H223" s="77"/>
      <c r="I223" s="77" t="s">
        <v>445</v>
      </c>
      <c r="J223" s="617"/>
      <c r="K223" s="77" t="s">
        <v>445</v>
      </c>
      <c r="L223" s="887" t="s">
        <v>431</v>
      </c>
      <c r="M223" s="28"/>
      <c r="N223" s="617"/>
      <c r="O223" s="617"/>
      <c r="P223" s="617"/>
      <c r="Q223" s="617"/>
      <c r="R223" s="617"/>
      <c r="S223" s="617"/>
      <c r="T223" s="381" t="b" cm="1">
        <f t="array" aca="1" ref="T223" ca="1">T222</f>
        <v>1</v>
      </c>
      <c r="U223" s="617"/>
      <c r="V223" s="617"/>
      <c r="W223" s="617"/>
      <c r="X223" s="1755"/>
      <c r="Y223" s="617"/>
      <c r="Z223" s="1735"/>
      <c r="AA223" s="617"/>
      <c r="AB223" s="136" t="s">
        <v>502</v>
      </c>
      <c r="AC223" s="273" t="s">
        <v>1863</v>
      </c>
      <c r="AD223" s="129" t="s">
        <v>766</v>
      </c>
      <c r="AE223" s="131">
        <f ca="1">SUM(AE224:AE234)</f>
        <v>140.82</v>
      </c>
      <c r="AF223" s="131">
        <f ca="1">SUM(AF224:AF234)</f>
        <v>5.6</v>
      </c>
      <c r="AG223" s="131">
        <f ca="1">SUM(AG224:AG234)</f>
        <v>5.6</v>
      </c>
      <c r="AH223" s="675">
        <f t="shared" ca="1" si="50"/>
        <v>0</v>
      </c>
      <c r="AI223" s="131">
        <f t="shared" ref="AI223:BC223" ca="1" si="62">SUM(AI224:AI234)</f>
        <v>146.88999999999999</v>
      </c>
      <c r="AJ223" s="131">
        <f t="shared" ca="1" si="62"/>
        <v>155.30000000000001</v>
      </c>
      <c r="AK223" s="131">
        <f t="shared" ca="1" si="62"/>
        <v>0</v>
      </c>
      <c r="AL223" s="131">
        <f t="shared" ca="1" si="62"/>
        <v>0</v>
      </c>
      <c r="AM223" s="131">
        <f t="shared" ca="1" si="62"/>
        <v>0</v>
      </c>
      <c r="AN223" s="131">
        <f t="shared" ca="1" si="62"/>
        <v>0</v>
      </c>
      <c r="AO223" s="131">
        <f t="shared" ca="1" si="62"/>
        <v>0</v>
      </c>
      <c r="AP223" s="131">
        <f t="shared" ca="1" si="62"/>
        <v>0</v>
      </c>
      <c r="AQ223" s="131">
        <f t="shared" ca="1" si="62"/>
        <v>0</v>
      </c>
      <c r="AR223" s="131">
        <f t="shared" ca="1" si="62"/>
        <v>0</v>
      </c>
      <c r="AS223" s="131">
        <f t="shared" ca="1" si="62"/>
        <v>0</v>
      </c>
      <c r="AT223" s="131">
        <f t="shared" ca="1" si="62"/>
        <v>155.33000000000001</v>
      </c>
      <c r="AU223" s="131">
        <f t="shared" ca="1" si="62"/>
        <v>0</v>
      </c>
      <c r="AV223" s="131">
        <f t="shared" ca="1" si="62"/>
        <v>0</v>
      </c>
      <c r="AW223" s="131">
        <f t="shared" ca="1" si="62"/>
        <v>0</v>
      </c>
      <c r="AX223" s="131">
        <f t="shared" ca="1" si="62"/>
        <v>0</v>
      </c>
      <c r="AY223" s="131">
        <f t="shared" ca="1" si="62"/>
        <v>0</v>
      </c>
      <c r="AZ223" s="131">
        <f t="shared" ca="1" si="62"/>
        <v>0</v>
      </c>
      <c r="BA223" s="131">
        <f t="shared" ca="1" si="62"/>
        <v>0</v>
      </c>
      <c r="BB223" s="131">
        <f t="shared" ca="1" si="62"/>
        <v>0</v>
      </c>
      <c r="BC223" s="131">
        <f t="shared" ca="1" si="62"/>
        <v>0</v>
      </c>
      <c r="BD223" s="675">
        <f t="shared" ca="1" si="52"/>
        <v>5.7457961740077792</v>
      </c>
      <c r="BE223" s="675">
        <f t="shared" ca="1" si="53"/>
        <v>-100</v>
      </c>
      <c r="BF223" s="675">
        <f t="shared" ca="1" si="54"/>
        <v>0</v>
      </c>
      <c r="BG223" s="675">
        <f t="shared" ca="1" si="55"/>
        <v>0</v>
      </c>
      <c r="BH223" s="675">
        <f t="shared" ca="1" si="56"/>
        <v>0</v>
      </c>
      <c r="BI223" s="675">
        <f t="shared" ca="1" si="57"/>
        <v>0</v>
      </c>
      <c r="BJ223" s="675">
        <f t="shared" ca="1" si="58"/>
        <v>0</v>
      </c>
      <c r="BK223" s="675">
        <f t="shared" ca="1" si="59"/>
        <v>0</v>
      </c>
      <c r="BL223" s="675">
        <f t="shared" ca="1" si="60"/>
        <v>0</v>
      </c>
      <c r="BM223" s="675">
        <f t="shared" ca="1" si="61"/>
        <v>0</v>
      </c>
      <c r="BN223" s="1483"/>
      <c r="BO223" s="1483"/>
      <c r="BP223" s="1483"/>
      <c r="BQ223" s="617"/>
      <c r="BR223" s="617"/>
      <c r="BS223" s="972" t="s">
        <v>1864</v>
      </c>
      <c r="BT223" s="972"/>
      <c r="BU223" s="972"/>
      <c r="BV223" s="624"/>
      <c r="BW223" s="624"/>
    </row>
    <row r="224" spans="1:75" s="1327" customFormat="1" ht="14.25" customHeight="1">
      <c r="A224" s="1177"/>
      <c r="B224" s="880"/>
      <c r="C224" s="1177"/>
      <c r="D224" s="1177"/>
      <c r="E224" s="620">
        <v>15</v>
      </c>
      <c r="F224" s="3" t="str" cm="1">
        <f t="array" aca="1" ref="F224" ca="1">OFFSET(E224,-1,1)</f>
        <v>1</v>
      </c>
      <c r="G224" s="77" t="s">
        <v>998</v>
      </c>
      <c r="H224" s="1177"/>
      <c r="I224" s="77" t="s">
        <v>1412</v>
      </c>
      <c r="J224" s="1177"/>
      <c r="K224" s="77" t="s">
        <v>1412</v>
      </c>
      <c r="L224" s="882" t="s">
        <v>1189</v>
      </c>
      <c r="M224" s="26"/>
      <c r="N224" s="1177"/>
      <c r="O224" s="1177"/>
      <c r="P224" s="1177"/>
      <c r="Q224" s="1177"/>
      <c r="R224" s="1177"/>
      <c r="S224" s="1177"/>
      <c r="T224" s="381" t="b" cm="1">
        <f t="array" aca="1" ref="T224" ca="1">T223</f>
        <v>1</v>
      </c>
      <c r="U224" s="1177"/>
      <c r="V224" s="1177"/>
      <c r="W224" s="1177"/>
      <c r="X224" s="1755"/>
      <c r="Y224" s="1177"/>
      <c r="Z224" s="1735"/>
      <c r="AA224" s="1177"/>
      <c r="AB224" s="215" t="s">
        <v>453</v>
      </c>
      <c r="AC224" s="679" t="s">
        <v>1865</v>
      </c>
      <c r="AD224" s="216" t="s">
        <v>766</v>
      </c>
      <c r="AE224" s="175">
        <f ca="1">SUMIFS(Покупка!AE$25:AE$90,Покупка!$F$25:$F$90,$F224,Покупка!$AC$25:$AC$90,$G224)</f>
        <v>0</v>
      </c>
      <c r="AF224" s="175">
        <f ca="1">SUMIFS(Покупка!AF$25:AF$90,Покупка!$F$25:$F$90,$F224,Покупка!$AC$25:$AC$90,$G224)</f>
        <v>0</v>
      </c>
      <c r="AG224" s="175">
        <f ca="1">SUMIFS(Покупка!AG$25:AG$90,Покупка!$F$25:$F$90,$F224,Покупка!$AC$25:$AC$90,$G224)</f>
        <v>0</v>
      </c>
      <c r="AH224" s="848">
        <f t="shared" ca="1" si="50"/>
        <v>0</v>
      </c>
      <c r="AI224" s="848">
        <f ca="1">SUMIFS(Покупка!AH$25:AH$90,Покупка!$F$25:$F$90,$F224,Покупка!$AC$25:$AC$90,$G224)</f>
        <v>0</v>
      </c>
      <c r="AJ224" s="848">
        <f ca="1">SUMIFS(Покупка!AI$25:AI$90,Покупка!$F$25:$F$90,$F224,Покупка!$AC$25:$AC$90,$G224)</f>
        <v>0</v>
      </c>
      <c r="AK224" s="848">
        <f ca="1">SUMIFS(Покупка!AJ$25:AJ$90,Покупка!$F$25:$F$90,$F224,Покупка!$AC$25:$AC$90,$G224)</f>
        <v>0</v>
      </c>
      <c r="AL224" s="848">
        <f ca="1">SUMIFS(Покупка!AK$25:AK$90,Покупка!$F$25:$F$90,$F224,Покупка!$AC$25:$AC$90,$G224)</f>
        <v>0</v>
      </c>
      <c r="AM224" s="848">
        <f ca="1">SUMIFS(Покупка!AL$25:AL$90,Покупка!$F$25:$F$90,$F224,Покупка!$AC$25:$AC$90,$G224)</f>
        <v>0</v>
      </c>
      <c r="AN224" s="848">
        <f ca="1">SUMIFS(Покупка!AM$25:AM$90,Покупка!$F$25:$F$90,$F224,Покупка!$AC$25:$AC$90,$G224)</f>
        <v>0</v>
      </c>
      <c r="AO224" s="848">
        <f ca="1">SUMIFS(Покупка!AN$25:AN$90,Покупка!$F$25:$F$90,$F224,Покупка!$AC$25:$AC$90,$G224)</f>
        <v>0</v>
      </c>
      <c r="AP224" s="848">
        <f ca="1">SUMIFS(Покупка!AO$25:AO$90,Покупка!$F$25:$F$90,$F224,Покупка!$AC$25:$AC$90,$G224)</f>
        <v>0</v>
      </c>
      <c r="AQ224" s="848">
        <f ca="1">SUMIFS(Покупка!AP$25:AP$90,Покупка!$F$25:$F$90,$F224,Покупка!$AC$25:$AC$90,$G224)</f>
        <v>0</v>
      </c>
      <c r="AR224" s="848">
        <f ca="1">SUMIFS(Покупка!AQ$25:AQ$90,Покупка!$F$25:$F$90,$F224,Покупка!$AC$25:$AC$90,$G224)</f>
        <v>0</v>
      </c>
      <c r="AS224" s="848">
        <f ca="1">SUMIFS(Покупка!AR$25:AR$90,Покупка!$F$25:$F$90,$F224,Покупка!$AC$25:$AC$90,$G224)</f>
        <v>0</v>
      </c>
      <c r="AT224" s="848">
        <f ca="1">SUMIFS(Покупка!AS$25:AS$90,Покупка!$F$25:$F$90,$F224,Покупка!$AC$25:$AC$90,$G224)</f>
        <v>0</v>
      </c>
      <c r="AU224" s="848">
        <f ca="1">SUMIFS(Покупка!AT$25:AT$90,Покупка!$F$25:$F$90,$F224,Покупка!$AC$25:$AC$90,$G224)</f>
        <v>0</v>
      </c>
      <c r="AV224" s="848">
        <f ca="1">SUMIFS(Покупка!AU$25:AU$90,Покупка!$F$25:$F$90,$F224,Покупка!$AC$25:$AC$90,$G224)</f>
        <v>0</v>
      </c>
      <c r="AW224" s="848">
        <f ca="1">SUMIFS(Покупка!AV$25:AV$90,Покупка!$F$25:$F$90,$F224,Покупка!$AC$25:$AC$90,$G224)</f>
        <v>0</v>
      </c>
      <c r="AX224" s="848">
        <f ca="1">SUMIFS(Покупка!AW$25:AW$90,Покупка!$F$25:$F$90,$F224,Покупка!$AC$25:$AC$90,$G224)</f>
        <v>0</v>
      </c>
      <c r="AY224" s="848">
        <f ca="1">SUMIFS(Покупка!AX$25:AX$90,Покупка!$F$25:$F$90,$F224,Покупка!$AC$25:$AC$90,$G224)</f>
        <v>0</v>
      </c>
      <c r="AZ224" s="848">
        <f ca="1">SUMIFS(Покупка!AY$25:AY$90,Покупка!$F$25:$F$90,$F224,Покупка!$AC$25:$AC$90,$G224)</f>
        <v>0</v>
      </c>
      <c r="BA224" s="848">
        <f ca="1">SUMIFS(Покупка!AZ$25:AZ$90,Покупка!$F$25:$F$90,$F224,Покупка!$AC$25:$AC$90,$G224)</f>
        <v>0</v>
      </c>
      <c r="BB224" s="848">
        <f ca="1">SUMIFS(Покупка!BA$25:BA$90,Покупка!$F$25:$F$90,$F224,Покупка!$AC$25:$AC$90,$G224)</f>
        <v>0</v>
      </c>
      <c r="BC224" s="848">
        <f ca="1">SUMIFS(Покупка!BB$25:BB$90,Покупка!$F$25:$F$90,$F224,Покупка!$AC$25:$AC$90,$G224)</f>
        <v>0</v>
      </c>
      <c r="BD224" s="848">
        <f t="shared" ca="1" si="52"/>
        <v>0</v>
      </c>
      <c r="BE224" s="848">
        <f t="shared" ca="1" si="53"/>
        <v>0</v>
      </c>
      <c r="BF224" s="848">
        <f t="shared" ca="1" si="54"/>
        <v>0</v>
      </c>
      <c r="BG224" s="848">
        <f t="shared" ca="1" si="55"/>
        <v>0</v>
      </c>
      <c r="BH224" s="848">
        <f t="shared" ca="1" si="56"/>
        <v>0</v>
      </c>
      <c r="BI224" s="848">
        <f t="shared" ca="1" si="57"/>
        <v>0</v>
      </c>
      <c r="BJ224" s="848">
        <f t="shared" ca="1" si="58"/>
        <v>0</v>
      </c>
      <c r="BK224" s="848">
        <f t="shared" ca="1" si="59"/>
        <v>0</v>
      </c>
      <c r="BL224" s="848">
        <f t="shared" ca="1" si="60"/>
        <v>0</v>
      </c>
      <c r="BM224" s="848">
        <f t="shared" ca="1" si="61"/>
        <v>0</v>
      </c>
      <c r="BN224" s="1522"/>
      <c r="BO224" s="1517" t="str">
        <f ca="1">IF(IFERROR(INDEX(Покупка!$K$26:$L$90,MATCH($F224&amp;"6komm",Покупка!$K$26:$K$90,0),2),"")=0,"",IFERROR(INDEX(Покупка!$K$26:$L$90,MATCH($F224&amp;"6komm",Покупка!$K$26:$K$90,0),2),""))</f>
        <v/>
      </c>
      <c r="BP224" s="1522"/>
      <c r="BQ224" s="1177"/>
      <c r="BR224" s="1177"/>
      <c r="BS224" s="966" t="s">
        <v>999</v>
      </c>
      <c r="BT224" s="966"/>
      <c r="BU224" s="966"/>
      <c r="BV224" s="881"/>
      <c r="BW224" s="881"/>
    </row>
    <row r="225" spans="1:75" s="1327" customFormat="1" ht="14.25" customHeight="1">
      <c r="A225" s="1177"/>
      <c r="B225" s="15"/>
      <c r="C225" s="26"/>
      <c r="D225" s="26"/>
      <c r="E225" s="538">
        <v>15</v>
      </c>
      <c r="F225" s="3" t="str" cm="1">
        <f t="array" aca="1" ref="F225" ca="1">OFFSET(E225,-1,1)</f>
        <v>1</v>
      </c>
      <c r="G225" s="26" t="s">
        <v>1000</v>
      </c>
      <c r="H225" s="26"/>
      <c r="I225" s="26" t="s">
        <v>1416</v>
      </c>
      <c r="J225" s="26"/>
      <c r="K225" s="26" t="s">
        <v>1416</v>
      </c>
      <c r="L225" s="882" t="s">
        <v>1193</v>
      </c>
      <c r="M225" s="26"/>
      <c r="N225" s="26"/>
      <c r="O225" s="26"/>
      <c r="P225" s="26"/>
      <c r="Q225" s="26"/>
      <c r="R225" s="26"/>
      <c r="S225" s="26"/>
      <c r="T225" s="381" t="b" cm="1">
        <f t="array" aca="1" ref="T225" ca="1">T224</f>
        <v>1</v>
      </c>
      <c r="U225" s="26"/>
      <c r="V225" s="26"/>
      <c r="W225" s="1177"/>
      <c r="X225" s="1755"/>
      <c r="Y225" s="1177"/>
      <c r="Z225" s="1735"/>
      <c r="AA225" s="1177"/>
      <c r="AB225" s="215" t="s">
        <v>1866</v>
      </c>
      <c r="AC225" s="679" t="s">
        <v>1867</v>
      </c>
      <c r="AD225" s="216" t="s">
        <v>766</v>
      </c>
      <c r="AE225" s="175">
        <f ca="1">SUMIFS(Покупка!AE$25:AE$90,Покупка!$F$25:$F$90,$F225,Покупка!$AC$25:$AC$90,$G225)</f>
        <v>0</v>
      </c>
      <c r="AF225" s="175">
        <f ca="1">SUMIFS(Покупка!AF$25:AF$90,Покупка!$F$25:$F$90,$F225,Покупка!$AC$25:$AC$90,$G225)</f>
        <v>0</v>
      </c>
      <c r="AG225" s="175">
        <f ca="1">SUMIFS(Покупка!AG$25:AG$90,Покупка!$F$25:$F$90,$F225,Покупка!$AC$25:$AC$90,$G225)</f>
        <v>0</v>
      </c>
      <c r="AH225" s="848">
        <f t="shared" ca="1" si="50"/>
        <v>0</v>
      </c>
      <c r="AI225" s="848">
        <f ca="1">SUMIFS(Покупка!AH$25:AH$90,Покупка!$F$25:$F$90,$F225,Покупка!$AC$25:$AC$90,$G225)</f>
        <v>0</v>
      </c>
      <c r="AJ225" s="848">
        <f ca="1">SUMIFS(Покупка!AI$25:AI$90,Покупка!$F$25:$F$90,$F225,Покупка!$AC$25:$AC$90,$G225)</f>
        <v>0</v>
      </c>
      <c r="AK225" s="848">
        <f ca="1">SUMIFS(Покупка!AJ$25:AJ$90,Покупка!$F$25:$F$90,$F225,Покупка!$AC$25:$AC$90,$G225)</f>
        <v>0</v>
      </c>
      <c r="AL225" s="848">
        <f ca="1">SUMIFS(Покупка!AK$25:AK$90,Покупка!$F$25:$F$90,$F225,Покупка!$AC$25:$AC$90,$G225)</f>
        <v>0</v>
      </c>
      <c r="AM225" s="848">
        <f ca="1">SUMIFS(Покупка!AL$25:AL$90,Покупка!$F$25:$F$90,$F225,Покупка!$AC$25:$AC$90,$G225)</f>
        <v>0</v>
      </c>
      <c r="AN225" s="848">
        <f ca="1">SUMIFS(Покупка!AM$25:AM$90,Покупка!$F$25:$F$90,$F225,Покупка!$AC$25:$AC$90,$G225)</f>
        <v>0</v>
      </c>
      <c r="AO225" s="848">
        <f ca="1">SUMIFS(Покупка!AN$25:AN$90,Покупка!$F$25:$F$90,$F225,Покупка!$AC$25:$AC$90,$G225)</f>
        <v>0</v>
      </c>
      <c r="AP225" s="848">
        <f ca="1">SUMIFS(Покупка!AO$25:AO$90,Покупка!$F$25:$F$90,$F225,Покупка!$AC$25:$AC$90,$G225)</f>
        <v>0</v>
      </c>
      <c r="AQ225" s="848">
        <f ca="1">SUMIFS(Покупка!AP$25:AP$90,Покупка!$F$25:$F$90,$F225,Покупка!$AC$25:$AC$90,$G225)</f>
        <v>0</v>
      </c>
      <c r="AR225" s="848">
        <f ca="1">SUMIFS(Покупка!AQ$25:AQ$90,Покупка!$F$25:$F$90,$F225,Покупка!$AC$25:$AC$90,$G225)</f>
        <v>0</v>
      </c>
      <c r="AS225" s="848">
        <f ca="1">SUMIFS(Покупка!AR$25:AR$90,Покупка!$F$25:$F$90,$F225,Покупка!$AC$25:$AC$90,$G225)</f>
        <v>0</v>
      </c>
      <c r="AT225" s="848">
        <f ca="1">SUMIFS(Покупка!AS$25:AS$90,Покупка!$F$25:$F$90,$F225,Покупка!$AC$25:$AC$90,$G225)</f>
        <v>0</v>
      </c>
      <c r="AU225" s="848">
        <f ca="1">SUMIFS(Покупка!AT$25:AT$90,Покупка!$F$25:$F$90,$F225,Покупка!$AC$25:$AC$90,$G225)</f>
        <v>0</v>
      </c>
      <c r="AV225" s="848">
        <f ca="1">SUMIFS(Покупка!AU$25:AU$90,Покупка!$F$25:$F$90,$F225,Покупка!$AC$25:$AC$90,$G225)</f>
        <v>0</v>
      </c>
      <c r="AW225" s="848">
        <f ca="1">SUMIFS(Покупка!AV$25:AV$90,Покупка!$F$25:$F$90,$F225,Покупка!$AC$25:$AC$90,$G225)</f>
        <v>0</v>
      </c>
      <c r="AX225" s="848">
        <f ca="1">SUMIFS(Покупка!AW$25:AW$90,Покупка!$F$25:$F$90,$F225,Покупка!$AC$25:$AC$90,$G225)</f>
        <v>0</v>
      </c>
      <c r="AY225" s="848">
        <f ca="1">SUMIFS(Покупка!AX$25:AX$90,Покупка!$F$25:$F$90,$F225,Покупка!$AC$25:$AC$90,$G225)</f>
        <v>0</v>
      </c>
      <c r="AZ225" s="848">
        <f ca="1">SUMIFS(Покупка!AY$25:AY$90,Покупка!$F$25:$F$90,$F225,Покупка!$AC$25:$AC$90,$G225)</f>
        <v>0</v>
      </c>
      <c r="BA225" s="848">
        <f ca="1">SUMIFS(Покупка!AZ$25:AZ$90,Покупка!$F$25:$F$90,$F225,Покупка!$AC$25:$AC$90,$G225)</f>
        <v>0</v>
      </c>
      <c r="BB225" s="848">
        <f ca="1">SUMIFS(Покупка!BA$25:BA$90,Покупка!$F$25:$F$90,$F225,Покупка!$AC$25:$AC$90,$G225)</f>
        <v>0</v>
      </c>
      <c r="BC225" s="848">
        <f ca="1">SUMIFS(Покупка!BB$25:BB$90,Покупка!$F$25:$F$90,$F225,Покупка!$AC$25:$AC$90,$G225)</f>
        <v>0</v>
      </c>
      <c r="BD225" s="848">
        <f t="shared" ca="1" si="52"/>
        <v>0</v>
      </c>
      <c r="BE225" s="848">
        <f t="shared" ca="1" si="53"/>
        <v>0</v>
      </c>
      <c r="BF225" s="848">
        <f t="shared" ca="1" si="54"/>
        <v>0</v>
      </c>
      <c r="BG225" s="848">
        <f t="shared" ca="1" si="55"/>
        <v>0</v>
      </c>
      <c r="BH225" s="848">
        <f t="shared" ca="1" si="56"/>
        <v>0</v>
      </c>
      <c r="BI225" s="848">
        <f t="shared" ca="1" si="57"/>
        <v>0</v>
      </c>
      <c r="BJ225" s="848">
        <f t="shared" ca="1" si="58"/>
        <v>0</v>
      </c>
      <c r="BK225" s="848">
        <f t="shared" ca="1" si="59"/>
        <v>0</v>
      </c>
      <c r="BL225" s="848">
        <f t="shared" ca="1" si="60"/>
        <v>0</v>
      </c>
      <c r="BM225" s="848">
        <f t="shared" ca="1" si="61"/>
        <v>0</v>
      </c>
      <c r="BN225" s="1522"/>
      <c r="BO225" s="1517" t="str">
        <f ca="1">IF(IFERROR(INDEX(Покупка!$K$26:$L$90,MATCH($F225&amp;"7komm",Покупка!$K$26:$K$90,0),2),"")=0,"",IFERROR(INDEX(Покупка!$K$26:$L$90,MATCH($F225&amp;"7komm",Покупка!$K$26:$K$90,0),2),""))</f>
        <v/>
      </c>
      <c r="BP225" s="1522"/>
      <c r="BQ225" s="1177"/>
      <c r="BR225" s="1177"/>
      <c r="BS225" s="966" t="s">
        <v>1001</v>
      </c>
      <c r="BT225" s="966"/>
      <c r="BU225" s="966"/>
      <c r="BV225" s="881"/>
      <c r="BW225" s="881"/>
    </row>
    <row r="226" spans="1:75" s="1327" customFormat="1" ht="14.25" customHeight="1">
      <c r="A226" s="1177"/>
      <c r="B226" s="15"/>
      <c r="C226" s="26"/>
      <c r="D226" s="26"/>
      <c r="E226" s="538">
        <v>15</v>
      </c>
      <c r="F226" s="3" t="str" cm="1">
        <f t="array" aca="1" ref="F226" ca="1">OFFSET(E226,-1,1)</f>
        <v>1</v>
      </c>
      <c r="G226" s="26" t="s">
        <v>975</v>
      </c>
      <c r="H226" s="26"/>
      <c r="I226" s="26" t="s">
        <v>1491</v>
      </c>
      <c r="J226" s="26"/>
      <c r="K226" s="26" t="s">
        <v>1491</v>
      </c>
      <c r="L226" s="882" t="s">
        <v>1361</v>
      </c>
      <c r="M226" s="26"/>
      <c r="N226" s="26"/>
      <c r="O226" s="26"/>
      <c r="P226" s="26"/>
      <c r="Q226" s="26"/>
      <c r="R226" s="26"/>
      <c r="S226" s="26"/>
      <c r="T226" s="381" t="b" cm="1">
        <f t="array" aca="1" ref="T226" ca="1">T225</f>
        <v>1</v>
      </c>
      <c r="U226" s="26"/>
      <c r="V226" s="26"/>
      <c r="W226" s="1177"/>
      <c r="X226" s="1755"/>
      <c r="Y226" s="1177"/>
      <c r="Z226" s="1735"/>
      <c r="AA226" s="1177"/>
      <c r="AB226" s="215" t="s">
        <v>1868</v>
      </c>
      <c r="AC226" s="679" t="s">
        <v>1869</v>
      </c>
      <c r="AD226" s="216" t="s">
        <v>766</v>
      </c>
      <c r="AE226" s="175">
        <f ca="1">SUMIFS(Покупка!AE$25:AE$90,Покупка!$F$25:$F$90,$F226,Покупка!$AC$25:$AC$90,$G226)</f>
        <v>0</v>
      </c>
      <c r="AF226" s="175">
        <f ca="1">SUMIFS(Покупка!AF$25:AF$90,Покупка!$F$25:$F$90,$F226,Покупка!$AC$25:$AC$90,$G226)</f>
        <v>0</v>
      </c>
      <c r="AG226" s="175">
        <f ca="1">SUMIFS(Покупка!AG$25:AG$90,Покупка!$F$25:$F$90,$F226,Покупка!$AC$25:$AC$90,$G226)</f>
        <v>0</v>
      </c>
      <c r="AH226" s="848">
        <f t="shared" ca="1" si="50"/>
        <v>0</v>
      </c>
      <c r="AI226" s="848">
        <f ca="1">SUMIFS(Покупка!AH$25:AH$90,Покупка!$F$25:$F$90,$F226,Покупка!$AC$25:$AC$90,$G226)</f>
        <v>0</v>
      </c>
      <c r="AJ226" s="848">
        <f ca="1">SUMIFS(Покупка!AI$25:AI$90,Покупка!$F$25:$F$90,$F226,Покупка!$AC$25:$AC$90,$G226)</f>
        <v>0</v>
      </c>
      <c r="AK226" s="848">
        <f ca="1">SUMIFS(Покупка!AJ$25:AJ$90,Покупка!$F$25:$F$90,$F226,Покупка!$AC$25:$AC$90,$G226)</f>
        <v>0</v>
      </c>
      <c r="AL226" s="848">
        <f ca="1">SUMIFS(Покупка!AK$25:AK$90,Покупка!$F$25:$F$90,$F226,Покупка!$AC$25:$AC$90,$G226)</f>
        <v>0</v>
      </c>
      <c r="AM226" s="848">
        <f ca="1">SUMIFS(Покупка!AL$25:AL$90,Покупка!$F$25:$F$90,$F226,Покупка!$AC$25:$AC$90,$G226)</f>
        <v>0</v>
      </c>
      <c r="AN226" s="848">
        <f ca="1">SUMIFS(Покупка!AM$25:AM$90,Покупка!$F$25:$F$90,$F226,Покупка!$AC$25:$AC$90,$G226)</f>
        <v>0</v>
      </c>
      <c r="AO226" s="848">
        <f ca="1">SUMIFS(Покупка!AN$25:AN$90,Покупка!$F$25:$F$90,$F226,Покупка!$AC$25:$AC$90,$G226)</f>
        <v>0</v>
      </c>
      <c r="AP226" s="848">
        <f ca="1">SUMIFS(Покупка!AO$25:AO$90,Покупка!$F$25:$F$90,$F226,Покупка!$AC$25:$AC$90,$G226)</f>
        <v>0</v>
      </c>
      <c r="AQ226" s="848">
        <f ca="1">SUMIFS(Покупка!AP$25:AP$90,Покупка!$F$25:$F$90,$F226,Покупка!$AC$25:$AC$90,$G226)</f>
        <v>0</v>
      </c>
      <c r="AR226" s="848">
        <f ca="1">SUMIFS(Покупка!AQ$25:AQ$90,Покупка!$F$25:$F$90,$F226,Покупка!$AC$25:$AC$90,$G226)</f>
        <v>0</v>
      </c>
      <c r="AS226" s="848">
        <f ca="1">SUMIFS(Покупка!AR$25:AR$90,Покупка!$F$25:$F$90,$F226,Покупка!$AC$25:$AC$90,$G226)</f>
        <v>0</v>
      </c>
      <c r="AT226" s="848">
        <f ca="1">SUMIFS(Покупка!AS$25:AS$90,Покупка!$F$25:$F$90,$F226,Покупка!$AC$25:$AC$90,$G226)</f>
        <v>0</v>
      </c>
      <c r="AU226" s="848">
        <f ca="1">SUMIFS(Покупка!AT$25:AT$90,Покупка!$F$25:$F$90,$F226,Покупка!$AC$25:$AC$90,$G226)</f>
        <v>0</v>
      </c>
      <c r="AV226" s="848">
        <f ca="1">SUMIFS(Покупка!AU$25:AU$90,Покупка!$F$25:$F$90,$F226,Покупка!$AC$25:$AC$90,$G226)</f>
        <v>0</v>
      </c>
      <c r="AW226" s="848">
        <f ca="1">SUMIFS(Покупка!AV$25:AV$90,Покупка!$F$25:$F$90,$F226,Покупка!$AC$25:$AC$90,$G226)</f>
        <v>0</v>
      </c>
      <c r="AX226" s="848">
        <f ca="1">SUMIFS(Покупка!AW$25:AW$90,Покупка!$F$25:$F$90,$F226,Покупка!$AC$25:$AC$90,$G226)</f>
        <v>0</v>
      </c>
      <c r="AY226" s="848">
        <f ca="1">SUMIFS(Покупка!AX$25:AX$90,Покупка!$F$25:$F$90,$F226,Покупка!$AC$25:$AC$90,$G226)</f>
        <v>0</v>
      </c>
      <c r="AZ226" s="848">
        <f ca="1">SUMIFS(Покупка!AY$25:AY$90,Покупка!$F$25:$F$90,$F226,Покупка!$AC$25:$AC$90,$G226)</f>
        <v>0</v>
      </c>
      <c r="BA226" s="848">
        <f ca="1">SUMIFS(Покупка!AZ$25:AZ$90,Покупка!$F$25:$F$90,$F226,Покупка!$AC$25:$AC$90,$G226)</f>
        <v>0</v>
      </c>
      <c r="BB226" s="848">
        <f ca="1">SUMIFS(Покупка!BA$25:BA$90,Покупка!$F$25:$F$90,$F226,Покупка!$AC$25:$AC$90,$G226)</f>
        <v>0</v>
      </c>
      <c r="BC226" s="848">
        <f ca="1">SUMIFS(Покупка!BB$25:BB$90,Покупка!$F$25:$F$90,$F226,Покупка!$AC$25:$AC$90,$G226)</f>
        <v>0</v>
      </c>
      <c r="BD226" s="848">
        <f t="shared" ca="1" si="52"/>
        <v>0</v>
      </c>
      <c r="BE226" s="848">
        <f t="shared" ca="1" si="53"/>
        <v>0</v>
      </c>
      <c r="BF226" s="848">
        <f t="shared" ca="1" si="54"/>
        <v>0</v>
      </c>
      <c r="BG226" s="848">
        <f t="shared" ca="1" si="55"/>
        <v>0</v>
      </c>
      <c r="BH226" s="848">
        <f t="shared" ca="1" si="56"/>
        <v>0</v>
      </c>
      <c r="BI226" s="848">
        <f t="shared" ca="1" si="57"/>
        <v>0</v>
      </c>
      <c r="BJ226" s="848">
        <f t="shared" ca="1" si="58"/>
        <v>0</v>
      </c>
      <c r="BK226" s="848">
        <f t="shared" ca="1" si="59"/>
        <v>0</v>
      </c>
      <c r="BL226" s="848">
        <f t="shared" ca="1" si="60"/>
        <v>0</v>
      </c>
      <c r="BM226" s="848">
        <f t="shared" ca="1" si="61"/>
        <v>0</v>
      </c>
      <c r="BN226" s="1522"/>
      <c r="BO226" s="1517" t="str">
        <f ca="1">IF(IFERROR(INDEX(Покупка!$K$26:$L$90,MATCH($F226&amp;"2komm",Покупка!$K$26:$K$90,0),2),"")=0,"",IFERROR(INDEX(Покупка!$K$26:$L$90,MATCH($F226&amp;"2komm",Покупка!$K$26:$K$90,0),2),""))</f>
        <v/>
      </c>
      <c r="BP226" s="1522"/>
      <c r="BQ226" s="1177"/>
      <c r="BR226" s="1177"/>
      <c r="BS226" s="966" t="s">
        <v>1870</v>
      </c>
      <c r="BT226" s="966"/>
      <c r="BU226" s="966"/>
      <c r="BV226" s="881"/>
      <c r="BW226" s="881"/>
    </row>
    <row r="227" spans="1:75" s="1327" customFormat="1" ht="14.25" customHeight="1">
      <c r="A227" s="1177"/>
      <c r="B227" s="15"/>
      <c r="C227" s="26"/>
      <c r="D227" s="26"/>
      <c r="E227" s="538">
        <v>15</v>
      </c>
      <c r="F227" s="3" t="str" cm="1">
        <f t="array" aca="1" ref="F227" ca="1">OFFSET(E227,-1,1)</f>
        <v>1</v>
      </c>
      <c r="G227" s="26" t="s">
        <v>966</v>
      </c>
      <c r="H227" s="26"/>
      <c r="I227" s="26" t="s">
        <v>1493</v>
      </c>
      <c r="J227" s="26"/>
      <c r="K227" s="26" t="s">
        <v>1493</v>
      </c>
      <c r="L227" s="882" t="s">
        <v>1356</v>
      </c>
      <c r="M227" s="26"/>
      <c r="N227" s="26"/>
      <c r="O227" s="26"/>
      <c r="P227" s="26"/>
      <c r="Q227" s="26"/>
      <c r="R227" s="26"/>
      <c r="S227" s="26"/>
      <c r="T227" s="381" t="b" cm="1">
        <f t="array" aca="1" ref="T227" ca="1">T226</f>
        <v>1</v>
      </c>
      <c r="U227" s="26"/>
      <c r="V227" s="26"/>
      <c r="W227" s="1177"/>
      <c r="X227" s="1755"/>
      <c r="Y227" s="1177"/>
      <c r="Z227" s="1735"/>
      <c r="AA227" s="1177"/>
      <c r="AB227" s="215" t="s">
        <v>1871</v>
      </c>
      <c r="AC227" s="679" t="s">
        <v>1872</v>
      </c>
      <c r="AD227" s="216" t="s">
        <v>766</v>
      </c>
      <c r="AE227" s="175">
        <f ca="1">SUMIFS(Покупка!AE$25:AE$90,Покупка!$F$25:$F$90,$F227,Покупка!$AC$25:$AC$90,$G227)</f>
        <v>140.82</v>
      </c>
      <c r="AF227" s="175">
        <f ca="1">SUMIFS(Покупка!AF$25:AF$90,Покупка!$F$25:$F$90,$F227,Покупка!$AC$25:$AC$90,$G227)</f>
        <v>5.6</v>
      </c>
      <c r="AG227" s="175">
        <f ca="1">SUMIFS(Покупка!AG$25:AG$90,Покупка!$F$25:$F$90,$F227,Покупка!$AC$25:$AC$90,$G227)</f>
        <v>5.6</v>
      </c>
      <c r="AH227" s="848">
        <f t="shared" ca="1" si="50"/>
        <v>0</v>
      </c>
      <c r="AI227" s="848">
        <f ca="1">SUMIFS(Покупка!AH$25:AH$90,Покупка!$F$25:$F$90,$F227,Покупка!$AC$25:$AC$90,$G227)</f>
        <v>146.88999999999999</v>
      </c>
      <c r="AJ227" s="848">
        <f ca="1">SUMIFS(Покупка!AI$25:AI$90,Покупка!$F$25:$F$90,$F227,Покупка!$AC$25:$AC$90,$G227)</f>
        <v>155.30000000000001</v>
      </c>
      <c r="AK227" s="848">
        <f ca="1">SUMIFS(Покупка!AJ$25:AJ$90,Покупка!$F$25:$F$90,$F227,Покупка!$AC$25:$AC$90,$G227)</f>
        <v>0</v>
      </c>
      <c r="AL227" s="848">
        <f ca="1">SUMIFS(Покупка!AK$25:AK$90,Покупка!$F$25:$F$90,$F227,Покупка!$AC$25:$AC$90,$G227)</f>
        <v>0</v>
      </c>
      <c r="AM227" s="848">
        <f ca="1">SUMIFS(Покупка!AL$25:AL$90,Покупка!$F$25:$F$90,$F227,Покупка!$AC$25:$AC$90,$G227)</f>
        <v>0</v>
      </c>
      <c r="AN227" s="848">
        <f ca="1">SUMIFS(Покупка!AM$25:AM$90,Покупка!$F$25:$F$90,$F227,Покупка!$AC$25:$AC$90,$G227)</f>
        <v>0</v>
      </c>
      <c r="AO227" s="848">
        <f ca="1">SUMIFS(Покупка!AN$25:AN$90,Покупка!$F$25:$F$90,$F227,Покупка!$AC$25:$AC$90,$G227)</f>
        <v>0</v>
      </c>
      <c r="AP227" s="848">
        <f ca="1">SUMIFS(Покупка!AO$25:AO$90,Покупка!$F$25:$F$90,$F227,Покупка!$AC$25:$AC$90,$G227)</f>
        <v>0</v>
      </c>
      <c r="AQ227" s="848">
        <f ca="1">SUMIFS(Покупка!AP$25:AP$90,Покупка!$F$25:$F$90,$F227,Покупка!$AC$25:$AC$90,$G227)</f>
        <v>0</v>
      </c>
      <c r="AR227" s="848">
        <f ca="1">SUMIFS(Покупка!AQ$25:AQ$90,Покупка!$F$25:$F$90,$F227,Покупка!$AC$25:$AC$90,$G227)</f>
        <v>0</v>
      </c>
      <c r="AS227" s="848">
        <f ca="1">SUMIFS(Покупка!AR$25:AR$90,Покупка!$F$25:$F$90,$F227,Покупка!$AC$25:$AC$90,$G227)</f>
        <v>0</v>
      </c>
      <c r="AT227" s="848">
        <f ca="1">SUMIFS(Покупка!AS$25:AS$90,Покупка!$F$25:$F$90,$F227,Покупка!$AC$25:$AC$90,$G227)</f>
        <v>155.33000000000001</v>
      </c>
      <c r="AU227" s="848">
        <f ca="1">SUMIFS(Покупка!AT$25:AT$90,Покупка!$F$25:$F$90,$F227,Покупка!$AC$25:$AC$90,$G227)</f>
        <v>0</v>
      </c>
      <c r="AV227" s="848">
        <f ca="1">SUMIFS(Покупка!AU$25:AU$90,Покупка!$F$25:$F$90,$F227,Покупка!$AC$25:$AC$90,$G227)</f>
        <v>0</v>
      </c>
      <c r="AW227" s="848">
        <f ca="1">SUMIFS(Покупка!AV$25:AV$90,Покупка!$F$25:$F$90,$F227,Покупка!$AC$25:$AC$90,$G227)</f>
        <v>0</v>
      </c>
      <c r="AX227" s="848">
        <f ca="1">SUMIFS(Покупка!AW$25:AW$90,Покупка!$F$25:$F$90,$F227,Покупка!$AC$25:$AC$90,$G227)</f>
        <v>0</v>
      </c>
      <c r="AY227" s="848">
        <f ca="1">SUMIFS(Покупка!AX$25:AX$90,Покупка!$F$25:$F$90,$F227,Покупка!$AC$25:$AC$90,$G227)</f>
        <v>0</v>
      </c>
      <c r="AZ227" s="848">
        <f ca="1">SUMIFS(Покупка!AY$25:AY$90,Покупка!$F$25:$F$90,$F227,Покупка!$AC$25:$AC$90,$G227)</f>
        <v>0</v>
      </c>
      <c r="BA227" s="848">
        <f ca="1">SUMIFS(Покупка!AZ$25:AZ$90,Покупка!$F$25:$F$90,$F227,Покупка!$AC$25:$AC$90,$G227)</f>
        <v>0</v>
      </c>
      <c r="BB227" s="848">
        <f ca="1">SUMIFS(Покупка!BA$25:BA$90,Покупка!$F$25:$F$90,$F227,Покупка!$AC$25:$AC$90,$G227)</f>
        <v>0</v>
      </c>
      <c r="BC227" s="848">
        <f ca="1">SUMIFS(Покупка!BB$25:BB$90,Покупка!$F$25:$F$90,$F227,Покупка!$AC$25:$AC$90,$G227)</f>
        <v>0</v>
      </c>
      <c r="BD227" s="848">
        <f t="shared" ca="1" si="52"/>
        <v>5.7457961740077792</v>
      </c>
      <c r="BE227" s="848">
        <f t="shared" ca="1" si="53"/>
        <v>-100</v>
      </c>
      <c r="BF227" s="848">
        <f t="shared" ca="1" si="54"/>
        <v>0</v>
      </c>
      <c r="BG227" s="848">
        <f t="shared" ca="1" si="55"/>
        <v>0</v>
      </c>
      <c r="BH227" s="848">
        <f t="shared" ca="1" si="56"/>
        <v>0</v>
      </c>
      <c r="BI227" s="848">
        <f t="shared" ca="1" si="57"/>
        <v>0</v>
      </c>
      <c r="BJ227" s="848">
        <f t="shared" ca="1" si="58"/>
        <v>0</v>
      </c>
      <c r="BK227" s="848">
        <f t="shared" ca="1" si="59"/>
        <v>0</v>
      </c>
      <c r="BL227" s="848">
        <f t="shared" ca="1" si="60"/>
        <v>0</v>
      </c>
      <c r="BM227" s="848">
        <f t="shared" ca="1" si="61"/>
        <v>0</v>
      </c>
      <c r="BN227" s="1522"/>
      <c r="BO227" s="1517" t="str">
        <f ca="1">IF(IFERROR(INDEX(Покупка!$K$26:$L$90,MATCH($F227&amp;"1komm",Покупка!$K$26:$K$90,0),2),"")=0,"",IFERROR(INDEX(Покупка!$K$26:$L$90,MATCH($F227&amp;"1komm",Покупка!$K$26:$K$90,0),2),""))</f>
        <v/>
      </c>
      <c r="BP227" s="1522"/>
      <c r="BQ227" s="1177"/>
      <c r="BR227" s="1177"/>
      <c r="BS227" s="966" t="s">
        <v>1873</v>
      </c>
      <c r="BT227" s="966"/>
      <c r="BU227" s="966"/>
      <c r="BV227" s="881"/>
      <c r="BW227" s="881"/>
    </row>
    <row r="228" spans="1:75" s="1327" customFormat="1" ht="14.25" customHeight="1">
      <c r="A228" s="1177"/>
      <c r="B228" s="15"/>
      <c r="C228" s="26"/>
      <c r="D228" s="26"/>
      <c r="E228" s="538">
        <v>15</v>
      </c>
      <c r="F228" s="3" t="str" cm="1">
        <f t="array" aca="1" ref="F228" ca="1">OFFSET(E228,-1,1)</f>
        <v>1</v>
      </c>
      <c r="G228" s="26" t="s">
        <v>1002</v>
      </c>
      <c r="H228" s="26"/>
      <c r="I228" s="26" t="s">
        <v>1496</v>
      </c>
      <c r="J228" s="26"/>
      <c r="K228" s="26" t="s">
        <v>1496</v>
      </c>
      <c r="L228" s="882"/>
      <c r="M228" s="26"/>
      <c r="N228" s="26"/>
      <c r="O228" s="26"/>
      <c r="P228" s="26"/>
      <c r="Q228" s="26"/>
      <c r="R228" s="26"/>
      <c r="S228" s="26"/>
      <c r="T228" s="381" t="b" cm="1">
        <f t="array" aca="1" ref="T228" ca="1">T227</f>
        <v>1</v>
      </c>
      <c r="U228" s="26"/>
      <c r="V228" s="26"/>
      <c r="W228" s="1177"/>
      <c r="X228" s="1755"/>
      <c r="Y228" s="1177"/>
      <c r="Z228" s="1735"/>
      <c r="AA228" s="1177"/>
      <c r="AB228" s="215" t="s">
        <v>1874</v>
      </c>
      <c r="AC228" s="679" t="s">
        <v>1875</v>
      </c>
      <c r="AD228" s="216" t="s">
        <v>766</v>
      </c>
      <c r="AE228" s="175">
        <f ca="1">SUMIFS(Покупка!AE$25:AE$90,Покупка!$F$25:$F$90,$F228,Покупка!$AC$25:$AC$90,$G228)</f>
        <v>0</v>
      </c>
      <c r="AF228" s="175">
        <f ca="1">SUMIFS(Покупка!AF$25:AF$90,Покупка!$F$25:$F$90,$F228,Покупка!$AC$25:$AC$90,$G228)</f>
        <v>0</v>
      </c>
      <c r="AG228" s="175">
        <f ca="1">SUMIFS(Покупка!AG$25:AG$90,Покупка!$F$25:$F$90,$F228,Покупка!$AC$25:$AC$90,$G228)</f>
        <v>0</v>
      </c>
      <c r="AH228" s="848">
        <f t="shared" ca="1" si="50"/>
        <v>0</v>
      </c>
      <c r="AI228" s="848">
        <f ca="1">SUMIFS(Покупка!AH$25:AH$90,Покупка!$F$25:$F$90,$F228,Покупка!$AC$25:$AC$90,$G228)</f>
        <v>0</v>
      </c>
      <c r="AJ228" s="848">
        <f ca="1">SUMIFS(Покупка!AI$25:AI$90,Покупка!$F$25:$F$90,$F228,Покупка!$AC$25:$AC$90,$G228)</f>
        <v>0</v>
      </c>
      <c r="AK228" s="848">
        <f ca="1">SUMIFS(Покупка!AJ$25:AJ$90,Покупка!$F$25:$F$90,$F228,Покупка!$AC$25:$AC$90,$G228)</f>
        <v>0</v>
      </c>
      <c r="AL228" s="848">
        <f ca="1">SUMIFS(Покупка!AK$25:AK$90,Покупка!$F$25:$F$90,$F228,Покупка!$AC$25:$AC$90,$G228)</f>
        <v>0</v>
      </c>
      <c r="AM228" s="848">
        <f ca="1">SUMIFS(Покупка!AL$25:AL$90,Покупка!$F$25:$F$90,$F228,Покупка!$AC$25:$AC$90,$G228)</f>
        <v>0</v>
      </c>
      <c r="AN228" s="848">
        <f ca="1">SUMIFS(Покупка!AM$25:AM$90,Покупка!$F$25:$F$90,$F228,Покупка!$AC$25:$AC$90,$G228)</f>
        <v>0</v>
      </c>
      <c r="AO228" s="848">
        <f ca="1">SUMIFS(Покупка!AN$25:AN$90,Покупка!$F$25:$F$90,$F228,Покупка!$AC$25:$AC$90,$G228)</f>
        <v>0</v>
      </c>
      <c r="AP228" s="848">
        <f ca="1">SUMIFS(Покупка!AO$25:AO$90,Покупка!$F$25:$F$90,$F228,Покупка!$AC$25:$AC$90,$G228)</f>
        <v>0</v>
      </c>
      <c r="AQ228" s="848">
        <f ca="1">SUMIFS(Покупка!AP$25:AP$90,Покупка!$F$25:$F$90,$F228,Покупка!$AC$25:$AC$90,$G228)</f>
        <v>0</v>
      </c>
      <c r="AR228" s="848">
        <f ca="1">SUMIFS(Покупка!AQ$25:AQ$90,Покупка!$F$25:$F$90,$F228,Покупка!$AC$25:$AC$90,$G228)</f>
        <v>0</v>
      </c>
      <c r="AS228" s="848">
        <f ca="1">SUMIFS(Покупка!AR$25:AR$90,Покупка!$F$25:$F$90,$F228,Покупка!$AC$25:$AC$90,$G228)</f>
        <v>0</v>
      </c>
      <c r="AT228" s="848">
        <f ca="1">SUMIFS(Покупка!AS$25:AS$90,Покупка!$F$25:$F$90,$F228,Покупка!$AC$25:$AC$90,$G228)</f>
        <v>0</v>
      </c>
      <c r="AU228" s="848">
        <f ca="1">SUMIFS(Покупка!AT$25:AT$90,Покупка!$F$25:$F$90,$F228,Покупка!$AC$25:$AC$90,$G228)</f>
        <v>0</v>
      </c>
      <c r="AV228" s="848">
        <f ca="1">SUMIFS(Покупка!AU$25:AU$90,Покупка!$F$25:$F$90,$F228,Покупка!$AC$25:$AC$90,$G228)</f>
        <v>0</v>
      </c>
      <c r="AW228" s="848">
        <f ca="1">SUMIFS(Покупка!AV$25:AV$90,Покупка!$F$25:$F$90,$F228,Покупка!$AC$25:$AC$90,$G228)</f>
        <v>0</v>
      </c>
      <c r="AX228" s="848">
        <f ca="1">SUMIFS(Покупка!AW$25:AW$90,Покупка!$F$25:$F$90,$F228,Покупка!$AC$25:$AC$90,$G228)</f>
        <v>0</v>
      </c>
      <c r="AY228" s="848">
        <f ca="1">SUMIFS(Покупка!AX$25:AX$90,Покупка!$F$25:$F$90,$F228,Покупка!$AC$25:$AC$90,$G228)</f>
        <v>0</v>
      </c>
      <c r="AZ228" s="848">
        <f ca="1">SUMIFS(Покупка!AY$25:AY$90,Покупка!$F$25:$F$90,$F228,Покупка!$AC$25:$AC$90,$G228)</f>
        <v>0</v>
      </c>
      <c r="BA228" s="848">
        <f ca="1">SUMIFS(Покупка!AZ$25:AZ$90,Покупка!$F$25:$F$90,$F228,Покупка!$AC$25:$AC$90,$G228)</f>
        <v>0</v>
      </c>
      <c r="BB228" s="848">
        <f ca="1">SUMIFS(Покупка!BA$25:BA$90,Покупка!$F$25:$F$90,$F228,Покупка!$AC$25:$AC$90,$G228)</f>
        <v>0</v>
      </c>
      <c r="BC228" s="848">
        <f ca="1">SUMIFS(Покупка!BB$25:BB$90,Покупка!$F$25:$F$90,$F228,Покупка!$AC$25:$AC$90,$G228)</f>
        <v>0</v>
      </c>
      <c r="BD228" s="848">
        <f t="shared" ca="1" si="52"/>
        <v>0</v>
      </c>
      <c r="BE228" s="848">
        <f t="shared" ca="1" si="53"/>
        <v>0</v>
      </c>
      <c r="BF228" s="848">
        <f t="shared" ca="1" si="54"/>
        <v>0</v>
      </c>
      <c r="BG228" s="848">
        <f t="shared" ca="1" si="55"/>
        <v>0</v>
      </c>
      <c r="BH228" s="848">
        <f t="shared" ca="1" si="56"/>
        <v>0</v>
      </c>
      <c r="BI228" s="848">
        <f t="shared" ca="1" si="57"/>
        <v>0</v>
      </c>
      <c r="BJ228" s="848">
        <f t="shared" ca="1" si="58"/>
        <v>0</v>
      </c>
      <c r="BK228" s="848">
        <f t="shared" ca="1" si="59"/>
        <v>0</v>
      </c>
      <c r="BL228" s="848">
        <f t="shared" ca="1" si="60"/>
        <v>0</v>
      </c>
      <c r="BM228" s="848">
        <f t="shared" ca="1" si="61"/>
        <v>0</v>
      </c>
      <c r="BN228" s="1522"/>
      <c r="BO228" s="1517" t="str">
        <f ca="1">IF(IFERROR(INDEX(Покупка!$K$26:$L$90,MATCH($F228&amp;"8komm",Покупка!$K$26:$K$90,0),2),"")=0,"",IFERROR(INDEX(Покупка!$K$26:$L$90,MATCH($F228&amp;"8komm",Покупка!$K$26:$K$90,0),2),""))</f>
        <v/>
      </c>
      <c r="BP228" s="1522"/>
      <c r="BQ228" s="1177"/>
      <c r="BR228" s="1177"/>
      <c r="BS228" s="966" t="s">
        <v>1003</v>
      </c>
      <c r="BT228" s="966"/>
      <c r="BU228" s="966"/>
      <c r="BV228" s="881"/>
      <c r="BW228" s="881"/>
    </row>
    <row r="229" spans="1:75" s="1327" customFormat="1" ht="14.25" customHeight="1">
      <c r="A229" s="1177"/>
      <c r="B229" s="15"/>
      <c r="C229" s="26"/>
      <c r="D229" s="26"/>
      <c r="E229" s="538">
        <v>15</v>
      </c>
      <c r="F229" s="3" t="str" cm="1">
        <f t="array" aca="1" ref="F229" ca="1">OFFSET(E229,-1,1)</f>
        <v>1</v>
      </c>
      <c r="G229" s="26"/>
      <c r="H229" s="26"/>
      <c r="I229" s="26" t="s">
        <v>1876</v>
      </c>
      <c r="J229" s="26"/>
      <c r="K229" s="26" t="s">
        <v>1876</v>
      </c>
      <c r="L229" s="882"/>
      <c r="M229" s="26"/>
      <c r="N229" s="26"/>
      <c r="O229" s="26"/>
      <c r="P229" s="26"/>
      <c r="Q229" s="26"/>
      <c r="R229" s="26"/>
      <c r="S229" s="26"/>
      <c r="T229" s="381" t="b" cm="1">
        <f t="array" aca="1" ref="T229" ca="1">T228</f>
        <v>1</v>
      </c>
      <c r="U229" s="26"/>
      <c r="V229" s="26"/>
      <c r="W229" s="1177"/>
      <c r="X229" s="1755"/>
      <c r="Y229" s="1177"/>
      <c r="Z229" s="1735"/>
      <c r="AA229" s="1177"/>
      <c r="AB229" s="215" t="s">
        <v>1877</v>
      </c>
      <c r="AC229" s="679" t="s">
        <v>1878</v>
      </c>
      <c r="AD229" s="216" t="s">
        <v>766</v>
      </c>
      <c r="AE229" s="1509"/>
      <c r="AF229" s="1509"/>
      <c r="AG229" s="1509"/>
      <c r="AH229" s="848">
        <f t="shared" si="50"/>
        <v>0</v>
      </c>
      <c r="AI229" s="1510"/>
      <c r="AJ229" s="1510"/>
      <c r="AK229" s="1510"/>
      <c r="AL229" s="1510"/>
      <c r="AM229" s="1510"/>
      <c r="AN229" s="1510"/>
      <c r="AO229" s="1510"/>
      <c r="AP229" s="1510"/>
      <c r="AQ229" s="1510"/>
      <c r="AR229" s="1510"/>
      <c r="AS229" s="1510"/>
      <c r="AT229" s="1510"/>
      <c r="AU229" s="1510"/>
      <c r="AV229" s="1510"/>
      <c r="AW229" s="1510"/>
      <c r="AX229" s="1510"/>
      <c r="AY229" s="1510"/>
      <c r="AZ229" s="1510"/>
      <c r="BA229" s="1510"/>
      <c r="BB229" s="1510"/>
      <c r="BC229" s="1510"/>
      <c r="BD229" s="848">
        <f t="shared" si="52"/>
        <v>0</v>
      </c>
      <c r="BE229" s="848">
        <f t="shared" si="53"/>
        <v>0</v>
      </c>
      <c r="BF229" s="848">
        <f t="shared" si="54"/>
        <v>0</v>
      </c>
      <c r="BG229" s="848">
        <f t="shared" si="55"/>
        <v>0</v>
      </c>
      <c r="BH229" s="848">
        <f t="shared" si="56"/>
        <v>0</v>
      </c>
      <c r="BI229" s="848">
        <f t="shared" si="57"/>
        <v>0</v>
      </c>
      <c r="BJ229" s="848">
        <f t="shared" si="58"/>
        <v>0</v>
      </c>
      <c r="BK229" s="848">
        <f t="shared" si="59"/>
        <v>0</v>
      </c>
      <c r="BL229" s="848">
        <f t="shared" si="60"/>
        <v>0</v>
      </c>
      <c r="BM229" s="848">
        <f t="shared" si="61"/>
        <v>0</v>
      </c>
      <c r="BN229" s="1522"/>
      <c r="BO229" s="1522"/>
      <c r="BP229" s="1522"/>
      <c r="BQ229" s="1177"/>
      <c r="BR229" s="1177"/>
      <c r="BS229" s="966" t="s">
        <v>1879</v>
      </c>
      <c r="BT229" s="966"/>
      <c r="BU229" s="966"/>
      <c r="BV229" s="881"/>
      <c r="BW229" s="881"/>
    </row>
    <row r="230" spans="1:75" s="1327" customFormat="1" ht="14.25" customHeight="1">
      <c r="A230" s="1177"/>
      <c r="B230" s="15"/>
      <c r="C230" s="26"/>
      <c r="D230" s="26"/>
      <c r="E230" s="538">
        <v>15</v>
      </c>
      <c r="F230" s="3" t="str" cm="1">
        <f t="array" aca="1" ref="F230" ca="1">OFFSET(E230,-1,1)</f>
        <v>1</v>
      </c>
      <c r="G230" s="26"/>
      <c r="H230" s="26"/>
      <c r="I230" s="26" t="s">
        <v>1880</v>
      </c>
      <c r="J230" s="26"/>
      <c r="K230" s="26" t="s">
        <v>1880</v>
      </c>
      <c r="L230" s="882"/>
      <c r="M230" s="26"/>
      <c r="N230" s="26"/>
      <c r="O230" s="26"/>
      <c r="P230" s="26"/>
      <c r="Q230" s="26"/>
      <c r="R230" s="26"/>
      <c r="S230" s="26"/>
      <c r="T230" s="381" t="b" cm="1">
        <f t="array" aca="1" ref="T230" ca="1">T229</f>
        <v>1</v>
      </c>
      <c r="U230" s="26"/>
      <c r="V230" s="26"/>
      <c r="W230" s="1177"/>
      <c r="X230" s="1755"/>
      <c r="Y230" s="1177"/>
      <c r="Z230" s="1735"/>
      <c r="AA230" s="1177"/>
      <c r="AB230" s="215" t="s">
        <v>1881</v>
      </c>
      <c r="AC230" s="679" t="s">
        <v>1882</v>
      </c>
      <c r="AD230" s="216" t="s">
        <v>766</v>
      </c>
      <c r="AE230" s="1509"/>
      <c r="AF230" s="1509"/>
      <c r="AG230" s="1509"/>
      <c r="AH230" s="848">
        <f t="shared" si="50"/>
        <v>0</v>
      </c>
      <c r="AI230" s="1510"/>
      <c r="AJ230" s="1510"/>
      <c r="AK230" s="1510"/>
      <c r="AL230" s="1510"/>
      <c r="AM230" s="1510"/>
      <c r="AN230" s="1510"/>
      <c r="AO230" s="1510"/>
      <c r="AP230" s="1510"/>
      <c r="AQ230" s="1510"/>
      <c r="AR230" s="1510"/>
      <c r="AS230" s="1510"/>
      <c r="AT230" s="1510"/>
      <c r="AU230" s="1510"/>
      <c r="AV230" s="1510"/>
      <c r="AW230" s="1510"/>
      <c r="AX230" s="1510"/>
      <c r="AY230" s="1510"/>
      <c r="AZ230" s="1510"/>
      <c r="BA230" s="1510"/>
      <c r="BB230" s="1510"/>
      <c r="BC230" s="1510"/>
      <c r="BD230" s="848">
        <f t="shared" si="52"/>
        <v>0</v>
      </c>
      <c r="BE230" s="848">
        <f t="shared" si="53"/>
        <v>0</v>
      </c>
      <c r="BF230" s="848">
        <f t="shared" si="54"/>
        <v>0</v>
      </c>
      <c r="BG230" s="848">
        <f t="shared" si="55"/>
        <v>0</v>
      </c>
      <c r="BH230" s="848">
        <f t="shared" si="56"/>
        <v>0</v>
      </c>
      <c r="BI230" s="848">
        <f t="shared" si="57"/>
        <v>0</v>
      </c>
      <c r="BJ230" s="848">
        <f t="shared" si="58"/>
        <v>0</v>
      </c>
      <c r="BK230" s="848">
        <f t="shared" si="59"/>
        <v>0</v>
      </c>
      <c r="BL230" s="848">
        <f t="shared" si="60"/>
        <v>0</v>
      </c>
      <c r="BM230" s="848">
        <f t="shared" si="61"/>
        <v>0</v>
      </c>
      <c r="BN230" s="1522"/>
      <c r="BO230" s="1522"/>
      <c r="BP230" s="1522"/>
      <c r="BQ230" s="1177"/>
      <c r="BR230" s="1177"/>
      <c r="BS230" s="966" t="s">
        <v>1883</v>
      </c>
      <c r="BT230" s="966"/>
      <c r="BU230" s="966"/>
      <c r="BV230" s="881"/>
      <c r="BW230" s="881"/>
    </row>
    <row r="231" spans="1:75" s="1327" customFormat="1" ht="14.25" customHeight="1">
      <c r="A231" s="1177"/>
      <c r="B231" s="15"/>
      <c r="C231" s="26"/>
      <c r="D231" s="26"/>
      <c r="E231" s="538">
        <v>15</v>
      </c>
      <c r="F231" s="3" t="str" cm="1">
        <f t="array" aca="1" ref="F231" ca="1">OFFSET(E231,-1,1)</f>
        <v>1</v>
      </c>
      <c r="G231" s="26" t="s">
        <v>980</v>
      </c>
      <c r="H231" s="26"/>
      <c r="I231" s="26" t="s">
        <v>1884</v>
      </c>
      <c r="J231" s="26"/>
      <c r="K231" s="26" t="s">
        <v>1884</v>
      </c>
      <c r="L231" s="882" t="s">
        <v>1370</v>
      </c>
      <c r="M231" s="26"/>
      <c r="N231" s="26"/>
      <c r="O231" s="26"/>
      <c r="P231" s="26"/>
      <c r="Q231" s="26"/>
      <c r="R231" s="26"/>
      <c r="S231" s="26"/>
      <c r="T231" s="381" t="b" cm="1">
        <f t="array" aca="1" ref="T231" ca="1">T230</f>
        <v>1</v>
      </c>
      <c r="U231" s="26"/>
      <c r="V231" s="26"/>
      <c r="W231" s="1177"/>
      <c r="X231" s="1755"/>
      <c r="Y231" s="1177"/>
      <c r="Z231" s="1735"/>
      <c r="AA231" s="1177"/>
      <c r="AB231" s="215" t="s">
        <v>1885</v>
      </c>
      <c r="AC231" s="679" t="s">
        <v>1886</v>
      </c>
      <c r="AD231" s="216" t="s">
        <v>766</v>
      </c>
      <c r="AE231" s="175">
        <f ca="1">SUMIFS(Покупка!AE$25:AE$90,Покупка!$F$25:$F$90,$F231,Покупка!$AC$25:$AC$90,$G231)</f>
        <v>0</v>
      </c>
      <c r="AF231" s="175">
        <f ca="1">SUMIFS(Покупка!AF$25:AF$90,Покупка!$F$25:$F$90,$F231,Покупка!$AC$25:$AC$90,$G231)</f>
        <v>0</v>
      </c>
      <c r="AG231" s="175">
        <f ca="1">SUMIFS(Покупка!AG$25:AG$90,Покупка!$F$25:$F$90,$F231,Покупка!$AC$25:$AC$90,$G231)</f>
        <v>0</v>
      </c>
      <c r="AH231" s="848">
        <f t="shared" ca="1" si="50"/>
        <v>0</v>
      </c>
      <c r="AI231" s="848">
        <f ca="1">SUMIFS(Покупка!AH$25:AH$90,Покупка!$F$25:$F$90,$F231,Покупка!$AC$25:$AC$90,$G231)</f>
        <v>0</v>
      </c>
      <c r="AJ231" s="848">
        <f ca="1">SUMIFS(Покупка!AI$25:AI$90,Покупка!$F$25:$F$90,$F231,Покупка!$AC$25:$AC$90,$G231)</f>
        <v>0</v>
      </c>
      <c r="AK231" s="848">
        <f ca="1">SUMIFS(Покупка!AJ$25:AJ$90,Покупка!$F$25:$F$90,$F231,Покупка!$AC$25:$AC$90,$G231)</f>
        <v>0</v>
      </c>
      <c r="AL231" s="848">
        <f ca="1">SUMIFS(Покупка!AK$25:AK$90,Покупка!$F$25:$F$90,$F231,Покупка!$AC$25:$AC$90,$G231)</f>
        <v>0</v>
      </c>
      <c r="AM231" s="848">
        <f ca="1">SUMIFS(Покупка!AL$25:AL$90,Покупка!$F$25:$F$90,$F231,Покупка!$AC$25:$AC$90,$G231)</f>
        <v>0</v>
      </c>
      <c r="AN231" s="848">
        <f ca="1">SUMIFS(Покупка!AM$25:AM$90,Покупка!$F$25:$F$90,$F231,Покупка!$AC$25:$AC$90,$G231)</f>
        <v>0</v>
      </c>
      <c r="AO231" s="848">
        <f ca="1">SUMIFS(Покупка!AN$25:AN$90,Покупка!$F$25:$F$90,$F231,Покупка!$AC$25:$AC$90,$G231)</f>
        <v>0</v>
      </c>
      <c r="AP231" s="848">
        <f ca="1">SUMIFS(Покупка!AO$25:AO$90,Покупка!$F$25:$F$90,$F231,Покупка!$AC$25:$AC$90,$G231)</f>
        <v>0</v>
      </c>
      <c r="AQ231" s="848">
        <f ca="1">SUMIFS(Покупка!AP$25:AP$90,Покупка!$F$25:$F$90,$F231,Покупка!$AC$25:$AC$90,$G231)</f>
        <v>0</v>
      </c>
      <c r="AR231" s="848">
        <f ca="1">SUMIFS(Покупка!AQ$25:AQ$90,Покупка!$F$25:$F$90,$F231,Покупка!$AC$25:$AC$90,$G231)</f>
        <v>0</v>
      </c>
      <c r="AS231" s="848">
        <f ca="1">SUMIFS(Покупка!AR$25:AR$90,Покупка!$F$25:$F$90,$F231,Покупка!$AC$25:$AC$90,$G231)</f>
        <v>0</v>
      </c>
      <c r="AT231" s="848">
        <f ca="1">SUMIFS(Покупка!AS$25:AS$90,Покупка!$F$25:$F$90,$F231,Покупка!$AC$25:$AC$90,$G231)</f>
        <v>0</v>
      </c>
      <c r="AU231" s="848">
        <f ca="1">SUMIFS(Покупка!AT$25:AT$90,Покупка!$F$25:$F$90,$F231,Покупка!$AC$25:$AC$90,$G231)</f>
        <v>0</v>
      </c>
      <c r="AV231" s="848">
        <f ca="1">SUMIFS(Покупка!AU$25:AU$90,Покупка!$F$25:$F$90,$F231,Покупка!$AC$25:$AC$90,$G231)</f>
        <v>0</v>
      </c>
      <c r="AW231" s="848">
        <f ca="1">SUMIFS(Покупка!AV$25:AV$90,Покупка!$F$25:$F$90,$F231,Покупка!$AC$25:$AC$90,$G231)</f>
        <v>0</v>
      </c>
      <c r="AX231" s="848">
        <f ca="1">SUMIFS(Покупка!AW$25:AW$90,Покупка!$F$25:$F$90,$F231,Покупка!$AC$25:$AC$90,$G231)</f>
        <v>0</v>
      </c>
      <c r="AY231" s="848">
        <f ca="1">SUMIFS(Покупка!AX$25:AX$90,Покупка!$F$25:$F$90,$F231,Покупка!$AC$25:$AC$90,$G231)</f>
        <v>0</v>
      </c>
      <c r="AZ231" s="848">
        <f ca="1">SUMIFS(Покупка!AY$25:AY$90,Покупка!$F$25:$F$90,$F231,Покупка!$AC$25:$AC$90,$G231)</f>
        <v>0</v>
      </c>
      <c r="BA231" s="848">
        <f ca="1">SUMIFS(Покупка!AZ$25:AZ$90,Покупка!$F$25:$F$90,$F231,Покупка!$AC$25:$AC$90,$G231)</f>
        <v>0</v>
      </c>
      <c r="BB231" s="848">
        <f ca="1">SUMIFS(Покупка!BA$25:BA$90,Покупка!$F$25:$F$90,$F231,Покупка!$AC$25:$AC$90,$G231)</f>
        <v>0</v>
      </c>
      <c r="BC231" s="848">
        <f ca="1">SUMIFS(Покупка!BB$25:BB$90,Покупка!$F$25:$F$90,$F231,Покупка!$AC$25:$AC$90,$G231)</f>
        <v>0</v>
      </c>
      <c r="BD231" s="848">
        <f t="shared" ca="1" si="52"/>
        <v>0</v>
      </c>
      <c r="BE231" s="848">
        <f t="shared" ca="1" si="53"/>
        <v>0</v>
      </c>
      <c r="BF231" s="848">
        <f t="shared" ca="1" si="54"/>
        <v>0</v>
      </c>
      <c r="BG231" s="848">
        <f t="shared" ca="1" si="55"/>
        <v>0</v>
      </c>
      <c r="BH231" s="848">
        <f t="shared" ca="1" si="56"/>
        <v>0</v>
      </c>
      <c r="BI231" s="848">
        <f t="shared" ca="1" si="57"/>
        <v>0</v>
      </c>
      <c r="BJ231" s="848">
        <f t="shared" ca="1" si="58"/>
        <v>0</v>
      </c>
      <c r="BK231" s="848">
        <f t="shared" ca="1" si="59"/>
        <v>0</v>
      </c>
      <c r="BL231" s="848">
        <f t="shared" ca="1" si="60"/>
        <v>0</v>
      </c>
      <c r="BM231" s="848">
        <f t="shared" ca="1" si="61"/>
        <v>0</v>
      </c>
      <c r="BN231" s="1522"/>
      <c r="BO231" s="1517" t="str">
        <f ca="1">IF(IFERROR(INDEX(Покупка!$K$26:$L$90,MATCH($F231&amp;"3komm",Покупка!$K$26:$K$90,0),2),"")=0,"",IFERROR(INDEX(Покупка!$K$26:$L$90,MATCH($F231&amp;"3komm",Покупка!$K$26:$K$90,0),2),""))</f>
        <v/>
      </c>
      <c r="BP231" s="1522"/>
      <c r="BQ231" s="1177"/>
      <c r="BR231" s="1177"/>
      <c r="BS231" s="966" t="s">
        <v>1571</v>
      </c>
      <c r="BT231" s="966"/>
      <c r="BU231" s="966"/>
      <c r="BV231" s="881"/>
      <c r="BW231" s="881"/>
    </row>
    <row r="232" spans="1:75" s="1327" customFormat="1" ht="14.25" customHeight="1">
      <c r="A232" s="1177"/>
      <c r="B232" s="15"/>
      <c r="C232" s="26"/>
      <c r="D232" s="26"/>
      <c r="E232" s="538">
        <v>15</v>
      </c>
      <c r="F232" s="3" t="str" cm="1">
        <f t="array" aca="1" ref="F232" ca="1">OFFSET(E232,-1,1)</f>
        <v>1</v>
      </c>
      <c r="G232" s="26" t="s">
        <v>986</v>
      </c>
      <c r="H232" s="26"/>
      <c r="I232" s="26" t="s">
        <v>1887</v>
      </c>
      <c r="J232" s="26"/>
      <c r="K232" s="26" t="s">
        <v>1887</v>
      </c>
      <c r="L232" s="882" t="s">
        <v>1375</v>
      </c>
      <c r="M232" s="26"/>
      <c r="N232" s="26"/>
      <c r="O232" s="26"/>
      <c r="P232" s="26"/>
      <c r="Q232" s="26"/>
      <c r="R232" s="26"/>
      <c r="S232" s="26"/>
      <c r="T232" s="381" t="b" cm="1">
        <f t="array" aca="1" ref="T232" ca="1">T231</f>
        <v>1</v>
      </c>
      <c r="U232" s="26"/>
      <c r="V232" s="26"/>
      <c r="W232" s="1177"/>
      <c r="X232" s="1755"/>
      <c r="Y232" s="1177"/>
      <c r="Z232" s="1735"/>
      <c r="AA232" s="1177"/>
      <c r="AB232" s="215" t="s">
        <v>1888</v>
      </c>
      <c r="AC232" s="679" t="s">
        <v>1889</v>
      </c>
      <c r="AD232" s="216" t="s">
        <v>766</v>
      </c>
      <c r="AE232" s="175">
        <f ca="1">SUMIFS(Покупка!AE$25:AE$90,Покупка!$F$25:$F$90,$F232,Покупка!$AC$25:$AC$90,$G232)</f>
        <v>0</v>
      </c>
      <c r="AF232" s="175">
        <f ca="1">SUMIFS(Покупка!AF$25:AF$90,Покупка!$F$25:$F$90,$F232,Покупка!$AC$25:$AC$90,$G232)</f>
        <v>0</v>
      </c>
      <c r="AG232" s="175">
        <f ca="1">SUMIFS(Покупка!AG$25:AG$90,Покупка!$F$25:$F$90,$F232,Покупка!$AC$25:$AC$90,$G232)</f>
        <v>0</v>
      </c>
      <c r="AH232" s="848">
        <f t="shared" ca="1" si="50"/>
        <v>0</v>
      </c>
      <c r="AI232" s="848">
        <f ca="1">SUMIFS(Покупка!AH$25:AH$90,Покупка!$F$25:$F$90,$F232,Покупка!$AC$25:$AC$90,$G232)</f>
        <v>0</v>
      </c>
      <c r="AJ232" s="848">
        <f ca="1">SUMIFS(Покупка!AI$25:AI$90,Покупка!$F$25:$F$90,$F232,Покупка!$AC$25:$AC$90,$G232)</f>
        <v>0</v>
      </c>
      <c r="AK232" s="848">
        <f ca="1">SUMIFS(Покупка!AJ$25:AJ$90,Покупка!$F$25:$F$90,$F232,Покупка!$AC$25:$AC$90,$G232)</f>
        <v>0</v>
      </c>
      <c r="AL232" s="848">
        <f ca="1">SUMIFS(Покупка!AK$25:AK$90,Покупка!$F$25:$F$90,$F232,Покупка!$AC$25:$AC$90,$G232)</f>
        <v>0</v>
      </c>
      <c r="AM232" s="848">
        <f ca="1">SUMIFS(Покупка!AL$25:AL$90,Покупка!$F$25:$F$90,$F232,Покупка!$AC$25:$AC$90,$G232)</f>
        <v>0</v>
      </c>
      <c r="AN232" s="848">
        <f ca="1">SUMIFS(Покупка!AM$25:AM$90,Покупка!$F$25:$F$90,$F232,Покупка!$AC$25:$AC$90,$G232)</f>
        <v>0</v>
      </c>
      <c r="AO232" s="848">
        <f ca="1">SUMIFS(Покупка!AN$25:AN$90,Покупка!$F$25:$F$90,$F232,Покупка!$AC$25:$AC$90,$G232)</f>
        <v>0</v>
      </c>
      <c r="AP232" s="848">
        <f ca="1">SUMIFS(Покупка!AO$25:AO$90,Покупка!$F$25:$F$90,$F232,Покупка!$AC$25:$AC$90,$G232)</f>
        <v>0</v>
      </c>
      <c r="AQ232" s="848">
        <f ca="1">SUMIFS(Покупка!AP$25:AP$90,Покупка!$F$25:$F$90,$F232,Покупка!$AC$25:$AC$90,$G232)</f>
        <v>0</v>
      </c>
      <c r="AR232" s="848">
        <f ca="1">SUMIFS(Покупка!AQ$25:AQ$90,Покупка!$F$25:$F$90,$F232,Покупка!$AC$25:$AC$90,$G232)</f>
        <v>0</v>
      </c>
      <c r="AS232" s="848">
        <f ca="1">SUMIFS(Покупка!AR$25:AR$90,Покупка!$F$25:$F$90,$F232,Покупка!$AC$25:$AC$90,$G232)</f>
        <v>0</v>
      </c>
      <c r="AT232" s="848">
        <f ca="1">SUMIFS(Покупка!AS$25:AS$90,Покупка!$F$25:$F$90,$F232,Покупка!$AC$25:$AC$90,$G232)</f>
        <v>0</v>
      </c>
      <c r="AU232" s="848">
        <f ca="1">SUMIFS(Покупка!AT$25:AT$90,Покупка!$F$25:$F$90,$F232,Покупка!$AC$25:$AC$90,$G232)</f>
        <v>0</v>
      </c>
      <c r="AV232" s="848">
        <f ca="1">SUMIFS(Покупка!AU$25:AU$90,Покупка!$F$25:$F$90,$F232,Покупка!$AC$25:$AC$90,$G232)</f>
        <v>0</v>
      </c>
      <c r="AW232" s="848">
        <f ca="1">SUMIFS(Покупка!AV$25:AV$90,Покупка!$F$25:$F$90,$F232,Покупка!$AC$25:$AC$90,$G232)</f>
        <v>0</v>
      </c>
      <c r="AX232" s="848">
        <f ca="1">SUMIFS(Покупка!AW$25:AW$90,Покупка!$F$25:$F$90,$F232,Покупка!$AC$25:$AC$90,$G232)</f>
        <v>0</v>
      </c>
      <c r="AY232" s="848">
        <f ca="1">SUMIFS(Покупка!AX$25:AX$90,Покупка!$F$25:$F$90,$F232,Покупка!$AC$25:$AC$90,$G232)</f>
        <v>0</v>
      </c>
      <c r="AZ232" s="848">
        <f ca="1">SUMIFS(Покупка!AY$25:AY$90,Покупка!$F$25:$F$90,$F232,Покупка!$AC$25:$AC$90,$G232)</f>
        <v>0</v>
      </c>
      <c r="BA232" s="848">
        <f ca="1">SUMIFS(Покупка!AZ$25:AZ$90,Покупка!$F$25:$F$90,$F232,Покупка!$AC$25:$AC$90,$G232)</f>
        <v>0</v>
      </c>
      <c r="BB232" s="848">
        <f ca="1">SUMIFS(Покупка!BA$25:BA$90,Покупка!$F$25:$F$90,$F232,Покупка!$AC$25:$AC$90,$G232)</f>
        <v>0</v>
      </c>
      <c r="BC232" s="848">
        <f ca="1">SUMIFS(Покупка!BB$25:BB$90,Покупка!$F$25:$F$90,$F232,Покупка!$AC$25:$AC$90,$G232)</f>
        <v>0</v>
      </c>
      <c r="BD232" s="848">
        <f t="shared" ca="1" si="52"/>
        <v>0</v>
      </c>
      <c r="BE232" s="848">
        <f t="shared" ca="1" si="53"/>
        <v>0</v>
      </c>
      <c r="BF232" s="848">
        <f t="shared" ca="1" si="54"/>
        <v>0</v>
      </c>
      <c r="BG232" s="848">
        <f t="shared" ca="1" si="55"/>
        <v>0</v>
      </c>
      <c r="BH232" s="848">
        <f t="shared" ca="1" si="56"/>
        <v>0</v>
      </c>
      <c r="BI232" s="848">
        <f t="shared" ca="1" si="57"/>
        <v>0</v>
      </c>
      <c r="BJ232" s="848">
        <f t="shared" ca="1" si="58"/>
        <v>0</v>
      </c>
      <c r="BK232" s="848">
        <f t="shared" ca="1" si="59"/>
        <v>0</v>
      </c>
      <c r="BL232" s="848">
        <f t="shared" ca="1" si="60"/>
        <v>0</v>
      </c>
      <c r="BM232" s="848">
        <f t="shared" ca="1" si="61"/>
        <v>0</v>
      </c>
      <c r="BN232" s="1522"/>
      <c r="BO232" s="1517" t="str">
        <f ca="1">IF(IFERROR(INDEX(Покупка!$K$26:$L$90,MATCH($F232&amp;"4komm",Покупка!$K$26:$K$90,0),2),"")=0,"",IFERROR(INDEX(Покупка!$K$26:$L$90,MATCH($F231&amp;"3komm",Покупка!$K$26:$K$90,0),2),""))</f>
        <v/>
      </c>
      <c r="BP232" s="1522"/>
      <c r="BQ232" s="1177"/>
      <c r="BR232" s="1177"/>
      <c r="BS232" s="966" t="s">
        <v>1574</v>
      </c>
      <c r="BT232" s="966"/>
      <c r="BU232" s="966"/>
      <c r="BV232" s="881"/>
      <c r="BW232" s="881"/>
    </row>
    <row r="233" spans="1:75" s="1327" customFormat="1" ht="14.25" customHeight="1">
      <c r="A233" s="1177"/>
      <c r="B233" s="15"/>
      <c r="C233" s="26"/>
      <c r="D233" s="26"/>
      <c r="E233" s="538">
        <v>15</v>
      </c>
      <c r="F233" s="3" t="str" cm="1">
        <f t="array" aca="1" ref="F233" ca="1">OFFSET(E233,-1,1)</f>
        <v>1</v>
      </c>
      <c r="G233" s="26" t="s">
        <v>992</v>
      </c>
      <c r="H233" s="26"/>
      <c r="I233" s="26" t="s">
        <v>1890</v>
      </c>
      <c r="J233" s="26"/>
      <c r="K233" s="26" t="s">
        <v>1890</v>
      </c>
      <c r="L233" s="882" t="s">
        <v>1385</v>
      </c>
      <c r="M233" s="26"/>
      <c r="N233" s="26"/>
      <c r="O233" s="26"/>
      <c r="P233" s="26"/>
      <c r="Q233" s="26"/>
      <c r="R233" s="26"/>
      <c r="S233" s="26"/>
      <c r="T233" s="381" t="b" cm="1">
        <f t="array" aca="1" ref="T233" ca="1">T232</f>
        <v>1</v>
      </c>
      <c r="U233" s="26"/>
      <c r="V233" s="26"/>
      <c r="W233" s="1177"/>
      <c r="X233" s="1755"/>
      <c r="Y233" s="1177"/>
      <c r="Z233" s="1735"/>
      <c r="AA233" s="1177"/>
      <c r="AB233" s="215" t="s">
        <v>1891</v>
      </c>
      <c r="AC233" s="679" t="s">
        <v>1892</v>
      </c>
      <c r="AD233" s="216" t="s">
        <v>766</v>
      </c>
      <c r="AE233" s="175">
        <f ca="1">SUMIFS(Покупка!AE$25:AE$90,Покупка!$F$25:$F$90,$F233,Покупка!$AC$25:$AC$90,$G233)</f>
        <v>0</v>
      </c>
      <c r="AF233" s="175">
        <f ca="1">SUMIFS(Покупка!AF$25:AF$90,Покупка!$F$25:$F$90,$F233,Покупка!$AC$25:$AC$90,$G233)</f>
        <v>0</v>
      </c>
      <c r="AG233" s="175">
        <f ca="1">SUMIFS(Покупка!AG$25:AG$90,Покупка!$F$25:$F$90,$F233,Покупка!$AC$25:$AC$90,$G233)</f>
        <v>0</v>
      </c>
      <c r="AH233" s="848">
        <f t="shared" ca="1" si="50"/>
        <v>0</v>
      </c>
      <c r="AI233" s="848">
        <f ca="1">SUMIFS(Покупка!AH$25:AH$90,Покупка!$F$25:$F$90,$F233,Покупка!$AC$25:$AC$90,$G233)</f>
        <v>0</v>
      </c>
      <c r="AJ233" s="848">
        <f ca="1">SUMIFS(Покупка!AI$25:AI$90,Покупка!$F$25:$F$90,$F233,Покупка!$AC$25:$AC$90,$G233)</f>
        <v>0</v>
      </c>
      <c r="AK233" s="848">
        <f ca="1">SUMIFS(Покупка!AJ$25:AJ$90,Покупка!$F$25:$F$90,$F233,Покупка!$AC$25:$AC$90,$G233)</f>
        <v>0</v>
      </c>
      <c r="AL233" s="848">
        <f ca="1">SUMIFS(Покупка!AK$25:AK$90,Покупка!$F$25:$F$90,$F233,Покупка!$AC$25:$AC$90,$G233)</f>
        <v>0</v>
      </c>
      <c r="AM233" s="848">
        <f ca="1">SUMIFS(Покупка!AL$25:AL$90,Покупка!$F$25:$F$90,$F233,Покупка!$AC$25:$AC$90,$G233)</f>
        <v>0</v>
      </c>
      <c r="AN233" s="848">
        <f ca="1">SUMIFS(Покупка!AM$25:AM$90,Покупка!$F$25:$F$90,$F233,Покупка!$AC$25:$AC$90,$G233)</f>
        <v>0</v>
      </c>
      <c r="AO233" s="848">
        <f ca="1">SUMIFS(Покупка!AN$25:AN$90,Покупка!$F$25:$F$90,$F233,Покупка!$AC$25:$AC$90,$G233)</f>
        <v>0</v>
      </c>
      <c r="AP233" s="848">
        <f ca="1">SUMIFS(Покупка!AO$25:AO$90,Покупка!$F$25:$F$90,$F233,Покупка!$AC$25:$AC$90,$G233)</f>
        <v>0</v>
      </c>
      <c r="AQ233" s="848">
        <f ca="1">SUMIFS(Покупка!AP$25:AP$90,Покупка!$F$25:$F$90,$F233,Покупка!$AC$25:$AC$90,$G233)</f>
        <v>0</v>
      </c>
      <c r="AR233" s="848">
        <f ca="1">SUMIFS(Покупка!AQ$25:AQ$90,Покупка!$F$25:$F$90,$F233,Покупка!$AC$25:$AC$90,$G233)</f>
        <v>0</v>
      </c>
      <c r="AS233" s="848">
        <f ca="1">SUMIFS(Покупка!AR$25:AR$90,Покупка!$F$25:$F$90,$F233,Покупка!$AC$25:$AC$90,$G233)</f>
        <v>0</v>
      </c>
      <c r="AT233" s="848">
        <f ca="1">SUMIFS(Покупка!AS$25:AS$90,Покупка!$F$25:$F$90,$F233,Покупка!$AC$25:$AC$90,$G233)</f>
        <v>0</v>
      </c>
      <c r="AU233" s="848">
        <f ca="1">SUMIFS(Покупка!AT$25:AT$90,Покупка!$F$25:$F$90,$F233,Покупка!$AC$25:$AC$90,$G233)</f>
        <v>0</v>
      </c>
      <c r="AV233" s="848">
        <f ca="1">SUMIFS(Покупка!AU$25:AU$90,Покупка!$F$25:$F$90,$F233,Покупка!$AC$25:$AC$90,$G233)</f>
        <v>0</v>
      </c>
      <c r="AW233" s="848">
        <f ca="1">SUMIFS(Покупка!AV$25:AV$90,Покупка!$F$25:$F$90,$F233,Покупка!$AC$25:$AC$90,$G233)</f>
        <v>0</v>
      </c>
      <c r="AX233" s="848">
        <f ca="1">SUMIFS(Покупка!AW$25:AW$90,Покупка!$F$25:$F$90,$F233,Покупка!$AC$25:$AC$90,$G233)</f>
        <v>0</v>
      </c>
      <c r="AY233" s="848">
        <f ca="1">SUMIFS(Покупка!AX$25:AX$90,Покупка!$F$25:$F$90,$F233,Покупка!$AC$25:$AC$90,$G233)</f>
        <v>0</v>
      </c>
      <c r="AZ233" s="848">
        <f ca="1">SUMIFS(Покупка!AY$25:AY$90,Покупка!$F$25:$F$90,$F233,Покупка!$AC$25:$AC$90,$G233)</f>
        <v>0</v>
      </c>
      <c r="BA233" s="848">
        <f ca="1">SUMIFS(Покупка!AZ$25:AZ$90,Покупка!$F$25:$F$90,$F233,Покупка!$AC$25:$AC$90,$G233)</f>
        <v>0</v>
      </c>
      <c r="BB233" s="848">
        <f ca="1">SUMIFS(Покупка!BA$25:BA$90,Покупка!$F$25:$F$90,$F233,Покупка!$AC$25:$AC$90,$G233)</f>
        <v>0</v>
      </c>
      <c r="BC233" s="848">
        <f ca="1">SUMIFS(Покупка!BB$25:BB$90,Покупка!$F$25:$F$90,$F233,Покупка!$AC$25:$AC$90,$G233)</f>
        <v>0</v>
      </c>
      <c r="BD233" s="848">
        <f t="shared" ca="1" si="52"/>
        <v>0</v>
      </c>
      <c r="BE233" s="848">
        <f t="shared" ca="1" si="53"/>
        <v>0</v>
      </c>
      <c r="BF233" s="848">
        <f t="shared" ca="1" si="54"/>
        <v>0</v>
      </c>
      <c r="BG233" s="848">
        <f t="shared" ca="1" si="55"/>
        <v>0</v>
      </c>
      <c r="BH233" s="848">
        <f t="shared" ca="1" si="56"/>
        <v>0</v>
      </c>
      <c r="BI233" s="848">
        <f t="shared" ca="1" si="57"/>
        <v>0</v>
      </c>
      <c r="BJ233" s="848">
        <f t="shared" ca="1" si="58"/>
        <v>0</v>
      </c>
      <c r="BK233" s="848">
        <f t="shared" ca="1" si="59"/>
        <v>0</v>
      </c>
      <c r="BL233" s="848">
        <f t="shared" ca="1" si="60"/>
        <v>0</v>
      </c>
      <c r="BM233" s="848">
        <f t="shared" ca="1" si="61"/>
        <v>0</v>
      </c>
      <c r="BN233" s="1522"/>
      <c r="BO233" s="1517" t="str">
        <f ca="1">IF(IFERROR(INDEX(Покупка!$K$26:$L$90,MATCH($F233&amp;"5komm",Покупка!$K$26:$K$90,0),2),"")=0,"",IFERROR(INDEX(Покупка!$K$26:$L$90,MATCH($F233&amp;"5komm",Покупка!$K$26:$K$90,0),2),""))</f>
        <v/>
      </c>
      <c r="BP233" s="1522"/>
      <c r="BQ233" s="1177"/>
      <c r="BR233" s="1177"/>
      <c r="BS233" s="966" t="s">
        <v>1577</v>
      </c>
      <c r="BT233" s="966"/>
      <c r="BU233" s="966"/>
      <c r="BV233" s="881"/>
      <c r="BW233" s="881"/>
    </row>
    <row r="234" spans="1:75" s="1133" customFormat="1" ht="14.25" customHeight="1">
      <c r="B234" s="15"/>
      <c r="C234" s="26"/>
      <c r="D234" s="26"/>
      <c r="E234" s="538">
        <v>15</v>
      </c>
      <c r="F234" s="3" t="str" cm="1">
        <f t="array" aca="1" ref="F234" ca="1">OFFSET(E234,-1,1)</f>
        <v>1</v>
      </c>
      <c r="G234" s="26" t="s">
        <v>1004</v>
      </c>
      <c r="H234" s="26"/>
      <c r="I234" s="26"/>
      <c r="J234" s="26"/>
      <c r="K234" s="26"/>
      <c r="L234" s="882" t="s">
        <v>1352</v>
      </c>
      <c r="M234" s="26"/>
      <c r="N234" s="26"/>
      <c r="O234" s="26"/>
      <c r="P234" s="26"/>
      <c r="Q234" s="26"/>
      <c r="R234" s="26"/>
      <c r="S234" s="26"/>
      <c r="T234" s="381" t="b" cm="1">
        <f t="array" aca="1" ref="T234" ca="1">T233</f>
        <v>1</v>
      </c>
      <c r="U234" s="26"/>
      <c r="V234" s="26"/>
      <c r="X234" s="1755"/>
      <c r="Z234" s="1735"/>
      <c r="AB234" s="215" t="s">
        <v>1893</v>
      </c>
      <c r="AC234" s="679" t="s">
        <v>1894</v>
      </c>
      <c r="AD234" s="216" t="s">
        <v>766</v>
      </c>
      <c r="AE234" s="175">
        <f ca="1">SUMIFS(Покупка!AE$25:AE$90,Покупка!$F$25:$F$90,$F234,Покупка!$AC$25:$AC$90,$G234)</f>
        <v>0</v>
      </c>
      <c r="AF234" s="175">
        <f ca="1">SUMIFS(Покупка!AF$25:AF$90,Покупка!$F$25:$F$90,$F234,Покупка!$AC$25:$AC$90,$G234)</f>
        <v>0</v>
      </c>
      <c r="AG234" s="175">
        <f ca="1">SUMIFS(Покупка!AG$25:AG$90,Покупка!$F$25:$F$90,$F234,Покупка!$AC$25:$AC$90,$G234)</f>
        <v>0</v>
      </c>
      <c r="AH234" s="848">
        <f t="shared" ca="1" si="50"/>
        <v>0</v>
      </c>
      <c r="AI234" s="848">
        <f ca="1">SUMIFS(Покупка!AH$25:AH$90,Покупка!$F$25:$F$90,$F234,Покупка!$AC$25:$AC$90,$G234)</f>
        <v>0</v>
      </c>
      <c r="AJ234" s="1017">
        <f ca="1">SUMIFS(Покупка!AI$25:AI$90,Покупка!$F$25:$F$90,$F234,Покупка!$AC$25:$AC$90,$G234)</f>
        <v>0</v>
      </c>
      <c r="AK234" s="1017">
        <f ca="1">SUMIFS(Покупка!AJ$25:AJ$90,Покупка!$F$25:$F$90,$F234,Покупка!$AC$25:$AC$90,$G234)</f>
        <v>0</v>
      </c>
      <c r="AL234" s="1017">
        <f ca="1">SUMIFS(Покупка!AK$25:AK$90,Покупка!$F$25:$F$90,$F234,Покупка!$AC$25:$AC$90,$G234)</f>
        <v>0</v>
      </c>
      <c r="AM234" s="1017">
        <f ca="1">SUMIFS(Покупка!AL$25:AL$90,Покупка!$F$25:$F$90,$F234,Покупка!$AC$25:$AC$90,$G234)</f>
        <v>0</v>
      </c>
      <c r="AN234" s="1017">
        <f ca="1">SUMIFS(Покупка!AM$25:AM$90,Покупка!$F$25:$F$90,$F234,Покупка!$AC$25:$AC$90,$G234)</f>
        <v>0</v>
      </c>
      <c r="AO234" s="1017">
        <f ca="1">SUMIFS(Покупка!AN$25:AN$90,Покупка!$F$25:$F$90,$F234,Покупка!$AC$25:$AC$90,$G234)</f>
        <v>0</v>
      </c>
      <c r="AP234" s="1017">
        <f ca="1">SUMIFS(Покупка!AO$25:AO$90,Покупка!$F$25:$F$90,$F234,Покупка!$AC$25:$AC$90,$G234)</f>
        <v>0</v>
      </c>
      <c r="AQ234" s="1017">
        <f ca="1">SUMIFS(Покупка!AP$25:AP$90,Покупка!$F$25:$F$90,$F234,Покупка!$AC$25:$AC$90,$G234)</f>
        <v>0</v>
      </c>
      <c r="AR234" s="1017">
        <f ca="1">SUMIFS(Покупка!AQ$25:AQ$90,Покупка!$F$25:$F$90,$F234,Покупка!$AC$25:$AC$90,$G234)</f>
        <v>0</v>
      </c>
      <c r="AS234" s="1017">
        <f ca="1">SUMIFS(Покупка!AR$25:AR$90,Покупка!$F$25:$F$90,$F234,Покупка!$AC$25:$AC$90,$G234)</f>
        <v>0</v>
      </c>
      <c r="AT234" s="1017">
        <f ca="1">SUMIFS(Покупка!AS$25:AS$90,Покупка!$F$25:$F$90,$F234,Покупка!$AC$25:$AC$90,$G234)</f>
        <v>0</v>
      </c>
      <c r="AU234" s="1017">
        <f ca="1">SUMIFS(Покупка!AT$25:AT$90,Покупка!$F$25:$F$90,$F234,Покупка!$AC$25:$AC$90,$G234)</f>
        <v>0</v>
      </c>
      <c r="AV234" s="1017">
        <f ca="1">SUMIFS(Покупка!AU$25:AU$90,Покупка!$F$25:$F$90,$F234,Покупка!$AC$25:$AC$90,$G234)</f>
        <v>0</v>
      </c>
      <c r="AW234" s="1017">
        <f ca="1">SUMIFS(Покупка!AV$25:AV$90,Покупка!$F$25:$F$90,$F234,Покупка!$AC$25:$AC$90,$G234)</f>
        <v>0</v>
      </c>
      <c r="AX234" s="1017">
        <f ca="1">SUMIFS(Покупка!AW$25:AW$90,Покупка!$F$25:$F$90,$F234,Покупка!$AC$25:$AC$90,$G234)</f>
        <v>0</v>
      </c>
      <c r="AY234" s="1017">
        <f ca="1">SUMIFS(Покупка!AX$25:AX$90,Покупка!$F$25:$F$90,$F234,Покупка!$AC$25:$AC$90,$G234)</f>
        <v>0</v>
      </c>
      <c r="AZ234" s="1017">
        <f ca="1">SUMIFS(Покупка!AY$25:AY$90,Покупка!$F$25:$F$90,$F234,Покупка!$AC$25:$AC$90,$G234)</f>
        <v>0</v>
      </c>
      <c r="BA234" s="1017">
        <f ca="1">SUMIFS(Покупка!AZ$25:AZ$90,Покупка!$F$25:$F$90,$F234,Покупка!$AC$25:$AC$90,$G234)</f>
        <v>0</v>
      </c>
      <c r="BB234" s="1017">
        <f ca="1">SUMIFS(Покупка!BA$25:BA$90,Покупка!$F$25:$F$90,$F234,Покупка!$AC$25:$AC$90,$G234)</f>
        <v>0</v>
      </c>
      <c r="BC234" s="1017">
        <f ca="1">SUMIFS(Покупка!BB$25:BB$90,Покупка!$F$25:$F$90,$F234,Покупка!$AC$25:$AC$90,$G234)</f>
        <v>0</v>
      </c>
      <c r="BD234" s="848">
        <f t="shared" ca="1" si="52"/>
        <v>0</v>
      </c>
      <c r="BE234" s="848">
        <f t="shared" ca="1" si="53"/>
        <v>0</v>
      </c>
      <c r="BF234" s="848">
        <f t="shared" ca="1" si="54"/>
        <v>0</v>
      </c>
      <c r="BG234" s="848">
        <f t="shared" ca="1" si="55"/>
        <v>0</v>
      </c>
      <c r="BH234" s="848">
        <f t="shared" ca="1" si="56"/>
        <v>0</v>
      </c>
      <c r="BI234" s="848">
        <f t="shared" ca="1" si="57"/>
        <v>0</v>
      </c>
      <c r="BJ234" s="848">
        <f t="shared" ca="1" si="58"/>
        <v>0</v>
      </c>
      <c r="BK234" s="848">
        <f t="shared" ca="1" si="59"/>
        <v>0</v>
      </c>
      <c r="BL234" s="848">
        <f t="shared" ca="1" si="60"/>
        <v>0</v>
      </c>
      <c r="BM234" s="848">
        <f t="shared" ca="1" si="61"/>
        <v>0</v>
      </c>
      <c r="BN234" s="1522"/>
      <c r="BO234" s="1517" t="str">
        <f ca="1">IF(IFERROR(INDEX(Покупка!$K$26:$L$90,MATCH($F234&amp;"9komm",Покупка!$K$26:$K$90,0),2),"")=0,"",IFERROR(INDEX(Покупка!$K$26:$L$90,MATCH($F234&amp;"9komm",Покупка!$K$26:$K$90,0),2),""))</f>
        <v/>
      </c>
      <c r="BP234" s="1522"/>
      <c r="BS234" s="966" t="s">
        <v>1005</v>
      </c>
      <c r="BT234" s="966"/>
      <c r="BU234" s="966"/>
      <c r="BV234" s="620"/>
      <c r="BW234" s="620"/>
    </row>
    <row r="235" spans="1:75" s="1327" customFormat="1" ht="14.25" customHeight="1">
      <c r="A235" s="1177"/>
      <c r="B235" s="15"/>
      <c r="C235" s="26"/>
      <c r="D235" s="26"/>
      <c r="E235" s="538">
        <v>15</v>
      </c>
      <c r="F235" s="3" t="str" cm="1">
        <f t="array" aca="1" ref="F235" ca="1">OFFSET(E235,-1,1)</f>
        <v>1</v>
      </c>
      <c r="G235" s="26"/>
      <c r="H235" s="26"/>
      <c r="I235" s="26" t="s">
        <v>448</v>
      </c>
      <c r="J235" s="26"/>
      <c r="K235" s="26" t="s">
        <v>448</v>
      </c>
      <c r="L235" s="882"/>
      <c r="M235" s="26"/>
      <c r="N235" s="26"/>
      <c r="O235" s="26"/>
      <c r="P235" s="26"/>
      <c r="Q235" s="26"/>
      <c r="R235" s="26"/>
      <c r="S235" s="26"/>
      <c r="T235" s="381" t="b" cm="1">
        <f t="array" aca="1" ref="T235" ca="1">T234</f>
        <v>1</v>
      </c>
      <c r="U235" s="26"/>
      <c r="V235" s="26"/>
      <c r="W235" s="1177"/>
      <c r="X235" s="1755"/>
      <c r="Y235" s="1177"/>
      <c r="Z235" s="1735"/>
      <c r="AA235" s="1177"/>
      <c r="AB235" s="215" t="s">
        <v>506</v>
      </c>
      <c r="AC235" s="676" t="s">
        <v>1895</v>
      </c>
      <c r="AD235" s="693" t="s">
        <v>766</v>
      </c>
      <c r="AE235" s="175">
        <f ca="1">SUMIFS('Сырье и материалы'!AE$25:AE$35,'Сырье и материалы'!$F$25:$F$35,$F235,'Сырье и материалы'!$AC$25:$AC$35,"Всего по тарифу")</f>
        <v>0</v>
      </c>
      <c r="AF235" s="175">
        <f ca="1">SUMIFS('Сырье и материалы'!AF$25:AF$35,'Сырье и материалы'!$F$25:$F$35,$F235,'Сырье и материалы'!$AC$25:$AC$35,"Всего по тарифу")</f>
        <v>0</v>
      </c>
      <c r="AG235" s="175">
        <f ca="1">SUMIFS('Сырье и материалы'!AG$25:AG$35,'Сырье и материалы'!$F$25:$F$35,$F235,'Сырье и материалы'!$AC$25:$AC$35,"Всего по тарифу")</f>
        <v>0</v>
      </c>
      <c r="AH235" s="848">
        <f t="shared" ca="1" si="50"/>
        <v>0</v>
      </c>
      <c r="AI235" s="848">
        <f ca="1">SUMIFS('Сырье и материалы'!AH$25:AH$35,'Сырье и материалы'!$F$25:$F$35,$F235,'Сырье и материалы'!$AC$25:$AC$35,"Всего по тарифу")</f>
        <v>0</v>
      </c>
      <c r="AJ235" s="848">
        <f ca="1">SUMIFS('Сырье и материалы'!AI$25:AI$35,'Сырье и материалы'!$F$25:$F$35,$F235,'Сырье и материалы'!$AC$25:$AC$35,"Всего по тарифу")</f>
        <v>0</v>
      </c>
      <c r="AK235" s="848">
        <f ca="1">SUMIFS('Сырье и материалы'!AJ$25:AJ$35,'Сырье и материалы'!$F$25:$F$35,$F235,'Сырье и материалы'!$AC$25:$AC$35,"Всего по тарифу")</f>
        <v>0</v>
      </c>
      <c r="AL235" s="848">
        <f ca="1">SUMIFS('Сырье и материалы'!AK$25:AK$35,'Сырье и материалы'!$F$25:$F$35,$F235,'Сырье и материалы'!$AC$25:$AC$35,"Всего по тарифу")</f>
        <v>0</v>
      </c>
      <c r="AM235" s="848">
        <f ca="1">SUMIFS('Сырье и материалы'!AL$25:AL$35,'Сырье и материалы'!$F$25:$F$35,$F235,'Сырье и материалы'!$AC$25:$AC$35,"Всего по тарифу")</f>
        <v>0</v>
      </c>
      <c r="AN235" s="848">
        <f ca="1">SUMIFS('Сырье и материалы'!AM$25:AM$35,'Сырье и материалы'!$F$25:$F$35,$F235,'Сырье и материалы'!$AC$25:$AC$35,"Всего по тарифу")</f>
        <v>0</v>
      </c>
      <c r="AO235" s="848">
        <f ca="1">SUMIFS('Сырье и материалы'!AN$25:AN$35,'Сырье и материалы'!$F$25:$F$35,$F235,'Сырье и материалы'!$AC$25:$AC$35,"Всего по тарифу")</f>
        <v>0</v>
      </c>
      <c r="AP235" s="848">
        <f ca="1">SUMIFS('Сырье и материалы'!AO$25:AO$35,'Сырье и материалы'!$F$25:$F$35,$F235,'Сырье и материалы'!$AC$25:$AC$35,"Всего по тарифу")</f>
        <v>0</v>
      </c>
      <c r="AQ235" s="848">
        <f ca="1">SUMIFS('Сырье и материалы'!AP$25:AP$35,'Сырье и материалы'!$F$25:$F$35,$F235,'Сырье и материалы'!$AC$25:$AC$35,"Всего по тарифу")</f>
        <v>0</v>
      </c>
      <c r="AR235" s="848">
        <f ca="1">SUMIFS('Сырье и материалы'!AQ$25:AQ$35,'Сырье и материалы'!$F$25:$F$35,$F235,'Сырье и материалы'!$AC$25:$AC$35,"Всего по тарифу")</f>
        <v>0</v>
      </c>
      <c r="AS235" s="848">
        <f ca="1">SUMIFS('Сырье и материалы'!AR$25:AR$35,'Сырье и материалы'!$F$25:$F$35,$F235,'Сырье и материалы'!$AC$25:$AC$35,"Всего по тарифу")</f>
        <v>0</v>
      </c>
      <c r="AT235" s="848">
        <f ca="1">SUMIFS('Сырье и материалы'!AS$25:AS$35,'Сырье и материалы'!$F$25:$F$35,$F235,'Сырье и материалы'!$AC$25:$AC$35,"Всего по тарифу")</f>
        <v>0</v>
      </c>
      <c r="AU235" s="848">
        <f ca="1">SUMIFS('Сырье и материалы'!AT$25:AT$35,'Сырье и материалы'!$F$25:$F$35,$F235,'Сырье и материалы'!$AC$25:$AC$35,"Всего по тарифу")</f>
        <v>0</v>
      </c>
      <c r="AV235" s="848">
        <f ca="1">SUMIFS('Сырье и материалы'!AU$25:AU$35,'Сырье и материалы'!$F$25:$F$35,$F235,'Сырье и материалы'!$AC$25:$AC$35,"Всего по тарифу")</f>
        <v>0</v>
      </c>
      <c r="AW235" s="848">
        <f ca="1">SUMIFS('Сырье и материалы'!AV$25:AV$35,'Сырье и материалы'!$F$25:$F$35,$F235,'Сырье и материалы'!$AC$25:$AC$35,"Всего по тарифу")</f>
        <v>0</v>
      </c>
      <c r="AX235" s="848">
        <f ca="1">SUMIFS('Сырье и материалы'!AW$25:AW$35,'Сырье и материалы'!$F$25:$F$35,$F235,'Сырье и материалы'!$AC$25:$AC$35,"Всего по тарифу")</f>
        <v>0</v>
      </c>
      <c r="AY235" s="848">
        <f ca="1">SUMIFS('Сырье и материалы'!AX$25:AX$35,'Сырье и материалы'!$F$25:$F$35,$F235,'Сырье и материалы'!$AC$25:$AC$35,"Всего по тарифу")</f>
        <v>0</v>
      </c>
      <c r="AZ235" s="848">
        <f ca="1">SUMIFS('Сырье и материалы'!AY$25:AY$35,'Сырье и материалы'!$F$25:$F$35,$F235,'Сырье и материалы'!$AC$25:$AC$35,"Всего по тарифу")</f>
        <v>0</v>
      </c>
      <c r="BA235" s="848">
        <f ca="1">SUMIFS('Сырье и материалы'!AZ$25:AZ$35,'Сырье и материалы'!$F$25:$F$35,$F235,'Сырье и материалы'!$AC$25:$AC$35,"Всего по тарифу")</f>
        <v>0</v>
      </c>
      <c r="BB235" s="848">
        <f ca="1">SUMIFS('Сырье и материалы'!BA$25:BA$35,'Сырье и материалы'!$F$25:$F$35,$F235,'Сырье и материалы'!$AC$25:$AC$35,"Всего по тарифу")</f>
        <v>0</v>
      </c>
      <c r="BC235" s="848">
        <f ca="1">SUMIFS('Сырье и материалы'!BB$25:BB$35,'Сырье и материалы'!$F$25:$F$35,$F235,'Сырье и материалы'!$AC$25:$AC$35,"Всего по тарифу")</f>
        <v>0</v>
      </c>
      <c r="BD235" s="848">
        <f t="shared" ca="1" si="52"/>
        <v>0</v>
      </c>
      <c r="BE235" s="848">
        <f t="shared" ca="1" si="53"/>
        <v>0</v>
      </c>
      <c r="BF235" s="848">
        <f t="shared" ca="1" si="54"/>
        <v>0</v>
      </c>
      <c r="BG235" s="848">
        <f t="shared" ca="1" si="55"/>
        <v>0</v>
      </c>
      <c r="BH235" s="848">
        <f t="shared" ca="1" si="56"/>
        <v>0</v>
      </c>
      <c r="BI235" s="848">
        <f t="shared" ca="1" si="57"/>
        <v>0</v>
      </c>
      <c r="BJ235" s="848">
        <f t="shared" ca="1" si="58"/>
        <v>0</v>
      </c>
      <c r="BK235" s="848">
        <f t="shared" ca="1" si="59"/>
        <v>0</v>
      </c>
      <c r="BL235" s="848">
        <f t="shared" ca="1" si="60"/>
        <v>0</v>
      </c>
      <c r="BM235" s="848">
        <f t="shared" ca="1" si="61"/>
        <v>0</v>
      </c>
      <c r="BN235" s="1522"/>
      <c r="BO235" s="1517" t="str">
        <f ca="1">IF(IFERROR(INDEX('Сырье и материалы'!$K$26:$L$35,MATCH($F235&amp;"komm",'Сырье и материалы'!$K$26:$K$35,0),2),"")=0,"",IFERROR(INDEX('Сырье и материалы'!$K$26:$L$35,MATCH($F235&amp;"komm",'Сырье и материалы'!$K$26:$K$35,0),2),""))</f>
        <v/>
      </c>
      <c r="BP235" s="1522"/>
      <c r="BQ235" s="1177"/>
      <c r="BR235" s="1177"/>
      <c r="BS235" s="966" t="s">
        <v>1550</v>
      </c>
      <c r="BT235" s="966"/>
      <c r="BU235" s="966"/>
      <c r="BV235" s="881"/>
      <c r="BW235" s="881"/>
    </row>
    <row r="236" spans="1:75" s="1524" customFormat="1" ht="20.25" customHeight="1">
      <c r="A236" s="617"/>
      <c r="B236" s="30"/>
      <c r="C236" s="28"/>
      <c r="D236" s="28"/>
      <c r="E236" s="740">
        <v>21</v>
      </c>
      <c r="F236" s="3" t="str" cm="1">
        <f t="array" aca="1" ref="F236" ca="1">OFFSET(E236,-1,1)</f>
        <v>1</v>
      </c>
      <c r="G236" s="28"/>
      <c r="H236" s="26"/>
      <c r="I236" s="26" t="s">
        <v>841</v>
      </c>
      <c r="J236" s="28"/>
      <c r="K236" s="26" t="s">
        <v>841</v>
      </c>
      <c r="L236" s="887" t="s">
        <v>481</v>
      </c>
      <c r="M236" s="28"/>
      <c r="N236" s="28"/>
      <c r="O236" s="28"/>
      <c r="P236" s="28"/>
      <c r="Q236" s="28"/>
      <c r="R236" s="28"/>
      <c r="S236" s="28"/>
      <c r="T236" s="381" t="b" cm="1">
        <f t="array" aca="1" ref="T236" ca="1">T235</f>
        <v>1</v>
      </c>
      <c r="U236" s="28"/>
      <c r="V236" s="28"/>
      <c r="W236" s="617"/>
      <c r="X236" s="1755"/>
      <c r="Y236" s="617"/>
      <c r="Z236" s="1735"/>
      <c r="AA236" s="617"/>
      <c r="AB236" s="136" t="s">
        <v>510</v>
      </c>
      <c r="AC236" s="273" t="s">
        <v>1896</v>
      </c>
      <c r="AD236" s="129" t="s">
        <v>766</v>
      </c>
      <c r="AE236" s="692">
        <f ca="1">SUM(AE237:AE246)</f>
        <v>0</v>
      </c>
      <c r="AF236" s="692">
        <f ca="1">SUM(AF237:AF246)</f>
        <v>0</v>
      </c>
      <c r="AG236" s="692">
        <f ca="1">SUM(AG237:AG246)</f>
        <v>0</v>
      </c>
      <c r="AH236" s="675">
        <f t="shared" ca="1" si="50"/>
        <v>0</v>
      </c>
      <c r="AI236" s="675">
        <f t="shared" ref="AI236:BC236" ca="1" si="63">SUM(AI237:AI246)</f>
        <v>0</v>
      </c>
      <c r="AJ236" s="684">
        <f t="shared" ca="1" si="63"/>
        <v>0</v>
      </c>
      <c r="AK236" s="675">
        <f t="shared" ca="1" si="63"/>
        <v>0</v>
      </c>
      <c r="AL236" s="675">
        <f t="shared" ca="1" si="63"/>
        <v>0</v>
      </c>
      <c r="AM236" s="675">
        <f t="shared" ca="1" si="63"/>
        <v>0</v>
      </c>
      <c r="AN236" s="675">
        <f t="shared" ca="1" si="63"/>
        <v>0</v>
      </c>
      <c r="AO236" s="675">
        <f t="shared" ca="1" si="63"/>
        <v>0</v>
      </c>
      <c r="AP236" s="675">
        <f t="shared" ca="1" si="63"/>
        <v>0</v>
      </c>
      <c r="AQ236" s="675">
        <f t="shared" ca="1" si="63"/>
        <v>0</v>
      </c>
      <c r="AR236" s="675">
        <f t="shared" ca="1" si="63"/>
        <v>0</v>
      </c>
      <c r="AS236" s="675">
        <f t="shared" ca="1" si="63"/>
        <v>0</v>
      </c>
      <c r="AT236" s="684">
        <f t="shared" ca="1" si="63"/>
        <v>0</v>
      </c>
      <c r="AU236" s="675">
        <f t="shared" ca="1" si="63"/>
        <v>0</v>
      </c>
      <c r="AV236" s="675">
        <f t="shared" ca="1" si="63"/>
        <v>0</v>
      </c>
      <c r="AW236" s="675">
        <f t="shared" ca="1" si="63"/>
        <v>0</v>
      </c>
      <c r="AX236" s="675">
        <f t="shared" ca="1" si="63"/>
        <v>0</v>
      </c>
      <c r="AY236" s="675">
        <f t="shared" ca="1" si="63"/>
        <v>0</v>
      </c>
      <c r="AZ236" s="675">
        <f t="shared" ca="1" si="63"/>
        <v>0</v>
      </c>
      <c r="BA236" s="675">
        <f t="shared" ca="1" si="63"/>
        <v>0</v>
      </c>
      <c r="BB236" s="675">
        <f t="shared" ca="1" si="63"/>
        <v>0</v>
      </c>
      <c r="BC236" s="675">
        <f t="shared" ca="1" si="63"/>
        <v>0</v>
      </c>
      <c r="BD236" s="675">
        <f t="shared" ca="1" si="52"/>
        <v>0</v>
      </c>
      <c r="BE236" s="675">
        <f t="shared" ca="1" si="53"/>
        <v>0</v>
      </c>
      <c r="BF236" s="675">
        <f t="shared" ca="1" si="54"/>
        <v>0</v>
      </c>
      <c r="BG236" s="675">
        <f t="shared" ca="1" si="55"/>
        <v>0</v>
      </c>
      <c r="BH236" s="675">
        <f t="shared" ca="1" si="56"/>
        <v>0</v>
      </c>
      <c r="BI236" s="675">
        <f t="shared" ca="1" si="57"/>
        <v>0</v>
      </c>
      <c r="BJ236" s="675">
        <f t="shared" ca="1" si="58"/>
        <v>0</v>
      </c>
      <c r="BK236" s="675">
        <f t="shared" ca="1" si="59"/>
        <v>0</v>
      </c>
      <c r="BL236" s="675">
        <f t="shared" ca="1" si="60"/>
        <v>0</v>
      </c>
      <c r="BM236" s="675">
        <f t="shared" ca="1" si="61"/>
        <v>0</v>
      </c>
      <c r="BN236" s="1483"/>
      <c r="BO236" s="1517" t="str">
        <f ca="1">IF(IFERROR(INDEX(Налоги!$K$26:$L$55,MATCH($F236&amp;"komm",Налоги!$K$26:$K$55,0),2),"")=0,"",IFERROR(INDEX(Налоги!$K$26:$L$55,MATCH($F236&amp;"komm",Налоги!$K$26:$K$55,0),2),""))</f>
        <v/>
      </c>
      <c r="BP236" s="1483"/>
      <c r="BQ236" s="617"/>
      <c r="BR236" s="617"/>
      <c r="BS236" s="972" t="s">
        <v>1124</v>
      </c>
      <c r="BT236" s="972"/>
      <c r="BU236" s="972"/>
      <c r="BV236" s="624"/>
      <c r="BW236" s="624"/>
    </row>
    <row r="237" spans="1:75" s="1327" customFormat="1" ht="14.25" customHeight="1">
      <c r="A237" s="1177"/>
      <c r="B237" s="15"/>
      <c r="C237" s="26"/>
      <c r="D237" s="26"/>
      <c r="E237" s="538">
        <v>15</v>
      </c>
      <c r="F237" s="3" t="str" cm="1">
        <f t="array" aca="1" ref="F237" ca="1">OFFSET(E237,-1,1)</f>
        <v>1</v>
      </c>
      <c r="G237" s="827">
        <v>7</v>
      </c>
      <c r="H237" s="26"/>
      <c r="I237" s="26" t="s">
        <v>1897</v>
      </c>
      <c r="J237" s="26"/>
      <c r="K237" s="26" t="s">
        <v>1897</v>
      </c>
      <c r="L237" s="882"/>
      <c r="M237" s="26"/>
      <c r="N237" s="26"/>
      <c r="O237" s="26"/>
      <c r="P237" s="26"/>
      <c r="Q237" s="26"/>
      <c r="R237" s="26"/>
      <c r="S237" s="26"/>
      <c r="T237" s="381" t="b" cm="1">
        <f t="array" aca="1" ref="T237" ca="1">T236</f>
        <v>1</v>
      </c>
      <c r="U237" s="26"/>
      <c r="V237" s="26"/>
      <c r="W237" s="1177"/>
      <c r="X237" s="1755"/>
      <c r="Y237" s="1177"/>
      <c r="Z237" s="1735"/>
      <c r="AA237" s="1177"/>
      <c r="AB237" s="215" t="s">
        <v>464</v>
      </c>
      <c r="AC237" s="679" t="s">
        <v>1138</v>
      </c>
      <c r="AD237" s="216" t="s">
        <v>766</v>
      </c>
      <c r="AE237" s="175">
        <f ca="1">SUMIFS(Налоги!AE$25:AE$55,Налоги!$F$25:$F$55,$F237,Налоги!$AB$25:$AB$55,$G237)</f>
        <v>0</v>
      </c>
      <c r="AF237" s="175">
        <f ca="1">SUMIFS(Налоги!AF$25:AF$55,Налоги!$F$25:$F$55,$F237,Налоги!$AB$25:$AB$55,$G237)</f>
        <v>0</v>
      </c>
      <c r="AG237" s="175">
        <f ca="1">SUMIFS(Налоги!AG$25:AG$55,Налоги!$F$25:$F$55,$F237,Налоги!$AB$25:$AB$55,$G237)</f>
        <v>0</v>
      </c>
      <c r="AH237" s="848">
        <f t="shared" ca="1" si="50"/>
        <v>0</v>
      </c>
      <c r="AI237" s="848">
        <f ca="1">SUMIFS(Налоги!AH$25:AH$55,Налоги!$F$25:$F$55,$F237,Налоги!$AB$25:$AB$55,$G237)</f>
        <v>0</v>
      </c>
      <c r="AJ237" s="848">
        <f ca="1">SUMIFS(Налоги!AI$25:AI$55,Налоги!$F$25:$F$55,$F237,Налоги!$AB$25:$AB$55,$G237)</f>
        <v>0</v>
      </c>
      <c r="AK237" s="848">
        <f ca="1">SUMIFS(Налоги!AJ$25:AJ$55,Налоги!$F$25:$F$55,$F237,Налоги!$AB$25:$AB$55,$G237)</f>
        <v>0</v>
      </c>
      <c r="AL237" s="848">
        <f ca="1">SUMIFS(Налоги!AK$25:AK$55,Налоги!$F$25:$F$55,$F237,Налоги!$AB$25:$AB$55,$G237)</f>
        <v>0</v>
      </c>
      <c r="AM237" s="848">
        <f ca="1">SUMIFS(Налоги!AL$25:AL$55,Налоги!$F$25:$F$55,$F237,Налоги!$AB$25:$AB$55,$G237)</f>
        <v>0</v>
      </c>
      <c r="AN237" s="848">
        <f ca="1">SUMIFS(Налоги!AM$25:AM$55,Налоги!$F$25:$F$55,$F237,Налоги!$AB$25:$AB$55,$G237)</f>
        <v>0</v>
      </c>
      <c r="AO237" s="848">
        <f ca="1">SUMIFS(Налоги!AN$25:AN$55,Налоги!$F$25:$F$55,$F237,Налоги!$AB$25:$AB$55,$G237)</f>
        <v>0</v>
      </c>
      <c r="AP237" s="848">
        <f ca="1">SUMIFS(Налоги!AO$25:AO$55,Налоги!$F$25:$F$55,$F237,Налоги!$AB$25:$AB$55,$G237)</f>
        <v>0</v>
      </c>
      <c r="AQ237" s="848">
        <f ca="1">SUMIFS(Налоги!AP$25:AP$55,Налоги!$F$25:$F$55,$F237,Налоги!$AB$25:$AB$55,$G237)</f>
        <v>0</v>
      </c>
      <c r="AR237" s="848">
        <f ca="1">SUMIFS(Налоги!AQ$25:AQ$55,Налоги!$F$25:$F$55,$F237,Налоги!$AB$25:$AB$55,$G237)</f>
        <v>0</v>
      </c>
      <c r="AS237" s="848">
        <f ca="1">SUMIFS(Налоги!AR$25:AR$55,Налоги!$F$25:$F$55,$F237,Налоги!$AB$25:$AB$55,$G237)</f>
        <v>0</v>
      </c>
      <c r="AT237" s="848">
        <f ca="1">SUMIFS(Налоги!AS$25:AS$55,Налоги!$F$25:$F$55,$F237,Налоги!$AB$25:$AB$55,$G237)</f>
        <v>0</v>
      </c>
      <c r="AU237" s="848">
        <f ca="1">SUMIFS(Налоги!AT$25:AT$55,Налоги!$F$25:$F$55,$F237,Налоги!$AB$25:$AB$55,$G237)</f>
        <v>0</v>
      </c>
      <c r="AV237" s="848">
        <f ca="1">SUMIFS(Налоги!AU$25:AU$55,Налоги!$F$25:$F$55,$F237,Налоги!$AB$25:$AB$55,$G237)</f>
        <v>0</v>
      </c>
      <c r="AW237" s="848">
        <f ca="1">SUMIFS(Налоги!AV$25:AV$55,Налоги!$F$25:$F$55,$F237,Налоги!$AB$25:$AB$55,$G237)</f>
        <v>0</v>
      </c>
      <c r="AX237" s="848">
        <f ca="1">SUMIFS(Налоги!AW$25:AW$55,Налоги!$F$25:$F$55,$F237,Налоги!$AB$25:$AB$55,$G237)</f>
        <v>0</v>
      </c>
      <c r="AY237" s="848">
        <f ca="1">SUMIFS(Налоги!AX$25:AX$55,Налоги!$F$25:$F$55,$F237,Налоги!$AB$25:$AB$55,$G237)</f>
        <v>0</v>
      </c>
      <c r="AZ237" s="848">
        <f ca="1">SUMIFS(Налоги!AY$25:AY$55,Налоги!$F$25:$F$55,$F237,Налоги!$AB$25:$AB$55,$G237)</f>
        <v>0</v>
      </c>
      <c r="BA237" s="848">
        <f ca="1">SUMIFS(Налоги!AZ$25:AZ$55,Налоги!$F$25:$F$55,$F237,Налоги!$AB$25:$AB$55,$G237)</f>
        <v>0</v>
      </c>
      <c r="BB237" s="848">
        <f ca="1">SUMIFS(Налоги!BA$25:BA$55,Налоги!$F$25:$F$55,$F237,Налоги!$AB$25:$AB$55,$G237)</f>
        <v>0</v>
      </c>
      <c r="BC237" s="848">
        <f ca="1">SUMIFS(Налоги!BB$25:BB$55,Налоги!$F$25:$F$55,$F237,Налоги!$AB$25:$AB$55,$G237)</f>
        <v>0</v>
      </c>
      <c r="BD237" s="848">
        <f t="shared" ca="1" si="52"/>
        <v>0</v>
      </c>
      <c r="BE237" s="848">
        <f t="shared" ca="1" si="53"/>
        <v>0</v>
      </c>
      <c r="BF237" s="848">
        <f t="shared" ca="1" si="54"/>
        <v>0</v>
      </c>
      <c r="BG237" s="848">
        <f t="shared" ca="1" si="55"/>
        <v>0</v>
      </c>
      <c r="BH237" s="848">
        <f t="shared" ca="1" si="56"/>
        <v>0</v>
      </c>
      <c r="BI237" s="848">
        <f t="shared" ca="1" si="57"/>
        <v>0</v>
      </c>
      <c r="BJ237" s="848">
        <f t="shared" ca="1" si="58"/>
        <v>0</v>
      </c>
      <c r="BK237" s="848">
        <f t="shared" ca="1" si="59"/>
        <v>0</v>
      </c>
      <c r="BL237" s="848">
        <f t="shared" ca="1" si="60"/>
        <v>0</v>
      </c>
      <c r="BM237" s="848">
        <f t="shared" ca="1" si="61"/>
        <v>0</v>
      </c>
      <c r="BN237" s="1522"/>
      <c r="BO237" s="1517" t="str">
        <f ca="1">IF(IFERROR(INDEX(Налоги!$K$26:$L$55,MATCH($F237&amp;"7komm",Налоги!$K$26:$K$55,0),2),"")=0,"",IFERROR(INDEX(Налоги!$K$26:$L$55,MATCH($F237&amp;"7komm",Налоги!$K$26:$K$55,0),2),""))</f>
        <v/>
      </c>
      <c r="BP237" s="1522"/>
      <c r="BQ237" s="1177"/>
      <c r="BR237" s="1177"/>
      <c r="BS237" s="966" t="s">
        <v>1898</v>
      </c>
      <c r="BT237" s="966"/>
      <c r="BU237" s="966"/>
      <c r="BV237" s="881"/>
      <c r="BW237" s="881"/>
    </row>
    <row r="238" spans="1:75" s="1327" customFormat="1" ht="14.25" customHeight="1">
      <c r="A238" s="1177"/>
      <c r="B238" s="15"/>
      <c r="C238" s="26"/>
      <c r="D238" s="26"/>
      <c r="E238" s="538">
        <v>15</v>
      </c>
      <c r="F238" s="3" t="str" cm="1">
        <f t="array" aca="1" ref="F238" ca="1">OFFSET(E238,-1,1)</f>
        <v>1</v>
      </c>
      <c r="G238" s="827">
        <v>6</v>
      </c>
      <c r="H238" s="26"/>
      <c r="I238" s="26" t="s">
        <v>1899</v>
      </c>
      <c r="J238" s="26"/>
      <c r="K238" s="26" t="s">
        <v>1899</v>
      </c>
      <c r="L238" s="882"/>
      <c r="M238" s="26"/>
      <c r="N238" s="26"/>
      <c r="O238" s="26"/>
      <c r="P238" s="26"/>
      <c r="Q238" s="26"/>
      <c r="R238" s="26"/>
      <c r="S238" s="26"/>
      <c r="T238" s="381" t="b" cm="1">
        <f t="array" aca="1" ref="T238" ca="1">T237</f>
        <v>1</v>
      </c>
      <c r="U238" s="26"/>
      <c r="V238" s="26"/>
      <c r="W238" s="1177"/>
      <c r="X238" s="1755"/>
      <c r="Y238" s="1177"/>
      <c r="Z238" s="1735"/>
      <c r="AA238" s="1177"/>
      <c r="AB238" s="215" t="s">
        <v>1342</v>
      </c>
      <c r="AC238" s="679" t="s">
        <v>1900</v>
      </c>
      <c r="AD238" s="216" t="s">
        <v>766</v>
      </c>
      <c r="AE238" s="175">
        <f ca="1">SUMIFS(Налоги!AE$25:AE$55,Налоги!$F$25:$F$55,$F238,Налоги!$AB$25:$AB$55,$G238)</f>
        <v>0</v>
      </c>
      <c r="AF238" s="175">
        <f ca="1">SUMIFS(Налоги!AF$25:AF$55,Налоги!$F$25:$F$55,$F238,Налоги!$AB$25:$AB$55,$G238)</f>
        <v>0</v>
      </c>
      <c r="AG238" s="175">
        <f ca="1">SUMIFS(Налоги!AG$25:AG$55,Налоги!$F$25:$F$55,$F238,Налоги!$AB$25:$AB$55,$G238)</f>
        <v>0</v>
      </c>
      <c r="AH238" s="848">
        <f t="shared" ca="1" si="50"/>
        <v>0</v>
      </c>
      <c r="AI238" s="848">
        <f ca="1">SUMIFS(Налоги!AH$25:AH$55,Налоги!$F$25:$F$55,$F238,Налоги!$AB$25:$AB$55,$G238)</f>
        <v>0</v>
      </c>
      <c r="AJ238" s="848">
        <f ca="1">SUMIFS(Налоги!AI$25:AI$55,Налоги!$F$25:$F$55,$F238,Налоги!$AB$25:$AB$55,$G238)</f>
        <v>0</v>
      </c>
      <c r="AK238" s="848">
        <f ca="1">SUMIFS(Налоги!AJ$25:AJ$55,Налоги!$F$25:$F$55,$F238,Налоги!$AB$25:$AB$55,$G238)</f>
        <v>0</v>
      </c>
      <c r="AL238" s="848">
        <f ca="1">SUMIFS(Налоги!AK$25:AK$55,Налоги!$F$25:$F$55,$F238,Налоги!$AB$25:$AB$55,$G238)</f>
        <v>0</v>
      </c>
      <c r="AM238" s="848">
        <f ca="1">SUMIFS(Налоги!AL$25:AL$55,Налоги!$F$25:$F$55,$F238,Налоги!$AB$25:$AB$55,$G238)</f>
        <v>0</v>
      </c>
      <c r="AN238" s="848">
        <f ca="1">SUMIFS(Налоги!AM$25:AM$55,Налоги!$F$25:$F$55,$F238,Налоги!$AB$25:$AB$55,$G238)</f>
        <v>0</v>
      </c>
      <c r="AO238" s="848">
        <f ca="1">SUMIFS(Налоги!AN$25:AN$55,Налоги!$F$25:$F$55,$F238,Налоги!$AB$25:$AB$55,$G238)</f>
        <v>0</v>
      </c>
      <c r="AP238" s="848">
        <f ca="1">SUMIFS(Налоги!AO$25:AO$55,Налоги!$F$25:$F$55,$F238,Налоги!$AB$25:$AB$55,$G238)</f>
        <v>0</v>
      </c>
      <c r="AQ238" s="848">
        <f ca="1">SUMIFS(Налоги!AP$25:AP$55,Налоги!$F$25:$F$55,$F238,Налоги!$AB$25:$AB$55,$G238)</f>
        <v>0</v>
      </c>
      <c r="AR238" s="848">
        <f ca="1">SUMIFS(Налоги!AQ$25:AQ$55,Налоги!$F$25:$F$55,$F238,Налоги!$AB$25:$AB$55,$G238)</f>
        <v>0</v>
      </c>
      <c r="AS238" s="848">
        <f ca="1">SUMIFS(Налоги!AR$25:AR$55,Налоги!$F$25:$F$55,$F238,Налоги!$AB$25:$AB$55,$G238)</f>
        <v>0</v>
      </c>
      <c r="AT238" s="848">
        <f ca="1">SUMIFS(Налоги!AS$25:AS$55,Налоги!$F$25:$F$55,$F238,Налоги!$AB$25:$AB$55,$G238)</f>
        <v>0</v>
      </c>
      <c r="AU238" s="848">
        <f ca="1">SUMIFS(Налоги!AT$25:AT$55,Налоги!$F$25:$F$55,$F238,Налоги!$AB$25:$AB$55,$G238)</f>
        <v>0</v>
      </c>
      <c r="AV238" s="848">
        <f ca="1">SUMIFS(Налоги!AU$25:AU$55,Налоги!$F$25:$F$55,$F238,Налоги!$AB$25:$AB$55,$G238)</f>
        <v>0</v>
      </c>
      <c r="AW238" s="848">
        <f ca="1">SUMIFS(Налоги!AV$25:AV$55,Налоги!$F$25:$F$55,$F238,Налоги!$AB$25:$AB$55,$G238)</f>
        <v>0</v>
      </c>
      <c r="AX238" s="848">
        <f ca="1">SUMIFS(Налоги!AW$25:AW$55,Налоги!$F$25:$F$55,$F238,Налоги!$AB$25:$AB$55,$G238)</f>
        <v>0</v>
      </c>
      <c r="AY238" s="848">
        <f ca="1">SUMIFS(Налоги!AX$25:AX$55,Налоги!$F$25:$F$55,$F238,Налоги!$AB$25:$AB$55,$G238)</f>
        <v>0</v>
      </c>
      <c r="AZ238" s="848">
        <f ca="1">SUMIFS(Налоги!AY$25:AY$55,Налоги!$F$25:$F$55,$F238,Налоги!$AB$25:$AB$55,$G238)</f>
        <v>0</v>
      </c>
      <c r="BA238" s="848">
        <f ca="1">SUMIFS(Налоги!AZ$25:AZ$55,Налоги!$F$25:$F$55,$F238,Налоги!$AB$25:$AB$55,$G238)</f>
        <v>0</v>
      </c>
      <c r="BB238" s="848">
        <f ca="1">SUMIFS(Налоги!BA$25:BA$55,Налоги!$F$25:$F$55,$F238,Налоги!$AB$25:$AB$55,$G238)</f>
        <v>0</v>
      </c>
      <c r="BC238" s="848">
        <f ca="1">SUMIFS(Налоги!BB$25:BB$55,Налоги!$F$25:$F$55,$F238,Налоги!$AB$25:$AB$55,$G238)</f>
        <v>0</v>
      </c>
      <c r="BD238" s="848">
        <f t="shared" ca="1" si="52"/>
        <v>0</v>
      </c>
      <c r="BE238" s="848">
        <f t="shared" ca="1" si="53"/>
        <v>0</v>
      </c>
      <c r="BF238" s="848">
        <f t="shared" ca="1" si="54"/>
        <v>0</v>
      </c>
      <c r="BG238" s="848">
        <f t="shared" ca="1" si="55"/>
        <v>0</v>
      </c>
      <c r="BH238" s="848">
        <f t="shared" ca="1" si="56"/>
        <v>0</v>
      </c>
      <c r="BI238" s="848">
        <f t="shared" ca="1" si="57"/>
        <v>0</v>
      </c>
      <c r="BJ238" s="848">
        <f t="shared" ca="1" si="58"/>
        <v>0</v>
      </c>
      <c r="BK238" s="848">
        <f t="shared" ca="1" si="59"/>
        <v>0</v>
      </c>
      <c r="BL238" s="848">
        <f t="shared" ca="1" si="60"/>
        <v>0</v>
      </c>
      <c r="BM238" s="848">
        <f t="shared" ca="1" si="61"/>
        <v>0</v>
      </c>
      <c r="BN238" s="1522"/>
      <c r="BO238" s="1517" t="str">
        <f ca="1">IF(IFERROR(INDEX(Налоги!$K$26:$L$55,MATCH($F238&amp;"6komm",Налоги!$K$26:$K$55,0),2),"")=0,"",IFERROR(INDEX(Налоги!$K$26:$L$55,MATCH($F238&amp;"6komm",Налоги!$K$26:$K$55,0),2),""))</f>
        <v/>
      </c>
      <c r="BP238" s="1522"/>
      <c r="BQ238" s="1177"/>
      <c r="BR238" s="1177"/>
      <c r="BS238" s="966" t="s">
        <v>1901</v>
      </c>
      <c r="BT238" s="966"/>
      <c r="BU238" s="966"/>
      <c r="BV238" s="881"/>
      <c r="BW238" s="881"/>
    </row>
    <row r="239" spans="1:75" s="1327" customFormat="1" ht="14.25" customHeight="1">
      <c r="A239" s="1177"/>
      <c r="B239" s="15"/>
      <c r="C239" s="26"/>
      <c r="D239" s="26"/>
      <c r="E239" s="538">
        <v>15</v>
      </c>
      <c r="F239" s="3" t="str" cm="1">
        <f t="array" aca="1" ref="F239" ca="1">OFFSET(E239,-1,1)</f>
        <v>1</v>
      </c>
      <c r="G239" s="827">
        <v>2</v>
      </c>
      <c r="H239" s="26"/>
      <c r="I239" s="26" t="s">
        <v>1902</v>
      </c>
      <c r="J239" s="26"/>
      <c r="K239" s="26" t="s">
        <v>1902</v>
      </c>
      <c r="L239" s="882"/>
      <c r="M239" s="26"/>
      <c r="N239" s="26"/>
      <c r="O239" s="26"/>
      <c r="P239" s="26"/>
      <c r="Q239" s="26"/>
      <c r="R239" s="26"/>
      <c r="S239" s="26"/>
      <c r="T239" s="381" t="b" cm="1">
        <f t="array" aca="1" ref="T239" ca="1">T238</f>
        <v>1</v>
      </c>
      <c r="U239" s="26"/>
      <c r="V239" s="26"/>
      <c r="W239" s="1177"/>
      <c r="X239" s="1755"/>
      <c r="Y239" s="1177"/>
      <c r="Z239" s="1735"/>
      <c r="AA239" s="1177"/>
      <c r="AB239" s="215" t="s">
        <v>1347</v>
      </c>
      <c r="AC239" s="679" t="s">
        <v>1903</v>
      </c>
      <c r="AD239" s="216" t="s">
        <v>766</v>
      </c>
      <c r="AE239" s="175">
        <f ca="1">SUMIFS(Налоги!AE$25:AE$55,Налоги!$F$25:$F$55,$F239,Налоги!$AB$25:$AB$55,$G239)</f>
        <v>0</v>
      </c>
      <c r="AF239" s="175">
        <f ca="1">SUMIFS(Налоги!AF$25:AF$55,Налоги!$F$25:$F$55,$F239,Налоги!$AB$25:$AB$55,$G239)</f>
        <v>0</v>
      </c>
      <c r="AG239" s="175">
        <f ca="1">SUMIFS(Налоги!AG$25:AG$55,Налоги!$F$25:$F$55,$F239,Налоги!$AB$25:$AB$55,$G239)</f>
        <v>0</v>
      </c>
      <c r="AH239" s="848">
        <f t="shared" ca="1" si="50"/>
        <v>0</v>
      </c>
      <c r="AI239" s="848">
        <f ca="1">SUMIFS(Налоги!AH$25:AH$55,Налоги!$F$25:$F$55,$F239,Налоги!$AB$25:$AB$55,$G239)</f>
        <v>0</v>
      </c>
      <c r="AJ239" s="848">
        <f ca="1">SUMIFS(Налоги!AI$25:AI$55,Налоги!$F$25:$F$55,$F239,Налоги!$AB$25:$AB$55,$G239)</f>
        <v>0</v>
      </c>
      <c r="AK239" s="848">
        <f ca="1">SUMIFS(Налоги!AJ$25:AJ$55,Налоги!$F$25:$F$55,$F239,Налоги!$AB$25:$AB$55,$G239)</f>
        <v>0</v>
      </c>
      <c r="AL239" s="848">
        <f ca="1">SUMIFS(Налоги!AK$25:AK$55,Налоги!$F$25:$F$55,$F239,Налоги!$AB$25:$AB$55,$G239)</f>
        <v>0</v>
      </c>
      <c r="AM239" s="848">
        <f ca="1">SUMIFS(Налоги!AL$25:AL$55,Налоги!$F$25:$F$55,$F239,Налоги!$AB$25:$AB$55,$G239)</f>
        <v>0</v>
      </c>
      <c r="AN239" s="848">
        <f ca="1">SUMIFS(Налоги!AM$25:AM$55,Налоги!$F$25:$F$55,$F239,Налоги!$AB$25:$AB$55,$G239)</f>
        <v>0</v>
      </c>
      <c r="AO239" s="848">
        <f ca="1">SUMIFS(Налоги!AN$25:AN$55,Налоги!$F$25:$F$55,$F239,Налоги!$AB$25:$AB$55,$G239)</f>
        <v>0</v>
      </c>
      <c r="AP239" s="848">
        <f ca="1">SUMIFS(Налоги!AO$25:AO$55,Налоги!$F$25:$F$55,$F239,Налоги!$AB$25:$AB$55,$G239)</f>
        <v>0</v>
      </c>
      <c r="AQ239" s="848">
        <f ca="1">SUMIFS(Налоги!AP$25:AP$55,Налоги!$F$25:$F$55,$F239,Налоги!$AB$25:$AB$55,$G239)</f>
        <v>0</v>
      </c>
      <c r="AR239" s="848">
        <f ca="1">SUMIFS(Налоги!AQ$25:AQ$55,Налоги!$F$25:$F$55,$F239,Налоги!$AB$25:$AB$55,$G239)</f>
        <v>0</v>
      </c>
      <c r="AS239" s="848">
        <f ca="1">SUMIFS(Налоги!AR$25:AR$55,Налоги!$F$25:$F$55,$F239,Налоги!$AB$25:$AB$55,$G239)</f>
        <v>0</v>
      </c>
      <c r="AT239" s="848">
        <f ca="1">SUMIFS(Налоги!AS$25:AS$55,Налоги!$F$25:$F$55,$F239,Налоги!$AB$25:$AB$55,$G239)</f>
        <v>0</v>
      </c>
      <c r="AU239" s="848">
        <f ca="1">SUMIFS(Налоги!AT$25:AT$55,Налоги!$F$25:$F$55,$F239,Налоги!$AB$25:$AB$55,$G239)</f>
        <v>0</v>
      </c>
      <c r="AV239" s="848">
        <f ca="1">SUMIFS(Налоги!AU$25:AU$55,Налоги!$F$25:$F$55,$F239,Налоги!$AB$25:$AB$55,$G239)</f>
        <v>0</v>
      </c>
      <c r="AW239" s="848">
        <f ca="1">SUMIFS(Налоги!AV$25:AV$55,Налоги!$F$25:$F$55,$F239,Налоги!$AB$25:$AB$55,$G239)</f>
        <v>0</v>
      </c>
      <c r="AX239" s="848">
        <f ca="1">SUMIFS(Налоги!AW$25:AW$55,Налоги!$F$25:$F$55,$F239,Налоги!$AB$25:$AB$55,$G239)</f>
        <v>0</v>
      </c>
      <c r="AY239" s="848">
        <f ca="1">SUMIFS(Налоги!AX$25:AX$55,Налоги!$F$25:$F$55,$F239,Налоги!$AB$25:$AB$55,$G239)</f>
        <v>0</v>
      </c>
      <c r="AZ239" s="848">
        <f ca="1">SUMIFS(Налоги!AY$25:AY$55,Налоги!$F$25:$F$55,$F239,Налоги!$AB$25:$AB$55,$G239)</f>
        <v>0</v>
      </c>
      <c r="BA239" s="848">
        <f ca="1">SUMIFS(Налоги!AZ$25:AZ$55,Налоги!$F$25:$F$55,$F239,Налоги!$AB$25:$AB$55,$G239)</f>
        <v>0</v>
      </c>
      <c r="BB239" s="848">
        <f ca="1">SUMIFS(Налоги!BA$25:BA$55,Налоги!$F$25:$F$55,$F239,Налоги!$AB$25:$AB$55,$G239)</f>
        <v>0</v>
      </c>
      <c r="BC239" s="848">
        <f ca="1">SUMIFS(Налоги!BB$25:BB$55,Налоги!$F$25:$F$55,$F239,Налоги!$AB$25:$AB$55,$G239)</f>
        <v>0</v>
      </c>
      <c r="BD239" s="848">
        <f t="shared" ca="1" si="52"/>
        <v>0</v>
      </c>
      <c r="BE239" s="848">
        <f t="shared" ca="1" si="53"/>
        <v>0</v>
      </c>
      <c r="BF239" s="848">
        <f t="shared" ca="1" si="54"/>
        <v>0</v>
      </c>
      <c r="BG239" s="848">
        <f t="shared" ca="1" si="55"/>
        <v>0</v>
      </c>
      <c r="BH239" s="848">
        <f t="shared" ca="1" si="56"/>
        <v>0</v>
      </c>
      <c r="BI239" s="848">
        <f t="shared" ca="1" si="57"/>
        <v>0</v>
      </c>
      <c r="BJ239" s="848">
        <f t="shared" ca="1" si="58"/>
        <v>0</v>
      </c>
      <c r="BK239" s="848">
        <f t="shared" ca="1" si="59"/>
        <v>0</v>
      </c>
      <c r="BL239" s="848">
        <f t="shared" ca="1" si="60"/>
        <v>0</v>
      </c>
      <c r="BM239" s="848">
        <f t="shared" ca="1" si="61"/>
        <v>0</v>
      </c>
      <c r="BN239" s="1522"/>
      <c r="BO239" s="1517" t="str">
        <f ca="1">IF(IFERROR(INDEX(Налоги!$K$26:$L$55,MATCH($F239&amp;"2komm",Налоги!$K$26:$K$55,0),2),"")=0,"",IFERROR(INDEX(Налоги!$K$26:$L$55,MATCH($F239&amp;"2komm",Налоги!$K$26:$K$55,0),2),""))</f>
        <v/>
      </c>
      <c r="BP239" s="1522"/>
      <c r="BQ239" s="1177"/>
      <c r="BR239" s="1177"/>
      <c r="BS239" s="966" t="s">
        <v>1904</v>
      </c>
      <c r="BT239" s="966"/>
      <c r="BU239" s="966"/>
      <c r="BV239" s="881"/>
      <c r="BW239" s="881"/>
    </row>
    <row r="240" spans="1:75" s="1327" customFormat="1" ht="14.25" customHeight="1">
      <c r="A240" s="1177"/>
      <c r="B240" s="15"/>
      <c r="C240" s="26"/>
      <c r="D240" s="26"/>
      <c r="E240" s="538">
        <v>15</v>
      </c>
      <c r="F240" s="3" t="str" cm="1">
        <f t="array" aca="1" ref="F240" ca="1">OFFSET(E240,-1,1)</f>
        <v>1</v>
      </c>
      <c r="G240" s="827">
        <v>4</v>
      </c>
      <c r="H240" s="26"/>
      <c r="I240" s="26" t="s">
        <v>1905</v>
      </c>
      <c r="J240" s="26"/>
      <c r="K240" s="26" t="s">
        <v>1905</v>
      </c>
      <c r="L240" s="882"/>
      <c r="M240" s="26"/>
      <c r="N240" s="26"/>
      <c r="O240" s="26"/>
      <c r="P240" s="26"/>
      <c r="Q240" s="26"/>
      <c r="R240" s="26"/>
      <c r="S240" s="26"/>
      <c r="T240" s="381" t="b" cm="1">
        <f t="array" aca="1" ref="T240" ca="1">T239</f>
        <v>1</v>
      </c>
      <c r="U240" s="26"/>
      <c r="V240" s="26"/>
      <c r="W240" s="1177"/>
      <c r="X240" s="1755"/>
      <c r="Y240" s="1177"/>
      <c r="Z240" s="1735"/>
      <c r="AA240" s="1177"/>
      <c r="AB240" s="215" t="s">
        <v>1906</v>
      </c>
      <c r="AC240" s="679" t="s">
        <v>1907</v>
      </c>
      <c r="AD240" s="216" t="s">
        <v>766</v>
      </c>
      <c r="AE240" s="175">
        <f ca="1">SUMIFS(Налоги!AE$25:AE$55,Налоги!$F$25:$F$55,$F240,Налоги!$AB$25:$AB$55,$G240)</f>
        <v>0</v>
      </c>
      <c r="AF240" s="175">
        <f ca="1">SUMIFS(Налоги!AF$25:AF$55,Налоги!$F$25:$F$55,$F240,Налоги!$AB$25:$AB$55,$G240)</f>
        <v>0</v>
      </c>
      <c r="AG240" s="175">
        <f ca="1">SUMIFS(Налоги!AG$25:AG$55,Налоги!$F$25:$F$55,$F240,Налоги!$AB$25:$AB$55,$G240)</f>
        <v>0</v>
      </c>
      <c r="AH240" s="848">
        <f t="shared" ca="1" si="50"/>
        <v>0</v>
      </c>
      <c r="AI240" s="848">
        <f ca="1">SUMIFS(Налоги!AH$25:AH$55,Налоги!$F$25:$F$55,$F240,Налоги!$AB$25:$AB$55,$G240)</f>
        <v>0</v>
      </c>
      <c r="AJ240" s="848">
        <f ca="1">SUMIFS(Налоги!AI$25:AI$55,Налоги!$F$25:$F$55,$F240,Налоги!$AB$25:$AB$55,$G240)</f>
        <v>0</v>
      </c>
      <c r="AK240" s="848">
        <f ca="1">SUMIFS(Налоги!AJ$25:AJ$55,Налоги!$F$25:$F$55,$F240,Налоги!$AB$25:$AB$55,$G240)</f>
        <v>0</v>
      </c>
      <c r="AL240" s="848">
        <f ca="1">SUMIFS(Налоги!AK$25:AK$55,Налоги!$F$25:$F$55,$F240,Налоги!$AB$25:$AB$55,$G240)</f>
        <v>0</v>
      </c>
      <c r="AM240" s="848">
        <f ca="1">SUMIFS(Налоги!AL$25:AL$55,Налоги!$F$25:$F$55,$F240,Налоги!$AB$25:$AB$55,$G240)</f>
        <v>0</v>
      </c>
      <c r="AN240" s="848">
        <f ca="1">SUMIFS(Налоги!AM$25:AM$55,Налоги!$F$25:$F$55,$F240,Налоги!$AB$25:$AB$55,$G240)</f>
        <v>0</v>
      </c>
      <c r="AO240" s="848">
        <f ca="1">SUMIFS(Налоги!AN$25:AN$55,Налоги!$F$25:$F$55,$F240,Налоги!$AB$25:$AB$55,$G240)</f>
        <v>0</v>
      </c>
      <c r="AP240" s="848">
        <f ca="1">SUMIFS(Налоги!AO$25:AO$55,Налоги!$F$25:$F$55,$F240,Налоги!$AB$25:$AB$55,$G240)</f>
        <v>0</v>
      </c>
      <c r="AQ240" s="848">
        <f ca="1">SUMIFS(Налоги!AP$25:AP$55,Налоги!$F$25:$F$55,$F240,Налоги!$AB$25:$AB$55,$G240)</f>
        <v>0</v>
      </c>
      <c r="AR240" s="848">
        <f ca="1">SUMIFS(Налоги!AQ$25:AQ$55,Налоги!$F$25:$F$55,$F240,Налоги!$AB$25:$AB$55,$G240)</f>
        <v>0</v>
      </c>
      <c r="AS240" s="848">
        <f ca="1">SUMIFS(Налоги!AR$25:AR$55,Налоги!$F$25:$F$55,$F240,Налоги!$AB$25:$AB$55,$G240)</f>
        <v>0</v>
      </c>
      <c r="AT240" s="848">
        <f ca="1">SUMIFS(Налоги!AS$25:AS$55,Налоги!$F$25:$F$55,$F240,Налоги!$AB$25:$AB$55,$G240)</f>
        <v>0</v>
      </c>
      <c r="AU240" s="848">
        <f ca="1">SUMIFS(Налоги!AT$25:AT$55,Налоги!$F$25:$F$55,$F240,Налоги!$AB$25:$AB$55,$G240)</f>
        <v>0</v>
      </c>
      <c r="AV240" s="848">
        <f ca="1">SUMIFS(Налоги!AU$25:AU$55,Налоги!$F$25:$F$55,$F240,Налоги!$AB$25:$AB$55,$G240)</f>
        <v>0</v>
      </c>
      <c r="AW240" s="848">
        <f ca="1">SUMIFS(Налоги!AV$25:AV$55,Налоги!$F$25:$F$55,$F240,Налоги!$AB$25:$AB$55,$G240)</f>
        <v>0</v>
      </c>
      <c r="AX240" s="848">
        <f ca="1">SUMIFS(Налоги!AW$25:AW$55,Налоги!$F$25:$F$55,$F240,Налоги!$AB$25:$AB$55,$G240)</f>
        <v>0</v>
      </c>
      <c r="AY240" s="848">
        <f ca="1">SUMIFS(Налоги!AX$25:AX$55,Налоги!$F$25:$F$55,$F240,Налоги!$AB$25:$AB$55,$G240)</f>
        <v>0</v>
      </c>
      <c r="AZ240" s="848">
        <f ca="1">SUMIFS(Налоги!AY$25:AY$55,Налоги!$F$25:$F$55,$F240,Налоги!$AB$25:$AB$55,$G240)</f>
        <v>0</v>
      </c>
      <c r="BA240" s="848">
        <f ca="1">SUMIFS(Налоги!AZ$25:AZ$55,Налоги!$F$25:$F$55,$F240,Налоги!$AB$25:$AB$55,$G240)</f>
        <v>0</v>
      </c>
      <c r="BB240" s="848">
        <f ca="1">SUMIFS(Налоги!BA$25:BA$55,Налоги!$F$25:$F$55,$F240,Налоги!$AB$25:$AB$55,$G240)</f>
        <v>0</v>
      </c>
      <c r="BC240" s="848">
        <f ca="1">SUMIFS(Налоги!BB$25:BB$55,Налоги!$F$25:$F$55,$F240,Налоги!$AB$25:$AB$55,$G240)</f>
        <v>0</v>
      </c>
      <c r="BD240" s="848">
        <f t="shared" ca="1" si="52"/>
        <v>0</v>
      </c>
      <c r="BE240" s="848">
        <f t="shared" ca="1" si="53"/>
        <v>0</v>
      </c>
      <c r="BF240" s="848">
        <f t="shared" ca="1" si="54"/>
        <v>0</v>
      </c>
      <c r="BG240" s="848">
        <f t="shared" ca="1" si="55"/>
        <v>0</v>
      </c>
      <c r="BH240" s="848">
        <f t="shared" ca="1" si="56"/>
        <v>0</v>
      </c>
      <c r="BI240" s="848">
        <f t="shared" ca="1" si="57"/>
        <v>0</v>
      </c>
      <c r="BJ240" s="848">
        <f t="shared" ca="1" si="58"/>
        <v>0</v>
      </c>
      <c r="BK240" s="848">
        <f t="shared" ca="1" si="59"/>
        <v>0</v>
      </c>
      <c r="BL240" s="848">
        <f t="shared" ca="1" si="60"/>
        <v>0</v>
      </c>
      <c r="BM240" s="848">
        <f t="shared" ca="1" si="61"/>
        <v>0</v>
      </c>
      <c r="BN240" s="1522"/>
      <c r="BO240" s="1517" t="str">
        <f ca="1">IF(IFERROR(INDEX(Налоги!$K$26:$L$55,MATCH($F240&amp;"4komm",Налоги!$K$26:$K$55,0),2),"")=0,"",IFERROR(INDEX(Налоги!$K$26:$L$55,MATCH($F240&amp;"4komm",Налоги!$K$26:$K$55,0),2),""))</f>
        <v/>
      </c>
      <c r="BP240" s="1522"/>
      <c r="BQ240" s="1177"/>
      <c r="BR240" s="1177"/>
      <c r="BS240" s="966" t="s">
        <v>1908</v>
      </c>
      <c r="BT240" s="966"/>
      <c r="BU240" s="966"/>
      <c r="BV240" s="881"/>
      <c r="BW240" s="881"/>
    </row>
    <row r="241" spans="1:75" s="1327" customFormat="1" ht="14.25" customHeight="1">
      <c r="A241" s="1177"/>
      <c r="B241" s="15"/>
      <c r="C241" s="26"/>
      <c r="D241" s="26"/>
      <c r="E241" s="538">
        <v>15</v>
      </c>
      <c r="F241" s="3" t="str" cm="1">
        <f t="array" aca="1" ref="F241" ca="1">OFFSET(E241,-1,1)</f>
        <v>1</v>
      </c>
      <c r="G241" s="827">
        <v>5</v>
      </c>
      <c r="H241" s="26"/>
      <c r="I241" s="26" t="s">
        <v>1909</v>
      </c>
      <c r="J241" s="26"/>
      <c r="K241" s="26" t="s">
        <v>1909</v>
      </c>
      <c r="L241" s="882"/>
      <c r="M241" s="26"/>
      <c r="N241" s="26"/>
      <c r="O241" s="26"/>
      <c r="P241" s="26"/>
      <c r="Q241" s="26"/>
      <c r="R241" s="26"/>
      <c r="S241" s="26"/>
      <c r="T241" s="381" t="b" cm="1">
        <f t="array" aca="1" ref="T241" ca="1">T240</f>
        <v>1</v>
      </c>
      <c r="U241" s="26"/>
      <c r="V241" s="26"/>
      <c r="W241" s="1177"/>
      <c r="X241" s="1755"/>
      <c r="Y241" s="1177"/>
      <c r="Z241" s="1735"/>
      <c r="AA241" s="1177"/>
      <c r="AB241" s="215" t="s">
        <v>1910</v>
      </c>
      <c r="AC241" s="679" t="s">
        <v>1911</v>
      </c>
      <c r="AD241" s="216" t="s">
        <v>766</v>
      </c>
      <c r="AE241" s="175">
        <f ca="1">SUMIFS(Налоги!AE$25:AE$55,Налоги!$F$25:$F$55,$F241,Налоги!$AB$25:$AB$55,$G241)</f>
        <v>0</v>
      </c>
      <c r="AF241" s="175">
        <f ca="1">SUMIFS(Налоги!AF$25:AF$55,Налоги!$F$25:$F$55,$F241,Налоги!$AB$25:$AB$55,$G241)</f>
        <v>0</v>
      </c>
      <c r="AG241" s="175">
        <f ca="1">SUMIFS(Налоги!AG$25:AG$55,Налоги!$F$25:$F$55,$F241,Налоги!$AB$25:$AB$55,$G241)</f>
        <v>0</v>
      </c>
      <c r="AH241" s="848">
        <f t="shared" ca="1" si="50"/>
        <v>0</v>
      </c>
      <c r="AI241" s="848">
        <f ca="1">SUMIFS(Налоги!AH$25:AH$55,Налоги!$F$25:$F$55,$F241,Налоги!$AB$25:$AB$55,$G241)</f>
        <v>0</v>
      </c>
      <c r="AJ241" s="848">
        <f ca="1">SUMIFS(Налоги!AI$25:AI$55,Налоги!$F$25:$F$55,$F241,Налоги!$AB$25:$AB$55,$G241)</f>
        <v>0</v>
      </c>
      <c r="AK241" s="848">
        <f ca="1">SUMIFS(Налоги!AJ$25:AJ$55,Налоги!$F$25:$F$55,$F241,Налоги!$AB$25:$AB$55,$G241)</f>
        <v>0</v>
      </c>
      <c r="AL241" s="848">
        <f ca="1">SUMIFS(Налоги!AK$25:AK$55,Налоги!$F$25:$F$55,$F241,Налоги!$AB$25:$AB$55,$G241)</f>
        <v>0</v>
      </c>
      <c r="AM241" s="848">
        <f ca="1">SUMIFS(Налоги!AL$25:AL$55,Налоги!$F$25:$F$55,$F241,Налоги!$AB$25:$AB$55,$G241)</f>
        <v>0</v>
      </c>
      <c r="AN241" s="848">
        <f ca="1">SUMIFS(Налоги!AM$25:AM$55,Налоги!$F$25:$F$55,$F241,Налоги!$AB$25:$AB$55,$G241)</f>
        <v>0</v>
      </c>
      <c r="AO241" s="848">
        <f ca="1">SUMIFS(Налоги!AN$25:AN$55,Налоги!$F$25:$F$55,$F241,Налоги!$AB$25:$AB$55,$G241)</f>
        <v>0</v>
      </c>
      <c r="AP241" s="848">
        <f ca="1">SUMIFS(Налоги!AO$25:AO$55,Налоги!$F$25:$F$55,$F241,Налоги!$AB$25:$AB$55,$G241)</f>
        <v>0</v>
      </c>
      <c r="AQ241" s="848">
        <f ca="1">SUMIFS(Налоги!AP$25:AP$55,Налоги!$F$25:$F$55,$F241,Налоги!$AB$25:$AB$55,$G241)</f>
        <v>0</v>
      </c>
      <c r="AR241" s="848">
        <f ca="1">SUMIFS(Налоги!AQ$25:AQ$55,Налоги!$F$25:$F$55,$F241,Налоги!$AB$25:$AB$55,$G241)</f>
        <v>0</v>
      </c>
      <c r="AS241" s="848">
        <f ca="1">SUMIFS(Налоги!AR$25:AR$55,Налоги!$F$25:$F$55,$F241,Налоги!$AB$25:$AB$55,$G241)</f>
        <v>0</v>
      </c>
      <c r="AT241" s="848">
        <f ca="1">SUMIFS(Налоги!AS$25:AS$55,Налоги!$F$25:$F$55,$F241,Налоги!$AB$25:$AB$55,$G241)</f>
        <v>0</v>
      </c>
      <c r="AU241" s="848">
        <f ca="1">SUMIFS(Налоги!AT$25:AT$55,Налоги!$F$25:$F$55,$F241,Налоги!$AB$25:$AB$55,$G241)</f>
        <v>0</v>
      </c>
      <c r="AV241" s="848">
        <f ca="1">SUMIFS(Налоги!AU$25:AU$55,Налоги!$F$25:$F$55,$F241,Налоги!$AB$25:$AB$55,$G241)</f>
        <v>0</v>
      </c>
      <c r="AW241" s="848">
        <f ca="1">SUMIFS(Налоги!AV$25:AV$55,Налоги!$F$25:$F$55,$F241,Налоги!$AB$25:$AB$55,$G241)</f>
        <v>0</v>
      </c>
      <c r="AX241" s="848">
        <f ca="1">SUMIFS(Налоги!AW$25:AW$55,Налоги!$F$25:$F$55,$F241,Налоги!$AB$25:$AB$55,$G241)</f>
        <v>0</v>
      </c>
      <c r="AY241" s="848">
        <f ca="1">SUMIFS(Налоги!AX$25:AX$55,Налоги!$F$25:$F$55,$F241,Налоги!$AB$25:$AB$55,$G241)</f>
        <v>0</v>
      </c>
      <c r="AZ241" s="848">
        <f ca="1">SUMIFS(Налоги!AY$25:AY$55,Налоги!$F$25:$F$55,$F241,Налоги!$AB$25:$AB$55,$G241)</f>
        <v>0</v>
      </c>
      <c r="BA241" s="848">
        <f ca="1">SUMIFS(Налоги!AZ$25:AZ$55,Налоги!$F$25:$F$55,$F241,Налоги!$AB$25:$AB$55,$G241)</f>
        <v>0</v>
      </c>
      <c r="BB241" s="848">
        <f ca="1">SUMIFS(Налоги!BA$25:BA$55,Налоги!$F$25:$F$55,$F241,Налоги!$AB$25:$AB$55,$G241)</f>
        <v>0</v>
      </c>
      <c r="BC241" s="848">
        <f ca="1">SUMIFS(Налоги!BB$25:BB$55,Налоги!$F$25:$F$55,$F241,Налоги!$AB$25:$AB$55,$G241)</f>
        <v>0</v>
      </c>
      <c r="BD241" s="848">
        <f t="shared" ca="1" si="52"/>
        <v>0</v>
      </c>
      <c r="BE241" s="848">
        <f t="shared" ca="1" si="53"/>
        <v>0</v>
      </c>
      <c r="BF241" s="848">
        <f t="shared" ca="1" si="54"/>
        <v>0</v>
      </c>
      <c r="BG241" s="848">
        <f t="shared" ca="1" si="55"/>
        <v>0</v>
      </c>
      <c r="BH241" s="848">
        <f t="shared" ca="1" si="56"/>
        <v>0</v>
      </c>
      <c r="BI241" s="848">
        <f t="shared" ca="1" si="57"/>
        <v>0</v>
      </c>
      <c r="BJ241" s="848">
        <f t="shared" ca="1" si="58"/>
        <v>0</v>
      </c>
      <c r="BK241" s="848">
        <f t="shared" ca="1" si="59"/>
        <v>0</v>
      </c>
      <c r="BL241" s="848">
        <f t="shared" ca="1" si="60"/>
        <v>0</v>
      </c>
      <c r="BM241" s="848">
        <f t="shared" ca="1" si="61"/>
        <v>0</v>
      </c>
      <c r="BN241" s="1522"/>
      <c r="BO241" s="1517" t="str">
        <f ca="1">IF(IFERROR(INDEX(Налоги!$K$26:$L$55,MATCH($F241&amp;"5komm",Налоги!$K$26:$K$55,0),2),"")=0,"",IFERROR(INDEX(Налоги!$K$26:$L$55,MATCH($F241&amp;"5komm",Налоги!$K$26:$K$55,0),2),""))</f>
        <v/>
      </c>
      <c r="BP241" s="1522"/>
      <c r="BQ241" s="1177"/>
      <c r="BR241" s="1177"/>
      <c r="BS241" s="966" t="s">
        <v>1912</v>
      </c>
      <c r="BT241" s="966"/>
      <c r="BU241" s="966"/>
      <c r="BV241" s="881"/>
      <c r="BW241" s="881"/>
    </row>
    <row r="242" spans="1:75" s="1327" customFormat="1" ht="14.25" customHeight="1">
      <c r="A242" s="1177"/>
      <c r="B242" s="15"/>
      <c r="C242" s="26"/>
      <c r="D242" s="26"/>
      <c r="E242" s="538">
        <v>15</v>
      </c>
      <c r="F242" s="3" t="str" cm="1">
        <f t="array" aca="1" ref="F242" ca="1">OFFSET(E242,-1,1)</f>
        <v>1</v>
      </c>
      <c r="G242" s="827">
        <v>1</v>
      </c>
      <c r="H242" s="26"/>
      <c r="I242" s="26" t="s">
        <v>1913</v>
      </c>
      <c r="J242" s="26"/>
      <c r="K242" s="26" t="s">
        <v>1913</v>
      </c>
      <c r="L242" s="882"/>
      <c r="M242" s="26"/>
      <c r="N242" s="26"/>
      <c r="O242" s="26"/>
      <c r="P242" s="26"/>
      <c r="Q242" s="26"/>
      <c r="R242" s="26"/>
      <c r="S242" s="26"/>
      <c r="T242" s="381" t="b" cm="1">
        <f t="array" aca="1" ref="T242" ca="1">T241</f>
        <v>1</v>
      </c>
      <c r="U242" s="26"/>
      <c r="V242" s="26"/>
      <c r="W242" s="1177"/>
      <c r="X242" s="1755"/>
      <c r="Y242" s="1177"/>
      <c r="Z242" s="1735"/>
      <c r="AA242" s="1177"/>
      <c r="AB242" s="215" t="s">
        <v>1914</v>
      </c>
      <c r="AC242" s="679" t="s">
        <v>1915</v>
      </c>
      <c r="AD242" s="216" t="s">
        <v>766</v>
      </c>
      <c r="AE242" s="175">
        <f ca="1">SUMIFS(Налоги!AE$25:AE$55,Налоги!$F$25:$F$55,$F242,Налоги!$AB$25:$AB$55,$G242)</f>
        <v>0</v>
      </c>
      <c r="AF242" s="175">
        <f ca="1">SUMIFS(Налоги!AF$25:AF$55,Налоги!$F$25:$F$55,$F242,Налоги!$AB$25:$AB$55,$G242)</f>
        <v>0</v>
      </c>
      <c r="AG242" s="175">
        <f ca="1">SUMIFS(Налоги!AG$25:AG$55,Налоги!$F$25:$F$55,$F242,Налоги!$AB$25:$AB$55,$G242)</f>
        <v>0</v>
      </c>
      <c r="AH242" s="848">
        <f t="shared" ca="1" si="50"/>
        <v>0</v>
      </c>
      <c r="AI242" s="848">
        <f ca="1">SUMIFS(Налоги!AH$25:AH$55,Налоги!$F$25:$F$55,$F242,Налоги!$AB$25:$AB$55,$G242)</f>
        <v>0</v>
      </c>
      <c r="AJ242" s="848">
        <f ca="1">SUMIFS(Налоги!AI$25:AI$55,Налоги!$F$25:$F$55,$F242,Налоги!$AB$25:$AB$55,$G242)</f>
        <v>0</v>
      </c>
      <c r="AK242" s="848">
        <f ca="1">SUMIFS(Налоги!AJ$25:AJ$55,Налоги!$F$25:$F$55,$F242,Налоги!$AB$25:$AB$55,$G242)</f>
        <v>0</v>
      </c>
      <c r="AL242" s="848">
        <f ca="1">SUMIFS(Налоги!AK$25:AK$55,Налоги!$F$25:$F$55,$F242,Налоги!$AB$25:$AB$55,$G242)</f>
        <v>0</v>
      </c>
      <c r="AM242" s="848">
        <f ca="1">SUMIFS(Налоги!AL$25:AL$55,Налоги!$F$25:$F$55,$F242,Налоги!$AB$25:$AB$55,$G242)</f>
        <v>0</v>
      </c>
      <c r="AN242" s="848">
        <f ca="1">SUMIFS(Налоги!AM$25:AM$55,Налоги!$F$25:$F$55,$F242,Налоги!$AB$25:$AB$55,$G242)</f>
        <v>0</v>
      </c>
      <c r="AO242" s="848">
        <f ca="1">SUMIFS(Налоги!AN$25:AN$55,Налоги!$F$25:$F$55,$F242,Налоги!$AB$25:$AB$55,$G242)</f>
        <v>0</v>
      </c>
      <c r="AP242" s="848">
        <f ca="1">SUMIFS(Налоги!AO$25:AO$55,Налоги!$F$25:$F$55,$F242,Налоги!$AB$25:$AB$55,$G242)</f>
        <v>0</v>
      </c>
      <c r="AQ242" s="848">
        <f ca="1">SUMIFS(Налоги!AP$25:AP$55,Налоги!$F$25:$F$55,$F242,Налоги!$AB$25:$AB$55,$G242)</f>
        <v>0</v>
      </c>
      <c r="AR242" s="848">
        <f ca="1">SUMIFS(Налоги!AQ$25:AQ$55,Налоги!$F$25:$F$55,$F242,Налоги!$AB$25:$AB$55,$G242)</f>
        <v>0</v>
      </c>
      <c r="AS242" s="848">
        <f ca="1">SUMIFS(Налоги!AR$25:AR$55,Налоги!$F$25:$F$55,$F242,Налоги!$AB$25:$AB$55,$G242)</f>
        <v>0</v>
      </c>
      <c r="AT242" s="848">
        <f ca="1">SUMIFS(Налоги!AS$25:AS$55,Налоги!$F$25:$F$55,$F242,Налоги!$AB$25:$AB$55,$G242)</f>
        <v>0</v>
      </c>
      <c r="AU242" s="848">
        <f ca="1">SUMIFS(Налоги!AT$25:AT$55,Налоги!$F$25:$F$55,$F242,Налоги!$AB$25:$AB$55,$G242)</f>
        <v>0</v>
      </c>
      <c r="AV242" s="848">
        <f ca="1">SUMIFS(Налоги!AU$25:AU$55,Налоги!$F$25:$F$55,$F242,Налоги!$AB$25:$AB$55,$G242)</f>
        <v>0</v>
      </c>
      <c r="AW242" s="848">
        <f ca="1">SUMIFS(Налоги!AV$25:AV$55,Налоги!$F$25:$F$55,$F242,Налоги!$AB$25:$AB$55,$G242)</f>
        <v>0</v>
      </c>
      <c r="AX242" s="848">
        <f ca="1">SUMIFS(Налоги!AW$25:AW$55,Налоги!$F$25:$F$55,$F242,Налоги!$AB$25:$AB$55,$G242)</f>
        <v>0</v>
      </c>
      <c r="AY242" s="848">
        <f ca="1">SUMIFS(Налоги!AX$25:AX$55,Налоги!$F$25:$F$55,$F242,Налоги!$AB$25:$AB$55,$G242)</f>
        <v>0</v>
      </c>
      <c r="AZ242" s="848">
        <f ca="1">SUMIFS(Налоги!AY$25:AY$55,Налоги!$F$25:$F$55,$F242,Налоги!$AB$25:$AB$55,$G242)</f>
        <v>0</v>
      </c>
      <c r="BA242" s="848">
        <f ca="1">SUMIFS(Налоги!AZ$25:AZ$55,Налоги!$F$25:$F$55,$F242,Налоги!$AB$25:$AB$55,$G242)</f>
        <v>0</v>
      </c>
      <c r="BB242" s="848">
        <f ca="1">SUMIFS(Налоги!BA$25:BA$55,Налоги!$F$25:$F$55,$F242,Налоги!$AB$25:$AB$55,$G242)</f>
        <v>0</v>
      </c>
      <c r="BC242" s="848">
        <f ca="1">SUMIFS(Налоги!BB$25:BB$55,Налоги!$F$25:$F$55,$F242,Налоги!$AB$25:$AB$55,$G242)</f>
        <v>0</v>
      </c>
      <c r="BD242" s="848">
        <f t="shared" ca="1" si="52"/>
        <v>0</v>
      </c>
      <c r="BE242" s="848">
        <f t="shared" ca="1" si="53"/>
        <v>0</v>
      </c>
      <c r="BF242" s="848">
        <f t="shared" ca="1" si="54"/>
        <v>0</v>
      </c>
      <c r="BG242" s="848">
        <f t="shared" ca="1" si="55"/>
        <v>0</v>
      </c>
      <c r="BH242" s="848">
        <f t="shared" ca="1" si="56"/>
        <v>0</v>
      </c>
      <c r="BI242" s="848">
        <f t="shared" ca="1" si="57"/>
        <v>0</v>
      </c>
      <c r="BJ242" s="848">
        <f t="shared" ca="1" si="58"/>
        <v>0</v>
      </c>
      <c r="BK242" s="848">
        <f t="shared" ca="1" si="59"/>
        <v>0</v>
      </c>
      <c r="BL242" s="848">
        <f t="shared" ca="1" si="60"/>
        <v>0</v>
      </c>
      <c r="BM242" s="848">
        <f t="shared" ca="1" si="61"/>
        <v>0</v>
      </c>
      <c r="BN242" s="1522"/>
      <c r="BO242" s="1517" t="str">
        <f ca="1">IF(IFERROR(INDEX(Налоги!$K$26:$L$55,MATCH($F242&amp;"1komm",Налоги!$K$26:$K$55,0),2),"")=0,"",IFERROR(INDEX(Налоги!$K$26:$L$55,MATCH($F242&amp;"1komm",Налоги!$K$26:$K$55,0),2),""))</f>
        <v/>
      </c>
      <c r="BP242" s="1522"/>
      <c r="BQ242" s="1177"/>
      <c r="BR242" s="1177"/>
      <c r="BS242" s="966" t="s">
        <v>1916</v>
      </c>
      <c r="BT242" s="966"/>
      <c r="BU242" s="966"/>
      <c r="BV242" s="881"/>
      <c r="BW242" s="881"/>
    </row>
    <row r="243" spans="1:75" s="1327" customFormat="1" ht="14.25" customHeight="1">
      <c r="A243" s="1177"/>
      <c r="B243" s="15"/>
      <c r="C243" s="26"/>
      <c r="D243" s="26"/>
      <c r="E243" s="538">
        <v>15</v>
      </c>
      <c r="F243" s="3" t="str" cm="1">
        <f t="array" aca="1" ref="F243" ca="1">OFFSET(E243,-1,1)</f>
        <v>1</v>
      </c>
      <c r="G243" s="827">
        <v>3</v>
      </c>
      <c r="H243" s="26"/>
      <c r="I243" s="26" t="s">
        <v>1917</v>
      </c>
      <c r="J243" s="26"/>
      <c r="K243" s="26" t="s">
        <v>1917</v>
      </c>
      <c r="L243" s="882"/>
      <c r="M243" s="26"/>
      <c r="N243" s="26"/>
      <c r="O243" s="26"/>
      <c r="P243" s="26"/>
      <c r="Q243" s="26"/>
      <c r="R243" s="26"/>
      <c r="S243" s="26"/>
      <c r="T243" s="381" t="b" cm="1">
        <f t="array" aca="1" ref="T243" ca="1">T242</f>
        <v>1</v>
      </c>
      <c r="U243" s="26"/>
      <c r="V243" s="26"/>
      <c r="W243" s="1177"/>
      <c r="X243" s="1755"/>
      <c r="Y243" s="1177"/>
      <c r="Z243" s="1735"/>
      <c r="AA243" s="1177"/>
      <c r="AB243" s="215" t="s">
        <v>1918</v>
      </c>
      <c r="AC243" s="679" t="s">
        <v>1919</v>
      </c>
      <c r="AD243" s="216" t="s">
        <v>766</v>
      </c>
      <c r="AE243" s="1509">
        <f ca="1">SUMIFS(Налоги!AE$25:AE$55,Налоги!$F$25:$F$55,$F243,Налоги!$AB$25:$AB$55,$G243)</f>
        <v>0</v>
      </c>
      <c r="AF243" s="1509">
        <f ca="1">SUMIFS(Налоги!AF$25:AF$55,Налоги!$F$25:$F$55,$F243,Налоги!$AB$25:$AB$55,$G243)</f>
        <v>0</v>
      </c>
      <c r="AG243" s="1509">
        <f ca="1">SUMIFS(Налоги!AG$25:AG$55,Налоги!$F$25:$F$55,$F243,Налоги!$AB$25:$AB$55,$G243)</f>
        <v>0</v>
      </c>
      <c r="AH243" s="848">
        <f t="shared" ca="1" si="50"/>
        <v>0</v>
      </c>
      <c r="AI243" s="1510">
        <f ca="1">SUMIFS(Налоги!AH$25:AH$55,Налоги!$F$25:$F$55,$F243,Налоги!$AB$25:$AB$55,$G243)</f>
        <v>0</v>
      </c>
      <c r="AJ243" s="1510">
        <f ca="1">SUMIFS(Налоги!AI$25:AI$55,Налоги!$F$25:$F$55,$F243,Налоги!$AB$25:$AB$55,$G243)</f>
        <v>0</v>
      </c>
      <c r="AK243" s="1510">
        <f ca="1">SUMIFS(Налоги!AJ$25:AJ$55,Налоги!$F$25:$F$55,$F243,Налоги!$AB$25:$AB$55,$G243)</f>
        <v>0</v>
      </c>
      <c r="AL243" s="1510">
        <f ca="1">SUMIFS(Налоги!AK$25:AK$55,Налоги!$F$25:$F$55,$F243,Налоги!$AB$25:$AB$55,$G243)</f>
        <v>0</v>
      </c>
      <c r="AM243" s="1510">
        <f ca="1">SUMIFS(Налоги!AL$25:AL$55,Налоги!$F$25:$F$55,$F243,Налоги!$AB$25:$AB$55,$G243)</f>
        <v>0</v>
      </c>
      <c r="AN243" s="1510">
        <f ca="1">SUMIFS(Налоги!AM$25:AM$55,Налоги!$F$25:$F$55,$F243,Налоги!$AB$25:$AB$55,$G243)</f>
        <v>0</v>
      </c>
      <c r="AO243" s="1510">
        <f ca="1">SUMIFS(Налоги!AN$25:AN$55,Налоги!$F$25:$F$55,$F243,Налоги!$AB$25:$AB$55,$G243)</f>
        <v>0</v>
      </c>
      <c r="AP243" s="1510">
        <f ca="1">SUMIFS(Налоги!AO$25:AO$55,Налоги!$F$25:$F$55,$F243,Налоги!$AB$25:$AB$55,$G243)</f>
        <v>0</v>
      </c>
      <c r="AQ243" s="1510">
        <f ca="1">SUMIFS(Налоги!AP$25:AP$55,Налоги!$F$25:$F$55,$F243,Налоги!$AB$25:$AB$55,$G243)</f>
        <v>0</v>
      </c>
      <c r="AR243" s="1510">
        <f ca="1">SUMIFS(Налоги!AQ$25:AQ$55,Налоги!$F$25:$F$55,$F243,Налоги!$AB$25:$AB$55,$G243)</f>
        <v>0</v>
      </c>
      <c r="AS243" s="1510">
        <f ca="1">SUMIFS(Налоги!AR$25:AR$55,Налоги!$F$25:$F$55,$F243,Налоги!$AB$25:$AB$55,$G243)</f>
        <v>0</v>
      </c>
      <c r="AT243" s="1510">
        <f ca="1">SUMIFS(Налоги!AS$25:AS$55,Налоги!$F$25:$F$55,$F243,Налоги!$AB$25:$AB$55,$G243)</f>
        <v>0</v>
      </c>
      <c r="AU243" s="1510">
        <f ca="1">SUMIFS(Налоги!AT$25:AT$55,Налоги!$F$25:$F$55,$F243,Налоги!$AB$25:$AB$55,$G243)</f>
        <v>0</v>
      </c>
      <c r="AV243" s="1510">
        <f ca="1">SUMIFS(Налоги!AU$25:AU$55,Налоги!$F$25:$F$55,$F243,Налоги!$AB$25:$AB$55,$G243)</f>
        <v>0</v>
      </c>
      <c r="AW243" s="1510">
        <f ca="1">SUMIFS(Налоги!AV$25:AV$55,Налоги!$F$25:$F$55,$F243,Налоги!$AB$25:$AB$55,$G243)</f>
        <v>0</v>
      </c>
      <c r="AX243" s="1510">
        <f ca="1">SUMIFS(Налоги!AW$25:AW$55,Налоги!$F$25:$F$55,$F243,Налоги!$AB$25:$AB$55,$G243)</f>
        <v>0</v>
      </c>
      <c r="AY243" s="1510">
        <f ca="1">SUMIFS(Налоги!AX$25:AX$55,Налоги!$F$25:$F$55,$F243,Налоги!$AB$25:$AB$55,$G243)</f>
        <v>0</v>
      </c>
      <c r="AZ243" s="1510">
        <f ca="1">SUMIFS(Налоги!AY$25:AY$55,Налоги!$F$25:$F$55,$F243,Налоги!$AB$25:$AB$55,$G243)</f>
        <v>0</v>
      </c>
      <c r="BA243" s="1510">
        <f ca="1">SUMIFS(Налоги!AZ$25:AZ$55,Налоги!$F$25:$F$55,$F243,Налоги!$AB$25:$AB$55,$G243)</f>
        <v>0</v>
      </c>
      <c r="BB243" s="1510">
        <f ca="1">SUMIFS(Налоги!BA$25:BA$55,Налоги!$F$25:$F$55,$F243,Налоги!$AB$25:$AB$55,$G243)</f>
        <v>0</v>
      </c>
      <c r="BC243" s="1510">
        <f ca="1">SUMIFS(Налоги!BB$25:BB$55,Налоги!$F$25:$F$55,$F243,Налоги!$AB$25:$AB$55,$G243)</f>
        <v>0</v>
      </c>
      <c r="BD243" s="848">
        <f t="shared" ca="1" si="52"/>
        <v>0</v>
      </c>
      <c r="BE243" s="848">
        <f t="shared" ca="1" si="53"/>
        <v>0</v>
      </c>
      <c r="BF243" s="848">
        <f t="shared" ca="1" si="54"/>
        <v>0</v>
      </c>
      <c r="BG243" s="848">
        <f t="shared" ca="1" si="55"/>
        <v>0</v>
      </c>
      <c r="BH243" s="848">
        <f t="shared" ca="1" si="56"/>
        <v>0</v>
      </c>
      <c r="BI243" s="848">
        <f t="shared" ca="1" si="57"/>
        <v>0</v>
      </c>
      <c r="BJ243" s="848">
        <f t="shared" ca="1" si="58"/>
        <v>0</v>
      </c>
      <c r="BK243" s="848">
        <f t="shared" ca="1" si="59"/>
        <v>0</v>
      </c>
      <c r="BL243" s="848">
        <f t="shared" ca="1" si="60"/>
        <v>0</v>
      </c>
      <c r="BM243" s="848">
        <f t="shared" ca="1" si="61"/>
        <v>0</v>
      </c>
      <c r="BN243" s="1522"/>
      <c r="BO243" s="1517" t="str">
        <f ca="1">IF(IFERROR(INDEX(Налоги!$K$26:$L$55,MATCH($F243&amp;"5komm",Налоги!$K$26:$K$55,0),2),"")=0,"",IFERROR(INDEX(Налоги!$K$26:$L$55,MATCH($F243&amp;"5komm",Налоги!$K$26:$K$55,0),2),""))</f>
        <v/>
      </c>
      <c r="BP243" s="1522"/>
      <c r="BQ243" s="1177"/>
      <c r="BR243" s="1177"/>
      <c r="BS243" s="966" t="s">
        <v>1920</v>
      </c>
      <c r="BT243" s="966"/>
      <c r="BU243" s="966"/>
      <c r="BV243" s="881"/>
      <c r="BW243" s="881"/>
    </row>
    <row r="244" spans="1:75" s="1327" customFormat="1" ht="14.25" customHeight="1">
      <c r="A244" s="1177"/>
      <c r="B244" s="15"/>
      <c r="C244" s="26"/>
      <c r="D244" s="26"/>
      <c r="E244" s="538">
        <v>15</v>
      </c>
      <c r="F244" s="3" t="str" cm="1">
        <f t="array" aca="1" ref="F244" ca="1">OFFSET(E244,-1,1)</f>
        <v>1</v>
      </c>
      <c r="G244" s="827">
        <v>8</v>
      </c>
      <c r="H244" s="26"/>
      <c r="I244" s="26" t="s">
        <v>1921</v>
      </c>
      <c r="J244" s="26"/>
      <c r="K244" s="26" t="s">
        <v>1921</v>
      </c>
      <c r="L244" s="882"/>
      <c r="M244" s="26"/>
      <c r="N244" s="26"/>
      <c r="O244" s="26"/>
      <c r="P244" s="26"/>
      <c r="Q244" s="26"/>
      <c r="R244" s="26"/>
      <c r="S244" s="26"/>
      <c r="T244" s="381" t="b" cm="1">
        <f t="array" aca="1" ref="T244" ca="1">T243</f>
        <v>1</v>
      </c>
      <c r="U244" s="26"/>
      <c r="V244" s="26"/>
      <c r="W244" s="1177"/>
      <c r="X244" s="1755"/>
      <c r="Y244" s="1177"/>
      <c r="Z244" s="1735"/>
      <c r="AA244" s="1177"/>
      <c r="AB244" s="215" t="s">
        <v>1922</v>
      </c>
      <c r="AC244" s="679" t="s">
        <v>1923</v>
      </c>
      <c r="AD244" s="216" t="s">
        <v>766</v>
      </c>
      <c r="AE244" s="175">
        <f ca="1">SUMIFS(Налоги!AE$25:AE$55,Налоги!$F$25:$F$55,$F244,Налоги!$AB$25:$AB$55,$G244)</f>
        <v>0</v>
      </c>
      <c r="AF244" s="175">
        <f ca="1">SUMIFS(Налоги!AF$25:AF$55,Налоги!$F$25:$F$55,$F244,Налоги!$AB$25:$AB$55,$G244)</f>
        <v>0</v>
      </c>
      <c r="AG244" s="175">
        <f ca="1">SUMIFS(Налоги!AG$25:AG$55,Налоги!$F$25:$F$55,$F244,Налоги!$AB$25:$AB$55,$G244)</f>
        <v>0</v>
      </c>
      <c r="AH244" s="848">
        <f t="shared" ca="1" si="50"/>
        <v>0</v>
      </c>
      <c r="AI244" s="848">
        <f ca="1">SUMIFS(Налоги!AH$25:AH$55,Налоги!$F$25:$F$55,$F244,Налоги!$AB$25:$AB$55,$G244)</f>
        <v>0</v>
      </c>
      <c r="AJ244" s="848">
        <f ca="1">SUMIFS(Налоги!AI$25:AI$55,Налоги!$F$25:$F$55,$F244,Налоги!$AB$25:$AB$55,$G244)</f>
        <v>0</v>
      </c>
      <c r="AK244" s="848">
        <f ca="1">SUMIFS(Налоги!AJ$25:AJ$55,Налоги!$F$25:$F$55,$F244,Налоги!$AB$25:$AB$55,$G244)</f>
        <v>0</v>
      </c>
      <c r="AL244" s="848">
        <f ca="1">SUMIFS(Налоги!AK$25:AK$55,Налоги!$F$25:$F$55,$F244,Налоги!$AB$25:$AB$55,$G244)</f>
        <v>0</v>
      </c>
      <c r="AM244" s="848">
        <f ca="1">SUMIFS(Налоги!AL$25:AL$55,Налоги!$F$25:$F$55,$F244,Налоги!$AB$25:$AB$55,$G244)</f>
        <v>0</v>
      </c>
      <c r="AN244" s="848">
        <f ca="1">SUMIFS(Налоги!AM$25:AM$55,Налоги!$F$25:$F$55,$F244,Налоги!$AB$25:$AB$55,$G244)</f>
        <v>0</v>
      </c>
      <c r="AO244" s="848">
        <f ca="1">SUMIFS(Налоги!AN$25:AN$55,Налоги!$F$25:$F$55,$F244,Налоги!$AB$25:$AB$55,$G244)</f>
        <v>0</v>
      </c>
      <c r="AP244" s="848">
        <f ca="1">SUMIFS(Налоги!AO$25:AO$55,Налоги!$F$25:$F$55,$F244,Налоги!$AB$25:$AB$55,$G244)</f>
        <v>0</v>
      </c>
      <c r="AQ244" s="848">
        <f ca="1">SUMIFS(Налоги!AP$25:AP$55,Налоги!$F$25:$F$55,$F244,Налоги!$AB$25:$AB$55,$G244)</f>
        <v>0</v>
      </c>
      <c r="AR244" s="848">
        <f ca="1">SUMIFS(Налоги!AQ$25:AQ$55,Налоги!$F$25:$F$55,$F244,Налоги!$AB$25:$AB$55,$G244)</f>
        <v>0</v>
      </c>
      <c r="AS244" s="848">
        <f ca="1">SUMIFS(Налоги!AR$25:AR$55,Налоги!$F$25:$F$55,$F244,Налоги!$AB$25:$AB$55,$G244)</f>
        <v>0</v>
      </c>
      <c r="AT244" s="848">
        <f ca="1">SUMIFS(Налоги!AS$25:AS$55,Налоги!$F$25:$F$55,$F244,Налоги!$AB$25:$AB$55,$G244)</f>
        <v>0</v>
      </c>
      <c r="AU244" s="848">
        <f ca="1">SUMIFS(Налоги!AT$25:AT$55,Налоги!$F$25:$F$55,$F244,Налоги!$AB$25:$AB$55,$G244)</f>
        <v>0</v>
      </c>
      <c r="AV244" s="848">
        <f ca="1">SUMIFS(Налоги!AU$25:AU$55,Налоги!$F$25:$F$55,$F244,Налоги!$AB$25:$AB$55,$G244)</f>
        <v>0</v>
      </c>
      <c r="AW244" s="848">
        <f ca="1">SUMIFS(Налоги!AV$25:AV$55,Налоги!$F$25:$F$55,$F244,Налоги!$AB$25:$AB$55,$G244)</f>
        <v>0</v>
      </c>
      <c r="AX244" s="848">
        <f ca="1">SUMIFS(Налоги!AW$25:AW$55,Налоги!$F$25:$F$55,$F244,Налоги!$AB$25:$AB$55,$G244)</f>
        <v>0</v>
      </c>
      <c r="AY244" s="848">
        <f ca="1">SUMIFS(Налоги!AX$25:AX$55,Налоги!$F$25:$F$55,$F244,Налоги!$AB$25:$AB$55,$G244)</f>
        <v>0</v>
      </c>
      <c r="AZ244" s="848">
        <f ca="1">SUMIFS(Налоги!AY$25:AY$55,Налоги!$F$25:$F$55,$F244,Налоги!$AB$25:$AB$55,$G244)</f>
        <v>0</v>
      </c>
      <c r="BA244" s="848">
        <f ca="1">SUMIFS(Налоги!AZ$25:AZ$55,Налоги!$F$25:$F$55,$F244,Налоги!$AB$25:$AB$55,$G244)</f>
        <v>0</v>
      </c>
      <c r="BB244" s="848">
        <f ca="1">SUMIFS(Налоги!BA$25:BA$55,Налоги!$F$25:$F$55,$F244,Налоги!$AB$25:$AB$55,$G244)</f>
        <v>0</v>
      </c>
      <c r="BC244" s="848">
        <f ca="1">SUMIFS(Налоги!BB$25:BB$55,Налоги!$F$25:$F$55,$F244,Налоги!$AB$25:$AB$55,$G244)</f>
        <v>0</v>
      </c>
      <c r="BD244" s="848">
        <f t="shared" ca="1" si="52"/>
        <v>0</v>
      </c>
      <c r="BE244" s="848">
        <f t="shared" ca="1" si="53"/>
        <v>0</v>
      </c>
      <c r="BF244" s="848">
        <f t="shared" ca="1" si="54"/>
        <v>0</v>
      </c>
      <c r="BG244" s="848">
        <f t="shared" ca="1" si="55"/>
        <v>0</v>
      </c>
      <c r="BH244" s="848">
        <f t="shared" ca="1" si="56"/>
        <v>0</v>
      </c>
      <c r="BI244" s="848">
        <f t="shared" ca="1" si="57"/>
        <v>0</v>
      </c>
      <c r="BJ244" s="848">
        <f t="shared" ca="1" si="58"/>
        <v>0</v>
      </c>
      <c r="BK244" s="848">
        <f t="shared" ca="1" si="59"/>
        <v>0</v>
      </c>
      <c r="BL244" s="848">
        <f t="shared" ca="1" si="60"/>
        <v>0</v>
      </c>
      <c r="BM244" s="848">
        <f t="shared" ca="1" si="61"/>
        <v>0</v>
      </c>
      <c r="BN244" s="1522"/>
      <c r="BO244" s="1517" t="str">
        <f ca="1">IF(IFERROR(INDEX(Налоги!$K$26:$L$55,MATCH($F244&amp;"8komm",Налоги!$K$26:$K$55,0),2),"")=0,"",IFERROR(INDEX(Налоги!$K$26:$L$55,MATCH($F244&amp;"8komm",Налоги!$K$26:$K$55,0),2),""))</f>
        <v/>
      </c>
      <c r="BP244" s="1522"/>
      <c r="BQ244" s="1177"/>
      <c r="BR244" s="1177"/>
      <c r="BS244" s="966" t="s">
        <v>1142</v>
      </c>
      <c r="BT244" s="966"/>
      <c r="BU244" s="966"/>
      <c r="BV244" s="881"/>
      <c r="BW244" s="881"/>
    </row>
    <row r="245" spans="1:75" s="1133" customFormat="1" ht="14.25" customHeight="1">
      <c r="B245" s="15"/>
      <c r="C245" s="26"/>
      <c r="D245" s="26"/>
      <c r="E245" s="538">
        <v>15</v>
      </c>
      <c r="F245" s="3" t="str" cm="1">
        <f t="array" aca="1" ref="F245" ca="1">OFFSET(E245,-1,1)</f>
        <v>1</v>
      </c>
      <c r="G245" s="827">
        <v>9</v>
      </c>
      <c r="H245" s="26"/>
      <c r="I245" s="26"/>
      <c r="J245" s="26"/>
      <c r="K245" s="26"/>
      <c r="L245" s="882"/>
      <c r="M245" s="26"/>
      <c r="N245" s="26"/>
      <c r="O245" s="26"/>
      <c r="P245" s="26"/>
      <c r="Q245" s="26"/>
      <c r="R245" s="26"/>
      <c r="S245" s="26"/>
      <c r="T245" s="381" t="b" cm="1">
        <f t="array" aca="1" ref="T245" ca="1">T244</f>
        <v>1</v>
      </c>
      <c r="U245" s="26"/>
      <c r="V245" s="26"/>
      <c r="X245" s="1755"/>
      <c r="Z245" s="1735"/>
      <c r="AB245" s="215" t="s">
        <v>1924</v>
      </c>
      <c r="AC245" s="694" t="s">
        <v>1925</v>
      </c>
      <c r="AD245" s="216" t="s">
        <v>766</v>
      </c>
      <c r="AE245" s="175">
        <f ca="1">SUMIFS(Налоги!AE$25:AE$55,Налоги!$F$25:$F$55,$F245,Налоги!$AB$25:$AB$55,$G245)</f>
        <v>0</v>
      </c>
      <c r="AF245" s="175">
        <f ca="1">SUMIFS(Налоги!AF$25:AF$55,Налоги!$F$25:$F$55,$F245,Налоги!$AB$25:$AB$55,$G245)</f>
        <v>0</v>
      </c>
      <c r="AG245" s="175">
        <f ca="1">SUMIFS(Налоги!AG$25:AG$55,Налоги!$F$25:$F$55,$F245,Налоги!$AB$25:$AB$55,$G245)</f>
        <v>0</v>
      </c>
      <c r="AH245" s="848">
        <f t="shared" ca="1" si="50"/>
        <v>0</v>
      </c>
      <c r="AI245" s="848">
        <f ca="1">SUMIFS(Налоги!AH$25:AH$55,Налоги!$F$25:$F$55,$F245,Налоги!$AB$25:$AB$55,$G245)</f>
        <v>0</v>
      </c>
      <c r="AJ245" s="848">
        <f ca="1">SUMIFS(Налоги!AI$25:AI$55,Налоги!$F$25:$F$55,$F245,Налоги!$AB$25:$AB$55,$G245)</f>
        <v>0</v>
      </c>
      <c r="AK245" s="848">
        <f ca="1">SUMIFS(Налоги!AJ$25:AJ$55,Налоги!$F$25:$F$55,$F245,Налоги!$AB$25:$AB$55,$G245)</f>
        <v>0</v>
      </c>
      <c r="AL245" s="848">
        <f ca="1">SUMIFS(Налоги!AK$25:AK$55,Налоги!$F$25:$F$55,$F245,Налоги!$AB$25:$AB$55,$G245)</f>
        <v>0</v>
      </c>
      <c r="AM245" s="848">
        <f ca="1">SUMIFS(Налоги!AL$25:AL$55,Налоги!$F$25:$F$55,$F245,Налоги!$AB$25:$AB$55,$G245)</f>
        <v>0</v>
      </c>
      <c r="AN245" s="848">
        <f ca="1">SUMIFS(Налоги!AM$25:AM$55,Налоги!$F$25:$F$55,$F245,Налоги!$AB$25:$AB$55,$G245)</f>
        <v>0</v>
      </c>
      <c r="AO245" s="848">
        <f ca="1">SUMIFS(Налоги!AN$25:AN$55,Налоги!$F$25:$F$55,$F245,Налоги!$AB$25:$AB$55,$G245)</f>
        <v>0</v>
      </c>
      <c r="AP245" s="848">
        <f ca="1">SUMIFS(Налоги!AO$25:AO$55,Налоги!$F$25:$F$55,$F245,Налоги!$AB$25:$AB$55,$G245)</f>
        <v>0</v>
      </c>
      <c r="AQ245" s="848">
        <f ca="1">SUMIFS(Налоги!AP$25:AP$55,Налоги!$F$25:$F$55,$F245,Налоги!$AB$25:$AB$55,$G245)</f>
        <v>0</v>
      </c>
      <c r="AR245" s="848">
        <f ca="1">SUMIFS(Налоги!AQ$25:AQ$55,Налоги!$F$25:$F$55,$F245,Налоги!$AB$25:$AB$55,$G245)</f>
        <v>0</v>
      </c>
      <c r="AS245" s="848">
        <f ca="1">SUMIFS(Налоги!AR$25:AR$55,Налоги!$F$25:$F$55,$F245,Налоги!$AB$25:$AB$55,$G245)</f>
        <v>0</v>
      </c>
      <c r="AT245" s="848">
        <f ca="1">SUMIFS(Налоги!AS$25:AS$55,Налоги!$F$25:$F$55,$F245,Налоги!$AB$25:$AB$55,$G245)</f>
        <v>0</v>
      </c>
      <c r="AU245" s="848">
        <f ca="1">SUMIFS(Налоги!AT$25:AT$55,Налоги!$F$25:$F$55,$F245,Налоги!$AB$25:$AB$55,$G245)</f>
        <v>0</v>
      </c>
      <c r="AV245" s="848">
        <f ca="1">SUMIFS(Налоги!AU$25:AU$55,Налоги!$F$25:$F$55,$F245,Налоги!$AB$25:$AB$55,$G245)</f>
        <v>0</v>
      </c>
      <c r="AW245" s="848">
        <f ca="1">SUMIFS(Налоги!AV$25:AV$55,Налоги!$F$25:$F$55,$F245,Налоги!$AB$25:$AB$55,$G245)</f>
        <v>0</v>
      </c>
      <c r="AX245" s="848">
        <f ca="1">SUMIFS(Налоги!AW$25:AW$55,Налоги!$F$25:$F$55,$F245,Налоги!$AB$25:$AB$55,$G245)</f>
        <v>0</v>
      </c>
      <c r="AY245" s="848">
        <f ca="1">SUMIFS(Налоги!AX$25:AX$55,Налоги!$F$25:$F$55,$F245,Налоги!$AB$25:$AB$55,$G245)</f>
        <v>0</v>
      </c>
      <c r="AZ245" s="848">
        <f ca="1">SUMIFS(Налоги!AY$25:AY$55,Налоги!$F$25:$F$55,$F245,Налоги!$AB$25:$AB$55,$G245)</f>
        <v>0</v>
      </c>
      <c r="BA245" s="848">
        <f ca="1">SUMIFS(Налоги!AZ$25:AZ$55,Налоги!$F$25:$F$55,$F245,Налоги!$AB$25:$AB$55,$G245)</f>
        <v>0</v>
      </c>
      <c r="BB245" s="848">
        <f ca="1">SUMIFS(Налоги!BA$25:BA$55,Налоги!$F$25:$F$55,$F245,Налоги!$AB$25:$AB$55,$G245)</f>
        <v>0</v>
      </c>
      <c r="BC245" s="848">
        <f ca="1">SUMIFS(Налоги!BB$25:BB$55,Налоги!$F$25:$F$55,$F245,Налоги!$AB$25:$AB$55,$G245)</f>
        <v>0</v>
      </c>
      <c r="BD245" s="848">
        <f t="shared" ca="1" si="52"/>
        <v>0</v>
      </c>
      <c r="BE245" s="848">
        <f t="shared" ca="1" si="53"/>
        <v>0</v>
      </c>
      <c r="BF245" s="848">
        <f t="shared" ca="1" si="54"/>
        <v>0</v>
      </c>
      <c r="BG245" s="848">
        <f t="shared" ca="1" si="55"/>
        <v>0</v>
      </c>
      <c r="BH245" s="848">
        <f t="shared" ca="1" si="56"/>
        <v>0</v>
      </c>
      <c r="BI245" s="848">
        <f t="shared" ca="1" si="57"/>
        <v>0</v>
      </c>
      <c r="BJ245" s="848">
        <f t="shared" ca="1" si="58"/>
        <v>0</v>
      </c>
      <c r="BK245" s="848">
        <f t="shared" ca="1" si="59"/>
        <v>0</v>
      </c>
      <c r="BL245" s="848">
        <f t="shared" ca="1" si="60"/>
        <v>0</v>
      </c>
      <c r="BM245" s="848">
        <f t="shared" ca="1" si="61"/>
        <v>0</v>
      </c>
      <c r="BN245" s="1522"/>
      <c r="BO245" s="1517" t="str">
        <f ca="1">IF(IFERROR(INDEX(Налоги!$K$26:$L$55,MATCH($F245&amp;"9komm",Налоги!$K$26:$K$55,0),2),"")=0,"",IFERROR(INDEX(Налоги!$K$26:$L$55,MATCH($F245&amp;"9komm",Налоги!$K$26:$K$55,0),2),""))</f>
        <v/>
      </c>
      <c r="BP245" s="1522"/>
      <c r="BS245" s="973" t="s">
        <v>1926</v>
      </c>
      <c r="BT245" s="973"/>
      <c r="BU245" s="973"/>
      <c r="BV245" s="974"/>
      <c r="BW245" s="974"/>
    </row>
    <row r="246" spans="1:75" s="1327" customFormat="1" ht="14.25" customHeight="1">
      <c r="A246" s="1177"/>
      <c r="B246" s="15"/>
      <c r="C246" s="26"/>
      <c r="D246" s="26"/>
      <c r="E246" s="538">
        <v>15</v>
      </c>
      <c r="F246" s="3" t="str" cm="1">
        <f t="array" aca="1" ref="F246" ca="1">OFFSET(E246,-1,1)</f>
        <v>1</v>
      </c>
      <c r="G246" s="827">
        <v>10</v>
      </c>
      <c r="H246" s="26"/>
      <c r="I246" s="26" t="s">
        <v>1927</v>
      </c>
      <c r="J246" s="26"/>
      <c r="K246" s="26" t="s">
        <v>1927</v>
      </c>
      <c r="L246" s="882"/>
      <c r="M246" s="26"/>
      <c r="N246" s="26"/>
      <c r="O246" s="26"/>
      <c r="P246" s="26"/>
      <c r="Q246" s="26"/>
      <c r="R246" s="26"/>
      <c r="S246" s="26"/>
      <c r="T246" s="381" t="b" cm="1">
        <f t="array" aca="1" ref="T246" ca="1">T245</f>
        <v>1</v>
      </c>
      <c r="U246" s="26"/>
      <c r="V246" s="26"/>
      <c r="W246" s="1177"/>
      <c r="X246" s="1755"/>
      <c r="Y246" s="1177"/>
      <c r="Z246" s="1735"/>
      <c r="AA246" s="1177"/>
      <c r="AB246" s="215" t="s">
        <v>1928</v>
      </c>
      <c r="AC246" s="695" t="s">
        <v>1929</v>
      </c>
      <c r="AD246" s="216" t="s">
        <v>766</v>
      </c>
      <c r="AE246" s="175">
        <f ca="1">SUMIFS(Налоги!AE$25:AE$55,Налоги!$F$25:$F$55,$F246,Налоги!$AB$25:$AB$55,$G246)</f>
        <v>0</v>
      </c>
      <c r="AF246" s="175">
        <f ca="1">SUMIFS(Налоги!AF$25:AF$55,Налоги!$F$25:$F$55,$F246,Налоги!$AB$25:$AB$55,$G246)</f>
        <v>0</v>
      </c>
      <c r="AG246" s="175">
        <f ca="1">SUMIFS(Налоги!AG$25:AG$55,Налоги!$F$25:$F$55,$F246,Налоги!$AB$25:$AB$55,$G246)</f>
        <v>0</v>
      </c>
      <c r="AH246" s="848">
        <f t="shared" ca="1" si="50"/>
        <v>0</v>
      </c>
      <c r="AI246" s="848">
        <f ca="1">SUMIFS(Налоги!AH$25:AH$55,Налоги!$F$25:$F$55,$F246,Налоги!$AB$25:$AB$55,$G246)</f>
        <v>0</v>
      </c>
      <c r="AJ246" s="848">
        <f ca="1">SUMIFS(Налоги!AI$25:AI$55,Налоги!$F$25:$F$55,$F246,Налоги!$AB$25:$AB$55,$G246)</f>
        <v>0</v>
      </c>
      <c r="AK246" s="848">
        <f ca="1">SUMIFS(Налоги!AJ$25:AJ$55,Налоги!$F$25:$F$55,$F246,Налоги!$AB$25:$AB$55,$G246)</f>
        <v>0</v>
      </c>
      <c r="AL246" s="848">
        <f ca="1">SUMIFS(Налоги!AK$25:AK$55,Налоги!$F$25:$F$55,$F246,Налоги!$AB$25:$AB$55,$G246)</f>
        <v>0</v>
      </c>
      <c r="AM246" s="848">
        <f ca="1">SUMIFS(Налоги!AL$25:AL$55,Налоги!$F$25:$F$55,$F246,Налоги!$AB$25:$AB$55,$G246)</f>
        <v>0</v>
      </c>
      <c r="AN246" s="848">
        <f ca="1">SUMIFS(Налоги!AM$25:AM$55,Налоги!$F$25:$F$55,$F246,Налоги!$AB$25:$AB$55,$G246)</f>
        <v>0</v>
      </c>
      <c r="AO246" s="848">
        <f ca="1">SUMIFS(Налоги!AN$25:AN$55,Налоги!$F$25:$F$55,$F246,Налоги!$AB$25:$AB$55,$G246)</f>
        <v>0</v>
      </c>
      <c r="AP246" s="848">
        <f ca="1">SUMIFS(Налоги!AO$25:AO$55,Налоги!$F$25:$F$55,$F246,Налоги!$AB$25:$AB$55,$G246)</f>
        <v>0</v>
      </c>
      <c r="AQ246" s="848">
        <f ca="1">SUMIFS(Налоги!AP$25:AP$55,Налоги!$F$25:$F$55,$F246,Налоги!$AB$25:$AB$55,$G246)</f>
        <v>0</v>
      </c>
      <c r="AR246" s="848">
        <f ca="1">SUMIFS(Налоги!AQ$25:AQ$55,Налоги!$F$25:$F$55,$F246,Налоги!$AB$25:$AB$55,$G246)</f>
        <v>0</v>
      </c>
      <c r="AS246" s="848">
        <f ca="1">SUMIFS(Налоги!AR$25:AR$55,Налоги!$F$25:$F$55,$F246,Налоги!$AB$25:$AB$55,$G246)</f>
        <v>0</v>
      </c>
      <c r="AT246" s="848">
        <f ca="1">SUMIFS(Налоги!AS$25:AS$55,Налоги!$F$25:$F$55,$F246,Налоги!$AB$25:$AB$55,$G246)</f>
        <v>0</v>
      </c>
      <c r="AU246" s="848">
        <f ca="1">SUMIFS(Налоги!AT$25:AT$55,Налоги!$F$25:$F$55,$F246,Налоги!$AB$25:$AB$55,$G246)</f>
        <v>0</v>
      </c>
      <c r="AV246" s="848">
        <f ca="1">SUMIFS(Налоги!AU$25:AU$55,Налоги!$F$25:$F$55,$F246,Налоги!$AB$25:$AB$55,$G246)</f>
        <v>0</v>
      </c>
      <c r="AW246" s="848">
        <f ca="1">SUMIFS(Налоги!AV$25:AV$55,Налоги!$F$25:$F$55,$F246,Налоги!$AB$25:$AB$55,$G246)</f>
        <v>0</v>
      </c>
      <c r="AX246" s="848">
        <f ca="1">SUMIFS(Налоги!AW$25:AW$55,Налоги!$F$25:$F$55,$F246,Налоги!$AB$25:$AB$55,$G246)</f>
        <v>0</v>
      </c>
      <c r="AY246" s="848">
        <f ca="1">SUMIFS(Налоги!AX$25:AX$55,Налоги!$F$25:$F$55,$F246,Налоги!$AB$25:$AB$55,$G246)</f>
        <v>0</v>
      </c>
      <c r="AZ246" s="848">
        <f ca="1">SUMIFS(Налоги!AY$25:AY$55,Налоги!$F$25:$F$55,$F246,Налоги!$AB$25:$AB$55,$G246)</f>
        <v>0</v>
      </c>
      <c r="BA246" s="848">
        <f ca="1">SUMIFS(Налоги!AZ$25:AZ$55,Налоги!$F$25:$F$55,$F246,Налоги!$AB$25:$AB$55,$G246)</f>
        <v>0</v>
      </c>
      <c r="BB246" s="848">
        <f ca="1">SUMIFS(Налоги!BA$25:BA$55,Налоги!$F$25:$F$55,$F246,Налоги!$AB$25:$AB$55,$G246)</f>
        <v>0</v>
      </c>
      <c r="BC246" s="848">
        <f ca="1">SUMIFS(Налоги!BB$25:BB$55,Налоги!$F$25:$F$55,$F246,Налоги!$AB$25:$AB$55,$G246)</f>
        <v>0</v>
      </c>
      <c r="BD246" s="848">
        <f t="shared" ca="1" si="52"/>
        <v>0</v>
      </c>
      <c r="BE246" s="848">
        <f t="shared" ca="1" si="53"/>
        <v>0</v>
      </c>
      <c r="BF246" s="848">
        <f t="shared" ca="1" si="54"/>
        <v>0</v>
      </c>
      <c r="BG246" s="848">
        <f t="shared" ca="1" si="55"/>
        <v>0</v>
      </c>
      <c r="BH246" s="848">
        <f t="shared" ca="1" si="56"/>
        <v>0</v>
      </c>
      <c r="BI246" s="848">
        <f t="shared" ca="1" si="57"/>
        <v>0</v>
      </c>
      <c r="BJ246" s="848">
        <f t="shared" ca="1" si="58"/>
        <v>0</v>
      </c>
      <c r="BK246" s="848">
        <f t="shared" ca="1" si="59"/>
        <v>0</v>
      </c>
      <c r="BL246" s="848">
        <f t="shared" ca="1" si="60"/>
        <v>0</v>
      </c>
      <c r="BM246" s="848">
        <f t="shared" ca="1" si="61"/>
        <v>0</v>
      </c>
      <c r="BN246" s="1522"/>
      <c r="BO246" s="1517" t="str">
        <f ca="1">IF(IFERROR(INDEX(Налоги!$K$26:$L$55,MATCH($F246&amp;"10komm",Налоги!$K$26:$K$55,0),2),"")=0,"",IFERROR(INDEX(Налоги!$K$26:$L$55,MATCH($F246&amp;"10komm",Налоги!$K$26:$K$55,0),2),""))</f>
        <v/>
      </c>
      <c r="BP246" s="1522"/>
      <c r="BQ246" s="1177"/>
      <c r="BR246" s="1177"/>
      <c r="BS246" s="966" t="s">
        <v>1930</v>
      </c>
      <c r="BT246" s="966"/>
      <c r="BU246" s="966"/>
      <c r="BV246" s="881"/>
      <c r="BW246" s="881"/>
    </row>
    <row r="247" spans="1:75" s="1327" customFormat="1" ht="65.25" customHeight="1">
      <c r="A247" s="1177"/>
      <c r="B247" s="880"/>
      <c r="C247" s="1177"/>
      <c r="D247" s="1177"/>
      <c r="E247" s="620">
        <v>67.5</v>
      </c>
      <c r="F247" s="3" t="str" cm="1">
        <f t="array" aca="1" ref="F247" ca="1">OFFSET(E247,-1,1)</f>
        <v>1</v>
      </c>
      <c r="G247" s="77" t="s">
        <v>1295</v>
      </c>
      <c r="H247" s="1177"/>
      <c r="I247" s="77" t="s">
        <v>843</v>
      </c>
      <c r="J247" s="1177"/>
      <c r="K247" s="77" t="s">
        <v>843</v>
      </c>
      <c r="L247" s="882"/>
      <c r="M247" s="26"/>
      <c r="N247" s="1177"/>
      <c r="O247" s="1177"/>
      <c r="P247" s="1177"/>
      <c r="Q247" s="1177"/>
      <c r="R247" s="1177"/>
      <c r="S247" s="1177"/>
      <c r="T247" s="381" t="b" cm="1">
        <f t="array" aca="1" ref="T247" ca="1">T246</f>
        <v>1</v>
      </c>
      <c r="U247" s="1177"/>
      <c r="V247" s="1177"/>
      <c r="W247" s="1177"/>
      <c r="X247" s="1755"/>
      <c r="Y247" s="1177"/>
      <c r="Z247" s="1735"/>
      <c r="AA247" s="1177"/>
      <c r="AB247" s="215" t="s">
        <v>844</v>
      </c>
      <c r="AC247" s="696" t="s">
        <v>1298</v>
      </c>
      <c r="AD247" s="216" t="s">
        <v>766</v>
      </c>
      <c r="AE247" s="1525"/>
      <c r="AF247" s="1525"/>
      <c r="AG247" s="1525"/>
      <c r="AH247" s="848">
        <f t="shared" si="50"/>
        <v>0</v>
      </c>
      <c r="AI247" s="1511"/>
      <c r="AJ247" s="1511"/>
      <c r="AK247" s="1511"/>
      <c r="AL247" s="1511"/>
      <c r="AM247" s="1511"/>
      <c r="AN247" s="1511"/>
      <c r="AO247" s="1511"/>
      <c r="AP247" s="1511"/>
      <c r="AQ247" s="1511"/>
      <c r="AR247" s="1511"/>
      <c r="AS247" s="1511"/>
      <c r="AT247" s="1511"/>
      <c r="AU247" s="1511"/>
      <c r="AV247" s="1511"/>
      <c r="AW247" s="1511"/>
      <c r="AX247" s="1511"/>
      <c r="AY247" s="1511"/>
      <c r="AZ247" s="1511"/>
      <c r="BA247" s="1511"/>
      <c r="BB247" s="1511"/>
      <c r="BC247" s="1511"/>
      <c r="BD247" s="848">
        <f t="shared" si="52"/>
        <v>0</v>
      </c>
      <c r="BE247" s="848">
        <f t="shared" si="53"/>
        <v>0</v>
      </c>
      <c r="BF247" s="848">
        <f t="shared" si="54"/>
        <v>0</v>
      </c>
      <c r="BG247" s="848">
        <f t="shared" si="55"/>
        <v>0</v>
      </c>
      <c r="BH247" s="848">
        <f t="shared" si="56"/>
        <v>0</v>
      </c>
      <c r="BI247" s="848">
        <f t="shared" si="57"/>
        <v>0</v>
      </c>
      <c r="BJ247" s="848">
        <f t="shared" si="58"/>
        <v>0</v>
      </c>
      <c r="BK247" s="848">
        <f t="shared" si="59"/>
        <v>0</v>
      </c>
      <c r="BL247" s="848">
        <f t="shared" si="60"/>
        <v>0</v>
      </c>
      <c r="BM247" s="848">
        <f t="shared" si="61"/>
        <v>0</v>
      </c>
      <c r="BN247" s="1522"/>
      <c r="BO247" s="1522"/>
      <c r="BP247" s="1522"/>
      <c r="BQ247" s="1177"/>
      <c r="BR247" s="1177"/>
      <c r="BS247" s="966" t="s">
        <v>1931</v>
      </c>
      <c r="BT247" s="966"/>
      <c r="BU247" s="966"/>
      <c r="BV247" s="881"/>
      <c r="BW247" s="881"/>
    </row>
    <row r="248" spans="1:75" s="1327" customFormat="1" ht="14.25" customHeight="1">
      <c r="A248" s="1177"/>
      <c r="B248" s="880"/>
      <c r="C248" s="1177"/>
      <c r="D248" s="1177"/>
      <c r="E248" s="620">
        <v>15</v>
      </c>
      <c r="F248" s="3" t="str" cm="1">
        <f t="array" aca="1" ref="F248" ca="1">OFFSET(E248,-1,1)</f>
        <v>1</v>
      </c>
      <c r="G248" s="77" t="s">
        <v>919</v>
      </c>
      <c r="H248" s="1177"/>
      <c r="I248" s="77" t="s">
        <v>846</v>
      </c>
      <c r="J248" s="1177"/>
      <c r="K248" s="77" t="s">
        <v>846</v>
      </c>
      <c r="L248" s="882" t="s">
        <v>477</v>
      </c>
      <c r="M248" s="26"/>
      <c r="N248" s="1177"/>
      <c r="O248" s="1177"/>
      <c r="P248" s="1177"/>
      <c r="Q248" s="1177"/>
      <c r="R248" s="1177"/>
      <c r="S248" s="1177"/>
      <c r="T248" s="381" t="b" cm="1">
        <f t="array" aca="1" ref="T248" ca="1">T247</f>
        <v>1</v>
      </c>
      <c r="U248" s="1177"/>
      <c r="V248" s="1177"/>
      <c r="W248" s="1177"/>
      <c r="X248" s="1755"/>
      <c r="Y248" s="1177"/>
      <c r="Z248" s="1735"/>
      <c r="AA248" s="1177"/>
      <c r="AB248" s="215" t="s">
        <v>847</v>
      </c>
      <c r="AC248" s="676" t="s">
        <v>919</v>
      </c>
      <c r="AD248" s="216" t="s">
        <v>766</v>
      </c>
      <c r="AE248" s="175">
        <f ca="1">SUMIFS(Аренда!AE$25:AE$47,Аренда!$F$25:$F$47,$F248,Аренда!$G$25:$G$47,"Арендная и концессионная плата, лизинговые платежи")</f>
        <v>0</v>
      </c>
      <c r="AF248" s="175">
        <f ca="1">SUMIFS(Аренда!AF$25:AF$47,Аренда!$F$25:$F$47,$F248,Аренда!$G$25:$G$47,"Арендная и концессионная плата, лизинговые платежи")</f>
        <v>0</v>
      </c>
      <c r="AG248" s="175">
        <f ca="1">SUMIFS(Аренда!AG$25:AG$47,Аренда!$F$25:$F$47,$F248,Аренда!$G$25:$G$47,"Арендная и концессионная плата, лизинговые платежи")</f>
        <v>0</v>
      </c>
      <c r="AH248" s="848">
        <f t="shared" ca="1" si="50"/>
        <v>0</v>
      </c>
      <c r="AI248" s="175">
        <f ca="1">SUMIFS(Аренда!AH$25:AH$47,Аренда!$F$25:$F$47,$F248,Аренда!$G$25:$G$47,"Арендная и концессионная плата, лизинговые платежи")</f>
        <v>0</v>
      </c>
      <c r="AJ248" s="175">
        <f ca="1">SUMIFS(Аренда!AI$25:AI$47,Аренда!$F$25:$F$47,$F248,Аренда!$G$25:$G$47,"Арендная и концессионная плата, лизинговые платежи")</f>
        <v>0</v>
      </c>
      <c r="AK248" s="175">
        <f ca="1">SUMIFS(Аренда!AJ$25:AJ$47,Аренда!$F$25:$F$47,$F248,Аренда!$G$25:$G$47,"Арендная и концессионная плата, лизинговые платежи")</f>
        <v>0</v>
      </c>
      <c r="AL248" s="175">
        <f ca="1">SUMIFS(Аренда!AK$25:AK$47,Аренда!$F$25:$F$47,$F248,Аренда!$G$25:$G$47,"Арендная и концессионная плата, лизинговые платежи")</f>
        <v>0</v>
      </c>
      <c r="AM248" s="175">
        <f ca="1">SUMIFS(Аренда!AL$25:AL$47,Аренда!$F$25:$F$47,$F248,Аренда!$G$25:$G$47,"Арендная и концессионная плата, лизинговые платежи")</f>
        <v>0</v>
      </c>
      <c r="AN248" s="175">
        <f ca="1">SUMIFS(Аренда!AM$25:AM$47,Аренда!$F$25:$F$47,$F248,Аренда!$G$25:$G$47,"Арендная и концессионная плата, лизинговые платежи")</f>
        <v>0</v>
      </c>
      <c r="AO248" s="175">
        <f ca="1">SUMIFS(Аренда!AN$25:AN$47,Аренда!$F$25:$F$47,$F248,Аренда!$G$25:$G$47,"Арендная и концессионная плата, лизинговые платежи")</f>
        <v>0</v>
      </c>
      <c r="AP248" s="175">
        <f ca="1">SUMIFS(Аренда!AO$25:AO$47,Аренда!$F$25:$F$47,$F248,Аренда!$G$25:$G$47,"Арендная и концессионная плата, лизинговые платежи")</f>
        <v>0</v>
      </c>
      <c r="AQ248" s="175">
        <f ca="1">SUMIFS(Аренда!AP$25:AP$47,Аренда!$F$25:$F$47,$F248,Аренда!$G$25:$G$47,"Арендная и концессионная плата, лизинговые платежи")</f>
        <v>0</v>
      </c>
      <c r="AR248" s="175">
        <f ca="1">SUMIFS(Аренда!AQ$25:AQ$47,Аренда!$F$25:$F$47,$F248,Аренда!$G$25:$G$47,"Арендная и концессионная плата, лизинговые платежи")</f>
        <v>0</v>
      </c>
      <c r="AS248" s="175">
        <f ca="1">SUMIFS(Аренда!AR$25:AR$47,Аренда!$F$25:$F$47,$F248,Аренда!$G$25:$G$47,"Арендная и концессионная плата, лизинговые платежи")</f>
        <v>0</v>
      </c>
      <c r="AT248" s="175">
        <f ca="1">SUMIFS(Аренда!AS$25:AS$47,Аренда!$F$25:$F$47,$F248,Аренда!$G$25:$G$47,"Арендная и концессионная плата, лизинговые платежи")</f>
        <v>0</v>
      </c>
      <c r="AU248" s="175">
        <f ca="1">SUMIFS(Аренда!AT$25:AT$47,Аренда!$F$25:$F$47,$F248,Аренда!$G$25:$G$47,"Арендная и концессионная плата, лизинговые платежи")</f>
        <v>0</v>
      </c>
      <c r="AV248" s="175">
        <f ca="1">SUMIFS(Аренда!AU$25:AU$47,Аренда!$F$25:$F$47,$F248,Аренда!$G$25:$G$47,"Арендная и концессионная плата, лизинговые платежи")</f>
        <v>0</v>
      </c>
      <c r="AW248" s="175">
        <f ca="1">SUMIFS(Аренда!AV$25:AV$47,Аренда!$F$25:$F$47,$F248,Аренда!$G$25:$G$47,"Арендная и концессионная плата, лизинговые платежи")</f>
        <v>0</v>
      </c>
      <c r="AX248" s="175">
        <f ca="1">SUMIFS(Аренда!AW$25:AW$47,Аренда!$F$25:$F$47,$F248,Аренда!$G$25:$G$47,"Арендная и концессионная плата, лизинговые платежи")</f>
        <v>0</v>
      </c>
      <c r="AY248" s="175">
        <f ca="1">SUMIFS(Аренда!AX$25:AX$47,Аренда!$F$25:$F$47,$F248,Аренда!$G$25:$G$47,"Арендная и концессионная плата, лизинговые платежи")</f>
        <v>0</v>
      </c>
      <c r="AZ248" s="175">
        <f ca="1">SUMIFS(Аренда!AY$25:AY$47,Аренда!$F$25:$F$47,$F248,Аренда!$G$25:$G$47,"Арендная и концессионная плата, лизинговые платежи")</f>
        <v>0</v>
      </c>
      <c r="BA248" s="175">
        <f ca="1">SUMIFS(Аренда!AZ$25:AZ$47,Аренда!$F$25:$F$47,$F248,Аренда!$G$25:$G$47,"Арендная и концессионная плата, лизинговые платежи")</f>
        <v>0</v>
      </c>
      <c r="BB248" s="175">
        <f ca="1">SUMIFS(Аренда!BA$25:BA$47,Аренда!$F$25:$F$47,$F248,Аренда!$G$25:$G$47,"Арендная и концессионная плата, лизинговые платежи")</f>
        <v>0</v>
      </c>
      <c r="BC248" s="175">
        <f ca="1">SUMIFS(Аренда!BB$25:BB$47,Аренда!$F$25:$F$47,$F248,Аренда!$G$25:$G$47,"Арендная и концессионная плата, лизинговые платежи")</f>
        <v>0</v>
      </c>
      <c r="BD248" s="848">
        <f t="shared" ca="1" si="52"/>
        <v>0</v>
      </c>
      <c r="BE248" s="848">
        <f t="shared" ca="1" si="53"/>
        <v>0</v>
      </c>
      <c r="BF248" s="848">
        <f t="shared" ca="1" si="54"/>
        <v>0</v>
      </c>
      <c r="BG248" s="848">
        <f t="shared" ca="1" si="55"/>
        <v>0</v>
      </c>
      <c r="BH248" s="848">
        <f t="shared" ca="1" si="56"/>
        <v>0</v>
      </c>
      <c r="BI248" s="848">
        <f t="shared" ca="1" si="57"/>
        <v>0</v>
      </c>
      <c r="BJ248" s="848">
        <f t="shared" ca="1" si="58"/>
        <v>0</v>
      </c>
      <c r="BK248" s="848">
        <f t="shared" ca="1" si="59"/>
        <v>0</v>
      </c>
      <c r="BL248" s="848">
        <f t="shared" ca="1" si="60"/>
        <v>0</v>
      </c>
      <c r="BM248" s="848">
        <f t="shared" ca="1" si="61"/>
        <v>0</v>
      </c>
      <c r="BN248" s="1522"/>
      <c r="BO248" s="1526" t="str">
        <f ca="1">IF(IFERROR(INDEX(Аренда!$K$26:$L$47,MATCH($F248&amp;"komm",Аренда!$K$26:$K$47,0),2),"")=0,"",IFERROR(INDEX(Аренда!$K$26:$L$47,MATCH($F248&amp;"komm",Аренда!$K$26:$K$47,0),2),""))</f>
        <v/>
      </c>
      <c r="BP248" s="1522"/>
      <c r="BQ248" s="1177"/>
      <c r="BR248" s="1177"/>
      <c r="BS248" s="966" t="s">
        <v>1932</v>
      </c>
      <c r="BT248" s="966"/>
      <c r="BU248" s="966"/>
      <c r="BV248" s="881"/>
      <c r="BW248" s="881"/>
    </row>
    <row r="249" spans="1:75" s="1327" customFormat="1" ht="14.25" customHeight="1">
      <c r="A249" s="1177"/>
      <c r="B249" s="349" t="b">
        <f>STATUS_GO="да"</f>
        <v>1</v>
      </c>
      <c r="C249" s="1177"/>
      <c r="D249" s="1177"/>
      <c r="E249" s="620">
        <v>15</v>
      </c>
      <c r="F249" s="3" t="str" cm="1">
        <f t="array" aca="1" ref="F249" ca="1">OFFSET(E249,-1,1)</f>
        <v>1</v>
      </c>
      <c r="G249" s="1177"/>
      <c r="H249" s="1177"/>
      <c r="I249" s="77" t="s">
        <v>1933</v>
      </c>
      <c r="J249" s="1177"/>
      <c r="K249" s="77" t="s">
        <v>1933</v>
      </c>
      <c r="L249" s="882"/>
      <c r="M249" s="26"/>
      <c r="N249" s="1177"/>
      <c r="O249" s="1177"/>
      <c r="P249" s="1177"/>
      <c r="Q249" s="1177"/>
      <c r="R249" s="1177"/>
      <c r="S249" s="1177"/>
      <c r="T249" s="381" t="b" cm="1">
        <f t="array" aca="1" ref="T249" ca="1">T248</f>
        <v>1</v>
      </c>
      <c r="U249" s="1177"/>
      <c r="V249" s="1177"/>
      <c r="W249" s="1177"/>
      <c r="X249" s="1755"/>
      <c r="Y249" s="1177"/>
      <c r="Z249" s="1735"/>
      <c r="AA249" s="1177"/>
      <c r="AB249" s="215" t="s">
        <v>1362</v>
      </c>
      <c r="AC249" s="676" t="s">
        <v>1934</v>
      </c>
      <c r="AD249" s="216" t="s">
        <v>766</v>
      </c>
      <c r="AE249" s="1509"/>
      <c r="AF249" s="1509"/>
      <c r="AG249" s="1509"/>
      <c r="AH249" s="848">
        <f t="shared" si="50"/>
        <v>0</v>
      </c>
      <c r="AI249" s="1510"/>
      <c r="AJ249" s="1510"/>
      <c r="AK249" s="1510"/>
      <c r="AL249" s="1510"/>
      <c r="AM249" s="1510"/>
      <c r="AN249" s="1510"/>
      <c r="AO249" s="1510"/>
      <c r="AP249" s="1510"/>
      <c r="AQ249" s="1510"/>
      <c r="AR249" s="1510"/>
      <c r="AS249" s="1510"/>
      <c r="AT249" s="1510"/>
      <c r="AU249" s="1510"/>
      <c r="AV249" s="1510"/>
      <c r="AW249" s="1510"/>
      <c r="AX249" s="1510"/>
      <c r="AY249" s="1510"/>
      <c r="AZ249" s="1510"/>
      <c r="BA249" s="1510"/>
      <c r="BB249" s="1510"/>
      <c r="BC249" s="1510"/>
      <c r="BD249" s="848">
        <f t="shared" si="52"/>
        <v>0</v>
      </c>
      <c r="BE249" s="848">
        <f t="shared" si="53"/>
        <v>0</v>
      </c>
      <c r="BF249" s="848">
        <f t="shared" si="54"/>
        <v>0</v>
      </c>
      <c r="BG249" s="848">
        <f t="shared" si="55"/>
        <v>0</v>
      </c>
      <c r="BH249" s="848">
        <f t="shared" si="56"/>
        <v>0</v>
      </c>
      <c r="BI249" s="848">
        <f t="shared" si="57"/>
        <v>0</v>
      </c>
      <c r="BJ249" s="848">
        <f t="shared" si="58"/>
        <v>0</v>
      </c>
      <c r="BK249" s="848">
        <f t="shared" si="59"/>
        <v>0</v>
      </c>
      <c r="BL249" s="848">
        <f t="shared" si="60"/>
        <v>0</v>
      </c>
      <c r="BM249" s="848">
        <f t="shared" si="61"/>
        <v>0</v>
      </c>
      <c r="BN249" s="1522"/>
      <c r="BO249" s="1522"/>
      <c r="BP249" s="1522"/>
      <c r="BQ249" s="1177"/>
      <c r="BR249" s="1177"/>
      <c r="BS249" s="966" t="s">
        <v>1935</v>
      </c>
      <c r="BT249" s="966"/>
      <c r="BU249" s="966"/>
      <c r="BV249" s="881"/>
      <c r="BW249" s="881"/>
    </row>
    <row r="250" spans="1:75" s="1327" customFormat="1" ht="14.25" customHeight="1">
      <c r="A250" s="1177"/>
      <c r="B250" s="349" t="b">
        <f>STATUS_GO="да"</f>
        <v>1</v>
      </c>
      <c r="C250" s="1177"/>
      <c r="D250" s="1177"/>
      <c r="E250" s="620">
        <v>15</v>
      </c>
      <c r="F250" s="3" t="str" cm="1">
        <f t="array" aca="1" ref="F250" ca="1">OFFSET(E250,-1,1)</f>
        <v>1</v>
      </c>
      <c r="G250" s="77" t="s">
        <v>1304</v>
      </c>
      <c r="H250" s="1177"/>
      <c r="I250" s="77" t="s">
        <v>1936</v>
      </c>
      <c r="J250" s="1177"/>
      <c r="K250" s="77" t="s">
        <v>1936</v>
      </c>
      <c r="L250" s="882"/>
      <c r="M250" s="26"/>
      <c r="N250" s="1177"/>
      <c r="O250" s="1177"/>
      <c r="P250" s="1177"/>
      <c r="Q250" s="1177"/>
      <c r="R250" s="1177"/>
      <c r="S250" s="1177"/>
      <c r="T250" s="381" t="b" cm="1">
        <f t="array" aca="1" ref="T250" ca="1">T249</f>
        <v>1</v>
      </c>
      <c r="U250" s="1177"/>
      <c r="V250" s="1177"/>
      <c r="W250" s="1177"/>
      <c r="X250" s="1755"/>
      <c r="Y250" s="1177"/>
      <c r="Z250" s="1735"/>
      <c r="AA250" s="1177"/>
      <c r="AB250" s="215" t="s">
        <v>1937</v>
      </c>
      <c r="AC250" s="679" t="s">
        <v>1304</v>
      </c>
      <c r="AD250" s="216" t="s">
        <v>766</v>
      </c>
      <c r="AE250" s="1509"/>
      <c r="AF250" s="1509"/>
      <c r="AG250" s="1509"/>
      <c r="AH250" s="848">
        <f t="shared" si="50"/>
        <v>0</v>
      </c>
      <c r="AI250" s="1510"/>
      <c r="AJ250" s="1510"/>
      <c r="AK250" s="1510"/>
      <c r="AL250" s="1510"/>
      <c r="AM250" s="1510"/>
      <c r="AN250" s="1510"/>
      <c r="AO250" s="1510"/>
      <c r="AP250" s="1510"/>
      <c r="AQ250" s="1510"/>
      <c r="AR250" s="1510"/>
      <c r="AS250" s="1510"/>
      <c r="AT250" s="1510"/>
      <c r="AU250" s="1510"/>
      <c r="AV250" s="1510"/>
      <c r="AW250" s="1510"/>
      <c r="AX250" s="1510"/>
      <c r="AY250" s="1510"/>
      <c r="AZ250" s="1510"/>
      <c r="BA250" s="1510"/>
      <c r="BB250" s="1510"/>
      <c r="BC250" s="1510"/>
      <c r="BD250" s="848">
        <f t="shared" si="52"/>
        <v>0</v>
      </c>
      <c r="BE250" s="848">
        <f t="shared" si="53"/>
        <v>0</v>
      </c>
      <c r="BF250" s="848">
        <f t="shared" si="54"/>
        <v>0</v>
      </c>
      <c r="BG250" s="848">
        <f t="shared" si="55"/>
        <v>0</v>
      </c>
      <c r="BH250" s="848">
        <f t="shared" si="56"/>
        <v>0</v>
      </c>
      <c r="BI250" s="848">
        <f t="shared" si="57"/>
        <v>0</v>
      </c>
      <c r="BJ250" s="848">
        <f t="shared" si="58"/>
        <v>0</v>
      </c>
      <c r="BK250" s="848">
        <f t="shared" si="59"/>
        <v>0</v>
      </c>
      <c r="BL250" s="848">
        <f t="shared" si="60"/>
        <v>0</v>
      </c>
      <c r="BM250" s="848">
        <f t="shared" si="61"/>
        <v>0</v>
      </c>
      <c r="BN250" s="1522"/>
      <c r="BO250" s="1526" t="str">
        <f ca="1">IF(IFERROR(INDEX('Сбытовые расходы ГО'!$K$26:$M$51,MATCH($F250&amp;"komm",'Сбытовые расходы ГО'!$K$26:$K$51,0),2),"")=0,"",IFERROR(INDEX('Сбытовые расходы ГО'!$K$26:$M$51,MATCH($F250&amp;"komm",'Сбытовые расходы ГО'!$K$26:$K$51,0),2),""))</f>
        <v/>
      </c>
      <c r="BP250" s="1522"/>
      <c r="BQ250" s="1177"/>
      <c r="BR250" s="1177"/>
      <c r="BS250" s="966" t="s">
        <v>1938</v>
      </c>
      <c r="BT250" s="966"/>
      <c r="BU250" s="966"/>
      <c r="BV250" s="881"/>
      <c r="BW250" s="881"/>
    </row>
    <row r="251" spans="1:75" s="1327" customFormat="1" ht="14.25" customHeight="1">
      <c r="A251" s="1177"/>
      <c r="B251" s="880"/>
      <c r="C251" s="1177"/>
      <c r="D251" s="1177"/>
      <c r="E251" s="620">
        <v>15</v>
      </c>
      <c r="F251" s="3" t="str" cm="1">
        <f t="array" aca="1" ref="F251" ca="1">OFFSET(E251,-1,1)</f>
        <v>1</v>
      </c>
      <c r="G251" s="77" t="s">
        <v>1309</v>
      </c>
      <c r="H251" s="1177"/>
      <c r="I251" s="77" t="s">
        <v>1939</v>
      </c>
      <c r="J251" s="1177"/>
      <c r="K251" s="77" t="s">
        <v>1939</v>
      </c>
      <c r="L251" s="882"/>
      <c r="M251" s="26"/>
      <c r="N251" s="1177"/>
      <c r="O251" s="1177"/>
      <c r="P251" s="1177"/>
      <c r="Q251" s="1177"/>
      <c r="R251" s="1177"/>
      <c r="S251" s="1177"/>
      <c r="T251" s="381" t="b" cm="1">
        <f t="array" aca="1" ref="T251" ca="1">T250</f>
        <v>1</v>
      </c>
      <c r="U251" s="1177"/>
      <c r="V251" s="1177"/>
      <c r="W251" s="1177"/>
      <c r="X251" s="1755"/>
      <c r="Y251" s="1177"/>
      <c r="Z251" s="1735"/>
      <c r="AA251" s="1177"/>
      <c r="AB251" s="215" t="s">
        <v>1367</v>
      </c>
      <c r="AC251" s="676" t="s">
        <v>1309</v>
      </c>
      <c r="AD251" s="216" t="s">
        <v>766</v>
      </c>
      <c r="AE251" s="1509"/>
      <c r="AF251" s="1509"/>
      <c r="AG251" s="1509"/>
      <c r="AH251" s="848">
        <f t="shared" si="50"/>
        <v>0</v>
      </c>
      <c r="AI251" s="1510"/>
      <c r="AJ251" s="1510">
        <f ca="1">SUMIFS(Экономия_корр!AE$25:AE$43,Экономия_корр!$F$25:$F$43,$F251,Экономия_корр!$AC$25:$AC$43,"Экономия расходов с учетом ИПЦ")</f>
        <v>0</v>
      </c>
      <c r="AK251" s="1510">
        <f ca="1">SUMIFS(Экономия_корр!AF$25:AF$43,Экономия_корр!$F$25:$F$43,$F251,Экономия_корр!$AC$25:$AC$43,"Экономия расходов с учетом ИПЦ")</f>
        <v>0</v>
      </c>
      <c r="AL251" s="1510">
        <f ca="1">SUMIFS(Экономия_корр!AG$25:AG$43,Экономия_корр!$F$25:$F$43,$F251,Экономия_корр!$AC$25:$AC$43,"Экономия расходов с учетом ИПЦ")</f>
        <v>0</v>
      </c>
      <c r="AM251" s="1510">
        <f ca="1">SUMIFS(Экономия_корр!AH$25:AH$43,Экономия_корр!$F$25:$F$43,$F251,Экономия_корр!$AC$25:$AC$43,"Экономия расходов с учетом ИПЦ")</f>
        <v>0</v>
      </c>
      <c r="AN251" s="1510">
        <f ca="1">SUMIFS(Экономия_корр!AI$25:AI$43,Экономия_корр!$F$25:$F$43,$F251,Экономия_корр!$AC$25:$AC$43,"Экономия расходов с учетом ИПЦ")</f>
        <v>0</v>
      </c>
      <c r="AO251" s="1510">
        <f ca="1">SUMIFS(Экономия_корр!AJ$25:AJ$43,Экономия_корр!$F$25:$F$43,$F251,Экономия_корр!$AC$25:$AC$43,"Экономия расходов с учетом ИПЦ")</f>
        <v>0</v>
      </c>
      <c r="AP251" s="1510">
        <f ca="1">SUMIFS(Экономия_корр!AK$25:AK$43,Экономия_корр!$F$25:$F$43,$F251,Экономия_корр!$AC$25:$AC$43,"Экономия расходов с учетом ИПЦ")</f>
        <v>0</v>
      </c>
      <c r="AQ251" s="1510">
        <f ca="1">SUMIFS(Экономия_корр!AL$25:AL$43,Экономия_корр!$F$25:$F$43,$F251,Экономия_корр!$AC$25:$AC$43,"Экономия расходов с учетом ИПЦ")</f>
        <v>0</v>
      </c>
      <c r="AR251" s="1510">
        <f ca="1">SUMIFS(Экономия_корр!AM$25:AM$43,Экономия_корр!$F$25:$F$43,$F251,Экономия_корр!$AC$25:$AC$43,"Экономия расходов с учетом ИПЦ")</f>
        <v>0</v>
      </c>
      <c r="AS251" s="1510">
        <f ca="1">SUMIFS(Экономия_корр!AN$25:AN$43,Экономия_корр!$F$25:$F$43,$F251,Экономия_корр!$AC$25:$AC$43,"Экономия расходов с учетом ИПЦ")</f>
        <v>0</v>
      </c>
      <c r="AT251" s="1510">
        <f ca="1">SUMIFS(Экономия_корр!AO$25:AO$43,Экономия_корр!$F$25:$F$43,$F251,Экономия_корр!$AC$25:$AC$43,"Экономия расходов с учетом ИПЦ")</f>
        <v>0</v>
      </c>
      <c r="AU251" s="1510">
        <f ca="1">SUMIFS(Экономия_корр!AP$25:AP$43,Экономия_корр!$F$25:$F$43,$F251,Экономия_корр!$AC$25:$AC$43,"Экономия расходов с учетом ИПЦ")</f>
        <v>0</v>
      </c>
      <c r="AV251" s="1510">
        <f ca="1">SUMIFS(Экономия_корр!AQ$25:AQ$43,Экономия_корр!$F$25:$F$43,$F251,Экономия_корр!$AC$25:$AC$43,"Экономия расходов с учетом ИПЦ")</f>
        <v>0</v>
      </c>
      <c r="AW251" s="1510">
        <f ca="1">SUMIFS(Экономия_корр!AR$25:AR$43,Экономия_корр!$F$25:$F$43,$F251,Экономия_корр!$AC$25:$AC$43,"Экономия расходов с учетом ИПЦ")</f>
        <v>0</v>
      </c>
      <c r="AX251" s="1510">
        <f ca="1">SUMIFS(Экономия_корр!AS$25:AS$43,Экономия_корр!$F$25:$F$43,$F251,Экономия_корр!$AC$25:$AC$43,"Экономия расходов с учетом ИПЦ")</f>
        <v>0</v>
      </c>
      <c r="AY251" s="1510">
        <f ca="1">SUMIFS(Экономия_корр!AT$25:AT$43,Экономия_корр!$F$25:$F$43,$F251,Экономия_корр!$AC$25:$AC$43,"Экономия расходов с учетом ИПЦ")</f>
        <v>0</v>
      </c>
      <c r="AZ251" s="1510">
        <f ca="1">SUMIFS(Экономия_корр!AU$25:AU$43,Экономия_корр!$F$25:$F$43,$F251,Экономия_корр!$AC$25:$AC$43,"Экономия расходов с учетом ИПЦ")</f>
        <v>0</v>
      </c>
      <c r="BA251" s="1510">
        <f ca="1">SUMIFS(Экономия_корр!AV$25:AV$43,Экономия_корр!$F$25:$F$43,$F251,Экономия_корр!$AC$25:$AC$43,"Экономия расходов с учетом ИПЦ")</f>
        <v>0</v>
      </c>
      <c r="BB251" s="1510">
        <f ca="1">SUMIFS(Экономия_корр!AW$25:AW$43,Экономия_корр!$F$25:$F$43,$F251,Экономия_корр!$AC$25:$AC$43,"Экономия расходов с учетом ИПЦ")</f>
        <v>0</v>
      </c>
      <c r="BC251" s="1510">
        <f ca="1">SUMIFS(Экономия_корр!AX$25:AX$43,Экономия_корр!$F$25:$F$43,$F251,Экономия_корр!$AC$25:$AC$43,"Экономия расходов с учетом ИПЦ")</f>
        <v>0</v>
      </c>
      <c r="BD251" s="848">
        <f t="shared" si="52"/>
        <v>0</v>
      </c>
      <c r="BE251" s="848">
        <f t="shared" ca="1" si="53"/>
        <v>0</v>
      </c>
      <c r="BF251" s="848">
        <f t="shared" ca="1" si="54"/>
        <v>0</v>
      </c>
      <c r="BG251" s="848">
        <f t="shared" ca="1" si="55"/>
        <v>0</v>
      </c>
      <c r="BH251" s="848">
        <f t="shared" ca="1" si="56"/>
        <v>0</v>
      </c>
      <c r="BI251" s="848">
        <f t="shared" ca="1" si="57"/>
        <v>0</v>
      </c>
      <c r="BJ251" s="848">
        <f t="shared" ca="1" si="58"/>
        <v>0</v>
      </c>
      <c r="BK251" s="848">
        <f t="shared" ca="1" si="59"/>
        <v>0</v>
      </c>
      <c r="BL251" s="848">
        <f t="shared" ca="1" si="60"/>
        <v>0</v>
      </c>
      <c r="BM251" s="848">
        <f t="shared" ca="1" si="61"/>
        <v>0</v>
      </c>
      <c r="BN251" s="1522"/>
      <c r="BO251" s="1522"/>
      <c r="BP251" s="1522"/>
      <c r="BQ251" s="1177"/>
      <c r="BR251" s="1177"/>
      <c r="BS251" s="966" t="s">
        <v>1940</v>
      </c>
      <c r="BT251" s="966"/>
      <c r="BU251" s="966"/>
      <c r="BV251" s="881"/>
      <c r="BW251" s="881"/>
    </row>
    <row r="252" spans="1:75" s="1327" customFormat="1" ht="14.25" customHeight="1">
      <c r="A252" s="1177"/>
      <c r="B252" s="880"/>
      <c r="C252" s="1177"/>
      <c r="D252" s="1177"/>
      <c r="E252" s="620">
        <v>15</v>
      </c>
      <c r="F252" s="3" t="str" cm="1">
        <f t="array" aca="1" ref="F252" ca="1">OFFSET(E252,-1,1)</f>
        <v>1</v>
      </c>
      <c r="G252" s="77" t="s">
        <v>1314</v>
      </c>
      <c r="H252" s="1177"/>
      <c r="I252" s="77" t="s">
        <v>1941</v>
      </c>
      <c r="J252" s="1177"/>
      <c r="K252" s="77" t="s">
        <v>1941</v>
      </c>
      <c r="L252" s="882"/>
      <c r="M252" s="26"/>
      <c r="N252" s="1177"/>
      <c r="O252" s="1177"/>
      <c r="P252" s="1177"/>
      <c r="Q252" s="1177"/>
      <c r="R252" s="1177"/>
      <c r="S252" s="1177"/>
      <c r="T252" s="381" t="b" cm="1">
        <f t="array" aca="1" ref="T252" ca="1">T251</f>
        <v>1</v>
      </c>
      <c r="U252" s="1177"/>
      <c r="V252" s="1177"/>
      <c r="W252" s="1177"/>
      <c r="X252" s="1755"/>
      <c r="Y252" s="1177"/>
      <c r="Z252" s="1735"/>
      <c r="AA252" s="1177"/>
      <c r="AB252" s="215" t="s">
        <v>1942</v>
      </c>
      <c r="AC252" s="676" t="s">
        <v>1314</v>
      </c>
      <c r="AD252" s="216" t="s">
        <v>766</v>
      </c>
      <c r="AE252" s="1509"/>
      <c r="AF252" s="1509"/>
      <c r="AG252" s="1509"/>
      <c r="AH252" s="848">
        <f t="shared" si="50"/>
        <v>0</v>
      </c>
      <c r="AI252" s="1510"/>
      <c r="AJ252" s="1510"/>
      <c r="AK252" s="1510"/>
      <c r="AL252" s="1510"/>
      <c r="AM252" s="1510"/>
      <c r="AN252" s="1510"/>
      <c r="AO252" s="1510"/>
      <c r="AP252" s="1510"/>
      <c r="AQ252" s="1510"/>
      <c r="AR252" s="1510"/>
      <c r="AS252" s="1510"/>
      <c r="AT252" s="1510"/>
      <c r="AU252" s="1510"/>
      <c r="AV252" s="1510"/>
      <c r="AW252" s="1510"/>
      <c r="AX252" s="1510"/>
      <c r="AY252" s="1510"/>
      <c r="AZ252" s="1510"/>
      <c r="BA252" s="1510"/>
      <c r="BB252" s="1510"/>
      <c r="BC252" s="1510"/>
      <c r="BD252" s="848">
        <f t="shared" si="52"/>
        <v>0</v>
      </c>
      <c r="BE252" s="848">
        <f t="shared" si="53"/>
        <v>0</v>
      </c>
      <c r="BF252" s="848">
        <f t="shared" si="54"/>
        <v>0</v>
      </c>
      <c r="BG252" s="848">
        <f t="shared" si="55"/>
        <v>0</v>
      </c>
      <c r="BH252" s="848">
        <f t="shared" si="56"/>
        <v>0</v>
      </c>
      <c r="BI252" s="848">
        <f t="shared" si="57"/>
        <v>0</v>
      </c>
      <c r="BJ252" s="848">
        <f t="shared" si="58"/>
        <v>0</v>
      </c>
      <c r="BK252" s="848">
        <f t="shared" si="59"/>
        <v>0</v>
      </c>
      <c r="BL252" s="848">
        <f t="shared" si="60"/>
        <v>0</v>
      </c>
      <c r="BM252" s="848">
        <f t="shared" si="61"/>
        <v>0</v>
      </c>
      <c r="BN252" s="1522"/>
      <c r="BO252" s="1522"/>
      <c r="BP252" s="1522"/>
      <c r="BQ252" s="1177"/>
      <c r="BR252" s="1177"/>
      <c r="BS252" s="966" t="s">
        <v>1664</v>
      </c>
      <c r="BT252" s="966"/>
      <c r="BU252" s="966"/>
      <c r="BV252" s="881"/>
      <c r="BW252" s="881"/>
    </row>
    <row r="253" spans="1:75" s="1327" customFormat="1" ht="14.25" customHeight="1">
      <c r="A253" s="1177"/>
      <c r="B253" s="880"/>
      <c r="C253" s="1177"/>
      <c r="D253" s="1177"/>
      <c r="E253" s="620">
        <v>15</v>
      </c>
      <c r="F253" s="3" t="str" cm="1">
        <f t="array" aca="1" ref="F253" ca="1">OFFSET(E253,-1,1)</f>
        <v>1</v>
      </c>
      <c r="G253" s="77" t="s">
        <v>1319</v>
      </c>
      <c r="H253" s="1177"/>
      <c r="I253" s="77" t="s">
        <v>1943</v>
      </c>
      <c r="J253" s="1177"/>
      <c r="K253" s="77" t="s">
        <v>1943</v>
      </c>
      <c r="L253" s="882"/>
      <c r="M253" s="26"/>
      <c r="N253" s="1177"/>
      <c r="O253" s="1177"/>
      <c r="P253" s="1177"/>
      <c r="Q253" s="1177"/>
      <c r="R253" s="1177"/>
      <c r="S253" s="1177"/>
      <c r="T253" s="381" t="b" cm="1">
        <f t="array" aca="1" ref="T253" ca="1">T252</f>
        <v>1</v>
      </c>
      <c r="U253" s="1177"/>
      <c r="V253" s="1177"/>
      <c r="W253" s="1177"/>
      <c r="X253" s="1755"/>
      <c r="Y253" s="1177"/>
      <c r="Z253" s="1735"/>
      <c r="AA253" s="1177"/>
      <c r="AB253" s="215" t="s">
        <v>1386</v>
      </c>
      <c r="AC253" s="676" t="s">
        <v>1319</v>
      </c>
      <c r="AD253" s="216" t="s">
        <v>766</v>
      </c>
      <c r="AE253" s="1509"/>
      <c r="AF253" s="1509"/>
      <c r="AG253" s="1509"/>
      <c r="AH253" s="848">
        <f t="shared" si="50"/>
        <v>0</v>
      </c>
      <c r="AI253" s="1510"/>
      <c r="AJ253" s="1510"/>
      <c r="AK253" s="1510"/>
      <c r="AL253" s="1510"/>
      <c r="AM253" s="1510"/>
      <c r="AN253" s="1510"/>
      <c r="AO253" s="1510"/>
      <c r="AP253" s="1510"/>
      <c r="AQ253" s="1510"/>
      <c r="AR253" s="1510"/>
      <c r="AS253" s="1510"/>
      <c r="AT253" s="1510"/>
      <c r="AU253" s="1510"/>
      <c r="AV253" s="1510"/>
      <c r="AW253" s="1510"/>
      <c r="AX253" s="1510"/>
      <c r="AY253" s="1510"/>
      <c r="AZ253" s="1510"/>
      <c r="BA253" s="1510"/>
      <c r="BB253" s="1510"/>
      <c r="BC253" s="1510"/>
      <c r="BD253" s="848">
        <f t="shared" si="52"/>
        <v>0</v>
      </c>
      <c r="BE253" s="848">
        <f t="shared" si="53"/>
        <v>0</v>
      </c>
      <c r="BF253" s="848">
        <f t="shared" si="54"/>
        <v>0</v>
      </c>
      <c r="BG253" s="848">
        <f t="shared" si="55"/>
        <v>0</v>
      </c>
      <c r="BH253" s="848">
        <f t="shared" si="56"/>
        <v>0</v>
      </c>
      <c r="BI253" s="848">
        <f t="shared" si="57"/>
        <v>0</v>
      </c>
      <c r="BJ253" s="848">
        <f t="shared" si="58"/>
        <v>0</v>
      </c>
      <c r="BK253" s="848">
        <f t="shared" si="59"/>
        <v>0</v>
      </c>
      <c r="BL253" s="848">
        <f t="shared" si="60"/>
        <v>0</v>
      </c>
      <c r="BM253" s="848">
        <f t="shared" si="61"/>
        <v>0</v>
      </c>
      <c r="BN253" s="1522"/>
      <c r="BO253" s="1522"/>
      <c r="BP253" s="1522"/>
      <c r="BQ253" s="1177"/>
      <c r="BR253" s="1177"/>
      <c r="BS253" s="966" t="s">
        <v>1944</v>
      </c>
      <c r="BT253" s="966"/>
      <c r="BU253" s="966"/>
      <c r="BV253" s="881"/>
      <c r="BW253" s="881"/>
    </row>
    <row r="254" spans="1:75" s="1327" customFormat="1" ht="14.25" customHeight="1">
      <c r="A254" s="1177"/>
      <c r="B254" s="880"/>
      <c r="C254" s="1177"/>
      <c r="D254" s="1177"/>
      <c r="E254" s="620">
        <v>15</v>
      </c>
      <c r="F254" s="3" t="str" cm="1">
        <f t="array" aca="1" ref="F254" ca="1">OFFSET(E254,-1,1)</f>
        <v>1</v>
      </c>
      <c r="G254" s="77" t="s">
        <v>1324</v>
      </c>
      <c r="H254" s="1177"/>
      <c r="I254" s="77" t="s">
        <v>1945</v>
      </c>
      <c r="J254" s="1177"/>
      <c r="K254" s="77" t="s">
        <v>1945</v>
      </c>
      <c r="L254" s="882"/>
      <c r="M254" s="26"/>
      <c r="N254" s="1177"/>
      <c r="O254" s="1177"/>
      <c r="P254" s="1177"/>
      <c r="Q254" s="1177"/>
      <c r="R254" s="1177"/>
      <c r="S254" s="1177"/>
      <c r="T254" s="381" t="b" cm="1">
        <f t="array" aca="1" ref="T254" ca="1">T253</f>
        <v>1</v>
      </c>
      <c r="U254" s="1177"/>
      <c r="V254" s="1177"/>
      <c r="W254" s="1177"/>
      <c r="X254" s="1755"/>
      <c r="Y254" s="1177"/>
      <c r="Z254" s="1735"/>
      <c r="AA254" s="1177"/>
      <c r="AB254" s="215" t="s">
        <v>1390</v>
      </c>
      <c r="AC254" s="676" t="s">
        <v>1324</v>
      </c>
      <c r="AD254" s="216" t="s">
        <v>766</v>
      </c>
      <c r="AE254" s="265">
        <f>SUM(AE255,AE256)</f>
        <v>0</v>
      </c>
      <c r="AF254" s="175">
        <f>SUM(AF255,AF256)</f>
        <v>0</v>
      </c>
      <c r="AG254" s="175">
        <f>SUM(AG255,AG256)</f>
        <v>0</v>
      </c>
      <c r="AH254" s="848">
        <f t="shared" si="50"/>
        <v>0</v>
      </c>
      <c r="AI254" s="848">
        <f t="shared" ref="AI254:BC254" si="64">SUM(AI255,AI256)</f>
        <v>0</v>
      </c>
      <c r="AJ254" s="849">
        <f t="shared" si="64"/>
        <v>0</v>
      </c>
      <c r="AK254" s="848">
        <f t="shared" si="64"/>
        <v>0</v>
      </c>
      <c r="AL254" s="848">
        <f t="shared" si="64"/>
        <v>0</v>
      </c>
      <c r="AM254" s="848">
        <f t="shared" si="64"/>
        <v>0</v>
      </c>
      <c r="AN254" s="848">
        <f t="shared" si="64"/>
        <v>0</v>
      </c>
      <c r="AO254" s="848">
        <f t="shared" si="64"/>
        <v>0</v>
      </c>
      <c r="AP254" s="848">
        <f t="shared" si="64"/>
        <v>0</v>
      </c>
      <c r="AQ254" s="848">
        <f t="shared" si="64"/>
        <v>0</v>
      </c>
      <c r="AR254" s="848">
        <f t="shared" si="64"/>
        <v>0</v>
      </c>
      <c r="AS254" s="848">
        <f t="shared" si="64"/>
        <v>0</v>
      </c>
      <c r="AT254" s="849">
        <f t="shared" si="64"/>
        <v>0</v>
      </c>
      <c r="AU254" s="848">
        <f t="shared" si="64"/>
        <v>0</v>
      </c>
      <c r="AV254" s="848">
        <f t="shared" si="64"/>
        <v>0</v>
      </c>
      <c r="AW254" s="848">
        <f t="shared" si="64"/>
        <v>0</v>
      </c>
      <c r="AX254" s="848">
        <f t="shared" si="64"/>
        <v>0</v>
      </c>
      <c r="AY254" s="848">
        <f t="shared" si="64"/>
        <v>0</v>
      </c>
      <c r="AZ254" s="848">
        <f t="shared" si="64"/>
        <v>0</v>
      </c>
      <c r="BA254" s="848">
        <f t="shared" si="64"/>
        <v>0</v>
      </c>
      <c r="BB254" s="848">
        <f t="shared" si="64"/>
        <v>0</v>
      </c>
      <c r="BC254" s="848">
        <f t="shared" si="64"/>
        <v>0</v>
      </c>
      <c r="BD254" s="848">
        <f t="shared" si="52"/>
        <v>0</v>
      </c>
      <c r="BE254" s="848">
        <f t="shared" si="53"/>
        <v>0</v>
      </c>
      <c r="BF254" s="848">
        <f t="shared" si="54"/>
        <v>0</v>
      </c>
      <c r="BG254" s="848">
        <f t="shared" si="55"/>
        <v>0</v>
      </c>
      <c r="BH254" s="848">
        <f t="shared" si="56"/>
        <v>0</v>
      </c>
      <c r="BI254" s="848">
        <f t="shared" si="57"/>
        <v>0</v>
      </c>
      <c r="BJ254" s="848">
        <f t="shared" si="58"/>
        <v>0</v>
      </c>
      <c r="BK254" s="848">
        <f t="shared" si="59"/>
        <v>0</v>
      </c>
      <c r="BL254" s="848">
        <f t="shared" si="60"/>
        <v>0</v>
      </c>
      <c r="BM254" s="848">
        <f t="shared" si="61"/>
        <v>0</v>
      </c>
      <c r="BN254" s="1522"/>
      <c r="BO254" s="1522"/>
      <c r="BP254" s="1522"/>
      <c r="BQ254" s="1177"/>
      <c r="BR254" s="1177"/>
      <c r="BS254" s="966" t="s">
        <v>1946</v>
      </c>
      <c r="BT254" s="966"/>
      <c r="BU254" s="966"/>
      <c r="BV254" s="881"/>
      <c r="BW254" s="881"/>
    </row>
    <row r="255" spans="1:75" s="1327" customFormat="1" ht="14.25" customHeight="1">
      <c r="A255" s="1177"/>
      <c r="B255" s="880"/>
      <c r="C255" s="1177"/>
      <c r="D255" s="1177"/>
      <c r="E255" s="620">
        <v>15</v>
      </c>
      <c r="F255" s="3" t="str" cm="1">
        <f t="array" aca="1" ref="F255" ca="1">OFFSET(E255,-1,1)</f>
        <v>1</v>
      </c>
      <c r="G255" s="1177"/>
      <c r="H255" s="1177"/>
      <c r="I255" s="77" t="s">
        <v>1947</v>
      </c>
      <c r="J255" s="1177"/>
      <c r="K255" s="77" t="s">
        <v>1947</v>
      </c>
      <c r="L255" s="882"/>
      <c r="M255" s="26"/>
      <c r="N255" s="1177"/>
      <c r="O255" s="1177"/>
      <c r="P255" s="1177"/>
      <c r="Q255" s="1177"/>
      <c r="R255" s="1177"/>
      <c r="S255" s="1177"/>
      <c r="T255" s="381" t="b" cm="1">
        <f t="array" aca="1" ref="T255" ca="1">T254</f>
        <v>1</v>
      </c>
      <c r="U255" s="1177"/>
      <c r="V255" s="1177"/>
      <c r="W255" s="1177"/>
      <c r="X255" s="1755"/>
      <c r="Y255" s="1177"/>
      <c r="Z255" s="1735"/>
      <c r="AA255" s="1177"/>
      <c r="AB255" s="215" t="s">
        <v>1948</v>
      </c>
      <c r="AC255" s="679" t="s">
        <v>1949</v>
      </c>
      <c r="AD255" s="216" t="s">
        <v>766</v>
      </c>
      <c r="AE255" s="1509"/>
      <c r="AF255" s="1509"/>
      <c r="AG255" s="1509"/>
      <c r="AH255" s="848">
        <f t="shared" si="50"/>
        <v>0</v>
      </c>
      <c r="AI255" s="1510"/>
      <c r="AJ255" s="1510"/>
      <c r="AK255" s="1510"/>
      <c r="AL255" s="1510"/>
      <c r="AM255" s="1510"/>
      <c r="AN255" s="1510"/>
      <c r="AO255" s="1510"/>
      <c r="AP255" s="1510"/>
      <c r="AQ255" s="1510"/>
      <c r="AR255" s="1510"/>
      <c r="AS255" s="1510"/>
      <c r="AT255" s="1510"/>
      <c r="AU255" s="1510"/>
      <c r="AV255" s="1510"/>
      <c r="AW255" s="1510"/>
      <c r="AX255" s="1510"/>
      <c r="AY255" s="1510"/>
      <c r="AZ255" s="1510"/>
      <c r="BA255" s="1510"/>
      <c r="BB255" s="1510"/>
      <c r="BC255" s="1510"/>
      <c r="BD255" s="848">
        <f t="shared" si="52"/>
        <v>0</v>
      </c>
      <c r="BE255" s="848">
        <f t="shared" si="53"/>
        <v>0</v>
      </c>
      <c r="BF255" s="848">
        <f t="shared" si="54"/>
        <v>0</v>
      </c>
      <c r="BG255" s="848">
        <f t="shared" si="55"/>
        <v>0</v>
      </c>
      <c r="BH255" s="848">
        <f t="shared" si="56"/>
        <v>0</v>
      </c>
      <c r="BI255" s="848">
        <f t="shared" si="57"/>
        <v>0</v>
      </c>
      <c r="BJ255" s="848">
        <f t="shared" si="58"/>
        <v>0</v>
      </c>
      <c r="BK255" s="848">
        <f t="shared" si="59"/>
        <v>0</v>
      </c>
      <c r="BL255" s="848">
        <f t="shared" si="60"/>
        <v>0</v>
      </c>
      <c r="BM255" s="848">
        <f t="shared" si="61"/>
        <v>0</v>
      </c>
      <c r="BN255" s="1522"/>
      <c r="BO255" s="1522"/>
      <c r="BP255" s="1522"/>
      <c r="BQ255" s="1177"/>
      <c r="BR255" s="1177"/>
      <c r="BS255" s="966" t="s">
        <v>1117</v>
      </c>
      <c r="BT255" s="966"/>
      <c r="BU255" s="966"/>
      <c r="BV255" s="881"/>
      <c r="BW255" s="881"/>
    </row>
    <row r="256" spans="1:75" s="1327" customFormat="1" ht="14.25" customHeight="1">
      <c r="A256" s="1177"/>
      <c r="B256" s="880"/>
      <c r="C256" s="1177"/>
      <c r="D256" s="1177"/>
      <c r="E256" s="620">
        <v>15</v>
      </c>
      <c r="F256" s="3" t="str" cm="1">
        <f t="array" aca="1" ref="F256" ca="1">OFFSET(E256,-1,1)</f>
        <v>1</v>
      </c>
      <c r="G256" s="1177"/>
      <c r="H256" s="1177"/>
      <c r="I256" s="77" t="s">
        <v>1950</v>
      </c>
      <c r="J256" s="1177"/>
      <c r="K256" s="77" t="s">
        <v>1950</v>
      </c>
      <c r="L256" s="882" t="s">
        <v>833</v>
      </c>
      <c r="M256" s="26"/>
      <c r="N256" s="1177"/>
      <c r="O256" s="1177"/>
      <c r="P256" s="1177"/>
      <c r="Q256" s="1177"/>
      <c r="R256" s="1177"/>
      <c r="S256" s="1177"/>
      <c r="T256" s="381" t="b" cm="1">
        <f t="array" aca="1" ref="T256" ca="1">T255</f>
        <v>1</v>
      </c>
      <c r="U256" s="1177"/>
      <c r="V256" s="1177"/>
      <c r="W256" s="1177"/>
      <c r="X256" s="1755"/>
      <c r="Y256" s="1177"/>
      <c r="Z256" s="1735"/>
      <c r="AA256" s="1177"/>
      <c r="AB256" s="215" t="s">
        <v>1951</v>
      </c>
      <c r="AC256" s="679" t="s">
        <v>1952</v>
      </c>
      <c r="AD256" s="216" t="s">
        <v>766</v>
      </c>
      <c r="AE256" s="1509"/>
      <c r="AF256" s="1509"/>
      <c r="AG256" s="1509"/>
      <c r="AH256" s="848">
        <f t="shared" si="50"/>
        <v>0</v>
      </c>
      <c r="AI256" s="1510"/>
      <c r="AJ256" s="1510"/>
      <c r="AK256" s="1510"/>
      <c r="AL256" s="1510"/>
      <c r="AM256" s="1510"/>
      <c r="AN256" s="1510"/>
      <c r="AO256" s="1510"/>
      <c r="AP256" s="1510"/>
      <c r="AQ256" s="1510"/>
      <c r="AR256" s="1510"/>
      <c r="AS256" s="1510"/>
      <c r="AT256" s="1510"/>
      <c r="AU256" s="1510"/>
      <c r="AV256" s="1510"/>
      <c r="AW256" s="1510"/>
      <c r="AX256" s="1510"/>
      <c r="AY256" s="1510"/>
      <c r="AZ256" s="1510"/>
      <c r="BA256" s="1510"/>
      <c r="BB256" s="1510"/>
      <c r="BC256" s="1510"/>
      <c r="BD256" s="848">
        <f t="shared" si="52"/>
        <v>0</v>
      </c>
      <c r="BE256" s="848">
        <f t="shared" si="53"/>
        <v>0</v>
      </c>
      <c r="BF256" s="848">
        <f t="shared" si="54"/>
        <v>0</v>
      </c>
      <c r="BG256" s="848">
        <f t="shared" si="55"/>
        <v>0</v>
      </c>
      <c r="BH256" s="848">
        <f t="shared" si="56"/>
        <v>0</v>
      </c>
      <c r="BI256" s="848">
        <f t="shared" si="57"/>
        <v>0</v>
      </c>
      <c r="BJ256" s="848">
        <f t="shared" si="58"/>
        <v>0</v>
      </c>
      <c r="BK256" s="848">
        <f t="shared" si="59"/>
        <v>0</v>
      </c>
      <c r="BL256" s="848">
        <f t="shared" si="60"/>
        <v>0</v>
      </c>
      <c r="BM256" s="848">
        <f t="shared" si="61"/>
        <v>0</v>
      </c>
      <c r="BN256" s="1522"/>
      <c r="BO256" s="1522"/>
      <c r="BP256" s="1522"/>
      <c r="BQ256" s="1177"/>
      <c r="BR256" s="1177"/>
      <c r="BS256" s="966" t="s">
        <v>1953</v>
      </c>
      <c r="BT256" s="966"/>
      <c r="BU256" s="966"/>
      <c r="BV256" s="881"/>
      <c r="BW256" s="881"/>
    </row>
    <row r="257" spans="1:75" s="1327" customFormat="1" ht="21.75" customHeight="1">
      <c r="A257" s="1177"/>
      <c r="B257" s="880"/>
      <c r="C257" s="1177"/>
      <c r="D257" s="1177"/>
      <c r="E257" s="620">
        <v>22.5</v>
      </c>
      <c r="F257" s="3" t="str" cm="1">
        <f t="array" aca="1" ref="F257" ca="1">OFFSET(E257,-1,1)</f>
        <v>1</v>
      </c>
      <c r="G257" s="77" t="s">
        <v>1329</v>
      </c>
      <c r="H257" s="1177"/>
      <c r="I257" s="77" t="s">
        <v>1954</v>
      </c>
      <c r="J257" s="1177"/>
      <c r="K257" s="77" t="s">
        <v>1954</v>
      </c>
      <c r="L257" s="882"/>
      <c r="M257" s="26"/>
      <c r="N257" s="1177"/>
      <c r="O257" s="1177"/>
      <c r="P257" s="1177"/>
      <c r="Q257" s="1177"/>
      <c r="R257" s="1177"/>
      <c r="S257" s="1177"/>
      <c r="T257" s="381" t="b" cm="1">
        <f t="array" aca="1" ref="T257" ca="1">T256</f>
        <v>1</v>
      </c>
      <c r="U257" s="1177"/>
      <c r="V257" s="1177"/>
      <c r="W257" s="1177"/>
      <c r="X257" s="1755"/>
      <c r="Y257" s="1177"/>
      <c r="Z257" s="1735"/>
      <c r="AA257" s="1177"/>
      <c r="AB257" s="215" t="s">
        <v>1393</v>
      </c>
      <c r="AC257" s="676" t="s">
        <v>1955</v>
      </c>
      <c r="AD257" s="216" t="s">
        <v>766</v>
      </c>
      <c r="AE257" s="1509"/>
      <c r="AF257" s="1509"/>
      <c r="AG257" s="1509"/>
      <c r="AH257" s="848">
        <f t="shared" si="50"/>
        <v>0</v>
      </c>
      <c r="AI257" s="1510"/>
      <c r="AJ257" s="1510"/>
      <c r="AK257" s="1510"/>
      <c r="AL257" s="1510"/>
      <c r="AM257" s="1510"/>
      <c r="AN257" s="1510"/>
      <c r="AO257" s="1510"/>
      <c r="AP257" s="1510"/>
      <c r="AQ257" s="1510"/>
      <c r="AR257" s="1510"/>
      <c r="AS257" s="1510"/>
      <c r="AT257" s="1510"/>
      <c r="AU257" s="1510"/>
      <c r="AV257" s="1510"/>
      <c r="AW257" s="1510"/>
      <c r="AX257" s="1510"/>
      <c r="AY257" s="1510"/>
      <c r="AZ257" s="1510"/>
      <c r="BA257" s="1510"/>
      <c r="BB257" s="1510"/>
      <c r="BC257" s="1510"/>
      <c r="BD257" s="848">
        <f t="shared" si="52"/>
        <v>0</v>
      </c>
      <c r="BE257" s="848">
        <f t="shared" si="53"/>
        <v>0</v>
      </c>
      <c r="BF257" s="848">
        <f t="shared" si="54"/>
        <v>0</v>
      </c>
      <c r="BG257" s="848">
        <f t="shared" si="55"/>
        <v>0</v>
      </c>
      <c r="BH257" s="848">
        <f t="shared" si="56"/>
        <v>0</v>
      </c>
      <c r="BI257" s="848">
        <f t="shared" si="57"/>
        <v>0</v>
      </c>
      <c r="BJ257" s="848">
        <f t="shared" si="58"/>
        <v>0</v>
      </c>
      <c r="BK257" s="848">
        <f t="shared" si="59"/>
        <v>0</v>
      </c>
      <c r="BL257" s="848">
        <f t="shared" si="60"/>
        <v>0</v>
      </c>
      <c r="BM257" s="848">
        <f t="shared" si="61"/>
        <v>0</v>
      </c>
      <c r="BN257" s="1522"/>
      <c r="BO257" s="1522"/>
      <c r="BP257" s="1522"/>
      <c r="BQ257" s="1177"/>
      <c r="BR257" s="1177"/>
      <c r="BS257" s="966" t="s">
        <v>1956</v>
      </c>
      <c r="BT257" s="966"/>
      <c r="BU257" s="966"/>
      <c r="BV257" s="881"/>
      <c r="BW257" s="881"/>
    </row>
    <row r="258" spans="1:75" s="1527" customFormat="1" ht="20.25" customHeight="1">
      <c r="A258" s="617"/>
      <c r="B258" s="352"/>
      <c r="C258" s="617"/>
      <c r="D258" s="617"/>
      <c r="E258" s="624">
        <v>21</v>
      </c>
      <c r="F258" s="3" t="str" cm="1">
        <f t="array" aca="1" ref="F258" ca="1">OFFSET(E258,-1,1)</f>
        <v>1</v>
      </c>
      <c r="G258" s="77" t="s">
        <v>1957</v>
      </c>
      <c r="H258" s="77"/>
      <c r="I258" s="77" t="s">
        <v>325</v>
      </c>
      <c r="J258" s="617"/>
      <c r="K258" s="77" t="s">
        <v>325</v>
      </c>
      <c r="L258" s="887" t="s">
        <v>1186</v>
      </c>
      <c r="M258" s="28"/>
      <c r="N258" s="617"/>
      <c r="O258" s="617"/>
      <c r="P258" s="617"/>
      <c r="Q258" s="617"/>
      <c r="R258" s="617"/>
      <c r="S258" s="617"/>
      <c r="T258" s="381" t="b" cm="1">
        <f t="array" aca="1" ref="T258" ca="1">T257</f>
        <v>1</v>
      </c>
      <c r="U258" s="617"/>
      <c r="V258" s="617"/>
      <c r="W258" s="617"/>
      <c r="X258" s="1755"/>
      <c r="Y258" s="617"/>
      <c r="Z258" s="1735"/>
      <c r="AA258" s="617"/>
      <c r="AB258" s="136" t="s">
        <v>321</v>
      </c>
      <c r="AC258" s="130" t="s">
        <v>1958</v>
      </c>
      <c r="AD258" s="129" t="s">
        <v>766</v>
      </c>
      <c r="AE258" s="692">
        <f ca="1">SUMIFS(ЭЭ!AE$25:AE$67,ЭЭ!$F$25:$F$67,$F258,ЭЭ!$AC$25:$AC$67,"Всего по тарифу")</f>
        <v>0</v>
      </c>
      <c r="AF258" s="692">
        <f ca="1">SUMIFS(ЭЭ!AF$25:AF$67,ЭЭ!$F$25:$F$67,$F258,ЭЭ!$AC$25:$AC$67,"Всего по тарифу")</f>
        <v>0</v>
      </c>
      <c r="AG258" s="692">
        <f ca="1">SUMIFS(ЭЭ!AG$25:AG$67,ЭЭ!$F$25:$F$67,$F258,ЭЭ!$AC$25:$AC$67,"Всего по тарифу")</f>
        <v>0</v>
      </c>
      <c r="AH258" s="675">
        <f t="shared" ca="1" si="50"/>
        <v>0</v>
      </c>
      <c r="AI258" s="675">
        <f ca="1">SUMIFS(ЭЭ!AH$25:AH$67,ЭЭ!$F$25:$F$67,$F258,ЭЭ!$AC$25:$AC$67,"Всего по тарифу")</f>
        <v>0</v>
      </c>
      <c r="AJ258" s="675">
        <f ca="1">SUMIFS(ЭЭ!AI$25:AI$67,ЭЭ!$F$25:$F$67,$F258,ЭЭ!$AC$25:$AC$67,"Всего по тарифу")</f>
        <v>0</v>
      </c>
      <c r="AK258" s="675">
        <f ca="1">SUMIFS(ЭЭ!AJ$25:AJ$67,ЭЭ!$F$25:$F$67,$F258,ЭЭ!$AC$25:$AC$67,"Всего по тарифу")</f>
        <v>0</v>
      </c>
      <c r="AL258" s="675">
        <f ca="1">SUMIFS(ЭЭ!AK$25:AK$67,ЭЭ!$F$25:$F$67,$F258,ЭЭ!$AC$25:$AC$67,"Всего по тарифу")</f>
        <v>0</v>
      </c>
      <c r="AM258" s="675">
        <f ca="1">SUMIFS(ЭЭ!AL$25:AL$67,ЭЭ!$F$25:$F$67,$F258,ЭЭ!$AC$25:$AC$67,"Всего по тарифу")</f>
        <v>0</v>
      </c>
      <c r="AN258" s="675">
        <f ca="1">SUMIFS(ЭЭ!AM$25:AM$67,ЭЭ!$F$25:$F$67,$F258,ЭЭ!$AC$25:$AC$67,"Всего по тарифу")</f>
        <v>0</v>
      </c>
      <c r="AO258" s="675">
        <f ca="1">SUMIFS(ЭЭ!AN$25:AN$67,ЭЭ!$F$25:$F$67,$F258,ЭЭ!$AC$25:$AC$67,"Всего по тарифу")</f>
        <v>0</v>
      </c>
      <c r="AP258" s="675">
        <f ca="1">SUMIFS(ЭЭ!AO$25:AO$67,ЭЭ!$F$25:$F$67,$F258,ЭЭ!$AC$25:$AC$67,"Всего по тарифу")</f>
        <v>0</v>
      </c>
      <c r="AQ258" s="675">
        <f ca="1">SUMIFS(ЭЭ!AP$25:AP$67,ЭЭ!$F$25:$F$67,$F258,ЭЭ!$AC$25:$AC$67,"Всего по тарифу")</f>
        <v>0</v>
      </c>
      <c r="AR258" s="675">
        <f ca="1">SUMIFS(ЭЭ!AQ$25:AQ$67,ЭЭ!$F$25:$F$67,$F258,ЭЭ!$AC$25:$AC$67,"Всего по тарифу")</f>
        <v>0</v>
      </c>
      <c r="AS258" s="675">
        <f ca="1">SUMIFS(ЭЭ!AR$25:AR$67,ЭЭ!$F$25:$F$67,$F258,ЭЭ!$AC$25:$AC$67,"Всего по тарифу")</f>
        <v>0</v>
      </c>
      <c r="AT258" s="675">
        <f ca="1">SUMIFS(ЭЭ!AS$25:AS$67,ЭЭ!$F$25:$F$67,$F258,ЭЭ!$AC$25:$AC$67,"Всего по тарифу")</f>
        <v>0</v>
      </c>
      <c r="AU258" s="675">
        <f ca="1">SUMIFS(ЭЭ!AT$25:AT$67,ЭЭ!$F$25:$F$67,$F258,ЭЭ!$AC$25:$AC$67,"Всего по тарифу")</f>
        <v>0</v>
      </c>
      <c r="AV258" s="675">
        <f ca="1">SUMIFS(ЭЭ!AU$25:AU$67,ЭЭ!$F$25:$F$67,$F258,ЭЭ!$AC$25:$AC$67,"Всего по тарифу")</f>
        <v>0</v>
      </c>
      <c r="AW258" s="675">
        <f ca="1">SUMIFS(ЭЭ!AV$25:AV$67,ЭЭ!$F$25:$F$67,$F258,ЭЭ!$AC$25:$AC$67,"Всего по тарифу")</f>
        <v>0</v>
      </c>
      <c r="AX258" s="675">
        <f ca="1">SUMIFS(ЭЭ!AW$25:AW$67,ЭЭ!$F$25:$F$67,$F258,ЭЭ!$AC$25:$AC$67,"Всего по тарифу")</f>
        <v>0</v>
      </c>
      <c r="AY258" s="675">
        <f ca="1">SUMIFS(ЭЭ!AX$25:AX$67,ЭЭ!$F$25:$F$67,$F258,ЭЭ!$AC$25:$AC$67,"Всего по тарифу")</f>
        <v>0</v>
      </c>
      <c r="AZ258" s="675">
        <f ca="1">SUMIFS(ЭЭ!AY$25:AY$67,ЭЭ!$F$25:$F$67,$F258,ЭЭ!$AC$25:$AC$67,"Всего по тарифу")</f>
        <v>0</v>
      </c>
      <c r="BA258" s="675">
        <f ca="1">SUMIFS(ЭЭ!AZ$25:AZ$67,ЭЭ!$F$25:$F$67,$F258,ЭЭ!$AC$25:$AC$67,"Всего по тарифу")</f>
        <v>0</v>
      </c>
      <c r="BB258" s="675">
        <f ca="1">SUMIFS(ЭЭ!BA$25:BA$67,ЭЭ!$F$25:$F$67,$F258,ЭЭ!$AC$25:$AC$67,"Всего по тарифу")</f>
        <v>0</v>
      </c>
      <c r="BC258" s="675">
        <f ca="1">SUMIFS(ЭЭ!BB$25:BB$67,ЭЭ!$F$25:$F$67,$F258,ЭЭ!$AC$25:$AC$67,"Всего по тарифу")</f>
        <v>0</v>
      </c>
      <c r="BD258" s="675">
        <f t="shared" ca="1" si="52"/>
        <v>0</v>
      </c>
      <c r="BE258" s="675">
        <f t="shared" ca="1" si="53"/>
        <v>0</v>
      </c>
      <c r="BF258" s="675">
        <f t="shared" ca="1" si="54"/>
        <v>0</v>
      </c>
      <c r="BG258" s="675">
        <f t="shared" ca="1" si="55"/>
        <v>0</v>
      </c>
      <c r="BH258" s="675">
        <f t="shared" ca="1" si="56"/>
        <v>0</v>
      </c>
      <c r="BI258" s="675">
        <f t="shared" ca="1" si="57"/>
        <v>0</v>
      </c>
      <c r="BJ258" s="675">
        <f t="shared" ca="1" si="58"/>
        <v>0</v>
      </c>
      <c r="BK258" s="675">
        <f t="shared" ca="1" si="59"/>
        <v>0</v>
      </c>
      <c r="BL258" s="675">
        <f t="shared" ca="1" si="60"/>
        <v>0</v>
      </c>
      <c r="BM258" s="675">
        <f t="shared" ca="1" si="61"/>
        <v>0</v>
      </c>
      <c r="BN258" s="1522"/>
      <c r="BO258" s="1526" t="str">
        <f ca="1">IF(IFERROR(INDEX(ЭЭ!$K$26:$L$67,MATCH($F258&amp;"komm",ЭЭ!$K$26:$K$67,0),2),"")=0,"",IFERROR(INDEX(ЭЭ!$K$26:$L$67,MATCH($F258&amp;"komm",ЭЭ!$K$26:$K$67,0),2),""))</f>
        <v/>
      </c>
      <c r="BP258" s="1522"/>
      <c r="BQ258" s="617"/>
      <c r="BR258" s="617"/>
      <c r="BS258" s="972" t="s">
        <v>1558</v>
      </c>
      <c r="BT258" s="972"/>
      <c r="BU258" s="972"/>
      <c r="BV258" s="624"/>
      <c r="BW258" s="624"/>
    </row>
    <row r="259" spans="1:75" s="1528" customFormat="1" ht="21.75" hidden="1" customHeight="1">
      <c r="A259" s="617"/>
      <c r="B259" s="81" t="b">
        <f>method_reg="Метод индексации"</f>
        <v>0</v>
      </c>
      <c r="C259" s="617"/>
      <c r="D259" s="617"/>
      <c r="E259" s="624">
        <v>22.5</v>
      </c>
      <c r="F259" s="3" t="str" cm="1">
        <f t="array" aca="1" ref="F259" ca="1">OFFSET(E259,-1,1)</f>
        <v>1</v>
      </c>
      <c r="G259" s="77" t="s">
        <v>1351</v>
      </c>
      <c r="H259" s="77"/>
      <c r="I259" s="77" t="s">
        <v>327</v>
      </c>
      <c r="J259" s="617"/>
      <c r="K259" s="77" t="s">
        <v>327</v>
      </c>
      <c r="L259" s="887" t="s">
        <v>326</v>
      </c>
      <c r="M259" s="28"/>
      <c r="N259" s="617"/>
      <c r="O259" s="617"/>
      <c r="P259" s="617"/>
      <c r="Q259" s="617"/>
      <c r="R259" s="617"/>
      <c r="S259" s="617"/>
      <c r="T259" s="381" t="b" cm="1">
        <f t="array" aca="1" ref="T259" ca="1">T258</f>
        <v>1</v>
      </c>
      <c r="U259" s="617"/>
      <c r="V259" s="617"/>
      <c r="W259" s="617"/>
      <c r="X259" s="1755"/>
      <c r="Y259" s="617"/>
      <c r="Z259" s="1735"/>
      <c r="AA259" s="617"/>
      <c r="AB259" s="136" t="s">
        <v>523</v>
      </c>
      <c r="AC259" s="130" t="s">
        <v>1959</v>
      </c>
      <c r="AD259" s="129" t="s">
        <v>766</v>
      </c>
      <c r="AE259" s="692">
        <f ca="1">SUMIFS(Амортизация!AE$25:AE$125,Амортизация!$F$25:$F$125,$F259,Амортизация!$AC$25:$AC$125,"Сумма амортизационных отчислений")</f>
        <v>0</v>
      </c>
      <c r="AF259" s="692">
        <f ca="1">SUMIFS(Амортизация!AF$25:AF$125,Амортизация!$F$25:$F$125,$F259,Амортизация!$AC$25:$AC$125,"Сумма амортизационных отчислений")</f>
        <v>0</v>
      </c>
      <c r="AG259" s="692">
        <f ca="1">SUMIFS(Амортизация!AG$25:AG$125,Амортизация!$F$25:$F$125,$F259,Амортизация!$AC$25:$AC$125,"Сумма амортизационных отчислений")</f>
        <v>0</v>
      </c>
      <c r="AH259" s="675">
        <f t="shared" ca="1" si="50"/>
        <v>0</v>
      </c>
      <c r="AI259" s="675">
        <f ca="1">SUMIFS(Амортизация!AH$25:AH$125,Амортизация!$F$25:$F$125,$F259,Амортизация!$AC$25:$AC$125,"Сумма амортизационных отчислений")</f>
        <v>0</v>
      </c>
      <c r="AJ259" s="675">
        <f ca="1">SUMIFS(Амортизация!AI$25:AI$125,Амортизация!$F$25:$F$125,$F259,Амортизация!$AC$25:$AC$125,"Сумма амортизационных отчислений")</f>
        <v>0</v>
      </c>
      <c r="AK259" s="675">
        <f ca="1">SUMIFS(Амортизация!AJ$25:AJ$125,Амортизация!$F$25:$F$125,$F259,Амортизация!$AC$25:$AC$125,"Сумма амортизационных отчислений")</f>
        <v>0</v>
      </c>
      <c r="AL259" s="675">
        <f ca="1">SUMIFS(Амортизация!AK$25:AK$125,Амортизация!$F$25:$F$125,$F259,Амортизация!$AC$25:$AC$125,"Сумма амортизационных отчислений")</f>
        <v>0</v>
      </c>
      <c r="AM259" s="675">
        <f ca="1">SUMIFS(Амортизация!AL$25:AL$125,Амортизация!$F$25:$F$125,$F259,Амортизация!$AC$25:$AC$125,"Сумма амортизационных отчислений")</f>
        <v>0</v>
      </c>
      <c r="AN259" s="675">
        <f ca="1">SUMIFS(Амортизация!AM$25:AM$125,Амортизация!$F$25:$F$125,$F259,Амортизация!$AC$25:$AC$125,"Сумма амортизационных отчислений")</f>
        <v>0</v>
      </c>
      <c r="AO259" s="675">
        <f ca="1">SUMIFS(Амортизация!AN$25:AN$125,Амортизация!$F$25:$F$125,$F259,Амортизация!$AC$25:$AC$125,"Сумма амортизационных отчислений")</f>
        <v>0</v>
      </c>
      <c r="AP259" s="675">
        <f ca="1">SUMIFS(Амортизация!AO$25:AO$125,Амортизация!$F$25:$F$125,$F259,Амортизация!$AC$25:$AC$125,"Сумма амортизационных отчислений")</f>
        <v>0</v>
      </c>
      <c r="AQ259" s="675">
        <f ca="1">SUMIFS(Амортизация!AP$25:AP$125,Амортизация!$F$25:$F$125,$F259,Амортизация!$AC$25:$AC$125,"Сумма амортизационных отчислений")</f>
        <v>0</v>
      </c>
      <c r="AR259" s="675">
        <f ca="1">SUMIFS(Амортизация!AQ$25:AQ$125,Амортизация!$F$25:$F$125,$F259,Амортизация!$AC$25:$AC$125,"Сумма амортизационных отчислений")</f>
        <v>0</v>
      </c>
      <c r="AS259" s="675">
        <f ca="1">SUMIFS(Амортизация!AR$25:AR$125,Амортизация!$F$25:$F$125,$F259,Амортизация!$AC$25:$AC$125,"Сумма амортизационных отчислений")</f>
        <v>0</v>
      </c>
      <c r="AT259" s="675">
        <f ca="1">SUMIFS(Амортизация!AS$25:AS$125,Амортизация!$F$25:$F$125,$F259,Амортизация!$AC$25:$AC$125,"Сумма амортизационных отчислений")</f>
        <v>0</v>
      </c>
      <c r="AU259" s="675">
        <f ca="1">SUMIFS(Амортизация!AT$25:AT$125,Амортизация!$F$25:$F$125,$F259,Амортизация!$AC$25:$AC$125,"Сумма амортизационных отчислений")</f>
        <v>0</v>
      </c>
      <c r="AV259" s="675">
        <f ca="1">SUMIFS(Амортизация!AU$25:AU$125,Амортизация!$F$25:$F$125,$F259,Амортизация!$AC$25:$AC$125,"Сумма амортизационных отчислений")</f>
        <v>0</v>
      </c>
      <c r="AW259" s="675">
        <f ca="1">SUMIFS(Амортизация!AV$25:AV$125,Амортизация!$F$25:$F$125,$F259,Амортизация!$AC$25:$AC$125,"Сумма амортизационных отчислений")</f>
        <v>0</v>
      </c>
      <c r="AX259" s="675">
        <f ca="1">SUMIFS(Амортизация!AW$25:AW$125,Амортизация!$F$25:$F$125,$F259,Амортизация!$AC$25:$AC$125,"Сумма амортизационных отчислений")</f>
        <v>0</v>
      </c>
      <c r="AY259" s="675">
        <f ca="1">SUMIFS(Амортизация!AX$25:AX$125,Амортизация!$F$25:$F$125,$F259,Амортизация!$AC$25:$AC$125,"Сумма амортизационных отчислений")</f>
        <v>0</v>
      </c>
      <c r="AZ259" s="675">
        <f ca="1">SUMIFS(Амортизация!AY$25:AY$125,Амортизация!$F$25:$F$125,$F259,Амортизация!$AC$25:$AC$125,"Сумма амортизационных отчислений")</f>
        <v>0</v>
      </c>
      <c r="BA259" s="675">
        <f ca="1">SUMIFS(Амортизация!AZ$25:AZ$125,Амортизация!$F$25:$F$125,$F259,Амортизация!$AC$25:$AC$125,"Сумма амортизационных отчислений")</f>
        <v>0</v>
      </c>
      <c r="BB259" s="675">
        <f ca="1">SUMIFS(Амортизация!BA$25:BA$125,Амортизация!$F$25:$F$125,$F259,Амортизация!$AC$25:$AC$125,"Сумма амортизационных отчислений")</f>
        <v>0</v>
      </c>
      <c r="BC259" s="675">
        <f ca="1">SUMIFS(Амортизация!BB$25:BB$125,Амортизация!$F$25:$F$125,$F259,Амортизация!$AC$25:$AC$125,"Сумма амортизационных отчислений")</f>
        <v>0</v>
      </c>
      <c r="BD259" s="675">
        <f t="shared" ca="1" si="52"/>
        <v>0</v>
      </c>
      <c r="BE259" s="675">
        <f t="shared" ca="1" si="53"/>
        <v>0</v>
      </c>
      <c r="BF259" s="675">
        <f t="shared" ca="1" si="54"/>
        <v>0</v>
      </c>
      <c r="BG259" s="675">
        <f t="shared" ca="1" si="55"/>
        <v>0</v>
      </c>
      <c r="BH259" s="675">
        <f t="shared" ca="1" si="56"/>
        <v>0</v>
      </c>
      <c r="BI259" s="675">
        <f t="shared" ca="1" si="57"/>
        <v>0</v>
      </c>
      <c r="BJ259" s="675">
        <f t="shared" ca="1" si="58"/>
        <v>0</v>
      </c>
      <c r="BK259" s="675">
        <f t="shared" ca="1" si="59"/>
        <v>0</v>
      </c>
      <c r="BL259" s="675">
        <f t="shared" ca="1" si="60"/>
        <v>0</v>
      </c>
      <c r="BM259" s="675">
        <f t="shared" ca="1" si="61"/>
        <v>0</v>
      </c>
      <c r="BN259" s="1156"/>
      <c r="BO259" s="1154" t="str">
        <f ca="1">IF(IFERROR(INDEX(Амортизация!$K$26:$L$125,MATCH($F259&amp;"komm",Амортизация!$K$26:$K$125,0),2),"")=0,"",IFERROR(INDEX(Амортизация!$K$26:$L$125,MATCH($F259&amp;"komm",Амортизация!$K$26:$K$125,0),2),""))</f>
        <v/>
      </c>
      <c r="BP259" s="1156"/>
      <c r="BQ259" s="617"/>
      <c r="BR259" s="617"/>
      <c r="BS259" s="972" t="s">
        <v>1096</v>
      </c>
      <c r="BT259" s="972"/>
      <c r="BU259" s="972"/>
      <c r="BV259" s="624"/>
      <c r="BW259" s="624"/>
    </row>
    <row r="260" spans="1:75" s="1327" customFormat="1" ht="14.25" hidden="1" customHeight="1">
      <c r="A260" s="1177"/>
      <c r="B260" s="349" t="b" cm="1">
        <f t="array" ref="B260">B259</f>
        <v>0</v>
      </c>
      <c r="C260" s="1177"/>
      <c r="D260" s="1177"/>
      <c r="E260" s="620">
        <v>15</v>
      </c>
      <c r="F260" s="3" t="str" cm="1">
        <f t="array" aca="1" ref="F260" ca="1">OFFSET(E260,-1,1)</f>
        <v>1</v>
      </c>
      <c r="G260" s="1177"/>
      <c r="H260" s="1177"/>
      <c r="I260" s="77" t="s">
        <v>501</v>
      </c>
      <c r="J260" s="1177"/>
      <c r="K260" s="77" t="s">
        <v>501</v>
      </c>
      <c r="L260" s="882" t="s">
        <v>515</v>
      </c>
      <c r="M260" s="26"/>
      <c r="N260" s="1177"/>
      <c r="O260" s="1177"/>
      <c r="P260" s="1177"/>
      <c r="Q260" s="1177"/>
      <c r="R260" s="1177"/>
      <c r="S260" s="1177"/>
      <c r="T260" s="381" t="b" cm="1">
        <f t="array" aca="1" ref="T260" ca="1">T259</f>
        <v>1</v>
      </c>
      <c r="U260" s="1177"/>
      <c r="V260" s="1177"/>
      <c r="W260" s="1177"/>
      <c r="X260" s="1755"/>
      <c r="Y260" s="1177"/>
      <c r="Z260" s="1735"/>
      <c r="AA260" s="1177"/>
      <c r="AB260" s="215" t="s">
        <v>639</v>
      </c>
      <c r="AC260" s="676" t="s">
        <v>1651</v>
      </c>
      <c r="AD260" s="216" t="s">
        <v>766</v>
      </c>
      <c r="AE260" s="1155">
        <f ca="1">SUMIFS('ИП + источники'!AF$27:AF$87,'ИП + источники'!$F$27:$F$87,$F260,'ИП + источники'!$AC$27:$AC$87,"Амортизационные отчисления")+SUMIFS('ИП + источники'!AF$27:AF$87,'ИП + источники'!$F$27:$F$87,$F260,'ИП + источники'!$AC$27:$AC$87,"погашение займов и кредитов из амортизации")</f>
        <v>0</v>
      </c>
      <c r="AF260" s="1155">
        <f ca="1">SUMIFS('ИП + источники'!AG$27:AG$87,'ИП + источники'!$F$27:$F$87,$F260,'ИП + источники'!$AC$27:$AC$87,"Амортизационные отчисления")+SUMIFS('ИП + источники'!AG$27:AG$87,'ИП + источники'!$F$27:$F$87,$F260,'ИП + источники'!$AC$27:$AC$87,"погашение займов и кредитов из амортизации")</f>
        <v>0</v>
      </c>
      <c r="AG260" s="1155">
        <f ca="1">SUMIFS('ИП + источники'!AH$27:AH$87,'ИП + источники'!$F$27:$F$87,$F260,'ИП + источники'!$AC$27:$AC$87,"Амортизационные отчисления")+SUMIFS('ИП + источники'!AH$27:AH$87,'ИП + источники'!$F$27:$F$87,$F260,'ИП + источники'!$AC$27:$AC$87,"погашение займов и кредитов из амортизации")</f>
        <v>0</v>
      </c>
      <c r="AH260" s="848">
        <f t="shared" ca="1" si="50"/>
        <v>0</v>
      </c>
      <c r="AI260" s="1153">
        <f ca="1">SUMIFS('ИП + источники'!AJ$27:AJ$87,'ИП + источники'!$F$27:$F$87,$F260,'ИП + источники'!$AC$27:$AC$87,"Амортизационные отчисления")+SUMIFS('ИП + источники'!AJ$27:AJ$87,'ИП + источники'!$F$27:$F$87,$F260,'ИП + источники'!$AC$27:$AC$87,"погашение займов и кредитов из амортизации")</f>
        <v>0</v>
      </c>
      <c r="AJ260" s="1510">
        <f ca="1">SUMIFS('ИП + источники'!AK$27:AK$87,'ИП + источники'!$F$27:$F$87,$F260,'ИП + источники'!$AC$27:$AC$87,"Амортизационные отчисления")+SUMIFS('ИП + источники'!AK$27:AK$87,'ИП + источники'!$F$27:$F$87,$F260,'ИП + источники'!$AC$27:$AC$87,"погашение займов и кредитов из амортизации")</f>
        <v>0</v>
      </c>
      <c r="AK260" s="1153">
        <f ca="1">SUMIFS('ИП + источники'!AL$27:AL$87,'ИП + источники'!$F$27:$F$87,$F260,'ИП + источники'!$AC$27:$AC$87,"Амортизационные отчисления")+SUMIFS('ИП + источники'!AL$27:AL$87,'ИП + источники'!$F$27:$F$87,$F260,'ИП + источники'!$AC$27:$AC$87,"погашение займов и кредитов из амортизации")</f>
        <v>0</v>
      </c>
      <c r="AL260" s="1153">
        <f ca="1">SUMIFS('ИП + источники'!AM$27:AM$87,'ИП + источники'!$F$27:$F$87,$F260,'ИП + источники'!$AC$27:$AC$87,"Амортизационные отчисления")+SUMIFS('ИП + источники'!AM$27:AM$87,'ИП + источники'!$F$27:$F$87,$F260,'ИП + источники'!$AC$27:$AC$87,"погашение займов и кредитов из амортизации")</f>
        <v>0</v>
      </c>
      <c r="AM260" s="1153">
        <f ca="1">SUMIFS('ИП + источники'!AN$27:AN$87,'ИП + источники'!$F$27:$F$87,$F260,'ИП + источники'!$AC$27:$AC$87,"Амортизационные отчисления")+SUMIFS('ИП + источники'!AN$27:AN$87,'ИП + источники'!$F$27:$F$87,$F260,'ИП + источники'!$AC$27:$AC$87,"погашение займов и кредитов из амортизации")</f>
        <v>0</v>
      </c>
      <c r="AN260" s="1153">
        <f ca="1">SUMIFS('ИП + источники'!AO$27:AO$87,'ИП + источники'!$F$27:$F$87,$F260,'ИП + источники'!$AC$27:$AC$87,"Амортизационные отчисления")+SUMIFS('ИП + источники'!AO$27:AO$87,'ИП + источники'!$F$27:$F$87,$F260,'ИП + источники'!$AC$27:$AC$87,"погашение займов и кредитов из амортизации")</f>
        <v>0</v>
      </c>
      <c r="AO260" s="1153">
        <f ca="1">SUMIFS('ИП + источники'!AP$27:AP$87,'ИП + источники'!$F$27:$F$87,$F260,'ИП + источники'!$AC$27:$AC$87,"Амортизационные отчисления")+SUMIFS('ИП + источники'!AP$27:AP$87,'ИП + источники'!$F$27:$F$87,$F260,'ИП + источники'!$AC$27:$AC$87,"погашение займов и кредитов из амортизации")</f>
        <v>0</v>
      </c>
      <c r="AP260" s="1153">
        <f ca="1">SUMIFS('ИП + источники'!AQ$27:AQ$87,'ИП + источники'!$F$27:$F$87,$F260,'ИП + источники'!$AC$27:$AC$87,"Амортизационные отчисления")+SUMIFS('ИП + источники'!AQ$27:AQ$87,'ИП + источники'!$F$27:$F$87,$F260,'ИП + источники'!$AC$27:$AC$87,"погашение займов и кредитов из амортизации")</f>
        <v>0</v>
      </c>
      <c r="AQ260" s="1153">
        <f ca="1">SUMIFS('ИП + источники'!AR$27:AR$87,'ИП + источники'!$F$27:$F$87,$F260,'ИП + источники'!$AC$27:$AC$87,"Амортизационные отчисления")+SUMIFS('ИП + источники'!AR$27:AR$87,'ИП + источники'!$F$27:$F$87,$F260,'ИП + источники'!$AC$27:$AC$87,"погашение займов и кредитов из амортизации")</f>
        <v>0</v>
      </c>
      <c r="AR260" s="1153">
        <f ca="1">SUMIFS('ИП + источники'!AS$27:AS$87,'ИП + источники'!$F$27:$F$87,$F260,'ИП + источники'!$AC$27:$AC$87,"Амортизационные отчисления")+SUMIFS('ИП + источники'!AS$27:AS$87,'ИП + источники'!$F$27:$F$87,$F260,'ИП + источники'!$AC$27:$AC$87,"погашение займов и кредитов из амортизации")</f>
        <v>0</v>
      </c>
      <c r="AS260" s="1153">
        <f ca="1">SUMIFS('ИП + источники'!AT$27:AT$87,'ИП + источники'!$F$27:$F$87,$F260,'ИП + источники'!$AC$27:$AC$87,"Амортизационные отчисления")+SUMIFS('ИП + источники'!AT$27:AT$87,'ИП + источники'!$F$27:$F$87,$F260,'ИП + источники'!$AC$27:$AC$87,"погашение займов и кредитов из амортизации")</f>
        <v>0</v>
      </c>
      <c r="AT260" s="1510">
        <f ca="1">SUMIFS('ИП + источники'!AU$27:AU$87,'ИП + источники'!$F$27:$F$87,$F260,'ИП + источники'!$AC$27:$AC$87,"Амортизационные отчисления")+SUMIFS('ИП + источники'!AU$27:AU$87,'ИП + источники'!$F$27:$F$87,$F260,'ИП + источники'!$AC$27:$AC$87,"погашение займов и кредитов из амортизации")</f>
        <v>0</v>
      </c>
      <c r="AU260" s="1153">
        <f ca="1">SUMIFS('ИП + источники'!AV$27:AV$87,'ИП + источники'!$F$27:$F$87,$F260,'ИП + источники'!$AC$27:$AC$87,"Амортизационные отчисления")+SUMIFS('ИП + источники'!AV$27:AV$87,'ИП + источники'!$F$27:$F$87,$F260,'ИП + источники'!$AC$27:$AC$87,"погашение займов и кредитов из амортизации")</f>
        <v>0</v>
      </c>
      <c r="AV260" s="1153">
        <f ca="1">SUMIFS('ИП + источники'!AW$27:AW$87,'ИП + источники'!$F$27:$F$87,$F260,'ИП + источники'!$AC$27:$AC$87,"Амортизационные отчисления")+SUMIFS('ИП + источники'!AW$27:AW$87,'ИП + источники'!$F$27:$F$87,$F260,'ИП + источники'!$AC$27:$AC$87,"погашение займов и кредитов из амортизации")</f>
        <v>0</v>
      </c>
      <c r="AW260" s="1153">
        <f ca="1">SUMIFS('ИП + источники'!AX$27:AX$87,'ИП + источники'!$F$27:$F$87,$F260,'ИП + источники'!$AC$27:$AC$87,"Амортизационные отчисления")+SUMIFS('ИП + источники'!AX$27:AX$87,'ИП + источники'!$F$27:$F$87,$F260,'ИП + источники'!$AC$27:$AC$87,"погашение займов и кредитов из амортизации")</f>
        <v>0</v>
      </c>
      <c r="AX260" s="1153">
        <f ca="1">SUMIFS('ИП + источники'!AY$27:AY$87,'ИП + источники'!$F$27:$F$87,$F260,'ИП + источники'!$AC$27:$AC$87,"Амортизационные отчисления")+SUMIFS('ИП + источники'!AY$27:AY$87,'ИП + источники'!$F$27:$F$87,$F260,'ИП + источники'!$AC$27:$AC$87,"погашение займов и кредитов из амортизации")</f>
        <v>0</v>
      </c>
      <c r="AY260" s="1153">
        <f ca="1">SUMIFS('ИП + источники'!AZ$27:AZ$87,'ИП + источники'!$F$27:$F$87,$F260,'ИП + источники'!$AC$27:$AC$87,"Амортизационные отчисления")+SUMIFS('ИП + источники'!AZ$27:AZ$87,'ИП + источники'!$F$27:$F$87,$F260,'ИП + источники'!$AC$27:$AC$87,"погашение займов и кредитов из амортизации")</f>
        <v>0</v>
      </c>
      <c r="AZ260" s="1153">
        <f ca="1">SUMIFS('ИП + источники'!BA$27:BA$87,'ИП + источники'!$F$27:$F$87,$F260,'ИП + источники'!$AC$27:$AC$87,"Амортизационные отчисления")+SUMIFS('ИП + источники'!BA$27:BA$87,'ИП + источники'!$F$27:$F$87,$F260,'ИП + источники'!$AC$27:$AC$87,"погашение займов и кредитов из амортизации")</f>
        <v>0</v>
      </c>
      <c r="BA260" s="1153">
        <f ca="1">SUMIFS('ИП + источники'!BB$27:BB$87,'ИП + источники'!$F$27:$F$87,$F260,'ИП + источники'!$AC$27:$AC$87,"Амортизационные отчисления")+SUMIFS('ИП + источники'!BB$27:BB$87,'ИП + источники'!$F$27:$F$87,$F260,'ИП + источники'!$AC$27:$AC$87,"погашение займов и кредитов из амортизации")</f>
        <v>0</v>
      </c>
      <c r="BB260" s="1153">
        <f ca="1">SUMIFS('ИП + источники'!BC$27:BC$87,'ИП + источники'!$F$27:$F$87,$F260,'ИП + источники'!$AC$27:$AC$87,"Амортизационные отчисления")+SUMIFS('ИП + источники'!BC$27:BC$87,'ИП + источники'!$F$27:$F$87,$F260,'ИП + источники'!$AC$27:$AC$87,"погашение займов и кредитов из амортизации")</f>
        <v>0</v>
      </c>
      <c r="BC260" s="1153">
        <f ca="1">SUMIFS('ИП + источники'!BD$27:BD$87,'ИП + источники'!$F$27:$F$87,$F260,'ИП + источники'!$AC$27:$AC$87,"Амортизационные отчисления")+SUMIFS('ИП + источники'!BD$27:BD$87,'ИП + источники'!$F$27:$F$87,$F260,'ИП + источники'!$AC$27:$AC$87,"погашение займов и кредитов из амортизации")</f>
        <v>0</v>
      </c>
      <c r="BD260" s="848">
        <f t="shared" ca="1" si="52"/>
        <v>0</v>
      </c>
      <c r="BE260" s="848">
        <f t="shared" ca="1" si="53"/>
        <v>0</v>
      </c>
      <c r="BF260" s="848">
        <f t="shared" ca="1" si="54"/>
        <v>0</v>
      </c>
      <c r="BG260" s="848">
        <f t="shared" ca="1" si="55"/>
        <v>0</v>
      </c>
      <c r="BH260" s="848">
        <f t="shared" ca="1" si="56"/>
        <v>0</v>
      </c>
      <c r="BI260" s="848">
        <f t="shared" ca="1" si="57"/>
        <v>0</v>
      </c>
      <c r="BJ260" s="848">
        <f t="shared" ca="1" si="58"/>
        <v>0</v>
      </c>
      <c r="BK260" s="848">
        <f t="shared" ca="1" si="59"/>
        <v>0</v>
      </c>
      <c r="BL260" s="848">
        <f t="shared" ca="1" si="60"/>
        <v>0</v>
      </c>
      <c r="BM260" s="848">
        <f t="shared" ca="1" si="61"/>
        <v>0</v>
      </c>
      <c r="BN260" s="1156"/>
      <c r="BO260" s="1156"/>
      <c r="BP260" s="1156"/>
      <c r="BQ260" s="1177"/>
      <c r="BR260" s="1177"/>
      <c r="BS260" s="966" t="s">
        <v>1652</v>
      </c>
      <c r="BT260" s="966"/>
      <c r="BU260" s="966"/>
      <c r="BV260" s="881"/>
      <c r="BW260" s="881"/>
    </row>
    <row r="261" spans="1:75" s="1529" customFormat="1" ht="20.25" hidden="1" customHeight="1">
      <c r="A261" s="617"/>
      <c r="B261" s="349" t="b" cm="1">
        <f t="array" ref="B261">B260</f>
        <v>0</v>
      </c>
      <c r="C261" s="617"/>
      <c r="D261" s="617"/>
      <c r="E261" s="624">
        <v>21</v>
      </c>
      <c r="F261" s="3" t="str" cm="1">
        <f t="array" aca="1" ref="F261" ca="1">OFFSET(E261,-1,1)</f>
        <v>1</v>
      </c>
      <c r="G261" s="77" t="s">
        <v>1355</v>
      </c>
      <c r="H261" s="77"/>
      <c r="I261" s="77" t="s">
        <v>326</v>
      </c>
      <c r="J261" s="617"/>
      <c r="K261" s="77" t="s">
        <v>326</v>
      </c>
      <c r="L261" s="887" t="s">
        <v>528</v>
      </c>
      <c r="M261" s="28"/>
      <c r="N261" s="617"/>
      <c r="O261" s="617"/>
      <c r="P261" s="617"/>
      <c r="Q261" s="617"/>
      <c r="R261" s="617"/>
      <c r="S261" s="617"/>
      <c r="T261" s="381" t="b" cm="1">
        <f t="array" aca="1" ref="T261" ca="1">T260</f>
        <v>1</v>
      </c>
      <c r="U261" s="617"/>
      <c r="V261" s="617"/>
      <c r="W261" s="617"/>
      <c r="X261" s="1755"/>
      <c r="Y261" s="617"/>
      <c r="Z261" s="1735"/>
      <c r="AA261" s="617"/>
      <c r="AB261" s="136" t="s">
        <v>478</v>
      </c>
      <c r="AC261" s="130" t="s">
        <v>1355</v>
      </c>
      <c r="AD261" s="152" t="s">
        <v>766</v>
      </c>
      <c r="AE261" s="131">
        <f ca="1">AE262+AE263+AE264+AE265</f>
        <v>0</v>
      </c>
      <c r="AF261" s="131">
        <f ca="1">AF262+AF263+AF264+AF265</f>
        <v>0</v>
      </c>
      <c r="AG261" s="131">
        <f ca="1">AG262+AG263+AG264+AG265</f>
        <v>0</v>
      </c>
      <c r="AH261" s="684">
        <f t="shared" ca="1" si="50"/>
        <v>0</v>
      </c>
      <c r="AI261" s="684">
        <f t="shared" ref="AI261:BC261" ca="1" si="65">AI262+AI263+AI264+AI265</f>
        <v>0</v>
      </c>
      <c r="AJ261" s="684">
        <f t="shared" ca="1" si="65"/>
        <v>0</v>
      </c>
      <c r="AK261" s="684">
        <f t="shared" ca="1" si="65"/>
        <v>0</v>
      </c>
      <c r="AL261" s="684">
        <f t="shared" ca="1" si="65"/>
        <v>0</v>
      </c>
      <c r="AM261" s="684">
        <f t="shared" ca="1" si="65"/>
        <v>0</v>
      </c>
      <c r="AN261" s="684">
        <f t="shared" ca="1" si="65"/>
        <v>0</v>
      </c>
      <c r="AO261" s="684">
        <f t="shared" ca="1" si="65"/>
        <v>0</v>
      </c>
      <c r="AP261" s="684">
        <f t="shared" ca="1" si="65"/>
        <v>0</v>
      </c>
      <c r="AQ261" s="684">
        <f t="shared" ca="1" si="65"/>
        <v>0</v>
      </c>
      <c r="AR261" s="684">
        <f t="shared" ca="1" si="65"/>
        <v>0</v>
      </c>
      <c r="AS261" s="684">
        <f t="shared" ca="1" si="65"/>
        <v>0</v>
      </c>
      <c r="AT261" s="684">
        <f t="shared" ca="1" si="65"/>
        <v>0</v>
      </c>
      <c r="AU261" s="684">
        <f t="shared" ca="1" si="65"/>
        <v>0</v>
      </c>
      <c r="AV261" s="684">
        <f t="shared" ca="1" si="65"/>
        <v>0</v>
      </c>
      <c r="AW261" s="684">
        <f t="shared" ca="1" si="65"/>
        <v>0</v>
      </c>
      <c r="AX261" s="684">
        <f t="shared" ca="1" si="65"/>
        <v>0</v>
      </c>
      <c r="AY261" s="684">
        <f t="shared" ca="1" si="65"/>
        <v>0</v>
      </c>
      <c r="AZ261" s="684">
        <f t="shared" ca="1" si="65"/>
        <v>0</v>
      </c>
      <c r="BA261" s="684">
        <f t="shared" ca="1" si="65"/>
        <v>0</v>
      </c>
      <c r="BB261" s="684">
        <f t="shared" ca="1" si="65"/>
        <v>0</v>
      </c>
      <c r="BC261" s="684">
        <f t="shared" ca="1" si="65"/>
        <v>0</v>
      </c>
      <c r="BD261" s="675">
        <f t="shared" ca="1" si="52"/>
        <v>0</v>
      </c>
      <c r="BE261" s="675">
        <f t="shared" ca="1" si="53"/>
        <v>0</v>
      </c>
      <c r="BF261" s="675">
        <f t="shared" ca="1" si="54"/>
        <v>0</v>
      </c>
      <c r="BG261" s="675">
        <f t="shared" ca="1" si="55"/>
        <v>0</v>
      </c>
      <c r="BH261" s="675">
        <f t="shared" ca="1" si="56"/>
        <v>0</v>
      </c>
      <c r="BI261" s="675">
        <f t="shared" ca="1" si="57"/>
        <v>0</v>
      </c>
      <c r="BJ261" s="675">
        <f t="shared" ca="1" si="58"/>
        <v>0</v>
      </c>
      <c r="BK261" s="675">
        <f t="shared" ca="1" si="59"/>
        <v>0</v>
      </c>
      <c r="BL261" s="675">
        <f t="shared" ca="1" si="60"/>
        <v>0</v>
      </c>
      <c r="BM261" s="675">
        <f t="shared" ca="1" si="61"/>
        <v>0</v>
      </c>
      <c r="BN261" s="1156"/>
      <c r="BO261" s="1156"/>
      <c r="BP261" s="1156"/>
      <c r="BQ261" s="617"/>
      <c r="BR261" s="617"/>
      <c r="BS261" s="965" t="s">
        <v>1359</v>
      </c>
      <c r="BT261" s="972"/>
      <c r="BU261" s="972"/>
      <c r="BV261" s="624"/>
      <c r="BW261" s="624"/>
    </row>
    <row r="262" spans="1:75" s="1327" customFormat="1" ht="14.25" hidden="1" customHeight="1">
      <c r="A262" s="1177"/>
      <c r="B262" s="349" t="b" cm="1">
        <f t="array" ref="B262">B261</f>
        <v>0</v>
      </c>
      <c r="C262" s="1177"/>
      <c r="D262" s="1177"/>
      <c r="E262" s="620">
        <v>15</v>
      </c>
      <c r="F262" s="3" t="str" cm="1">
        <f t="array" aca="1" ref="F262" ca="1">OFFSET(E262,-1,1)</f>
        <v>1</v>
      </c>
      <c r="G262" s="1177"/>
      <c r="H262" s="1177"/>
      <c r="I262" s="77" t="s">
        <v>515</v>
      </c>
      <c r="J262" s="1177"/>
      <c r="K262" s="77" t="s">
        <v>515</v>
      </c>
      <c r="L262" s="882"/>
      <c r="M262" s="26"/>
      <c r="N262" s="1177"/>
      <c r="O262" s="1177"/>
      <c r="P262" s="1177"/>
      <c r="Q262" s="1177"/>
      <c r="R262" s="1177"/>
      <c r="S262" s="1177"/>
      <c r="T262" s="381" t="b" cm="1">
        <f t="array" aca="1" ref="T262" ca="1">T261</f>
        <v>1</v>
      </c>
      <c r="U262" s="1177"/>
      <c r="V262" s="1177"/>
      <c r="W262" s="1177"/>
      <c r="X262" s="1755"/>
      <c r="Y262" s="1177"/>
      <c r="Z262" s="1735"/>
      <c r="AA262" s="1177"/>
      <c r="AB262" s="215" t="s">
        <v>646</v>
      </c>
      <c r="AC262" s="676" t="s">
        <v>1960</v>
      </c>
      <c r="AD262" s="216" t="s">
        <v>766</v>
      </c>
      <c r="AE262" s="1155">
        <f ca="1">SUMIFS('ИП + источники'!AF$27:AF$87,'ИП + источники'!$F$27:$F$87,$F262,'ИП + источники'!$AC$27:$AC$87,"погашение займов и кредитов из нормативной прибыли")</f>
        <v>0</v>
      </c>
      <c r="AF262" s="1155">
        <f ca="1">SUMIFS('ИП + источники'!AG$27:AG$87,'ИП + источники'!$F$27:$F$87,$F262,'ИП + источники'!$AC$27:$AC$87,"погашение займов и кредитов из нормативной прибыли")</f>
        <v>0</v>
      </c>
      <c r="AG262" s="1155">
        <f ca="1">SUMIFS('ИП + источники'!AH$27:AH$87,'ИП + источники'!$F$27:$F$87,$F262,'ИП + источники'!$AC$27:$AC$87,"погашение займов и кредитов из нормативной прибыли")</f>
        <v>0</v>
      </c>
      <c r="AH262" s="848">
        <f t="shared" ca="1" si="50"/>
        <v>0</v>
      </c>
      <c r="AI262" s="1153">
        <f ca="1">SUMIFS('ИП + источники'!AJ$27:AJ$87,'ИП + источники'!$F$27:$F$87,$F262,'ИП + источники'!$AC$27:$AC$87,"погашение займов и кредитов из нормативной прибыли")</f>
        <v>0</v>
      </c>
      <c r="AJ262" s="1510">
        <f ca="1">SUMIFS('ИП + источники'!AK$27:AK$87,'ИП + источники'!$F$27:$F$87,$F262,'ИП + источники'!$AC$27:$AC$87,"погашение займов и кредитов из нормативной прибыли")</f>
        <v>0</v>
      </c>
      <c r="AK262" s="1153">
        <f ca="1">SUMIFS('ИП + источники'!AL$27:AL$87,'ИП + источники'!$F$27:$F$87,$F262,'ИП + источники'!$AC$27:$AC$87,"погашение займов и кредитов из нормативной прибыли")</f>
        <v>0</v>
      </c>
      <c r="AL262" s="1153">
        <f ca="1">SUMIFS('ИП + источники'!AM$27:AM$87,'ИП + источники'!$F$27:$F$87,$F262,'ИП + источники'!$AC$27:$AC$87,"погашение займов и кредитов из нормативной прибыли")</f>
        <v>0</v>
      </c>
      <c r="AM262" s="1153">
        <f ca="1">SUMIFS('ИП + источники'!AN$27:AN$87,'ИП + источники'!$F$27:$F$87,$F262,'ИП + источники'!$AC$27:$AC$87,"погашение займов и кредитов из нормативной прибыли")</f>
        <v>0</v>
      </c>
      <c r="AN262" s="1153">
        <f ca="1">SUMIFS('ИП + источники'!AO$27:AO$87,'ИП + источники'!$F$27:$F$87,$F262,'ИП + источники'!$AC$27:$AC$87,"погашение займов и кредитов из нормативной прибыли")</f>
        <v>0</v>
      </c>
      <c r="AO262" s="1153">
        <f ca="1">SUMIFS('ИП + источники'!AP$27:AP$87,'ИП + источники'!$F$27:$F$87,$F262,'ИП + источники'!$AC$27:$AC$87,"погашение займов и кредитов из нормативной прибыли")</f>
        <v>0</v>
      </c>
      <c r="AP262" s="1153">
        <f ca="1">SUMIFS('ИП + источники'!AQ$27:AQ$87,'ИП + источники'!$F$27:$F$87,$F262,'ИП + источники'!$AC$27:$AC$87,"погашение займов и кредитов из нормативной прибыли")</f>
        <v>0</v>
      </c>
      <c r="AQ262" s="1153">
        <f ca="1">SUMIFS('ИП + источники'!AR$27:AR$87,'ИП + источники'!$F$27:$F$87,$F262,'ИП + источники'!$AC$27:$AC$87,"погашение займов и кредитов из нормативной прибыли")</f>
        <v>0</v>
      </c>
      <c r="AR262" s="1153">
        <f ca="1">SUMIFS('ИП + источники'!AS$27:AS$87,'ИП + источники'!$F$27:$F$87,$F262,'ИП + источники'!$AC$27:$AC$87,"погашение займов и кредитов из нормативной прибыли")</f>
        <v>0</v>
      </c>
      <c r="AS262" s="1153">
        <f ca="1">SUMIFS('ИП + источники'!AT$27:AT$87,'ИП + источники'!$F$27:$F$87,$F262,'ИП + источники'!$AC$27:$AC$87,"погашение займов и кредитов из нормативной прибыли")</f>
        <v>0</v>
      </c>
      <c r="AT262" s="1510">
        <f ca="1">SUMIFS('ИП + источники'!AU$27:AU$87,'ИП + источники'!$F$27:$F$87,$F262,'ИП + источники'!$AC$27:$AC$87,"погашение займов и кредитов из нормативной прибыли")</f>
        <v>0</v>
      </c>
      <c r="AU262" s="1153">
        <f ca="1">SUMIFS('ИП + источники'!AV$27:AV$87,'ИП + источники'!$F$27:$F$87,$F262,'ИП + источники'!$AC$27:$AC$87,"погашение займов и кредитов из нормативной прибыли")</f>
        <v>0</v>
      </c>
      <c r="AV262" s="1153">
        <f ca="1">SUMIFS('ИП + источники'!AW$27:AW$87,'ИП + источники'!$F$27:$F$87,$F262,'ИП + источники'!$AC$27:$AC$87,"погашение займов и кредитов из нормативной прибыли")</f>
        <v>0</v>
      </c>
      <c r="AW262" s="1153">
        <f ca="1">SUMIFS('ИП + источники'!AX$27:AX$87,'ИП + источники'!$F$27:$F$87,$F262,'ИП + источники'!$AC$27:$AC$87,"погашение займов и кредитов из нормативной прибыли")</f>
        <v>0</v>
      </c>
      <c r="AX262" s="1153">
        <f ca="1">SUMIFS('ИП + источники'!AY$27:AY$87,'ИП + источники'!$F$27:$F$87,$F262,'ИП + источники'!$AC$27:$AC$87,"погашение займов и кредитов из нормативной прибыли")</f>
        <v>0</v>
      </c>
      <c r="AY262" s="1153">
        <f ca="1">SUMIFS('ИП + источники'!AZ$27:AZ$87,'ИП + источники'!$F$27:$F$87,$F262,'ИП + источники'!$AC$27:$AC$87,"погашение займов и кредитов из нормативной прибыли")</f>
        <v>0</v>
      </c>
      <c r="AZ262" s="1153">
        <f ca="1">SUMIFS('ИП + источники'!BA$27:BA$87,'ИП + источники'!$F$27:$F$87,$F262,'ИП + источники'!$AC$27:$AC$87,"погашение займов и кредитов из нормативной прибыли")</f>
        <v>0</v>
      </c>
      <c r="BA262" s="1153">
        <f ca="1">SUMIFS('ИП + источники'!BB$27:BB$87,'ИП + источники'!$F$27:$F$87,$F262,'ИП + источники'!$AC$27:$AC$87,"погашение займов и кредитов из нормативной прибыли")</f>
        <v>0</v>
      </c>
      <c r="BB262" s="1153">
        <f ca="1">SUMIFS('ИП + источники'!BC$27:BC$87,'ИП + источники'!$F$27:$F$87,$F262,'ИП + источники'!$AC$27:$AC$87,"погашение займов и кредитов из нормативной прибыли")</f>
        <v>0</v>
      </c>
      <c r="BC262" s="1153">
        <f ca="1">SUMIFS('ИП + источники'!BD$27:BD$87,'ИП + источники'!$F$27:$F$87,$F262,'ИП + источники'!$AC$27:$AC$87,"погашение займов и кредитов из нормативной прибыли")</f>
        <v>0</v>
      </c>
      <c r="BD262" s="848">
        <f t="shared" ca="1" si="52"/>
        <v>0</v>
      </c>
      <c r="BE262" s="848">
        <f t="shared" ca="1" si="53"/>
        <v>0</v>
      </c>
      <c r="BF262" s="848">
        <f t="shared" ca="1" si="54"/>
        <v>0</v>
      </c>
      <c r="BG262" s="848">
        <f t="shared" ca="1" si="55"/>
        <v>0</v>
      </c>
      <c r="BH262" s="848">
        <f t="shared" ca="1" si="56"/>
        <v>0</v>
      </c>
      <c r="BI262" s="848">
        <f t="shared" ca="1" si="57"/>
        <v>0</v>
      </c>
      <c r="BJ262" s="848">
        <f t="shared" ca="1" si="58"/>
        <v>0</v>
      </c>
      <c r="BK262" s="848">
        <f t="shared" ca="1" si="59"/>
        <v>0</v>
      </c>
      <c r="BL262" s="848">
        <f t="shared" ca="1" si="60"/>
        <v>0</v>
      </c>
      <c r="BM262" s="848">
        <f t="shared" ca="1" si="61"/>
        <v>0</v>
      </c>
      <c r="BN262" s="1156"/>
      <c r="BO262" s="1154" t="str">
        <f ca="1">IF(IFERROR(INDEX('ИП + источники'!$K$28:$L$87,MATCH($F262&amp;"2komm",'ИП + источники'!$K$28:$K$87,0),2),"")=0,"",IFERROR(INDEX('ИП + источники'!$K$28:$L$87,MATCH($F262&amp;"2komm",'ИП + источники'!$K$28:$K$87,0),2),""))</f>
        <v/>
      </c>
      <c r="BP262" s="1156"/>
      <c r="BQ262" s="1177"/>
      <c r="BR262" s="1177"/>
      <c r="BS262" s="966" t="s">
        <v>1961</v>
      </c>
      <c r="BT262" s="966"/>
      <c r="BU262" s="966"/>
      <c r="BV262" s="881"/>
      <c r="BW262" s="881"/>
    </row>
    <row r="263" spans="1:75" s="1327" customFormat="1" ht="14.25" hidden="1" customHeight="1">
      <c r="A263" s="1177"/>
      <c r="B263" s="349" t="b" cm="1">
        <f t="array" ref="B263">B262</f>
        <v>0</v>
      </c>
      <c r="C263" s="1177"/>
      <c r="D263" s="1177"/>
      <c r="E263" s="620">
        <v>15</v>
      </c>
      <c r="F263" s="3" t="str" cm="1">
        <f t="array" aca="1" ref="F263" ca="1">OFFSET(E263,-1,1)</f>
        <v>1</v>
      </c>
      <c r="G263" s="1177"/>
      <c r="H263" s="1177"/>
      <c r="I263" s="77" t="s">
        <v>519</v>
      </c>
      <c r="J263" s="1177"/>
      <c r="K263" s="77" t="s">
        <v>519</v>
      </c>
      <c r="L263" s="882"/>
      <c r="M263" s="26"/>
      <c r="N263" s="1177"/>
      <c r="O263" s="1177"/>
      <c r="P263" s="1177"/>
      <c r="Q263" s="1177"/>
      <c r="R263" s="1177"/>
      <c r="S263" s="1177"/>
      <c r="T263" s="381" t="b" cm="1">
        <f t="array" aca="1" ref="T263" ca="1">T262</f>
        <v>1</v>
      </c>
      <c r="U263" s="1177"/>
      <c r="V263" s="1177"/>
      <c r="W263" s="1177"/>
      <c r="X263" s="1755"/>
      <c r="Y263" s="1177"/>
      <c r="Z263" s="1735"/>
      <c r="AA263" s="1177"/>
      <c r="AB263" s="215" t="s">
        <v>649</v>
      </c>
      <c r="AC263" s="676" t="s">
        <v>1962</v>
      </c>
      <c r="AD263" s="216" t="s">
        <v>766</v>
      </c>
      <c r="AE263" s="1155">
        <f ca="1">SUMIFS('ИП + источники'!AF$27:AF$87,'ИП + источники'!$F$27:$F$87,$F263,'ИП + источники'!$AC$27:$AC$87,"уплата процентов по кредитам из нормативной прибыли")</f>
        <v>0</v>
      </c>
      <c r="AF263" s="1155">
        <f ca="1">SUMIFS('ИП + источники'!AG$27:AG$87,'ИП + источники'!$F$27:$F$87,$F263,'ИП + источники'!$AC$27:$AC$87,"уплата процентов по кредитам из нормативной прибыли")</f>
        <v>0</v>
      </c>
      <c r="AG263" s="1155">
        <f ca="1">SUMIFS('ИП + источники'!AH$27:AH$87,'ИП + источники'!$F$27:$F$87,$F263,'ИП + источники'!$AC$27:$AC$87,"уплата процентов по кредитам из нормативной прибыли")</f>
        <v>0</v>
      </c>
      <c r="AH263" s="848">
        <f t="shared" ca="1" si="50"/>
        <v>0</v>
      </c>
      <c r="AI263" s="1153">
        <f ca="1">SUMIFS('ИП + источники'!AJ$27:AJ$87,'ИП + источники'!$F$27:$F$87,$F263,'ИП + источники'!$AC$27:$AC$87,"уплата процентов по кредитам из нормативной прибыли")</f>
        <v>0</v>
      </c>
      <c r="AJ263" s="1510">
        <f ca="1">SUMIFS('ИП + источники'!AK$27:AK$87,'ИП + источники'!$F$27:$F$87,$F263,'ИП + источники'!$AC$27:$AC$87,"уплата процентов по кредитам из нормативной прибыли")</f>
        <v>0</v>
      </c>
      <c r="AK263" s="1153">
        <f ca="1">SUMIFS('ИП + источники'!AL$27:AL$87,'ИП + источники'!$F$27:$F$87,$F263,'ИП + источники'!$AC$27:$AC$87,"уплата процентов по кредитам из нормативной прибыли")</f>
        <v>0</v>
      </c>
      <c r="AL263" s="1153">
        <f ca="1">SUMIFS('ИП + источники'!AM$27:AM$87,'ИП + источники'!$F$27:$F$87,$F263,'ИП + источники'!$AC$27:$AC$87,"уплата процентов по кредитам из нормативной прибыли")</f>
        <v>0</v>
      </c>
      <c r="AM263" s="1153">
        <f ca="1">SUMIFS('ИП + источники'!AN$27:AN$87,'ИП + источники'!$F$27:$F$87,$F263,'ИП + источники'!$AC$27:$AC$87,"уплата процентов по кредитам из нормативной прибыли")</f>
        <v>0</v>
      </c>
      <c r="AN263" s="1153">
        <f ca="1">SUMIFS('ИП + источники'!AO$27:AO$87,'ИП + источники'!$F$27:$F$87,$F263,'ИП + источники'!$AC$27:$AC$87,"уплата процентов по кредитам из нормативной прибыли")</f>
        <v>0</v>
      </c>
      <c r="AO263" s="1153">
        <f ca="1">SUMIFS('ИП + источники'!AP$27:AP$87,'ИП + источники'!$F$27:$F$87,$F263,'ИП + источники'!$AC$27:$AC$87,"уплата процентов по кредитам из нормативной прибыли")</f>
        <v>0</v>
      </c>
      <c r="AP263" s="1153">
        <f ca="1">SUMIFS('ИП + источники'!AQ$27:AQ$87,'ИП + источники'!$F$27:$F$87,$F263,'ИП + источники'!$AC$27:$AC$87,"уплата процентов по кредитам из нормативной прибыли")</f>
        <v>0</v>
      </c>
      <c r="AQ263" s="1153">
        <f ca="1">SUMIFS('ИП + источники'!AR$27:AR$87,'ИП + источники'!$F$27:$F$87,$F263,'ИП + источники'!$AC$27:$AC$87,"уплата процентов по кредитам из нормативной прибыли")</f>
        <v>0</v>
      </c>
      <c r="AR263" s="1153">
        <f ca="1">SUMIFS('ИП + источники'!AS$27:AS$87,'ИП + источники'!$F$27:$F$87,$F263,'ИП + источники'!$AC$27:$AC$87,"уплата процентов по кредитам из нормативной прибыли")</f>
        <v>0</v>
      </c>
      <c r="AS263" s="1153">
        <f ca="1">SUMIFS('ИП + источники'!AT$27:AT$87,'ИП + источники'!$F$27:$F$87,$F263,'ИП + источники'!$AC$27:$AC$87,"уплата процентов по кредитам из нормативной прибыли")</f>
        <v>0</v>
      </c>
      <c r="AT263" s="1510">
        <f ca="1">SUMIFS('ИП + источники'!AU$27:AU$87,'ИП + источники'!$F$27:$F$87,$F263,'ИП + источники'!$AC$27:$AC$87,"уплата процентов по кредитам из нормативной прибыли")</f>
        <v>0</v>
      </c>
      <c r="AU263" s="1153">
        <f ca="1">SUMIFS('ИП + источники'!AV$27:AV$87,'ИП + источники'!$F$27:$F$87,$F263,'ИП + источники'!$AC$27:$AC$87,"уплата процентов по кредитам из нормативной прибыли")</f>
        <v>0</v>
      </c>
      <c r="AV263" s="1153">
        <f ca="1">SUMIFS('ИП + источники'!AW$27:AW$87,'ИП + источники'!$F$27:$F$87,$F263,'ИП + источники'!$AC$27:$AC$87,"уплата процентов по кредитам из нормативной прибыли")</f>
        <v>0</v>
      </c>
      <c r="AW263" s="1153">
        <f ca="1">SUMIFS('ИП + источники'!AX$27:AX$87,'ИП + источники'!$F$27:$F$87,$F263,'ИП + источники'!$AC$27:$AC$87,"уплата процентов по кредитам из нормативной прибыли")</f>
        <v>0</v>
      </c>
      <c r="AX263" s="1153">
        <f ca="1">SUMIFS('ИП + источники'!AY$27:AY$87,'ИП + источники'!$F$27:$F$87,$F263,'ИП + источники'!$AC$27:$AC$87,"уплата процентов по кредитам из нормативной прибыли")</f>
        <v>0</v>
      </c>
      <c r="AY263" s="1153">
        <f ca="1">SUMIFS('ИП + источники'!AZ$27:AZ$87,'ИП + источники'!$F$27:$F$87,$F263,'ИП + источники'!$AC$27:$AC$87,"уплата процентов по кредитам из нормативной прибыли")</f>
        <v>0</v>
      </c>
      <c r="AZ263" s="1153">
        <f ca="1">SUMIFS('ИП + источники'!BA$27:BA$87,'ИП + источники'!$F$27:$F$87,$F263,'ИП + источники'!$AC$27:$AC$87,"уплата процентов по кредитам из нормативной прибыли")</f>
        <v>0</v>
      </c>
      <c r="BA263" s="1153">
        <f ca="1">SUMIFS('ИП + источники'!BB$27:BB$87,'ИП + источники'!$F$27:$F$87,$F263,'ИП + источники'!$AC$27:$AC$87,"уплата процентов по кредитам из нормативной прибыли")</f>
        <v>0</v>
      </c>
      <c r="BB263" s="1153">
        <f ca="1">SUMIFS('ИП + источники'!BC$27:BC$87,'ИП + источники'!$F$27:$F$87,$F263,'ИП + источники'!$AC$27:$AC$87,"уплата процентов по кредитам из нормативной прибыли")</f>
        <v>0</v>
      </c>
      <c r="BC263" s="1153">
        <f ca="1">SUMIFS('ИП + источники'!BD$27:BD$87,'ИП + источники'!$F$27:$F$87,$F263,'ИП + источники'!$AC$27:$AC$87,"уплата процентов по кредитам из нормативной прибыли")</f>
        <v>0</v>
      </c>
      <c r="BD263" s="848">
        <f t="shared" ca="1" si="52"/>
        <v>0</v>
      </c>
      <c r="BE263" s="848">
        <f t="shared" ca="1" si="53"/>
        <v>0</v>
      </c>
      <c r="BF263" s="848">
        <f t="shared" ca="1" si="54"/>
        <v>0</v>
      </c>
      <c r="BG263" s="848">
        <f t="shared" ca="1" si="55"/>
        <v>0</v>
      </c>
      <c r="BH263" s="848">
        <f t="shared" ca="1" si="56"/>
        <v>0</v>
      </c>
      <c r="BI263" s="848">
        <f t="shared" ca="1" si="57"/>
        <v>0</v>
      </c>
      <c r="BJ263" s="848">
        <f t="shared" ca="1" si="58"/>
        <v>0</v>
      </c>
      <c r="BK263" s="848">
        <f t="shared" ca="1" si="59"/>
        <v>0</v>
      </c>
      <c r="BL263" s="848">
        <f t="shared" ca="1" si="60"/>
        <v>0</v>
      </c>
      <c r="BM263" s="848">
        <f t="shared" ca="1" si="61"/>
        <v>0</v>
      </c>
      <c r="BN263" s="1156"/>
      <c r="BO263" s="1154" t="str">
        <f ca="1">IF(IFERROR(INDEX('ИП + источники'!$K$28:$L$87,MATCH($F263&amp;"3komm",'ИП + источники'!$K$28:$K$87,0),2),"")=0,"",IFERROR(INDEX('ИП + источники'!$K$28:$L$87,MATCH($F263&amp;"3komm",'ИП + источники'!$K$28:$K$87,0),2),""))</f>
        <v/>
      </c>
      <c r="BP263" s="1156"/>
      <c r="BQ263" s="1177"/>
      <c r="BR263" s="1177"/>
      <c r="BS263" s="966" t="s">
        <v>1963</v>
      </c>
      <c r="BT263" s="966"/>
      <c r="BU263" s="966"/>
      <c r="BV263" s="881"/>
      <c r="BW263" s="881"/>
    </row>
    <row r="264" spans="1:75" s="1327" customFormat="1" ht="14.25" hidden="1" customHeight="1">
      <c r="A264" s="1177"/>
      <c r="B264" s="349" t="b" cm="1">
        <f t="array" ref="B264">B263</f>
        <v>0</v>
      </c>
      <c r="C264" s="1177"/>
      <c r="D264" s="1177"/>
      <c r="E264" s="620">
        <v>15</v>
      </c>
      <c r="F264" s="3" t="str" cm="1">
        <f t="array" aca="1" ref="F264" ca="1">OFFSET(E264,-1,1)</f>
        <v>1</v>
      </c>
      <c r="G264" s="1177"/>
      <c r="H264" s="1177"/>
      <c r="I264" s="77" t="s">
        <v>736</v>
      </c>
      <c r="J264" s="1177"/>
      <c r="K264" s="77" t="s">
        <v>736</v>
      </c>
      <c r="L264" s="882" t="s">
        <v>535</v>
      </c>
      <c r="M264" s="26"/>
      <c r="N264" s="1177"/>
      <c r="O264" s="1177"/>
      <c r="P264" s="1177"/>
      <c r="Q264" s="1177"/>
      <c r="R264" s="1177"/>
      <c r="S264" s="1177"/>
      <c r="T264" s="381" t="b" cm="1">
        <f t="array" aca="1" ref="T264" ca="1">T263</f>
        <v>1</v>
      </c>
      <c r="U264" s="1177"/>
      <c r="V264" s="1177"/>
      <c r="W264" s="1177"/>
      <c r="X264" s="1755"/>
      <c r="Y264" s="1177"/>
      <c r="Z264" s="1735"/>
      <c r="AA264" s="1177"/>
      <c r="AB264" s="215" t="s">
        <v>876</v>
      </c>
      <c r="AC264" s="676" t="s">
        <v>1964</v>
      </c>
      <c r="AD264" s="216" t="s">
        <v>766</v>
      </c>
      <c r="AE264" s="1155">
        <f ca="1">SUMIFS('ИП + источники'!AF$27:AF$87,'ИП + источники'!$F$27:$F$87,$F264,'ИП + источники'!$AC$27:$AC$87,"Прибыль на капвложения")</f>
        <v>0</v>
      </c>
      <c r="AF264" s="1155">
        <f ca="1">SUMIFS('ИП + источники'!AG$27:AG$87,'ИП + источники'!$F$27:$F$87,$F264,'ИП + источники'!$AC$27:$AC$87,"Прибыль на капвложения")</f>
        <v>0</v>
      </c>
      <c r="AG264" s="1155">
        <f ca="1">SUMIFS('ИП + источники'!AH$27:AH$87,'ИП + источники'!$F$27:$F$87,$F264,'ИП + источники'!$AC$27:$AC$87,"Прибыль на капвложения")</f>
        <v>0</v>
      </c>
      <c r="AH264" s="848">
        <f t="shared" ca="1" si="50"/>
        <v>0</v>
      </c>
      <c r="AI264" s="1153">
        <f ca="1">SUMIFS('ИП + источники'!AJ$27:AJ$87,'ИП + источники'!$F$27:$F$87,$F264,'ИП + источники'!$AC$27:$AC$87,"Прибыль на капвложения")</f>
        <v>0</v>
      </c>
      <c r="AJ264" s="1510">
        <f ca="1">SUMIFS('ИП + источники'!AK$27:AK$87,'ИП + источники'!$F$27:$F$87,$F264,'ИП + источники'!$AC$27:$AC$87,"Прибыль на капвложения")</f>
        <v>0</v>
      </c>
      <c r="AK264" s="1153">
        <f ca="1">SUMIFS('ИП + источники'!AL$27:AL$87,'ИП + источники'!$F$27:$F$87,$F264,'ИП + источники'!$AC$27:$AC$87,"Прибыль на капвложения")</f>
        <v>0</v>
      </c>
      <c r="AL264" s="1153">
        <f ca="1">SUMIFS('ИП + источники'!AM$27:AM$87,'ИП + источники'!$F$27:$F$87,$F264,'ИП + источники'!$AC$27:$AC$87,"Прибыль на капвложения")</f>
        <v>0</v>
      </c>
      <c r="AM264" s="1153">
        <f ca="1">SUMIFS('ИП + источники'!AN$27:AN$87,'ИП + источники'!$F$27:$F$87,$F264,'ИП + источники'!$AC$27:$AC$87,"Прибыль на капвложения")</f>
        <v>0</v>
      </c>
      <c r="AN264" s="1153">
        <f ca="1">SUMIFS('ИП + источники'!AO$27:AO$87,'ИП + источники'!$F$27:$F$87,$F264,'ИП + источники'!$AC$27:$AC$87,"Прибыль на капвложения")</f>
        <v>0</v>
      </c>
      <c r="AO264" s="1153">
        <f ca="1">SUMIFS('ИП + источники'!AP$27:AP$87,'ИП + источники'!$F$27:$F$87,$F264,'ИП + источники'!$AC$27:$AC$87,"Прибыль на капвложения")</f>
        <v>0</v>
      </c>
      <c r="AP264" s="1153">
        <f ca="1">SUMIFS('ИП + источники'!AQ$27:AQ$87,'ИП + источники'!$F$27:$F$87,$F264,'ИП + источники'!$AC$27:$AC$87,"Прибыль на капвложения")</f>
        <v>0</v>
      </c>
      <c r="AQ264" s="1153">
        <f ca="1">SUMIFS('ИП + источники'!AR$27:AR$87,'ИП + источники'!$F$27:$F$87,$F264,'ИП + источники'!$AC$27:$AC$87,"Прибыль на капвложения")</f>
        <v>0</v>
      </c>
      <c r="AR264" s="1153">
        <f ca="1">SUMIFS('ИП + источники'!AS$27:AS$87,'ИП + источники'!$F$27:$F$87,$F264,'ИП + источники'!$AC$27:$AC$87,"Прибыль на капвложения")</f>
        <v>0</v>
      </c>
      <c r="AS264" s="1153">
        <f ca="1">SUMIFS('ИП + источники'!AT$27:AT$87,'ИП + источники'!$F$27:$F$87,$F264,'ИП + источники'!$AC$27:$AC$87,"Прибыль на капвложения")</f>
        <v>0</v>
      </c>
      <c r="AT264" s="1510">
        <f ca="1">SUMIFS('ИП + источники'!AU$27:AU$87,'ИП + источники'!$F$27:$F$87,$F264,'ИП + источники'!$AC$27:$AC$87,"Прибыль на капвложения")</f>
        <v>0</v>
      </c>
      <c r="AU264" s="1153">
        <f ca="1">SUMIFS('ИП + источники'!AV$27:AV$87,'ИП + источники'!$F$27:$F$87,$F264,'ИП + источники'!$AC$27:$AC$87,"Прибыль на капвложения")</f>
        <v>0</v>
      </c>
      <c r="AV264" s="1153">
        <f ca="1">SUMIFS('ИП + источники'!AW$27:AW$87,'ИП + источники'!$F$27:$F$87,$F264,'ИП + источники'!$AC$27:$AC$87,"Прибыль на капвложения")</f>
        <v>0</v>
      </c>
      <c r="AW264" s="1153">
        <f ca="1">SUMIFS('ИП + источники'!AX$27:AX$87,'ИП + источники'!$F$27:$F$87,$F264,'ИП + источники'!$AC$27:$AC$87,"Прибыль на капвложения")</f>
        <v>0</v>
      </c>
      <c r="AX264" s="1153">
        <f ca="1">SUMIFS('ИП + источники'!AY$27:AY$87,'ИП + источники'!$F$27:$F$87,$F264,'ИП + источники'!$AC$27:$AC$87,"Прибыль на капвложения")</f>
        <v>0</v>
      </c>
      <c r="AY264" s="1153">
        <f ca="1">SUMIFS('ИП + источники'!AZ$27:AZ$87,'ИП + источники'!$F$27:$F$87,$F264,'ИП + источники'!$AC$27:$AC$87,"Прибыль на капвложения")</f>
        <v>0</v>
      </c>
      <c r="AZ264" s="1153">
        <f ca="1">SUMIFS('ИП + источники'!BA$27:BA$87,'ИП + источники'!$F$27:$F$87,$F264,'ИП + источники'!$AC$27:$AC$87,"Прибыль на капвложения")</f>
        <v>0</v>
      </c>
      <c r="BA264" s="1153">
        <f ca="1">SUMIFS('ИП + источники'!BB$27:BB$87,'ИП + источники'!$F$27:$F$87,$F264,'ИП + источники'!$AC$27:$AC$87,"Прибыль на капвложения")</f>
        <v>0</v>
      </c>
      <c r="BB264" s="1153">
        <f ca="1">SUMIFS('ИП + источники'!BC$27:BC$87,'ИП + источники'!$F$27:$F$87,$F264,'ИП + источники'!$AC$27:$AC$87,"Прибыль на капвложения")</f>
        <v>0</v>
      </c>
      <c r="BC264" s="1153">
        <f ca="1">SUMIFS('ИП + источники'!BD$27:BD$87,'ИП + источники'!$F$27:$F$87,$F264,'ИП + источники'!$AC$27:$AC$87,"Прибыль на капвложения")</f>
        <v>0</v>
      </c>
      <c r="BD264" s="848">
        <f t="shared" ca="1" si="52"/>
        <v>0</v>
      </c>
      <c r="BE264" s="848">
        <f t="shared" ca="1" si="53"/>
        <v>0</v>
      </c>
      <c r="BF264" s="848">
        <f t="shared" ca="1" si="54"/>
        <v>0</v>
      </c>
      <c r="BG264" s="848">
        <f t="shared" ca="1" si="55"/>
        <v>0</v>
      </c>
      <c r="BH264" s="848">
        <f t="shared" ca="1" si="56"/>
        <v>0</v>
      </c>
      <c r="BI264" s="848">
        <f t="shared" ca="1" si="57"/>
        <v>0</v>
      </c>
      <c r="BJ264" s="848">
        <f t="shared" ca="1" si="58"/>
        <v>0</v>
      </c>
      <c r="BK264" s="848">
        <f t="shared" ca="1" si="59"/>
        <v>0</v>
      </c>
      <c r="BL264" s="848">
        <f t="shared" ca="1" si="60"/>
        <v>0</v>
      </c>
      <c r="BM264" s="848">
        <f t="shared" ca="1" si="61"/>
        <v>0</v>
      </c>
      <c r="BN264" s="1156"/>
      <c r="BO264" s="1154" t="str">
        <f ca="1">IF(IFERROR(INDEX('ИП + источники'!$K$28:$L$87,MATCH($F264&amp;"1komm",'ИП + источники'!$K$28:$K$87,0),2),"")=0,"",IFERROR(INDEX('ИП + источники'!$K$28:$L$87,MATCH($F264&amp;"1komm",'ИП + источники'!$K$28:$K$87,0),2),""))</f>
        <v/>
      </c>
      <c r="BP264" s="1156"/>
      <c r="BQ264" s="1177"/>
      <c r="BR264" s="1177"/>
      <c r="BS264" s="966" t="s">
        <v>1659</v>
      </c>
      <c r="BT264" s="966"/>
      <c r="BU264" s="966"/>
      <c r="BV264" s="881"/>
      <c r="BW264" s="881"/>
    </row>
    <row r="265" spans="1:75" s="1327" customFormat="1" ht="21.75" hidden="1" customHeight="1">
      <c r="A265" s="1177"/>
      <c r="B265" s="349" t="b" cm="1">
        <f t="array" ref="B265">B264</f>
        <v>0</v>
      </c>
      <c r="C265" s="1177"/>
      <c r="D265" s="1177"/>
      <c r="E265" s="620">
        <v>22.5</v>
      </c>
      <c r="F265" s="3" t="str" cm="1">
        <f t="array" aca="1" ref="F265" ca="1">OFFSET(E265,-1,1)</f>
        <v>1</v>
      </c>
      <c r="G265" s="77" t="s">
        <v>1965</v>
      </c>
      <c r="H265" s="1177"/>
      <c r="I265" s="77" t="s">
        <v>878</v>
      </c>
      <c r="J265" s="1177"/>
      <c r="K265" s="77" t="s">
        <v>878</v>
      </c>
      <c r="L265" s="882" t="s">
        <v>539</v>
      </c>
      <c r="M265" s="26"/>
      <c r="N265" s="1177"/>
      <c r="O265" s="1177"/>
      <c r="P265" s="1177"/>
      <c r="Q265" s="1177"/>
      <c r="R265" s="1177"/>
      <c r="S265" s="1177"/>
      <c r="T265" s="381" t="b" cm="1">
        <f t="array" aca="1" ref="T265" ca="1">T264</f>
        <v>1</v>
      </c>
      <c r="U265" s="1177"/>
      <c r="V265" s="1177"/>
      <c r="W265" s="1177"/>
      <c r="X265" s="1755"/>
      <c r="Y265" s="1177"/>
      <c r="Z265" s="1735"/>
      <c r="AA265" s="1177"/>
      <c r="AB265" s="215" t="s">
        <v>879</v>
      </c>
      <c r="AC265" s="676" t="s">
        <v>1966</v>
      </c>
      <c r="AD265" s="216" t="s">
        <v>766</v>
      </c>
      <c r="AE265" s="1155"/>
      <c r="AF265" s="1155"/>
      <c r="AG265" s="1155"/>
      <c r="AH265" s="848">
        <f t="shared" si="50"/>
        <v>0</v>
      </c>
      <c r="AI265" s="1153"/>
      <c r="AJ265" s="1510"/>
      <c r="AK265" s="1153"/>
      <c r="AL265" s="1153"/>
      <c r="AM265" s="1153"/>
      <c r="AN265" s="1153"/>
      <c r="AO265" s="1153"/>
      <c r="AP265" s="1153"/>
      <c r="AQ265" s="1153"/>
      <c r="AR265" s="1153"/>
      <c r="AS265" s="1153"/>
      <c r="AT265" s="1510"/>
      <c r="AU265" s="1153"/>
      <c r="AV265" s="1153"/>
      <c r="AW265" s="1153"/>
      <c r="AX265" s="1153"/>
      <c r="AY265" s="1153"/>
      <c r="AZ265" s="1153"/>
      <c r="BA265" s="1153"/>
      <c r="BB265" s="1153"/>
      <c r="BC265" s="1153"/>
      <c r="BD265" s="848">
        <f t="shared" si="52"/>
        <v>0</v>
      </c>
      <c r="BE265" s="848">
        <f t="shared" si="53"/>
        <v>0</v>
      </c>
      <c r="BF265" s="848">
        <f t="shared" si="54"/>
        <v>0</v>
      </c>
      <c r="BG265" s="848">
        <f t="shared" si="55"/>
        <v>0</v>
      </c>
      <c r="BH265" s="848">
        <f t="shared" si="56"/>
        <v>0</v>
      </c>
      <c r="BI265" s="848">
        <f t="shared" si="57"/>
        <v>0</v>
      </c>
      <c r="BJ265" s="848">
        <f t="shared" si="58"/>
        <v>0</v>
      </c>
      <c r="BK265" s="848">
        <f t="shared" si="59"/>
        <v>0</v>
      </c>
      <c r="BL265" s="848">
        <f t="shared" si="60"/>
        <v>0</v>
      </c>
      <c r="BM265" s="848">
        <f t="shared" si="61"/>
        <v>0</v>
      </c>
      <c r="BN265" s="1156"/>
      <c r="BO265" s="1156"/>
      <c r="BP265" s="1156"/>
      <c r="BQ265" s="1177"/>
      <c r="BR265" s="1177"/>
      <c r="BS265" s="966" t="s">
        <v>1967</v>
      </c>
      <c r="BT265" s="966"/>
      <c r="BU265" s="966"/>
      <c r="BV265" s="881"/>
      <c r="BW265" s="881"/>
    </row>
    <row r="266" spans="1:75" s="1327" customFormat="1" ht="14.25" hidden="1" customHeight="1">
      <c r="A266" s="1177"/>
      <c r="B266" s="349" t="b">
        <f>AND(method_reg="Метод индексации",STATUS_GO="да")</f>
        <v>0</v>
      </c>
      <c r="C266" s="1177"/>
      <c r="D266" s="1177"/>
      <c r="E266" s="620">
        <v>15</v>
      </c>
      <c r="F266" s="3" t="str" cm="1">
        <f t="array" aca="1" ref="F266" ca="1">OFFSET(E266,-1,1)</f>
        <v>1</v>
      </c>
      <c r="G266" s="77" t="s">
        <v>1662</v>
      </c>
      <c r="H266" s="1177"/>
      <c r="I266" s="77" t="s">
        <v>477</v>
      </c>
      <c r="J266" s="1177"/>
      <c r="K266" s="77" t="s">
        <v>477</v>
      </c>
      <c r="L266" s="882" t="s">
        <v>543</v>
      </c>
      <c r="M266" s="26"/>
      <c r="N266" s="1177"/>
      <c r="O266" s="1177"/>
      <c r="P266" s="1177"/>
      <c r="Q266" s="1177"/>
      <c r="R266" s="1177"/>
      <c r="S266" s="1177"/>
      <c r="T266" s="381" t="b" cm="1">
        <f t="array" aca="1" ref="T266" ca="1">T265</f>
        <v>1</v>
      </c>
      <c r="U266" s="1177"/>
      <c r="V266" s="1177"/>
      <c r="W266" s="1177"/>
      <c r="X266" s="1755"/>
      <c r="Y266" s="1177"/>
      <c r="Z266" s="1735"/>
      <c r="AA266" s="1177"/>
      <c r="AB266" s="215" t="s">
        <v>482</v>
      </c>
      <c r="AC266" s="369" t="s">
        <v>1662</v>
      </c>
      <c r="AD266" s="216" t="s">
        <v>766</v>
      </c>
      <c r="AE266" s="1155"/>
      <c r="AF266" s="1155"/>
      <c r="AG266" s="1155"/>
      <c r="AH266" s="848">
        <f t="shared" si="50"/>
        <v>0</v>
      </c>
      <c r="AI266" s="1153"/>
      <c r="AJ266" s="1510"/>
      <c r="AK266" s="1153"/>
      <c r="AL266" s="1153"/>
      <c r="AM266" s="1153"/>
      <c r="AN266" s="1153"/>
      <c r="AO266" s="1153"/>
      <c r="AP266" s="1153"/>
      <c r="AQ266" s="1153"/>
      <c r="AR266" s="1153"/>
      <c r="AS266" s="1153"/>
      <c r="AT266" s="1510"/>
      <c r="AU266" s="1153"/>
      <c r="AV266" s="1153"/>
      <c r="AW266" s="1153"/>
      <c r="AX266" s="1153"/>
      <c r="AY266" s="1153"/>
      <c r="AZ266" s="1153"/>
      <c r="BA266" s="1153"/>
      <c r="BB266" s="1153"/>
      <c r="BC266" s="1153"/>
      <c r="BD266" s="848">
        <f t="shared" si="52"/>
        <v>0</v>
      </c>
      <c r="BE266" s="848">
        <f t="shared" si="53"/>
        <v>0</v>
      </c>
      <c r="BF266" s="848">
        <f t="shared" si="54"/>
        <v>0</v>
      </c>
      <c r="BG266" s="848">
        <f t="shared" si="55"/>
        <v>0</v>
      </c>
      <c r="BH266" s="848">
        <f t="shared" si="56"/>
        <v>0</v>
      </c>
      <c r="BI266" s="848">
        <f t="shared" si="57"/>
        <v>0</v>
      </c>
      <c r="BJ266" s="848">
        <f t="shared" si="58"/>
        <v>0</v>
      </c>
      <c r="BK266" s="848">
        <f t="shared" si="59"/>
        <v>0</v>
      </c>
      <c r="BL266" s="848">
        <f t="shared" si="60"/>
        <v>0</v>
      </c>
      <c r="BM266" s="848">
        <f t="shared" si="61"/>
        <v>0</v>
      </c>
      <c r="BN266" s="1156"/>
      <c r="BO266" s="1156"/>
      <c r="BP266" s="1156"/>
      <c r="BQ266" s="1177"/>
      <c r="BR266" s="1177"/>
      <c r="BS266" s="966" t="s">
        <v>1663</v>
      </c>
      <c r="BT266" s="966"/>
      <c r="BU266" s="966"/>
      <c r="BV266" s="881"/>
      <c r="BW266" s="881"/>
    </row>
    <row r="267" spans="1:75" s="1327" customFormat="1" ht="14.25" hidden="1" customHeight="1">
      <c r="A267" s="1177"/>
      <c r="B267" s="877" t="b">
        <f>method_reg="Метод обеспечения доходности инвестированного капитала"</f>
        <v>0</v>
      </c>
      <c r="C267" s="1177"/>
      <c r="D267" s="1177"/>
      <c r="E267" s="620">
        <v>15</v>
      </c>
      <c r="F267" s="3" t="str" cm="1">
        <f t="array" aca="1" ref="F267" ca="1">OFFSET(E267,-1,1)</f>
        <v>1</v>
      </c>
      <c r="G267" s="1177"/>
      <c r="H267" s="1177"/>
      <c r="I267" s="1177"/>
      <c r="J267" s="1177"/>
      <c r="K267" s="26" t="s">
        <v>327</v>
      </c>
      <c r="L267" s="882"/>
      <c r="M267" s="26"/>
      <c r="N267" s="1177"/>
      <c r="O267" s="1177"/>
      <c r="P267" s="1177"/>
      <c r="Q267" s="1177"/>
      <c r="R267" s="1177"/>
      <c r="S267" s="1177"/>
      <c r="T267" s="381" t="b" cm="1">
        <f t="array" aca="1" ref="T267" ca="1">T266</f>
        <v>1</v>
      </c>
      <c r="U267" s="1177"/>
      <c r="V267" s="1177"/>
      <c r="W267" s="1177"/>
      <c r="X267" s="1755"/>
      <c r="Y267" s="1177"/>
      <c r="Z267" s="1735"/>
      <c r="AA267" s="1177"/>
      <c r="AB267" s="706" t="s">
        <v>523</v>
      </c>
      <c r="AC267" s="707" t="s">
        <v>1968</v>
      </c>
      <c r="AD267" s="708" t="s">
        <v>766</v>
      </c>
      <c r="AE267" s="1146"/>
      <c r="AF267" s="1146"/>
      <c r="AG267" s="1146"/>
      <c r="AH267" s="675">
        <f t="shared" si="50"/>
        <v>0</v>
      </c>
      <c r="AI267" s="1146"/>
      <c r="AJ267" s="1475"/>
      <c r="AK267" s="1146"/>
      <c r="AL267" s="1146"/>
      <c r="AM267" s="1146"/>
      <c r="AN267" s="1146"/>
      <c r="AO267" s="1146"/>
      <c r="AP267" s="1146"/>
      <c r="AQ267" s="1146"/>
      <c r="AR267" s="1146"/>
      <c r="AS267" s="1146"/>
      <c r="AT267" s="1475"/>
      <c r="AU267" s="1146"/>
      <c r="AV267" s="1146"/>
      <c r="AW267" s="1146"/>
      <c r="AX267" s="1146"/>
      <c r="AY267" s="1146"/>
      <c r="AZ267" s="1146"/>
      <c r="BA267" s="1146"/>
      <c r="BB267" s="1146"/>
      <c r="BC267" s="1146"/>
      <c r="BD267" s="675">
        <f t="shared" si="52"/>
        <v>0</v>
      </c>
      <c r="BE267" s="675">
        <f t="shared" si="53"/>
        <v>0</v>
      </c>
      <c r="BF267" s="675">
        <f t="shared" si="54"/>
        <v>0</v>
      </c>
      <c r="BG267" s="675">
        <f t="shared" si="55"/>
        <v>0</v>
      </c>
      <c r="BH267" s="675">
        <f t="shared" si="56"/>
        <v>0</v>
      </c>
      <c r="BI267" s="675">
        <f t="shared" si="57"/>
        <v>0</v>
      </c>
      <c r="BJ267" s="675">
        <f t="shared" si="58"/>
        <v>0</v>
      </c>
      <c r="BK267" s="675">
        <f t="shared" si="59"/>
        <v>0</v>
      </c>
      <c r="BL267" s="675">
        <f t="shared" si="60"/>
        <v>0</v>
      </c>
      <c r="BM267" s="675">
        <f t="shared" si="61"/>
        <v>0</v>
      </c>
      <c r="BN267" s="1147"/>
      <c r="BO267" s="1147"/>
      <c r="BP267" s="1147"/>
      <c r="BQ267" s="1177"/>
      <c r="BR267" s="1177"/>
      <c r="BS267" s="966" t="s">
        <v>1969</v>
      </c>
      <c r="BT267" s="966"/>
      <c r="BU267" s="966"/>
      <c r="BV267" s="881"/>
      <c r="BW267" s="881"/>
    </row>
    <row r="268" spans="1:75" s="1327" customFormat="1" ht="14.25" hidden="1" customHeight="1">
      <c r="A268" s="1177"/>
      <c r="B268" s="877" t="b" cm="1">
        <f t="array" ref="B268">B267</f>
        <v>0</v>
      </c>
      <c r="C268" s="1177"/>
      <c r="D268" s="1177"/>
      <c r="E268" s="620">
        <v>15</v>
      </c>
      <c r="F268" s="3" t="str" cm="1">
        <f t="array" aca="1" ref="F268" ca="1">OFFSET(E268,-1,1)</f>
        <v>1</v>
      </c>
      <c r="G268" s="1177"/>
      <c r="H268" s="1177"/>
      <c r="I268" s="1177"/>
      <c r="J268" s="1177"/>
      <c r="K268" s="26" t="s">
        <v>501</v>
      </c>
      <c r="L268" s="882"/>
      <c r="M268" s="26"/>
      <c r="N268" s="1177"/>
      <c r="O268" s="1177"/>
      <c r="P268" s="1177"/>
      <c r="Q268" s="1177"/>
      <c r="R268" s="1177"/>
      <c r="S268" s="1177"/>
      <c r="T268" s="381" t="b" cm="1">
        <f t="array" aca="1" ref="T268" ca="1">T267</f>
        <v>1</v>
      </c>
      <c r="U268" s="1177"/>
      <c r="V268" s="1177"/>
      <c r="W268" s="1177"/>
      <c r="X268" s="1755"/>
      <c r="Y268" s="1177"/>
      <c r="Z268" s="1735"/>
      <c r="AA268" s="1177"/>
      <c r="AB268" s="709" t="s">
        <v>639</v>
      </c>
      <c r="AC268" s="710" t="s">
        <v>1970</v>
      </c>
      <c r="AD268" s="711" t="s">
        <v>766</v>
      </c>
      <c r="AE268" s="1153"/>
      <c r="AF268" s="1153"/>
      <c r="AG268" s="1153"/>
      <c r="AH268" s="847"/>
      <c r="AI268" s="1153"/>
      <c r="AJ268" s="1510"/>
      <c r="AK268" s="1153"/>
      <c r="AL268" s="1153"/>
      <c r="AM268" s="1153"/>
      <c r="AN268" s="1153"/>
      <c r="AO268" s="1153"/>
      <c r="AP268" s="1153"/>
      <c r="AQ268" s="1153"/>
      <c r="AR268" s="1153"/>
      <c r="AS268" s="1153"/>
      <c r="AT268" s="1510"/>
      <c r="AU268" s="1153"/>
      <c r="AV268" s="1153"/>
      <c r="AW268" s="1153"/>
      <c r="AX268" s="1153"/>
      <c r="AY268" s="1153"/>
      <c r="AZ268" s="1153"/>
      <c r="BA268" s="1153"/>
      <c r="BB268" s="1153"/>
      <c r="BC268" s="1153"/>
      <c r="BD268" s="847"/>
      <c r="BE268" s="847"/>
      <c r="BF268" s="847"/>
      <c r="BG268" s="847"/>
      <c r="BH268" s="847"/>
      <c r="BI268" s="847"/>
      <c r="BJ268" s="847"/>
      <c r="BK268" s="847"/>
      <c r="BL268" s="847"/>
      <c r="BM268" s="847"/>
      <c r="BN268" s="1151"/>
      <c r="BO268" s="1151"/>
      <c r="BP268" s="1151"/>
      <c r="BQ268" s="1177"/>
      <c r="BR268" s="1177"/>
      <c r="BS268" s="966" t="s">
        <v>1971</v>
      </c>
      <c r="BT268" s="966"/>
      <c r="BU268" s="966"/>
      <c r="BV268" s="881"/>
      <c r="BW268" s="881"/>
    </row>
    <row r="269" spans="1:75" s="1327" customFormat="1" ht="14.25" hidden="1" customHeight="1">
      <c r="A269" s="1177"/>
      <c r="B269" s="877" t="b" cm="1">
        <f t="array" ref="B269">B268</f>
        <v>0</v>
      </c>
      <c r="C269" s="1177"/>
      <c r="D269" s="1177"/>
      <c r="E269" s="620">
        <v>15</v>
      </c>
      <c r="F269" s="3" t="str" cm="1">
        <f t="array" aca="1" ref="F269" ca="1">OFFSET(E269,-1,1)</f>
        <v>1</v>
      </c>
      <c r="G269" s="1177"/>
      <c r="H269" s="1177"/>
      <c r="I269" s="1177"/>
      <c r="J269" s="1177"/>
      <c r="K269" s="26" t="s">
        <v>505</v>
      </c>
      <c r="L269" s="882"/>
      <c r="M269" s="26"/>
      <c r="N269" s="1177"/>
      <c r="O269" s="1177"/>
      <c r="P269" s="1177"/>
      <c r="Q269" s="1177"/>
      <c r="R269" s="1177"/>
      <c r="S269" s="1177"/>
      <c r="T269" s="381" t="b" cm="1">
        <f t="array" aca="1" ref="T269" ca="1">T268</f>
        <v>1</v>
      </c>
      <c r="U269" s="1177"/>
      <c r="V269" s="1177"/>
      <c r="W269" s="1177"/>
      <c r="X269" s="1755"/>
      <c r="Y269" s="1177"/>
      <c r="Z269" s="1735"/>
      <c r="AA269" s="1177"/>
      <c r="AB269" s="709" t="s">
        <v>642</v>
      </c>
      <c r="AC269" s="710" t="s">
        <v>1972</v>
      </c>
      <c r="AD269" s="711" t="s">
        <v>1973</v>
      </c>
      <c r="AE269" s="1153"/>
      <c r="AF269" s="1153"/>
      <c r="AG269" s="1153"/>
      <c r="AH269" s="847"/>
      <c r="AI269" s="1153"/>
      <c r="AJ269" s="1510"/>
      <c r="AK269" s="1153"/>
      <c r="AL269" s="1153"/>
      <c r="AM269" s="1153"/>
      <c r="AN269" s="1153"/>
      <c r="AO269" s="1153"/>
      <c r="AP269" s="1153"/>
      <c r="AQ269" s="1153"/>
      <c r="AR269" s="1153"/>
      <c r="AS269" s="1153"/>
      <c r="AT269" s="1510"/>
      <c r="AU269" s="1153"/>
      <c r="AV269" s="1153"/>
      <c r="AW269" s="1153"/>
      <c r="AX269" s="1153"/>
      <c r="AY269" s="1153"/>
      <c r="AZ269" s="1153"/>
      <c r="BA269" s="1153"/>
      <c r="BB269" s="1153"/>
      <c r="BC269" s="1153"/>
      <c r="BD269" s="847"/>
      <c r="BE269" s="847"/>
      <c r="BF269" s="847"/>
      <c r="BG269" s="847"/>
      <c r="BH269" s="847"/>
      <c r="BI269" s="847"/>
      <c r="BJ269" s="847"/>
      <c r="BK269" s="847"/>
      <c r="BL269" s="847"/>
      <c r="BM269" s="847"/>
      <c r="BN269" s="1151"/>
      <c r="BO269" s="1151"/>
      <c r="BP269" s="1151"/>
      <c r="BQ269" s="1177"/>
      <c r="BR269" s="1177"/>
      <c r="BS269" s="966" t="s">
        <v>1974</v>
      </c>
      <c r="BT269" s="966"/>
      <c r="BU269" s="966"/>
      <c r="BV269" s="881"/>
      <c r="BW269" s="881"/>
    </row>
    <row r="270" spans="1:75" s="1327" customFormat="1" ht="14.25" hidden="1" customHeight="1">
      <c r="A270" s="1177"/>
      <c r="B270" s="877" t="b" cm="1">
        <f t="array" ref="B270">B269</f>
        <v>0</v>
      </c>
      <c r="C270" s="1177"/>
      <c r="D270" s="1177"/>
      <c r="E270" s="620">
        <v>15</v>
      </c>
      <c r="F270" s="3" t="str" cm="1">
        <f t="array" aca="1" ref="F270" ca="1">OFFSET(E270,-1,1)</f>
        <v>1</v>
      </c>
      <c r="G270" s="1177"/>
      <c r="H270" s="1177"/>
      <c r="I270" s="1177"/>
      <c r="J270" s="1177"/>
      <c r="K270" s="26" t="s">
        <v>326</v>
      </c>
      <c r="L270" s="882"/>
      <c r="M270" s="26"/>
      <c r="N270" s="1177"/>
      <c r="O270" s="1177"/>
      <c r="P270" s="1177"/>
      <c r="Q270" s="1177"/>
      <c r="R270" s="1177"/>
      <c r="S270" s="1177"/>
      <c r="T270" s="381" t="b" cm="1">
        <f t="array" aca="1" ref="T270" ca="1">T269</f>
        <v>1</v>
      </c>
      <c r="U270" s="1177"/>
      <c r="V270" s="1177"/>
      <c r="W270" s="1177"/>
      <c r="X270" s="1755"/>
      <c r="Y270" s="1177"/>
      <c r="Z270" s="1735"/>
      <c r="AA270" s="1177"/>
      <c r="AB270" s="706" t="s">
        <v>478</v>
      </c>
      <c r="AC270" s="707" t="s">
        <v>1975</v>
      </c>
      <c r="AD270" s="708" t="s">
        <v>766</v>
      </c>
      <c r="AE270" s="1146"/>
      <c r="AF270" s="1146"/>
      <c r="AG270" s="1146"/>
      <c r="AH270" s="675">
        <f>AG270-AF270</f>
        <v>0</v>
      </c>
      <c r="AI270" s="1146"/>
      <c r="AJ270" s="1475"/>
      <c r="AK270" s="1146"/>
      <c r="AL270" s="1146"/>
      <c r="AM270" s="1146"/>
      <c r="AN270" s="1146"/>
      <c r="AO270" s="1146"/>
      <c r="AP270" s="1146"/>
      <c r="AQ270" s="1146"/>
      <c r="AR270" s="1146"/>
      <c r="AS270" s="1146"/>
      <c r="AT270" s="1475"/>
      <c r="AU270" s="1146"/>
      <c r="AV270" s="1146"/>
      <c r="AW270" s="1146"/>
      <c r="AX270" s="1146"/>
      <c r="AY270" s="1146"/>
      <c r="AZ270" s="1146"/>
      <c r="BA270" s="1146"/>
      <c r="BB270" s="1146"/>
      <c r="BC270" s="1146"/>
      <c r="BD270" s="675">
        <f>IF(AI270=0,0,(AT270-AI270)/AI270*100)</f>
        <v>0</v>
      </c>
      <c r="BE270" s="675">
        <f t="shared" ref="BE270:BM270" si="66">IF(AT270=0,0,(AU270-AT270)/AT270*100)</f>
        <v>0</v>
      </c>
      <c r="BF270" s="675">
        <f t="shared" si="66"/>
        <v>0</v>
      </c>
      <c r="BG270" s="675">
        <f t="shared" si="66"/>
        <v>0</v>
      </c>
      <c r="BH270" s="675">
        <f t="shared" si="66"/>
        <v>0</v>
      </c>
      <c r="BI270" s="675">
        <f t="shared" si="66"/>
        <v>0</v>
      </c>
      <c r="BJ270" s="675">
        <f t="shared" si="66"/>
        <v>0</v>
      </c>
      <c r="BK270" s="675">
        <f t="shared" si="66"/>
        <v>0</v>
      </c>
      <c r="BL270" s="675">
        <f t="shared" si="66"/>
        <v>0</v>
      </c>
      <c r="BM270" s="675">
        <f t="shared" si="66"/>
        <v>0</v>
      </c>
      <c r="BN270" s="1147"/>
      <c r="BO270" s="1147"/>
      <c r="BP270" s="1147"/>
      <c r="BQ270" s="1177"/>
      <c r="BR270" s="1177"/>
      <c r="BS270" s="966" t="s">
        <v>1976</v>
      </c>
      <c r="BT270" s="966"/>
      <c r="BU270" s="966"/>
      <c r="BV270" s="881"/>
      <c r="BW270" s="881"/>
    </row>
    <row r="271" spans="1:75" s="1327" customFormat="1" ht="14.25" hidden="1" customHeight="1">
      <c r="A271" s="1177"/>
      <c r="B271" s="877" t="b" cm="1">
        <f t="array" ref="B271">B270</f>
        <v>0</v>
      </c>
      <c r="C271" s="1177"/>
      <c r="D271" s="1177"/>
      <c r="E271" s="620">
        <v>15</v>
      </c>
      <c r="F271" s="3" t="str" cm="1">
        <f t="array" aca="1" ref="F271" ca="1">OFFSET(E271,-1,1)</f>
        <v>1</v>
      </c>
      <c r="G271" s="1177"/>
      <c r="H271" s="1177"/>
      <c r="I271" s="1177"/>
      <c r="J271" s="1177"/>
      <c r="K271" s="26" t="s">
        <v>515</v>
      </c>
      <c r="L271" s="882"/>
      <c r="M271" s="26"/>
      <c r="N271" s="1177"/>
      <c r="O271" s="1177"/>
      <c r="P271" s="1177"/>
      <c r="Q271" s="1177"/>
      <c r="R271" s="1177"/>
      <c r="S271" s="1177"/>
      <c r="T271" s="381" t="b" cm="1">
        <f t="array" aca="1" ref="T271" ca="1">T270</f>
        <v>1</v>
      </c>
      <c r="U271" s="1177"/>
      <c r="V271" s="1177"/>
      <c r="W271" s="1177"/>
      <c r="X271" s="1755"/>
      <c r="Y271" s="1177"/>
      <c r="Z271" s="1735"/>
      <c r="AA271" s="1177"/>
      <c r="AB271" s="709" t="s">
        <v>646</v>
      </c>
      <c r="AC271" s="710" t="s">
        <v>1977</v>
      </c>
      <c r="AD271" s="711" t="s">
        <v>766</v>
      </c>
      <c r="AE271" s="1153"/>
      <c r="AF271" s="1153"/>
      <c r="AG271" s="1153"/>
      <c r="AH271" s="847"/>
      <c r="AI271" s="1153"/>
      <c r="AJ271" s="1510"/>
      <c r="AK271" s="1153"/>
      <c r="AL271" s="1153"/>
      <c r="AM271" s="1153"/>
      <c r="AN271" s="1153"/>
      <c r="AO271" s="1153"/>
      <c r="AP271" s="1153"/>
      <c r="AQ271" s="1153"/>
      <c r="AR271" s="1153"/>
      <c r="AS271" s="1153"/>
      <c r="AT271" s="1510"/>
      <c r="AU271" s="1153"/>
      <c r="AV271" s="1153"/>
      <c r="AW271" s="1153"/>
      <c r="AX271" s="1153"/>
      <c r="AY271" s="1153"/>
      <c r="AZ271" s="1153"/>
      <c r="BA271" s="1153"/>
      <c r="BB271" s="1153"/>
      <c r="BC271" s="1153"/>
      <c r="BD271" s="847"/>
      <c r="BE271" s="847"/>
      <c r="BF271" s="847"/>
      <c r="BG271" s="847"/>
      <c r="BH271" s="847"/>
      <c r="BI271" s="847"/>
      <c r="BJ271" s="847"/>
      <c r="BK271" s="847"/>
      <c r="BL271" s="847"/>
      <c r="BM271" s="847"/>
      <c r="BN271" s="1151"/>
      <c r="BO271" s="1151"/>
      <c r="BP271" s="1151"/>
      <c r="BQ271" s="1177"/>
      <c r="BR271" s="1177"/>
      <c r="BS271" s="966" t="s">
        <v>1978</v>
      </c>
      <c r="BT271" s="966"/>
      <c r="BU271" s="966"/>
      <c r="BV271" s="881"/>
      <c r="BW271" s="881"/>
    </row>
    <row r="272" spans="1:75" s="1327" customFormat="1" ht="14.25" hidden="1" customHeight="1">
      <c r="A272" s="1177"/>
      <c r="B272" s="877" t="b" cm="1">
        <f t="array" ref="B272">B271</f>
        <v>0</v>
      </c>
      <c r="C272" s="1177"/>
      <c r="D272" s="1177"/>
      <c r="E272" s="620">
        <v>15</v>
      </c>
      <c r="F272" s="3" t="str" cm="1">
        <f t="array" aca="1" ref="F272" ca="1">OFFSET(E272,-1,1)</f>
        <v>1</v>
      </c>
      <c r="G272" s="1177"/>
      <c r="H272" s="1177"/>
      <c r="I272" s="1177"/>
      <c r="J272" s="1177"/>
      <c r="K272" s="26" t="s">
        <v>519</v>
      </c>
      <c r="L272" s="882"/>
      <c r="M272" s="26"/>
      <c r="N272" s="1177"/>
      <c r="O272" s="1177"/>
      <c r="P272" s="1177"/>
      <c r="Q272" s="1177"/>
      <c r="R272" s="1177"/>
      <c r="S272" s="1177"/>
      <c r="T272" s="381" t="b" cm="1">
        <f t="array" aca="1" ref="T272" ca="1">T271</f>
        <v>1</v>
      </c>
      <c r="U272" s="1177"/>
      <c r="V272" s="1177"/>
      <c r="W272" s="1177"/>
      <c r="X272" s="1755"/>
      <c r="Y272" s="1177"/>
      <c r="Z272" s="1735"/>
      <c r="AA272" s="1177"/>
      <c r="AB272" s="709" t="s">
        <v>649</v>
      </c>
      <c r="AC272" s="710" t="s">
        <v>1979</v>
      </c>
      <c r="AD272" s="711" t="s">
        <v>423</v>
      </c>
      <c r="AE272" s="1153"/>
      <c r="AF272" s="1153"/>
      <c r="AG272" s="1153"/>
      <c r="AH272" s="847"/>
      <c r="AI272" s="1153"/>
      <c r="AJ272" s="1510"/>
      <c r="AK272" s="1153"/>
      <c r="AL272" s="1153"/>
      <c r="AM272" s="1153"/>
      <c r="AN272" s="1153"/>
      <c r="AO272" s="1153"/>
      <c r="AP272" s="1153"/>
      <c r="AQ272" s="1153"/>
      <c r="AR272" s="1153"/>
      <c r="AS272" s="1153"/>
      <c r="AT272" s="1510"/>
      <c r="AU272" s="1153"/>
      <c r="AV272" s="1153"/>
      <c r="AW272" s="1153"/>
      <c r="AX272" s="1153"/>
      <c r="AY272" s="1153"/>
      <c r="AZ272" s="1153"/>
      <c r="BA272" s="1153"/>
      <c r="BB272" s="1153"/>
      <c r="BC272" s="1153"/>
      <c r="BD272" s="847"/>
      <c r="BE272" s="847"/>
      <c r="BF272" s="847"/>
      <c r="BG272" s="847"/>
      <c r="BH272" s="847"/>
      <c r="BI272" s="847"/>
      <c r="BJ272" s="847"/>
      <c r="BK272" s="847"/>
      <c r="BL272" s="847"/>
      <c r="BM272" s="847"/>
      <c r="BN272" s="1151"/>
      <c r="BO272" s="1151"/>
      <c r="BP272" s="1151"/>
      <c r="BQ272" s="1177"/>
      <c r="BR272" s="1177"/>
      <c r="BS272" s="966" t="s">
        <v>1980</v>
      </c>
      <c r="BT272" s="966"/>
      <c r="BU272" s="966"/>
      <c r="BV272" s="881"/>
      <c r="BW272" s="881"/>
    </row>
    <row r="273" spans="1:75" s="1327" customFormat="1" ht="14.25" hidden="1" customHeight="1">
      <c r="A273" s="1177"/>
      <c r="B273" s="877" t="b" cm="1">
        <f t="array" ref="B273">B272</f>
        <v>0</v>
      </c>
      <c r="C273" s="1177"/>
      <c r="D273" s="1177"/>
      <c r="E273" s="620">
        <v>15</v>
      </c>
      <c r="F273" s="3" t="str" cm="1">
        <f t="array" aca="1" ref="F273" ca="1">OFFSET(E273,-1,1)</f>
        <v>1</v>
      </c>
      <c r="G273" s="1177"/>
      <c r="H273" s="1177"/>
      <c r="I273" s="1177"/>
      <c r="J273" s="1177"/>
      <c r="K273" s="26" t="s">
        <v>736</v>
      </c>
      <c r="L273" s="882"/>
      <c r="M273" s="26"/>
      <c r="N273" s="1177"/>
      <c r="O273" s="1177"/>
      <c r="P273" s="1177"/>
      <c r="Q273" s="1177"/>
      <c r="R273" s="1177"/>
      <c r="S273" s="1177"/>
      <c r="T273" s="381" t="b" cm="1">
        <f t="array" aca="1" ref="T273" ca="1">T272</f>
        <v>1</v>
      </c>
      <c r="U273" s="1177"/>
      <c r="V273" s="1177"/>
      <c r="W273" s="1177"/>
      <c r="X273" s="1755"/>
      <c r="Y273" s="1177"/>
      <c r="Z273" s="1735"/>
      <c r="AA273" s="1177"/>
      <c r="AB273" s="709" t="s">
        <v>876</v>
      </c>
      <c r="AC273" s="710" t="s">
        <v>1981</v>
      </c>
      <c r="AD273" s="711" t="s">
        <v>766</v>
      </c>
      <c r="AE273" s="1153"/>
      <c r="AF273" s="1153"/>
      <c r="AG273" s="1153"/>
      <c r="AH273" s="847"/>
      <c r="AI273" s="1153"/>
      <c r="AJ273" s="1510"/>
      <c r="AK273" s="1153"/>
      <c r="AL273" s="1153"/>
      <c r="AM273" s="1153"/>
      <c r="AN273" s="1153"/>
      <c r="AO273" s="1153"/>
      <c r="AP273" s="1153"/>
      <c r="AQ273" s="1153"/>
      <c r="AR273" s="1153"/>
      <c r="AS273" s="1153"/>
      <c r="AT273" s="1510"/>
      <c r="AU273" s="1153"/>
      <c r="AV273" s="1153"/>
      <c r="AW273" s="1153"/>
      <c r="AX273" s="1153"/>
      <c r="AY273" s="1153"/>
      <c r="AZ273" s="1153"/>
      <c r="BA273" s="1153"/>
      <c r="BB273" s="1153"/>
      <c r="BC273" s="1153"/>
      <c r="BD273" s="847"/>
      <c r="BE273" s="847"/>
      <c r="BF273" s="847"/>
      <c r="BG273" s="847"/>
      <c r="BH273" s="847"/>
      <c r="BI273" s="847"/>
      <c r="BJ273" s="847"/>
      <c r="BK273" s="847"/>
      <c r="BL273" s="847"/>
      <c r="BM273" s="847"/>
      <c r="BN273" s="1151"/>
      <c r="BO273" s="1151"/>
      <c r="BP273" s="1151"/>
      <c r="BQ273" s="1177"/>
      <c r="BR273" s="1177"/>
      <c r="BS273" s="966" t="s">
        <v>1982</v>
      </c>
      <c r="BT273" s="966"/>
      <c r="BU273" s="966"/>
      <c r="BV273" s="881"/>
      <c r="BW273" s="881"/>
    </row>
    <row r="274" spans="1:75" s="1327" customFormat="1" ht="14.25" hidden="1" customHeight="1">
      <c r="A274" s="1177"/>
      <c r="B274" s="877" t="b" cm="1">
        <f t="array" ref="B274">B273</f>
        <v>0</v>
      </c>
      <c r="C274" s="1177"/>
      <c r="D274" s="1177"/>
      <c r="E274" s="620">
        <v>15</v>
      </c>
      <c r="F274" s="3" t="str" cm="1">
        <f t="array" aca="1" ref="F274" ca="1">OFFSET(E274,-1,1)</f>
        <v>1</v>
      </c>
      <c r="G274" s="1177"/>
      <c r="H274" s="1177"/>
      <c r="I274" s="1177"/>
      <c r="J274" s="1177"/>
      <c r="K274" s="26" t="s">
        <v>878</v>
      </c>
      <c r="L274" s="882"/>
      <c r="M274" s="26"/>
      <c r="N274" s="1177"/>
      <c r="O274" s="1177"/>
      <c r="P274" s="1177"/>
      <c r="Q274" s="1177"/>
      <c r="R274" s="1177"/>
      <c r="S274" s="1177"/>
      <c r="T274" s="381" t="b" cm="1">
        <f t="array" aca="1" ref="T274" ca="1">T273</f>
        <v>1</v>
      </c>
      <c r="U274" s="1177"/>
      <c r="V274" s="1177"/>
      <c r="W274" s="1177"/>
      <c r="X274" s="1755"/>
      <c r="Y274" s="1177"/>
      <c r="Z274" s="1735"/>
      <c r="AA274" s="1177"/>
      <c r="AB274" s="709" t="s">
        <v>879</v>
      </c>
      <c r="AC274" s="710" t="s">
        <v>1983</v>
      </c>
      <c r="AD274" s="711" t="s">
        <v>766</v>
      </c>
      <c r="AE274" s="1153"/>
      <c r="AF274" s="1153"/>
      <c r="AG274" s="1153"/>
      <c r="AH274" s="847"/>
      <c r="AI274" s="1153"/>
      <c r="AJ274" s="1510"/>
      <c r="AK274" s="1153"/>
      <c r="AL274" s="1153"/>
      <c r="AM274" s="1153"/>
      <c r="AN274" s="1153"/>
      <c r="AO274" s="1153"/>
      <c r="AP274" s="1153"/>
      <c r="AQ274" s="1153"/>
      <c r="AR274" s="1153"/>
      <c r="AS274" s="1153"/>
      <c r="AT274" s="1510"/>
      <c r="AU274" s="1153"/>
      <c r="AV274" s="1153"/>
      <c r="AW274" s="1153"/>
      <c r="AX274" s="1153"/>
      <c r="AY274" s="1153"/>
      <c r="AZ274" s="1153"/>
      <c r="BA274" s="1153"/>
      <c r="BB274" s="1153"/>
      <c r="BC274" s="1153"/>
      <c r="BD274" s="847"/>
      <c r="BE274" s="847"/>
      <c r="BF274" s="847"/>
      <c r="BG274" s="847"/>
      <c r="BH274" s="847"/>
      <c r="BI274" s="847"/>
      <c r="BJ274" s="847"/>
      <c r="BK274" s="847"/>
      <c r="BL274" s="847"/>
      <c r="BM274" s="847"/>
      <c r="BN274" s="1151"/>
      <c r="BO274" s="1151"/>
      <c r="BP274" s="1151"/>
      <c r="BQ274" s="1177"/>
      <c r="BR274" s="1177"/>
      <c r="BS274" s="966" t="s">
        <v>1984</v>
      </c>
      <c r="BT274" s="966"/>
      <c r="BU274" s="966"/>
      <c r="BV274" s="881"/>
      <c r="BW274" s="881"/>
    </row>
    <row r="275" spans="1:75" s="1327" customFormat="1" ht="14.25" hidden="1" customHeight="1">
      <c r="A275" s="1177"/>
      <c r="B275" s="877" t="b" cm="1">
        <f t="array" ref="B275">B274</f>
        <v>0</v>
      </c>
      <c r="C275" s="1177"/>
      <c r="D275" s="1177"/>
      <c r="E275" s="620">
        <v>15</v>
      </c>
      <c r="F275" s="3" t="str" cm="1">
        <f t="array" aca="1" ref="F275" ca="1">OFFSET(E275,-1,1)</f>
        <v>1</v>
      </c>
      <c r="G275" s="1177"/>
      <c r="H275" s="1177"/>
      <c r="I275" s="1177"/>
      <c r="J275" s="1177"/>
      <c r="K275" s="26" t="s">
        <v>1985</v>
      </c>
      <c r="L275" s="882"/>
      <c r="M275" s="26"/>
      <c r="N275" s="1177"/>
      <c r="O275" s="1177"/>
      <c r="P275" s="1177"/>
      <c r="Q275" s="1177"/>
      <c r="R275" s="1177"/>
      <c r="S275" s="1177"/>
      <c r="T275" s="381" t="b" cm="1">
        <f t="array" aca="1" ref="T275" ca="1">T274</f>
        <v>1</v>
      </c>
      <c r="U275" s="1177"/>
      <c r="V275" s="1177"/>
      <c r="W275" s="1177"/>
      <c r="X275" s="1755"/>
      <c r="Y275" s="1177"/>
      <c r="Z275" s="1735"/>
      <c r="AA275" s="1177"/>
      <c r="AB275" s="709" t="s">
        <v>1986</v>
      </c>
      <c r="AC275" s="712" t="s">
        <v>1987</v>
      </c>
      <c r="AD275" s="711" t="s">
        <v>423</v>
      </c>
      <c r="AE275" s="1153"/>
      <c r="AF275" s="1153"/>
      <c r="AG275" s="1153"/>
      <c r="AH275" s="847"/>
      <c r="AI275" s="1153"/>
      <c r="AJ275" s="1510"/>
      <c r="AK275" s="1153"/>
      <c r="AL275" s="1153"/>
      <c r="AM275" s="1153"/>
      <c r="AN275" s="1153"/>
      <c r="AO275" s="1153"/>
      <c r="AP275" s="1153"/>
      <c r="AQ275" s="1153"/>
      <c r="AR275" s="1153"/>
      <c r="AS275" s="1153"/>
      <c r="AT275" s="1510"/>
      <c r="AU275" s="1153"/>
      <c r="AV275" s="1153"/>
      <c r="AW275" s="1153"/>
      <c r="AX275" s="1153"/>
      <c r="AY275" s="1153"/>
      <c r="AZ275" s="1153"/>
      <c r="BA275" s="1153"/>
      <c r="BB275" s="1153"/>
      <c r="BC275" s="1153"/>
      <c r="BD275" s="847"/>
      <c r="BE275" s="847"/>
      <c r="BF275" s="847"/>
      <c r="BG275" s="847"/>
      <c r="BH275" s="847"/>
      <c r="BI275" s="847"/>
      <c r="BJ275" s="847"/>
      <c r="BK275" s="847"/>
      <c r="BL275" s="847"/>
      <c r="BM275" s="847"/>
      <c r="BN275" s="1151"/>
      <c r="BO275" s="1151"/>
      <c r="BP275" s="1151"/>
      <c r="BQ275" s="1177"/>
      <c r="BR275" s="1177"/>
      <c r="BS275" s="966" t="s">
        <v>1988</v>
      </c>
      <c r="BT275" s="966"/>
      <c r="BU275" s="966"/>
      <c r="BV275" s="881"/>
      <c r="BW275" s="881"/>
    </row>
    <row r="276" spans="1:75" s="1327" customFormat="1" ht="14.25" hidden="1" customHeight="1">
      <c r="A276" s="1177"/>
      <c r="B276" s="877" t="b" cm="1">
        <f t="array" ref="B276">B275</f>
        <v>0</v>
      </c>
      <c r="C276" s="1177"/>
      <c r="D276" s="1177"/>
      <c r="E276" s="620">
        <v>15</v>
      </c>
      <c r="F276" s="3" t="str" cm="1">
        <f t="array" aca="1" ref="F276" ca="1">OFFSET(E276,-1,1)</f>
        <v>1</v>
      </c>
      <c r="G276" s="1177"/>
      <c r="H276" s="1177"/>
      <c r="I276" s="1177"/>
      <c r="J276" s="1177"/>
      <c r="K276" s="26" t="s">
        <v>881</v>
      </c>
      <c r="L276" s="882"/>
      <c r="M276" s="26"/>
      <c r="N276" s="1177"/>
      <c r="O276" s="1177"/>
      <c r="P276" s="1177"/>
      <c r="Q276" s="1177"/>
      <c r="R276" s="1177"/>
      <c r="S276" s="1177"/>
      <c r="T276" s="381" t="b" cm="1">
        <f t="array" aca="1" ref="T276" ca="1">T275</f>
        <v>1</v>
      </c>
      <c r="U276" s="1177"/>
      <c r="V276" s="1177"/>
      <c r="W276" s="1177"/>
      <c r="X276" s="1755"/>
      <c r="Y276" s="1177"/>
      <c r="Z276" s="1735"/>
      <c r="AA276" s="1177"/>
      <c r="AB276" s="709" t="s">
        <v>882</v>
      </c>
      <c r="AC276" s="710" t="s">
        <v>1989</v>
      </c>
      <c r="AD276" s="711" t="s">
        <v>423</v>
      </c>
      <c r="AE276" s="1153"/>
      <c r="AF276" s="1153"/>
      <c r="AG276" s="1153"/>
      <c r="AH276" s="847"/>
      <c r="AI276" s="1153"/>
      <c r="AJ276" s="1510"/>
      <c r="AK276" s="1153"/>
      <c r="AL276" s="1153"/>
      <c r="AM276" s="1153"/>
      <c r="AN276" s="1153"/>
      <c r="AO276" s="1153"/>
      <c r="AP276" s="1153"/>
      <c r="AQ276" s="1153"/>
      <c r="AR276" s="1153"/>
      <c r="AS276" s="1153"/>
      <c r="AT276" s="1510"/>
      <c r="AU276" s="1153"/>
      <c r="AV276" s="1153"/>
      <c r="AW276" s="1153"/>
      <c r="AX276" s="1153"/>
      <c r="AY276" s="1153"/>
      <c r="AZ276" s="1153"/>
      <c r="BA276" s="1153"/>
      <c r="BB276" s="1153"/>
      <c r="BC276" s="1153"/>
      <c r="BD276" s="847"/>
      <c r="BE276" s="847"/>
      <c r="BF276" s="847"/>
      <c r="BG276" s="847"/>
      <c r="BH276" s="847"/>
      <c r="BI276" s="847"/>
      <c r="BJ276" s="847"/>
      <c r="BK276" s="847"/>
      <c r="BL276" s="847"/>
      <c r="BM276" s="847"/>
      <c r="BN276" s="1151"/>
      <c r="BO276" s="1151"/>
      <c r="BP276" s="1151"/>
      <c r="BQ276" s="1177"/>
      <c r="BR276" s="1177"/>
      <c r="BS276" s="966" t="s">
        <v>1990</v>
      </c>
      <c r="BT276" s="966"/>
      <c r="BU276" s="966"/>
      <c r="BV276" s="881"/>
      <c r="BW276" s="881"/>
    </row>
    <row r="277" spans="1:75" s="1327" customFormat="1" ht="14.25" hidden="1" customHeight="1">
      <c r="A277" s="1177"/>
      <c r="B277" s="877" t="b" cm="1">
        <f t="array" ref="B277">B276</f>
        <v>0</v>
      </c>
      <c r="C277" s="1177"/>
      <c r="D277" s="1177"/>
      <c r="E277" s="620">
        <v>15</v>
      </c>
      <c r="F277" s="3" t="str" cm="1">
        <f t="array" aca="1" ref="F277" ca="1">OFFSET(E277,-1,1)</f>
        <v>1</v>
      </c>
      <c r="G277" s="1177"/>
      <c r="H277" s="1177"/>
      <c r="I277" s="1177"/>
      <c r="J277" s="1177"/>
      <c r="K277" s="26" t="s">
        <v>1991</v>
      </c>
      <c r="L277" s="882"/>
      <c r="M277" s="26"/>
      <c r="N277" s="1177"/>
      <c r="O277" s="1177"/>
      <c r="P277" s="1177"/>
      <c r="Q277" s="1177"/>
      <c r="R277" s="1177"/>
      <c r="S277" s="1177"/>
      <c r="T277" s="381" t="b" cm="1">
        <f t="array" aca="1" ref="T277" ca="1">T276</f>
        <v>1</v>
      </c>
      <c r="U277" s="1177"/>
      <c r="V277" s="1177"/>
      <c r="W277" s="1177"/>
      <c r="X277" s="1755"/>
      <c r="Y277" s="1177"/>
      <c r="Z277" s="1735"/>
      <c r="AA277" s="1177"/>
      <c r="AB277" s="709" t="s">
        <v>1992</v>
      </c>
      <c r="AC277" s="712" t="s">
        <v>1993</v>
      </c>
      <c r="AD277" s="711" t="s">
        <v>423</v>
      </c>
      <c r="AE277" s="1153"/>
      <c r="AF277" s="1153"/>
      <c r="AG277" s="1153"/>
      <c r="AH277" s="847"/>
      <c r="AI277" s="1153"/>
      <c r="AJ277" s="1510"/>
      <c r="AK277" s="1153"/>
      <c r="AL277" s="1153"/>
      <c r="AM277" s="1153"/>
      <c r="AN277" s="1153"/>
      <c r="AO277" s="1153"/>
      <c r="AP277" s="1153"/>
      <c r="AQ277" s="1153"/>
      <c r="AR277" s="1153"/>
      <c r="AS277" s="1153"/>
      <c r="AT277" s="1510"/>
      <c r="AU277" s="1153"/>
      <c r="AV277" s="1153"/>
      <c r="AW277" s="1153"/>
      <c r="AX277" s="1153"/>
      <c r="AY277" s="1153"/>
      <c r="AZ277" s="1153"/>
      <c r="BA277" s="1153"/>
      <c r="BB277" s="1153"/>
      <c r="BC277" s="1153"/>
      <c r="BD277" s="847"/>
      <c r="BE277" s="847"/>
      <c r="BF277" s="847"/>
      <c r="BG277" s="847"/>
      <c r="BH277" s="847"/>
      <c r="BI277" s="847"/>
      <c r="BJ277" s="847"/>
      <c r="BK277" s="847"/>
      <c r="BL277" s="847"/>
      <c r="BM277" s="847"/>
      <c r="BN277" s="1151"/>
      <c r="BO277" s="1151"/>
      <c r="BP277" s="1151"/>
      <c r="BQ277" s="1177"/>
      <c r="BR277" s="1177"/>
      <c r="BS277" s="966" t="s">
        <v>1994</v>
      </c>
      <c r="BT277" s="966"/>
      <c r="BU277" s="966"/>
      <c r="BV277" s="881"/>
      <c r="BW277" s="881"/>
    </row>
    <row r="278" spans="1:75" s="1327" customFormat="1" ht="14.25" hidden="1" customHeight="1">
      <c r="A278" s="1177"/>
      <c r="B278" s="877" t="b" cm="1">
        <f t="array" ref="B278">B277</f>
        <v>0</v>
      </c>
      <c r="C278" s="1177"/>
      <c r="D278" s="1177"/>
      <c r="E278" s="620">
        <v>15</v>
      </c>
      <c r="F278" s="3" t="str" cm="1">
        <f t="array" aca="1" ref="F278" ca="1">OFFSET(E278,-1,1)</f>
        <v>1</v>
      </c>
      <c r="G278" s="1177"/>
      <c r="H278" s="1177"/>
      <c r="I278" s="1177"/>
      <c r="J278" s="1177"/>
      <c r="K278" s="26" t="s">
        <v>1995</v>
      </c>
      <c r="L278" s="882"/>
      <c r="M278" s="26"/>
      <c r="N278" s="1177"/>
      <c r="O278" s="1177"/>
      <c r="P278" s="1177"/>
      <c r="Q278" s="1177"/>
      <c r="R278" s="1177"/>
      <c r="S278" s="1177"/>
      <c r="T278" s="381" t="b" cm="1">
        <f t="array" aca="1" ref="T278" ca="1">T277</f>
        <v>1</v>
      </c>
      <c r="U278" s="1177"/>
      <c r="V278" s="1177"/>
      <c r="W278" s="1177"/>
      <c r="X278" s="1755"/>
      <c r="Y278" s="1177"/>
      <c r="Z278" s="1735"/>
      <c r="AA278" s="1177"/>
      <c r="AB278" s="709" t="s">
        <v>1996</v>
      </c>
      <c r="AC278" s="712" t="s">
        <v>1997</v>
      </c>
      <c r="AD278" s="711" t="s">
        <v>423</v>
      </c>
      <c r="AE278" s="1153"/>
      <c r="AF278" s="1153"/>
      <c r="AG278" s="1153"/>
      <c r="AH278" s="847"/>
      <c r="AI278" s="1153"/>
      <c r="AJ278" s="1510"/>
      <c r="AK278" s="1153"/>
      <c r="AL278" s="1153"/>
      <c r="AM278" s="1153"/>
      <c r="AN278" s="1153"/>
      <c r="AO278" s="1153"/>
      <c r="AP278" s="1153"/>
      <c r="AQ278" s="1153"/>
      <c r="AR278" s="1153"/>
      <c r="AS278" s="1153"/>
      <c r="AT278" s="1510"/>
      <c r="AU278" s="1153"/>
      <c r="AV278" s="1153"/>
      <c r="AW278" s="1153"/>
      <c r="AX278" s="1153"/>
      <c r="AY278" s="1153"/>
      <c r="AZ278" s="1153"/>
      <c r="BA278" s="1153"/>
      <c r="BB278" s="1153"/>
      <c r="BC278" s="1153"/>
      <c r="BD278" s="847"/>
      <c r="BE278" s="847"/>
      <c r="BF278" s="847"/>
      <c r="BG278" s="847"/>
      <c r="BH278" s="847"/>
      <c r="BI278" s="847"/>
      <c r="BJ278" s="847"/>
      <c r="BK278" s="847"/>
      <c r="BL278" s="847"/>
      <c r="BM278" s="847"/>
      <c r="BN278" s="1151"/>
      <c r="BO278" s="1151"/>
      <c r="BP278" s="1151"/>
      <c r="BQ278" s="1177"/>
      <c r="BR278" s="1177"/>
      <c r="BS278" s="966" t="s">
        <v>1998</v>
      </c>
      <c r="BT278" s="966"/>
      <c r="BU278" s="966"/>
      <c r="BV278" s="881"/>
      <c r="BW278" s="881"/>
    </row>
    <row r="279" spans="1:75" s="1530" customFormat="1" ht="20.25" customHeight="1">
      <c r="A279" s="617"/>
      <c r="B279" s="352"/>
      <c r="C279" s="617"/>
      <c r="D279" s="28" t="str">
        <f>IF(B278,"6","7")</f>
        <v>7</v>
      </c>
      <c r="E279" s="624">
        <v>21</v>
      </c>
      <c r="F279" s="3" t="str" cm="1">
        <f t="array" aca="1" ref="F279" ca="1">OFFSET(E279,-1,1)</f>
        <v>1</v>
      </c>
      <c r="G279" s="77" t="s">
        <v>1999</v>
      </c>
      <c r="H279" s="77"/>
      <c r="I279" s="292" t="s">
        <v>2000</v>
      </c>
      <c r="J279" s="617"/>
      <c r="K279" s="292" t="s">
        <v>2000</v>
      </c>
      <c r="L279" s="887"/>
      <c r="M279" s="28"/>
      <c r="N279" s="617"/>
      <c r="O279" s="617"/>
      <c r="P279" s="617"/>
      <c r="Q279" s="617"/>
      <c r="R279" s="617"/>
      <c r="S279" s="617"/>
      <c r="T279" s="381" t="b" cm="1">
        <f t="array" aca="1" ref="T279" ca="1">T278</f>
        <v>1</v>
      </c>
      <c r="U279" s="617"/>
      <c r="V279" s="617"/>
      <c r="W279" s="617"/>
      <c r="X279" s="1755"/>
      <c r="Y279" s="617"/>
      <c r="Z279" s="1735"/>
      <c r="AA279" s="617"/>
      <c r="AB279" s="129" t="str" cm="1">
        <f t="array" ref="AB279">D279</f>
        <v>7</v>
      </c>
      <c r="AC279" s="137" t="s">
        <v>1440</v>
      </c>
      <c r="AD279" s="129" t="s">
        <v>766</v>
      </c>
      <c r="AE279" s="1477"/>
      <c r="AF279" s="1477"/>
      <c r="AG279" s="1477"/>
      <c r="AH279" s="675">
        <f>AG279-AF279</f>
        <v>0</v>
      </c>
      <c r="AI279" s="1475"/>
      <c r="AJ279" s="1510">
        <f ca="1">SUMIFS('Корректировка НВВ'!$AF$25:$AF$129,'Корректировка НВВ'!$F$25:$F$129,$F279,'Корректировка НВВ'!$I$25:$I$129,$G279)</f>
        <v>0</v>
      </c>
      <c r="AK279" s="1475"/>
      <c r="AL279" s="1475"/>
      <c r="AM279" s="1475"/>
      <c r="AN279" s="1475"/>
      <c r="AO279" s="1475"/>
      <c r="AP279" s="1475"/>
      <c r="AQ279" s="1475"/>
      <c r="AR279" s="1475"/>
      <c r="AS279" s="1475"/>
      <c r="AT279" s="1510">
        <f ca="1">SUMIFS('Корректировка НВВ'!$AG$25:$AG$129,'Корректировка НВВ'!$F$25:$F$129,$F279,'Корректировка НВВ'!$I$25:$I$129,$G279)</f>
        <v>0</v>
      </c>
      <c r="AU279" s="1475"/>
      <c r="AV279" s="1475"/>
      <c r="AW279" s="1475"/>
      <c r="AX279" s="1475"/>
      <c r="AY279" s="1475"/>
      <c r="AZ279" s="1475"/>
      <c r="BA279" s="1475"/>
      <c r="BB279" s="1475"/>
      <c r="BC279" s="1475"/>
      <c r="BD279" s="675">
        <f>IF(AI279=0,0,(AT279-AI279)/AI279*100)</f>
        <v>0</v>
      </c>
      <c r="BE279" s="675">
        <f t="shared" ref="BE279:BM279" ca="1" si="67">IF(AT279=0,0,(AU279-AT279)/AT279*100)</f>
        <v>0</v>
      </c>
      <c r="BF279" s="675">
        <f t="shared" si="67"/>
        <v>0</v>
      </c>
      <c r="BG279" s="675">
        <f t="shared" si="67"/>
        <v>0</v>
      </c>
      <c r="BH279" s="675">
        <f t="shared" si="67"/>
        <v>0</v>
      </c>
      <c r="BI279" s="675">
        <f t="shared" si="67"/>
        <v>0</v>
      </c>
      <c r="BJ279" s="675">
        <f t="shared" si="67"/>
        <v>0</v>
      </c>
      <c r="BK279" s="675">
        <f t="shared" si="67"/>
        <v>0</v>
      </c>
      <c r="BL279" s="675">
        <f t="shared" si="67"/>
        <v>0</v>
      </c>
      <c r="BM279" s="675">
        <f t="shared" si="67"/>
        <v>0</v>
      </c>
      <c r="BN279" s="1483"/>
      <c r="BO279" s="1517" t="str">
        <f ca="1">IF(IFERROR(INDEX('Корректировка НВВ'!$K$26:$L$129,MATCH($F279&amp;"11komm",'Корректировка НВВ'!$K$26:$K$129,0),2),"")=0,"",IFERROR(INDEX('Корректировка НВВ'!$K$26:$L$129,MATCH($F279&amp;"11komm",'Корректировка НВВ'!$K$26:$K$129,0),2),""))</f>
        <v/>
      </c>
      <c r="BP279" s="1483"/>
      <c r="BQ279" s="617"/>
      <c r="BR279" s="617"/>
      <c r="BS279" s="972" t="s">
        <v>2001</v>
      </c>
      <c r="BT279" s="972"/>
      <c r="BU279" s="972"/>
      <c r="BV279" s="624"/>
      <c r="BW279" s="624"/>
    </row>
    <row r="280" spans="1:75" s="1327" customFormat="1" ht="14.25" customHeight="1">
      <c r="A280" s="1177"/>
      <c r="B280" s="880"/>
      <c r="C280" s="1177"/>
      <c r="D280" s="26" t="str" cm="1">
        <f t="array" ref="D280">D279</f>
        <v>7</v>
      </c>
      <c r="E280" s="620">
        <v>15</v>
      </c>
      <c r="F280" s="3" t="str" cm="1">
        <f t="array" aca="1" ref="F280" ca="1">OFFSET(E280,-1,1)</f>
        <v>1</v>
      </c>
      <c r="G280" s="1177"/>
      <c r="H280" s="1177"/>
      <c r="I280" s="1177"/>
      <c r="J280" s="1177"/>
      <c r="K280" s="1177"/>
      <c r="L280" s="882"/>
      <c r="M280" s="26"/>
      <c r="N280" s="1177"/>
      <c r="O280" s="1177"/>
      <c r="P280" s="1177"/>
      <c r="Q280" s="1177"/>
      <c r="R280" s="1177"/>
      <c r="S280" s="1177"/>
      <c r="T280" s="381" t="b" cm="1">
        <f t="array" aca="1" ref="T280" ca="1">T279</f>
        <v>1</v>
      </c>
      <c r="U280" s="1177"/>
      <c r="V280" s="1177"/>
      <c r="W280" s="1177"/>
      <c r="X280" s="1755"/>
      <c r="Y280" s="1177"/>
      <c r="Z280" s="1735"/>
      <c r="AA280" s="1177"/>
      <c r="AB280" s="216"/>
      <c r="AC280" s="369" t="s">
        <v>2002</v>
      </c>
      <c r="AD280" s="216"/>
      <c r="AE280" s="850"/>
      <c r="AF280" s="850"/>
      <c r="AG280" s="850"/>
      <c r="AH280" s="847"/>
      <c r="AI280" s="847"/>
      <c r="AJ280" s="847"/>
      <c r="AK280" s="847"/>
      <c r="AL280" s="847"/>
      <c r="AM280" s="847"/>
      <c r="AN280" s="847"/>
      <c r="AO280" s="847"/>
      <c r="AP280" s="847"/>
      <c r="AQ280" s="847"/>
      <c r="AR280" s="847"/>
      <c r="AS280" s="847"/>
      <c r="AT280" s="847"/>
      <c r="AU280" s="847"/>
      <c r="AV280" s="847"/>
      <c r="AW280" s="847"/>
      <c r="AX280" s="847"/>
      <c r="AY280" s="847"/>
      <c r="AZ280" s="847"/>
      <c r="BA280" s="847"/>
      <c r="BB280" s="847"/>
      <c r="BC280" s="847"/>
      <c r="BD280" s="847"/>
      <c r="BE280" s="847"/>
      <c r="BF280" s="847"/>
      <c r="BG280" s="847"/>
      <c r="BH280" s="847"/>
      <c r="BI280" s="847"/>
      <c r="BJ280" s="847"/>
      <c r="BK280" s="847"/>
      <c r="BL280" s="847"/>
      <c r="BM280" s="847"/>
      <c r="BN280" s="442"/>
      <c r="BO280" s="442"/>
      <c r="BP280" s="442"/>
      <c r="BQ280" s="1177"/>
      <c r="BR280" s="1177"/>
      <c r="BS280" s="966"/>
      <c r="BT280" s="966"/>
      <c r="BU280" s="966"/>
      <c r="BV280" s="881"/>
      <c r="BW280" s="881"/>
    </row>
    <row r="281" spans="1:75" s="1327" customFormat="1" ht="21.75" customHeight="1">
      <c r="A281" s="1177"/>
      <c r="B281" s="880"/>
      <c r="C281" s="1177"/>
      <c r="D281" s="26" t="str" cm="1">
        <f t="array" ref="D281">D280</f>
        <v>7</v>
      </c>
      <c r="E281" s="620">
        <v>22.5</v>
      </c>
      <c r="F281" s="3" t="str" cm="1">
        <f t="array" aca="1" ref="F281" ca="1">OFFSET(E281,-1,1)</f>
        <v>1</v>
      </c>
      <c r="G281" s="77" t="s">
        <v>365</v>
      </c>
      <c r="H281" s="1177"/>
      <c r="I281" s="77" t="s">
        <v>481</v>
      </c>
      <c r="J281" s="1177"/>
      <c r="K281" s="77" t="s">
        <v>481</v>
      </c>
      <c r="L281" s="882"/>
      <c r="M281" s="26"/>
      <c r="N281" s="1177"/>
      <c r="O281" s="1177"/>
      <c r="P281" s="1177"/>
      <c r="Q281" s="1177"/>
      <c r="R281" s="1177"/>
      <c r="S281" s="1177"/>
      <c r="T281" s="381" t="b" cm="1">
        <f t="array" aca="1" ref="T281" ca="1">T280</f>
        <v>1</v>
      </c>
      <c r="U281" s="1177"/>
      <c r="V281" s="1177"/>
      <c r="W281" s="1177"/>
      <c r="X281" s="1755"/>
      <c r="Y281" s="1177"/>
      <c r="Z281" s="1735"/>
      <c r="AA281" s="1177"/>
      <c r="AB281" s="216" t="str">
        <f>D281&amp;".1"</f>
        <v>7.1</v>
      </c>
      <c r="AC281" s="676" t="s">
        <v>2003</v>
      </c>
      <c r="AD281" s="216" t="s">
        <v>766</v>
      </c>
      <c r="AE281" s="1509"/>
      <c r="AF281" s="1509"/>
      <c r="AG281" s="1509"/>
      <c r="AH281" s="848">
        <f t="shared" ref="AH281:AH294" si="68">AG281-AF281</f>
        <v>0</v>
      </c>
      <c r="AI281" s="1510"/>
      <c r="AJ281" s="1510">
        <f ca="1">SUMIFS('Корректировка НВВ'!$AF$25:$AF$129,'Корректировка НВВ'!$F$25:$F$129,$F281,'Корректировка НВВ'!$I$25:$I$129,$G281)</f>
        <v>0</v>
      </c>
      <c r="AK281" s="1510"/>
      <c r="AL281" s="1510"/>
      <c r="AM281" s="1510"/>
      <c r="AN281" s="1510"/>
      <c r="AO281" s="1510"/>
      <c r="AP281" s="1510"/>
      <c r="AQ281" s="1510"/>
      <c r="AR281" s="1510"/>
      <c r="AS281" s="1510"/>
      <c r="AT281" s="1510">
        <f ca="1">SUMIFS('Корректировка НВВ'!$AG$25:$AG$129,'Корректировка НВВ'!$F$25:$F$129,$F281,'Корректировка НВВ'!$I$25:$I$129,$G281)</f>
        <v>0</v>
      </c>
      <c r="AU281" s="1510"/>
      <c r="AV281" s="1510"/>
      <c r="AW281" s="1510"/>
      <c r="AX281" s="1510"/>
      <c r="AY281" s="1510"/>
      <c r="AZ281" s="1510"/>
      <c r="BA281" s="1510"/>
      <c r="BB281" s="1510"/>
      <c r="BC281" s="1510"/>
      <c r="BD281" s="847"/>
      <c r="BE281" s="847"/>
      <c r="BF281" s="847"/>
      <c r="BG281" s="847"/>
      <c r="BH281" s="847"/>
      <c r="BI281" s="847"/>
      <c r="BJ281" s="847"/>
      <c r="BK281" s="847"/>
      <c r="BL281" s="847"/>
      <c r="BM281" s="847"/>
      <c r="BN281" s="1522"/>
      <c r="BO281" s="1517" t="str">
        <f ca="1">IF(IFERROR(INDEX('Корректировка НВВ'!$K$26:$L$129,MATCH($F281&amp;"1komm",'Корректировка НВВ'!$K$26:$K$129,0),2),"")=0,"",IFERROR(INDEX('Корректировка НВВ'!$K$26:$L$129,MATCH($F281&amp;"1komm",'Корректировка НВВ'!$K$26:$K$129,0),2),""))</f>
        <v/>
      </c>
      <c r="BP281" s="1522"/>
      <c r="BQ281" s="1177"/>
      <c r="BR281" s="1177"/>
      <c r="BS281" s="966" t="s">
        <v>2004</v>
      </c>
      <c r="BT281" s="966"/>
      <c r="BU281" s="966"/>
      <c r="BV281" s="881"/>
      <c r="BW281" s="881"/>
    </row>
    <row r="282" spans="1:75" s="1327" customFormat="1" ht="98.25" customHeight="1">
      <c r="A282" s="1177"/>
      <c r="B282" s="880"/>
      <c r="C282" s="1177"/>
      <c r="D282" s="26" t="str" cm="1">
        <f t="array" ref="D282">D281</f>
        <v>7</v>
      </c>
      <c r="E282" s="620">
        <v>101.25</v>
      </c>
      <c r="F282" s="3" t="str" cm="1">
        <f t="array" aca="1" ref="F282" ca="1">OFFSET(E282,-1,1)</f>
        <v>1</v>
      </c>
      <c r="G282" s="77" t="s">
        <v>2005</v>
      </c>
      <c r="H282" s="1177"/>
      <c r="I282" s="77" t="s">
        <v>528</v>
      </c>
      <c r="J282" s="1177"/>
      <c r="K282" s="77" t="s">
        <v>528</v>
      </c>
      <c r="L282" s="882"/>
      <c r="M282" s="26"/>
      <c r="N282" s="1177"/>
      <c r="O282" s="1177"/>
      <c r="P282" s="1177"/>
      <c r="Q282" s="1177"/>
      <c r="R282" s="1177"/>
      <c r="S282" s="1177"/>
      <c r="T282" s="381" t="b" cm="1">
        <f t="array" aca="1" ref="T282" ca="1">T281</f>
        <v>1</v>
      </c>
      <c r="U282" s="1177"/>
      <c r="V282" s="1177"/>
      <c r="W282" s="1177"/>
      <c r="X282" s="1755"/>
      <c r="Y282" s="1177"/>
      <c r="Z282" s="1735"/>
      <c r="AA282" s="1177"/>
      <c r="AB282" s="216" t="str">
        <f>D282&amp;".2"</f>
        <v>7.2</v>
      </c>
      <c r="AC282" s="676" t="s">
        <v>2006</v>
      </c>
      <c r="AD282" s="216" t="s">
        <v>766</v>
      </c>
      <c r="AE282" s="1509"/>
      <c r="AF282" s="1509"/>
      <c r="AG282" s="1509"/>
      <c r="AH282" s="848">
        <f t="shared" si="68"/>
        <v>0</v>
      </c>
      <c r="AI282" s="1510"/>
      <c r="AJ282" s="1510">
        <f ca="1">SUMIFS('Корректировка НВВ'!$AF$25:$AF$129,'Корректировка НВВ'!$F$25:$F$129,$F282,'Корректировка НВВ'!$I$25:$I$129,$G282)</f>
        <v>0</v>
      </c>
      <c r="AK282" s="1510"/>
      <c r="AL282" s="1510"/>
      <c r="AM282" s="1510"/>
      <c r="AN282" s="1510"/>
      <c r="AO282" s="1510"/>
      <c r="AP282" s="1510"/>
      <c r="AQ282" s="1510"/>
      <c r="AR282" s="1510"/>
      <c r="AS282" s="1510"/>
      <c r="AT282" s="1510">
        <f ca="1">SUMIFS('Корректировка НВВ'!$AG$25:$AG$129,'Корректировка НВВ'!$F$25:$F$129,$F282,'Корректировка НВВ'!$I$25:$I$129,$G282)</f>
        <v>0</v>
      </c>
      <c r="AU282" s="1510"/>
      <c r="AV282" s="1510"/>
      <c r="AW282" s="1510"/>
      <c r="AX282" s="1510"/>
      <c r="AY282" s="1510"/>
      <c r="AZ282" s="1510"/>
      <c r="BA282" s="1510"/>
      <c r="BB282" s="1510"/>
      <c r="BC282" s="1510"/>
      <c r="BD282" s="847"/>
      <c r="BE282" s="847"/>
      <c r="BF282" s="847"/>
      <c r="BG282" s="847"/>
      <c r="BH282" s="847"/>
      <c r="BI282" s="847"/>
      <c r="BJ282" s="847"/>
      <c r="BK282" s="847"/>
      <c r="BL282" s="847"/>
      <c r="BM282" s="847"/>
      <c r="BN282" s="1522"/>
      <c r="BO282" s="1517" t="str">
        <f ca="1">IF(IFERROR(INDEX('Корректировка НВВ'!$K$26:$L$129,MATCH($F282&amp;"2komm",'Корректировка НВВ'!$K$26:$K$129,0),2),"")=0,"",IFERROR(INDEX('Корректировка НВВ'!$K$26:$L$129,MATCH($F282&amp;"2komm",'Корректировка НВВ'!$K$26:$K$129,0),2),""))</f>
        <v/>
      </c>
      <c r="BP282" s="1522"/>
      <c r="BQ282" s="1177"/>
      <c r="BR282" s="1177"/>
      <c r="BS282" s="966" t="s">
        <v>2007</v>
      </c>
      <c r="BT282" s="966"/>
      <c r="BU282" s="966"/>
      <c r="BV282" s="881"/>
      <c r="BW282" s="881"/>
    </row>
    <row r="283" spans="1:75" s="1327" customFormat="1" ht="43.5" customHeight="1">
      <c r="A283" s="1177"/>
      <c r="B283" s="880"/>
      <c r="C283" s="1177"/>
      <c r="D283" s="26" t="str" cm="1">
        <f t="array" ref="D283">D282</f>
        <v>7</v>
      </c>
      <c r="E283" s="620">
        <v>45</v>
      </c>
      <c r="F283" s="3" t="str" cm="1">
        <f t="array" aca="1" ref="F283" ca="1">OFFSET(E283,-1,1)</f>
        <v>1</v>
      </c>
      <c r="G283" s="1177"/>
      <c r="H283" s="1177"/>
      <c r="I283" s="77" t="s">
        <v>543</v>
      </c>
      <c r="J283" s="1177"/>
      <c r="K283" s="77" t="s">
        <v>543</v>
      </c>
      <c r="L283" s="882"/>
      <c r="M283" s="26"/>
      <c r="N283" s="1177"/>
      <c r="O283" s="1177"/>
      <c r="P283" s="1177"/>
      <c r="Q283" s="1177"/>
      <c r="R283" s="1177"/>
      <c r="S283" s="1177"/>
      <c r="T283" s="381" t="b" cm="1">
        <f t="array" aca="1" ref="T283" ca="1">T282</f>
        <v>1</v>
      </c>
      <c r="U283" s="1177"/>
      <c r="V283" s="1177"/>
      <c r="W283" s="1177"/>
      <c r="X283" s="1755"/>
      <c r="Y283" s="1177"/>
      <c r="Z283" s="1735"/>
      <c r="AA283" s="1177"/>
      <c r="AB283" s="216" t="str">
        <f>D283&amp;".3"</f>
        <v>7.3</v>
      </c>
      <c r="AC283" s="676" t="s">
        <v>2008</v>
      </c>
      <c r="AD283" s="216" t="s">
        <v>766</v>
      </c>
      <c r="AE283" s="1509"/>
      <c r="AF283" s="1509"/>
      <c r="AG283" s="1509"/>
      <c r="AH283" s="848">
        <f t="shared" si="68"/>
        <v>0</v>
      </c>
      <c r="AI283" s="1510"/>
      <c r="AJ283" s="1510">
        <f ca="1">SUMIFS('Корректировка НВВ'!$AF$25:$AF$129,'Корректировка НВВ'!$F$25:$F$129,$F283,'Корректировка НВВ'!$I$25:$I$129,"L1")+SUMIFS('Корректировка НВВ'!$AF$25:$AF$129,'Корректировка НВВ'!$F$25:$F$129,$F283,'Корректировка НВВ'!$I$25:$I$129,"L2")</f>
        <v>0</v>
      </c>
      <c r="AK283" s="1510"/>
      <c r="AL283" s="1510"/>
      <c r="AM283" s="1510"/>
      <c r="AN283" s="1510"/>
      <c r="AO283" s="1510"/>
      <c r="AP283" s="1510"/>
      <c r="AQ283" s="1510"/>
      <c r="AR283" s="1510"/>
      <c r="AS283" s="1510"/>
      <c r="AT283" s="1510">
        <f ca="1">SUMIFS('Корректировка НВВ'!$AG$25:$AG$129,'Корректировка НВВ'!$F$25:$F$129,$F283,'Корректировка НВВ'!$I$25:$I$129,"L1")+SUMIFS('Корректировка НВВ'!$AF$25:$AF$129,'Корректировка НВВ'!$F$25:$F$129,$F283,'Корректировка НВВ'!$I$25:$I$129,"L2")</f>
        <v>0</v>
      </c>
      <c r="AU283" s="1510"/>
      <c r="AV283" s="1510"/>
      <c r="AW283" s="1510"/>
      <c r="AX283" s="1510"/>
      <c r="AY283" s="1510"/>
      <c r="AZ283" s="1510"/>
      <c r="BA283" s="1510"/>
      <c r="BB283" s="1510"/>
      <c r="BC283" s="1510"/>
      <c r="BD283" s="847"/>
      <c r="BE283" s="847"/>
      <c r="BF283" s="847"/>
      <c r="BG283" s="847"/>
      <c r="BH283" s="847"/>
      <c r="BI283" s="847"/>
      <c r="BJ283" s="847"/>
      <c r="BK283" s="847"/>
      <c r="BL283" s="847"/>
      <c r="BM283" s="847"/>
      <c r="BN283" s="1522"/>
      <c r="BO283" s="1517"/>
      <c r="BP283" s="1522"/>
      <c r="BQ283" s="1177"/>
      <c r="BR283" s="1177"/>
      <c r="BS283" s="966" t="s">
        <v>2009</v>
      </c>
      <c r="BT283" s="966"/>
      <c r="BU283" s="966"/>
      <c r="BV283" s="881"/>
      <c r="BW283" s="881"/>
    </row>
    <row r="284" spans="1:75" s="1327" customFormat="1" ht="87.75" hidden="1" customHeight="1">
      <c r="A284" s="1177"/>
      <c r="B284" s="362" t="b">
        <f>S171="Водоотведение"</f>
        <v>0</v>
      </c>
      <c r="C284" s="1177"/>
      <c r="D284" s="26" t="str" cm="1">
        <f t="array" ref="D284">D283</f>
        <v>7</v>
      </c>
      <c r="E284" s="620">
        <v>90</v>
      </c>
      <c r="F284" s="3" t="str" cm="1">
        <f t="array" aca="1" ref="F284" ca="1">OFFSET(E284,-1,1)</f>
        <v>1</v>
      </c>
      <c r="G284" s="77" t="s">
        <v>2010</v>
      </c>
      <c r="H284" s="2"/>
      <c r="I284" s="77" t="s">
        <v>712</v>
      </c>
      <c r="J284" s="1177"/>
      <c r="K284" s="77" t="s">
        <v>712</v>
      </c>
      <c r="L284" s="882" t="s">
        <v>709</v>
      </c>
      <c r="M284" s="26"/>
      <c r="N284" s="1177"/>
      <c r="O284" s="1177"/>
      <c r="P284" s="1177"/>
      <c r="Q284" s="1177"/>
      <c r="R284" s="1177"/>
      <c r="S284" s="1177"/>
      <c r="T284" s="381" t="b" cm="1">
        <f t="array" aca="1" ref="T284" ca="1">T283</f>
        <v>1</v>
      </c>
      <c r="U284" s="1177"/>
      <c r="V284" s="1177"/>
      <c r="W284" s="1177"/>
      <c r="X284" s="1755"/>
      <c r="Y284" s="1177"/>
      <c r="Z284" s="1735"/>
      <c r="AA284" s="1177"/>
      <c r="AB284" s="216" t="str">
        <f>D284&amp;".4"</f>
        <v>7.4</v>
      </c>
      <c r="AC284" s="676" t="s">
        <v>1665</v>
      </c>
      <c r="AD284" s="680" t="s">
        <v>766</v>
      </c>
      <c r="AE284" s="1155"/>
      <c r="AF284" s="1155"/>
      <c r="AG284" s="1155"/>
      <c r="AH284" s="848">
        <f t="shared" si="68"/>
        <v>0</v>
      </c>
      <c r="AI284" s="1153"/>
      <c r="AJ284" s="1510">
        <f ca="1">SUMIFS('Корректировка НВВ'!$AF$25:$AF$129,'Корректировка НВВ'!$F$25:$F$129,$F284,'Корректировка НВВ'!$I$25:$I$129,$G284)</f>
        <v>0</v>
      </c>
      <c r="AK284" s="1153"/>
      <c r="AL284" s="1153"/>
      <c r="AM284" s="1153"/>
      <c r="AN284" s="1153"/>
      <c r="AO284" s="1153"/>
      <c r="AP284" s="1153"/>
      <c r="AQ284" s="1153"/>
      <c r="AR284" s="1153"/>
      <c r="AS284" s="1153"/>
      <c r="AT284" s="1510">
        <f ca="1">SUMIFS('Корректировка НВВ'!$AG$25:$AG$129,'Корректировка НВВ'!$F$25:$F$129,$F284,'Корректировка НВВ'!$I$25:$I$129,$G284)</f>
        <v>0</v>
      </c>
      <c r="AU284" s="1153"/>
      <c r="AV284" s="1153"/>
      <c r="AW284" s="1153"/>
      <c r="AX284" s="1153"/>
      <c r="AY284" s="1153"/>
      <c r="AZ284" s="1153"/>
      <c r="BA284" s="1153"/>
      <c r="BB284" s="1153"/>
      <c r="BC284" s="1153"/>
      <c r="BD284" s="847"/>
      <c r="BE284" s="847"/>
      <c r="BF284" s="847"/>
      <c r="BG284" s="847"/>
      <c r="BH284" s="847"/>
      <c r="BI284" s="847"/>
      <c r="BJ284" s="847"/>
      <c r="BK284" s="847"/>
      <c r="BL284" s="847"/>
      <c r="BM284" s="847"/>
      <c r="BN284" s="1156"/>
      <c r="BO284" s="1154" t="str">
        <f ca="1">IF(IFERROR(INDEX('Корректировка НВВ'!$K$26:$L$129,MATCH($F284&amp;"3komm",'Корректировка НВВ'!$K$26:$K$129,0),2),"")=0,"",IFERROR(INDEX('Корректировка НВВ'!$K$26:$L$129,MATCH($F284&amp;"3komm",'Корректировка НВВ'!$K$26:$K$129,0),2),""))</f>
        <v/>
      </c>
      <c r="BP284" s="1156"/>
      <c r="BQ284" s="1177"/>
      <c r="BR284" s="1177"/>
      <c r="BS284" s="966" t="s">
        <v>1216</v>
      </c>
      <c r="BT284" s="966"/>
      <c r="BU284" s="966"/>
      <c r="BV284" s="881"/>
      <c r="BW284" s="881"/>
    </row>
    <row r="285" spans="1:75" s="1327" customFormat="1" ht="54.75" hidden="1" customHeight="1">
      <c r="A285" s="1177"/>
      <c r="B285" s="362" t="b" cm="1">
        <f t="array" ref="B285">B284</f>
        <v>0</v>
      </c>
      <c r="C285" s="1177"/>
      <c r="D285" s="26" t="str" cm="1">
        <f t="array" ref="D285">D284</f>
        <v>7</v>
      </c>
      <c r="E285" s="620">
        <v>56.25</v>
      </c>
      <c r="F285" s="3" t="str" cm="1">
        <f t="array" aca="1" ref="F285" ca="1">OFFSET(E285,-1,1)</f>
        <v>1</v>
      </c>
      <c r="G285" s="77" t="s">
        <v>2011</v>
      </c>
      <c r="H285" s="2"/>
      <c r="I285" s="77" t="s">
        <v>744</v>
      </c>
      <c r="J285" s="1177"/>
      <c r="K285" s="77" t="s">
        <v>744</v>
      </c>
      <c r="L285" s="882" t="s">
        <v>712</v>
      </c>
      <c r="M285" s="26"/>
      <c r="N285" s="1177"/>
      <c r="O285" s="1177"/>
      <c r="P285" s="1177"/>
      <c r="Q285" s="1177"/>
      <c r="R285" s="1177"/>
      <c r="S285" s="1177"/>
      <c r="T285" s="381" t="b" cm="1">
        <f t="array" aca="1" ref="T285" ca="1">T284</f>
        <v>1</v>
      </c>
      <c r="U285" s="1177"/>
      <c r="V285" s="1177"/>
      <c r="W285" s="1177"/>
      <c r="X285" s="1755"/>
      <c r="Y285" s="1177"/>
      <c r="Z285" s="1735"/>
      <c r="AA285" s="1177"/>
      <c r="AB285" s="216" t="str">
        <f>D285&amp;".5"</f>
        <v>7.5</v>
      </c>
      <c r="AC285" s="676" t="s">
        <v>1667</v>
      </c>
      <c r="AD285" s="680" t="s">
        <v>766</v>
      </c>
      <c r="AE285" s="1155"/>
      <c r="AF285" s="1155"/>
      <c r="AG285" s="1155"/>
      <c r="AH285" s="848">
        <f t="shared" si="68"/>
        <v>0</v>
      </c>
      <c r="AI285" s="1153"/>
      <c r="AJ285" s="1510">
        <f ca="1">SUMIFS('Корректировка НВВ'!$AF$25:$AF$129,'Корректировка НВВ'!$F$25:$F$129,$F285,'Корректировка НВВ'!$I$25:$I$129,$G285)</f>
        <v>0</v>
      </c>
      <c r="AK285" s="1153"/>
      <c r="AL285" s="1153"/>
      <c r="AM285" s="1153"/>
      <c r="AN285" s="1153"/>
      <c r="AO285" s="1153"/>
      <c r="AP285" s="1153"/>
      <c r="AQ285" s="1153"/>
      <c r="AR285" s="1153"/>
      <c r="AS285" s="1153"/>
      <c r="AT285" s="1510">
        <f ca="1">SUMIFS('Корректировка НВВ'!$AG$25:$AG$129,'Корректировка НВВ'!$F$25:$F$129,$F285,'Корректировка НВВ'!$I$25:$I$129,$G285)</f>
        <v>0</v>
      </c>
      <c r="AU285" s="1153"/>
      <c r="AV285" s="1153"/>
      <c r="AW285" s="1153"/>
      <c r="AX285" s="1153"/>
      <c r="AY285" s="1153"/>
      <c r="AZ285" s="1153"/>
      <c r="BA285" s="1153"/>
      <c r="BB285" s="1153"/>
      <c r="BC285" s="1153"/>
      <c r="BD285" s="847"/>
      <c r="BE285" s="847"/>
      <c r="BF285" s="847"/>
      <c r="BG285" s="847"/>
      <c r="BH285" s="847"/>
      <c r="BI285" s="847"/>
      <c r="BJ285" s="847"/>
      <c r="BK285" s="847"/>
      <c r="BL285" s="847"/>
      <c r="BM285" s="847"/>
      <c r="BN285" s="1156"/>
      <c r="BO285" s="1154" t="str">
        <f ca="1">IF(IFERROR(INDEX('Корректировка НВВ'!$K$26:$L$129,MATCH($F285&amp;"4komm",'Корректировка НВВ'!$K$26:$K$129,0),2),"")=0,"",IFERROR(INDEX('Корректировка НВВ'!$K$26:$L$129,MATCH($F285&amp;"4komm",'Корректировка НВВ'!$K$26:$K$129,0),2),""))</f>
        <v/>
      </c>
      <c r="BP285" s="1156"/>
      <c r="BQ285" s="1177"/>
      <c r="BR285" s="1177"/>
      <c r="BS285" s="966" t="s">
        <v>1220</v>
      </c>
      <c r="BT285" s="966"/>
      <c r="BU285" s="966"/>
      <c r="BV285" s="881"/>
      <c r="BW285" s="881"/>
    </row>
    <row r="286" spans="1:75" s="1327" customFormat="1" ht="14.25" customHeight="1">
      <c r="A286" s="1177"/>
      <c r="B286" s="880"/>
      <c r="C286" s="1177"/>
      <c r="D286" s="26" t="str" cm="1">
        <f t="array" ref="D286">D285</f>
        <v>7</v>
      </c>
      <c r="E286" s="620">
        <v>15</v>
      </c>
      <c r="F286" s="3" t="str" cm="1">
        <f t="array" aca="1" ref="F286" ca="1">OFFSET(E286,-1,1)</f>
        <v>1</v>
      </c>
      <c r="G286" s="77" t="s">
        <v>2012</v>
      </c>
      <c r="H286" s="1177"/>
      <c r="I286" s="77" t="s">
        <v>745</v>
      </c>
      <c r="J286" s="1177"/>
      <c r="K286" s="77" t="s">
        <v>745</v>
      </c>
      <c r="L286" s="882" t="s">
        <v>744</v>
      </c>
      <c r="M286" s="26"/>
      <c r="N286" s="1177"/>
      <c r="O286" s="1177"/>
      <c r="P286" s="1177"/>
      <c r="Q286" s="1177"/>
      <c r="R286" s="1177"/>
      <c r="S286" s="1177"/>
      <c r="T286" s="381" t="b" cm="1">
        <f t="array" aca="1" ref="T286" ca="1">T285</f>
        <v>1</v>
      </c>
      <c r="U286" s="1177"/>
      <c r="V286" s="1177"/>
      <c r="W286" s="1177"/>
      <c r="X286" s="1755"/>
      <c r="Y286" s="1177"/>
      <c r="Z286" s="1735"/>
      <c r="AA286" s="1177"/>
      <c r="AB286" s="216" t="str">
        <f>IF(B285,D286&amp;".6",D286&amp;".4")</f>
        <v>7.4</v>
      </c>
      <c r="AC286" s="676" t="s">
        <v>1433</v>
      </c>
      <c r="AD286" s="216" t="s">
        <v>766</v>
      </c>
      <c r="AE286" s="1509"/>
      <c r="AF286" s="1509"/>
      <c r="AG286" s="1509"/>
      <c r="AH286" s="848">
        <f t="shared" si="68"/>
        <v>0</v>
      </c>
      <c r="AI286" s="1510"/>
      <c r="AJ286" s="1510">
        <f ca="1">SUMIFS('Корректировка НВВ'!$AF$25:$AF$129,'Корректировка НВВ'!$F$25:$F$129,$F286,'Корректировка НВВ'!$I$25:$I$129,$G286)</f>
        <v>0</v>
      </c>
      <c r="AK286" s="1510"/>
      <c r="AL286" s="1510"/>
      <c r="AM286" s="1510"/>
      <c r="AN286" s="1510"/>
      <c r="AO286" s="1510"/>
      <c r="AP286" s="1510"/>
      <c r="AQ286" s="1510"/>
      <c r="AR286" s="1510"/>
      <c r="AS286" s="1510"/>
      <c r="AT286" s="1510">
        <f ca="1">SUMIFS('Корректировка НВВ'!$AG$25:$AG$129,'Корректировка НВВ'!$F$25:$F$129,$F286,'Корректировка НВВ'!$I$25:$I$129,$G286)</f>
        <v>0</v>
      </c>
      <c r="AU286" s="1510"/>
      <c r="AV286" s="1510"/>
      <c r="AW286" s="1510"/>
      <c r="AX286" s="1510"/>
      <c r="AY286" s="1510"/>
      <c r="AZ286" s="1510"/>
      <c r="BA286" s="1510"/>
      <c r="BB286" s="1510"/>
      <c r="BC286" s="1510"/>
      <c r="BD286" s="847"/>
      <c r="BE286" s="847"/>
      <c r="BF286" s="847"/>
      <c r="BG286" s="847"/>
      <c r="BH286" s="847"/>
      <c r="BI286" s="847"/>
      <c r="BJ286" s="847"/>
      <c r="BK286" s="847"/>
      <c r="BL286" s="847"/>
      <c r="BM286" s="847"/>
      <c r="BN286" s="1522"/>
      <c r="BO286" s="1517" t="str">
        <f ca="1">IF(IFERROR(INDEX('Корректировка НВВ'!$K$26:$L$129,MATCH($F286&amp;"5komm",'Корректировка НВВ'!$K$26:$K$129,0),2),"")=0,"",IFERROR(INDEX('Корректировка НВВ'!$K$26:$L$129,MATCH($F286&amp;"5komm",'Корректировка НВВ'!$K$26:$K$129,0),2),""))</f>
        <v/>
      </c>
      <c r="BP286" s="1522"/>
      <c r="BQ286" s="1177"/>
      <c r="BR286" s="1177"/>
      <c r="BS286" s="966" t="s">
        <v>2013</v>
      </c>
      <c r="BT286" s="966"/>
      <c r="BU286" s="966"/>
      <c r="BV286" s="881"/>
      <c r="BW286" s="881"/>
    </row>
    <row r="287" spans="1:75" s="1327" customFormat="1" ht="14.25" customHeight="1">
      <c r="A287" s="1177"/>
      <c r="B287" s="880"/>
      <c r="C287" s="1177"/>
      <c r="D287" s="26" t="str" cm="1">
        <f t="array" ref="D287">D286</f>
        <v>7</v>
      </c>
      <c r="E287" s="620">
        <v>15</v>
      </c>
      <c r="F287" s="3" t="str" cm="1">
        <f t="array" aca="1" ref="F287" ca="1">OFFSET(E287,-1,1)</f>
        <v>1</v>
      </c>
      <c r="G287" s="77" t="s">
        <v>2014</v>
      </c>
      <c r="H287" s="1177"/>
      <c r="I287" s="77" t="s">
        <v>1677</v>
      </c>
      <c r="J287" s="1177"/>
      <c r="K287" s="77" t="s">
        <v>1677</v>
      </c>
      <c r="L287" s="882" t="s">
        <v>745</v>
      </c>
      <c r="M287" s="26"/>
      <c r="N287" s="1177"/>
      <c r="O287" s="1177"/>
      <c r="P287" s="1177"/>
      <c r="Q287" s="1177"/>
      <c r="R287" s="1177"/>
      <c r="S287" s="1177"/>
      <c r="T287" s="381" t="b" cm="1">
        <f t="array" aca="1" ref="T287" ca="1">T286</f>
        <v>1</v>
      </c>
      <c r="U287" s="1177"/>
      <c r="V287" s="1177"/>
      <c r="W287" s="1177"/>
      <c r="X287" s="1755"/>
      <c r="Y287" s="1177"/>
      <c r="Z287" s="1735"/>
      <c r="AA287" s="1177"/>
      <c r="AB287" s="216" t="str">
        <f>IF(B285,D286&amp;".7",D286&amp;".5")</f>
        <v>7.5</v>
      </c>
      <c r="AC287" s="676" t="s">
        <v>1395</v>
      </c>
      <c r="AD287" s="216" t="s">
        <v>766</v>
      </c>
      <c r="AE287" s="1509">
        <f>AE288+AE289</f>
        <v>0</v>
      </c>
      <c r="AF287" s="1509">
        <f>AF288+AF289</f>
        <v>0</v>
      </c>
      <c r="AG287" s="1509">
        <f>AG288+AG289</f>
        <v>0</v>
      </c>
      <c r="AH287" s="848">
        <f t="shared" si="68"/>
        <v>0</v>
      </c>
      <c r="AI287" s="1510">
        <f>AI288+AI289</f>
        <v>0</v>
      </c>
      <c r="AJ287" s="1510">
        <f ca="1">SUMIFS('Корректировка НВВ'!$AF$25:$AF$129,'Корректировка НВВ'!$F$25:$F$129,$F287,'Корректировка НВВ'!$I$25:$I$129,$G287)</f>
        <v>0</v>
      </c>
      <c r="AK287" s="1510">
        <f t="shared" ref="AK287:AS287" si="69">AK288+AK289</f>
        <v>0</v>
      </c>
      <c r="AL287" s="1510">
        <f t="shared" si="69"/>
        <v>0</v>
      </c>
      <c r="AM287" s="1510">
        <f t="shared" si="69"/>
        <v>0</v>
      </c>
      <c r="AN287" s="1510">
        <f t="shared" si="69"/>
        <v>0</v>
      </c>
      <c r="AO287" s="1510">
        <f t="shared" si="69"/>
        <v>0</v>
      </c>
      <c r="AP287" s="1510">
        <f t="shared" si="69"/>
        <v>0</v>
      </c>
      <c r="AQ287" s="1510">
        <f t="shared" si="69"/>
        <v>0</v>
      </c>
      <c r="AR287" s="1510">
        <f t="shared" si="69"/>
        <v>0</v>
      </c>
      <c r="AS287" s="1510">
        <f t="shared" si="69"/>
        <v>0</v>
      </c>
      <c r="AT287" s="1510">
        <f ca="1">SUMIFS('Корректировка НВВ'!$AG$25:$AG$129,'Корректировка НВВ'!$F$25:$F$129,$F287,'Корректировка НВВ'!$I$25:$I$129,$G287)</f>
        <v>0</v>
      </c>
      <c r="AU287" s="1510">
        <f t="shared" ref="AU287:BC287" si="70">AU288+AU289</f>
        <v>0</v>
      </c>
      <c r="AV287" s="1510">
        <f t="shared" si="70"/>
        <v>0</v>
      </c>
      <c r="AW287" s="1510">
        <f t="shared" si="70"/>
        <v>0</v>
      </c>
      <c r="AX287" s="1510">
        <f t="shared" si="70"/>
        <v>0</v>
      </c>
      <c r="AY287" s="1510">
        <f t="shared" si="70"/>
        <v>0</v>
      </c>
      <c r="AZ287" s="1510">
        <f t="shared" si="70"/>
        <v>0</v>
      </c>
      <c r="BA287" s="1510">
        <f t="shared" si="70"/>
        <v>0</v>
      </c>
      <c r="BB287" s="1510">
        <f t="shared" si="70"/>
        <v>0</v>
      </c>
      <c r="BC287" s="1510">
        <f t="shared" si="70"/>
        <v>0</v>
      </c>
      <c r="BD287" s="848">
        <f>IF(AI287=0,0,(AT287-AI287)/AI287*100)</f>
        <v>0</v>
      </c>
      <c r="BE287" s="848">
        <f t="shared" ref="BE287:BM287" ca="1" si="71">IF(AT287=0,0,(AU287-AT287)/AT287*100)</f>
        <v>0</v>
      </c>
      <c r="BF287" s="848">
        <f t="shared" si="71"/>
        <v>0</v>
      </c>
      <c r="BG287" s="848">
        <f t="shared" si="71"/>
        <v>0</v>
      </c>
      <c r="BH287" s="848">
        <f t="shared" si="71"/>
        <v>0</v>
      </c>
      <c r="BI287" s="848">
        <f t="shared" si="71"/>
        <v>0</v>
      </c>
      <c r="BJ287" s="848">
        <f t="shared" si="71"/>
        <v>0</v>
      </c>
      <c r="BK287" s="848">
        <f t="shared" si="71"/>
        <v>0</v>
      </c>
      <c r="BL287" s="848">
        <f t="shared" si="71"/>
        <v>0</v>
      </c>
      <c r="BM287" s="848">
        <f t="shared" si="71"/>
        <v>0</v>
      </c>
      <c r="BN287" s="1522"/>
      <c r="BO287" s="1517" t="str">
        <f ca="1">IF(IFERROR(INDEX('Корректировка НВВ'!$K$26:$L$129,MATCH($F287&amp;"6komm",'Корректировка НВВ'!$K$26:$K$129,0),2),"")=0,"",IFERROR(INDEX('Корректировка НВВ'!$K$26:$L$129,MATCH($F287&amp;"6komm",'Корректировка НВВ'!$K$26:$K$129,0),2),""))</f>
        <v/>
      </c>
      <c r="BP287" s="1522"/>
      <c r="BQ287" s="1177"/>
      <c r="BR287" s="1177"/>
      <c r="BS287" s="966" t="s">
        <v>1397</v>
      </c>
      <c r="BT287" s="966"/>
      <c r="BU287" s="966"/>
      <c r="BV287" s="881"/>
      <c r="BW287" s="881"/>
    </row>
    <row r="288" spans="1:75" s="1327" customFormat="1" ht="21.75" customHeight="1">
      <c r="A288" s="1177"/>
      <c r="B288" s="880"/>
      <c r="C288" s="1177"/>
      <c r="D288" s="26" t="str" cm="1">
        <f t="array" ref="D288">D287</f>
        <v>7</v>
      </c>
      <c r="E288" s="620">
        <v>22.5</v>
      </c>
      <c r="F288" s="3" t="str" cm="1">
        <f t="array" aca="1" ref="F288" ca="1">OFFSET(E288,-1,1)</f>
        <v>1</v>
      </c>
      <c r="G288" s="77" t="s">
        <v>2015</v>
      </c>
      <c r="H288" s="1177"/>
      <c r="I288" s="77" t="s">
        <v>2016</v>
      </c>
      <c r="J288" s="1177"/>
      <c r="K288" s="77" t="s">
        <v>2016</v>
      </c>
      <c r="L288" s="882" t="s">
        <v>1672</v>
      </c>
      <c r="M288" s="26"/>
      <c r="N288" s="1177"/>
      <c r="O288" s="1177"/>
      <c r="P288" s="1177"/>
      <c r="Q288" s="1177"/>
      <c r="R288" s="1177"/>
      <c r="S288" s="1177"/>
      <c r="T288" s="381" t="b" cm="1">
        <f t="array" aca="1" ref="T288" ca="1">T287</f>
        <v>1</v>
      </c>
      <c r="U288" s="1177"/>
      <c r="V288" s="1177"/>
      <c r="W288" s="1177"/>
      <c r="X288" s="1755"/>
      <c r="Y288" s="1177"/>
      <c r="Z288" s="1735"/>
      <c r="AA288" s="1177"/>
      <c r="AB288" s="216" t="str">
        <f>AB287&amp;".1"</f>
        <v>7.5.1</v>
      </c>
      <c r="AC288" s="695" t="s">
        <v>1398</v>
      </c>
      <c r="AD288" s="216" t="s">
        <v>766</v>
      </c>
      <c r="AE288" s="1509"/>
      <c r="AF288" s="1509"/>
      <c r="AG288" s="1509"/>
      <c r="AH288" s="848">
        <f t="shared" si="68"/>
        <v>0</v>
      </c>
      <c r="AI288" s="1510"/>
      <c r="AJ288" s="1510">
        <f ca="1">SUMIFS('Корректировка НВВ'!$AF$25:$AF$129,'Корректировка НВВ'!$F$25:$F$129,$F288,'Корректировка НВВ'!$I$25:$I$129,$G288)</f>
        <v>0</v>
      </c>
      <c r="AK288" s="1510"/>
      <c r="AL288" s="1510"/>
      <c r="AM288" s="1510"/>
      <c r="AN288" s="1510"/>
      <c r="AO288" s="1510"/>
      <c r="AP288" s="1510"/>
      <c r="AQ288" s="1510"/>
      <c r="AR288" s="1510"/>
      <c r="AS288" s="1510"/>
      <c r="AT288" s="1510">
        <f ca="1">SUMIFS('Корректировка НВВ'!$AG$25:$AG$129,'Корректировка НВВ'!$F$25:$F$129,$F288,'Корректировка НВВ'!$I$25:$I$129,$G288)</f>
        <v>0</v>
      </c>
      <c r="AU288" s="1510"/>
      <c r="AV288" s="1510"/>
      <c r="AW288" s="1510"/>
      <c r="AX288" s="1510"/>
      <c r="AY288" s="1510"/>
      <c r="AZ288" s="1510"/>
      <c r="BA288" s="1510"/>
      <c r="BB288" s="1510"/>
      <c r="BC288" s="1510"/>
      <c r="BD288" s="847"/>
      <c r="BE288" s="847"/>
      <c r="BF288" s="847"/>
      <c r="BG288" s="847"/>
      <c r="BH288" s="847"/>
      <c r="BI288" s="847"/>
      <c r="BJ288" s="847"/>
      <c r="BK288" s="847"/>
      <c r="BL288" s="847"/>
      <c r="BM288" s="847"/>
      <c r="BN288" s="1522"/>
      <c r="BO288" s="1517" t="str">
        <f ca="1">IF(IFERROR(INDEX('Корректировка НВВ'!$K$26:$L$129,MATCH($F288&amp;"7komm",'Корректировка НВВ'!$K$26:$K$129,0),2),"")=0,"",IFERROR(INDEX('Корректировка НВВ'!$K$26:$L$129,MATCH($F288&amp;"7komm",'Корректировка НВВ'!$K$26:$K$129,0),2),""))</f>
        <v/>
      </c>
      <c r="BP288" s="1522"/>
      <c r="BQ288" s="1177"/>
      <c r="BR288" s="1177"/>
      <c r="BS288" s="966" t="s">
        <v>1399</v>
      </c>
      <c r="BT288" s="966"/>
      <c r="BU288" s="966"/>
      <c r="BV288" s="881"/>
      <c r="BW288" s="881"/>
    </row>
    <row r="289" spans="1:75" s="1327" customFormat="1" ht="21.75" customHeight="1">
      <c r="A289" s="1177"/>
      <c r="B289" s="880"/>
      <c r="C289" s="1177"/>
      <c r="D289" s="26" t="str" cm="1">
        <f t="array" ref="D289">D288</f>
        <v>7</v>
      </c>
      <c r="E289" s="620">
        <v>22.5</v>
      </c>
      <c r="F289" s="3" t="str" cm="1">
        <f t="array" aca="1" ref="F289" ca="1">OFFSET(E289,-1,1)</f>
        <v>1</v>
      </c>
      <c r="G289" s="77" t="s">
        <v>2017</v>
      </c>
      <c r="H289" s="1177"/>
      <c r="I289" s="77" t="s">
        <v>2018</v>
      </c>
      <c r="J289" s="1177"/>
      <c r="K289" s="77" t="s">
        <v>2018</v>
      </c>
      <c r="L289" s="882" t="s">
        <v>1674</v>
      </c>
      <c r="M289" s="26"/>
      <c r="N289" s="1177"/>
      <c r="O289" s="1177"/>
      <c r="P289" s="1177"/>
      <c r="Q289" s="1177"/>
      <c r="R289" s="1177"/>
      <c r="S289" s="1177"/>
      <c r="T289" s="381" t="b" cm="1">
        <f t="array" aca="1" ref="T289" ca="1">T288</f>
        <v>1</v>
      </c>
      <c r="U289" s="1177"/>
      <c r="V289" s="1177"/>
      <c r="W289" s="1177"/>
      <c r="X289" s="1755"/>
      <c r="Y289" s="1177"/>
      <c r="Z289" s="1735"/>
      <c r="AA289" s="1177"/>
      <c r="AB289" s="216" t="str">
        <f>AB287&amp;".2"</f>
        <v>7.5.2</v>
      </c>
      <c r="AC289" s="695" t="s">
        <v>1400</v>
      </c>
      <c r="AD289" s="216" t="s">
        <v>766</v>
      </c>
      <c r="AE289" s="1509"/>
      <c r="AF289" s="1509"/>
      <c r="AG289" s="1509"/>
      <c r="AH289" s="848">
        <f t="shared" si="68"/>
        <v>0</v>
      </c>
      <c r="AI289" s="1510"/>
      <c r="AJ289" s="1510">
        <f ca="1">SUMIFS('Корректировка НВВ'!$AF$25:$AF$129,'Корректировка НВВ'!$F$25:$F$129,$F289,'Корректировка НВВ'!$I$25:$I$129,$G289)</f>
        <v>0</v>
      </c>
      <c r="AK289" s="1510"/>
      <c r="AL289" s="1510"/>
      <c r="AM289" s="1510"/>
      <c r="AN289" s="1510"/>
      <c r="AO289" s="1510"/>
      <c r="AP289" s="1510"/>
      <c r="AQ289" s="1510"/>
      <c r="AR289" s="1510"/>
      <c r="AS289" s="1510"/>
      <c r="AT289" s="1510">
        <f ca="1">SUMIFS('Корректировка НВВ'!$AG$25:$AG$129,'Корректировка НВВ'!$F$25:$F$129,$F289,'Корректировка НВВ'!$I$25:$I$129,$G289)</f>
        <v>0</v>
      </c>
      <c r="AU289" s="1510"/>
      <c r="AV289" s="1510"/>
      <c r="AW289" s="1510"/>
      <c r="AX289" s="1510"/>
      <c r="AY289" s="1510"/>
      <c r="AZ289" s="1510"/>
      <c r="BA289" s="1510"/>
      <c r="BB289" s="1510"/>
      <c r="BC289" s="1510"/>
      <c r="BD289" s="847"/>
      <c r="BE289" s="847"/>
      <c r="BF289" s="847"/>
      <c r="BG289" s="847"/>
      <c r="BH289" s="847"/>
      <c r="BI289" s="847"/>
      <c r="BJ289" s="847"/>
      <c r="BK289" s="847"/>
      <c r="BL289" s="847"/>
      <c r="BM289" s="847"/>
      <c r="BN289" s="1522"/>
      <c r="BO289" s="1517" t="str">
        <f ca="1">IF(IFERROR(INDEX('Корректировка НВВ'!$K$26:$L$129,MATCH($F289&amp;"8komm",'Корректировка НВВ'!$K$26:$K$129,0),2),"")=0,"",IFERROR(INDEX('Корректировка НВВ'!$K$26:$L$129,MATCH($F289&amp;"8komm",'Корректировка НВВ'!$K$26:$K$129,0),2),""))</f>
        <v/>
      </c>
      <c r="BP289" s="1522"/>
      <c r="BQ289" s="1177"/>
      <c r="BR289" s="1177"/>
      <c r="BS289" s="966" t="s">
        <v>1401</v>
      </c>
      <c r="BT289" s="966"/>
      <c r="BU289" s="966"/>
      <c r="BV289" s="881"/>
      <c r="BW289" s="881"/>
    </row>
    <row r="290" spans="1:75" s="1327" customFormat="1" ht="14.25" customHeight="1">
      <c r="A290" s="1177"/>
      <c r="B290" s="880"/>
      <c r="C290" s="1177"/>
      <c r="D290" s="26" t="str" cm="1">
        <f t="array" ref="D290">D289</f>
        <v>7</v>
      </c>
      <c r="E290" s="620">
        <v>15</v>
      </c>
      <c r="F290" s="3" t="str" cm="1">
        <f t="array" aca="1" ref="F290" ca="1">OFFSET(E290,-1,1)</f>
        <v>1</v>
      </c>
      <c r="G290" s="77" t="s">
        <v>310</v>
      </c>
      <c r="H290" s="1177"/>
      <c r="I290" s="77" t="s">
        <v>1678</v>
      </c>
      <c r="J290" s="1177"/>
      <c r="K290" s="77" t="s">
        <v>1678</v>
      </c>
      <c r="L290" s="882" t="s">
        <v>1677</v>
      </c>
      <c r="M290" s="26"/>
      <c r="N290" s="1177"/>
      <c r="O290" s="1177"/>
      <c r="P290" s="1177"/>
      <c r="Q290" s="1177"/>
      <c r="R290" s="1177"/>
      <c r="S290" s="1177"/>
      <c r="T290" s="381" t="b" cm="1">
        <f t="array" aca="1" ref="T290" ca="1">T289</f>
        <v>1</v>
      </c>
      <c r="U290" s="1177"/>
      <c r="V290" s="1177"/>
      <c r="W290" s="1177"/>
      <c r="X290" s="1755"/>
      <c r="Y290" s="1177"/>
      <c r="Z290" s="1735"/>
      <c r="AA290" s="1177"/>
      <c r="AB290" s="216" t="str">
        <f>IF(B285,D286&amp;".8",D286&amp;".6")</f>
        <v>7.6</v>
      </c>
      <c r="AC290" s="696" t="s">
        <v>1402</v>
      </c>
      <c r="AD290" s="216" t="s">
        <v>766</v>
      </c>
      <c r="AE290" s="1509"/>
      <c r="AF290" s="1509"/>
      <c r="AG290" s="1509"/>
      <c r="AH290" s="848">
        <f t="shared" si="68"/>
        <v>0</v>
      </c>
      <c r="AI290" s="1510"/>
      <c r="AJ290" s="1510">
        <f ca="1">SUMIFS('Корректировка НВВ'!$AF$25:$AF$129,'Корректировка НВВ'!$F$25:$F$129,$F290,'Корректировка НВВ'!$I$25:$I$129,$G290)</f>
        <v>0</v>
      </c>
      <c r="AK290" s="1510"/>
      <c r="AL290" s="1510"/>
      <c r="AM290" s="1510"/>
      <c r="AN290" s="1510"/>
      <c r="AO290" s="1510"/>
      <c r="AP290" s="1510"/>
      <c r="AQ290" s="1510"/>
      <c r="AR290" s="1510"/>
      <c r="AS290" s="1510"/>
      <c r="AT290" s="1510">
        <f ca="1">SUMIFS('Корректировка НВВ'!$AG$25:$AG$129,'Корректировка НВВ'!$F$25:$F$129,$F290,'Корректировка НВВ'!$I$25:$I$129,$G290)</f>
        <v>0</v>
      </c>
      <c r="AU290" s="1510"/>
      <c r="AV290" s="1510"/>
      <c r="AW290" s="1510"/>
      <c r="AX290" s="1510"/>
      <c r="AY290" s="1510"/>
      <c r="AZ290" s="1510"/>
      <c r="BA290" s="1510"/>
      <c r="BB290" s="1510"/>
      <c r="BC290" s="1510"/>
      <c r="BD290" s="847"/>
      <c r="BE290" s="847"/>
      <c r="BF290" s="847"/>
      <c r="BG290" s="847"/>
      <c r="BH290" s="847"/>
      <c r="BI290" s="847"/>
      <c r="BJ290" s="847"/>
      <c r="BK290" s="847"/>
      <c r="BL290" s="847"/>
      <c r="BM290" s="847"/>
      <c r="BN290" s="1522"/>
      <c r="BO290" s="1517" t="str">
        <f ca="1">IF(IFERROR(INDEX('Корректировка НВВ'!$K$26:$L$129,MATCH($F290&amp;"9komm",'Корректировка НВВ'!$K$26:$K$129,0),2),"")=0,"",IFERROR(INDEX('Корректировка НВВ'!$K$26:$L$129,MATCH($F290&amp;"9komm",'Корректировка НВВ'!$K$26:$K$129,0),2),""))</f>
        <v/>
      </c>
      <c r="BP290" s="1522"/>
      <c r="BQ290" s="1177"/>
      <c r="BR290" s="1177"/>
      <c r="BS290" s="966" t="s">
        <v>2019</v>
      </c>
      <c r="BT290" s="966"/>
      <c r="BU290" s="966"/>
      <c r="BV290" s="881"/>
      <c r="BW290" s="881"/>
    </row>
    <row r="291" spans="1:75" s="1327" customFormat="1" ht="14.25" customHeight="1">
      <c r="A291" s="1177"/>
      <c r="B291" s="880"/>
      <c r="C291" s="1177"/>
      <c r="D291" s="26" t="str" cm="1">
        <f t="array" ref="D291">D290</f>
        <v>7</v>
      </c>
      <c r="E291" s="620">
        <v>15</v>
      </c>
      <c r="F291" s="3" t="str" cm="1">
        <f t="array" aca="1" ref="F291" ca="1">OFFSET(E291,-1,1)</f>
        <v>1</v>
      </c>
      <c r="G291" s="77" t="s">
        <v>2020</v>
      </c>
      <c r="H291" s="1177"/>
      <c r="I291" s="77" t="s">
        <v>1680</v>
      </c>
      <c r="J291" s="1177"/>
      <c r="K291" s="77" t="s">
        <v>1680</v>
      </c>
      <c r="L291" s="882" t="s">
        <v>1678</v>
      </c>
      <c r="M291" s="26"/>
      <c r="N291" s="1177"/>
      <c r="O291" s="1177"/>
      <c r="P291" s="1177"/>
      <c r="Q291" s="1177"/>
      <c r="R291" s="1177"/>
      <c r="S291" s="1177"/>
      <c r="T291" s="381" t="b" cm="1">
        <f t="array" aca="1" ref="T291" ca="1">T290</f>
        <v>1</v>
      </c>
      <c r="U291" s="1177"/>
      <c r="V291" s="1177"/>
      <c r="W291" s="1177"/>
      <c r="X291" s="1755"/>
      <c r="Y291" s="1177"/>
      <c r="Z291" s="1735"/>
      <c r="AA291" s="1177"/>
      <c r="AB291" s="216" t="str">
        <f>IF(B285,D286&amp;".9",D286&amp;".7")</f>
        <v>7.7</v>
      </c>
      <c r="AC291" s="696" t="s">
        <v>1404</v>
      </c>
      <c r="AD291" s="216" t="s">
        <v>766</v>
      </c>
      <c r="AE291" s="1509"/>
      <c r="AF291" s="1509"/>
      <c r="AG291" s="1509"/>
      <c r="AH291" s="848">
        <f t="shared" si="68"/>
        <v>0</v>
      </c>
      <c r="AI291" s="1510"/>
      <c r="AJ291" s="1510">
        <f ca="1">SUMIFS('Корректировка НВВ'!$AF$25:$AF$129,'Корректировка НВВ'!$F$25:$F$129,$F291,'Корректировка НВВ'!$I$25:$I$129,$G291)</f>
        <v>0</v>
      </c>
      <c r="AK291" s="1510"/>
      <c r="AL291" s="1510"/>
      <c r="AM291" s="1510"/>
      <c r="AN291" s="1510"/>
      <c r="AO291" s="1510"/>
      <c r="AP291" s="1510"/>
      <c r="AQ291" s="1510"/>
      <c r="AR291" s="1510"/>
      <c r="AS291" s="1510"/>
      <c r="AT291" s="1510">
        <f ca="1">SUMIFS('Корректировка НВВ'!$AG$25:$AG$129,'Корректировка НВВ'!$F$25:$F$129,$F291,'Корректировка НВВ'!$I$25:$I$129,$G291)</f>
        <v>0</v>
      </c>
      <c r="AU291" s="1510"/>
      <c r="AV291" s="1510"/>
      <c r="AW291" s="1510"/>
      <c r="AX291" s="1510"/>
      <c r="AY291" s="1510"/>
      <c r="AZ291" s="1510"/>
      <c r="BA291" s="1510"/>
      <c r="BB291" s="1510"/>
      <c r="BC291" s="1510"/>
      <c r="BD291" s="847"/>
      <c r="BE291" s="847"/>
      <c r="BF291" s="847"/>
      <c r="BG291" s="847"/>
      <c r="BH291" s="847"/>
      <c r="BI291" s="847"/>
      <c r="BJ291" s="847"/>
      <c r="BK291" s="847"/>
      <c r="BL291" s="847"/>
      <c r="BM291" s="847"/>
      <c r="BN291" s="1522"/>
      <c r="BO291" s="1517" t="str">
        <f ca="1">IF(IFERROR(INDEX('Корректировка НВВ'!$K$26:$L$129,MATCH($F291&amp;"10komm",'Корректировка НВВ'!$K$26:$K$129,0),2),"")=0,"",IFERROR(INDEX('Корректировка НВВ'!$K$26:$L$129,MATCH($F291&amp;"10komm",'Корректировка НВВ'!$K$26:$K$129,0),2),""))</f>
        <v/>
      </c>
      <c r="BP291" s="1522"/>
      <c r="BQ291" s="1177"/>
      <c r="BR291" s="1177"/>
      <c r="BS291" s="966" t="s">
        <v>1405</v>
      </c>
      <c r="BT291" s="966"/>
      <c r="BU291" s="966"/>
      <c r="BV291" s="881"/>
      <c r="BW291" s="881"/>
    </row>
    <row r="292" spans="1:75" s="1531" customFormat="1" ht="20.25" customHeight="1">
      <c r="A292" s="617"/>
      <c r="B292" s="352"/>
      <c r="C292" s="617"/>
      <c r="D292" s="28">
        <f>D291+1</f>
        <v>8</v>
      </c>
      <c r="E292" s="624">
        <v>21</v>
      </c>
      <c r="F292" s="3" t="str" cm="1">
        <f t="array" aca="1" ref="F292" ca="1">OFFSET(E292,-1,1)</f>
        <v>1</v>
      </c>
      <c r="G292" s="617"/>
      <c r="H292" s="617"/>
      <c r="I292" s="81" t="s">
        <v>551</v>
      </c>
      <c r="J292" s="617"/>
      <c r="K292" s="81" t="s">
        <v>551</v>
      </c>
      <c r="L292" s="887"/>
      <c r="M292" s="28"/>
      <c r="N292" s="617"/>
      <c r="O292" s="617"/>
      <c r="P292" s="617"/>
      <c r="Q292" s="617"/>
      <c r="R292" s="617"/>
      <c r="S292" s="617"/>
      <c r="T292" s="381" t="b" cm="1">
        <f t="array" aca="1" ref="T292" ca="1">T291</f>
        <v>1</v>
      </c>
      <c r="U292" s="617"/>
      <c r="V292" s="617"/>
      <c r="W292" s="617"/>
      <c r="X292" s="1755"/>
      <c r="Y292" s="617"/>
      <c r="Z292" s="1735"/>
      <c r="AA292" s="617"/>
      <c r="AB292" s="129" cm="1">
        <f t="array" ref="AB292">D292</f>
        <v>8</v>
      </c>
      <c r="AC292" s="130" t="s">
        <v>2021</v>
      </c>
      <c r="AD292" s="129" t="s">
        <v>766</v>
      </c>
      <c r="AE292" s="1477"/>
      <c r="AF292" s="1477"/>
      <c r="AG292" s="1477"/>
      <c r="AH292" s="675">
        <f t="shared" si="68"/>
        <v>0</v>
      </c>
      <c r="AI292" s="1475"/>
      <c r="AJ292" s="1475"/>
      <c r="AK292" s="1475"/>
      <c r="AL292" s="1475"/>
      <c r="AM292" s="1475"/>
      <c r="AN292" s="1475"/>
      <c r="AO292" s="1475"/>
      <c r="AP292" s="1475"/>
      <c r="AQ292" s="1475"/>
      <c r="AR292" s="1475"/>
      <c r="AS292" s="1475"/>
      <c r="AT292" s="1475"/>
      <c r="AU292" s="1475"/>
      <c r="AV292" s="1475"/>
      <c r="AW292" s="1475"/>
      <c r="AX292" s="1475"/>
      <c r="AY292" s="1475"/>
      <c r="AZ292" s="1475"/>
      <c r="BA292" s="1475"/>
      <c r="BB292" s="1475"/>
      <c r="BC292" s="1475"/>
      <c r="BD292" s="678"/>
      <c r="BE292" s="678"/>
      <c r="BF292" s="678"/>
      <c r="BG292" s="678"/>
      <c r="BH292" s="678"/>
      <c r="BI292" s="678"/>
      <c r="BJ292" s="678"/>
      <c r="BK292" s="678"/>
      <c r="BL292" s="678"/>
      <c r="BM292" s="678"/>
      <c r="BN292" s="1483"/>
      <c r="BO292" s="1483"/>
      <c r="BP292" s="1483"/>
      <c r="BQ292" s="617"/>
      <c r="BR292" s="617"/>
      <c r="BS292" s="972" t="s">
        <v>2022</v>
      </c>
      <c r="BT292" s="972"/>
      <c r="BU292" s="972"/>
      <c r="BV292" s="624"/>
      <c r="BW292" s="624"/>
    </row>
    <row r="293" spans="1:75" s="1327" customFormat="1" ht="14.25" customHeight="1">
      <c r="A293" s="1177"/>
      <c r="B293" s="880"/>
      <c r="C293" s="1177"/>
      <c r="D293" s="28" cm="1">
        <f t="array" ref="D293">D292</f>
        <v>8</v>
      </c>
      <c r="E293" s="620">
        <v>15</v>
      </c>
      <c r="F293" s="3" t="str" cm="1">
        <f t="array" aca="1" ref="F293" ca="1">OFFSET(E293,-1,1)</f>
        <v>1</v>
      </c>
      <c r="G293" s="1177"/>
      <c r="H293" s="1177"/>
      <c r="I293" s="77" t="s">
        <v>555</v>
      </c>
      <c r="J293" s="1177"/>
      <c r="K293" s="77" t="s">
        <v>555</v>
      </c>
      <c r="L293" s="882"/>
      <c r="M293" s="26"/>
      <c r="N293" s="1177"/>
      <c r="O293" s="1177"/>
      <c r="P293" s="1177"/>
      <c r="Q293" s="1177"/>
      <c r="R293" s="1177"/>
      <c r="S293" s="1177"/>
      <c r="T293" s="381" t="b" cm="1">
        <f t="array" aca="1" ref="T293" ca="1">T292</f>
        <v>1</v>
      </c>
      <c r="U293" s="1177"/>
      <c r="V293" s="1177"/>
      <c r="W293" s="1177"/>
      <c r="X293" s="1755"/>
      <c r="Y293" s="1177"/>
      <c r="Z293" s="1735"/>
      <c r="AA293" s="1177"/>
      <c r="AB293" s="216" t="str">
        <f>D293&amp;".1"</f>
        <v>8.1</v>
      </c>
      <c r="AC293" s="676" t="s">
        <v>2023</v>
      </c>
      <c r="AD293" s="216" t="s">
        <v>423</v>
      </c>
      <c r="AE293" s="175">
        <f ca="1">IF(AE294=0,0,AE292/(AE294+AE279)*100)</f>
        <v>0</v>
      </c>
      <c r="AF293" s="175">
        <f ca="1">IF(AF294=0,0,AF292/(AF294+AF279)*100)</f>
        <v>0</v>
      </c>
      <c r="AG293" s="175">
        <f ca="1">IF(AG294=0,0,AG292/(AG294+AG279)*100)</f>
        <v>0</v>
      </c>
      <c r="AH293" s="848">
        <f t="shared" ca="1" si="68"/>
        <v>0</v>
      </c>
      <c r="AI293" s="848">
        <f t="shared" ref="AI293:BC293" ca="1" si="72">IF(AI294=0,0,AI292/(AI294+AI279)*100)</f>
        <v>0</v>
      </c>
      <c r="AJ293" s="848">
        <f t="shared" ca="1" si="72"/>
        <v>0</v>
      </c>
      <c r="AK293" s="848">
        <f t="shared" ca="1" si="72"/>
        <v>0</v>
      </c>
      <c r="AL293" s="848">
        <f t="shared" ca="1" si="72"/>
        <v>0</v>
      </c>
      <c r="AM293" s="848">
        <f t="shared" ca="1" si="72"/>
        <v>0</v>
      </c>
      <c r="AN293" s="848">
        <f t="shared" ca="1" si="72"/>
        <v>0</v>
      </c>
      <c r="AO293" s="848">
        <f t="shared" ca="1" si="72"/>
        <v>0</v>
      </c>
      <c r="AP293" s="848">
        <f t="shared" ca="1" si="72"/>
        <v>0</v>
      </c>
      <c r="AQ293" s="848">
        <f t="shared" ca="1" si="72"/>
        <v>0</v>
      </c>
      <c r="AR293" s="848">
        <f t="shared" ca="1" si="72"/>
        <v>0</v>
      </c>
      <c r="AS293" s="848">
        <f t="shared" ca="1" si="72"/>
        <v>0</v>
      </c>
      <c r="AT293" s="848">
        <f t="shared" ca="1" si="72"/>
        <v>0</v>
      </c>
      <c r="AU293" s="848">
        <f t="shared" ca="1" si="72"/>
        <v>0</v>
      </c>
      <c r="AV293" s="848">
        <f t="shared" ca="1" si="72"/>
        <v>0</v>
      </c>
      <c r="AW293" s="848">
        <f t="shared" ca="1" si="72"/>
        <v>0</v>
      </c>
      <c r="AX293" s="848">
        <f t="shared" ca="1" si="72"/>
        <v>0</v>
      </c>
      <c r="AY293" s="848">
        <f t="shared" ca="1" si="72"/>
        <v>0</v>
      </c>
      <c r="AZ293" s="848">
        <f t="shared" ca="1" si="72"/>
        <v>0</v>
      </c>
      <c r="BA293" s="848">
        <f t="shared" ca="1" si="72"/>
        <v>0</v>
      </c>
      <c r="BB293" s="848">
        <f t="shared" ca="1" si="72"/>
        <v>0</v>
      </c>
      <c r="BC293" s="848">
        <f t="shared" ca="1" si="72"/>
        <v>0</v>
      </c>
      <c r="BD293" s="847"/>
      <c r="BE293" s="847"/>
      <c r="BF293" s="847"/>
      <c r="BG293" s="847"/>
      <c r="BH293" s="847"/>
      <c r="BI293" s="847"/>
      <c r="BJ293" s="847"/>
      <c r="BK293" s="847"/>
      <c r="BL293" s="847"/>
      <c r="BM293" s="847"/>
      <c r="BN293" s="1522"/>
      <c r="BO293" s="1522"/>
      <c r="BP293" s="1522"/>
      <c r="BQ293" s="1177"/>
      <c r="BR293" s="1177"/>
      <c r="BS293" s="966" t="s">
        <v>2024</v>
      </c>
      <c r="BT293" s="966"/>
      <c r="BU293" s="966"/>
      <c r="BV293" s="881"/>
      <c r="BW293" s="881"/>
    </row>
    <row r="294" spans="1:75" s="1532" customFormat="1" ht="20.25" customHeight="1">
      <c r="A294" s="617"/>
      <c r="B294" s="352"/>
      <c r="C294" s="617"/>
      <c r="D294" s="28">
        <f>D293+1</f>
        <v>9</v>
      </c>
      <c r="E294" s="624">
        <v>21</v>
      </c>
      <c r="F294" s="3" t="str" cm="1">
        <f t="array" aca="1" ref="F294" ca="1">OFFSET(E294,-1,1)</f>
        <v>1</v>
      </c>
      <c r="G294" s="617"/>
      <c r="H294" s="77"/>
      <c r="I294" s="77" t="s">
        <v>709</v>
      </c>
      <c r="J294" s="617"/>
      <c r="K294" s="77" t="s">
        <v>709</v>
      </c>
      <c r="L294" s="887" t="s">
        <v>1680</v>
      </c>
      <c r="M294" s="28"/>
      <c r="N294" s="617"/>
      <c r="O294" s="617"/>
      <c r="P294" s="617"/>
      <c r="Q294" s="617"/>
      <c r="R294" s="617"/>
      <c r="S294" s="617"/>
      <c r="T294" s="381" t="b" cm="1">
        <f t="array" aca="1" ref="T294" ca="1">T293</f>
        <v>1</v>
      </c>
      <c r="U294" s="617"/>
      <c r="V294" s="617"/>
      <c r="W294" s="617"/>
      <c r="X294" s="1755"/>
      <c r="Y294" s="617"/>
      <c r="Z294" s="1735"/>
      <c r="AA294" s="617"/>
      <c r="AB294" s="129" cm="1">
        <f t="array" ref="AB294">D294</f>
        <v>9</v>
      </c>
      <c r="AC294" s="130" t="s">
        <v>1682</v>
      </c>
      <c r="AD294" s="152" t="s">
        <v>766</v>
      </c>
      <c r="AE294" s="131">
        <f ca="1">AE172+AE222+AE258+AE259+AE261+AE266+AE267+AE270</f>
        <v>140.82</v>
      </c>
      <c r="AF294" s="131">
        <f ca="1">AF172+AF222+AF258+AF259+AF261+AF266+AF267+AF270</f>
        <v>5.6</v>
      </c>
      <c r="AG294" s="131">
        <f ca="1">AG172+AG222+AG258+AG259+AG261+AG266+AG267+AG270</f>
        <v>5.6</v>
      </c>
      <c r="AH294" s="675">
        <f t="shared" ca="1" si="68"/>
        <v>0</v>
      </c>
      <c r="AI294" s="131">
        <f t="shared" ref="AI294:BC294" ca="1" si="73">AI172+AI222+AI258+AI259+AI261+AI266+AI267+AI270</f>
        <v>146.88999999999999</v>
      </c>
      <c r="AJ294" s="131">
        <f t="shared" ca="1" si="73"/>
        <v>155.30000000000001</v>
      </c>
      <c r="AK294" s="131">
        <f t="shared" ca="1" si="73"/>
        <v>0</v>
      </c>
      <c r="AL294" s="131">
        <f t="shared" ca="1" si="73"/>
        <v>0</v>
      </c>
      <c r="AM294" s="131">
        <f t="shared" ca="1" si="73"/>
        <v>0</v>
      </c>
      <c r="AN294" s="131">
        <f t="shared" ca="1" si="73"/>
        <v>0</v>
      </c>
      <c r="AO294" s="131">
        <f t="shared" ca="1" si="73"/>
        <v>0</v>
      </c>
      <c r="AP294" s="131">
        <f t="shared" ca="1" si="73"/>
        <v>0</v>
      </c>
      <c r="AQ294" s="131">
        <f t="shared" ca="1" si="73"/>
        <v>0</v>
      </c>
      <c r="AR294" s="131">
        <f t="shared" ca="1" si="73"/>
        <v>0</v>
      </c>
      <c r="AS294" s="131">
        <f t="shared" ca="1" si="73"/>
        <v>0</v>
      </c>
      <c r="AT294" s="131">
        <f t="shared" ca="1" si="73"/>
        <v>155.33000000000001</v>
      </c>
      <c r="AU294" s="131">
        <f t="shared" ca="1" si="73"/>
        <v>0</v>
      </c>
      <c r="AV294" s="131">
        <f t="shared" ca="1" si="73"/>
        <v>0</v>
      </c>
      <c r="AW294" s="131">
        <f t="shared" ca="1" si="73"/>
        <v>0</v>
      </c>
      <c r="AX294" s="131">
        <f t="shared" ca="1" si="73"/>
        <v>0</v>
      </c>
      <c r="AY294" s="131">
        <f t="shared" ca="1" si="73"/>
        <v>0</v>
      </c>
      <c r="AZ294" s="131">
        <f t="shared" ca="1" si="73"/>
        <v>0</v>
      </c>
      <c r="BA294" s="131">
        <f t="shared" ca="1" si="73"/>
        <v>0</v>
      </c>
      <c r="BB294" s="131">
        <f t="shared" ca="1" si="73"/>
        <v>0</v>
      </c>
      <c r="BC294" s="131">
        <f t="shared" ca="1" si="73"/>
        <v>0</v>
      </c>
      <c r="BD294" s="675">
        <f ca="1">IF(AI294=0,0,(AT294-AI294)/AI294*100)</f>
        <v>5.7457961740077792</v>
      </c>
      <c r="BE294" s="675">
        <f t="shared" ref="BE294:BM295" ca="1" si="74">IF(AT294=0,0,(AU294-AT294)/AT294*100)</f>
        <v>-100</v>
      </c>
      <c r="BF294" s="675">
        <f t="shared" ca="1" si="74"/>
        <v>0</v>
      </c>
      <c r="BG294" s="675">
        <f t="shared" ca="1" si="74"/>
        <v>0</v>
      </c>
      <c r="BH294" s="675">
        <f t="shared" ca="1" si="74"/>
        <v>0</v>
      </c>
      <c r="BI294" s="675">
        <f t="shared" ca="1" si="74"/>
        <v>0</v>
      </c>
      <c r="BJ294" s="675">
        <f t="shared" ca="1" si="74"/>
        <v>0</v>
      </c>
      <c r="BK294" s="675">
        <f t="shared" ca="1" si="74"/>
        <v>0</v>
      </c>
      <c r="BL294" s="675">
        <f t="shared" ca="1" si="74"/>
        <v>0</v>
      </c>
      <c r="BM294" s="675">
        <f t="shared" ca="1" si="74"/>
        <v>0</v>
      </c>
      <c r="BN294" s="1522"/>
      <c r="BO294" s="1522"/>
      <c r="BP294" s="1522"/>
      <c r="BQ294" s="617"/>
      <c r="BR294" s="617"/>
      <c r="BS294" s="972" t="s">
        <v>1683</v>
      </c>
      <c r="BT294" s="972"/>
      <c r="BU294" s="972"/>
      <c r="BV294" s="624"/>
      <c r="BW294" s="624"/>
    </row>
    <row r="295" spans="1:75" s="1533" customFormat="1" ht="20.25" customHeight="1">
      <c r="A295" s="617"/>
      <c r="B295" s="352"/>
      <c r="C295" s="617"/>
      <c r="D295" s="28">
        <f>D294+1</f>
        <v>10</v>
      </c>
      <c r="E295" s="624">
        <v>21</v>
      </c>
      <c r="F295" s="3" t="str" cm="1">
        <f t="array" aca="1" ref="F295" ca="1">OFFSET(E295,-1,1)</f>
        <v>1</v>
      </c>
      <c r="G295" s="617"/>
      <c r="H295" s="77"/>
      <c r="I295" s="77" t="s">
        <v>1692</v>
      </c>
      <c r="J295" s="617"/>
      <c r="K295" s="77" t="s">
        <v>1692</v>
      </c>
      <c r="L295" s="887"/>
      <c r="M295" s="28"/>
      <c r="N295" s="617"/>
      <c r="O295" s="617"/>
      <c r="P295" s="617"/>
      <c r="Q295" s="617"/>
      <c r="R295" s="617"/>
      <c r="S295" s="617"/>
      <c r="T295" s="381" t="b" cm="1">
        <f t="array" aca="1" ref="T295" ca="1">T294</f>
        <v>1</v>
      </c>
      <c r="U295" s="617"/>
      <c r="V295" s="617"/>
      <c r="W295" s="617"/>
      <c r="X295" s="1755"/>
      <c r="Y295" s="617"/>
      <c r="Z295" s="1735"/>
      <c r="AA295" s="617"/>
      <c r="AB295" s="129" cm="1">
        <f t="array" ref="AB295">D295</f>
        <v>10</v>
      </c>
      <c r="AC295" s="130" t="s">
        <v>2025</v>
      </c>
      <c r="AD295" s="129" t="s">
        <v>766</v>
      </c>
      <c r="AE295" s="131">
        <f t="shared" ref="AE295:BC295" ca="1" si="75">AE294+AE279+AE292</f>
        <v>140.82</v>
      </c>
      <c r="AF295" s="131">
        <f t="shared" ca="1" si="75"/>
        <v>5.6</v>
      </c>
      <c r="AG295" s="131">
        <f t="shared" ca="1" si="75"/>
        <v>5.6</v>
      </c>
      <c r="AH295" s="684">
        <f t="shared" ca="1" si="75"/>
        <v>0</v>
      </c>
      <c r="AI295" s="684">
        <f t="shared" ca="1" si="75"/>
        <v>146.88999999999999</v>
      </c>
      <c r="AJ295" s="684">
        <f t="shared" ca="1" si="75"/>
        <v>155.30000000000001</v>
      </c>
      <c r="AK295" s="684">
        <f t="shared" ca="1" si="75"/>
        <v>0</v>
      </c>
      <c r="AL295" s="684">
        <f t="shared" ca="1" si="75"/>
        <v>0</v>
      </c>
      <c r="AM295" s="684">
        <f t="shared" ca="1" si="75"/>
        <v>0</v>
      </c>
      <c r="AN295" s="684">
        <f t="shared" ca="1" si="75"/>
        <v>0</v>
      </c>
      <c r="AO295" s="684">
        <f t="shared" ca="1" si="75"/>
        <v>0</v>
      </c>
      <c r="AP295" s="684">
        <f t="shared" ca="1" si="75"/>
        <v>0</v>
      </c>
      <c r="AQ295" s="684">
        <f t="shared" ca="1" si="75"/>
        <v>0</v>
      </c>
      <c r="AR295" s="684">
        <f t="shared" ca="1" si="75"/>
        <v>0</v>
      </c>
      <c r="AS295" s="684">
        <f t="shared" ca="1" si="75"/>
        <v>0</v>
      </c>
      <c r="AT295" s="684">
        <f t="shared" ca="1" si="75"/>
        <v>155.33000000000001</v>
      </c>
      <c r="AU295" s="684">
        <f t="shared" ca="1" si="75"/>
        <v>0</v>
      </c>
      <c r="AV295" s="684">
        <f t="shared" ca="1" si="75"/>
        <v>0</v>
      </c>
      <c r="AW295" s="684">
        <f t="shared" ca="1" si="75"/>
        <v>0</v>
      </c>
      <c r="AX295" s="684">
        <f t="shared" ca="1" si="75"/>
        <v>0</v>
      </c>
      <c r="AY295" s="684">
        <f t="shared" ca="1" si="75"/>
        <v>0</v>
      </c>
      <c r="AZ295" s="684">
        <f t="shared" ca="1" si="75"/>
        <v>0</v>
      </c>
      <c r="BA295" s="684">
        <f t="shared" ca="1" si="75"/>
        <v>0</v>
      </c>
      <c r="BB295" s="684">
        <f t="shared" ca="1" si="75"/>
        <v>0</v>
      </c>
      <c r="BC295" s="684">
        <f t="shared" ca="1" si="75"/>
        <v>0</v>
      </c>
      <c r="BD295" s="675">
        <f ca="1">IF(AI295=0,0,(AT295-AI295)/AI295*100)</f>
        <v>5.7457961740077792</v>
      </c>
      <c r="BE295" s="675">
        <f t="shared" ca="1" si="74"/>
        <v>-100</v>
      </c>
      <c r="BF295" s="675">
        <f t="shared" ca="1" si="74"/>
        <v>0</v>
      </c>
      <c r="BG295" s="675">
        <f t="shared" ca="1" si="74"/>
        <v>0</v>
      </c>
      <c r="BH295" s="675">
        <f t="shared" ca="1" si="74"/>
        <v>0</v>
      </c>
      <c r="BI295" s="675">
        <f t="shared" ca="1" si="74"/>
        <v>0</v>
      </c>
      <c r="BJ295" s="675">
        <f t="shared" ca="1" si="74"/>
        <v>0</v>
      </c>
      <c r="BK295" s="675">
        <f t="shared" ca="1" si="74"/>
        <v>0</v>
      </c>
      <c r="BL295" s="675">
        <f t="shared" ca="1" si="74"/>
        <v>0</v>
      </c>
      <c r="BM295" s="675">
        <f t="shared" ca="1" si="74"/>
        <v>0</v>
      </c>
      <c r="BN295" s="1522"/>
      <c r="BO295" s="1522"/>
      <c r="BP295" s="1522"/>
      <c r="BQ295" s="617"/>
      <c r="BR295" s="617"/>
      <c r="BS295" s="972" t="s">
        <v>2026</v>
      </c>
      <c r="BT295" s="972"/>
      <c r="BU295" s="972"/>
      <c r="BV295" s="624"/>
      <c r="BW295" s="624"/>
    </row>
    <row r="296" spans="1:75" s="1327" customFormat="1" ht="14.25" hidden="1" customHeight="1">
      <c r="A296" s="1177"/>
      <c r="B296" s="362" t="b">
        <f>A171="двухставочный"</f>
        <v>0</v>
      </c>
      <c r="C296" s="1177"/>
      <c r="D296" s="26" cm="1">
        <f t="array" ref="D296">D295</f>
        <v>10</v>
      </c>
      <c r="E296" s="620">
        <v>15</v>
      </c>
      <c r="F296" s="3" t="str" cm="1">
        <f t="array" aca="1" ref="F296" ca="1">OFFSET(E296,-1,1)</f>
        <v>1</v>
      </c>
      <c r="G296" s="1177"/>
      <c r="H296" s="2"/>
      <c r="I296" s="291" t="s">
        <v>1696</v>
      </c>
      <c r="J296" s="1177"/>
      <c r="K296" s="291" t="s">
        <v>1696</v>
      </c>
      <c r="L296" s="882" t="s">
        <v>1684</v>
      </c>
      <c r="M296" s="26"/>
      <c r="N296" s="1177"/>
      <c r="O296" s="1177"/>
      <c r="P296" s="1177"/>
      <c r="Q296" s="1177"/>
      <c r="R296" s="1177"/>
      <c r="S296" s="1177"/>
      <c r="T296" s="381" t="b" cm="1">
        <f t="array" aca="1" ref="T296" ca="1">T295</f>
        <v>1</v>
      </c>
      <c r="U296" s="1177"/>
      <c r="V296" s="1177"/>
      <c r="W296" s="1177"/>
      <c r="X296" s="1755"/>
      <c r="Y296" s="1177"/>
      <c r="Z296" s="1735"/>
      <c r="AA296" s="1177"/>
      <c r="AB296" s="216" t="str">
        <f>D296&amp;".1"</f>
        <v>10.1</v>
      </c>
      <c r="AC296" s="696" t="s">
        <v>1686</v>
      </c>
      <c r="AD296" s="216" t="s">
        <v>766</v>
      </c>
      <c r="AE296" s="1155"/>
      <c r="AF296" s="1155"/>
      <c r="AG296" s="1155"/>
      <c r="AH296" s="848">
        <f t="shared" ref="AH296:AH302" si="76">AG296-AF296</f>
        <v>0</v>
      </c>
      <c r="AI296" s="1153"/>
      <c r="AJ296" s="1510"/>
      <c r="AK296" s="1153"/>
      <c r="AL296" s="1153"/>
      <c r="AM296" s="1153"/>
      <c r="AN296" s="1153"/>
      <c r="AO296" s="1153"/>
      <c r="AP296" s="1153"/>
      <c r="AQ296" s="1153"/>
      <c r="AR296" s="1153"/>
      <c r="AS296" s="1153"/>
      <c r="AT296" s="1510"/>
      <c r="AU296" s="1153"/>
      <c r="AV296" s="1153"/>
      <c r="AW296" s="1153"/>
      <c r="AX296" s="1153"/>
      <c r="AY296" s="1153"/>
      <c r="AZ296" s="1153"/>
      <c r="BA296" s="1153"/>
      <c r="BB296" s="1153"/>
      <c r="BC296" s="1153"/>
      <c r="BD296" s="847"/>
      <c r="BE296" s="847"/>
      <c r="BF296" s="847"/>
      <c r="BG296" s="847"/>
      <c r="BH296" s="847"/>
      <c r="BI296" s="847"/>
      <c r="BJ296" s="847"/>
      <c r="BK296" s="847"/>
      <c r="BL296" s="847"/>
      <c r="BM296" s="847"/>
      <c r="BN296" s="1156"/>
      <c r="BO296" s="1156"/>
      <c r="BP296" s="1156"/>
      <c r="BQ296" s="1177"/>
      <c r="BR296" s="1177"/>
      <c r="BS296" s="964" t="s">
        <v>1687</v>
      </c>
      <c r="BT296" s="966"/>
      <c r="BU296" s="966"/>
      <c r="BV296" s="881"/>
      <c r="BW296" s="881"/>
    </row>
    <row r="297" spans="1:75" s="1327" customFormat="1" ht="14.25" hidden="1" customHeight="1">
      <c r="A297" s="1177"/>
      <c r="B297" s="362" t="b">
        <f>A171="двухставочный"</f>
        <v>0</v>
      </c>
      <c r="C297" s="1177"/>
      <c r="D297" s="26" cm="1">
        <f t="array" ref="D297">D296</f>
        <v>10</v>
      </c>
      <c r="E297" s="620">
        <v>15</v>
      </c>
      <c r="F297" s="3" t="str" cm="1">
        <f t="array" aca="1" ref="F297" ca="1">OFFSET(E297,-1,1)</f>
        <v>1</v>
      </c>
      <c r="G297" s="1177"/>
      <c r="H297" s="2"/>
      <c r="I297" s="291" t="s">
        <v>1700</v>
      </c>
      <c r="J297" s="1177"/>
      <c r="K297" s="291" t="s">
        <v>1700</v>
      </c>
      <c r="L297" s="882" t="s">
        <v>1688</v>
      </c>
      <c r="M297" s="26"/>
      <c r="N297" s="1177"/>
      <c r="O297" s="1177"/>
      <c r="P297" s="1177"/>
      <c r="Q297" s="1177"/>
      <c r="R297" s="1177"/>
      <c r="S297" s="1177"/>
      <c r="T297" s="381" t="b" cm="1">
        <f t="array" aca="1" ref="T297" ca="1">T296</f>
        <v>1</v>
      </c>
      <c r="U297" s="1177"/>
      <c r="V297" s="1177"/>
      <c r="W297" s="1177"/>
      <c r="X297" s="1755"/>
      <c r="Y297" s="1177"/>
      <c r="Z297" s="1735"/>
      <c r="AA297" s="1177"/>
      <c r="AB297" s="216" t="str">
        <f>D297&amp;".2"</f>
        <v>10.2</v>
      </c>
      <c r="AC297" s="696" t="s">
        <v>1690</v>
      </c>
      <c r="AD297" s="216" t="s">
        <v>766</v>
      </c>
      <c r="AE297" s="1155"/>
      <c r="AF297" s="1155"/>
      <c r="AG297" s="1155"/>
      <c r="AH297" s="848">
        <f t="shared" si="76"/>
        <v>0</v>
      </c>
      <c r="AI297" s="1153"/>
      <c r="AJ297" s="1510"/>
      <c r="AK297" s="1153"/>
      <c r="AL297" s="1153"/>
      <c r="AM297" s="1153"/>
      <c r="AN297" s="1153"/>
      <c r="AO297" s="1153"/>
      <c r="AP297" s="1153"/>
      <c r="AQ297" s="1153"/>
      <c r="AR297" s="1153"/>
      <c r="AS297" s="1153"/>
      <c r="AT297" s="1510"/>
      <c r="AU297" s="1153"/>
      <c r="AV297" s="1153"/>
      <c r="AW297" s="1153"/>
      <c r="AX297" s="1153"/>
      <c r="AY297" s="1153"/>
      <c r="AZ297" s="1153"/>
      <c r="BA297" s="1153"/>
      <c r="BB297" s="1153"/>
      <c r="BC297" s="1153"/>
      <c r="BD297" s="847"/>
      <c r="BE297" s="847"/>
      <c r="BF297" s="847"/>
      <c r="BG297" s="847"/>
      <c r="BH297" s="847"/>
      <c r="BI297" s="847"/>
      <c r="BJ297" s="847"/>
      <c r="BK297" s="847"/>
      <c r="BL297" s="847"/>
      <c r="BM297" s="847"/>
      <c r="BN297" s="1156"/>
      <c r="BO297" s="1156"/>
      <c r="BP297" s="1156"/>
      <c r="BQ297" s="1177"/>
      <c r="BR297" s="1177"/>
      <c r="BS297" s="964" t="s">
        <v>1691</v>
      </c>
      <c r="BT297" s="966"/>
      <c r="BU297" s="966"/>
      <c r="BV297" s="881"/>
      <c r="BW297" s="881"/>
    </row>
    <row r="298" spans="1:75" s="1534" customFormat="1" ht="20.25" customHeight="1">
      <c r="A298" s="617"/>
      <c r="B298" s="352"/>
      <c r="C298" s="617"/>
      <c r="D298" s="28">
        <f>D297+1</f>
        <v>11</v>
      </c>
      <c r="E298" s="624">
        <v>21</v>
      </c>
      <c r="F298" s="3" t="str" cm="1">
        <f t="array" aca="1" ref="F298" ca="1">OFFSET(E298,-1,1)</f>
        <v>1</v>
      </c>
      <c r="G298" s="77" t="s">
        <v>1463</v>
      </c>
      <c r="H298" s="77"/>
      <c r="I298" s="77" t="s">
        <v>1720</v>
      </c>
      <c r="J298" s="617"/>
      <c r="K298" s="77" t="s">
        <v>1720</v>
      </c>
      <c r="L298" s="887" t="s">
        <v>1692</v>
      </c>
      <c r="M298" s="28"/>
      <c r="N298" s="617"/>
      <c r="O298" s="617"/>
      <c r="P298" s="617"/>
      <c r="Q298" s="617"/>
      <c r="R298" s="617"/>
      <c r="S298" s="617"/>
      <c r="T298" s="381" t="b" cm="1">
        <f t="array" aca="1" ref="T298" ca="1">T297</f>
        <v>1</v>
      </c>
      <c r="U298" s="617"/>
      <c r="V298" s="617"/>
      <c r="W298" s="617"/>
      <c r="X298" s="1755"/>
      <c r="Y298" s="617"/>
      <c r="Z298" s="1735"/>
      <c r="AA298" s="617"/>
      <c r="AB298" s="129" cm="1">
        <f t="array" ref="AB298">D298</f>
        <v>11</v>
      </c>
      <c r="AC298" s="130" t="s">
        <v>1694</v>
      </c>
      <c r="AD298" s="129" t="s">
        <v>499</v>
      </c>
      <c r="AE298" s="699">
        <f ca="1">SUMIFS(Баланс!AE$26:AE$209,Баланс!$F$26:$F$209,$F298,Баланс!$G$26:$G$209,"ПО")</f>
        <v>2.7665999999999999</v>
      </c>
      <c r="AF298" s="699">
        <f ca="1">SUMIFS(Баланс!AF$26:AF$209,Баланс!$F$26:$F$209,$F298,Баланс!$G$26:$G$209,"ПО")</f>
        <v>0.11</v>
      </c>
      <c r="AG298" s="699">
        <f ca="1">SUMIFS(Баланс!AG$26:AG$209,Баланс!$F$26:$F$209,$F298,Баланс!$G$26:$G$209,"ПО")</f>
        <v>0.11</v>
      </c>
      <c r="AH298" s="700">
        <f t="shared" ca="1" si="76"/>
        <v>0</v>
      </c>
      <c r="AI298" s="700">
        <f ca="1">SUMIFS(Баланс!AH$26:AH$209,Баланс!$F$26:$F$209,$F298,Баланс!$G$26:$G$209,"ПО")</f>
        <v>2.6282700000000001</v>
      </c>
      <c r="AJ298" s="700">
        <f ca="1">SUMIFS(Баланс!AI$26:AI$209,Баланс!$F$26:$F$209,$F298,Баланс!$G$26:$G$209,"ПО")</f>
        <v>2.5756999999999999</v>
      </c>
      <c r="AK298" s="700">
        <f ca="1">SUMIFS(Баланс!AJ$26:AJ$209,Баланс!$F$26:$F$209,$F298,Баланс!$G$26:$G$209,"ПО")</f>
        <v>0</v>
      </c>
      <c r="AL298" s="700">
        <f ca="1">SUMIFS(Баланс!AK$26:AK$209,Баланс!$F$26:$F$209,$F298,Баланс!$G$26:$G$209,"ПО")</f>
        <v>0</v>
      </c>
      <c r="AM298" s="700">
        <f ca="1">SUMIFS(Баланс!AL$26:AL$209,Баланс!$F$26:$F$209,$F298,Баланс!$G$26:$G$209,"ПО")</f>
        <v>0</v>
      </c>
      <c r="AN298" s="700">
        <f ca="1">SUMIFS(Баланс!AM$26:AM$209,Баланс!$F$26:$F$209,$F298,Баланс!$G$26:$G$209,"ПО")</f>
        <v>0</v>
      </c>
      <c r="AO298" s="700">
        <f ca="1">SUMIFS(Баланс!AN$26:AN$209,Баланс!$F$26:$F$209,$F298,Баланс!$G$26:$G$209,"ПО")</f>
        <v>0</v>
      </c>
      <c r="AP298" s="700">
        <f ca="1">SUMIFS(Баланс!AO$26:AO$209,Баланс!$F$26:$F$209,$F298,Баланс!$G$26:$G$209,"ПО")</f>
        <v>0</v>
      </c>
      <c r="AQ298" s="700">
        <f ca="1">SUMIFS(Баланс!AP$26:AP$209,Баланс!$F$26:$F$209,$F298,Баланс!$G$26:$G$209,"ПО")</f>
        <v>0</v>
      </c>
      <c r="AR298" s="700">
        <f ca="1">SUMIFS(Баланс!AQ$26:AQ$209,Баланс!$F$26:$F$209,$F298,Баланс!$G$26:$G$209,"ПО")</f>
        <v>0</v>
      </c>
      <c r="AS298" s="700">
        <f ca="1">SUMIFS(Баланс!AR$26:AR$209,Баланс!$F$26:$F$209,$F298,Баланс!$G$26:$G$209,"ПО")</f>
        <v>0</v>
      </c>
      <c r="AT298" s="700">
        <f ca="1">SUMIFS(Баланс!AS$26:AS$209,Баланс!$F$26:$F$209,$F298,Баланс!$G$26:$G$209,"ПО")</f>
        <v>2.5756999999999999</v>
      </c>
      <c r="AU298" s="700">
        <f ca="1">SUMIFS(Баланс!AT$26:AT$209,Баланс!$F$26:$F$209,$F298,Баланс!$G$26:$G$209,"ПО")</f>
        <v>0</v>
      </c>
      <c r="AV298" s="700">
        <f ca="1">SUMIFS(Баланс!AU$26:AU$209,Баланс!$F$26:$F$209,$F298,Баланс!$G$26:$G$209,"ПО")</f>
        <v>0</v>
      </c>
      <c r="AW298" s="700">
        <f ca="1">SUMIFS(Баланс!AV$26:AV$209,Баланс!$F$26:$F$209,$F298,Баланс!$G$26:$G$209,"ПО")</f>
        <v>0</v>
      </c>
      <c r="AX298" s="700">
        <f ca="1">SUMIFS(Баланс!AW$26:AW$209,Баланс!$F$26:$F$209,$F298,Баланс!$G$26:$G$209,"ПО")</f>
        <v>0</v>
      </c>
      <c r="AY298" s="700">
        <f ca="1">SUMIFS(Баланс!AX$26:AX$209,Баланс!$F$26:$F$209,$F298,Баланс!$G$26:$G$209,"ПО")</f>
        <v>0</v>
      </c>
      <c r="AZ298" s="700">
        <f ca="1">SUMIFS(Баланс!AY$26:AY$209,Баланс!$F$26:$F$209,$F298,Баланс!$G$26:$G$209,"ПО")</f>
        <v>0</v>
      </c>
      <c r="BA298" s="700">
        <f ca="1">SUMIFS(Баланс!AZ$26:AZ$209,Баланс!$F$26:$F$209,$F298,Баланс!$G$26:$G$209,"ПО")</f>
        <v>0</v>
      </c>
      <c r="BB298" s="700">
        <f ca="1">SUMIFS(Баланс!BA$26:BA$209,Баланс!$F$26:$F$209,$F298,Баланс!$G$26:$G$209,"ПО")</f>
        <v>0</v>
      </c>
      <c r="BC298" s="700">
        <f ca="1">SUMIFS(Баланс!BB$26:BB$209,Баланс!$F$26:$F$209,$F298,Баланс!$G$26:$G$209,"ПО")</f>
        <v>0</v>
      </c>
      <c r="BD298" s="678"/>
      <c r="BE298" s="678"/>
      <c r="BF298" s="678"/>
      <c r="BG298" s="678"/>
      <c r="BH298" s="678"/>
      <c r="BI298" s="678"/>
      <c r="BJ298" s="678"/>
      <c r="BK298" s="678"/>
      <c r="BL298" s="678"/>
      <c r="BM298" s="678"/>
      <c r="BN298" s="1522"/>
      <c r="BO298" s="1522"/>
      <c r="BP298" s="1522"/>
      <c r="BQ298" s="617"/>
      <c r="BR298" s="617"/>
      <c r="BS298" s="965" t="s">
        <v>1695</v>
      </c>
      <c r="BT298" s="972"/>
      <c r="BU298" s="972"/>
      <c r="BV298" s="624"/>
      <c r="BW298" s="624"/>
    </row>
    <row r="299" spans="1:75" s="1327" customFormat="1" ht="14.25" customHeight="1">
      <c r="A299" s="1177"/>
      <c r="B299" s="880"/>
      <c r="C299" s="1177"/>
      <c r="D299" s="26" cm="1">
        <f t="array" ref="D299">D298</f>
        <v>11</v>
      </c>
      <c r="E299" s="620">
        <v>15</v>
      </c>
      <c r="F299" s="3" t="str" cm="1">
        <f t="array" aca="1" ref="F299" ca="1">OFFSET(E299,-1,1)</f>
        <v>1</v>
      </c>
      <c r="G299" s="77" t="s">
        <v>1490</v>
      </c>
      <c r="H299" s="1177"/>
      <c r="I299" s="77" t="s">
        <v>2027</v>
      </c>
      <c r="J299" s="1177"/>
      <c r="K299" s="77" t="s">
        <v>2027</v>
      </c>
      <c r="L299" s="882" t="s">
        <v>1696</v>
      </c>
      <c r="M299" s="26"/>
      <c r="N299" s="1177"/>
      <c r="O299" s="1177"/>
      <c r="P299" s="1177"/>
      <c r="Q299" s="1177"/>
      <c r="R299" s="1177"/>
      <c r="S299" s="1177"/>
      <c r="T299" s="381" t="b" cm="1">
        <f t="array" aca="1" ref="T299" ca="1">T298</f>
        <v>1</v>
      </c>
      <c r="U299" s="1177"/>
      <c r="V299" s="1177"/>
      <c r="W299" s="1177"/>
      <c r="X299" s="1755"/>
      <c r="Y299" s="1177"/>
      <c r="Z299" s="1735"/>
      <c r="AA299" s="1177"/>
      <c r="AB299" s="216" t="str">
        <f>D299&amp;".1"</f>
        <v>11.1</v>
      </c>
      <c r="AC299" s="1012" t="s">
        <v>1698</v>
      </c>
      <c r="AD299" s="216" t="s">
        <v>499</v>
      </c>
      <c r="AE299" s="1512">
        <f ca="1">AE298/2</f>
        <v>1.3833</v>
      </c>
      <c r="AF299" s="1512">
        <f ca="1">AF298/2</f>
        <v>5.5E-2</v>
      </c>
      <c r="AG299" s="1512">
        <f ca="1">AG298/2</f>
        <v>5.5E-2</v>
      </c>
      <c r="AH299" s="846">
        <f t="shared" ca="1" si="76"/>
        <v>0</v>
      </c>
      <c r="AI299" s="1478">
        <f ca="1">AI298/2</f>
        <v>1.3141350000000001</v>
      </c>
      <c r="AJ299" s="1512">
        <f ca="1">IF(god=2026,AJ298/12*9,AJ298/2)</f>
        <v>1.9317749999999998</v>
      </c>
      <c r="AK299" s="1512">
        <f ca="1">IF(god=2025,AK298/12*9,AK298/2)</f>
        <v>0</v>
      </c>
      <c r="AL299" s="1478">
        <f t="shared" ref="AL299:AS299" ca="1" si="77">AL298/2</f>
        <v>0</v>
      </c>
      <c r="AM299" s="1478">
        <f t="shared" ca="1" si="77"/>
        <v>0</v>
      </c>
      <c r="AN299" s="1478">
        <f t="shared" ca="1" si="77"/>
        <v>0</v>
      </c>
      <c r="AO299" s="1478">
        <f t="shared" ca="1" si="77"/>
        <v>0</v>
      </c>
      <c r="AP299" s="1478">
        <f t="shared" ca="1" si="77"/>
        <v>0</v>
      </c>
      <c r="AQ299" s="1478">
        <f t="shared" ca="1" si="77"/>
        <v>0</v>
      </c>
      <c r="AR299" s="1478">
        <f t="shared" ca="1" si="77"/>
        <v>0</v>
      </c>
      <c r="AS299" s="1478">
        <f t="shared" ca="1" si="77"/>
        <v>0</v>
      </c>
      <c r="AT299" s="1478">
        <f ca="1">IF(god=2026,AT298/12*9,AT298/2)</f>
        <v>1.9317749999999998</v>
      </c>
      <c r="AU299" s="1478">
        <f ca="1">IF(god=2025,AU298/12*9,AU298/2)</f>
        <v>0</v>
      </c>
      <c r="AV299" s="1478">
        <f t="shared" ref="AV299:BC299" ca="1" si="78">AV298/2</f>
        <v>0</v>
      </c>
      <c r="AW299" s="1478">
        <f t="shared" ca="1" si="78"/>
        <v>0</v>
      </c>
      <c r="AX299" s="1478">
        <f t="shared" ca="1" si="78"/>
        <v>0</v>
      </c>
      <c r="AY299" s="1478">
        <f t="shared" ca="1" si="78"/>
        <v>0</v>
      </c>
      <c r="AZ299" s="1478">
        <f t="shared" ca="1" si="78"/>
        <v>0</v>
      </c>
      <c r="BA299" s="1478">
        <f t="shared" ca="1" si="78"/>
        <v>0</v>
      </c>
      <c r="BB299" s="1478">
        <f t="shared" ca="1" si="78"/>
        <v>0</v>
      </c>
      <c r="BC299" s="1478">
        <f t="shared" ca="1" si="78"/>
        <v>0</v>
      </c>
      <c r="BD299" s="847"/>
      <c r="BE299" s="847"/>
      <c r="BF299" s="847"/>
      <c r="BG299" s="847"/>
      <c r="BH299" s="847"/>
      <c r="BI299" s="847"/>
      <c r="BJ299" s="847"/>
      <c r="BK299" s="847"/>
      <c r="BL299" s="847"/>
      <c r="BM299" s="847"/>
      <c r="BN299" s="1522"/>
      <c r="BO299" s="1522"/>
      <c r="BP299" s="1522"/>
      <c r="BQ299" s="1177"/>
      <c r="BR299" s="1177"/>
      <c r="BS299" s="964" t="s">
        <v>1699</v>
      </c>
      <c r="BT299" s="966"/>
      <c r="BU299" s="966"/>
      <c r="BV299" s="881"/>
      <c r="BW299" s="881"/>
    </row>
    <row r="300" spans="1:75" s="1327" customFormat="1" ht="14.25" customHeight="1">
      <c r="A300" s="1177"/>
      <c r="B300" s="880"/>
      <c r="C300" s="1177"/>
      <c r="D300" s="26" cm="1">
        <f t="array" ref="D300">D299</f>
        <v>11</v>
      </c>
      <c r="E300" s="620">
        <v>15</v>
      </c>
      <c r="F300" s="3" t="str" cm="1">
        <f t="array" aca="1" ref="F300" ca="1">OFFSET(E300,-1,1)</f>
        <v>1</v>
      </c>
      <c r="G300" s="77" t="s">
        <v>1451</v>
      </c>
      <c r="H300" s="1177"/>
      <c r="I300" s="77" t="s">
        <v>2028</v>
      </c>
      <c r="J300" s="1177"/>
      <c r="K300" s="77" t="s">
        <v>2028</v>
      </c>
      <c r="L300" s="882" t="s">
        <v>1700</v>
      </c>
      <c r="M300" s="26"/>
      <c r="N300" s="1177"/>
      <c r="O300" s="1177"/>
      <c r="P300" s="1177"/>
      <c r="Q300" s="1177"/>
      <c r="R300" s="1177"/>
      <c r="S300" s="1177"/>
      <c r="T300" s="381" t="b" cm="1">
        <f t="array" aca="1" ref="T300" ca="1">T299</f>
        <v>1</v>
      </c>
      <c r="U300" s="1177"/>
      <c r="V300" s="1177"/>
      <c r="W300" s="1177"/>
      <c r="X300" s="1755"/>
      <c r="Y300" s="1177"/>
      <c r="Z300" s="1735"/>
      <c r="AA300" s="1177"/>
      <c r="AB300" s="216" t="str">
        <f>D300&amp;".2"</f>
        <v>11.2</v>
      </c>
      <c r="AC300" s="1012" t="s">
        <v>1702</v>
      </c>
      <c r="AD300" s="216" t="s">
        <v>1454</v>
      </c>
      <c r="AE300" s="1509"/>
      <c r="AF300" s="1509"/>
      <c r="AG300" s="1509"/>
      <c r="AH300" s="848">
        <f t="shared" si="76"/>
        <v>0</v>
      </c>
      <c r="AI300" s="1480"/>
      <c r="AJ300" s="1480"/>
      <c r="AK300" s="1480"/>
      <c r="AL300" s="1480"/>
      <c r="AM300" s="1480"/>
      <c r="AN300" s="1480"/>
      <c r="AO300" s="1480"/>
      <c r="AP300" s="1480"/>
      <c r="AQ300" s="1480"/>
      <c r="AR300" s="1480"/>
      <c r="AS300" s="1480"/>
      <c r="AT300" s="1480"/>
      <c r="AU300" s="1480" cm="1">
        <f t="array" aca="1" ref="AU300" ca="1">AT302</f>
        <v>241.22374500135885</v>
      </c>
      <c r="AV300" s="1480" cm="1">
        <f t="array" aca="1" ref="AV300" ca="1">AU302</f>
        <v>0</v>
      </c>
      <c r="AW300" s="1480" cm="1">
        <f t="array" aca="1" ref="AW300" ca="1">AV302</f>
        <v>0</v>
      </c>
      <c r="AX300" s="1480" cm="1">
        <f t="array" aca="1" ref="AX300" ca="1">AW302</f>
        <v>0</v>
      </c>
      <c r="AY300" s="1480" cm="1">
        <f t="array" aca="1" ref="AY300" ca="1">AX302</f>
        <v>0</v>
      </c>
      <c r="AZ300" s="1480" cm="1">
        <f t="array" aca="1" ref="AZ300" ca="1">AY302</f>
        <v>0</v>
      </c>
      <c r="BA300" s="1480" cm="1">
        <f t="array" aca="1" ref="BA300" ca="1">AZ302</f>
        <v>0</v>
      </c>
      <c r="BB300" s="1480" cm="1">
        <f t="array" aca="1" ref="BB300" ca="1">BA302</f>
        <v>0</v>
      </c>
      <c r="BC300" s="1480" cm="1">
        <f t="array" aca="1" ref="BC300" ca="1">BB302</f>
        <v>0</v>
      </c>
      <c r="BD300" s="847"/>
      <c r="BE300" s="847"/>
      <c r="BF300" s="847"/>
      <c r="BG300" s="847"/>
      <c r="BH300" s="847"/>
      <c r="BI300" s="847"/>
      <c r="BJ300" s="847"/>
      <c r="BK300" s="847"/>
      <c r="BL300" s="847"/>
      <c r="BM300" s="847"/>
      <c r="BN300" s="1522"/>
      <c r="BO300" s="1522"/>
      <c r="BP300" s="1522"/>
      <c r="BQ300" s="1177"/>
      <c r="BR300" s="1177"/>
      <c r="BS300" s="964" t="s">
        <v>1703</v>
      </c>
      <c r="BT300" s="966"/>
      <c r="BU300" s="966"/>
      <c r="BV300" s="881"/>
      <c r="BW300" s="881"/>
    </row>
    <row r="301" spans="1:75" s="1327" customFormat="1" ht="14.25" customHeight="1">
      <c r="A301" s="1177"/>
      <c r="B301" s="880"/>
      <c r="C301" s="1177"/>
      <c r="D301" s="26" cm="1">
        <f t="array" ref="D301">D300</f>
        <v>11</v>
      </c>
      <c r="E301" s="620">
        <v>15</v>
      </c>
      <c r="F301" s="3" t="str" cm="1">
        <f t="array" aca="1" ref="F301" ca="1">OFFSET(E301,-1,1)</f>
        <v>1</v>
      </c>
      <c r="G301" s="77" t="s">
        <v>1503</v>
      </c>
      <c r="H301" s="1177"/>
      <c r="I301" s="77" t="s">
        <v>2029</v>
      </c>
      <c r="J301" s="1177"/>
      <c r="K301" s="77" t="s">
        <v>2029</v>
      </c>
      <c r="L301" s="882" t="s">
        <v>1704</v>
      </c>
      <c r="M301" s="26"/>
      <c r="N301" s="1177"/>
      <c r="O301" s="1177"/>
      <c r="P301" s="1177"/>
      <c r="Q301" s="1177"/>
      <c r="R301" s="1177"/>
      <c r="S301" s="1177"/>
      <c r="T301" s="381" t="b" cm="1">
        <f t="array" aca="1" ref="T301" ca="1">T300</f>
        <v>1</v>
      </c>
      <c r="U301" s="1177"/>
      <c r="V301" s="1177"/>
      <c r="W301" s="1177"/>
      <c r="X301" s="1755"/>
      <c r="Y301" s="1177"/>
      <c r="Z301" s="1735"/>
      <c r="AA301" s="1177"/>
      <c r="AB301" s="216" t="str">
        <f>D301&amp;".3"</f>
        <v>11.3</v>
      </c>
      <c r="AC301" s="1012" t="s">
        <v>2030</v>
      </c>
      <c r="AD301" s="216" t="s">
        <v>499</v>
      </c>
      <c r="AE301" s="851">
        <f ca="1">AE298-AE299</f>
        <v>1.3833</v>
      </c>
      <c r="AF301" s="851">
        <f ca="1">AF298-AF299</f>
        <v>5.5E-2</v>
      </c>
      <c r="AG301" s="851">
        <f ca="1">AG298-AG299</f>
        <v>5.5E-2</v>
      </c>
      <c r="AH301" s="846">
        <f t="shared" ca="1" si="76"/>
        <v>0</v>
      </c>
      <c r="AI301" s="739">
        <f t="shared" ref="AI301:BC301" ca="1" si="79">AI298-AI299</f>
        <v>1.3141350000000001</v>
      </c>
      <c r="AJ301" s="739">
        <f t="shared" ca="1" si="79"/>
        <v>0.64392500000000008</v>
      </c>
      <c r="AK301" s="739">
        <f t="shared" ca="1" si="79"/>
        <v>0</v>
      </c>
      <c r="AL301" s="739">
        <f t="shared" ca="1" si="79"/>
        <v>0</v>
      </c>
      <c r="AM301" s="739">
        <f t="shared" ca="1" si="79"/>
        <v>0</v>
      </c>
      <c r="AN301" s="739">
        <f t="shared" ca="1" si="79"/>
        <v>0</v>
      </c>
      <c r="AO301" s="739">
        <f t="shared" ca="1" si="79"/>
        <v>0</v>
      </c>
      <c r="AP301" s="739">
        <f t="shared" ca="1" si="79"/>
        <v>0</v>
      </c>
      <c r="AQ301" s="739">
        <f t="shared" ca="1" si="79"/>
        <v>0</v>
      </c>
      <c r="AR301" s="739">
        <f t="shared" ca="1" si="79"/>
        <v>0</v>
      </c>
      <c r="AS301" s="739">
        <f t="shared" ca="1" si="79"/>
        <v>0</v>
      </c>
      <c r="AT301" s="739">
        <f t="shared" ca="1" si="79"/>
        <v>0.64392500000000008</v>
      </c>
      <c r="AU301" s="739">
        <f t="shared" ca="1" si="79"/>
        <v>0</v>
      </c>
      <c r="AV301" s="739">
        <f t="shared" ca="1" si="79"/>
        <v>0</v>
      </c>
      <c r="AW301" s="739">
        <f t="shared" ca="1" si="79"/>
        <v>0</v>
      </c>
      <c r="AX301" s="739">
        <f t="shared" ca="1" si="79"/>
        <v>0</v>
      </c>
      <c r="AY301" s="739">
        <f t="shared" ca="1" si="79"/>
        <v>0</v>
      </c>
      <c r="AZ301" s="739">
        <f t="shared" ca="1" si="79"/>
        <v>0</v>
      </c>
      <c r="BA301" s="739">
        <f t="shared" ca="1" si="79"/>
        <v>0</v>
      </c>
      <c r="BB301" s="739">
        <f t="shared" ca="1" si="79"/>
        <v>0</v>
      </c>
      <c r="BC301" s="739">
        <f t="shared" ca="1" si="79"/>
        <v>0</v>
      </c>
      <c r="BD301" s="847"/>
      <c r="BE301" s="847"/>
      <c r="BF301" s="847"/>
      <c r="BG301" s="847"/>
      <c r="BH301" s="847"/>
      <c r="BI301" s="847"/>
      <c r="BJ301" s="847"/>
      <c r="BK301" s="847"/>
      <c r="BL301" s="847"/>
      <c r="BM301" s="847"/>
      <c r="BN301" s="1522"/>
      <c r="BO301" s="1522"/>
      <c r="BP301" s="1522"/>
      <c r="BQ301" s="1177"/>
      <c r="BR301" s="1177"/>
      <c r="BS301" s="964" t="s">
        <v>1707</v>
      </c>
      <c r="BT301" s="966"/>
      <c r="BU301" s="966"/>
      <c r="BV301" s="881"/>
      <c r="BW301" s="881"/>
    </row>
    <row r="302" spans="1:75" s="1327" customFormat="1" ht="14.25" customHeight="1">
      <c r="A302" s="1177"/>
      <c r="B302" s="880"/>
      <c r="C302" s="1177"/>
      <c r="D302" s="26" cm="1">
        <f t="array" ref="D302">D301</f>
        <v>11</v>
      </c>
      <c r="E302" s="620">
        <v>15</v>
      </c>
      <c r="F302" s="3" t="str" cm="1">
        <f t="array" aca="1" ref="F302" ca="1">OFFSET(E302,-1,1)</f>
        <v>1</v>
      </c>
      <c r="G302" s="77" t="s">
        <v>1456</v>
      </c>
      <c r="H302" s="1177"/>
      <c r="I302" s="77" t="s">
        <v>2031</v>
      </c>
      <c r="J302" s="1177"/>
      <c r="K302" s="77" t="s">
        <v>2031</v>
      </c>
      <c r="L302" s="882" t="s">
        <v>1708</v>
      </c>
      <c r="M302" s="26"/>
      <c r="N302" s="1177"/>
      <c r="O302" s="1177"/>
      <c r="P302" s="1177"/>
      <c r="Q302" s="1177"/>
      <c r="R302" s="1177"/>
      <c r="S302" s="1177"/>
      <c r="T302" s="381" t="b" cm="1">
        <f t="array" aca="1" ref="T302" ca="1">T301</f>
        <v>1</v>
      </c>
      <c r="U302" s="1177"/>
      <c r="V302" s="1177"/>
      <c r="W302" s="1177"/>
      <c r="X302" s="1755"/>
      <c r="Y302" s="1177"/>
      <c r="Z302" s="1735"/>
      <c r="AA302" s="1177"/>
      <c r="AB302" s="216" t="str">
        <f>D302&amp;".4"</f>
        <v>11.4</v>
      </c>
      <c r="AC302" s="1012" t="s">
        <v>1710</v>
      </c>
      <c r="AD302" s="216" t="s">
        <v>1454</v>
      </c>
      <c r="AE302" s="1509">
        <f ca="1">IF(AE301=0,0,(AE295-AE299*AE300)/AE301)</f>
        <v>101.80004337453914</v>
      </c>
      <c r="AF302" s="1509">
        <f ca="1">IF(AF301=0,0,(AF295-AF299*AF300)/AF301)</f>
        <v>101.81818181818181</v>
      </c>
      <c r="AG302" s="1509">
        <f ca="1">IF(AG301=0,0,(AG295-AG299*AG300)/AG301)</f>
        <v>101.81818181818181</v>
      </c>
      <c r="AH302" s="848">
        <f t="shared" ca="1" si="76"/>
        <v>0</v>
      </c>
      <c r="AI302" s="1480">
        <f t="shared" ref="AI302:BC302" ca="1" si="80">IF(AI301=0,0,(AI295-AI299*AI300)/AI301)</f>
        <v>111.77694833483621</v>
      </c>
      <c r="AJ302" s="1480">
        <f t="shared" ca="1" si="80"/>
        <v>241.17715572465735</v>
      </c>
      <c r="AK302" s="1480">
        <f t="shared" ca="1" si="80"/>
        <v>0</v>
      </c>
      <c r="AL302" s="1480">
        <f t="shared" ca="1" si="80"/>
        <v>0</v>
      </c>
      <c r="AM302" s="1480">
        <f t="shared" ca="1" si="80"/>
        <v>0</v>
      </c>
      <c r="AN302" s="1480">
        <f t="shared" ca="1" si="80"/>
        <v>0</v>
      </c>
      <c r="AO302" s="1480">
        <f t="shared" ca="1" si="80"/>
        <v>0</v>
      </c>
      <c r="AP302" s="1480">
        <f t="shared" ca="1" si="80"/>
        <v>0</v>
      </c>
      <c r="AQ302" s="1480">
        <f t="shared" ca="1" si="80"/>
        <v>0</v>
      </c>
      <c r="AR302" s="1480">
        <f t="shared" ca="1" si="80"/>
        <v>0</v>
      </c>
      <c r="AS302" s="1480">
        <f t="shared" ca="1" si="80"/>
        <v>0</v>
      </c>
      <c r="AT302" s="1480">
        <f t="shared" ca="1" si="80"/>
        <v>241.22374500135885</v>
      </c>
      <c r="AU302" s="1480">
        <f t="shared" ca="1" si="80"/>
        <v>0</v>
      </c>
      <c r="AV302" s="1480">
        <f t="shared" ca="1" si="80"/>
        <v>0</v>
      </c>
      <c r="AW302" s="1480">
        <f t="shared" ca="1" si="80"/>
        <v>0</v>
      </c>
      <c r="AX302" s="1480">
        <f t="shared" ca="1" si="80"/>
        <v>0</v>
      </c>
      <c r="AY302" s="1480">
        <f t="shared" ca="1" si="80"/>
        <v>0</v>
      </c>
      <c r="AZ302" s="1480">
        <f t="shared" ca="1" si="80"/>
        <v>0</v>
      </c>
      <c r="BA302" s="1480">
        <f t="shared" ca="1" si="80"/>
        <v>0</v>
      </c>
      <c r="BB302" s="1480">
        <f t="shared" ca="1" si="80"/>
        <v>0</v>
      </c>
      <c r="BC302" s="1480">
        <f t="shared" ca="1" si="80"/>
        <v>0</v>
      </c>
      <c r="BD302" s="847"/>
      <c r="BE302" s="847"/>
      <c r="BF302" s="847"/>
      <c r="BG302" s="847"/>
      <c r="BH302" s="847"/>
      <c r="BI302" s="847"/>
      <c r="BJ302" s="847"/>
      <c r="BK302" s="847"/>
      <c r="BL302" s="847"/>
      <c r="BM302" s="847"/>
      <c r="BN302" s="1522"/>
      <c r="BO302" s="1522"/>
      <c r="BP302" s="1522"/>
      <c r="BQ302" s="1177"/>
      <c r="BR302" s="1177"/>
      <c r="BS302" s="964" t="s">
        <v>1711</v>
      </c>
      <c r="BT302" s="966"/>
      <c r="BU302" s="966"/>
      <c r="BV302" s="881"/>
      <c r="BW302" s="881"/>
    </row>
    <row r="303" spans="1:75" s="1327" customFormat="1" ht="14.25" customHeight="1">
      <c r="A303" s="1177"/>
      <c r="B303" s="880"/>
      <c r="C303" s="1177"/>
      <c r="D303" s="26" cm="1">
        <f t="array" ref="D303">D302</f>
        <v>11</v>
      </c>
      <c r="E303" s="620">
        <v>15</v>
      </c>
      <c r="F303" s="3" t="str" cm="1">
        <f t="array" aca="1" ref="F303" ca="1">OFFSET(E303,-1,1)</f>
        <v>1</v>
      </c>
      <c r="G303" s="1177"/>
      <c r="H303" s="1177"/>
      <c r="I303" s="77" t="s">
        <v>2032</v>
      </c>
      <c r="J303" s="1177"/>
      <c r="K303" s="77" t="s">
        <v>2032</v>
      </c>
      <c r="L303" s="882" t="s">
        <v>1712</v>
      </c>
      <c r="M303" s="26"/>
      <c r="N303" s="1177"/>
      <c r="O303" s="1177"/>
      <c r="P303" s="1177"/>
      <c r="Q303" s="1177"/>
      <c r="R303" s="1177"/>
      <c r="S303" s="1177"/>
      <c r="T303" s="381" t="b" cm="1">
        <f t="array" aca="1" ref="T303" ca="1">T302</f>
        <v>1</v>
      </c>
      <c r="U303" s="1177"/>
      <c r="V303" s="1177"/>
      <c r="W303" s="1177"/>
      <c r="X303" s="1755"/>
      <c r="Y303" s="1177"/>
      <c r="Z303" s="1735"/>
      <c r="AA303" s="1177"/>
      <c r="AB303" s="216" t="str">
        <f>D303&amp;".5"</f>
        <v>11.5</v>
      </c>
      <c r="AC303" s="1012" t="s">
        <v>1714</v>
      </c>
      <c r="AD303" s="216" t="s">
        <v>423</v>
      </c>
      <c r="AE303" s="175">
        <f>IF(AE300=0,0,AE302/AE300*100)</f>
        <v>0</v>
      </c>
      <c r="AF303" s="175">
        <f>IF(AF300=0,0,AF302/AF300*100)</f>
        <v>0</v>
      </c>
      <c r="AG303" s="175">
        <f>IF(AG300=0,0,AG302/AG300*100)</f>
        <v>0</v>
      </c>
      <c r="AH303" s="847"/>
      <c r="AI303" s="716">
        <f t="shared" ref="AI303:BC303" si="81">IF(AI300=0,0,AI302/AI300*100)</f>
        <v>0</v>
      </c>
      <c r="AJ303" s="716">
        <f t="shared" si="81"/>
        <v>0</v>
      </c>
      <c r="AK303" s="716">
        <f t="shared" si="81"/>
        <v>0</v>
      </c>
      <c r="AL303" s="716">
        <f t="shared" si="81"/>
        <v>0</v>
      </c>
      <c r="AM303" s="716">
        <f t="shared" si="81"/>
        <v>0</v>
      </c>
      <c r="AN303" s="716">
        <f t="shared" si="81"/>
        <v>0</v>
      </c>
      <c r="AO303" s="716">
        <f t="shared" si="81"/>
        <v>0</v>
      </c>
      <c r="AP303" s="716">
        <f t="shared" si="81"/>
        <v>0</v>
      </c>
      <c r="AQ303" s="716">
        <f t="shared" si="81"/>
        <v>0</v>
      </c>
      <c r="AR303" s="716">
        <f t="shared" si="81"/>
        <v>0</v>
      </c>
      <c r="AS303" s="716">
        <f t="shared" si="81"/>
        <v>0</v>
      </c>
      <c r="AT303" s="716">
        <f t="shared" si="81"/>
        <v>0</v>
      </c>
      <c r="AU303" s="716">
        <f t="shared" ca="1" si="81"/>
        <v>0</v>
      </c>
      <c r="AV303" s="716">
        <f t="shared" ca="1" si="81"/>
        <v>0</v>
      </c>
      <c r="AW303" s="716">
        <f t="shared" ca="1" si="81"/>
        <v>0</v>
      </c>
      <c r="AX303" s="716">
        <f t="shared" ca="1" si="81"/>
        <v>0</v>
      </c>
      <c r="AY303" s="716">
        <f t="shared" ca="1" si="81"/>
        <v>0</v>
      </c>
      <c r="AZ303" s="716">
        <f t="shared" ca="1" si="81"/>
        <v>0</v>
      </c>
      <c r="BA303" s="716">
        <f t="shared" ca="1" si="81"/>
        <v>0</v>
      </c>
      <c r="BB303" s="716">
        <f t="shared" ca="1" si="81"/>
        <v>0</v>
      </c>
      <c r="BC303" s="716">
        <f t="shared" ca="1" si="81"/>
        <v>0</v>
      </c>
      <c r="BD303" s="847"/>
      <c r="BE303" s="847"/>
      <c r="BF303" s="847"/>
      <c r="BG303" s="847"/>
      <c r="BH303" s="847"/>
      <c r="BI303" s="847"/>
      <c r="BJ303" s="847"/>
      <c r="BK303" s="847"/>
      <c r="BL303" s="847"/>
      <c r="BM303" s="847"/>
      <c r="BN303" s="1522"/>
      <c r="BO303" s="1522"/>
      <c r="BP303" s="1522"/>
      <c r="BQ303" s="1177"/>
      <c r="BR303" s="1177"/>
      <c r="BS303" s="964" t="s">
        <v>1715</v>
      </c>
      <c r="BT303" s="966"/>
      <c r="BU303" s="966"/>
      <c r="BV303" s="881"/>
      <c r="BW303" s="881"/>
    </row>
    <row r="304" spans="1:75" s="1327" customFormat="1" ht="14.25" customHeight="1">
      <c r="A304" s="1177"/>
      <c r="B304" s="880"/>
      <c r="C304" s="1177"/>
      <c r="D304" s="26" cm="1">
        <f t="array" ref="D304">D303</f>
        <v>11</v>
      </c>
      <c r="E304" s="620">
        <v>15</v>
      </c>
      <c r="F304" s="3" t="str" cm="1">
        <f t="array" aca="1" ref="F304" ca="1">OFFSET(E304,-1,1)</f>
        <v>1</v>
      </c>
      <c r="G304" s="1177"/>
      <c r="H304" s="1177"/>
      <c r="I304" s="77" t="s">
        <v>2033</v>
      </c>
      <c r="J304" s="1177"/>
      <c r="K304" s="77" t="s">
        <v>2033</v>
      </c>
      <c r="L304" s="882" t="s">
        <v>1716</v>
      </c>
      <c r="M304" s="26"/>
      <c r="N304" s="1177"/>
      <c r="O304" s="1177"/>
      <c r="P304" s="1177"/>
      <c r="Q304" s="1177"/>
      <c r="R304" s="1177"/>
      <c r="S304" s="1177"/>
      <c r="T304" s="381" t="b" cm="1">
        <f t="array" aca="1" ref="T304" ca="1">T303</f>
        <v>1</v>
      </c>
      <c r="U304" s="1177"/>
      <c r="V304" s="1177"/>
      <c r="W304" s="1177"/>
      <c r="X304" s="1755"/>
      <c r="Y304" s="1177"/>
      <c r="Z304" s="1735"/>
      <c r="AA304" s="1177"/>
      <c r="AB304" s="216" t="str">
        <f>D304&amp;".6"</f>
        <v>11.6</v>
      </c>
      <c r="AC304" s="1012" t="s">
        <v>1718</v>
      </c>
      <c r="AD304" s="216" t="s">
        <v>1454</v>
      </c>
      <c r="AE304" s="1509">
        <f ca="1">IF(AE298=0,0,AE295/AE298)</f>
        <v>50.900021687269572</v>
      </c>
      <c r="AF304" s="1509">
        <f ca="1">IF(AF298=0,0,AF295/AF298)</f>
        <v>50.909090909090907</v>
      </c>
      <c r="AG304" s="1509">
        <f ca="1">IF(AG298=0,0,AG295/AG298)</f>
        <v>50.909090909090907</v>
      </c>
      <c r="AH304" s="848">
        <f ca="1">AG304-AF304</f>
        <v>0</v>
      </c>
      <c r="AI304" s="1480">
        <f t="shared" ref="AI304:BC304" ca="1" si="82">IF(AI298=0,0,AI295/AI298)</f>
        <v>55.888474167418103</v>
      </c>
      <c r="AJ304" s="1480">
        <f t="shared" ca="1" si="82"/>
        <v>60.294288931164353</v>
      </c>
      <c r="AK304" s="1480">
        <f t="shared" ca="1" si="82"/>
        <v>0</v>
      </c>
      <c r="AL304" s="1480">
        <f t="shared" ca="1" si="82"/>
        <v>0</v>
      </c>
      <c r="AM304" s="1480">
        <f t="shared" ca="1" si="82"/>
        <v>0</v>
      </c>
      <c r="AN304" s="1480">
        <f t="shared" ca="1" si="82"/>
        <v>0</v>
      </c>
      <c r="AO304" s="1480">
        <f t="shared" ca="1" si="82"/>
        <v>0</v>
      </c>
      <c r="AP304" s="1480">
        <f t="shared" ca="1" si="82"/>
        <v>0</v>
      </c>
      <c r="AQ304" s="1480">
        <f t="shared" ca="1" si="82"/>
        <v>0</v>
      </c>
      <c r="AR304" s="1480">
        <f t="shared" ca="1" si="82"/>
        <v>0</v>
      </c>
      <c r="AS304" s="1480">
        <f t="shared" ca="1" si="82"/>
        <v>0</v>
      </c>
      <c r="AT304" s="1480">
        <f t="shared" ca="1" si="82"/>
        <v>60.30593625033972</v>
      </c>
      <c r="AU304" s="1480">
        <f t="shared" ca="1" si="82"/>
        <v>0</v>
      </c>
      <c r="AV304" s="1480">
        <f t="shared" ca="1" si="82"/>
        <v>0</v>
      </c>
      <c r="AW304" s="1480">
        <f t="shared" ca="1" si="82"/>
        <v>0</v>
      </c>
      <c r="AX304" s="1480">
        <f t="shared" ca="1" si="82"/>
        <v>0</v>
      </c>
      <c r="AY304" s="1480">
        <f t="shared" ca="1" si="82"/>
        <v>0</v>
      </c>
      <c r="AZ304" s="1480">
        <f t="shared" ca="1" si="82"/>
        <v>0</v>
      </c>
      <c r="BA304" s="1480">
        <f t="shared" ca="1" si="82"/>
        <v>0</v>
      </c>
      <c r="BB304" s="1480">
        <f t="shared" ca="1" si="82"/>
        <v>0</v>
      </c>
      <c r="BC304" s="1480">
        <f t="shared" ca="1" si="82"/>
        <v>0</v>
      </c>
      <c r="BD304" s="847"/>
      <c r="BE304" s="847"/>
      <c r="BF304" s="847"/>
      <c r="BG304" s="847"/>
      <c r="BH304" s="847"/>
      <c r="BI304" s="847"/>
      <c r="BJ304" s="847"/>
      <c r="BK304" s="847"/>
      <c r="BL304" s="847"/>
      <c r="BM304" s="847"/>
      <c r="BN304" s="1522"/>
      <c r="BO304" s="1522"/>
      <c r="BP304" s="1522"/>
      <c r="BQ304" s="1177"/>
      <c r="BR304" s="1177"/>
      <c r="BS304" s="964" t="s">
        <v>1719</v>
      </c>
      <c r="BT304" s="966"/>
      <c r="BU304" s="966"/>
      <c r="BV304" s="881"/>
      <c r="BW304" s="881"/>
    </row>
    <row r="305" spans="1:75" s="1535" customFormat="1" ht="20.25" customHeight="1">
      <c r="A305" s="617"/>
      <c r="B305" s="352"/>
      <c r="C305" s="617"/>
      <c r="D305" s="28">
        <f>D304+1</f>
        <v>12</v>
      </c>
      <c r="E305" s="624">
        <v>21</v>
      </c>
      <c r="F305" s="3" t="str" cm="1">
        <f t="array" aca="1" ref="F305" ca="1">OFFSET(E305,-1,1)</f>
        <v>1</v>
      </c>
      <c r="G305" s="617"/>
      <c r="H305" s="77"/>
      <c r="I305" s="77" t="s">
        <v>1724</v>
      </c>
      <c r="J305" s="617"/>
      <c r="K305" s="77" t="s">
        <v>1724</v>
      </c>
      <c r="L305" s="887" t="s">
        <v>1720</v>
      </c>
      <c r="M305" s="28"/>
      <c r="N305" s="617"/>
      <c r="O305" s="617"/>
      <c r="P305" s="617"/>
      <c r="Q305" s="617"/>
      <c r="R305" s="617"/>
      <c r="S305" s="617"/>
      <c r="T305" s="381" t="b" cm="1">
        <f t="array" aca="1" ref="T305" ca="1">T304</f>
        <v>1</v>
      </c>
      <c r="U305" s="617"/>
      <c r="V305" s="617"/>
      <c r="W305" s="617"/>
      <c r="X305" s="1755"/>
      <c r="Y305" s="617"/>
      <c r="Z305" s="1735"/>
      <c r="AA305" s="617"/>
      <c r="AB305" s="129" cm="1">
        <f t="array" ref="AB305">D305</f>
        <v>12</v>
      </c>
      <c r="AC305" s="130" t="s">
        <v>1722</v>
      </c>
      <c r="AD305" s="129" t="s">
        <v>766</v>
      </c>
      <c r="AE305" s="1479">
        <f ca="1">IF(AE298=0,0,AE295/AE298*AE306)</f>
        <v>140.82</v>
      </c>
      <c r="AF305" s="1479">
        <f ca="1">IF(AF298=0,0,AF295/AF298*AF306)</f>
        <v>5.6</v>
      </c>
      <c r="AG305" s="1479">
        <f ca="1">IF(AG298=0,0,AG295/AG298*AG306)</f>
        <v>5.6</v>
      </c>
      <c r="AH305" s="684">
        <f ca="1">AH307*AH308+AH309*AH310</f>
        <v>0</v>
      </c>
      <c r="AI305" s="1513">
        <f t="shared" ref="AI305:BC305" ca="1" si="83">IF(AI298=0,0,AI295/AI298*AI306)</f>
        <v>146.88999999999999</v>
      </c>
      <c r="AJ305" s="1513">
        <f t="shared" ca="1" si="83"/>
        <v>155.30000000000001</v>
      </c>
      <c r="AK305" s="1513">
        <f t="shared" ca="1" si="83"/>
        <v>0</v>
      </c>
      <c r="AL305" s="1513">
        <f t="shared" ca="1" si="83"/>
        <v>0</v>
      </c>
      <c r="AM305" s="1513">
        <f t="shared" ca="1" si="83"/>
        <v>0</v>
      </c>
      <c r="AN305" s="1513">
        <f t="shared" ca="1" si="83"/>
        <v>0</v>
      </c>
      <c r="AO305" s="1513">
        <f t="shared" ca="1" si="83"/>
        <v>0</v>
      </c>
      <c r="AP305" s="1513">
        <f t="shared" ca="1" si="83"/>
        <v>0</v>
      </c>
      <c r="AQ305" s="1513">
        <f t="shared" ca="1" si="83"/>
        <v>0</v>
      </c>
      <c r="AR305" s="1513">
        <f t="shared" ca="1" si="83"/>
        <v>0</v>
      </c>
      <c r="AS305" s="1513">
        <f t="shared" ca="1" si="83"/>
        <v>0</v>
      </c>
      <c r="AT305" s="1513">
        <f t="shared" ca="1" si="83"/>
        <v>155.33000000000001</v>
      </c>
      <c r="AU305" s="1513">
        <f t="shared" ca="1" si="83"/>
        <v>0</v>
      </c>
      <c r="AV305" s="1513">
        <f t="shared" ca="1" si="83"/>
        <v>0</v>
      </c>
      <c r="AW305" s="1513">
        <f t="shared" ca="1" si="83"/>
        <v>0</v>
      </c>
      <c r="AX305" s="1513">
        <f t="shared" ca="1" si="83"/>
        <v>0</v>
      </c>
      <c r="AY305" s="1513">
        <f t="shared" ca="1" si="83"/>
        <v>0</v>
      </c>
      <c r="AZ305" s="1513">
        <f t="shared" ca="1" si="83"/>
        <v>0</v>
      </c>
      <c r="BA305" s="1513">
        <f t="shared" ca="1" si="83"/>
        <v>0</v>
      </c>
      <c r="BB305" s="1513">
        <f t="shared" ca="1" si="83"/>
        <v>0</v>
      </c>
      <c r="BC305" s="1513">
        <f t="shared" ca="1" si="83"/>
        <v>0</v>
      </c>
      <c r="BD305" s="675">
        <f ca="1">IF(AI305=0,0,(AT305-AI305)/AI305*100)</f>
        <v>5.7457961740077792</v>
      </c>
      <c r="BE305" s="675">
        <f t="shared" ref="BE305:BM305" ca="1" si="84">IF(AT305=0,0,(AU305-AT305)/AT305*100)</f>
        <v>-100</v>
      </c>
      <c r="BF305" s="675">
        <f t="shared" ca="1" si="84"/>
        <v>0</v>
      </c>
      <c r="BG305" s="675">
        <f t="shared" ca="1" si="84"/>
        <v>0</v>
      </c>
      <c r="BH305" s="675">
        <f t="shared" ca="1" si="84"/>
        <v>0</v>
      </c>
      <c r="BI305" s="675">
        <f t="shared" ca="1" si="84"/>
        <v>0</v>
      </c>
      <c r="BJ305" s="675">
        <f t="shared" ca="1" si="84"/>
        <v>0</v>
      </c>
      <c r="BK305" s="675">
        <f t="shared" ca="1" si="84"/>
        <v>0</v>
      </c>
      <c r="BL305" s="675">
        <f t="shared" ca="1" si="84"/>
        <v>0</v>
      </c>
      <c r="BM305" s="675">
        <f t="shared" ca="1" si="84"/>
        <v>0</v>
      </c>
      <c r="BN305" s="1522"/>
      <c r="BO305" s="1522"/>
      <c r="BP305" s="1522"/>
      <c r="BQ305" s="617"/>
      <c r="BR305" s="617"/>
      <c r="BS305" s="965" t="s">
        <v>1723</v>
      </c>
      <c r="BT305" s="972"/>
      <c r="BU305" s="972"/>
      <c r="BV305" s="624"/>
      <c r="BW305" s="624"/>
    </row>
    <row r="306" spans="1:75" s="1536" customFormat="1" ht="20.25" customHeight="1">
      <c r="A306" s="617"/>
      <c r="B306" s="352"/>
      <c r="C306" s="617"/>
      <c r="D306" s="28">
        <f>D305+1</f>
        <v>13</v>
      </c>
      <c r="E306" s="624">
        <v>21</v>
      </c>
      <c r="F306" s="3" t="str" cm="1">
        <f t="array" aca="1" ref="F306" ca="1">OFFSET(E306,-1,1)</f>
        <v>1</v>
      </c>
      <c r="G306" s="77" t="s">
        <v>1476</v>
      </c>
      <c r="H306" s="77"/>
      <c r="I306" s="77" t="s">
        <v>2034</v>
      </c>
      <c r="J306" s="617"/>
      <c r="K306" s="77" t="s">
        <v>2034</v>
      </c>
      <c r="L306" s="887" t="s">
        <v>1724</v>
      </c>
      <c r="M306" s="28"/>
      <c r="N306" s="617"/>
      <c r="O306" s="617"/>
      <c r="P306" s="617"/>
      <c r="Q306" s="617"/>
      <c r="R306" s="617"/>
      <c r="S306" s="617"/>
      <c r="T306" s="381" t="b" cm="1">
        <f t="array" aca="1" ref="T306" ca="1">T305</f>
        <v>1</v>
      </c>
      <c r="U306" s="617"/>
      <c r="V306" s="617"/>
      <c r="W306" s="617"/>
      <c r="X306" s="1755"/>
      <c r="Y306" s="617"/>
      <c r="Z306" s="1735"/>
      <c r="AA306" s="617"/>
      <c r="AB306" s="129" cm="1">
        <f t="array" ref="AB306">D306</f>
        <v>13</v>
      </c>
      <c r="AC306" s="130" t="s">
        <v>1726</v>
      </c>
      <c r="AD306" s="129" t="s">
        <v>499</v>
      </c>
      <c r="AE306" s="699">
        <f ca="1">SUMIFS(Баланс!AE$26:AE$209,Баланс!$F$26:$F$209,$F306,Баланс!$G$26:$G$209,"население")</f>
        <v>2.7665999999999999</v>
      </c>
      <c r="AF306" s="699">
        <f ca="1">SUMIFS(Баланс!AF$26:AF$209,Баланс!$F$26:$F$209,$F306,Баланс!$G$26:$G$209,"население")</f>
        <v>0.11</v>
      </c>
      <c r="AG306" s="699">
        <f ca="1">SUMIFS(Баланс!AG$26:AG$209,Баланс!$F$26:$F$209,$F306,Баланс!$G$26:$G$209,"население")</f>
        <v>0.11</v>
      </c>
      <c r="AH306" s="700">
        <f ca="1">AG306-AF306</f>
        <v>0</v>
      </c>
      <c r="AI306" s="700">
        <f ca="1">SUMIFS(Баланс!AH$26:AH$209,Баланс!$F$26:$F$209,$F306,Баланс!$G$26:$G$209,"население")</f>
        <v>2.6282700000000001</v>
      </c>
      <c r="AJ306" s="700">
        <f ca="1">SUMIFS(Баланс!AI$26:AI$209,Баланс!$F$26:$F$209,$F306,Баланс!$G$26:$G$209,"население")</f>
        <v>2.5756999999999999</v>
      </c>
      <c r="AK306" s="700">
        <f ca="1">SUMIFS(Баланс!AJ$26:AJ$209,Баланс!$F$26:$F$209,$F306,Баланс!$G$26:$G$209,"население")</f>
        <v>0</v>
      </c>
      <c r="AL306" s="700">
        <f ca="1">SUMIFS(Баланс!AK$26:AK$209,Баланс!$F$26:$F$209,$F306,Баланс!$G$26:$G$209,"население")</f>
        <v>0</v>
      </c>
      <c r="AM306" s="700">
        <f ca="1">SUMIFS(Баланс!AL$26:AL$209,Баланс!$F$26:$F$209,$F306,Баланс!$G$26:$G$209,"население")</f>
        <v>0</v>
      </c>
      <c r="AN306" s="700">
        <f ca="1">SUMIFS(Баланс!AM$26:AM$209,Баланс!$F$26:$F$209,$F306,Баланс!$G$26:$G$209,"население")</f>
        <v>0</v>
      </c>
      <c r="AO306" s="700">
        <f ca="1">SUMIFS(Баланс!AN$26:AN$209,Баланс!$F$26:$F$209,$F306,Баланс!$G$26:$G$209,"население")</f>
        <v>0</v>
      </c>
      <c r="AP306" s="700">
        <f ca="1">SUMIFS(Баланс!AO$26:AO$209,Баланс!$F$26:$F$209,$F306,Баланс!$G$26:$G$209,"население")</f>
        <v>0</v>
      </c>
      <c r="AQ306" s="700">
        <f ca="1">SUMIFS(Баланс!AP$26:AP$209,Баланс!$F$26:$F$209,$F306,Баланс!$G$26:$G$209,"население")</f>
        <v>0</v>
      </c>
      <c r="AR306" s="700">
        <f ca="1">SUMIFS(Баланс!AQ$26:AQ$209,Баланс!$F$26:$F$209,$F306,Баланс!$G$26:$G$209,"население")</f>
        <v>0</v>
      </c>
      <c r="AS306" s="700">
        <f ca="1">SUMIFS(Баланс!AR$26:AR$209,Баланс!$F$26:$F$209,$F306,Баланс!$G$26:$G$209,"население")</f>
        <v>0</v>
      </c>
      <c r="AT306" s="700">
        <f ca="1">SUMIFS(Баланс!AS$26:AS$209,Баланс!$F$26:$F$209,$F306,Баланс!$G$26:$G$209,"население")</f>
        <v>2.5756999999999999</v>
      </c>
      <c r="AU306" s="700">
        <f ca="1">SUMIFS(Баланс!AT$26:AT$209,Баланс!$F$26:$F$209,$F306,Баланс!$G$26:$G$209,"население")</f>
        <v>0</v>
      </c>
      <c r="AV306" s="700">
        <f ca="1">SUMIFS(Баланс!AU$26:AU$209,Баланс!$F$26:$F$209,$F306,Баланс!$G$26:$G$209,"население")</f>
        <v>0</v>
      </c>
      <c r="AW306" s="700">
        <f ca="1">SUMIFS(Баланс!AV$26:AV$209,Баланс!$F$26:$F$209,$F306,Баланс!$G$26:$G$209,"население")</f>
        <v>0</v>
      </c>
      <c r="AX306" s="700">
        <f ca="1">SUMIFS(Баланс!AW$26:AW$209,Баланс!$F$26:$F$209,$F306,Баланс!$G$26:$G$209,"население")</f>
        <v>0</v>
      </c>
      <c r="AY306" s="700">
        <f ca="1">SUMIFS(Баланс!AX$26:AX$209,Баланс!$F$26:$F$209,$F306,Баланс!$G$26:$G$209,"население")</f>
        <v>0</v>
      </c>
      <c r="AZ306" s="700">
        <f ca="1">SUMIFS(Баланс!AY$26:AY$209,Баланс!$F$26:$F$209,$F306,Баланс!$G$26:$G$209,"население")</f>
        <v>0</v>
      </c>
      <c r="BA306" s="700">
        <f ca="1">SUMIFS(Баланс!AZ$26:AZ$209,Баланс!$F$26:$F$209,$F306,Баланс!$G$26:$G$209,"население")</f>
        <v>0</v>
      </c>
      <c r="BB306" s="700">
        <f ca="1">SUMIFS(Баланс!BA$26:BA$209,Баланс!$F$26:$F$209,$F306,Баланс!$G$26:$G$209,"население")</f>
        <v>0</v>
      </c>
      <c r="BC306" s="700">
        <f ca="1">SUMIFS(Баланс!BB$26:BB$209,Баланс!$F$26:$F$209,$F306,Баланс!$G$26:$G$209,"население")</f>
        <v>0</v>
      </c>
      <c r="BD306" s="678"/>
      <c r="BE306" s="678"/>
      <c r="BF306" s="678"/>
      <c r="BG306" s="678"/>
      <c r="BH306" s="678"/>
      <c r="BI306" s="678"/>
      <c r="BJ306" s="678"/>
      <c r="BK306" s="678"/>
      <c r="BL306" s="678"/>
      <c r="BM306" s="678"/>
      <c r="BN306" s="1522"/>
      <c r="BO306" s="1522"/>
      <c r="BP306" s="1522"/>
      <c r="BQ306" s="617"/>
      <c r="BR306" s="617"/>
      <c r="BS306" s="965" t="s">
        <v>1727</v>
      </c>
      <c r="BT306" s="972"/>
      <c r="BU306" s="972"/>
      <c r="BV306" s="624"/>
      <c r="BW306" s="624"/>
    </row>
    <row r="307" spans="1:75" s="1327" customFormat="1" ht="14.25" customHeight="1">
      <c r="A307" s="1177"/>
      <c r="B307" s="880"/>
      <c r="C307" s="1177"/>
      <c r="D307" s="26" cm="1">
        <f t="array" ref="D307">D306</f>
        <v>13</v>
      </c>
      <c r="E307" s="620">
        <v>15</v>
      </c>
      <c r="F307" s="3" t="str" cm="1">
        <f t="array" aca="1" ref="F307" ca="1">OFFSET(E307,-1,1)</f>
        <v>1</v>
      </c>
      <c r="G307" s="77" t="s">
        <v>1510</v>
      </c>
      <c r="H307" s="1177"/>
      <c r="I307" s="77" t="s">
        <v>2035</v>
      </c>
      <c r="J307" s="1177"/>
      <c r="K307" s="77" t="s">
        <v>2035</v>
      </c>
      <c r="L307" s="882" t="s">
        <v>1728</v>
      </c>
      <c r="M307" s="26"/>
      <c r="N307" s="1177"/>
      <c r="O307" s="1177"/>
      <c r="P307" s="1177"/>
      <c r="Q307" s="1177"/>
      <c r="R307" s="1177"/>
      <c r="S307" s="1177"/>
      <c r="T307" s="381" t="b" cm="1">
        <f t="array" aca="1" ref="T307" ca="1">T306</f>
        <v>1</v>
      </c>
      <c r="U307" s="1177"/>
      <c r="V307" s="1177"/>
      <c r="W307" s="1177"/>
      <c r="X307" s="1755"/>
      <c r="Y307" s="1177"/>
      <c r="Z307" s="1735"/>
      <c r="AA307" s="1177"/>
      <c r="AB307" s="216" t="str">
        <f>D307&amp;".1"</f>
        <v>13.1</v>
      </c>
      <c r="AC307" s="1012" t="s">
        <v>1730</v>
      </c>
      <c r="AD307" s="216" t="s">
        <v>499</v>
      </c>
      <c r="AE307" s="1512">
        <f ca="1">AE306/2</f>
        <v>1.3833</v>
      </c>
      <c r="AF307" s="1512">
        <f ca="1">AF306/2</f>
        <v>5.5E-2</v>
      </c>
      <c r="AG307" s="1512">
        <f ca="1">AG306/2</f>
        <v>5.5E-2</v>
      </c>
      <c r="AH307" s="846">
        <f ca="1">AG307-AF307</f>
        <v>0</v>
      </c>
      <c r="AI307" s="1478">
        <f ca="1">AI306/2</f>
        <v>1.3141350000000001</v>
      </c>
      <c r="AJ307" s="1512">
        <f ca="1">IF(god=2026,AJ306/12*9,AJ306/2)</f>
        <v>1.9317749999999998</v>
      </c>
      <c r="AK307" s="1512">
        <f ca="1">IF(god=2025,AK306/12*9,AK306/2)</f>
        <v>0</v>
      </c>
      <c r="AL307" s="1478">
        <f t="shared" ref="AL307:AS307" ca="1" si="85">AL306/2</f>
        <v>0</v>
      </c>
      <c r="AM307" s="1478">
        <f t="shared" ca="1" si="85"/>
        <v>0</v>
      </c>
      <c r="AN307" s="1478">
        <f t="shared" ca="1" si="85"/>
        <v>0</v>
      </c>
      <c r="AO307" s="1478">
        <f t="shared" ca="1" si="85"/>
        <v>0</v>
      </c>
      <c r="AP307" s="1478">
        <f t="shared" ca="1" si="85"/>
        <v>0</v>
      </c>
      <c r="AQ307" s="1478">
        <f t="shared" ca="1" si="85"/>
        <v>0</v>
      </c>
      <c r="AR307" s="1478">
        <f t="shared" ca="1" si="85"/>
        <v>0</v>
      </c>
      <c r="AS307" s="1478">
        <f t="shared" ca="1" si="85"/>
        <v>0</v>
      </c>
      <c r="AT307" s="1478">
        <f ca="1">IF(god=2026,AT306/12*9,AT306/2)</f>
        <v>1.9317749999999998</v>
      </c>
      <c r="AU307" s="1478">
        <f ca="1">IF(god=2025,AU306/12*9,AU306/2)</f>
        <v>0</v>
      </c>
      <c r="AV307" s="1478">
        <f t="shared" ref="AV307:BC307" ca="1" si="86">AV306/2</f>
        <v>0</v>
      </c>
      <c r="AW307" s="1478">
        <f t="shared" ca="1" si="86"/>
        <v>0</v>
      </c>
      <c r="AX307" s="1478">
        <f t="shared" ca="1" si="86"/>
        <v>0</v>
      </c>
      <c r="AY307" s="1478">
        <f t="shared" ca="1" si="86"/>
        <v>0</v>
      </c>
      <c r="AZ307" s="1478">
        <f t="shared" ca="1" si="86"/>
        <v>0</v>
      </c>
      <c r="BA307" s="1478">
        <f t="shared" ca="1" si="86"/>
        <v>0</v>
      </c>
      <c r="BB307" s="1478">
        <f t="shared" ca="1" si="86"/>
        <v>0</v>
      </c>
      <c r="BC307" s="1478">
        <f t="shared" ca="1" si="86"/>
        <v>0</v>
      </c>
      <c r="BD307" s="847"/>
      <c r="BE307" s="847"/>
      <c r="BF307" s="847"/>
      <c r="BG307" s="847"/>
      <c r="BH307" s="847"/>
      <c r="BI307" s="847"/>
      <c r="BJ307" s="847"/>
      <c r="BK307" s="847"/>
      <c r="BL307" s="847"/>
      <c r="BM307" s="847"/>
      <c r="BN307" s="1522"/>
      <c r="BO307" s="1522"/>
      <c r="BP307" s="1522"/>
      <c r="BQ307" s="1177"/>
      <c r="BR307" s="1177"/>
      <c r="BS307" s="964" t="s">
        <v>1731</v>
      </c>
      <c r="BT307" s="966"/>
      <c r="BU307" s="966"/>
      <c r="BV307" s="881"/>
      <c r="BW307" s="881"/>
    </row>
    <row r="308" spans="1:75" s="1327" customFormat="1" ht="14.25" customHeight="1">
      <c r="A308" s="1177"/>
      <c r="B308" s="880"/>
      <c r="C308" s="1177"/>
      <c r="D308" s="26" cm="1">
        <f t="array" ref="D308">D307</f>
        <v>13</v>
      </c>
      <c r="E308" s="620">
        <v>15</v>
      </c>
      <c r="F308" s="3" t="str" cm="1">
        <f t="array" aca="1" ref="F308" ca="1">OFFSET(E308,-1,1)</f>
        <v>1</v>
      </c>
      <c r="G308" s="77" t="s">
        <v>1466</v>
      </c>
      <c r="H308" s="1177"/>
      <c r="I308" s="77" t="s">
        <v>2036</v>
      </c>
      <c r="J308" s="1177"/>
      <c r="K308" s="77" t="s">
        <v>2036</v>
      </c>
      <c r="L308" s="882" t="s">
        <v>1732</v>
      </c>
      <c r="M308" s="26"/>
      <c r="N308" s="1177"/>
      <c r="O308" s="1177"/>
      <c r="P308" s="1177"/>
      <c r="Q308" s="1177"/>
      <c r="R308" s="1177"/>
      <c r="S308" s="1177"/>
      <c r="T308" s="381" t="b" cm="1">
        <f t="array" aca="1" ref="T308" ca="1">T307</f>
        <v>1</v>
      </c>
      <c r="U308" s="1177"/>
      <c r="V308" s="1177"/>
      <c r="W308" s="1177"/>
      <c r="X308" s="1755"/>
      <c r="Y308" s="1177"/>
      <c r="Z308" s="1735"/>
      <c r="AA308" s="1177"/>
      <c r="AB308" s="216" t="str">
        <f>D308&amp;".2"</f>
        <v>13.2</v>
      </c>
      <c r="AC308" s="1012" t="s">
        <v>1734</v>
      </c>
      <c r="AD308" s="216" t="s">
        <v>1454</v>
      </c>
      <c r="AE308" s="1480">
        <f ca="1">IF(AE306=0,0,AE300*(1+Сценарии!AE$26))</f>
        <v>0</v>
      </c>
      <c r="AF308" s="1480">
        <f ca="1">IF(AF306=0,0,AF300*(1+Сценарии!AF$26))</f>
        <v>0</v>
      </c>
      <c r="AG308" s="1480">
        <f ca="1">IF(AG306=0,0,AG300*(1+Сценарии!AG$26))</f>
        <v>0</v>
      </c>
      <c r="AH308" s="848">
        <f ca="1">AG308-AF308</f>
        <v>0</v>
      </c>
      <c r="AI308" s="1480">
        <f ca="1">IF(AI306=0,0,AI300*(1+Сценарии!AI$26))</f>
        <v>0</v>
      </c>
      <c r="AJ308" s="1480">
        <f ca="1">IF(AJ306=0,0,AJ300*(1+Сценарии!AJ$26))</f>
        <v>0</v>
      </c>
      <c r="AK308" s="1480">
        <f ca="1">IF(AK306=0,0,AK300*(1+Сценарии!AO$26))</f>
        <v>0</v>
      </c>
      <c r="AL308" s="1480">
        <f ca="1">IF(AL306=0,0,AL300*(1+Сценарии!AP$26))</f>
        <v>0</v>
      </c>
      <c r="AM308" s="1480">
        <f ca="1">IF(AM306=0,0,AM300*(1+Сценарии!AQ$26))</f>
        <v>0</v>
      </c>
      <c r="AN308" s="1480">
        <f ca="1">IF(AN306=0,0,AN300*(1+Сценарии!AR$26))</f>
        <v>0</v>
      </c>
      <c r="AO308" s="1480">
        <f ca="1">IF(AO306=0,0,AO300*(1+Сценарии!AS$26))</f>
        <v>0</v>
      </c>
      <c r="AP308" s="1480">
        <f ca="1">IF(AP306=0,0,AP300*(1+Сценарии!AT$26))</f>
        <v>0</v>
      </c>
      <c r="AQ308" s="1480">
        <f ca="1">IF(AQ306=0,0,AQ300*(1+Сценарии!AU$26))</f>
        <v>0</v>
      </c>
      <c r="AR308" s="1480">
        <f ca="1">IF(AR306=0,0,AR300*(1+Сценарии!AV$26))</f>
        <v>0</v>
      </c>
      <c r="AS308" s="1480">
        <f ca="1">IF(AS306=0,0,AS300*(1+Сценарии!AW$26))</f>
        <v>0</v>
      </c>
      <c r="AT308" s="1480">
        <f ca="1">IF(AT306=0,0,AT300*(1+Сценарии!AK$26))</f>
        <v>0</v>
      </c>
      <c r="AU308" s="1480">
        <f ca="1">IF(AU306=0,0,AU300*(1+Сценарии!AX$26))</f>
        <v>0</v>
      </c>
      <c r="AV308" s="1480">
        <f ca="1">IF(AV306=0,0,AV300*(1+Сценарии!AY$26))</f>
        <v>0</v>
      </c>
      <c r="AW308" s="1480">
        <f ca="1">IF(AW306=0,0,AW300*(1+Сценарии!AZ$26))</f>
        <v>0</v>
      </c>
      <c r="AX308" s="1480">
        <f ca="1">IF(AX306=0,0,AX300*(1+Сценарии!BA$26))</f>
        <v>0</v>
      </c>
      <c r="AY308" s="1480">
        <f ca="1">IF(AY306=0,0,AY300*(1+Сценарии!BB$26))</f>
        <v>0</v>
      </c>
      <c r="AZ308" s="1480">
        <f ca="1">IF(AZ306=0,0,AZ300*(1+Сценарии!BC$26))</f>
        <v>0</v>
      </c>
      <c r="BA308" s="1480">
        <f ca="1">IF(BA306=0,0,BA300*(1+Сценарии!BD$26))</f>
        <v>0</v>
      </c>
      <c r="BB308" s="1480">
        <f ca="1">IF(BB306=0,0,BB300*(1+Сценарии!BE$26))</f>
        <v>0</v>
      </c>
      <c r="BC308" s="1480">
        <f ca="1">IF(BC306=0,0,BC300*(1+Сценарии!BF$26))</f>
        <v>0</v>
      </c>
      <c r="BD308" s="847"/>
      <c r="BE308" s="847"/>
      <c r="BF308" s="847"/>
      <c r="BG308" s="847"/>
      <c r="BH308" s="847"/>
      <c r="BI308" s="847"/>
      <c r="BJ308" s="847"/>
      <c r="BK308" s="847"/>
      <c r="BL308" s="847"/>
      <c r="BM308" s="847"/>
      <c r="BN308" s="1522"/>
      <c r="BO308" s="1522"/>
      <c r="BP308" s="1522"/>
      <c r="BQ308" s="1177"/>
      <c r="BR308" s="1177"/>
      <c r="BS308" s="964" t="s">
        <v>1735</v>
      </c>
      <c r="BT308" s="966"/>
      <c r="BU308" s="966"/>
      <c r="BV308" s="881"/>
      <c r="BW308" s="881"/>
    </row>
    <row r="309" spans="1:75" s="1327" customFormat="1" ht="14.25" customHeight="1">
      <c r="A309" s="1177"/>
      <c r="B309" s="15"/>
      <c r="C309" s="26"/>
      <c r="D309" s="26" cm="1">
        <f t="array" ref="D309">D308</f>
        <v>13</v>
      </c>
      <c r="E309" s="538">
        <v>15</v>
      </c>
      <c r="F309" s="3" t="str" cm="1">
        <f t="array" aca="1" ref="F309" ca="1">OFFSET(E309,-1,1)</f>
        <v>1</v>
      </c>
      <c r="G309" s="26" t="s">
        <v>1517</v>
      </c>
      <c r="H309" s="26"/>
      <c r="I309" s="26" t="s">
        <v>2037</v>
      </c>
      <c r="J309" s="26"/>
      <c r="K309" s="26" t="s">
        <v>2037</v>
      </c>
      <c r="L309" s="882" t="s">
        <v>1736</v>
      </c>
      <c r="M309" s="26"/>
      <c r="N309" s="26"/>
      <c r="O309" s="26"/>
      <c r="P309" s="26"/>
      <c r="Q309" s="26"/>
      <c r="R309" s="26"/>
      <c r="S309" s="26"/>
      <c r="T309" s="381" t="b" cm="1">
        <f t="array" aca="1" ref="T309" ca="1">T308</f>
        <v>1</v>
      </c>
      <c r="U309" s="26"/>
      <c r="V309" s="26"/>
      <c r="W309" s="26"/>
      <c r="X309" s="1755"/>
      <c r="Y309" s="1177"/>
      <c r="Z309" s="1735"/>
      <c r="AA309" s="1177"/>
      <c r="AB309" s="216" t="str">
        <f>D309&amp;".3"</f>
        <v>13.3</v>
      </c>
      <c r="AC309" s="1012" t="s">
        <v>1706</v>
      </c>
      <c r="AD309" s="216" t="s">
        <v>499</v>
      </c>
      <c r="AE309" s="851">
        <f ca="1">AE306-AE307</f>
        <v>1.3833</v>
      </c>
      <c r="AF309" s="851">
        <f ca="1">AF306-AF307</f>
        <v>5.5E-2</v>
      </c>
      <c r="AG309" s="851">
        <f ca="1">AG306-AG307</f>
        <v>5.5E-2</v>
      </c>
      <c r="AH309" s="846">
        <f ca="1">AG309-AF309</f>
        <v>0</v>
      </c>
      <c r="AI309" s="739">
        <f t="shared" ref="AI309:BC309" ca="1" si="87">AI306-AI307</f>
        <v>1.3141350000000001</v>
      </c>
      <c r="AJ309" s="739">
        <f t="shared" ca="1" si="87"/>
        <v>0.64392500000000008</v>
      </c>
      <c r="AK309" s="739">
        <f t="shared" ca="1" si="87"/>
        <v>0</v>
      </c>
      <c r="AL309" s="739">
        <f t="shared" ca="1" si="87"/>
        <v>0</v>
      </c>
      <c r="AM309" s="739">
        <f t="shared" ca="1" si="87"/>
        <v>0</v>
      </c>
      <c r="AN309" s="739">
        <f t="shared" ca="1" si="87"/>
        <v>0</v>
      </c>
      <c r="AO309" s="739">
        <f t="shared" ca="1" si="87"/>
        <v>0</v>
      </c>
      <c r="AP309" s="739">
        <f t="shared" ca="1" si="87"/>
        <v>0</v>
      </c>
      <c r="AQ309" s="739">
        <f t="shared" ca="1" si="87"/>
        <v>0</v>
      </c>
      <c r="AR309" s="739">
        <f t="shared" ca="1" si="87"/>
        <v>0</v>
      </c>
      <c r="AS309" s="739">
        <f t="shared" ca="1" si="87"/>
        <v>0</v>
      </c>
      <c r="AT309" s="739">
        <f t="shared" ca="1" si="87"/>
        <v>0.64392500000000008</v>
      </c>
      <c r="AU309" s="739">
        <f t="shared" ca="1" si="87"/>
        <v>0</v>
      </c>
      <c r="AV309" s="739">
        <f t="shared" ca="1" si="87"/>
        <v>0</v>
      </c>
      <c r="AW309" s="739">
        <f t="shared" ca="1" si="87"/>
        <v>0</v>
      </c>
      <c r="AX309" s="739">
        <f t="shared" ca="1" si="87"/>
        <v>0</v>
      </c>
      <c r="AY309" s="739">
        <f t="shared" ca="1" si="87"/>
        <v>0</v>
      </c>
      <c r="AZ309" s="739">
        <f t="shared" ca="1" si="87"/>
        <v>0</v>
      </c>
      <c r="BA309" s="739">
        <f t="shared" ca="1" si="87"/>
        <v>0</v>
      </c>
      <c r="BB309" s="739">
        <f t="shared" ca="1" si="87"/>
        <v>0</v>
      </c>
      <c r="BC309" s="739">
        <f t="shared" ca="1" si="87"/>
        <v>0</v>
      </c>
      <c r="BD309" s="847"/>
      <c r="BE309" s="847"/>
      <c r="BF309" s="847"/>
      <c r="BG309" s="847"/>
      <c r="BH309" s="847"/>
      <c r="BI309" s="847"/>
      <c r="BJ309" s="847"/>
      <c r="BK309" s="847"/>
      <c r="BL309" s="847"/>
      <c r="BM309" s="847"/>
      <c r="BN309" s="1522"/>
      <c r="BO309" s="1522"/>
      <c r="BP309" s="1522"/>
      <c r="BQ309" s="1177"/>
      <c r="BR309" s="1177"/>
      <c r="BS309" s="964" t="s">
        <v>1738</v>
      </c>
      <c r="BT309" s="966"/>
      <c r="BU309" s="966"/>
      <c r="BV309" s="881"/>
      <c r="BW309" s="881"/>
    </row>
    <row r="310" spans="1:75" s="1327" customFormat="1" ht="14.25" customHeight="1">
      <c r="A310" s="1177"/>
      <c r="B310" s="15"/>
      <c r="C310" s="26"/>
      <c r="D310" s="26" cm="1">
        <f t="array" ref="D310">D309</f>
        <v>13</v>
      </c>
      <c r="E310" s="538">
        <v>15</v>
      </c>
      <c r="F310" s="3" t="str" cm="1">
        <f t="array" aca="1" ref="F310" ca="1">OFFSET(E310,-1,1)</f>
        <v>1</v>
      </c>
      <c r="G310" s="26" t="s">
        <v>1470</v>
      </c>
      <c r="H310" s="26"/>
      <c r="I310" s="26" t="s">
        <v>2038</v>
      </c>
      <c r="J310" s="26"/>
      <c r="K310" s="26" t="s">
        <v>2038</v>
      </c>
      <c r="L310" s="882" t="s">
        <v>1739</v>
      </c>
      <c r="M310" s="26"/>
      <c r="N310" s="26"/>
      <c r="O310" s="26"/>
      <c r="P310" s="26"/>
      <c r="Q310" s="26"/>
      <c r="R310" s="26"/>
      <c r="S310" s="26"/>
      <c r="T310" s="381" t="b" cm="1">
        <f t="array" aca="1" ref="T310" ca="1">T309</f>
        <v>1</v>
      </c>
      <c r="U310" s="26"/>
      <c r="V310" s="26"/>
      <c r="W310" s="26"/>
      <c r="X310" s="1755"/>
      <c r="Y310" s="1177"/>
      <c r="Z310" s="1735"/>
      <c r="AA310" s="1177"/>
      <c r="AB310" s="216" t="str">
        <f>D310&amp;".4"</f>
        <v>13.4</v>
      </c>
      <c r="AC310" s="1012" t="s">
        <v>1710</v>
      </c>
      <c r="AD310" s="216" t="s">
        <v>1454</v>
      </c>
      <c r="AE310" s="1480">
        <f ca="1">IF(AE306=0,0,AE302*(1+Сценарии!AE$26))</f>
        <v>122.16005204944696</v>
      </c>
      <c r="AF310" s="1480">
        <f ca="1">IF(AF306=0,0,AF302*(1+Сценарии!AF$26))</f>
        <v>122.18181818181817</v>
      </c>
      <c r="AG310" s="1480">
        <f ca="1">IF(AG306=0,0,AG302*(1+Сценарии!AG$26))</f>
        <v>122.18181818181817</v>
      </c>
      <c r="AH310" s="848">
        <f ca="1">AG310-AF310</f>
        <v>0</v>
      </c>
      <c r="AI310" s="1480">
        <f ca="1">IF(AI306=0,0,AI302*(1+Сценарии!AI$26))</f>
        <v>134.13233800180345</v>
      </c>
      <c r="AJ310" s="1480">
        <f ca="1">IF(AJ306=0,0,AJ302*(1+Сценарии!AJ$26))</f>
        <v>294.23612998408197</v>
      </c>
      <c r="AK310" s="1480">
        <f ca="1">IF(AK306=0,0,AK302*(1+Сценарии!AO$26))</f>
        <v>0</v>
      </c>
      <c r="AL310" s="1480">
        <f ca="1">IF(AL306=0,0,AL302*(1+Сценарии!AP$26))</f>
        <v>0</v>
      </c>
      <c r="AM310" s="1480">
        <f ca="1">IF(AM306=0,0,AM302*(1+Сценарии!AQ$26))</f>
        <v>0</v>
      </c>
      <c r="AN310" s="1480">
        <f ca="1">IF(AN306=0,0,AN302*(1+Сценарии!AR$26))</f>
        <v>0</v>
      </c>
      <c r="AO310" s="1480">
        <f ca="1">IF(AO306=0,0,AO302*(1+Сценарии!AS$26))</f>
        <v>0</v>
      </c>
      <c r="AP310" s="1480">
        <f ca="1">IF(AP306=0,0,AP302*(1+Сценарии!AT$26))</f>
        <v>0</v>
      </c>
      <c r="AQ310" s="1480">
        <f ca="1">IF(AQ306=0,0,AQ302*(1+Сценарии!AU$26))</f>
        <v>0</v>
      </c>
      <c r="AR310" s="1480">
        <f ca="1">IF(AR306=0,0,AR302*(1+Сценарии!AV$26))</f>
        <v>0</v>
      </c>
      <c r="AS310" s="1480">
        <f ca="1">IF(AS306=0,0,AS302*(1+Сценарии!AW$26))</f>
        <v>0</v>
      </c>
      <c r="AT310" s="1480">
        <f ca="1">IF(AT306=0,0,AT302*(1+Сценарии!AK$26))</f>
        <v>294.29296890165779</v>
      </c>
      <c r="AU310" s="1480">
        <f ca="1">IF(AU306=0,0,AU302*(1+Сценарии!AX$26))</f>
        <v>0</v>
      </c>
      <c r="AV310" s="1480">
        <f ca="1">IF(AV306=0,0,AV302*(1+Сценарии!AY$26))</f>
        <v>0</v>
      </c>
      <c r="AW310" s="1480">
        <f ca="1">IF(AW306=0,0,AW302*(1+Сценарии!AZ$26))</f>
        <v>0</v>
      </c>
      <c r="AX310" s="1480">
        <f ca="1">IF(AX306=0,0,AX302*(1+Сценарии!BA$26))</f>
        <v>0</v>
      </c>
      <c r="AY310" s="1480">
        <f ca="1">IF(AY306=0,0,AY302*(1+Сценарии!BB$26))</f>
        <v>0</v>
      </c>
      <c r="AZ310" s="1480">
        <f ca="1">IF(AZ306=0,0,AZ302*(1+Сценарии!BC$26))</f>
        <v>0</v>
      </c>
      <c r="BA310" s="1480">
        <f ca="1">IF(BA306=0,0,BA302*(1+Сценарии!BD$26))</f>
        <v>0</v>
      </c>
      <c r="BB310" s="1480">
        <f ca="1">IF(BB306=0,0,BB302*(1+Сценарии!BE$26))</f>
        <v>0</v>
      </c>
      <c r="BC310" s="1480">
        <f ca="1">IF(BC306=0,0,BC302*(1+Сценарии!BF$26))</f>
        <v>0</v>
      </c>
      <c r="BD310" s="847"/>
      <c r="BE310" s="847"/>
      <c r="BF310" s="847"/>
      <c r="BG310" s="847"/>
      <c r="BH310" s="847"/>
      <c r="BI310" s="847"/>
      <c r="BJ310" s="847"/>
      <c r="BK310" s="847"/>
      <c r="BL310" s="847"/>
      <c r="BM310" s="847"/>
      <c r="BN310" s="1522"/>
      <c r="BO310" s="1522"/>
      <c r="BP310" s="1522"/>
      <c r="BQ310" s="1177"/>
      <c r="BR310" s="1177"/>
      <c r="BS310" s="964" t="s">
        <v>1742</v>
      </c>
      <c r="BT310" s="966"/>
      <c r="BU310" s="966"/>
      <c r="BV310" s="881"/>
      <c r="BW310" s="881"/>
    </row>
    <row r="311" spans="1:75" s="1327" customFormat="1" ht="14.25" customHeight="1">
      <c r="A311" s="1177"/>
      <c r="B311" s="15"/>
      <c r="C311" s="26"/>
      <c r="D311" s="26">
        <f>D310+1</f>
        <v>14</v>
      </c>
      <c r="E311" s="538">
        <v>15</v>
      </c>
      <c r="F311" s="3" t="str" cm="1">
        <f t="array" aca="1" ref="F311" ca="1">OFFSET(E311,-1,1)</f>
        <v>1</v>
      </c>
      <c r="G311" s="26"/>
      <c r="H311" s="26"/>
      <c r="I311" s="26"/>
      <c r="J311" s="26"/>
      <c r="K311" s="26"/>
      <c r="L311" s="882"/>
      <c r="M311" s="26"/>
      <c r="N311" s="26"/>
      <c r="O311" s="26"/>
      <c r="P311" s="26"/>
      <c r="Q311" s="26"/>
      <c r="R311" s="26"/>
      <c r="S311" s="26"/>
      <c r="T311" s="381" t="b" cm="1">
        <f t="array" aca="1" ref="T311" ca="1">T310</f>
        <v>1</v>
      </c>
      <c r="U311" s="26"/>
      <c r="V311" s="26"/>
      <c r="W311" s="26"/>
      <c r="X311" s="1755"/>
      <c r="Y311" s="1177"/>
      <c r="Z311" s="1735"/>
      <c r="AA311" s="1177"/>
      <c r="AB311" s="129" cm="1">
        <f t="array" ref="AB311">D311</f>
        <v>14</v>
      </c>
      <c r="AC311" s="130" t="s">
        <v>1744</v>
      </c>
      <c r="AD311" s="129" t="s">
        <v>766</v>
      </c>
      <c r="AE311" s="1509"/>
      <c r="AF311" s="1509"/>
      <c r="AG311" s="1509"/>
      <c r="AH311" s="848"/>
      <c r="AI311" s="1480"/>
      <c r="AJ311" s="1480"/>
      <c r="AK311" s="1480"/>
      <c r="AL311" s="1480"/>
      <c r="AM311" s="1480"/>
      <c r="AN311" s="1480"/>
      <c r="AO311" s="1480"/>
      <c r="AP311" s="1480"/>
      <c r="AQ311" s="1480"/>
      <c r="AR311" s="1480"/>
      <c r="AS311" s="1480"/>
      <c r="AT311" s="1480"/>
      <c r="AU311" s="1480"/>
      <c r="AV311" s="1480"/>
      <c r="AW311" s="1480"/>
      <c r="AX311" s="1480"/>
      <c r="AY311" s="1480"/>
      <c r="AZ311" s="1480"/>
      <c r="BA311" s="1480"/>
      <c r="BB311" s="1480"/>
      <c r="BC311" s="1480"/>
      <c r="BD311" s="847"/>
      <c r="BE311" s="847"/>
      <c r="BF311" s="847"/>
      <c r="BG311" s="847"/>
      <c r="BH311" s="847"/>
      <c r="BI311" s="847"/>
      <c r="BJ311" s="847"/>
      <c r="BK311" s="847"/>
      <c r="BL311" s="847"/>
      <c r="BM311" s="847"/>
      <c r="BN311" s="1522"/>
      <c r="BO311" s="1522"/>
      <c r="BP311" s="1522"/>
      <c r="BQ311" s="1177"/>
      <c r="BR311" s="1177"/>
      <c r="BS311" s="964" t="s">
        <v>1745</v>
      </c>
      <c r="BT311" s="966"/>
      <c r="BU311" s="966"/>
      <c r="BV311" s="881"/>
      <c r="BW311" s="881"/>
    </row>
    <row r="312" spans="1:75" s="1327" customFormat="1" ht="20.25" customHeight="1">
      <c r="A312" s="1177"/>
      <c r="B312" s="15"/>
      <c r="C312" s="26"/>
      <c r="D312" s="26" cm="1">
        <f t="array" ref="D312">D311</f>
        <v>14</v>
      </c>
      <c r="E312" s="538">
        <v>21</v>
      </c>
      <c r="F312" s="3" t="str" cm="1">
        <f t="array" aca="1" ref="F312" ca="1">OFFSET(E312,-1,1)</f>
        <v>1</v>
      </c>
      <c r="G312" s="26"/>
      <c r="H312" s="26"/>
      <c r="I312" s="26"/>
      <c r="J312" s="26"/>
      <c r="K312" s="26"/>
      <c r="L312" s="882"/>
      <c r="M312" s="26"/>
      <c r="N312" s="26"/>
      <c r="O312" s="26"/>
      <c r="P312" s="26"/>
      <c r="Q312" s="26"/>
      <c r="R312" s="26"/>
      <c r="S312" s="26"/>
      <c r="T312" s="381" t="b" cm="1">
        <f t="array" aca="1" ref="T312" ca="1">T311</f>
        <v>1</v>
      </c>
      <c r="U312" s="26"/>
      <c r="V312" s="26"/>
      <c r="W312" s="26"/>
      <c r="X312" s="1755"/>
      <c r="Y312" s="1177"/>
      <c r="Z312" s="1735"/>
      <c r="AA312" s="1177"/>
      <c r="AB312" s="216" t="str">
        <f>D312&amp;".1"</f>
        <v>14.1</v>
      </c>
      <c r="AC312" s="676" t="s">
        <v>1747</v>
      </c>
      <c r="AD312" s="216" t="s">
        <v>766</v>
      </c>
      <c r="AE312" s="1509"/>
      <c r="AF312" s="1509"/>
      <c r="AG312" s="1509"/>
      <c r="AH312" s="848">
        <f>AG312-AF312</f>
        <v>0</v>
      </c>
      <c r="AI312" s="1480"/>
      <c r="AJ312" s="1480"/>
      <c r="AK312" s="1480"/>
      <c r="AL312" s="1480"/>
      <c r="AM312" s="1480"/>
      <c r="AN312" s="1480"/>
      <c r="AO312" s="1480"/>
      <c r="AP312" s="1480"/>
      <c r="AQ312" s="1480"/>
      <c r="AR312" s="1480"/>
      <c r="AS312" s="1480"/>
      <c r="AT312" s="1480"/>
      <c r="AU312" s="1480"/>
      <c r="AV312" s="1480"/>
      <c r="AW312" s="1480"/>
      <c r="AX312" s="1480"/>
      <c r="AY312" s="1480"/>
      <c r="AZ312" s="1480"/>
      <c r="BA312" s="1480"/>
      <c r="BB312" s="1480"/>
      <c r="BC312" s="1480"/>
      <c r="BD312" s="847"/>
      <c r="BE312" s="847"/>
      <c r="BF312" s="847"/>
      <c r="BG312" s="847"/>
      <c r="BH312" s="847"/>
      <c r="BI312" s="847"/>
      <c r="BJ312" s="847"/>
      <c r="BK312" s="847"/>
      <c r="BL312" s="847"/>
      <c r="BM312" s="847"/>
      <c r="BN312" s="1522"/>
      <c r="BO312" s="1522"/>
      <c r="BP312" s="1522"/>
      <c r="BQ312" s="1177"/>
      <c r="BR312" s="1177"/>
      <c r="BS312" s="964" t="s">
        <v>1748</v>
      </c>
      <c r="BT312" s="973"/>
      <c r="BU312" s="973"/>
      <c r="BV312" s="974"/>
      <c r="BW312" s="974"/>
    </row>
    <row r="313" spans="1:75" s="1327" customFormat="1" ht="64.5" customHeight="1">
      <c r="A313" s="1177"/>
      <c r="B313" s="15"/>
      <c r="C313" s="26"/>
      <c r="D313" s="26" cm="1">
        <f t="array" ref="D313">D312</f>
        <v>14</v>
      </c>
      <c r="E313" s="538">
        <v>66.599999999999994</v>
      </c>
      <c r="F313" s="3" t="str" cm="1">
        <f t="array" aca="1" ref="F313" ca="1">OFFSET(E313,-1,1)</f>
        <v>1</v>
      </c>
      <c r="G313" s="26"/>
      <c r="H313" s="26"/>
      <c r="I313" s="26"/>
      <c r="J313" s="26"/>
      <c r="K313" s="26"/>
      <c r="L313" s="882"/>
      <c r="M313" s="26"/>
      <c r="N313" s="26"/>
      <c r="O313" s="26"/>
      <c r="P313" s="26"/>
      <c r="Q313" s="26"/>
      <c r="R313" s="26"/>
      <c r="S313" s="26"/>
      <c r="T313" s="381" t="b" cm="1">
        <f t="array" aca="1" ref="T313" ca="1">T312</f>
        <v>1</v>
      </c>
      <c r="U313" s="26"/>
      <c r="V313" s="26"/>
      <c r="W313" s="26"/>
      <c r="X313" s="1755"/>
      <c r="Y313" s="1177"/>
      <c r="Z313" s="1735"/>
      <c r="AA313" s="1177"/>
      <c r="AB313" s="216" t="str">
        <f>D313&amp;".2"</f>
        <v>14.2</v>
      </c>
      <c r="AC313" s="676" t="s">
        <v>1750</v>
      </c>
      <c r="AD313" s="216" t="s">
        <v>766</v>
      </c>
      <c r="AE313" s="1509"/>
      <c r="AF313" s="1509"/>
      <c r="AG313" s="1509"/>
      <c r="AH313" s="848">
        <f>AG313-AF313</f>
        <v>0</v>
      </c>
      <c r="AI313" s="1480"/>
      <c r="AJ313" s="1480"/>
      <c r="AK313" s="1480"/>
      <c r="AL313" s="1480"/>
      <c r="AM313" s="1480"/>
      <c r="AN313" s="1480"/>
      <c r="AO313" s="1480"/>
      <c r="AP313" s="1480"/>
      <c r="AQ313" s="1480"/>
      <c r="AR313" s="1480"/>
      <c r="AS313" s="1480"/>
      <c r="AT313" s="1480"/>
      <c r="AU313" s="1480"/>
      <c r="AV313" s="1480"/>
      <c r="AW313" s="1480"/>
      <c r="AX313" s="1480"/>
      <c r="AY313" s="1480"/>
      <c r="AZ313" s="1480"/>
      <c r="BA313" s="1480"/>
      <c r="BB313" s="1480"/>
      <c r="BC313" s="1480"/>
      <c r="BD313" s="847"/>
      <c r="BE313" s="847"/>
      <c r="BF313" s="847"/>
      <c r="BG313" s="847"/>
      <c r="BH313" s="847"/>
      <c r="BI313" s="847"/>
      <c r="BJ313" s="847"/>
      <c r="BK313" s="847"/>
      <c r="BL313" s="847"/>
      <c r="BM313" s="847"/>
      <c r="BN313" s="1522"/>
      <c r="BO313" s="1522"/>
      <c r="BP313" s="1522"/>
      <c r="BQ313" s="1177"/>
      <c r="BR313" s="1177"/>
      <c r="BS313" s="964" t="s">
        <v>1751</v>
      </c>
      <c r="BT313" s="973"/>
      <c r="BU313" s="973"/>
      <c r="BV313" s="974"/>
      <c r="BW313" s="974"/>
    </row>
    <row r="314" spans="1:75" s="1327" customFormat="1" ht="44.25" customHeight="1">
      <c r="A314" s="414"/>
      <c r="B314" s="667"/>
      <c r="C314" s="26"/>
      <c r="D314" s="26" cm="1">
        <f t="array" ref="D314">D313</f>
        <v>14</v>
      </c>
      <c r="E314" s="538">
        <v>45.6</v>
      </c>
      <c r="F314" s="3" t="str" cm="1">
        <f t="array" aca="1" ref="F314" ca="1">OFFSET(E314,-1,1)</f>
        <v>1</v>
      </c>
      <c r="G314" s="26"/>
      <c r="H314" s="26"/>
      <c r="I314" s="26"/>
      <c r="J314" s="26"/>
      <c r="K314" s="26"/>
      <c r="L314" s="882"/>
      <c r="M314" s="26"/>
      <c r="N314" s="26"/>
      <c r="O314" s="26"/>
      <c r="P314" s="26"/>
      <c r="Q314" s="26"/>
      <c r="R314" s="26"/>
      <c r="S314" s="26"/>
      <c r="T314" s="381" t="b" cm="1">
        <f t="array" aca="1" ref="T314" ca="1">T313</f>
        <v>1</v>
      </c>
      <c r="U314" s="26"/>
      <c r="V314" s="26"/>
      <c r="W314" s="26"/>
      <c r="X314" s="1755"/>
      <c r="Y314" s="414"/>
      <c r="Z314" s="1735"/>
      <c r="AA314" s="414"/>
      <c r="AB314" s="216" t="str">
        <f>D314&amp;".3"</f>
        <v>14.3</v>
      </c>
      <c r="AC314" s="676" t="s">
        <v>2039</v>
      </c>
      <c r="AD314" s="216" t="s">
        <v>766</v>
      </c>
      <c r="AE314" s="850"/>
      <c r="AF314" s="1509"/>
      <c r="AG314" s="1509"/>
      <c r="AH314" s="175">
        <f>AG314-AF314</f>
        <v>0</v>
      </c>
      <c r="AI314" s="850"/>
      <c r="AJ314" s="850"/>
      <c r="AK314" s="850"/>
      <c r="AL314" s="850"/>
      <c r="AM314" s="850"/>
      <c r="AN314" s="850"/>
      <c r="AO314" s="850"/>
      <c r="AP314" s="850"/>
      <c r="AQ314" s="850"/>
      <c r="AR314" s="850"/>
      <c r="AS314" s="850"/>
      <c r="AT314" s="850"/>
      <c r="AU314" s="850"/>
      <c r="AV314" s="850"/>
      <c r="AW314" s="850"/>
      <c r="AX314" s="850"/>
      <c r="AY314" s="850"/>
      <c r="AZ314" s="850"/>
      <c r="BA314" s="850"/>
      <c r="BB314" s="850"/>
      <c r="BC314" s="850"/>
      <c r="BD314" s="850"/>
      <c r="BE314" s="850"/>
      <c r="BF314" s="850"/>
      <c r="BG314" s="850"/>
      <c r="BH314" s="850"/>
      <c r="BI314" s="850"/>
      <c r="BJ314" s="850"/>
      <c r="BK314" s="850"/>
      <c r="BL314" s="850"/>
      <c r="BM314" s="850"/>
      <c r="BN314" s="1522"/>
      <c r="BO314" s="1522"/>
      <c r="BP314" s="1522"/>
      <c r="BQ314" s="1177"/>
      <c r="BR314" s="1177"/>
      <c r="BS314" s="973" t="s">
        <v>2040</v>
      </c>
      <c r="BT314" s="973"/>
      <c r="BU314" s="973"/>
      <c r="BV314" s="974"/>
      <c r="BW314" s="974"/>
    </row>
    <row r="315" spans="1:75" s="1327" customFormat="1" ht="10.9" customHeight="1">
      <c r="B315" s="741"/>
      <c r="C315"/>
      <c r="D315"/>
      <c r="E315" s="588">
        <v>11.25</v>
      </c>
      <c r="F315" s="4"/>
      <c r="G315"/>
      <c r="H315"/>
      <c r="I315"/>
      <c r="J315"/>
      <c r="K315"/>
      <c r="L315"/>
      <c r="M315"/>
      <c r="N315"/>
      <c r="O315"/>
      <c r="P315"/>
      <c r="Q315"/>
      <c r="R315"/>
      <c r="S315"/>
      <c r="T315"/>
      <c r="U315" t="s">
        <v>177</v>
      </c>
      <c r="V315" s="742" t="s">
        <v>2046</v>
      </c>
      <c r="W315"/>
      <c r="AB315"/>
      <c r="AC315" s="398"/>
      <c r="AD315" s="398"/>
      <c r="AE315" s="398"/>
      <c r="AF315" s="398"/>
      <c r="AG315"/>
      <c r="AH315"/>
      <c r="AI315"/>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c r="BO315"/>
      <c r="BP315"/>
      <c r="BS315" s="906"/>
      <c r="BT315" s="906"/>
      <c r="BU315" s="906"/>
      <c r="BV315" s="541"/>
      <c r="BW315" s="541"/>
    </row>
    <row r="316" spans="1:75" ht="14.65" customHeight="1">
      <c r="B316" s="15"/>
      <c r="C316" s="26"/>
      <c r="D316" s="26"/>
      <c r="E316" s="538">
        <v>15</v>
      </c>
      <c r="F316" s="26"/>
      <c r="G316" s="26"/>
      <c r="H316" s="26"/>
      <c r="I316" s="26"/>
      <c r="J316" s="26"/>
      <c r="K316" s="26"/>
      <c r="L316" s="882"/>
      <c r="M316" s="26"/>
      <c r="N316" s="26"/>
      <c r="O316" s="26"/>
      <c r="P316" s="26"/>
      <c r="Q316" s="26"/>
      <c r="R316" s="26"/>
      <c r="S316" s="26"/>
      <c r="T316" s="26"/>
      <c r="U316" s="26"/>
      <c r="V316" s="26"/>
      <c r="W316" s="26"/>
      <c r="AB316" s="1758" t="s">
        <v>394</v>
      </c>
      <c r="AC316" s="1758"/>
      <c r="AD316" s="1758"/>
      <c r="AE316" s="1758"/>
      <c r="AF316" s="1758"/>
      <c r="AG316" s="1758"/>
      <c r="AH316" s="1758"/>
      <c r="AI316" s="1758"/>
      <c r="AJ316" s="1758"/>
      <c r="AK316" s="1758"/>
      <c r="AL316" s="1758"/>
      <c r="AM316" s="1758"/>
      <c r="AN316" s="1758"/>
      <c r="AO316" s="1758"/>
      <c r="AP316" s="1758"/>
      <c r="AQ316" s="1758"/>
      <c r="AR316" s="1758"/>
      <c r="AS316" s="1758"/>
      <c r="AT316" s="1758"/>
      <c r="AU316" s="1758"/>
      <c r="AV316" s="1758"/>
      <c r="AW316" s="1758"/>
      <c r="AX316" s="1758"/>
      <c r="AY316" s="1758"/>
      <c r="AZ316" s="1758"/>
      <c r="BA316" s="1758"/>
      <c r="BB316" s="1758"/>
      <c r="BC316" s="1758"/>
      <c r="BD316" s="1758"/>
      <c r="BE316" s="1758"/>
      <c r="BF316" s="1758"/>
      <c r="BG316" s="1758"/>
      <c r="BH316" s="1758"/>
      <c r="BI316" s="1758"/>
      <c r="BJ316" s="1758"/>
      <c r="BK316" s="1758"/>
      <c r="BL316" s="1758"/>
      <c r="BM316" s="1758"/>
      <c r="BN316" s="1758"/>
      <c r="BO316" s="1758"/>
      <c r="BP316" s="1758"/>
    </row>
    <row r="317" spans="1:75" ht="14.65" customHeight="1">
      <c r="B317" s="15"/>
      <c r="C317" s="26"/>
      <c r="D317" s="26"/>
      <c r="E317" s="538">
        <v>15</v>
      </c>
      <c r="F317" s="26"/>
      <c r="G317" s="26"/>
      <c r="H317" s="26"/>
      <c r="I317" s="26"/>
      <c r="J317" s="26"/>
      <c r="K317" s="26"/>
      <c r="N317" s="26"/>
      <c r="O317" s="26"/>
      <c r="P317" s="26"/>
      <c r="Q317" s="26"/>
      <c r="R317" s="26"/>
      <c r="S317" s="26"/>
      <c r="T317" s="26"/>
      <c r="U317" s="26"/>
      <c r="V317" s="26"/>
      <c r="W317" s="26"/>
      <c r="AA317" s="92"/>
      <c r="AB317" s="1825"/>
      <c r="AC317" s="1828"/>
      <c r="AD317" s="1828"/>
      <c r="AE317" s="1828"/>
      <c r="AF317" s="1828"/>
      <c r="AG317" s="1828"/>
      <c r="AH317" s="1828"/>
      <c r="AI317" s="1828"/>
      <c r="AJ317" s="1828"/>
      <c r="AK317" s="1828"/>
      <c r="AL317" s="1828"/>
      <c r="AM317" s="1828"/>
      <c r="AN317" s="1828"/>
      <c r="AO317" s="1828"/>
      <c r="AP317" s="1828"/>
      <c r="AQ317" s="1828"/>
      <c r="AR317" s="1828"/>
      <c r="AS317" s="1828"/>
      <c r="AT317" s="1828"/>
      <c r="AU317" s="1828"/>
      <c r="AV317" s="1828"/>
      <c r="AW317" s="1828"/>
      <c r="AX317" s="1828"/>
      <c r="AY317" s="1828"/>
      <c r="AZ317" s="1828"/>
      <c r="BA317" s="1828"/>
      <c r="BB317" s="1828"/>
      <c r="BC317" s="1828"/>
      <c r="BD317" s="1828"/>
      <c r="BE317" s="1828"/>
      <c r="BF317" s="1828"/>
      <c r="BG317" s="1828"/>
      <c r="BH317" s="1828"/>
      <c r="BI317" s="1828"/>
      <c r="BJ317" s="1828"/>
      <c r="BK317" s="1828"/>
      <c r="BL317" s="1828"/>
      <c r="BM317" s="1828"/>
      <c r="BN317" s="1828"/>
      <c r="BO317" s="1828"/>
      <c r="BP317" s="1828"/>
    </row>
    <row r="318" spans="1:75" ht="14.65" hidden="1" customHeight="1">
      <c r="B318" s="15"/>
      <c r="C318" s="26"/>
      <c r="D318" s="26"/>
      <c r="E318" s="538">
        <v>15</v>
      </c>
      <c r="F318" s="26"/>
      <c r="G318" s="26"/>
      <c r="H318" s="26"/>
      <c r="I318" s="26"/>
      <c r="J318" s="26"/>
      <c r="K318" s="26"/>
      <c r="N318" s="26"/>
      <c r="O318" s="26"/>
      <c r="P318" s="26"/>
      <c r="Q318" s="26"/>
      <c r="R318" s="26"/>
      <c r="S318" s="26"/>
      <c r="T318" s="381" t="b">
        <f>ROW(W318)&gt;ROW(W$318)</f>
        <v>0</v>
      </c>
      <c r="U318" s="26"/>
      <c r="V318" s="26"/>
      <c r="W318" s="26" t="s">
        <v>173</v>
      </c>
      <c r="AA318" s="337" t="s">
        <v>174</v>
      </c>
      <c r="AB318" s="1826" t="s">
        <v>231</v>
      </c>
      <c r="AC318" s="1828"/>
      <c r="AD318" s="1828"/>
      <c r="AE318" s="1828"/>
      <c r="AF318" s="1828"/>
      <c r="AG318" s="1828"/>
      <c r="AH318" s="1828"/>
      <c r="AI318" s="1828"/>
      <c r="AJ318" s="1828"/>
      <c r="AK318" s="1828"/>
      <c r="AL318" s="1828"/>
      <c r="AM318" s="1828"/>
      <c r="AN318" s="1828"/>
      <c r="AO318" s="1828"/>
      <c r="AP318" s="1828"/>
      <c r="AQ318" s="1828"/>
      <c r="AR318" s="1828"/>
      <c r="AS318" s="1828"/>
      <c r="AT318" s="1828"/>
      <c r="AU318" s="1828"/>
      <c r="AV318" s="1828"/>
      <c r="AW318" s="1828"/>
      <c r="AX318" s="1828"/>
      <c r="AY318" s="1828"/>
      <c r="AZ318" s="1828"/>
      <c r="BA318" s="1828"/>
      <c r="BB318" s="1828"/>
      <c r="BC318" s="1828"/>
      <c r="BD318" s="1828"/>
      <c r="BE318" s="1828"/>
      <c r="BF318" s="1828"/>
      <c r="BG318" s="1828"/>
      <c r="BH318" s="1828"/>
      <c r="BI318" s="1828"/>
      <c r="BJ318" s="1828"/>
      <c r="BK318" s="1828"/>
      <c r="BL318" s="1828"/>
      <c r="BM318" s="1828"/>
      <c r="BN318" s="1828"/>
      <c r="BO318" s="1828"/>
      <c r="BP318" s="1828"/>
    </row>
    <row r="319" spans="1:75" ht="14.65" customHeight="1">
      <c r="B319" s="15"/>
      <c r="C319" s="26"/>
      <c r="D319" s="26"/>
      <c r="E319" s="538">
        <v>15</v>
      </c>
      <c r="F319" s="26"/>
      <c r="G319" s="26"/>
      <c r="H319" s="26"/>
      <c r="I319" s="26"/>
      <c r="J319" s="26"/>
      <c r="K319" s="26"/>
      <c r="N319" s="26"/>
      <c r="O319" s="26"/>
      <c r="P319" s="26"/>
      <c r="Q319" s="26"/>
      <c r="R319" s="26"/>
      <c r="S319" s="26"/>
      <c r="T319" s="26"/>
      <c r="U319" s="26"/>
      <c r="V319" s="26"/>
      <c r="W319" s="743" t="s">
        <v>395</v>
      </c>
      <c r="AB319" s="703"/>
      <c r="AC319" s="430" t="s">
        <v>396</v>
      </c>
      <c r="AD319" s="704"/>
      <c r="AE319" s="704"/>
      <c r="AF319" s="704"/>
      <c r="AG319" s="704"/>
      <c r="AH319" s="704"/>
      <c r="AI319" s="704"/>
      <c r="AJ319" s="704"/>
      <c r="AK319" s="704"/>
      <c r="AL319" s="704"/>
      <c r="AM319" s="704"/>
      <c r="AN319" s="704"/>
      <c r="AO319" s="704"/>
      <c r="AP319" s="704"/>
      <c r="AQ319" s="704"/>
      <c r="AR319" s="704"/>
      <c r="AS319" s="704"/>
      <c r="AT319" s="704"/>
      <c r="AU319" s="704"/>
      <c r="AV319" s="704"/>
      <c r="AW319" s="704"/>
      <c r="AX319" s="704"/>
      <c r="AY319" s="704"/>
      <c r="AZ319" s="704"/>
      <c r="BA319" s="704"/>
      <c r="BB319" s="704"/>
      <c r="BC319" s="704"/>
      <c r="BD319" s="704"/>
      <c r="BE319" s="704"/>
      <c r="BF319" s="704"/>
      <c r="BG319" s="704"/>
      <c r="BH319" s="704"/>
      <c r="BI319" s="704"/>
      <c r="BJ319" s="704"/>
      <c r="BK319" s="704"/>
      <c r="BL319" s="704"/>
      <c r="BM319" s="704"/>
      <c r="BN319" s="704"/>
      <c r="BO319" s="704"/>
      <c r="BP319" s="705"/>
    </row>
    <row r="320" spans="1:75" ht="10.9" customHeight="1">
      <c r="E320" s="620">
        <v>11.25</v>
      </c>
      <c r="BQ320" s="343"/>
    </row>
  </sheetData>
  <sheetProtection formatColumns="0" formatRows="0" insertRows="0" deleteColumns="0" deleteRows="0" sort="0" autoFilter="0"/>
  <mergeCells count="14">
    <mergeCell ref="BP24:BP25"/>
    <mergeCell ref="BD25:BM25"/>
    <mergeCell ref="AB24:AB25"/>
    <mergeCell ref="AC24:AC25"/>
    <mergeCell ref="AD24:AD25"/>
    <mergeCell ref="BN24:BN25"/>
    <mergeCell ref="BO24:BO25"/>
    <mergeCell ref="AB316:BP316"/>
    <mergeCell ref="AB317:BP317"/>
    <mergeCell ref="AB318:BP318"/>
    <mergeCell ref="X27:X170"/>
    <mergeCell ref="Z27:Z170"/>
    <mergeCell ref="X171:X314"/>
    <mergeCell ref="Z171:Z3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Q138"/>
  <sheetViews>
    <sheetView showGridLines="0" workbookViewId="0">
      <pane xSplit="29" ySplit="28" topLeftCell="AD29" activePane="bottomRight" state="frozen"/>
      <selection pane="topRight" activeCell="AD1" sqref="AD1"/>
      <selection pane="bottomLeft" activeCell="A29" sqref="A29"/>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4" width="3.5703125" style="1207" hidden="1" customWidth="1"/>
    <col min="5" max="5" width="3.5703125" style="1208" hidden="1" customWidth="1"/>
    <col min="6" max="10" width="3.5703125" style="1207" hidden="1" customWidth="1"/>
    <col min="11" max="11" width="10.28515625" style="1207" hidden="1" customWidth="1"/>
    <col min="12" max="19" width="3.5703125" style="1207" hidden="1" customWidth="1"/>
    <col min="20" max="20" width="8.28515625" style="1207" hidden="1" customWidth="1"/>
    <col min="21" max="21" width="5.85546875" style="1207" hidden="1" customWidth="1"/>
    <col min="22" max="23" width="6.140625" style="1207" hidden="1" customWidth="1"/>
    <col min="24" max="25" width="5.5703125" style="1207" hidden="1" customWidth="1"/>
    <col min="26" max="26" width="5.28515625" style="1207" hidden="1" customWidth="1"/>
    <col min="27" max="27" width="3" style="1207" customWidth="1"/>
    <col min="28" max="28" width="14.7109375" style="125" customWidth="1"/>
    <col min="29" max="33" width="17" style="1207" customWidth="1"/>
    <col min="34" max="36" width="23" style="1207" hidden="1" customWidth="1"/>
    <col min="37" max="37" width="25" style="1207" hidden="1" customWidth="1"/>
    <col min="38" max="38" width="3" style="1207" customWidth="1"/>
    <col min="39" max="40" width="9.140625" style="1207" hidden="1"/>
    <col min="41" max="41" width="9.140625" style="1209" hidden="1"/>
    <col min="42" max="43" width="9.140625" style="1207" hidden="1"/>
  </cols>
  <sheetData>
    <row r="1" spans="1:41" ht="11.25" hidden="1" customHeight="1">
      <c r="E1" s="17"/>
      <c r="F1" s="17" t="s">
        <v>311</v>
      </c>
      <c r="K1" s="17" t="s">
        <v>350</v>
      </c>
      <c r="T1" s="381" t="s">
        <v>92</v>
      </c>
      <c r="U1" s="381" t="s">
        <v>97</v>
      </c>
      <c r="V1" s="381" t="s">
        <v>93</v>
      </c>
      <c r="W1" s="381" t="s">
        <v>94</v>
      </c>
      <c r="X1" s="381" t="s">
        <v>95</v>
      </c>
      <c r="Y1" s="383" t="s">
        <v>313</v>
      </c>
      <c r="Z1" s="381" t="s">
        <v>99</v>
      </c>
      <c r="AA1" s="382" t="s">
        <v>96</v>
      </c>
      <c r="AB1" s="4"/>
      <c r="AC1" s="382" t="s">
        <v>98</v>
      </c>
      <c r="AM1" s="17" t="s">
        <v>2047</v>
      </c>
      <c r="AO1" s="917" t="s">
        <v>355</v>
      </c>
    </row>
    <row r="2" spans="1:41" s="1076" customFormat="1" ht="11.25" hidden="1" customHeight="1">
      <c r="B2" s="362" t="s">
        <v>18</v>
      </c>
      <c r="AB2" s="346"/>
      <c r="AG2" s="362" t="b">
        <f>$AF$24="нет"</f>
        <v>1</v>
      </c>
      <c r="AH2" s="362" t="b">
        <f>$AF$24="да"</f>
        <v>0</v>
      </c>
      <c r="AI2" s="362" t="b">
        <f>$AF$24="да"</f>
        <v>0</v>
      </c>
      <c r="AJ2" s="362" t="b">
        <f>$AF$24="да"</f>
        <v>0</v>
      </c>
      <c r="AK2" s="362" t="b">
        <f>$AF$24="да"</f>
        <v>0</v>
      </c>
      <c r="AO2" s="918"/>
    </row>
    <row r="3" spans="1:41" ht="11.25" hidden="1" customHeight="1">
      <c r="E3" s="17"/>
    </row>
    <row r="4" spans="1:41" ht="11.25" hidden="1" customHeight="1">
      <c r="E4" s="17"/>
    </row>
    <row r="5" spans="1:41" s="1208" customFormat="1" ht="11.25" hidden="1" customHeight="1">
      <c r="A5" s="17"/>
      <c r="B5" s="344"/>
      <c r="C5" s="17"/>
      <c r="D5" s="17"/>
      <c r="E5" s="549" t="s">
        <v>19</v>
      </c>
      <c r="AA5" s="549">
        <v>3</v>
      </c>
      <c r="AB5" s="610">
        <v>14.71</v>
      </c>
      <c r="AC5" s="549">
        <v>17</v>
      </c>
      <c r="AD5" s="549">
        <v>17</v>
      </c>
      <c r="AE5" s="549">
        <v>17</v>
      </c>
      <c r="AF5" s="549">
        <v>17</v>
      </c>
      <c r="AG5" s="549">
        <v>17</v>
      </c>
      <c r="AH5" s="549">
        <v>23</v>
      </c>
      <c r="AI5" s="549">
        <v>23</v>
      </c>
      <c r="AJ5" s="549">
        <v>23</v>
      </c>
      <c r="AK5" s="549">
        <v>25</v>
      </c>
      <c r="AL5" s="549">
        <v>3</v>
      </c>
      <c r="AO5" s="917"/>
    </row>
    <row r="6" spans="1:41" ht="11.25" hidden="1" customHeight="1">
      <c r="A6" s="17" t="s">
        <v>322</v>
      </c>
      <c r="AC6" s="17" t="s">
        <v>323</v>
      </c>
      <c r="AD6" s="17" t="s">
        <v>324</v>
      </c>
      <c r="AE6" s="17" t="s">
        <v>325</v>
      </c>
      <c r="AF6" s="17" t="s">
        <v>501</v>
      </c>
      <c r="AG6" s="17" t="s">
        <v>505</v>
      </c>
      <c r="AH6" s="17" t="s">
        <v>2048</v>
      </c>
      <c r="AI6" s="17" t="s">
        <v>2049</v>
      </c>
      <c r="AJ6" s="17" t="s">
        <v>2050</v>
      </c>
      <c r="AK6" s="17" t="s">
        <v>2051</v>
      </c>
    </row>
    <row r="7" spans="1:41" ht="11.25" hidden="1" customHeight="1"/>
    <row r="8" spans="1:41" ht="11.25" hidden="1" customHeight="1"/>
    <row r="9" spans="1:41" s="1209" customFormat="1" ht="11.25" hidden="1" customHeight="1">
      <c r="A9" s="917" t="s">
        <v>314</v>
      </c>
      <c r="B9" s="918"/>
      <c r="AB9" s="956"/>
      <c r="AC9" s="975" t="s">
        <v>2052</v>
      </c>
      <c r="AD9" s="975" t="s">
        <v>2053</v>
      </c>
      <c r="AE9" s="975" t="s">
        <v>2054</v>
      </c>
      <c r="AF9" s="975" t="s">
        <v>2055</v>
      </c>
      <c r="AG9" s="975" t="s">
        <v>2056</v>
      </c>
      <c r="AH9" s="975" t="s">
        <v>2057</v>
      </c>
      <c r="AI9" s="975" t="s">
        <v>2058</v>
      </c>
      <c r="AJ9" s="975" t="s">
        <v>2059</v>
      </c>
      <c r="AK9" s="917" t="s">
        <v>2060</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2:43" ht="11.25" hidden="1" customHeight="1"/>
    <row r="18" spans="2:43" ht="11.25" hidden="1" customHeight="1"/>
    <row r="19" spans="2:43" ht="11.25" hidden="1" customHeight="1"/>
    <row r="20" spans="2:43" ht="11.25" hidden="1" customHeight="1"/>
    <row r="21" spans="2:43" ht="14.65" customHeight="1">
      <c r="E21" s="549">
        <v>15</v>
      </c>
      <c r="AA21" s="342"/>
      <c r="AB21" s="279" t="str" cm="1">
        <f t="array" ref="AB21">tpl_title</f>
        <v>Кемеровская область / 2026 / ОАО «СКЭК» (ИНН:4205153492, КПП:420501001) / ДПР: 2026-2026</v>
      </c>
    </row>
    <row r="22" spans="2:43" s="1242" customFormat="1" ht="23.45" customHeight="1">
      <c r="B22" s="344"/>
      <c r="E22" s="550">
        <v>24</v>
      </c>
      <c r="AB22" s="232" t="s">
        <v>84</v>
      </c>
      <c r="AC22" s="124"/>
      <c r="AD22" s="124"/>
      <c r="AE22" s="124"/>
      <c r="AF22" s="124"/>
      <c r="AG22" s="124"/>
      <c r="AH22" s="124"/>
      <c r="AI22" s="124"/>
      <c r="AJ22" s="124"/>
      <c r="AK22" s="124"/>
      <c r="AO22" s="920"/>
    </row>
    <row r="23" spans="2:43" ht="10.9" customHeight="1">
      <c r="E23" s="549">
        <v>11.25</v>
      </c>
      <c r="AB23" s="63"/>
      <c r="AC23" s="63"/>
    </row>
    <row r="24" spans="2:43" ht="19.7" customHeight="1">
      <c r="E24" s="549">
        <v>20.25</v>
      </c>
      <c r="AB24" s="1823" t="s">
        <v>2061</v>
      </c>
      <c r="AC24" s="1823"/>
      <c r="AD24" s="1823"/>
      <c r="AE24" s="1823"/>
      <c r="AF24" s="260" t="s">
        <v>151</v>
      </c>
    </row>
    <row r="25" spans="2:43" ht="10.9" customHeight="1">
      <c r="E25" s="549">
        <v>11.25</v>
      </c>
      <c r="AB25" s="63"/>
      <c r="AC25" s="63"/>
    </row>
    <row r="26" spans="2:43" s="1079" customFormat="1" ht="38.1" customHeight="1">
      <c r="B26" s="346"/>
      <c r="E26" s="547">
        <v>39</v>
      </c>
      <c r="AB26" s="1845" t="s">
        <v>2062</v>
      </c>
      <c r="AC26" s="1762" t="s">
        <v>2063</v>
      </c>
      <c r="AD26" s="1762" t="s">
        <v>428</v>
      </c>
      <c r="AE26" s="1739" t="s">
        <v>2064</v>
      </c>
      <c r="AF26" s="1758" t="s">
        <v>2065</v>
      </c>
      <c r="AG26" s="1758"/>
      <c r="AH26" s="1758"/>
      <c r="AI26" s="1758"/>
      <c r="AJ26" s="1758"/>
      <c r="AK26" s="1758"/>
      <c r="AO26" s="915"/>
    </row>
    <row r="27" spans="2:43" s="1079" customFormat="1" ht="35.1" customHeight="1">
      <c r="B27" s="346"/>
      <c r="E27" s="547">
        <v>36</v>
      </c>
      <c r="AB27" s="1846"/>
      <c r="AC27" s="1762"/>
      <c r="AD27" s="1762"/>
      <c r="AE27" s="1762"/>
      <c r="AF27" s="744" t="s">
        <v>549</v>
      </c>
      <c r="AG27" s="744" t="s">
        <v>2066</v>
      </c>
      <c r="AH27" s="744" t="s">
        <v>2067</v>
      </c>
      <c r="AI27" s="744" t="s">
        <v>2068</v>
      </c>
      <c r="AJ27" s="744" t="s">
        <v>2069</v>
      </c>
      <c r="AK27" s="744" t="s">
        <v>2070</v>
      </c>
      <c r="AO27" s="915"/>
    </row>
    <row r="28" spans="2:43" s="1325" customFormat="1" ht="11.25" customHeight="1">
      <c r="B28" s="346"/>
      <c r="E28" s="183">
        <v>11.5</v>
      </c>
      <c r="AB28" s="1847"/>
      <c r="AC28" s="745" t="s">
        <v>766</v>
      </c>
      <c r="AD28" s="745" t="s">
        <v>423</v>
      </c>
      <c r="AE28" s="680" t="s">
        <v>423</v>
      </c>
      <c r="AF28" s="745" t="s">
        <v>423</v>
      </c>
      <c r="AG28" s="745" t="s">
        <v>2071</v>
      </c>
      <c r="AH28" s="745" t="s">
        <v>2071</v>
      </c>
      <c r="AI28" s="745" t="s">
        <v>2071</v>
      </c>
      <c r="AJ28" s="745" t="s">
        <v>2071</v>
      </c>
      <c r="AK28" s="745" t="s">
        <v>2071</v>
      </c>
      <c r="AO28" s="932"/>
    </row>
    <row r="29" spans="2:43" s="1327" customFormat="1" ht="11.25" customHeight="1">
      <c r="B29" s="347"/>
      <c r="E29" s="588" t="s">
        <v>363</v>
      </c>
      <c r="F29" s="4"/>
      <c r="AB29"/>
      <c r="AC29" s="398"/>
      <c r="AD29" s="398"/>
      <c r="AE29" s="398"/>
      <c r="AF29" s="398"/>
      <c r="AG29"/>
      <c r="AH29"/>
      <c r="AI29"/>
      <c r="AJ29"/>
      <c r="AK29"/>
      <c r="AO29" s="906"/>
      <c r="AQ29" s="20"/>
    </row>
    <row r="30" spans="2:43" s="1210" customFormat="1" ht="14.65" hidden="1" customHeight="1">
      <c r="B30" s="345"/>
      <c r="E30" s="535">
        <v>15</v>
      </c>
      <c r="F30" s="17" cm="1">
        <f t="array" ref="F30">X30</f>
        <v>0</v>
      </c>
      <c r="T30" s="381" t="b">
        <f>X30&gt;0</f>
        <v>0</v>
      </c>
      <c r="V30" s="41" t="s">
        <v>270</v>
      </c>
      <c r="X30" s="1755">
        <v>0</v>
      </c>
      <c r="Z30" s="1735"/>
      <c r="AB30" s="293" t="str" cm="1">
        <f t="array" ref="AB30">INDEX('Общие сведения'!$AG$179:$AG$208,MATCH($X30,'Общие сведения'!$Z$179:$Z$208,0))</f>
        <v xml:space="preserve">Тариф 0 () - </v>
      </c>
      <c r="AC30" s="746"/>
      <c r="AD30" s="746"/>
      <c r="AE30" s="746"/>
      <c r="AF30" s="746"/>
      <c r="AG30" s="746"/>
      <c r="AH30" s="746"/>
      <c r="AI30" s="746"/>
      <c r="AJ30" s="746"/>
      <c r="AK30" s="746"/>
      <c r="AL30" s="319"/>
      <c r="AO30" s="899"/>
    </row>
    <row r="31" spans="2:43" s="1177" customFormat="1" ht="14.65" hidden="1" customHeight="1">
      <c r="B31" s="362" t="b">
        <f t="shared" ref="B31:B62" si="0">K31&lt;first_year+PERIOD_LENGTH</f>
        <v>1</v>
      </c>
      <c r="E31" s="620">
        <v>15</v>
      </c>
      <c r="F31" s="3" cm="1">
        <f t="array" aca="1" ref="F31" ca="1">OFFSET(E31,-1,1)</f>
        <v>0</v>
      </c>
      <c r="K31" s="77" cm="1">
        <f t="array" ref="K31">first_year</f>
        <v>2026</v>
      </c>
      <c r="T31" s="381" t="b" cm="1">
        <f t="array" ref="T31">T30</f>
        <v>0</v>
      </c>
      <c r="X31" s="1755"/>
      <c r="Z31" s="1735"/>
      <c r="AB31" s="747" t="str">
        <f t="shared" ref="AB31:AB62" si="1">K31&amp;" год"</f>
        <v>2026 год</v>
      </c>
      <c r="AC31" s="1537">
        <f ca="1">IF(god=first_year,SUMIFS('Калькуляция (МИ)'!AT$26:AT$315,'Калькуляция (МИ)'!F$26:F$315,F31,'Калькуляция (МИ)'!AC$26:AC$315,"операционные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1538">
        <f ca="1">IFERROR(SUMIFS(INDEX(Сценарии!$AE$25:$BF$82,,MATCH($K31&amp;"Принято органом регулирования",Сценарии!$AE$8:$BF$8,0)),Сценарии!$F$25:$F$82,$F31,Сценарии!$AC$25:$AC$82,"Индекс эффективности операционных расходов"),0)</f>
        <v>0</v>
      </c>
      <c r="AE31" s="1539"/>
      <c r="AF31" s="1539">
        <f ca="1">IFERROR(SUMIFS(INDEX(Баланс!$AE$25:$BB$209,,MATCH($K31&amp;"Принято органом регулирования",Баланс!$AE$8:$BB$8,0)),Баланс!$F$25:$F$209,$F31,Баланс!$AC$24:$AC$209,"Уровень потерь воды"),0)</f>
        <v>0</v>
      </c>
      <c r="AG31" s="1540">
        <f ca="1">IFERROR(SUMIFS(INDEX(Electricity_LOAD_1,,MATCH($K31&amp;"Принято органом регулирования",ЭЭ!$AE$8:$BB$8,0)),ЭЭ!$F$25:$F$67,$F31,ЭЭ!$AC$25:$AC$67,"Удельный расход электроэнергии"),0)</f>
        <v>0</v>
      </c>
      <c r="AH31" s="1538">
        <f ca="1">IFERROR(SUMIFS(INDEX(Electricity_LOAD_1,,MATCH($K31&amp;"Принято органом регулирования",ЭЭ!$AE$8:$BB$8,0)),ЭЭ!$F$25:$F$67,$F31,ЭЭ!$AC$25:$AC$67,"Удельный расход электроэнергии"),0)</f>
        <v>0</v>
      </c>
      <c r="AI31" s="1538">
        <f ca="1">IFERROR(SUMIFS(INDEX(Electricity_LOAD_1,,MATCH($K31&amp;"Принято органом регулирования",ЭЭ!$AE$8:$BB$8,0)),ЭЭ!$F$25:$F$67,$F31,ЭЭ!$AC$25:$AC$67,"Удельный расход электроэнергии"),0)</f>
        <v>0</v>
      </c>
      <c r="AJ31" s="1538">
        <f ca="1">IFERROR(SUMIFS(INDEX(Electricity_LOAD_1,,MATCH($K31&amp;"Принято органом регулирования",ЭЭ!$AE$8:$BB$8,0)),ЭЭ!$F$25:$F$67,$F31,ЭЭ!$AC$25:$AC$67,"Удельный расход электроэнергии"),0)</f>
        <v>0</v>
      </c>
      <c r="AK31" s="1538">
        <f ca="1">IFERROR(SUMIFS(INDEX(Electricity_LOAD_1,,MATCH($K31&amp;"Принято органом регулирования",ЭЭ!$AE$8:$BB$8,0)),ЭЭ!$F$25:$F$67,$F31,ЭЭ!$AC$25:$AC$67,"Удельный расход электроэнергии"),0)</f>
        <v>0</v>
      </c>
      <c r="AL31" s="320"/>
      <c r="AM31" s="77" t="s">
        <v>2072</v>
      </c>
      <c r="AO31" s="966" cm="1">
        <f t="array" ref="AO31">K31</f>
        <v>2026</v>
      </c>
    </row>
    <row r="32" spans="2:43" s="1177" customFormat="1" ht="14.65" hidden="1" customHeight="1">
      <c r="B32" s="362" t="b">
        <f t="shared" si="0"/>
        <v>0</v>
      </c>
      <c r="E32" s="620">
        <v>15</v>
      </c>
      <c r="F32" s="3" cm="1">
        <f t="array" aca="1" ref="F32" ca="1">OFFSET(E32,-1,1)</f>
        <v>0</v>
      </c>
      <c r="K32" s="77">
        <f>first_year+1</f>
        <v>2027</v>
      </c>
      <c r="T32" s="381" t="b" cm="1">
        <f t="array" ref="T32">T31</f>
        <v>0</v>
      </c>
      <c r="X32" s="1755"/>
      <c r="Z32" s="1735"/>
      <c r="AB32" s="747" t="str">
        <f t="shared" si="1"/>
        <v>2027 год</v>
      </c>
      <c r="AC32" s="1539"/>
      <c r="AD32" s="1538">
        <f ca="1">IFERROR(SUMIFS(INDEX(Сценарии!$AE$25:$BF$82,,MATCH($K32&amp;"Принято органом регулирования",Сценарии!$AE$8:$BF$8,0)),Сценарии!$F$25:$F$82,$F32,Сценарии!$AC$25:$AC$82,"Индекс эффективности операционных расходов"),0)</f>
        <v>0</v>
      </c>
      <c r="AE32" s="1539"/>
      <c r="AF32" s="1539">
        <f ca="1">IFERROR(SUMIFS(INDEX(Баланс!$AE$25:$BB$209,,MATCH($K32&amp;"Принято органом регулирования",Баланс!$AE$8:$BB$8,0)),Баланс!$F$25:$F$209,$F32,Баланс!$AC$24:$AC$209,"Уровень потерь воды"),0)</f>
        <v>0</v>
      </c>
      <c r="AG32" s="1540">
        <f ca="1">IFERROR(SUMIFS(INDEX(Electricity_LOAD_1,,MATCH($K32&amp;"Принято органом регулирования",ЭЭ!$AE$8:$BB$8,0)),ЭЭ!$F$25:$F$67,$F32,ЭЭ!$AC$25:$AC$67,"Удельный расход электроэнергии"),0)</f>
        <v>0</v>
      </c>
      <c r="AH32" s="1538">
        <f ca="1">IFERROR(SUMIFS(INDEX(Electricity_LOAD_1,,MATCH($K32&amp;"Принято органом регулирования",ЭЭ!$AE$8:$BB$8,0)),ЭЭ!$F$25:$F$67,$F32,ЭЭ!$AC$25:$AC$67,"Удельный расход электроэнергии"),0)</f>
        <v>0</v>
      </c>
      <c r="AI32" s="1538">
        <f ca="1">IFERROR(SUMIFS(INDEX(Electricity_LOAD_1,,MATCH($K32&amp;"Принято органом регулирования",ЭЭ!$AE$8:$BB$8,0)),ЭЭ!$F$25:$F$67,$F32,ЭЭ!$AC$25:$AC$67,"Удельный расход электроэнергии"),0)</f>
        <v>0</v>
      </c>
      <c r="AJ32" s="1538">
        <f ca="1">IFERROR(SUMIFS(INDEX(Electricity_LOAD_1,,MATCH($K32&amp;"Принято органом регулирования",ЭЭ!$AE$8:$BB$8,0)),ЭЭ!$F$25:$F$67,$F32,ЭЭ!$AC$25:$AC$67,"Удельный расход электроэнергии"),0)</f>
        <v>0</v>
      </c>
      <c r="AK32" s="1538">
        <f ca="1">IFERROR(SUMIFS(INDEX(Electricity_LOAD_1,,MATCH($K32&amp;"Принято органом регулирования",ЭЭ!$AE$8:$BB$8,0)),ЭЭ!$F$25:$F$67,$F32,ЭЭ!$AC$25:$AC$67,"Удельный расход электроэнергии"),0)</f>
        <v>0</v>
      </c>
      <c r="AL32" s="320"/>
      <c r="AM32" s="1177" t="s">
        <v>2072</v>
      </c>
      <c r="AO32" s="966" cm="1">
        <f t="array" ref="AO32">K32</f>
        <v>2027</v>
      </c>
    </row>
    <row r="33" spans="2:41" s="1177" customFormat="1" ht="14.65" hidden="1" customHeight="1">
      <c r="B33" s="362" t="b">
        <f t="shared" si="0"/>
        <v>0</v>
      </c>
      <c r="E33" s="620">
        <v>15</v>
      </c>
      <c r="F33" s="3" cm="1">
        <f t="array" aca="1" ref="F33" ca="1">OFFSET(E33,-1,1)</f>
        <v>0</v>
      </c>
      <c r="K33" s="77">
        <f>first_year+2</f>
        <v>2028</v>
      </c>
      <c r="T33" s="381" t="b" cm="1">
        <f t="array" ref="T33">T32</f>
        <v>0</v>
      </c>
      <c r="X33" s="1755"/>
      <c r="Z33" s="1735"/>
      <c r="AB33" s="747" t="str">
        <f t="shared" si="1"/>
        <v>2028 год</v>
      </c>
      <c r="AC33" s="1539"/>
      <c r="AD33" s="1538">
        <f ca="1">IFERROR(SUMIFS(INDEX(Сценарии!$AE$25:$BF$82,,MATCH($K33&amp;"Принято органом регулирования",Сценарии!$AE$8:$BF$8,0)),Сценарии!$F$25:$F$82,$F33,Сценарии!$AC$25:$AC$82,"Индекс эффективности операционных расходов"),0)</f>
        <v>0</v>
      </c>
      <c r="AE33" s="1539"/>
      <c r="AF33" s="1539">
        <f ca="1">IFERROR(SUMIFS(INDEX(Баланс!$AE$25:$BB$209,,MATCH($K33&amp;"Принято органом регулирования",Баланс!$AE$8:$BB$8,0)),Баланс!$F$25:$F$209,$F33,Баланс!$AC$24:$AC$209,"Уровень потерь воды"),0)</f>
        <v>0</v>
      </c>
      <c r="AG33" s="1540">
        <f ca="1">IFERROR(SUMIFS(INDEX(Electricity_LOAD_1,,MATCH($K33&amp;"Принято органом регулирования",ЭЭ!$AE$8:$BB$8,0)),ЭЭ!$F$25:$F$67,$F33,ЭЭ!$AC$25:$AC$67,"Удельный расход электроэнергии"),0)</f>
        <v>0</v>
      </c>
      <c r="AH33" s="1538">
        <f ca="1">IFERROR(SUMIFS(INDEX(Electricity_LOAD_1,,MATCH($K33&amp;"Принято органом регулирования",ЭЭ!$AE$8:$BB$8,0)),ЭЭ!$F$25:$F$67,$F33,ЭЭ!$AC$25:$AC$67,"Удельный расход электроэнергии"),0)</f>
        <v>0</v>
      </c>
      <c r="AI33" s="1538">
        <f ca="1">IFERROR(SUMIFS(INDEX(Electricity_LOAD_1,,MATCH($K33&amp;"Принято органом регулирования",ЭЭ!$AE$8:$BB$8,0)),ЭЭ!$F$25:$F$67,$F33,ЭЭ!$AC$25:$AC$67,"Удельный расход электроэнергии"),0)</f>
        <v>0</v>
      </c>
      <c r="AJ33" s="1538">
        <f ca="1">IFERROR(SUMIFS(INDEX(Electricity_LOAD_1,,MATCH($K33&amp;"Принято органом регулирования",ЭЭ!$AE$8:$BB$8,0)),ЭЭ!$F$25:$F$67,$F33,ЭЭ!$AC$25:$AC$67,"Удельный расход электроэнергии"),0)</f>
        <v>0</v>
      </c>
      <c r="AK33" s="1538">
        <f ca="1">IFERROR(SUMIFS(INDEX(Electricity_LOAD_1,,MATCH($K33&amp;"Принято органом регулирования",ЭЭ!$AE$8:$BB$8,0)),ЭЭ!$F$25:$F$67,$F33,ЭЭ!$AC$25:$AC$67,"Удельный расход электроэнергии"),0)</f>
        <v>0</v>
      </c>
      <c r="AL33" s="320"/>
      <c r="AM33" s="1177" t="s">
        <v>2072</v>
      </c>
      <c r="AO33" s="966" cm="1">
        <f t="array" ref="AO33">K33</f>
        <v>2028</v>
      </c>
    </row>
    <row r="34" spans="2:41" s="1177" customFormat="1" ht="14.65" hidden="1" customHeight="1">
      <c r="B34" s="362" t="b">
        <f t="shared" si="0"/>
        <v>0</v>
      </c>
      <c r="E34" s="620">
        <v>15</v>
      </c>
      <c r="F34" s="3" cm="1">
        <f t="array" aca="1" ref="F34" ca="1">OFFSET(E34,-1,1)</f>
        <v>0</v>
      </c>
      <c r="K34" s="77">
        <f>first_year+3</f>
        <v>2029</v>
      </c>
      <c r="T34" s="381" t="b" cm="1">
        <f t="array" ref="T34">T33</f>
        <v>0</v>
      </c>
      <c r="X34" s="1755"/>
      <c r="Z34" s="1735"/>
      <c r="AB34" s="747" t="str">
        <f t="shared" si="1"/>
        <v>2029 год</v>
      </c>
      <c r="AC34" s="1539"/>
      <c r="AD34" s="1538">
        <f ca="1">IFERROR(SUMIFS(INDEX(Сценарии!$AE$25:$BF$82,,MATCH($K34&amp;"Принято органом регулирования",Сценарии!$AE$8:$BF$8,0)),Сценарии!$F$25:$F$82,$F34,Сценарии!$AC$25:$AC$82,"Индекс эффективности операционных расходов"),0)</f>
        <v>0</v>
      </c>
      <c r="AE34" s="1539"/>
      <c r="AF34" s="1539">
        <f ca="1">IFERROR(SUMIFS(INDEX(Баланс!$AE$25:$BB$209,,MATCH($K34&amp;"Принято органом регулирования",Баланс!$AE$8:$BB$8,0)),Баланс!$F$25:$F$209,$F34,Баланс!$AC$24:$AC$209,"Уровень потерь воды"),0)</f>
        <v>0</v>
      </c>
      <c r="AG34" s="1540">
        <f ca="1">IFERROR(SUMIFS(INDEX(Electricity_LOAD_1,,MATCH($K34&amp;"Принято органом регулирования",ЭЭ!$AE$8:$BB$8,0)),ЭЭ!$F$25:$F$67,$F34,ЭЭ!$AC$25:$AC$67,"Удельный расход электроэнергии"),0)</f>
        <v>0</v>
      </c>
      <c r="AH34" s="1538">
        <f ca="1">IFERROR(SUMIFS(INDEX(Electricity_LOAD_1,,MATCH($K34&amp;"Принято органом регулирования",ЭЭ!$AE$8:$BB$8,0)),ЭЭ!$F$25:$F$67,$F34,ЭЭ!$AC$25:$AC$67,"Удельный расход электроэнергии"),0)</f>
        <v>0</v>
      </c>
      <c r="AI34" s="1538">
        <f ca="1">IFERROR(SUMIFS(INDEX(Electricity_LOAD_1,,MATCH($K34&amp;"Принято органом регулирования",ЭЭ!$AE$8:$BB$8,0)),ЭЭ!$F$25:$F$67,$F34,ЭЭ!$AC$25:$AC$67,"Удельный расход электроэнергии"),0)</f>
        <v>0</v>
      </c>
      <c r="AJ34" s="1538">
        <f ca="1">IFERROR(SUMIFS(INDEX(Electricity_LOAD_1,,MATCH($K34&amp;"Принято органом регулирования",ЭЭ!$AE$8:$BB$8,0)),ЭЭ!$F$25:$F$67,$F34,ЭЭ!$AC$25:$AC$67,"Удельный расход электроэнергии"),0)</f>
        <v>0</v>
      </c>
      <c r="AK34" s="1538">
        <f ca="1">IFERROR(SUMIFS(INDEX(Electricity_LOAD_1,,MATCH($K34&amp;"Принято органом регулирования",ЭЭ!$AE$8:$BB$8,0)),ЭЭ!$F$25:$F$67,$F34,ЭЭ!$AC$25:$AC$67,"Удельный расход электроэнергии"),0)</f>
        <v>0</v>
      </c>
      <c r="AL34" s="320"/>
      <c r="AM34" s="1177" t="s">
        <v>2072</v>
      </c>
      <c r="AO34" s="966" cm="1">
        <f t="array" ref="AO34">K34</f>
        <v>2029</v>
      </c>
    </row>
    <row r="35" spans="2:41" s="1177" customFormat="1" ht="14.65" hidden="1" customHeight="1">
      <c r="B35" s="362" t="b">
        <f t="shared" si="0"/>
        <v>0</v>
      </c>
      <c r="E35" s="620">
        <v>15</v>
      </c>
      <c r="F35" s="3" cm="1">
        <f t="array" aca="1" ref="F35" ca="1">OFFSET(E35,-1,1)</f>
        <v>0</v>
      </c>
      <c r="K35" s="77">
        <f>first_year+4</f>
        <v>2030</v>
      </c>
      <c r="T35" s="381" t="b" cm="1">
        <f t="array" ref="T35">T34</f>
        <v>0</v>
      </c>
      <c r="X35" s="1755"/>
      <c r="Z35" s="1735"/>
      <c r="AB35" s="747" t="str">
        <f t="shared" si="1"/>
        <v>2030 год</v>
      </c>
      <c r="AC35" s="1539"/>
      <c r="AD35" s="1538">
        <f ca="1">IFERROR(SUMIFS(INDEX(Сценарии!$AE$25:$BF$82,,MATCH($K35&amp;"Принято органом регулирования",Сценарии!$AE$8:$BF$8,0)),Сценарии!$F$25:$F$82,$F35,Сценарии!$AC$25:$AC$82,"Индекс эффективности операционных расходов"),0)</f>
        <v>0</v>
      </c>
      <c r="AE35" s="1539"/>
      <c r="AF35" s="1539">
        <f ca="1">IFERROR(SUMIFS(INDEX(Баланс!$AE$25:$BB$209,,MATCH($K35&amp;"Принято органом регулирования",Баланс!$AE$8:$BB$8,0)),Баланс!$F$25:$F$209,$F35,Баланс!$AC$24:$AC$209,"Уровень потерь воды"),0)</f>
        <v>0</v>
      </c>
      <c r="AG35" s="1540">
        <f ca="1">IFERROR(SUMIFS(INDEX(Electricity_LOAD_1,,MATCH($K35&amp;"Принято органом регулирования",ЭЭ!$AE$8:$BB$8,0)),ЭЭ!$F$25:$F$67,$F35,ЭЭ!$AC$25:$AC$67,"Удельный расход электроэнергии"),0)</f>
        <v>0</v>
      </c>
      <c r="AH35" s="1538">
        <f ca="1">IFERROR(SUMIFS(INDEX(Electricity_LOAD_1,,MATCH($K35&amp;"Принято органом регулирования",ЭЭ!$AE$8:$BB$8,0)),ЭЭ!$F$25:$F$67,$F35,ЭЭ!$AC$25:$AC$67,"Удельный расход электроэнергии"),0)</f>
        <v>0</v>
      </c>
      <c r="AI35" s="1538">
        <f ca="1">IFERROR(SUMIFS(INDEX(Electricity_LOAD_1,,MATCH($K35&amp;"Принято органом регулирования",ЭЭ!$AE$8:$BB$8,0)),ЭЭ!$F$25:$F$67,$F35,ЭЭ!$AC$25:$AC$67,"Удельный расход электроэнергии"),0)</f>
        <v>0</v>
      </c>
      <c r="AJ35" s="1538">
        <f ca="1">IFERROR(SUMIFS(INDEX(Electricity_LOAD_1,,MATCH($K35&amp;"Принято органом регулирования",ЭЭ!$AE$8:$BB$8,0)),ЭЭ!$F$25:$F$67,$F35,ЭЭ!$AC$25:$AC$67,"Удельный расход электроэнергии"),0)</f>
        <v>0</v>
      </c>
      <c r="AK35" s="1538">
        <f ca="1">IFERROR(SUMIFS(INDEX(Electricity_LOAD_1,,MATCH($K35&amp;"Принято органом регулирования",ЭЭ!$AE$8:$BB$8,0)),ЭЭ!$F$25:$F$67,$F35,ЭЭ!$AC$25:$AC$67,"Удельный расход электроэнергии"),0)</f>
        <v>0</v>
      </c>
      <c r="AL35" s="320"/>
      <c r="AM35" s="1177" t="s">
        <v>2072</v>
      </c>
      <c r="AO35" s="966" cm="1">
        <f t="array" ref="AO35">K35</f>
        <v>2030</v>
      </c>
    </row>
    <row r="36" spans="2:41" s="1177" customFormat="1" ht="14.65" hidden="1" customHeight="1">
      <c r="B36" s="362" t="b">
        <f t="shared" si="0"/>
        <v>0</v>
      </c>
      <c r="E36" s="620">
        <v>15</v>
      </c>
      <c r="F36" s="3" cm="1">
        <f t="array" aca="1" ref="F36" ca="1">OFFSET(E36,-1,1)</f>
        <v>0</v>
      </c>
      <c r="K36" s="77">
        <f>first_year+5</f>
        <v>2031</v>
      </c>
      <c r="T36" s="381" t="b" cm="1">
        <f t="array" ref="T36">T35</f>
        <v>0</v>
      </c>
      <c r="X36" s="1755"/>
      <c r="Z36" s="1735"/>
      <c r="AB36" s="747" t="str">
        <f t="shared" si="1"/>
        <v>2031 год</v>
      </c>
      <c r="AC36" s="1539"/>
      <c r="AD36" s="1538">
        <f ca="1">IFERROR(SUMIFS(INDEX(Сценарии!$AE$25:$BF$82,,MATCH($K36&amp;"Принято органом регулирования",Сценарии!$AE$8:$BF$8,0)),Сценарии!$F$25:$F$82,$F36,Сценарии!$AC$25:$AC$82,"Индекс эффективности операционных расходов"),0)</f>
        <v>0</v>
      </c>
      <c r="AE36" s="1539"/>
      <c r="AF36" s="1539">
        <f ca="1">IFERROR(SUMIFS(INDEX(Баланс!$AE$25:$BB$209,,MATCH($K36&amp;"Принято органом регулирования",Баланс!$AE$8:$BB$8,0)),Баланс!$F$25:$F$209,$F36,Баланс!$AC$24:$AC$209,"Уровень потерь воды"),0)</f>
        <v>0</v>
      </c>
      <c r="AG36" s="1540">
        <f ca="1">IFERROR(SUMIFS(INDEX(Electricity_LOAD_1,,MATCH($K36&amp;"Принято органом регулирования",ЭЭ!$AE$8:$BB$8,0)),ЭЭ!$F$25:$F$67,$F36,ЭЭ!$AC$25:$AC$67,"Удельный расход электроэнергии"),0)</f>
        <v>0</v>
      </c>
      <c r="AH36" s="1538">
        <f ca="1">IFERROR(SUMIFS(INDEX(Electricity_LOAD_1,,MATCH($K36&amp;"Принято органом регулирования",ЭЭ!$AE$8:$BB$8,0)),ЭЭ!$F$25:$F$67,$F36,ЭЭ!$AC$25:$AC$67,"Удельный расход электроэнергии"),0)</f>
        <v>0</v>
      </c>
      <c r="AI36" s="1538">
        <f ca="1">IFERROR(SUMIFS(INDEX(Electricity_LOAD_1,,MATCH($K36&amp;"Принято органом регулирования",ЭЭ!$AE$8:$BB$8,0)),ЭЭ!$F$25:$F$67,$F36,ЭЭ!$AC$25:$AC$67,"Удельный расход электроэнергии"),0)</f>
        <v>0</v>
      </c>
      <c r="AJ36" s="1538">
        <f ca="1">IFERROR(SUMIFS(INDEX(Electricity_LOAD_1,,MATCH($K36&amp;"Принято органом регулирования",ЭЭ!$AE$8:$BB$8,0)),ЭЭ!$F$25:$F$67,$F36,ЭЭ!$AC$25:$AC$67,"Удельный расход электроэнергии"),0)</f>
        <v>0</v>
      </c>
      <c r="AK36" s="1538">
        <f ca="1">IFERROR(SUMIFS(INDEX(Electricity_LOAD_1,,MATCH($K36&amp;"Принято органом регулирования",ЭЭ!$AE$8:$BB$8,0)),ЭЭ!$F$25:$F$67,$F36,ЭЭ!$AC$25:$AC$67,"Удельный расход электроэнергии"),0)</f>
        <v>0</v>
      </c>
      <c r="AL36" s="320"/>
      <c r="AM36" s="1177" t="s">
        <v>2072</v>
      </c>
      <c r="AO36" s="966" cm="1">
        <f t="array" ref="AO36">K36</f>
        <v>2031</v>
      </c>
    </row>
    <row r="37" spans="2:41" s="1177" customFormat="1" ht="14.65" hidden="1" customHeight="1">
      <c r="B37" s="362" t="b">
        <f t="shared" si="0"/>
        <v>0</v>
      </c>
      <c r="E37" s="620">
        <v>15</v>
      </c>
      <c r="F37" s="3" cm="1">
        <f t="array" aca="1" ref="F37" ca="1">OFFSET(E37,-1,1)</f>
        <v>0</v>
      </c>
      <c r="K37" s="77">
        <f>first_year+6</f>
        <v>2032</v>
      </c>
      <c r="T37" s="381" t="b" cm="1">
        <f t="array" ref="T37">T36</f>
        <v>0</v>
      </c>
      <c r="X37" s="1755"/>
      <c r="Z37" s="1735"/>
      <c r="AB37" s="747" t="str">
        <f t="shared" si="1"/>
        <v>2032 год</v>
      </c>
      <c r="AC37" s="1539"/>
      <c r="AD37" s="1538">
        <f ca="1">IFERROR(SUMIFS(INDEX(Сценарии!$AE$25:$BF$82,,MATCH($K37&amp;"Принято органом регулирования",Сценарии!$AE$8:$BF$8,0)),Сценарии!$F$25:$F$82,$F37,Сценарии!$AC$25:$AC$82,"Индекс эффективности операционных расходов"),0)</f>
        <v>0</v>
      </c>
      <c r="AE37" s="1539"/>
      <c r="AF37" s="1539">
        <f ca="1">IFERROR(SUMIFS(INDEX(Баланс!$AE$25:$BB$209,,MATCH($K37&amp;"Принято органом регулирования",Баланс!$AE$8:$BB$8,0)),Баланс!$F$25:$F$209,$F37,Баланс!$AC$24:$AC$209,"Уровень потерь воды"),0)</f>
        <v>0</v>
      </c>
      <c r="AG37" s="1540">
        <f ca="1">IFERROR(SUMIFS(INDEX(Electricity_LOAD_1,,MATCH($K37&amp;"Принято органом регулирования",ЭЭ!$AE$8:$BB$8,0)),ЭЭ!$F$25:$F$67,$F37,ЭЭ!$AC$25:$AC$67,"Удельный расход электроэнергии"),0)</f>
        <v>0</v>
      </c>
      <c r="AH37" s="1538">
        <f ca="1">IFERROR(SUMIFS(INDEX(Electricity_LOAD_1,,MATCH($K37&amp;"Принято органом регулирования",ЭЭ!$AE$8:$BB$8,0)),ЭЭ!$F$25:$F$67,$F37,ЭЭ!$AC$25:$AC$67,"Удельный расход электроэнергии"),0)</f>
        <v>0</v>
      </c>
      <c r="AI37" s="1538">
        <f ca="1">IFERROR(SUMIFS(INDEX(Electricity_LOAD_1,,MATCH($K37&amp;"Принято органом регулирования",ЭЭ!$AE$8:$BB$8,0)),ЭЭ!$F$25:$F$67,$F37,ЭЭ!$AC$25:$AC$67,"Удельный расход электроэнергии"),0)</f>
        <v>0</v>
      </c>
      <c r="AJ37" s="1538">
        <f ca="1">IFERROR(SUMIFS(INDEX(Electricity_LOAD_1,,MATCH($K37&amp;"Принято органом регулирования",ЭЭ!$AE$8:$BB$8,0)),ЭЭ!$F$25:$F$67,$F37,ЭЭ!$AC$25:$AC$67,"Удельный расход электроэнергии"),0)</f>
        <v>0</v>
      </c>
      <c r="AK37" s="1538">
        <f ca="1">IFERROR(SUMIFS(INDEX(Electricity_LOAD_1,,MATCH($K37&amp;"Принято органом регулирования",ЭЭ!$AE$8:$BB$8,0)),ЭЭ!$F$25:$F$67,$F37,ЭЭ!$AC$25:$AC$67,"Удельный расход электроэнергии"),0)</f>
        <v>0</v>
      </c>
      <c r="AL37" s="320"/>
      <c r="AM37" s="1177" t="s">
        <v>2072</v>
      </c>
      <c r="AO37" s="966" cm="1">
        <f t="array" ref="AO37">K37</f>
        <v>2032</v>
      </c>
    </row>
    <row r="38" spans="2:41" s="1177" customFormat="1" ht="14.65" hidden="1" customHeight="1">
      <c r="B38" s="362" t="b">
        <f t="shared" si="0"/>
        <v>0</v>
      </c>
      <c r="E38" s="620">
        <v>15</v>
      </c>
      <c r="F38" s="3" cm="1">
        <f t="array" aca="1" ref="F38" ca="1">OFFSET(E38,-1,1)</f>
        <v>0</v>
      </c>
      <c r="K38" s="77">
        <f>first_year+7</f>
        <v>2033</v>
      </c>
      <c r="T38" s="381" t="b" cm="1">
        <f t="array" ref="T38">T37</f>
        <v>0</v>
      </c>
      <c r="X38" s="1755"/>
      <c r="Z38" s="1735"/>
      <c r="AB38" s="747" t="str">
        <f t="shared" si="1"/>
        <v>2033 год</v>
      </c>
      <c r="AC38" s="1539"/>
      <c r="AD38" s="1538">
        <f ca="1">IFERROR(SUMIFS(INDEX(Сценарии!$AE$25:$BF$82,,MATCH($K38&amp;"Принято органом регулирования",Сценарии!$AE$8:$BF$8,0)),Сценарии!$F$25:$F$82,$F38,Сценарии!$AC$25:$AC$82,"Индекс эффективности операционных расходов"),0)</f>
        <v>0</v>
      </c>
      <c r="AE38" s="1539"/>
      <c r="AF38" s="1539">
        <f ca="1">IFERROR(SUMIFS(INDEX(Баланс!$AE$25:$BB$209,,MATCH($K38&amp;"Принято органом регулирования",Баланс!$AE$8:$BB$8,0)),Баланс!$F$25:$F$209,$F38,Баланс!$AC$24:$AC$209,"Уровень потерь воды"),0)</f>
        <v>0</v>
      </c>
      <c r="AG38" s="1540">
        <f ca="1">IFERROR(SUMIFS(INDEX(Electricity_LOAD_1,,MATCH($K38&amp;"Принято органом регулирования",ЭЭ!$AE$8:$BB$8,0)),ЭЭ!$F$25:$F$67,$F38,ЭЭ!$AC$25:$AC$67,"Удельный расход электроэнергии"),0)</f>
        <v>0</v>
      </c>
      <c r="AH38" s="1538">
        <f ca="1">IFERROR(SUMIFS(INDEX(Electricity_LOAD_1,,MATCH($K38&amp;"Принято органом регулирования",ЭЭ!$AE$8:$BB$8,0)),ЭЭ!$F$25:$F$67,$F38,ЭЭ!$AC$25:$AC$67,"Удельный расход электроэнергии"),0)</f>
        <v>0</v>
      </c>
      <c r="AI38" s="1538">
        <f ca="1">IFERROR(SUMIFS(INDEX(Electricity_LOAD_1,,MATCH($K38&amp;"Принято органом регулирования",ЭЭ!$AE$8:$BB$8,0)),ЭЭ!$F$25:$F$67,$F38,ЭЭ!$AC$25:$AC$67,"Удельный расход электроэнергии"),0)</f>
        <v>0</v>
      </c>
      <c r="AJ38" s="1538">
        <f ca="1">IFERROR(SUMIFS(INDEX(Electricity_LOAD_1,,MATCH($K38&amp;"Принято органом регулирования",ЭЭ!$AE$8:$BB$8,0)),ЭЭ!$F$25:$F$67,$F38,ЭЭ!$AC$25:$AC$67,"Удельный расход электроэнергии"),0)</f>
        <v>0</v>
      </c>
      <c r="AK38" s="1538">
        <f ca="1">IFERROR(SUMIFS(INDEX(Electricity_LOAD_1,,MATCH($K38&amp;"Принято органом регулирования",ЭЭ!$AE$8:$BB$8,0)),ЭЭ!$F$25:$F$67,$F38,ЭЭ!$AC$25:$AC$67,"Удельный расход электроэнергии"),0)</f>
        <v>0</v>
      </c>
      <c r="AL38" s="320"/>
      <c r="AM38" s="1177" t="s">
        <v>2072</v>
      </c>
      <c r="AO38" s="966" cm="1">
        <f t="array" ref="AO38">K38</f>
        <v>2033</v>
      </c>
    </row>
    <row r="39" spans="2:41" s="1177" customFormat="1" ht="14.65" hidden="1" customHeight="1">
      <c r="B39" s="362" t="b">
        <f t="shared" si="0"/>
        <v>0</v>
      </c>
      <c r="E39" s="620">
        <v>15</v>
      </c>
      <c r="F39" s="3" cm="1">
        <f t="array" aca="1" ref="F39" ca="1">OFFSET(E39,-1,1)</f>
        <v>0</v>
      </c>
      <c r="K39" s="77">
        <f>first_year+8</f>
        <v>2034</v>
      </c>
      <c r="T39" s="381" t="b" cm="1">
        <f t="array" ref="T39">T38</f>
        <v>0</v>
      </c>
      <c r="X39" s="1755"/>
      <c r="Z39" s="1735"/>
      <c r="AB39" s="747" t="str">
        <f t="shared" si="1"/>
        <v>2034 год</v>
      </c>
      <c r="AC39" s="1539"/>
      <c r="AD39" s="1538">
        <f ca="1">IFERROR(SUMIFS(INDEX(Сценарии!$AE$25:$BF$82,,MATCH($K39&amp;"Принято органом регулирования",Сценарии!$AE$8:$BF$8,0)),Сценарии!$F$25:$F$82,$F39,Сценарии!$AC$25:$AC$82,"Индекс эффективности операционных расходов"),0)</f>
        <v>0</v>
      </c>
      <c r="AE39" s="1539"/>
      <c r="AF39" s="1539">
        <f ca="1">IFERROR(SUMIFS(INDEX(Баланс!$AE$25:$BB$209,,MATCH($K39&amp;"Принято органом регулирования",Баланс!$AE$8:$BB$8,0)),Баланс!$F$25:$F$209,$F39,Баланс!$AC$24:$AC$209,"Уровень потерь воды"),0)</f>
        <v>0</v>
      </c>
      <c r="AG39" s="1540">
        <f ca="1">IFERROR(SUMIFS(INDEX(Electricity_LOAD_1,,MATCH($K39&amp;"Принято органом регулирования",ЭЭ!$AE$8:$BB$8,0)),ЭЭ!$F$25:$F$67,$F39,ЭЭ!$AC$25:$AC$67,"Удельный расход электроэнергии"),0)</f>
        <v>0</v>
      </c>
      <c r="AH39" s="1538">
        <f ca="1">IFERROR(SUMIFS(INDEX(Electricity_LOAD_1,,MATCH($K39&amp;"Принято органом регулирования",ЭЭ!$AE$8:$BB$8,0)),ЭЭ!$F$25:$F$67,$F39,ЭЭ!$AC$25:$AC$67,"Удельный расход электроэнергии"),0)</f>
        <v>0</v>
      </c>
      <c r="AI39" s="1538">
        <f ca="1">IFERROR(SUMIFS(INDEX(Electricity_LOAD_1,,MATCH($K39&amp;"Принято органом регулирования",ЭЭ!$AE$8:$BB$8,0)),ЭЭ!$F$25:$F$67,$F39,ЭЭ!$AC$25:$AC$67,"Удельный расход электроэнергии"),0)</f>
        <v>0</v>
      </c>
      <c r="AJ39" s="1538">
        <f ca="1">IFERROR(SUMIFS(INDEX(Electricity_LOAD_1,,MATCH($K39&amp;"Принято органом регулирования",ЭЭ!$AE$8:$BB$8,0)),ЭЭ!$F$25:$F$67,$F39,ЭЭ!$AC$25:$AC$67,"Удельный расход электроэнергии"),0)</f>
        <v>0</v>
      </c>
      <c r="AK39" s="1538">
        <f ca="1">IFERROR(SUMIFS(INDEX(Electricity_LOAD_1,,MATCH($K39&amp;"Принято органом регулирования",ЭЭ!$AE$8:$BB$8,0)),ЭЭ!$F$25:$F$67,$F39,ЭЭ!$AC$25:$AC$67,"Удельный расход электроэнергии"),0)</f>
        <v>0</v>
      </c>
      <c r="AL39" s="320"/>
      <c r="AM39" s="1177" t="s">
        <v>2072</v>
      </c>
      <c r="AO39" s="966" cm="1">
        <f t="array" ref="AO39">K39</f>
        <v>2034</v>
      </c>
    </row>
    <row r="40" spans="2:41" s="1177" customFormat="1" ht="14.65" hidden="1" customHeight="1">
      <c r="B40" s="362" t="b">
        <f t="shared" si="0"/>
        <v>0</v>
      </c>
      <c r="E40" s="620">
        <v>15</v>
      </c>
      <c r="F40" s="3" cm="1">
        <f t="array" aca="1" ref="F40" ca="1">OFFSET(E40,-1,1)</f>
        <v>0</v>
      </c>
      <c r="K40" s="77">
        <f>first_year+9</f>
        <v>2035</v>
      </c>
      <c r="T40" s="381" t="b" cm="1">
        <f t="array" ref="T40">T39</f>
        <v>0</v>
      </c>
      <c r="X40" s="1755"/>
      <c r="Z40" s="1735"/>
      <c r="AB40" s="747" t="str">
        <f t="shared" si="1"/>
        <v>2035 год</v>
      </c>
      <c r="AC40" s="1539"/>
      <c r="AD40" s="1538">
        <f ca="1">IFERROR(SUMIFS(INDEX(Сценарии!$AE$25:$BF$82,,MATCH($K40&amp;"Принято органом регулирования",Сценарии!$AE$8:$BF$8,0)),Сценарии!$F$25:$F$82,$F40,Сценарии!$AC$25:$AC$82,"Индекс эффективности операционных расходов"),0)</f>
        <v>0</v>
      </c>
      <c r="AE40" s="1539"/>
      <c r="AF40" s="1539">
        <f ca="1">IFERROR(SUMIFS(INDEX(Баланс!$AE$25:$BB$209,,MATCH($K40&amp;"Принято органом регулирования",Баланс!$AE$8:$BB$8,0)),Баланс!$F$25:$F$209,$F40,Баланс!$AC$24:$AC$209,"Уровень потерь воды"),0)</f>
        <v>0</v>
      </c>
      <c r="AG40" s="1540">
        <f ca="1">IFERROR(SUMIFS(INDEX(Electricity_LOAD_1,,MATCH($K40&amp;"Принято органом регулирования",ЭЭ!$AE$8:$BB$8,0)),ЭЭ!$F$25:$F$67,$F40,ЭЭ!$AC$25:$AC$67,"Удельный расход электроэнергии"),0)</f>
        <v>0</v>
      </c>
      <c r="AH40" s="1538">
        <f ca="1">IFERROR(SUMIFS(INDEX(Electricity_LOAD_1,,MATCH($K40&amp;"Принято органом регулирования",ЭЭ!$AE$8:$BB$8,0)),ЭЭ!$F$25:$F$67,$F40,ЭЭ!$AC$25:$AC$67,"Удельный расход электроэнергии"),0)</f>
        <v>0</v>
      </c>
      <c r="AI40" s="1538">
        <f ca="1">IFERROR(SUMIFS(INDEX(Electricity_LOAD_1,,MATCH($K40&amp;"Принято органом регулирования",ЭЭ!$AE$8:$BB$8,0)),ЭЭ!$F$25:$F$67,$F40,ЭЭ!$AC$25:$AC$67,"Удельный расход электроэнергии"),0)</f>
        <v>0</v>
      </c>
      <c r="AJ40" s="1538">
        <f ca="1">IFERROR(SUMIFS(INDEX(Electricity_LOAD_1,,MATCH($K40&amp;"Принято органом регулирования",ЭЭ!$AE$8:$BB$8,0)),ЭЭ!$F$25:$F$67,$F40,ЭЭ!$AC$25:$AC$67,"Удельный расход электроэнергии"),0)</f>
        <v>0</v>
      </c>
      <c r="AK40" s="1538">
        <f ca="1">IFERROR(SUMIFS(INDEX(Electricity_LOAD_1,,MATCH($K40&amp;"Принято органом регулирования",ЭЭ!$AE$8:$BB$8,0)),ЭЭ!$F$25:$F$67,$F40,ЭЭ!$AC$25:$AC$67,"Удельный расход электроэнергии"),0)</f>
        <v>0</v>
      </c>
      <c r="AL40" s="320"/>
      <c r="AM40" s="1177" t="s">
        <v>2072</v>
      </c>
      <c r="AO40" s="966" cm="1">
        <f t="array" ref="AO40">K40</f>
        <v>2035</v>
      </c>
    </row>
    <row r="41" spans="2:41" s="1177" customFormat="1" ht="14.65" hidden="1" customHeight="1">
      <c r="B41" s="362" t="b">
        <f t="shared" si="0"/>
        <v>0</v>
      </c>
      <c r="E41" s="620">
        <v>15</v>
      </c>
      <c r="F41" s="3" cm="1">
        <f t="array" aca="1" ref="F41" ca="1">OFFSET(E41,-1,1)</f>
        <v>0</v>
      </c>
      <c r="K41" s="77">
        <f>first_year+10</f>
        <v>2036</v>
      </c>
      <c r="T41" s="381" t="b" cm="1">
        <f t="array" ref="T41">T40</f>
        <v>0</v>
      </c>
      <c r="X41" s="1755"/>
      <c r="Z41" s="1735"/>
      <c r="AB41" s="747" t="str">
        <f t="shared" si="1"/>
        <v>2036 год</v>
      </c>
      <c r="AC41" s="1539"/>
      <c r="AD41" s="1538"/>
      <c r="AE41" s="1539"/>
      <c r="AF41" s="1539"/>
      <c r="AG41" s="1538"/>
      <c r="AH41" s="1538"/>
      <c r="AI41" s="1538"/>
      <c r="AJ41" s="1538"/>
      <c r="AK41" s="1541"/>
      <c r="AL41" s="320"/>
      <c r="AO41" s="966" cm="1">
        <f t="array" ref="AO41">K41</f>
        <v>2036</v>
      </c>
    </row>
    <row r="42" spans="2:41" s="1177" customFormat="1" ht="14.65" hidden="1" customHeight="1">
      <c r="B42" s="362" t="b">
        <f t="shared" si="0"/>
        <v>0</v>
      </c>
      <c r="E42" s="620">
        <v>15</v>
      </c>
      <c r="F42" s="3" cm="1">
        <f t="array" aca="1" ref="F42" ca="1">OFFSET(E42,-1,1)</f>
        <v>0</v>
      </c>
      <c r="K42" s="77">
        <f>first_year+11</f>
        <v>2037</v>
      </c>
      <c r="T42" s="381" t="b" cm="1">
        <f t="array" ref="T42">T41</f>
        <v>0</v>
      </c>
      <c r="X42" s="1755"/>
      <c r="Z42" s="1735"/>
      <c r="AB42" s="172" t="str">
        <f t="shared" si="1"/>
        <v>2037 год</v>
      </c>
      <c r="AC42" s="1539"/>
      <c r="AD42" s="1542"/>
      <c r="AE42" s="1543"/>
      <c r="AF42" s="1543"/>
      <c r="AG42" s="1542"/>
      <c r="AH42" s="1542"/>
      <c r="AI42" s="1542"/>
      <c r="AJ42" s="1542"/>
      <c r="AK42" s="1544"/>
      <c r="AL42" s="320"/>
      <c r="AO42" s="966" cm="1">
        <f t="array" ref="AO42">K42</f>
        <v>2037</v>
      </c>
    </row>
    <row r="43" spans="2:41" s="1177" customFormat="1" ht="14.65" hidden="1" customHeight="1">
      <c r="B43" s="362" t="b">
        <f t="shared" si="0"/>
        <v>0</v>
      </c>
      <c r="E43" s="620">
        <v>15</v>
      </c>
      <c r="F43" s="3" cm="1">
        <f t="array" aca="1" ref="F43" ca="1">OFFSET(E43,-1,1)</f>
        <v>0</v>
      </c>
      <c r="K43" s="77">
        <f>first_year+12</f>
        <v>2038</v>
      </c>
      <c r="T43" s="381" t="b" cm="1">
        <f t="array" ref="T43">T42</f>
        <v>0</v>
      </c>
      <c r="X43" s="1755"/>
      <c r="Z43" s="1735"/>
      <c r="AB43" s="172" t="str">
        <f t="shared" si="1"/>
        <v>2038 год</v>
      </c>
      <c r="AC43" s="1539"/>
      <c r="AD43" s="1542"/>
      <c r="AE43" s="1543"/>
      <c r="AF43" s="1543"/>
      <c r="AG43" s="1542"/>
      <c r="AH43" s="1542"/>
      <c r="AI43" s="1542"/>
      <c r="AJ43" s="1542"/>
      <c r="AK43" s="1544"/>
      <c r="AL43" s="320"/>
      <c r="AO43" s="966" cm="1">
        <f t="array" ref="AO43">K43</f>
        <v>2038</v>
      </c>
    </row>
    <row r="44" spans="2:41" s="1177" customFormat="1" ht="14.65" hidden="1" customHeight="1">
      <c r="B44" s="362" t="b">
        <f t="shared" si="0"/>
        <v>0</v>
      </c>
      <c r="E44" s="620">
        <v>15</v>
      </c>
      <c r="F44" s="3" cm="1">
        <f t="array" aca="1" ref="F44" ca="1">OFFSET(E44,-1,1)</f>
        <v>0</v>
      </c>
      <c r="K44" s="77">
        <f>first_year+13</f>
        <v>2039</v>
      </c>
      <c r="T44" s="381" t="b" cm="1">
        <f t="array" ref="T44">T43</f>
        <v>0</v>
      </c>
      <c r="X44" s="1755"/>
      <c r="Z44" s="1735"/>
      <c r="AB44" s="172" t="str">
        <f t="shared" si="1"/>
        <v>2039 год</v>
      </c>
      <c r="AC44" s="1539"/>
      <c r="AD44" s="1542"/>
      <c r="AE44" s="1543"/>
      <c r="AF44" s="1543"/>
      <c r="AG44" s="1542"/>
      <c r="AH44" s="1542"/>
      <c r="AI44" s="1542"/>
      <c r="AJ44" s="1542"/>
      <c r="AK44" s="1544"/>
      <c r="AL44" s="320"/>
      <c r="AO44" s="966" cm="1">
        <f t="array" ref="AO44">K44</f>
        <v>2039</v>
      </c>
    </row>
    <row r="45" spans="2:41" s="1177" customFormat="1" ht="14.65" hidden="1" customHeight="1">
      <c r="B45" s="362" t="b">
        <f t="shared" si="0"/>
        <v>0</v>
      </c>
      <c r="E45" s="620">
        <v>15</v>
      </c>
      <c r="F45" s="3" cm="1">
        <f t="array" aca="1" ref="F45" ca="1">OFFSET(E45,-1,1)</f>
        <v>0</v>
      </c>
      <c r="K45" s="77">
        <f>first_year+14</f>
        <v>2040</v>
      </c>
      <c r="T45" s="381" t="b" cm="1">
        <f t="array" ref="T45">T44</f>
        <v>0</v>
      </c>
      <c r="X45" s="1755"/>
      <c r="Z45" s="1735"/>
      <c r="AB45" s="172" t="str">
        <f t="shared" si="1"/>
        <v>2040 год</v>
      </c>
      <c r="AC45" s="1539"/>
      <c r="AD45" s="1542"/>
      <c r="AE45" s="1543"/>
      <c r="AF45" s="1543"/>
      <c r="AG45" s="1542"/>
      <c r="AH45" s="1542"/>
      <c r="AI45" s="1542"/>
      <c r="AJ45" s="1542"/>
      <c r="AK45" s="1544"/>
      <c r="AL45" s="320"/>
      <c r="AO45" s="966" cm="1">
        <f t="array" ref="AO45">K45</f>
        <v>2040</v>
      </c>
    </row>
    <row r="46" spans="2:41" s="1177" customFormat="1" ht="14.65" hidden="1" customHeight="1">
      <c r="B46" s="362" t="b">
        <f t="shared" si="0"/>
        <v>0</v>
      </c>
      <c r="E46" s="620">
        <v>15</v>
      </c>
      <c r="F46" s="3" cm="1">
        <f t="array" aca="1" ref="F46" ca="1">OFFSET(E46,-1,1)</f>
        <v>0</v>
      </c>
      <c r="K46" s="77">
        <f>first_year+15</f>
        <v>2041</v>
      </c>
      <c r="T46" s="381" t="b" cm="1">
        <f t="array" ref="T46">T45</f>
        <v>0</v>
      </c>
      <c r="X46" s="1755"/>
      <c r="Z46" s="1735"/>
      <c r="AB46" s="172" t="str">
        <f t="shared" si="1"/>
        <v>2041 год</v>
      </c>
      <c r="AC46" s="1539"/>
      <c r="AD46" s="1542"/>
      <c r="AE46" s="1543"/>
      <c r="AF46" s="1543"/>
      <c r="AG46" s="1542"/>
      <c r="AH46" s="1542"/>
      <c r="AI46" s="1542"/>
      <c r="AJ46" s="1542"/>
      <c r="AK46" s="1544"/>
      <c r="AL46" s="320"/>
      <c r="AO46" s="966" cm="1">
        <f t="array" ref="AO46">K46</f>
        <v>2041</v>
      </c>
    </row>
    <row r="47" spans="2:41" s="1177" customFormat="1" ht="14.65" hidden="1" customHeight="1">
      <c r="B47" s="362" t="b">
        <f t="shared" si="0"/>
        <v>0</v>
      </c>
      <c r="E47" s="620">
        <v>15</v>
      </c>
      <c r="F47" s="3" cm="1">
        <f t="array" aca="1" ref="F47" ca="1">OFFSET(E47,-1,1)</f>
        <v>0</v>
      </c>
      <c r="K47" s="77">
        <f>first_year+16</f>
        <v>2042</v>
      </c>
      <c r="T47" s="381" t="b" cm="1">
        <f t="array" ref="T47">T46</f>
        <v>0</v>
      </c>
      <c r="X47" s="1755"/>
      <c r="Z47" s="1735"/>
      <c r="AB47" s="172" t="str">
        <f t="shared" si="1"/>
        <v>2042 год</v>
      </c>
      <c r="AC47" s="1539"/>
      <c r="AD47" s="1542"/>
      <c r="AE47" s="1543"/>
      <c r="AF47" s="1543"/>
      <c r="AG47" s="1542"/>
      <c r="AH47" s="1542"/>
      <c r="AI47" s="1542"/>
      <c r="AJ47" s="1542"/>
      <c r="AK47" s="1544"/>
      <c r="AL47" s="320"/>
      <c r="AO47" s="966" cm="1">
        <f t="array" ref="AO47">K47</f>
        <v>2042</v>
      </c>
    </row>
    <row r="48" spans="2:41" s="1177" customFormat="1" ht="14.65" hidden="1" customHeight="1">
      <c r="B48" s="362" t="b">
        <f t="shared" si="0"/>
        <v>0</v>
      </c>
      <c r="E48" s="620">
        <v>15</v>
      </c>
      <c r="F48" s="3" cm="1">
        <f t="array" aca="1" ref="F48" ca="1">OFFSET(E48,-1,1)</f>
        <v>0</v>
      </c>
      <c r="K48" s="77">
        <f>first_year+17</f>
        <v>2043</v>
      </c>
      <c r="T48" s="381" t="b" cm="1">
        <f t="array" ref="T48">T47</f>
        <v>0</v>
      </c>
      <c r="X48" s="1755"/>
      <c r="Z48" s="1735"/>
      <c r="AB48" s="172" t="str">
        <f t="shared" si="1"/>
        <v>2043 год</v>
      </c>
      <c r="AC48" s="1539"/>
      <c r="AD48" s="1542"/>
      <c r="AE48" s="1543"/>
      <c r="AF48" s="1543"/>
      <c r="AG48" s="1542"/>
      <c r="AH48" s="1542"/>
      <c r="AI48" s="1542"/>
      <c r="AJ48" s="1542"/>
      <c r="AK48" s="1544"/>
      <c r="AL48" s="320"/>
      <c r="AO48" s="966" cm="1">
        <f t="array" ref="AO48">K48</f>
        <v>2043</v>
      </c>
    </row>
    <row r="49" spans="2:41" s="1177" customFormat="1" ht="14.65" hidden="1" customHeight="1">
      <c r="B49" s="362" t="b">
        <f t="shared" si="0"/>
        <v>0</v>
      </c>
      <c r="E49" s="620">
        <v>15</v>
      </c>
      <c r="F49" s="3" cm="1">
        <f t="array" aca="1" ref="F49" ca="1">OFFSET(E49,-1,1)</f>
        <v>0</v>
      </c>
      <c r="K49" s="77">
        <f>first_year+18</f>
        <v>2044</v>
      </c>
      <c r="T49" s="381" t="b" cm="1">
        <f t="array" ref="T49">T48</f>
        <v>0</v>
      </c>
      <c r="X49" s="1755"/>
      <c r="Z49" s="1735"/>
      <c r="AB49" s="172" t="str">
        <f t="shared" si="1"/>
        <v>2044 год</v>
      </c>
      <c r="AC49" s="1539"/>
      <c r="AD49" s="1542"/>
      <c r="AE49" s="1543"/>
      <c r="AF49" s="1543"/>
      <c r="AG49" s="1542"/>
      <c r="AH49" s="1542"/>
      <c r="AI49" s="1542"/>
      <c r="AJ49" s="1542"/>
      <c r="AK49" s="1544"/>
      <c r="AL49" s="320"/>
      <c r="AO49" s="966" cm="1">
        <f t="array" ref="AO49">K49</f>
        <v>2044</v>
      </c>
    </row>
    <row r="50" spans="2:41" s="1177" customFormat="1" ht="14.65" hidden="1" customHeight="1">
      <c r="B50" s="362" t="b">
        <f t="shared" si="0"/>
        <v>0</v>
      </c>
      <c r="E50" s="620">
        <v>15</v>
      </c>
      <c r="F50" s="3" cm="1">
        <f t="array" aca="1" ref="F50" ca="1">OFFSET(E50,-1,1)</f>
        <v>0</v>
      </c>
      <c r="K50" s="77">
        <f>first_year+19</f>
        <v>2045</v>
      </c>
      <c r="T50" s="381" t="b" cm="1">
        <f t="array" ref="T50">T49</f>
        <v>0</v>
      </c>
      <c r="X50" s="1755"/>
      <c r="Z50" s="1735"/>
      <c r="AB50" s="172" t="str">
        <f t="shared" si="1"/>
        <v>2045 год</v>
      </c>
      <c r="AC50" s="1539"/>
      <c r="AD50" s="1542"/>
      <c r="AE50" s="1543"/>
      <c r="AF50" s="1543"/>
      <c r="AG50" s="1542"/>
      <c r="AH50" s="1542"/>
      <c r="AI50" s="1542"/>
      <c r="AJ50" s="1542"/>
      <c r="AK50" s="1544"/>
      <c r="AL50" s="320"/>
      <c r="AO50" s="966" cm="1">
        <f t="array" ref="AO50">K50</f>
        <v>2045</v>
      </c>
    </row>
    <row r="51" spans="2:41" s="1177" customFormat="1" ht="14.65" hidden="1" customHeight="1">
      <c r="B51" s="362" t="b">
        <f t="shared" si="0"/>
        <v>0</v>
      </c>
      <c r="E51" s="620">
        <v>15</v>
      </c>
      <c r="F51" s="3" cm="1">
        <f t="array" aca="1" ref="F51" ca="1">OFFSET(E51,-1,1)</f>
        <v>0</v>
      </c>
      <c r="K51" s="77">
        <f>first_year+20</f>
        <v>2046</v>
      </c>
      <c r="T51" s="381" t="b" cm="1">
        <f t="array" ref="T51">T50</f>
        <v>0</v>
      </c>
      <c r="X51" s="1755"/>
      <c r="Z51" s="1735"/>
      <c r="AB51" s="172" t="str">
        <f t="shared" si="1"/>
        <v>2046 год</v>
      </c>
      <c r="AC51" s="1539"/>
      <c r="AD51" s="1542"/>
      <c r="AE51" s="1543"/>
      <c r="AF51" s="1543"/>
      <c r="AG51" s="1542"/>
      <c r="AH51" s="1542"/>
      <c r="AI51" s="1542"/>
      <c r="AJ51" s="1542"/>
      <c r="AK51" s="1544"/>
      <c r="AL51" s="320"/>
      <c r="AO51" s="966" cm="1">
        <f t="array" ref="AO51">K51</f>
        <v>2046</v>
      </c>
    </row>
    <row r="52" spans="2:41" s="1177" customFormat="1" ht="14.65" hidden="1" customHeight="1">
      <c r="B52" s="362" t="b">
        <f t="shared" si="0"/>
        <v>0</v>
      </c>
      <c r="E52" s="620">
        <v>15</v>
      </c>
      <c r="F52" s="3" cm="1">
        <f t="array" aca="1" ref="F52" ca="1">OFFSET(E52,-1,1)</f>
        <v>0</v>
      </c>
      <c r="K52" s="77">
        <f>first_year+21</f>
        <v>2047</v>
      </c>
      <c r="T52" s="381" t="b" cm="1">
        <f t="array" ref="T52">T51</f>
        <v>0</v>
      </c>
      <c r="X52" s="1755"/>
      <c r="Z52" s="1735"/>
      <c r="AB52" s="172" t="str">
        <f t="shared" si="1"/>
        <v>2047 год</v>
      </c>
      <c r="AC52" s="1539"/>
      <c r="AD52" s="1542"/>
      <c r="AE52" s="1543"/>
      <c r="AF52" s="1543"/>
      <c r="AG52" s="1542"/>
      <c r="AH52" s="1542"/>
      <c r="AI52" s="1542"/>
      <c r="AJ52" s="1542"/>
      <c r="AK52" s="1544"/>
      <c r="AL52" s="320"/>
      <c r="AO52" s="966" cm="1">
        <f t="array" ref="AO52">K52</f>
        <v>2047</v>
      </c>
    </row>
    <row r="53" spans="2:41" s="1177" customFormat="1" ht="14.65" hidden="1" customHeight="1">
      <c r="B53" s="362" t="b">
        <f t="shared" si="0"/>
        <v>0</v>
      </c>
      <c r="E53" s="620">
        <v>15</v>
      </c>
      <c r="F53" s="3" cm="1">
        <f t="array" aca="1" ref="F53" ca="1">OFFSET(E53,-1,1)</f>
        <v>0</v>
      </c>
      <c r="K53" s="77">
        <f>first_year+22</f>
        <v>2048</v>
      </c>
      <c r="T53" s="381" t="b" cm="1">
        <f t="array" ref="T53">T52</f>
        <v>0</v>
      </c>
      <c r="X53" s="1755"/>
      <c r="Z53" s="1735"/>
      <c r="AB53" s="172" t="str">
        <f t="shared" si="1"/>
        <v>2048 год</v>
      </c>
      <c r="AC53" s="1539"/>
      <c r="AD53" s="1542"/>
      <c r="AE53" s="1543"/>
      <c r="AF53" s="1543"/>
      <c r="AG53" s="1542"/>
      <c r="AH53" s="1542"/>
      <c r="AI53" s="1542"/>
      <c r="AJ53" s="1542"/>
      <c r="AK53" s="1544"/>
      <c r="AL53" s="320"/>
      <c r="AO53" s="966" cm="1">
        <f t="array" ref="AO53">K53</f>
        <v>2048</v>
      </c>
    </row>
    <row r="54" spans="2:41" s="1177" customFormat="1" ht="14.65" hidden="1" customHeight="1">
      <c r="B54" s="362" t="b">
        <f t="shared" si="0"/>
        <v>0</v>
      </c>
      <c r="E54" s="620">
        <v>15</v>
      </c>
      <c r="F54" s="3" cm="1">
        <f t="array" aca="1" ref="F54" ca="1">OFFSET(E54,-1,1)</f>
        <v>0</v>
      </c>
      <c r="K54" s="77">
        <f>first_year+23</f>
        <v>2049</v>
      </c>
      <c r="T54" s="381" t="b" cm="1">
        <f t="array" ref="T54">T53</f>
        <v>0</v>
      </c>
      <c r="X54" s="1755"/>
      <c r="Z54" s="1735"/>
      <c r="AB54" s="172" t="str">
        <f t="shared" si="1"/>
        <v>2049 год</v>
      </c>
      <c r="AC54" s="1539"/>
      <c r="AD54" s="1542"/>
      <c r="AE54" s="1543"/>
      <c r="AF54" s="1543"/>
      <c r="AG54" s="1542"/>
      <c r="AH54" s="1542"/>
      <c r="AI54" s="1542"/>
      <c r="AJ54" s="1542"/>
      <c r="AK54" s="1544"/>
      <c r="AL54" s="320"/>
      <c r="AO54" s="966" cm="1">
        <f t="array" ref="AO54">K54</f>
        <v>2049</v>
      </c>
    </row>
    <row r="55" spans="2:41" s="1177" customFormat="1" ht="14.65" hidden="1" customHeight="1">
      <c r="B55" s="362" t="b">
        <f t="shared" si="0"/>
        <v>0</v>
      </c>
      <c r="E55" s="620">
        <v>15</v>
      </c>
      <c r="F55" s="3" cm="1">
        <f t="array" aca="1" ref="F55" ca="1">OFFSET(E55,-1,1)</f>
        <v>0</v>
      </c>
      <c r="K55" s="77">
        <f>first_year+24</f>
        <v>2050</v>
      </c>
      <c r="T55" s="381" t="b" cm="1">
        <f t="array" ref="T55">T54</f>
        <v>0</v>
      </c>
      <c r="X55" s="1755"/>
      <c r="Z55" s="1735"/>
      <c r="AB55" s="172" t="str">
        <f t="shared" si="1"/>
        <v>2050 год</v>
      </c>
      <c r="AC55" s="1539"/>
      <c r="AD55" s="1542"/>
      <c r="AE55" s="1543"/>
      <c r="AF55" s="1543"/>
      <c r="AG55" s="1542"/>
      <c r="AH55" s="1542"/>
      <c r="AI55" s="1542"/>
      <c r="AJ55" s="1542"/>
      <c r="AK55" s="1544"/>
      <c r="AL55" s="320"/>
      <c r="AO55" s="966" cm="1">
        <f t="array" ref="AO55">K55</f>
        <v>2050</v>
      </c>
    </row>
    <row r="56" spans="2:41" s="1177" customFormat="1" ht="14.65" hidden="1" customHeight="1">
      <c r="B56" s="362" t="b">
        <f t="shared" si="0"/>
        <v>0</v>
      </c>
      <c r="E56" s="620">
        <v>15</v>
      </c>
      <c r="F56" s="3" cm="1">
        <f t="array" aca="1" ref="F56" ca="1">OFFSET(E56,-1,1)</f>
        <v>0</v>
      </c>
      <c r="K56" s="77">
        <f>first_year+25</f>
        <v>2051</v>
      </c>
      <c r="T56" s="381" t="b" cm="1">
        <f t="array" ref="T56">T55</f>
        <v>0</v>
      </c>
      <c r="X56" s="1755"/>
      <c r="Z56" s="1735"/>
      <c r="AB56" s="172" t="str">
        <f t="shared" si="1"/>
        <v>2051 год</v>
      </c>
      <c r="AC56" s="1539"/>
      <c r="AD56" s="1542"/>
      <c r="AE56" s="1543"/>
      <c r="AF56" s="1543"/>
      <c r="AG56" s="1542"/>
      <c r="AH56" s="1542"/>
      <c r="AI56" s="1542"/>
      <c r="AJ56" s="1542"/>
      <c r="AK56" s="1544"/>
      <c r="AL56" s="320"/>
      <c r="AO56" s="966" cm="1">
        <f t="array" ref="AO56">K56</f>
        <v>2051</v>
      </c>
    </row>
    <row r="57" spans="2:41" s="1177" customFormat="1" ht="14.65" hidden="1" customHeight="1">
      <c r="B57" s="362" t="b">
        <f t="shared" si="0"/>
        <v>0</v>
      </c>
      <c r="E57" s="620">
        <v>15</v>
      </c>
      <c r="F57" s="3" cm="1">
        <f t="array" aca="1" ref="F57" ca="1">OFFSET(E57,-1,1)</f>
        <v>0</v>
      </c>
      <c r="K57" s="77">
        <f>first_year+26</f>
        <v>2052</v>
      </c>
      <c r="T57" s="381" t="b" cm="1">
        <f t="array" ref="T57">T56</f>
        <v>0</v>
      </c>
      <c r="X57" s="1755"/>
      <c r="Z57" s="1735"/>
      <c r="AB57" s="172" t="str">
        <f t="shared" si="1"/>
        <v>2052 год</v>
      </c>
      <c r="AC57" s="1539"/>
      <c r="AD57" s="1542"/>
      <c r="AE57" s="1543"/>
      <c r="AF57" s="1543"/>
      <c r="AG57" s="1542"/>
      <c r="AH57" s="1542"/>
      <c r="AI57" s="1542"/>
      <c r="AJ57" s="1542"/>
      <c r="AK57" s="1544"/>
      <c r="AL57" s="320"/>
      <c r="AO57" s="966" cm="1">
        <f t="array" ref="AO57">K57</f>
        <v>2052</v>
      </c>
    </row>
    <row r="58" spans="2:41" s="1177" customFormat="1" ht="14.65" hidden="1" customHeight="1">
      <c r="B58" s="362" t="b">
        <f t="shared" si="0"/>
        <v>0</v>
      </c>
      <c r="E58" s="620">
        <v>15</v>
      </c>
      <c r="F58" s="3" cm="1">
        <f t="array" aca="1" ref="F58" ca="1">OFFSET(E58,-1,1)</f>
        <v>0</v>
      </c>
      <c r="K58" s="77">
        <f>first_year+27</f>
        <v>2053</v>
      </c>
      <c r="T58" s="381" t="b" cm="1">
        <f t="array" ref="T58">T57</f>
        <v>0</v>
      </c>
      <c r="X58" s="1755"/>
      <c r="Z58" s="1735"/>
      <c r="AB58" s="172" t="str">
        <f t="shared" si="1"/>
        <v>2053 год</v>
      </c>
      <c r="AC58" s="1539"/>
      <c r="AD58" s="1542"/>
      <c r="AE58" s="1543"/>
      <c r="AF58" s="1543"/>
      <c r="AG58" s="1542"/>
      <c r="AH58" s="1542"/>
      <c r="AI58" s="1542"/>
      <c r="AJ58" s="1542"/>
      <c r="AK58" s="1544"/>
      <c r="AL58" s="320"/>
      <c r="AO58" s="966" cm="1">
        <f t="array" ref="AO58">K58</f>
        <v>2053</v>
      </c>
    </row>
    <row r="59" spans="2:41" s="1177" customFormat="1" ht="14.65" hidden="1" customHeight="1">
      <c r="B59" s="362" t="b">
        <f t="shared" si="0"/>
        <v>0</v>
      </c>
      <c r="E59" s="620">
        <v>15</v>
      </c>
      <c r="F59" s="3" cm="1">
        <f t="array" aca="1" ref="F59" ca="1">OFFSET(E59,-1,1)</f>
        <v>0</v>
      </c>
      <c r="K59" s="77">
        <f>first_year+28</f>
        <v>2054</v>
      </c>
      <c r="T59" s="381" t="b" cm="1">
        <f t="array" ref="T59">T58</f>
        <v>0</v>
      </c>
      <c r="X59" s="1755"/>
      <c r="Z59" s="1735"/>
      <c r="AB59" s="172" t="str">
        <f t="shared" si="1"/>
        <v>2054 год</v>
      </c>
      <c r="AC59" s="1539"/>
      <c r="AD59" s="1542"/>
      <c r="AE59" s="1543"/>
      <c r="AF59" s="1543"/>
      <c r="AG59" s="1542"/>
      <c r="AH59" s="1542"/>
      <c r="AI59" s="1542"/>
      <c r="AJ59" s="1542"/>
      <c r="AK59" s="1544"/>
      <c r="AL59" s="320"/>
      <c r="AO59" s="966" cm="1">
        <f t="array" ref="AO59">K59</f>
        <v>2054</v>
      </c>
    </row>
    <row r="60" spans="2:41" s="1177" customFormat="1" ht="14.65" hidden="1" customHeight="1">
      <c r="B60" s="362" t="b">
        <f t="shared" si="0"/>
        <v>0</v>
      </c>
      <c r="E60" s="620">
        <v>15</v>
      </c>
      <c r="F60" s="3" cm="1">
        <f t="array" aca="1" ref="F60" ca="1">OFFSET(E60,-1,1)</f>
        <v>0</v>
      </c>
      <c r="K60" s="77">
        <f>first_year+29</f>
        <v>2055</v>
      </c>
      <c r="T60" s="381" t="b" cm="1">
        <f t="array" ref="T60">T59</f>
        <v>0</v>
      </c>
      <c r="X60" s="1755"/>
      <c r="Z60" s="1735"/>
      <c r="AB60" s="172" t="str">
        <f t="shared" si="1"/>
        <v>2055 год</v>
      </c>
      <c r="AC60" s="1539"/>
      <c r="AD60" s="1542"/>
      <c r="AE60" s="1543"/>
      <c r="AF60" s="1543"/>
      <c r="AG60" s="1542"/>
      <c r="AH60" s="1542"/>
      <c r="AI60" s="1542"/>
      <c r="AJ60" s="1542"/>
      <c r="AK60" s="1544"/>
      <c r="AL60" s="320"/>
      <c r="AO60" s="966" cm="1">
        <f t="array" ref="AO60">K60</f>
        <v>2055</v>
      </c>
    </row>
    <row r="61" spans="2:41" s="1177" customFormat="1" ht="14.65" hidden="1" customHeight="1">
      <c r="B61" s="362" t="b">
        <f t="shared" si="0"/>
        <v>0</v>
      </c>
      <c r="E61" s="620">
        <v>15</v>
      </c>
      <c r="F61" s="3" cm="1">
        <f t="array" aca="1" ref="F61" ca="1">OFFSET(E61,-1,1)</f>
        <v>0</v>
      </c>
      <c r="K61" s="77">
        <f>first_year+30</f>
        <v>2056</v>
      </c>
      <c r="T61" s="381" t="b" cm="1">
        <f t="array" ref="T61">T60</f>
        <v>0</v>
      </c>
      <c r="X61" s="1755"/>
      <c r="Z61" s="1735"/>
      <c r="AB61" s="172" t="str">
        <f t="shared" si="1"/>
        <v>2056 год</v>
      </c>
      <c r="AC61" s="1539"/>
      <c r="AD61" s="1542"/>
      <c r="AE61" s="1543"/>
      <c r="AF61" s="1543"/>
      <c r="AG61" s="1542"/>
      <c r="AH61" s="1542"/>
      <c r="AI61" s="1542"/>
      <c r="AJ61" s="1542"/>
      <c r="AK61" s="1544"/>
      <c r="AL61" s="320"/>
      <c r="AO61" s="966" cm="1">
        <f t="array" ref="AO61">K61</f>
        <v>2056</v>
      </c>
    </row>
    <row r="62" spans="2:41" s="1177" customFormat="1" ht="14.65" hidden="1" customHeight="1">
      <c r="B62" s="362" t="b">
        <f t="shared" si="0"/>
        <v>0</v>
      </c>
      <c r="E62" s="620">
        <v>15</v>
      </c>
      <c r="F62" s="3" cm="1">
        <f t="array" aca="1" ref="F62" ca="1">OFFSET(E62,-1,1)</f>
        <v>0</v>
      </c>
      <c r="K62" s="77">
        <f>first_year+31</f>
        <v>2057</v>
      </c>
      <c r="T62" s="381" t="b" cm="1">
        <f t="array" ref="T62">T61</f>
        <v>0</v>
      </c>
      <c r="X62" s="1755"/>
      <c r="Z62" s="1735"/>
      <c r="AB62" s="172" t="str">
        <f t="shared" si="1"/>
        <v>2057 год</v>
      </c>
      <c r="AC62" s="1539"/>
      <c r="AD62" s="1542"/>
      <c r="AE62" s="1543"/>
      <c r="AF62" s="1543"/>
      <c r="AG62" s="1542"/>
      <c r="AH62" s="1542"/>
      <c r="AI62" s="1542"/>
      <c r="AJ62" s="1542"/>
      <c r="AK62" s="1544"/>
      <c r="AL62" s="320"/>
      <c r="AO62" s="966" cm="1">
        <f t="array" ref="AO62">K62</f>
        <v>2057</v>
      </c>
    </row>
    <row r="63" spans="2:41" s="1177" customFormat="1" ht="14.65" hidden="1" customHeight="1">
      <c r="B63" s="362" t="b">
        <f t="shared" ref="B63:B80" si="2">K63&lt;first_year+PERIOD_LENGTH</f>
        <v>0</v>
      </c>
      <c r="E63" s="620">
        <v>15</v>
      </c>
      <c r="F63" s="3" cm="1">
        <f t="array" aca="1" ref="F63" ca="1">OFFSET(E63,-1,1)</f>
        <v>0</v>
      </c>
      <c r="K63" s="77">
        <f>first_year+32</f>
        <v>2058</v>
      </c>
      <c r="T63" s="381" t="b" cm="1">
        <f t="array" ref="T63">T62</f>
        <v>0</v>
      </c>
      <c r="X63" s="1755"/>
      <c r="Z63" s="1735"/>
      <c r="AB63" s="172" t="str">
        <f t="shared" ref="AB63:AB80" si="3">K63&amp;" год"</f>
        <v>2058 год</v>
      </c>
      <c r="AC63" s="1539"/>
      <c r="AD63" s="1542"/>
      <c r="AE63" s="1543"/>
      <c r="AF63" s="1543"/>
      <c r="AG63" s="1542"/>
      <c r="AH63" s="1542"/>
      <c r="AI63" s="1542"/>
      <c r="AJ63" s="1542"/>
      <c r="AK63" s="1544"/>
      <c r="AL63" s="320"/>
      <c r="AO63" s="966" cm="1">
        <f t="array" ref="AO63">K63</f>
        <v>2058</v>
      </c>
    </row>
    <row r="64" spans="2:41" s="1177" customFormat="1" ht="14.65" hidden="1" customHeight="1">
      <c r="B64" s="362" t="b">
        <f t="shared" si="2"/>
        <v>0</v>
      </c>
      <c r="E64" s="620">
        <v>15</v>
      </c>
      <c r="F64" s="3" cm="1">
        <f t="array" aca="1" ref="F64" ca="1">OFFSET(E64,-1,1)</f>
        <v>0</v>
      </c>
      <c r="K64" s="77">
        <f>first_year+33</f>
        <v>2059</v>
      </c>
      <c r="T64" s="381" t="b" cm="1">
        <f t="array" ref="T64">T63</f>
        <v>0</v>
      </c>
      <c r="X64" s="1755"/>
      <c r="Z64" s="1735"/>
      <c r="AB64" s="172" t="str">
        <f t="shared" si="3"/>
        <v>2059 год</v>
      </c>
      <c r="AC64" s="1539"/>
      <c r="AD64" s="1542"/>
      <c r="AE64" s="1543"/>
      <c r="AF64" s="1543"/>
      <c r="AG64" s="1542"/>
      <c r="AH64" s="1542"/>
      <c r="AI64" s="1542"/>
      <c r="AJ64" s="1542"/>
      <c r="AK64" s="1544"/>
      <c r="AL64" s="320"/>
      <c r="AO64" s="966" cm="1">
        <f t="array" ref="AO64">K64</f>
        <v>2059</v>
      </c>
    </row>
    <row r="65" spans="2:41" s="1177" customFormat="1" ht="14.65" hidden="1" customHeight="1">
      <c r="B65" s="362" t="b">
        <f t="shared" si="2"/>
        <v>0</v>
      </c>
      <c r="E65" s="620">
        <v>15</v>
      </c>
      <c r="F65" s="3" cm="1">
        <f t="array" aca="1" ref="F65" ca="1">OFFSET(E65,-1,1)</f>
        <v>0</v>
      </c>
      <c r="K65" s="77">
        <f>first_year+34</f>
        <v>2060</v>
      </c>
      <c r="T65" s="381" t="b" cm="1">
        <f t="array" ref="T65">T64</f>
        <v>0</v>
      </c>
      <c r="X65" s="1755"/>
      <c r="Z65" s="1735"/>
      <c r="AB65" s="172" t="str">
        <f t="shared" si="3"/>
        <v>2060 год</v>
      </c>
      <c r="AC65" s="1539"/>
      <c r="AD65" s="1542"/>
      <c r="AE65" s="1543"/>
      <c r="AF65" s="1543"/>
      <c r="AG65" s="1542"/>
      <c r="AH65" s="1542"/>
      <c r="AI65" s="1542"/>
      <c r="AJ65" s="1542"/>
      <c r="AK65" s="1544"/>
      <c r="AL65" s="320"/>
      <c r="AO65" s="966" cm="1">
        <f t="array" ref="AO65">K65</f>
        <v>2060</v>
      </c>
    </row>
    <row r="66" spans="2:41" s="1177" customFormat="1" ht="14.65" hidden="1" customHeight="1">
      <c r="B66" s="362" t="b">
        <f t="shared" si="2"/>
        <v>0</v>
      </c>
      <c r="E66" s="620">
        <v>15</v>
      </c>
      <c r="F66" s="3" cm="1">
        <f t="array" aca="1" ref="F66" ca="1">OFFSET(E66,-1,1)</f>
        <v>0</v>
      </c>
      <c r="K66" s="77">
        <f>first_year+35</f>
        <v>2061</v>
      </c>
      <c r="T66" s="381" t="b" cm="1">
        <f t="array" ref="T66">T65</f>
        <v>0</v>
      </c>
      <c r="X66" s="1755"/>
      <c r="Z66" s="1735"/>
      <c r="AB66" s="172" t="str">
        <f t="shared" si="3"/>
        <v>2061 год</v>
      </c>
      <c r="AC66" s="1539"/>
      <c r="AD66" s="1542"/>
      <c r="AE66" s="1543"/>
      <c r="AF66" s="1543"/>
      <c r="AG66" s="1542"/>
      <c r="AH66" s="1542"/>
      <c r="AI66" s="1542"/>
      <c r="AJ66" s="1542"/>
      <c r="AK66" s="1544"/>
      <c r="AL66" s="320"/>
      <c r="AO66" s="966" cm="1">
        <f t="array" ref="AO66">K66</f>
        <v>2061</v>
      </c>
    </row>
    <row r="67" spans="2:41" s="1177" customFormat="1" ht="14.65" hidden="1" customHeight="1">
      <c r="B67" s="362" t="b">
        <f t="shared" si="2"/>
        <v>0</v>
      </c>
      <c r="E67" s="620">
        <v>15</v>
      </c>
      <c r="F67" s="3" cm="1">
        <f t="array" aca="1" ref="F67" ca="1">OFFSET(E67,-1,1)</f>
        <v>0</v>
      </c>
      <c r="K67" s="77">
        <f>first_year+36</f>
        <v>2062</v>
      </c>
      <c r="T67" s="381" t="b" cm="1">
        <f t="array" ref="T67">T66</f>
        <v>0</v>
      </c>
      <c r="X67" s="1755"/>
      <c r="Z67" s="1735"/>
      <c r="AB67" s="172" t="str">
        <f t="shared" si="3"/>
        <v>2062 год</v>
      </c>
      <c r="AC67" s="1539"/>
      <c r="AD67" s="1542"/>
      <c r="AE67" s="1543"/>
      <c r="AF67" s="1543"/>
      <c r="AG67" s="1542"/>
      <c r="AH67" s="1542"/>
      <c r="AI67" s="1542"/>
      <c r="AJ67" s="1542"/>
      <c r="AK67" s="1544"/>
      <c r="AL67" s="320"/>
      <c r="AO67" s="966" cm="1">
        <f t="array" ref="AO67">K67</f>
        <v>2062</v>
      </c>
    </row>
    <row r="68" spans="2:41" s="1177" customFormat="1" ht="14.65" hidden="1" customHeight="1">
      <c r="B68" s="362" t="b">
        <f t="shared" si="2"/>
        <v>0</v>
      </c>
      <c r="E68" s="620">
        <v>15</v>
      </c>
      <c r="F68" s="3" cm="1">
        <f t="array" aca="1" ref="F68" ca="1">OFFSET(E68,-1,1)</f>
        <v>0</v>
      </c>
      <c r="K68" s="77">
        <f>first_year+37</f>
        <v>2063</v>
      </c>
      <c r="T68" s="381" t="b" cm="1">
        <f t="array" ref="T68">T67</f>
        <v>0</v>
      </c>
      <c r="X68" s="1755"/>
      <c r="Z68" s="1735"/>
      <c r="AB68" s="172" t="str">
        <f t="shared" si="3"/>
        <v>2063 год</v>
      </c>
      <c r="AC68" s="1539"/>
      <c r="AD68" s="1542"/>
      <c r="AE68" s="1543"/>
      <c r="AF68" s="1543"/>
      <c r="AG68" s="1542"/>
      <c r="AH68" s="1542"/>
      <c r="AI68" s="1542"/>
      <c r="AJ68" s="1542"/>
      <c r="AK68" s="1544"/>
      <c r="AL68" s="320"/>
      <c r="AO68" s="966" cm="1">
        <f t="array" ref="AO68">K68</f>
        <v>2063</v>
      </c>
    </row>
    <row r="69" spans="2:41" s="1177" customFormat="1" ht="14.65" hidden="1" customHeight="1">
      <c r="B69" s="362" t="b">
        <f t="shared" si="2"/>
        <v>0</v>
      </c>
      <c r="E69" s="620">
        <v>15</v>
      </c>
      <c r="F69" s="3" cm="1">
        <f t="array" aca="1" ref="F69" ca="1">OFFSET(E69,-1,1)</f>
        <v>0</v>
      </c>
      <c r="K69" s="77">
        <f>first_year+38</f>
        <v>2064</v>
      </c>
      <c r="T69" s="381" t="b" cm="1">
        <f t="array" ref="T69">T68</f>
        <v>0</v>
      </c>
      <c r="X69" s="1755"/>
      <c r="Z69" s="1735"/>
      <c r="AB69" s="172" t="str">
        <f t="shared" si="3"/>
        <v>2064 год</v>
      </c>
      <c r="AC69" s="1539"/>
      <c r="AD69" s="1542"/>
      <c r="AE69" s="1543"/>
      <c r="AF69" s="1543"/>
      <c r="AG69" s="1542"/>
      <c r="AH69" s="1542"/>
      <c r="AI69" s="1542"/>
      <c r="AJ69" s="1542"/>
      <c r="AK69" s="1544"/>
      <c r="AL69" s="320"/>
      <c r="AO69" s="966" cm="1">
        <f t="array" ref="AO69">K69</f>
        <v>2064</v>
      </c>
    </row>
    <row r="70" spans="2:41" s="1177" customFormat="1" ht="14.65" hidden="1" customHeight="1">
      <c r="B70" s="362" t="b">
        <f t="shared" si="2"/>
        <v>0</v>
      </c>
      <c r="E70" s="620">
        <v>15</v>
      </c>
      <c r="F70" s="3" cm="1">
        <f t="array" aca="1" ref="F70" ca="1">OFFSET(E70,-1,1)</f>
        <v>0</v>
      </c>
      <c r="K70" s="77">
        <f>first_year+39</f>
        <v>2065</v>
      </c>
      <c r="T70" s="381" t="b" cm="1">
        <f t="array" ref="T70">T69</f>
        <v>0</v>
      </c>
      <c r="X70" s="1755"/>
      <c r="Z70" s="1735"/>
      <c r="AB70" s="172" t="str">
        <f t="shared" si="3"/>
        <v>2065 год</v>
      </c>
      <c r="AC70" s="1539"/>
      <c r="AD70" s="1542"/>
      <c r="AE70" s="1543"/>
      <c r="AF70" s="1543"/>
      <c r="AG70" s="1542"/>
      <c r="AH70" s="1542"/>
      <c r="AI70" s="1542"/>
      <c r="AJ70" s="1542"/>
      <c r="AK70" s="1544"/>
      <c r="AL70" s="320"/>
      <c r="AO70" s="966" cm="1">
        <f t="array" ref="AO70">K70</f>
        <v>2065</v>
      </c>
    </row>
    <row r="71" spans="2:41" s="1177" customFormat="1" ht="14.65" hidden="1" customHeight="1">
      <c r="B71" s="362" t="b">
        <f t="shared" si="2"/>
        <v>0</v>
      </c>
      <c r="E71" s="620">
        <v>15</v>
      </c>
      <c r="F71" s="3" cm="1">
        <f t="array" aca="1" ref="F71" ca="1">OFFSET(E71,-1,1)</f>
        <v>0</v>
      </c>
      <c r="K71" s="77">
        <f>first_year+40</f>
        <v>2066</v>
      </c>
      <c r="T71" s="381" t="b" cm="1">
        <f t="array" ref="T71">T70</f>
        <v>0</v>
      </c>
      <c r="X71" s="1755"/>
      <c r="Z71" s="1735"/>
      <c r="AB71" s="172" t="str">
        <f t="shared" si="3"/>
        <v>2066 год</v>
      </c>
      <c r="AC71" s="1539"/>
      <c r="AD71" s="1542"/>
      <c r="AE71" s="1543"/>
      <c r="AF71" s="1543"/>
      <c r="AG71" s="1542"/>
      <c r="AH71" s="1542"/>
      <c r="AI71" s="1542"/>
      <c r="AJ71" s="1542"/>
      <c r="AK71" s="1544"/>
      <c r="AL71" s="320"/>
      <c r="AO71" s="966" cm="1">
        <f t="array" ref="AO71">K71</f>
        <v>2066</v>
      </c>
    </row>
    <row r="72" spans="2:41" s="1177" customFormat="1" ht="14.65" hidden="1" customHeight="1">
      <c r="B72" s="362" t="b">
        <f t="shared" si="2"/>
        <v>0</v>
      </c>
      <c r="E72" s="620">
        <v>15</v>
      </c>
      <c r="F72" s="3" cm="1">
        <f t="array" aca="1" ref="F72" ca="1">OFFSET(E72,-1,1)</f>
        <v>0</v>
      </c>
      <c r="K72" s="77">
        <f>first_year+41</f>
        <v>2067</v>
      </c>
      <c r="T72" s="381" t="b" cm="1">
        <f t="array" ref="T72">T71</f>
        <v>0</v>
      </c>
      <c r="X72" s="1755"/>
      <c r="Z72" s="1735"/>
      <c r="AB72" s="172" t="str">
        <f t="shared" si="3"/>
        <v>2067 год</v>
      </c>
      <c r="AC72" s="1539"/>
      <c r="AD72" s="1542"/>
      <c r="AE72" s="1543"/>
      <c r="AF72" s="1543"/>
      <c r="AG72" s="1542"/>
      <c r="AH72" s="1542"/>
      <c r="AI72" s="1542"/>
      <c r="AJ72" s="1542"/>
      <c r="AK72" s="1544"/>
      <c r="AL72" s="320"/>
      <c r="AO72" s="966" cm="1">
        <f t="array" ref="AO72">K72</f>
        <v>2067</v>
      </c>
    </row>
    <row r="73" spans="2:41" s="1177" customFormat="1" ht="14.65" hidden="1" customHeight="1">
      <c r="B73" s="362" t="b">
        <f t="shared" si="2"/>
        <v>0</v>
      </c>
      <c r="E73" s="620">
        <v>15</v>
      </c>
      <c r="F73" s="3" cm="1">
        <f t="array" aca="1" ref="F73" ca="1">OFFSET(E73,-1,1)</f>
        <v>0</v>
      </c>
      <c r="K73" s="77">
        <f>first_year+42</f>
        <v>2068</v>
      </c>
      <c r="T73" s="381" t="b" cm="1">
        <f t="array" ref="T73">T72</f>
        <v>0</v>
      </c>
      <c r="X73" s="1755"/>
      <c r="Z73" s="1735"/>
      <c r="AB73" s="172" t="str">
        <f t="shared" si="3"/>
        <v>2068 год</v>
      </c>
      <c r="AC73" s="1539"/>
      <c r="AD73" s="1542"/>
      <c r="AE73" s="1543"/>
      <c r="AF73" s="1543"/>
      <c r="AG73" s="1542"/>
      <c r="AH73" s="1542"/>
      <c r="AI73" s="1542"/>
      <c r="AJ73" s="1542"/>
      <c r="AK73" s="1544"/>
      <c r="AL73" s="320"/>
      <c r="AO73" s="966" cm="1">
        <f t="array" ref="AO73">K73</f>
        <v>2068</v>
      </c>
    </row>
    <row r="74" spans="2:41" s="1177" customFormat="1" ht="14.65" hidden="1" customHeight="1">
      <c r="B74" s="362" t="b">
        <f t="shared" si="2"/>
        <v>0</v>
      </c>
      <c r="E74" s="620">
        <v>15</v>
      </c>
      <c r="F74" s="3" cm="1">
        <f t="array" aca="1" ref="F74" ca="1">OFFSET(E74,-1,1)</f>
        <v>0</v>
      </c>
      <c r="K74" s="77">
        <f>first_year+43</f>
        <v>2069</v>
      </c>
      <c r="T74" s="381" t="b" cm="1">
        <f t="array" ref="T74">T73</f>
        <v>0</v>
      </c>
      <c r="X74" s="1755"/>
      <c r="Z74" s="1735"/>
      <c r="AB74" s="172" t="str">
        <f t="shared" si="3"/>
        <v>2069 год</v>
      </c>
      <c r="AC74" s="1539"/>
      <c r="AD74" s="1542"/>
      <c r="AE74" s="1543"/>
      <c r="AF74" s="1543"/>
      <c r="AG74" s="1542"/>
      <c r="AH74" s="1542"/>
      <c r="AI74" s="1542"/>
      <c r="AJ74" s="1542"/>
      <c r="AK74" s="1544"/>
      <c r="AL74" s="320"/>
      <c r="AO74" s="966" cm="1">
        <f t="array" ref="AO74">K74</f>
        <v>2069</v>
      </c>
    </row>
    <row r="75" spans="2:41" s="1177" customFormat="1" ht="14.65" hidden="1" customHeight="1">
      <c r="B75" s="362" t="b">
        <f t="shared" si="2"/>
        <v>0</v>
      </c>
      <c r="E75" s="620">
        <v>15</v>
      </c>
      <c r="F75" s="3" cm="1">
        <f t="array" aca="1" ref="F75" ca="1">OFFSET(E75,-1,1)</f>
        <v>0</v>
      </c>
      <c r="K75" s="77">
        <f>first_year+44</f>
        <v>2070</v>
      </c>
      <c r="T75" s="381" t="b" cm="1">
        <f t="array" ref="T75">T74</f>
        <v>0</v>
      </c>
      <c r="X75" s="1755"/>
      <c r="Z75" s="1735"/>
      <c r="AB75" s="172" t="str">
        <f t="shared" si="3"/>
        <v>2070 год</v>
      </c>
      <c r="AC75" s="1539"/>
      <c r="AD75" s="1542"/>
      <c r="AE75" s="1543"/>
      <c r="AF75" s="1543"/>
      <c r="AG75" s="1542"/>
      <c r="AH75" s="1542"/>
      <c r="AI75" s="1542"/>
      <c r="AJ75" s="1542"/>
      <c r="AK75" s="1544"/>
      <c r="AL75" s="320"/>
      <c r="AO75" s="966" cm="1">
        <f t="array" ref="AO75">K75</f>
        <v>2070</v>
      </c>
    </row>
    <row r="76" spans="2:41" s="1177" customFormat="1" ht="14.65" hidden="1" customHeight="1">
      <c r="B76" s="362" t="b">
        <f t="shared" si="2"/>
        <v>0</v>
      </c>
      <c r="E76" s="620">
        <v>15</v>
      </c>
      <c r="F76" s="3" cm="1">
        <f t="array" aca="1" ref="F76" ca="1">OFFSET(E76,-1,1)</f>
        <v>0</v>
      </c>
      <c r="K76" s="77">
        <f>first_year+45</f>
        <v>2071</v>
      </c>
      <c r="T76" s="381" t="b" cm="1">
        <f t="array" ref="T76">T75</f>
        <v>0</v>
      </c>
      <c r="X76" s="1755"/>
      <c r="Z76" s="1735"/>
      <c r="AB76" s="172" t="str">
        <f t="shared" si="3"/>
        <v>2071 год</v>
      </c>
      <c r="AC76" s="1539"/>
      <c r="AD76" s="1542"/>
      <c r="AE76" s="1543"/>
      <c r="AF76" s="1543"/>
      <c r="AG76" s="1542"/>
      <c r="AH76" s="1542"/>
      <c r="AI76" s="1542"/>
      <c r="AJ76" s="1542"/>
      <c r="AK76" s="1544"/>
      <c r="AL76" s="320"/>
      <c r="AO76" s="966" cm="1">
        <f t="array" ref="AO76">K76</f>
        <v>2071</v>
      </c>
    </row>
    <row r="77" spans="2:41" s="1177" customFormat="1" ht="14.65" hidden="1" customHeight="1">
      <c r="B77" s="362" t="b">
        <f t="shared" si="2"/>
        <v>0</v>
      </c>
      <c r="E77" s="620">
        <v>15</v>
      </c>
      <c r="F77" s="3" cm="1">
        <f t="array" aca="1" ref="F77" ca="1">OFFSET(E77,-1,1)</f>
        <v>0</v>
      </c>
      <c r="K77" s="77">
        <f>first_year+46</f>
        <v>2072</v>
      </c>
      <c r="T77" s="381" t="b" cm="1">
        <f t="array" ref="T77">T76</f>
        <v>0</v>
      </c>
      <c r="X77" s="1755"/>
      <c r="Z77" s="1735"/>
      <c r="AB77" s="172" t="str">
        <f t="shared" si="3"/>
        <v>2072 год</v>
      </c>
      <c r="AC77" s="1539"/>
      <c r="AD77" s="1542"/>
      <c r="AE77" s="1543"/>
      <c r="AF77" s="1543"/>
      <c r="AG77" s="1542"/>
      <c r="AH77" s="1542"/>
      <c r="AI77" s="1542"/>
      <c r="AJ77" s="1542"/>
      <c r="AK77" s="1544"/>
      <c r="AL77" s="320"/>
      <c r="AO77" s="966" cm="1">
        <f t="array" ref="AO77">K77</f>
        <v>2072</v>
      </c>
    </row>
    <row r="78" spans="2:41" s="1177" customFormat="1" ht="14.65" hidden="1" customHeight="1">
      <c r="B78" s="362" t="b">
        <f t="shared" si="2"/>
        <v>0</v>
      </c>
      <c r="E78" s="620">
        <v>15</v>
      </c>
      <c r="F78" s="3" cm="1">
        <f t="array" aca="1" ref="F78" ca="1">OFFSET(E78,-1,1)</f>
        <v>0</v>
      </c>
      <c r="K78" s="77">
        <f>first_year+47</f>
        <v>2073</v>
      </c>
      <c r="T78" s="381" t="b" cm="1">
        <f t="array" ref="T78">T77</f>
        <v>0</v>
      </c>
      <c r="X78" s="1755"/>
      <c r="Z78" s="1735"/>
      <c r="AB78" s="172" t="str">
        <f t="shared" si="3"/>
        <v>2073 год</v>
      </c>
      <c r="AC78" s="1539"/>
      <c r="AD78" s="1542"/>
      <c r="AE78" s="1543"/>
      <c r="AF78" s="1543"/>
      <c r="AG78" s="1542"/>
      <c r="AH78" s="1542"/>
      <c r="AI78" s="1542"/>
      <c r="AJ78" s="1542"/>
      <c r="AK78" s="1544"/>
      <c r="AL78" s="320"/>
      <c r="AO78" s="966" cm="1">
        <f t="array" ref="AO78">K78</f>
        <v>2073</v>
      </c>
    </row>
    <row r="79" spans="2:41" s="1177" customFormat="1" ht="14.65" hidden="1" customHeight="1">
      <c r="B79" s="362" t="b">
        <f t="shared" si="2"/>
        <v>0</v>
      </c>
      <c r="E79" s="620">
        <v>15</v>
      </c>
      <c r="F79" s="3" cm="1">
        <f t="array" aca="1" ref="F79" ca="1">OFFSET(E79,-1,1)</f>
        <v>0</v>
      </c>
      <c r="K79" s="77">
        <f>first_year+48</f>
        <v>2074</v>
      </c>
      <c r="T79" s="381" t="b" cm="1">
        <f t="array" ref="T79">T78</f>
        <v>0</v>
      </c>
      <c r="X79" s="1755"/>
      <c r="Z79" s="1735"/>
      <c r="AB79" s="172" t="str">
        <f t="shared" si="3"/>
        <v>2074 год</v>
      </c>
      <c r="AC79" s="1539"/>
      <c r="AD79" s="1542"/>
      <c r="AE79" s="1543"/>
      <c r="AF79" s="1543"/>
      <c r="AG79" s="1542"/>
      <c r="AH79" s="1542"/>
      <c r="AI79" s="1542"/>
      <c r="AJ79" s="1542"/>
      <c r="AK79" s="1544"/>
      <c r="AL79" s="320"/>
      <c r="AO79" s="966" cm="1">
        <f t="array" ref="AO79">K79</f>
        <v>2074</v>
      </c>
    </row>
    <row r="80" spans="2:41" s="1177" customFormat="1" ht="14.65" hidden="1" customHeight="1">
      <c r="B80" s="362" t="b">
        <f t="shared" si="2"/>
        <v>0</v>
      </c>
      <c r="E80" s="620">
        <v>15</v>
      </c>
      <c r="F80" s="3" cm="1">
        <f t="array" aca="1" ref="F80" ca="1">OFFSET(E80,-1,1)</f>
        <v>0</v>
      </c>
      <c r="K80" s="77">
        <f>first_year+49</f>
        <v>2075</v>
      </c>
      <c r="T80" s="381" t="b" cm="1">
        <f t="array" ref="T80">T79</f>
        <v>0</v>
      </c>
      <c r="X80" s="1755"/>
      <c r="Z80" s="1735"/>
      <c r="AB80" s="172" t="str">
        <f t="shared" si="3"/>
        <v>2075 год</v>
      </c>
      <c r="AC80" s="1539"/>
      <c r="AD80" s="1542"/>
      <c r="AE80" s="1543"/>
      <c r="AF80" s="1543"/>
      <c r="AG80" s="1542"/>
      <c r="AH80" s="1542"/>
      <c r="AI80" s="1542"/>
      <c r="AJ80" s="1542"/>
      <c r="AK80" s="1544"/>
      <c r="AL80" s="320"/>
      <c r="AO80" s="966" cm="1">
        <f t="array" ref="AO80">K80</f>
        <v>2075</v>
      </c>
    </row>
    <row r="81" spans="1:43" s="454" customFormat="1" ht="14.25" customHeight="1">
      <c r="A81" s="1210"/>
      <c r="B81" s="345"/>
      <c r="C81" s="1210"/>
      <c r="D81" s="1210"/>
      <c r="E81" s="535">
        <v>15</v>
      </c>
      <c r="F81" s="17" t="str" cm="1">
        <f t="array" ref="F81">X81</f>
        <v>1</v>
      </c>
      <c r="G81" s="1210"/>
      <c r="H81" s="1210"/>
      <c r="I81" s="1210"/>
      <c r="J81" s="1210"/>
      <c r="K81" s="1210"/>
      <c r="L81" s="1210"/>
      <c r="M81" s="1210"/>
      <c r="N81" s="1210"/>
      <c r="O81" s="1210"/>
      <c r="P81" s="1210"/>
      <c r="Q81" s="1210"/>
      <c r="R81" s="1210"/>
      <c r="S81" s="1210"/>
      <c r="T81" s="381" t="b">
        <f>X81&gt;0</f>
        <v>1</v>
      </c>
      <c r="U81" s="1210"/>
      <c r="V81" s="41" t="str" cm="1">
        <f t="array" ref="V81">'Калькуляция (МИ корр)'!$AB$171</f>
        <v>Тариф 1 (Водоснабжение) - тариф на питьевую воду</v>
      </c>
      <c r="W81" s="1210"/>
      <c r="X81" s="1755" t="s">
        <v>281</v>
      </c>
      <c r="Y81" s="1210"/>
      <c r="Z81" s="1735"/>
      <c r="AA81" s="1210"/>
      <c r="AB81" s="293" t="str" cm="1">
        <f t="array" ref="AB81">'Калькуляция (МИ корр)'!$AB$171</f>
        <v>Тариф 1 (Водоснабжение) - тариф на питьевую воду</v>
      </c>
      <c r="AC81" s="746"/>
      <c r="AD81" s="746"/>
      <c r="AE81" s="746"/>
      <c r="AF81" s="746"/>
      <c r="AG81" s="746"/>
      <c r="AH81" s="746"/>
      <c r="AI81" s="746"/>
      <c r="AJ81" s="746"/>
      <c r="AK81" s="746"/>
      <c r="AL81" s="319"/>
      <c r="AM81" s="1210"/>
      <c r="AN81" s="1210"/>
      <c r="AO81" s="899"/>
      <c r="AP81" s="1210"/>
      <c r="AQ81" s="1210"/>
    </row>
    <row r="82" spans="1:43" s="1545" customFormat="1" ht="14.25" customHeight="1">
      <c r="A82" s="1177"/>
      <c r="B82" s="362" t="b">
        <f t="shared" ref="B82:B113" si="4">K82&lt;first_year+PERIOD_LENGTH</f>
        <v>1</v>
      </c>
      <c r="C82" s="1177"/>
      <c r="D82" s="1177"/>
      <c r="E82" s="620">
        <v>15</v>
      </c>
      <c r="F82" s="3" t="str" cm="1">
        <f t="array" aca="1" ref="F82" ca="1">OFFSET(E82,-1,1)</f>
        <v>1</v>
      </c>
      <c r="G82" s="1177"/>
      <c r="H82" s="1177"/>
      <c r="I82" s="1177"/>
      <c r="J82" s="1177"/>
      <c r="K82" s="77" cm="1">
        <f t="array" ref="K82">first_year</f>
        <v>2026</v>
      </c>
      <c r="L82" s="1177"/>
      <c r="M82" s="1177"/>
      <c r="N82" s="1177"/>
      <c r="O82" s="1177"/>
      <c r="P82" s="1177"/>
      <c r="Q82" s="1177"/>
      <c r="R82" s="1177"/>
      <c r="S82" s="1177"/>
      <c r="T82" s="381" t="b" cm="1">
        <f t="array" ref="T82">T81</f>
        <v>1</v>
      </c>
      <c r="U82" s="1177"/>
      <c r="V82" s="1177"/>
      <c r="W82" s="1177"/>
      <c r="X82" s="1755"/>
      <c r="Y82" s="1177"/>
      <c r="Z82" s="1735"/>
      <c r="AA82" s="1177"/>
      <c r="AB82" s="747" t="str">
        <f t="shared" ref="AB82:AB113" si="5">K82&amp;" год"</f>
        <v>2026 год</v>
      </c>
      <c r="AC82" s="826">
        <f ca="1">IF(god=first_year,SUMIFS('Калькуляция (МИ)'!AT$26:AT$315,'Калькуляция (МИ)'!F$26:F$315,F82,'Калькуляция (МИ)'!AC$26:AC$315,"операционные расходы"),IF(god&lt;first_year+3,IFERROR(SUMIFS(INDEX('Калькуляция (МИ корр)'!$AE$25:$BC$169,,MATCH(K82&amp;"Принято органом регулирования",'Калькуляция (МИ корр)'!$AE$8:$BC$8,0)),'Калькуляция (МИ корр)'!$F$25:$F$169,F82,'Калькуляция (МИ корр)'!$AC$25:$AC$169,"Операционные расходы"),0),""))</f>
        <v>0</v>
      </c>
      <c r="AD82" s="749">
        <f ca="1">IFERROR(SUMIFS(INDEX(Сценарии!$AE$25:$BF$82,,MATCH($K82&amp;"Принято органом регулирования",Сценарии!$AE$8:$BF$8,0)),Сценарии!$F$25:$F$82,$F82,Сценарии!$AC$25:$AC$82,"Индекс эффективности операционных расходов"),0)</f>
        <v>0</v>
      </c>
      <c r="AE82" s="748"/>
      <c r="AF82" s="748">
        <f ca="1">IFERROR(SUMIFS(INDEX(Баланс!$AE$25:$BB$209,,MATCH($K82&amp;"Принято органом регулирования",Баланс!$AE$8:$BB$8,0)),Баланс!$F$25:$F$209,$F82,Баланс!$AC$24:$AC$209,"Уровень потерь воды"),0)</f>
        <v>0</v>
      </c>
      <c r="AG82" s="1164">
        <f ca="1">IFERROR(SUMIFS(INDEX(Electricity_LOAD_1,,MATCH($K82&amp;"Принято органом регулирования",ЭЭ!$AE$8:$BB$8,0)),ЭЭ!$F$25:$F$67,$F82,ЭЭ!$AC$25:$AC$67,"Удельный расход электроэнергии"),0)</f>
        <v>0</v>
      </c>
      <c r="AH82" s="749">
        <f ca="1">IFERROR(SUMIFS(INDEX(Electricity_LOAD_1,,MATCH($K82&amp;"Принято органом регулирования",ЭЭ!$AE$8:$BB$8,0)),ЭЭ!$F$25:$F$67,$F82,ЭЭ!$AC$25:$AC$67,"Удельный расход электроэнергии"),0)</f>
        <v>0</v>
      </c>
      <c r="AI82" s="749">
        <f ca="1">IFERROR(SUMIFS(INDEX(Electricity_LOAD_1,,MATCH($K82&amp;"Принято органом регулирования",ЭЭ!$AE$8:$BB$8,0)),ЭЭ!$F$25:$F$67,$F82,ЭЭ!$AC$25:$AC$67,"Удельный расход электроэнергии"),0)</f>
        <v>0</v>
      </c>
      <c r="AJ82" s="1546"/>
      <c r="AK82" s="1546"/>
      <c r="AL82" s="320"/>
      <c r="AM82" s="77" t="s">
        <v>2072</v>
      </c>
      <c r="AN82" s="1177"/>
      <c r="AO82" s="966" cm="1">
        <f t="array" ref="AO82">K82</f>
        <v>2026</v>
      </c>
      <c r="AP82" s="1177"/>
      <c r="AQ82" s="1177"/>
    </row>
    <row r="83" spans="1:43" s="1547" customFormat="1" ht="14.25" hidden="1" customHeight="1">
      <c r="A83" s="1177"/>
      <c r="B83" s="362" t="b">
        <f t="shared" si="4"/>
        <v>0</v>
      </c>
      <c r="C83" s="1177"/>
      <c r="D83" s="1177"/>
      <c r="E83" s="620">
        <v>15</v>
      </c>
      <c r="F83" s="3" t="str" cm="1">
        <f t="array" aca="1" ref="F83" ca="1">OFFSET(E83,-1,1)</f>
        <v>1</v>
      </c>
      <c r="G83" s="1177"/>
      <c r="H83" s="1177"/>
      <c r="I83" s="1177"/>
      <c r="J83" s="1177"/>
      <c r="K83" s="77">
        <f>first_year+1</f>
        <v>2027</v>
      </c>
      <c r="L83" s="1177"/>
      <c r="M83" s="1177"/>
      <c r="N83" s="1177"/>
      <c r="O83" s="1177"/>
      <c r="P83" s="1177"/>
      <c r="Q83" s="1177"/>
      <c r="R83" s="1177"/>
      <c r="S83" s="1177"/>
      <c r="T83" s="381" t="b" cm="1">
        <f t="array" ref="T83">T82</f>
        <v>1</v>
      </c>
      <c r="U83" s="1177"/>
      <c r="V83" s="1177"/>
      <c r="W83" s="1177"/>
      <c r="X83" s="1755"/>
      <c r="Y83" s="1177"/>
      <c r="Z83" s="1735"/>
      <c r="AA83" s="1177"/>
      <c r="AB83" s="747" t="str">
        <f t="shared" si="5"/>
        <v>2027 год</v>
      </c>
      <c r="AC83" s="1539"/>
      <c r="AD83" s="1538">
        <f ca="1">IFERROR(SUMIFS(INDEX(Сценарии!$AE$25:$BF$82,,MATCH($K83&amp;"Принято органом регулирования",Сценарии!$AE$8:$BF$8,0)),Сценарии!$F$25:$F$82,$F83,Сценарии!$AC$25:$AC$82,"Индекс эффективности операционных расходов"),0)</f>
        <v>0</v>
      </c>
      <c r="AE83" s="1539"/>
      <c r="AF83" s="1539">
        <f ca="1">IFERROR(SUMIFS(INDEX(Баланс!$AE$25:$BB$209,,MATCH($K83&amp;"Принято органом регулирования",Баланс!$AE$8:$BB$8,0)),Баланс!$F$25:$F$209,$F83,Баланс!$AC$24:$AC$209,"Уровень потерь воды"),0)</f>
        <v>0</v>
      </c>
      <c r="AG83" s="1540">
        <f ca="1">IFERROR(SUMIFS(INDEX(Electricity_LOAD_1,,MATCH($K83&amp;"Принято органом регулирования",ЭЭ!$AE$8:$BB$8,0)),ЭЭ!$F$25:$F$67,$F83,ЭЭ!$AC$25:$AC$67,"Удельный расход электроэнергии"),0)</f>
        <v>0</v>
      </c>
      <c r="AH83" s="1538">
        <f ca="1">IFERROR(SUMIFS(INDEX(Electricity_LOAD_1,,MATCH($K83&amp;"Принято органом регулирования",ЭЭ!$AE$8:$BB$8,0)),ЭЭ!$F$25:$F$67,$F83,ЭЭ!$AC$25:$AC$67,"Удельный расход электроэнергии"),0)</f>
        <v>0</v>
      </c>
      <c r="AI83" s="1538">
        <f ca="1">IFERROR(SUMIFS(INDEX(Electricity_LOAD_1,,MATCH($K83&amp;"Принято органом регулирования",ЭЭ!$AE$8:$BB$8,0)),ЭЭ!$F$25:$F$67,$F83,ЭЭ!$AC$25:$AC$67,"Удельный расход электроэнергии"),0)</f>
        <v>0</v>
      </c>
      <c r="AJ83" s="1546"/>
      <c r="AK83" s="1546"/>
      <c r="AL83" s="320"/>
      <c r="AM83" s="1177" t="s">
        <v>2072</v>
      </c>
      <c r="AN83" s="1177"/>
      <c r="AO83" s="966" cm="1">
        <f t="array" ref="AO83">K83</f>
        <v>2027</v>
      </c>
      <c r="AP83" s="1177"/>
      <c r="AQ83" s="1177"/>
    </row>
    <row r="84" spans="1:43" s="1548" customFormat="1" ht="14.25" hidden="1" customHeight="1">
      <c r="A84" s="1177"/>
      <c r="B84" s="362" t="b">
        <f t="shared" si="4"/>
        <v>0</v>
      </c>
      <c r="C84" s="1177"/>
      <c r="D84" s="1177"/>
      <c r="E84" s="620">
        <v>15</v>
      </c>
      <c r="F84" s="3" t="str" cm="1">
        <f t="array" aca="1" ref="F84" ca="1">OFFSET(E84,-1,1)</f>
        <v>1</v>
      </c>
      <c r="G84" s="1177"/>
      <c r="H84" s="1177"/>
      <c r="I84" s="1177"/>
      <c r="J84" s="1177"/>
      <c r="K84" s="77">
        <f>first_year+2</f>
        <v>2028</v>
      </c>
      <c r="L84" s="1177"/>
      <c r="M84" s="1177"/>
      <c r="N84" s="1177"/>
      <c r="O84" s="1177"/>
      <c r="P84" s="1177"/>
      <c r="Q84" s="1177"/>
      <c r="R84" s="1177"/>
      <c r="S84" s="1177"/>
      <c r="T84" s="381" t="b" cm="1">
        <f t="array" ref="T84">T83</f>
        <v>1</v>
      </c>
      <c r="U84" s="1177"/>
      <c r="V84" s="1177"/>
      <c r="W84" s="1177"/>
      <c r="X84" s="1755"/>
      <c r="Y84" s="1177"/>
      <c r="Z84" s="1735"/>
      <c r="AA84" s="1177"/>
      <c r="AB84" s="747" t="str">
        <f t="shared" si="5"/>
        <v>2028 год</v>
      </c>
      <c r="AC84" s="1539"/>
      <c r="AD84" s="1538">
        <f ca="1">IFERROR(SUMIFS(INDEX(Сценарии!$AE$25:$BF$82,,MATCH($K84&amp;"Принято органом регулирования",Сценарии!$AE$8:$BF$8,0)),Сценарии!$F$25:$F$82,$F84,Сценарии!$AC$25:$AC$82,"Индекс эффективности операционных расходов"),0)</f>
        <v>0</v>
      </c>
      <c r="AE84" s="1539"/>
      <c r="AF84" s="1539">
        <f ca="1">IFERROR(SUMIFS(INDEX(Баланс!$AE$25:$BB$209,,MATCH($K84&amp;"Принято органом регулирования",Баланс!$AE$8:$BB$8,0)),Баланс!$F$25:$F$209,$F84,Баланс!$AC$24:$AC$209,"Уровень потерь воды"),0)</f>
        <v>0</v>
      </c>
      <c r="AG84" s="1540">
        <f ca="1">IFERROR(SUMIFS(INDEX(Electricity_LOAD_1,,MATCH($K84&amp;"Принято органом регулирования",ЭЭ!$AE$8:$BB$8,0)),ЭЭ!$F$25:$F$67,$F84,ЭЭ!$AC$25:$AC$67,"Удельный расход электроэнергии"),0)</f>
        <v>0</v>
      </c>
      <c r="AH84" s="1538">
        <f ca="1">IFERROR(SUMIFS(INDEX(Electricity_LOAD_1,,MATCH($K84&amp;"Принято органом регулирования",ЭЭ!$AE$8:$BB$8,0)),ЭЭ!$F$25:$F$67,$F84,ЭЭ!$AC$25:$AC$67,"Удельный расход электроэнергии"),0)</f>
        <v>0</v>
      </c>
      <c r="AI84" s="1538">
        <f ca="1">IFERROR(SUMIFS(INDEX(Electricity_LOAD_1,,MATCH($K84&amp;"Принято органом регулирования",ЭЭ!$AE$8:$BB$8,0)),ЭЭ!$F$25:$F$67,$F84,ЭЭ!$AC$25:$AC$67,"Удельный расход электроэнергии"),0)</f>
        <v>0</v>
      </c>
      <c r="AJ84" s="1546"/>
      <c r="AK84" s="1546"/>
      <c r="AL84" s="320"/>
      <c r="AM84" s="1177" t="s">
        <v>2072</v>
      </c>
      <c r="AN84" s="1177"/>
      <c r="AO84" s="966" cm="1">
        <f t="array" ref="AO84">K84</f>
        <v>2028</v>
      </c>
      <c r="AP84" s="1177"/>
      <c r="AQ84" s="1177"/>
    </row>
    <row r="85" spans="1:43" s="1549" customFormat="1" ht="14.25" hidden="1" customHeight="1">
      <c r="A85" s="1177"/>
      <c r="B85" s="362" t="b">
        <f t="shared" si="4"/>
        <v>0</v>
      </c>
      <c r="C85" s="1177"/>
      <c r="D85" s="1177"/>
      <c r="E85" s="620">
        <v>15</v>
      </c>
      <c r="F85" s="3" t="str" cm="1">
        <f t="array" aca="1" ref="F85" ca="1">OFFSET(E85,-1,1)</f>
        <v>1</v>
      </c>
      <c r="G85" s="1177"/>
      <c r="H85" s="1177"/>
      <c r="I85" s="1177"/>
      <c r="J85" s="1177"/>
      <c r="K85" s="77">
        <f>first_year+3</f>
        <v>2029</v>
      </c>
      <c r="L85" s="1177"/>
      <c r="M85" s="1177"/>
      <c r="N85" s="1177"/>
      <c r="O85" s="1177"/>
      <c r="P85" s="1177"/>
      <c r="Q85" s="1177"/>
      <c r="R85" s="1177"/>
      <c r="S85" s="1177"/>
      <c r="T85" s="381" t="b" cm="1">
        <f t="array" ref="T85">T84</f>
        <v>1</v>
      </c>
      <c r="U85" s="1177"/>
      <c r="V85" s="1177"/>
      <c r="W85" s="1177"/>
      <c r="X85" s="1755"/>
      <c r="Y85" s="1177"/>
      <c r="Z85" s="1735"/>
      <c r="AA85" s="1177"/>
      <c r="AB85" s="747" t="str">
        <f t="shared" si="5"/>
        <v>2029 год</v>
      </c>
      <c r="AC85" s="1539"/>
      <c r="AD85" s="1538">
        <f ca="1">IFERROR(SUMIFS(INDEX(Сценарии!$AE$25:$BF$82,,MATCH($K85&amp;"Принято органом регулирования",Сценарии!$AE$8:$BF$8,0)),Сценарии!$F$25:$F$82,$F85,Сценарии!$AC$25:$AC$82,"Индекс эффективности операционных расходов"),0)</f>
        <v>0</v>
      </c>
      <c r="AE85" s="1539"/>
      <c r="AF85" s="1539">
        <f ca="1">IFERROR(SUMIFS(INDEX(Баланс!$AE$25:$BB$209,,MATCH($K85&amp;"Принято органом регулирования",Баланс!$AE$8:$BB$8,0)),Баланс!$F$25:$F$209,$F85,Баланс!$AC$24:$AC$209,"Уровень потерь воды"),0)</f>
        <v>0</v>
      </c>
      <c r="AG85" s="1540">
        <f ca="1">IFERROR(SUMIFS(INDEX(Electricity_LOAD_1,,MATCH($K85&amp;"Принято органом регулирования",ЭЭ!$AE$8:$BB$8,0)),ЭЭ!$F$25:$F$67,$F85,ЭЭ!$AC$25:$AC$67,"Удельный расход электроэнергии"),0)</f>
        <v>0</v>
      </c>
      <c r="AH85" s="1538">
        <f ca="1">IFERROR(SUMIFS(INDEX(Electricity_LOAD_1,,MATCH($K85&amp;"Принято органом регулирования",ЭЭ!$AE$8:$BB$8,0)),ЭЭ!$F$25:$F$67,$F85,ЭЭ!$AC$25:$AC$67,"Удельный расход электроэнергии"),0)</f>
        <v>0</v>
      </c>
      <c r="AI85" s="1538">
        <f ca="1">IFERROR(SUMIFS(INDEX(Electricity_LOAD_1,,MATCH($K85&amp;"Принято органом регулирования",ЭЭ!$AE$8:$BB$8,0)),ЭЭ!$F$25:$F$67,$F85,ЭЭ!$AC$25:$AC$67,"Удельный расход электроэнергии"),0)</f>
        <v>0</v>
      </c>
      <c r="AJ85" s="1546"/>
      <c r="AK85" s="1546"/>
      <c r="AL85" s="320"/>
      <c r="AM85" s="1177" t="s">
        <v>2072</v>
      </c>
      <c r="AN85" s="1177"/>
      <c r="AO85" s="966" cm="1">
        <f t="array" ref="AO85">K85</f>
        <v>2029</v>
      </c>
      <c r="AP85" s="1177"/>
      <c r="AQ85" s="1177"/>
    </row>
    <row r="86" spans="1:43" s="1550" customFormat="1" ht="14.25" hidden="1" customHeight="1">
      <c r="A86" s="1177"/>
      <c r="B86" s="362" t="b">
        <f t="shared" si="4"/>
        <v>0</v>
      </c>
      <c r="C86" s="1177"/>
      <c r="D86" s="1177"/>
      <c r="E86" s="620">
        <v>15</v>
      </c>
      <c r="F86" s="3" t="str" cm="1">
        <f t="array" aca="1" ref="F86" ca="1">OFFSET(E86,-1,1)</f>
        <v>1</v>
      </c>
      <c r="G86" s="1177"/>
      <c r="H86" s="1177"/>
      <c r="I86" s="1177"/>
      <c r="J86" s="1177"/>
      <c r="K86" s="77">
        <f>first_year+4</f>
        <v>2030</v>
      </c>
      <c r="L86" s="1177"/>
      <c r="M86" s="1177"/>
      <c r="N86" s="1177"/>
      <c r="O86" s="1177"/>
      <c r="P86" s="1177"/>
      <c r="Q86" s="1177"/>
      <c r="R86" s="1177"/>
      <c r="S86" s="1177"/>
      <c r="T86" s="381" t="b" cm="1">
        <f t="array" ref="T86">T85</f>
        <v>1</v>
      </c>
      <c r="U86" s="1177"/>
      <c r="V86" s="1177"/>
      <c r="W86" s="1177"/>
      <c r="X86" s="1755"/>
      <c r="Y86" s="1177"/>
      <c r="Z86" s="1735"/>
      <c r="AA86" s="1177"/>
      <c r="AB86" s="747" t="str">
        <f t="shared" si="5"/>
        <v>2030 год</v>
      </c>
      <c r="AC86" s="1539"/>
      <c r="AD86" s="1538">
        <f ca="1">IFERROR(SUMIFS(INDEX(Сценарии!$AE$25:$BF$82,,MATCH($K86&amp;"Принято органом регулирования",Сценарии!$AE$8:$BF$8,0)),Сценарии!$F$25:$F$82,$F86,Сценарии!$AC$25:$AC$82,"Индекс эффективности операционных расходов"),0)</f>
        <v>0</v>
      </c>
      <c r="AE86" s="1539"/>
      <c r="AF86" s="1539">
        <f ca="1">IFERROR(SUMIFS(INDEX(Баланс!$AE$25:$BB$209,,MATCH($K86&amp;"Принято органом регулирования",Баланс!$AE$8:$BB$8,0)),Баланс!$F$25:$F$209,$F86,Баланс!$AC$24:$AC$209,"Уровень потерь воды"),0)</f>
        <v>0</v>
      </c>
      <c r="AG86" s="1540">
        <f ca="1">IFERROR(SUMIFS(INDEX(Electricity_LOAD_1,,MATCH($K86&amp;"Принято органом регулирования",ЭЭ!$AE$8:$BB$8,0)),ЭЭ!$F$25:$F$67,$F86,ЭЭ!$AC$25:$AC$67,"Удельный расход электроэнергии"),0)</f>
        <v>0</v>
      </c>
      <c r="AH86" s="1538">
        <f ca="1">IFERROR(SUMIFS(INDEX(Electricity_LOAD_1,,MATCH($K86&amp;"Принято органом регулирования",ЭЭ!$AE$8:$BB$8,0)),ЭЭ!$F$25:$F$67,$F86,ЭЭ!$AC$25:$AC$67,"Удельный расход электроэнергии"),0)</f>
        <v>0</v>
      </c>
      <c r="AI86" s="1538">
        <f ca="1">IFERROR(SUMIFS(INDEX(Electricity_LOAD_1,,MATCH($K86&amp;"Принято органом регулирования",ЭЭ!$AE$8:$BB$8,0)),ЭЭ!$F$25:$F$67,$F86,ЭЭ!$AC$25:$AC$67,"Удельный расход электроэнергии"),0)</f>
        <v>0</v>
      </c>
      <c r="AJ86" s="1546"/>
      <c r="AK86" s="1546"/>
      <c r="AL86" s="320"/>
      <c r="AM86" s="1177" t="s">
        <v>2072</v>
      </c>
      <c r="AN86" s="1177"/>
      <c r="AO86" s="966" cm="1">
        <f t="array" ref="AO86">K86</f>
        <v>2030</v>
      </c>
      <c r="AP86" s="1177"/>
      <c r="AQ86" s="1177"/>
    </row>
    <row r="87" spans="1:43" s="1551" customFormat="1" ht="14.25" hidden="1" customHeight="1">
      <c r="A87" s="1177"/>
      <c r="B87" s="362" t="b">
        <f t="shared" si="4"/>
        <v>0</v>
      </c>
      <c r="C87" s="1177"/>
      <c r="D87" s="1177"/>
      <c r="E87" s="620">
        <v>15</v>
      </c>
      <c r="F87" s="3" t="str" cm="1">
        <f t="array" aca="1" ref="F87" ca="1">OFFSET(E87,-1,1)</f>
        <v>1</v>
      </c>
      <c r="G87" s="1177"/>
      <c r="H87" s="1177"/>
      <c r="I87" s="1177"/>
      <c r="J87" s="1177"/>
      <c r="K87" s="77">
        <f>first_year+5</f>
        <v>2031</v>
      </c>
      <c r="L87" s="1177"/>
      <c r="M87" s="1177"/>
      <c r="N87" s="1177"/>
      <c r="O87" s="1177"/>
      <c r="P87" s="1177"/>
      <c r="Q87" s="1177"/>
      <c r="R87" s="1177"/>
      <c r="S87" s="1177"/>
      <c r="T87" s="381" t="b" cm="1">
        <f t="array" ref="T87">T86</f>
        <v>1</v>
      </c>
      <c r="U87" s="1177"/>
      <c r="V87" s="1177"/>
      <c r="W87" s="1177"/>
      <c r="X87" s="1755"/>
      <c r="Y87" s="1177"/>
      <c r="Z87" s="1735"/>
      <c r="AA87" s="1177"/>
      <c r="AB87" s="747" t="str">
        <f t="shared" si="5"/>
        <v>2031 год</v>
      </c>
      <c r="AC87" s="1539"/>
      <c r="AD87" s="1538">
        <f ca="1">IFERROR(SUMIFS(INDEX(Сценарии!$AE$25:$BF$82,,MATCH($K87&amp;"Принято органом регулирования",Сценарии!$AE$8:$BF$8,0)),Сценарии!$F$25:$F$82,$F87,Сценарии!$AC$25:$AC$82,"Индекс эффективности операционных расходов"),0)</f>
        <v>0</v>
      </c>
      <c r="AE87" s="1539"/>
      <c r="AF87" s="1539">
        <f ca="1">IFERROR(SUMIFS(INDEX(Баланс!$AE$25:$BB$209,,MATCH($K87&amp;"Принято органом регулирования",Баланс!$AE$8:$BB$8,0)),Баланс!$F$25:$F$209,$F87,Баланс!$AC$24:$AC$209,"Уровень потерь воды"),0)</f>
        <v>0</v>
      </c>
      <c r="AG87" s="1540">
        <f ca="1">IFERROR(SUMIFS(INDEX(Electricity_LOAD_1,,MATCH($K87&amp;"Принято органом регулирования",ЭЭ!$AE$8:$BB$8,0)),ЭЭ!$F$25:$F$67,$F87,ЭЭ!$AC$25:$AC$67,"Удельный расход электроэнергии"),0)</f>
        <v>0</v>
      </c>
      <c r="AH87" s="1538">
        <f ca="1">IFERROR(SUMIFS(INDEX(Electricity_LOAD_1,,MATCH($K87&amp;"Принято органом регулирования",ЭЭ!$AE$8:$BB$8,0)),ЭЭ!$F$25:$F$67,$F87,ЭЭ!$AC$25:$AC$67,"Удельный расход электроэнергии"),0)</f>
        <v>0</v>
      </c>
      <c r="AI87" s="1538">
        <f ca="1">IFERROR(SUMIFS(INDEX(Electricity_LOAD_1,,MATCH($K87&amp;"Принято органом регулирования",ЭЭ!$AE$8:$BB$8,0)),ЭЭ!$F$25:$F$67,$F87,ЭЭ!$AC$25:$AC$67,"Удельный расход электроэнергии"),0)</f>
        <v>0</v>
      </c>
      <c r="AJ87" s="1546"/>
      <c r="AK87" s="1546"/>
      <c r="AL87" s="320"/>
      <c r="AM87" s="1177" t="s">
        <v>2072</v>
      </c>
      <c r="AN87" s="1177"/>
      <c r="AO87" s="966" cm="1">
        <f t="array" ref="AO87">K87</f>
        <v>2031</v>
      </c>
      <c r="AP87" s="1177"/>
      <c r="AQ87" s="1177"/>
    </row>
    <row r="88" spans="1:43" s="1552" customFormat="1" ht="14.25" hidden="1" customHeight="1">
      <c r="A88" s="1177"/>
      <c r="B88" s="362" t="b">
        <f t="shared" si="4"/>
        <v>0</v>
      </c>
      <c r="C88" s="1177"/>
      <c r="D88" s="1177"/>
      <c r="E88" s="620">
        <v>15</v>
      </c>
      <c r="F88" s="3" t="str" cm="1">
        <f t="array" aca="1" ref="F88" ca="1">OFFSET(E88,-1,1)</f>
        <v>1</v>
      </c>
      <c r="G88" s="1177"/>
      <c r="H88" s="1177"/>
      <c r="I88" s="1177"/>
      <c r="J88" s="1177"/>
      <c r="K88" s="77">
        <f>first_year+6</f>
        <v>2032</v>
      </c>
      <c r="L88" s="1177"/>
      <c r="M88" s="1177"/>
      <c r="N88" s="1177"/>
      <c r="O88" s="1177"/>
      <c r="P88" s="1177"/>
      <c r="Q88" s="1177"/>
      <c r="R88" s="1177"/>
      <c r="S88" s="1177"/>
      <c r="T88" s="381" t="b" cm="1">
        <f t="array" ref="T88">T87</f>
        <v>1</v>
      </c>
      <c r="U88" s="1177"/>
      <c r="V88" s="1177"/>
      <c r="W88" s="1177"/>
      <c r="X88" s="1755"/>
      <c r="Y88" s="1177"/>
      <c r="Z88" s="1735"/>
      <c r="AA88" s="1177"/>
      <c r="AB88" s="747" t="str">
        <f t="shared" si="5"/>
        <v>2032 год</v>
      </c>
      <c r="AC88" s="1539"/>
      <c r="AD88" s="1538">
        <f ca="1">IFERROR(SUMIFS(INDEX(Сценарии!$AE$25:$BF$82,,MATCH($K88&amp;"Принято органом регулирования",Сценарии!$AE$8:$BF$8,0)),Сценарии!$F$25:$F$82,$F88,Сценарии!$AC$25:$AC$82,"Индекс эффективности операционных расходов"),0)</f>
        <v>0</v>
      </c>
      <c r="AE88" s="1539"/>
      <c r="AF88" s="1539">
        <f ca="1">IFERROR(SUMIFS(INDEX(Баланс!$AE$25:$BB$209,,MATCH($K88&amp;"Принято органом регулирования",Баланс!$AE$8:$BB$8,0)),Баланс!$F$25:$F$209,$F88,Баланс!$AC$24:$AC$209,"Уровень потерь воды"),0)</f>
        <v>0</v>
      </c>
      <c r="AG88" s="1540">
        <f ca="1">IFERROR(SUMIFS(INDEX(Electricity_LOAD_1,,MATCH($K88&amp;"Принято органом регулирования",ЭЭ!$AE$8:$BB$8,0)),ЭЭ!$F$25:$F$67,$F88,ЭЭ!$AC$25:$AC$67,"Удельный расход электроэнергии"),0)</f>
        <v>0</v>
      </c>
      <c r="AH88" s="1538">
        <f ca="1">IFERROR(SUMIFS(INDEX(Electricity_LOAD_1,,MATCH($K88&amp;"Принято органом регулирования",ЭЭ!$AE$8:$BB$8,0)),ЭЭ!$F$25:$F$67,$F88,ЭЭ!$AC$25:$AC$67,"Удельный расход электроэнергии"),0)</f>
        <v>0</v>
      </c>
      <c r="AI88" s="1538">
        <f ca="1">IFERROR(SUMIFS(INDEX(Electricity_LOAD_1,,MATCH($K88&amp;"Принято органом регулирования",ЭЭ!$AE$8:$BB$8,0)),ЭЭ!$F$25:$F$67,$F88,ЭЭ!$AC$25:$AC$67,"Удельный расход электроэнергии"),0)</f>
        <v>0</v>
      </c>
      <c r="AJ88" s="1546"/>
      <c r="AK88" s="1546"/>
      <c r="AL88" s="320"/>
      <c r="AM88" s="1177" t="s">
        <v>2072</v>
      </c>
      <c r="AN88" s="1177"/>
      <c r="AO88" s="966" cm="1">
        <f t="array" ref="AO88">K88</f>
        <v>2032</v>
      </c>
      <c r="AP88" s="1177"/>
      <c r="AQ88" s="1177"/>
    </row>
    <row r="89" spans="1:43" s="1553" customFormat="1" ht="14.25" hidden="1" customHeight="1">
      <c r="A89" s="1177"/>
      <c r="B89" s="362" t="b">
        <f t="shared" si="4"/>
        <v>0</v>
      </c>
      <c r="C89" s="1177"/>
      <c r="D89" s="1177"/>
      <c r="E89" s="620">
        <v>15</v>
      </c>
      <c r="F89" s="3" t="str" cm="1">
        <f t="array" aca="1" ref="F89" ca="1">OFFSET(E89,-1,1)</f>
        <v>1</v>
      </c>
      <c r="G89" s="1177"/>
      <c r="H89" s="1177"/>
      <c r="I89" s="1177"/>
      <c r="J89" s="1177"/>
      <c r="K89" s="77">
        <f>first_year+7</f>
        <v>2033</v>
      </c>
      <c r="L89" s="1177"/>
      <c r="M89" s="1177"/>
      <c r="N89" s="1177"/>
      <c r="O89" s="1177"/>
      <c r="P89" s="1177"/>
      <c r="Q89" s="1177"/>
      <c r="R89" s="1177"/>
      <c r="S89" s="1177"/>
      <c r="T89" s="381" t="b" cm="1">
        <f t="array" ref="T89">T88</f>
        <v>1</v>
      </c>
      <c r="U89" s="1177"/>
      <c r="V89" s="1177"/>
      <c r="W89" s="1177"/>
      <c r="X89" s="1755"/>
      <c r="Y89" s="1177"/>
      <c r="Z89" s="1735"/>
      <c r="AA89" s="1177"/>
      <c r="AB89" s="747" t="str">
        <f t="shared" si="5"/>
        <v>2033 год</v>
      </c>
      <c r="AC89" s="1539"/>
      <c r="AD89" s="1538">
        <f ca="1">IFERROR(SUMIFS(INDEX(Сценарии!$AE$25:$BF$82,,MATCH($K89&amp;"Принято органом регулирования",Сценарии!$AE$8:$BF$8,0)),Сценарии!$F$25:$F$82,$F89,Сценарии!$AC$25:$AC$82,"Индекс эффективности операционных расходов"),0)</f>
        <v>0</v>
      </c>
      <c r="AE89" s="1539"/>
      <c r="AF89" s="1539">
        <f ca="1">IFERROR(SUMIFS(INDEX(Баланс!$AE$25:$BB$209,,MATCH($K89&amp;"Принято органом регулирования",Баланс!$AE$8:$BB$8,0)),Баланс!$F$25:$F$209,$F89,Баланс!$AC$24:$AC$209,"Уровень потерь воды"),0)</f>
        <v>0</v>
      </c>
      <c r="AG89" s="1540">
        <f ca="1">IFERROR(SUMIFS(INDEX(Electricity_LOAD_1,,MATCH($K89&amp;"Принято органом регулирования",ЭЭ!$AE$8:$BB$8,0)),ЭЭ!$F$25:$F$67,$F89,ЭЭ!$AC$25:$AC$67,"Удельный расход электроэнергии"),0)</f>
        <v>0</v>
      </c>
      <c r="AH89" s="1538">
        <f ca="1">IFERROR(SUMIFS(INDEX(Electricity_LOAD_1,,MATCH($K89&amp;"Принято органом регулирования",ЭЭ!$AE$8:$BB$8,0)),ЭЭ!$F$25:$F$67,$F89,ЭЭ!$AC$25:$AC$67,"Удельный расход электроэнергии"),0)</f>
        <v>0</v>
      </c>
      <c r="AI89" s="1538">
        <f ca="1">IFERROR(SUMIFS(INDEX(Electricity_LOAD_1,,MATCH($K89&amp;"Принято органом регулирования",ЭЭ!$AE$8:$BB$8,0)),ЭЭ!$F$25:$F$67,$F89,ЭЭ!$AC$25:$AC$67,"Удельный расход электроэнергии"),0)</f>
        <v>0</v>
      </c>
      <c r="AJ89" s="1546"/>
      <c r="AK89" s="1546"/>
      <c r="AL89" s="320"/>
      <c r="AM89" s="1177" t="s">
        <v>2072</v>
      </c>
      <c r="AN89" s="1177"/>
      <c r="AO89" s="966" cm="1">
        <f t="array" ref="AO89">K89</f>
        <v>2033</v>
      </c>
      <c r="AP89" s="1177"/>
      <c r="AQ89" s="1177"/>
    </row>
    <row r="90" spans="1:43" s="1554" customFormat="1" ht="14.25" hidden="1" customHeight="1">
      <c r="A90" s="1177"/>
      <c r="B90" s="362" t="b">
        <f t="shared" si="4"/>
        <v>0</v>
      </c>
      <c r="C90" s="1177"/>
      <c r="D90" s="1177"/>
      <c r="E90" s="620">
        <v>15</v>
      </c>
      <c r="F90" s="3" t="str" cm="1">
        <f t="array" aca="1" ref="F90" ca="1">OFFSET(E90,-1,1)</f>
        <v>1</v>
      </c>
      <c r="G90" s="1177"/>
      <c r="H90" s="1177"/>
      <c r="I90" s="1177"/>
      <c r="J90" s="1177"/>
      <c r="K90" s="77">
        <f>first_year+8</f>
        <v>2034</v>
      </c>
      <c r="L90" s="1177"/>
      <c r="M90" s="1177"/>
      <c r="N90" s="1177"/>
      <c r="O90" s="1177"/>
      <c r="P90" s="1177"/>
      <c r="Q90" s="1177"/>
      <c r="R90" s="1177"/>
      <c r="S90" s="1177"/>
      <c r="T90" s="381" t="b" cm="1">
        <f t="array" ref="T90">T89</f>
        <v>1</v>
      </c>
      <c r="U90" s="1177"/>
      <c r="V90" s="1177"/>
      <c r="W90" s="1177"/>
      <c r="X90" s="1755"/>
      <c r="Y90" s="1177"/>
      <c r="Z90" s="1735"/>
      <c r="AA90" s="1177"/>
      <c r="AB90" s="747" t="str">
        <f t="shared" si="5"/>
        <v>2034 год</v>
      </c>
      <c r="AC90" s="1539"/>
      <c r="AD90" s="1538">
        <f ca="1">IFERROR(SUMIFS(INDEX(Сценарии!$AE$25:$BF$82,,MATCH($K90&amp;"Принято органом регулирования",Сценарии!$AE$8:$BF$8,0)),Сценарии!$F$25:$F$82,$F90,Сценарии!$AC$25:$AC$82,"Индекс эффективности операционных расходов"),0)</f>
        <v>0</v>
      </c>
      <c r="AE90" s="1539"/>
      <c r="AF90" s="1539">
        <f ca="1">IFERROR(SUMIFS(INDEX(Баланс!$AE$25:$BB$209,,MATCH($K90&amp;"Принято органом регулирования",Баланс!$AE$8:$BB$8,0)),Баланс!$F$25:$F$209,$F90,Баланс!$AC$24:$AC$209,"Уровень потерь воды"),0)</f>
        <v>0</v>
      </c>
      <c r="AG90" s="1540">
        <f ca="1">IFERROR(SUMIFS(INDEX(Electricity_LOAD_1,,MATCH($K90&amp;"Принято органом регулирования",ЭЭ!$AE$8:$BB$8,0)),ЭЭ!$F$25:$F$67,$F90,ЭЭ!$AC$25:$AC$67,"Удельный расход электроэнергии"),0)</f>
        <v>0</v>
      </c>
      <c r="AH90" s="1538">
        <f ca="1">IFERROR(SUMIFS(INDEX(Electricity_LOAD_1,,MATCH($K90&amp;"Принято органом регулирования",ЭЭ!$AE$8:$BB$8,0)),ЭЭ!$F$25:$F$67,$F90,ЭЭ!$AC$25:$AC$67,"Удельный расход электроэнергии"),0)</f>
        <v>0</v>
      </c>
      <c r="AI90" s="1538">
        <f ca="1">IFERROR(SUMIFS(INDEX(Electricity_LOAD_1,,MATCH($K90&amp;"Принято органом регулирования",ЭЭ!$AE$8:$BB$8,0)),ЭЭ!$F$25:$F$67,$F90,ЭЭ!$AC$25:$AC$67,"Удельный расход электроэнергии"),0)</f>
        <v>0</v>
      </c>
      <c r="AJ90" s="1546"/>
      <c r="AK90" s="1546"/>
      <c r="AL90" s="320"/>
      <c r="AM90" s="1177" t="s">
        <v>2072</v>
      </c>
      <c r="AN90" s="1177"/>
      <c r="AO90" s="966" cm="1">
        <f t="array" ref="AO90">K90</f>
        <v>2034</v>
      </c>
      <c r="AP90" s="1177"/>
      <c r="AQ90" s="1177"/>
    </row>
    <row r="91" spans="1:43" s="1555" customFormat="1" ht="14.25" hidden="1" customHeight="1">
      <c r="A91" s="1177"/>
      <c r="B91" s="362" t="b">
        <f t="shared" si="4"/>
        <v>0</v>
      </c>
      <c r="C91" s="1177"/>
      <c r="D91" s="1177"/>
      <c r="E91" s="620">
        <v>15</v>
      </c>
      <c r="F91" s="3" t="str" cm="1">
        <f t="array" aca="1" ref="F91" ca="1">OFFSET(E91,-1,1)</f>
        <v>1</v>
      </c>
      <c r="G91" s="1177"/>
      <c r="H91" s="1177"/>
      <c r="I91" s="1177"/>
      <c r="J91" s="1177"/>
      <c r="K91" s="77">
        <f>first_year+9</f>
        <v>2035</v>
      </c>
      <c r="L91" s="1177"/>
      <c r="M91" s="1177"/>
      <c r="N91" s="1177"/>
      <c r="O91" s="1177"/>
      <c r="P91" s="1177"/>
      <c r="Q91" s="1177"/>
      <c r="R91" s="1177"/>
      <c r="S91" s="1177"/>
      <c r="T91" s="381" t="b" cm="1">
        <f t="array" ref="T91">T90</f>
        <v>1</v>
      </c>
      <c r="U91" s="1177"/>
      <c r="V91" s="1177"/>
      <c r="W91" s="1177"/>
      <c r="X91" s="1755"/>
      <c r="Y91" s="1177"/>
      <c r="Z91" s="1735"/>
      <c r="AA91" s="1177"/>
      <c r="AB91" s="747" t="str">
        <f t="shared" si="5"/>
        <v>2035 год</v>
      </c>
      <c r="AC91" s="1539"/>
      <c r="AD91" s="1538">
        <f ca="1">IFERROR(SUMIFS(INDEX(Сценарии!$AE$25:$BF$82,,MATCH($K91&amp;"Принято органом регулирования",Сценарии!$AE$8:$BF$8,0)),Сценарии!$F$25:$F$82,$F91,Сценарии!$AC$25:$AC$82,"Индекс эффективности операционных расходов"),0)</f>
        <v>0</v>
      </c>
      <c r="AE91" s="1539"/>
      <c r="AF91" s="1539">
        <f ca="1">IFERROR(SUMIFS(INDEX(Баланс!$AE$25:$BB$209,,MATCH($K91&amp;"Принято органом регулирования",Баланс!$AE$8:$BB$8,0)),Баланс!$F$25:$F$209,$F91,Баланс!$AC$24:$AC$209,"Уровень потерь воды"),0)</f>
        <v>0</v>
      </c>
      <c r="AG91" s="1540">
        <f ca="1">IFERROR(SUMIFS(INDEX(Electricity_LOAD_1,,MATCH($K91&amp;"Принято органом регулирования",ЭЭ!$AE$8:$BB$8,0)),ЭЭ!$F$25:$F$67,$F91,ЭЭ!$AC$25:$AC$67,"Удельный расход электроэнергии"),0)</f>
        <v>0</v>
      </c>
      <c r="AH91" s="1538">
        <f ca="1">IFERROR(SUMIFS(INDEX(Electricity_LOAD_1,,MATCH($K91&amp;"Принято органом регулирования",ЭЭ!$AE$8:$BB$8,0)),ЭЭ!$F$25:$F$67,$F91,ЭЭ!$AC$25:$AC$67,"Удельный расход электроэнергии"),0)</f>
        <v>0</v>
      </c>
      <c r="AI91" s="1538">
        <f ca="1">IFERROR(SUMIFS(INDEX(Electricity_LOAD_1,,MATCH($K91&amp;"Принято органом регулирования",ЭЭ!$AE$8:$BB$8,0)),ЭЭ!$F$25:$F$67,$F91,ЭЭ!$AC$25:$AC$67,"Удельный расход электроэнергии"),0)</f>
        <v>0</v>
      </c>
      <c r="AJ91" s="1546"/>
      <c r="AK91" s="1546"/>
      <c r="AL91" s="320"/>
      <c r="AM91" s="1177" t="s">
        <v>2072</v>
      </c>
      <c r="AN91" s="1177"/>
      <c r="AO91" s="966" cm="1">
        <f t="array" ref="AO91">K91</f>
        <v>2035</v>
      </c>
      <c r="AP91" s="1177"/>
      <c r="AQ91" s="1177"/>
    </row>
    <row r="92" spans="1:43" s="1556" customFormat="1" ht="14.25" hidden="1" customHeight="1">
      <c r="A92" s="1177"/>
      <c r="B92" s="362" t="b">
        <f t="shared" si="4"/>
        <v>0</v>
      </c>
      <c r="C92" s="1177"/>
      <c r="D92" s="1177"/>
      <c r="E92" s="620">
        <v>15</v>
      </c>
      <c r="F92" s="3" t="str" cm="1">
        <f t="array" aca="1" ref="F92" ca="1">OFFSET(E92,-1,1)</f>
        <v>1</v>
      </c>
      <c r="G92" s="1177"/>
      <c r="H92" s="1177"/>
      <c r="I92" s="1177"/>
      <c r="J92" s="1177"/>
      <c r="K92" s="77">
        <f>first_year+10</f>
        <v>2036</v>
      </c>
      <c r="L92" s="1177"/>
      <c r="M92" s="1177"/>
      <c r="N92" s="1177"/>
      <c r="O92" s="1177"/>
      <c r="P92" s="1177"/>
      <c r="Q92" s="1177"/>
      <c r="R92" s="1177"/>
      <c r="S92" s="1177"/>
      <c r="T92" s="381" t="b" cm="1">
        <f t="array" ref="T92">T91</f>
        <v>1</v>
      </c>
      <c r="U92" s="1177"/>
      <c r="V92" s="1177"/>
      <c r="W92" s="1177"/>
      <c r="X92" s="1755"/>
      <c r="Y92" s="1177"/>
      <c r="Z92" s="1735"/>
      <c r="AA92" s="1177"/>
      <c r="AB92" s="747" t="str">
        <f t="shared" si="5"/>
        <v>2036 год</v>
      </c>
      <c r="AC92" s="1539"/>
      <c r="AD92" s="1538"/>
      <c r="AE92" s="1539"/>
      <c r="AF92" s="1539"/>
      <c r="AG92" s="1538"/>
      <c r="AH92" s="1538"/>
      <c r="AI92" s="1538"/>
      <c r="AJ92" s="1546"/>
      <c r="AK92" s="1557"/>
      <c r="AL92" s="320"/>
      <c r="AM92" s="1177"/>
      <c r="AN92" s="1177"/>
      <c r="AO92" s="966" cm="1">
        <f t="array" ref="AO92">K92</f>
        <v>2036</v>
      </c>
      <c r="AP92" s="1177"/>
      <c r="AQ92" s="1177"/>
    </row>
    <row r="93" spans="1:43" s="1558" customFormat="1" ht="14.25" hidden="1" customHeight="1">
      <c r="A93" s="1177"/>
      <c r="B93" s="362" t="b">
        <f t="shared" si="4"/>
        <v>0</v>
      </c>
      <c r="C93" s="1177"/>
      <c r="D93" s="1177"/>
      <c r="E93" s="620">
        <v>15</v>
      </c>
      <c r="F93" s="3" t="str" cm="1">
        <f t="array" aca="1" ref="F93" ca="1">OFFSET(E93,-1,1)</f>
        <v>1</v>
      </c>
      <c r="G93" s="1177"/>
      <c r="H93" s="1177"/>
      <c r="I93" s="1177"/>
      <c r="J93" s="1177"/>
      <c r="K93" s="77">
        <f>first_year+11</f>
        <v>2037</v>
      </c>
      <c r="L93" s="1177"/>
      <c r="M93" s="1177"/>
      <c r="N93" s="1177"/>
      <c r="O93" s="1177"/>
      <c r="P93" s="1177"/>
      <c r="Q93" s="1177"/>
      <c r="R93" s="1177"/>
      <c r="S93" s="1177"/>
      <c r="T93" s="381" t="b" cm="1">
        <f t="array" ref="T93">T92</f>
        <v>1</v>
      </c>
      <c r="U93" s="1177"/>
      <c r="V93" s="1177"/>
      <c r="W93" s="1177"/>
      <c r="X93" s="1755"/>
      <c r="Y93" s="1177"/>
      <c r="Z93" s="1735"/>
      <c r="AA93" s="1177"/>
      <c r="AB93" s="172" t="str">
        <f t="shared" si="5"/>
        <v>2037 год</v>
      </c>
      <c r="AC93" s="1539"/>
      <c r="AD93" s="1542"/>
      <c r="AE93" s="1543"/>
      <c r="AF93" s="1543"/>
      <c r="AG93" s="1542"/>
      <c r="AH93" s="1542"/>
      <c r="AI93" s="1542"/>
      <c r="AJ93" s="1559"/>
      <c r="AK93" s="1560"/>
      <c r="AL93" s="320"/>
      <c r="AM93" s="1177"/>
      <c r="AN93" s="1177"/>
      <c r="AO93" s="966" cm="1">
        <f t="array" ref="AO93">K93</f>
        <v>2037</v>
      </c>
      <c r="AP93" s="1177"/>
      <c r="AQ93" s="1177"/>
    </row>
    <row r="94" spans="1:43" s="1561" customFormat="1" ht="14.25" hidden="1" customHeight="1">
      <c r="A94" s="1177"/>
      <c r="B94" s="362" t="b">
        <f t="shared" si="4"/>
        <v>0</v>
      </c>
      <c r="C94" s="1177"/>
      <c r="D94" s="1177"/>
      <c r="E94" s="620">
        <v>15</v>
      </c>
      <c r="F94" s="3" t="str" cm="1">
        <f t="array" aca="1" ref="F94" ca="1">OFFSET(E94,-1,1)</f>
        <v>1</v>
      </c>
      <c r="G94" s="1177"/>
      <c r="H94" s="1177"/>
      <c r="I94" s="1177"/>
      <c r="J94" s="1177"/>
      <c r="K94" s="77">
        <f>first_year+12</f>
        <v>2038</v>
      </c>
      <c r="L94" s="1177"/>
      <c r="M94" s="1177"/>
      <c r="N94" s="1177"/>
      <c r="O94" s="1177"/>
      <c r="P94" s="1177"/>
      <c r="Q94" s="1177"/>
      <c r="R94" s="1177"/>
      <c r="S94" s="1177"/>
      <c r="T94" s="381" t="b" cm="1">
        <f t="array" ref="T94">T93</f>
        <v>1</v>
      </c>
      <c r="U94" s="1177"/>
      <c r="V94" s="1177"/>
      <c r="W94" s="1177"/>
      <c r="X94" s="1755"/>
      <c r="Y94" s="1177"/>
      <c r="Z94" s="1735"/>
      <c r="AA94" s="1177"/>
      <c r="AB94" s="172" t="str">
        <f t="shared" si="5"/>
        <v>2038 год</v>
      </c>
      <c r="AC94" s="1539"/>
      <c r="AD94" s="1542"/>
      <c r="AE94" s="1543"/>
      <c r="AF94" s="1543"/>
      <c r="AG94" s="1542"/>
      <c r="AH94" s="1542"/>
      <c r="AI94" s="1542"/>
      <c r="AJ94" s="1559"/>
      <c r="AK94" s="1560"/>
      <c r="AL94" s="320"/>
      <c r="AM94" s="1177"/>
      <c r="AN94" s="1177"/>
      <c r="AO94" s="966" cm="1">
        <f t="array" ref="AO94">K94</f>
        <v>2038</v>
      </c>
      <c r="AP94" s="1177"/>
      <c r="AQ94" s="1177"/>
    </row>
    <row r="95" spans="1:43" s="1562" customFormat="1" ht="14.25" hidden="1" customHeight="1">
      <c r="A95" s="1177"/>
      <c r="B95" s="362" t="b">
        <f t="shared" si="4"/>
        <v>0</v>
      </c>
      <c r="C95" s="1177"/>
      <c r="D95" s="1177"/>
      <c r="E95" s="620">
        <v>15</v>
      </c>
      <c r="F95" s="3" t="str" cm="1">
        <f t="array" aca="1" ref="F95" ca="1">OFFSET(E95,-1,1)</f>
        <v>1</v>
      </c>
      <c r="G95" s="1177"/>
      <c r="H95" s="1177"/>
      <c r="I95" s="1177"/>
      <c r="J95" s="1177"/>
      <c r="K95" s="77">
        <f>first_year+13</f>
        <v>2039</v>
      </c>
      <c r="L95" s="1177"/>
      <c r="M95" s="1177"/>
      <c r="N95" s="1177"/>
      <c r="O95" s="1177"/>
      <c r="P95" s="1177"/>
      <c r="Q95" s="1177"/>
      <c r="R95" s="1177"/>
      <c r="S95" s="1177"/>
      <c r="T95" s="381" t="b" cm="1">
        <f t="array" ref="T95">T94</f>
        <v>1</v>
      </c>
      <c r="U95" s="1177"/>
      <c r="V95" s="1177"/>
      <c r="W95" s="1177"/>
      <c r="X95" s="1755"/>
      <c r="Y95" s="1177"/>
      <c r="Z95" s="1735"/>
      <c r="AA95" s="1177"/>
      <c r="AB95" s="172" t="str">
        <f t="shared" si="5"/>
        <v>2039 год</v>
      </c>
      <c r="AC95" s="1539"/>
      <c r="AD95" s="1542"/>
      <c r="AE95" s="1543"/>
      <c r="AF95" s="1543"/>
      <c r="AG95" s="1542"/>
      <c r="AH95" s="1542"/>
      <c r="AI95" s="1542"/>
      <c r="AJ95" s="1559"/>
      <c r="AK95" s="1560"/>
      <c r="AL95" s="320"/>
      <c r="AM95" s="1177"/>
      <c r="AN95" s="1177"/>
      <c r="AO95" s="966" cm="1">
        <f t="array" ref="AO95">K95</f>
        <v>2039</v>
      </c>
      <c r="AP95" s="1177"/>
      <c r="AQ95" s="1177"/>
    </row>
    <row r="96" spans="1:43" s="1563" customFormat="1" ht="14.25" hidden="1" customHeight="1">
      <c r="A96" s="1177"/>
      <c r="B96" s="362" t="b">
        <f t="shared" si="4"/>
        <v>0</v>
      </c>
      <c r="C96" s="1177"/>
      <c r="D96" s="1177"/>
      <c r="E96" s="620">
        <v>15</v>
      </c>
      <c r="F96" s="3" t="str" cm="1">
        <f t="array" aca="1" ref="F96" ca="1">OFFSET(E96,-1,1)</f>
        <v>1</v>
      </c>
      <c r="G96" s="1177"/>
      <c r="H96" s="1177"/>
      <c r="I96" s="1177"/>
      <c r="J96" s="1177"/>
      <c r="K96" s="77">
        <f>first_year+14</f>
        <v>2040</v>
      </c>
      <c r="L96" s="1177"/>
      <c r="M96" s="1177"/>
      <c r="N96" s="1177"/>
      <c r="O96" s="1177"/>
      <c r="P96" s="1177"/>
      <c r="Q96" s="1177"/>
      <c r="R96" s="1177"/>
      <c r="S96" s="1177"/>
      <c r="T96" s="381" t="b" cm="1">
        <f t="array" ref="T96">T95</f>
        <v>1</v>
      </c>
      <c r="U96" s="1177"/>
      <c r="V96" s="1177"/>
      <c r="W96" s="1177"/>
      <c r="X96" s="1755"/>
      <c r="Y96" s="1177"/>
      <c r="Z96" s="1735"/>
      <c r="AA96" s="1177"/>
      <c r="AB96" s="172" t="str">
        <f t="shared" si="5"/>
        <v>2040 год</v>
      </c>
      <c r="AC96" s="1539"/>
      <c r="AD96" s="1542"/>
      <c r="AE96" s="1543"/>
      <c r="AF96" s="1543"/>
      <c r="AG96" s="1542"/>
      <c r="AH96" s="1542"/>
      <c r="AI96" s="1542"/>
      <c r="AJ96" s="1559"/>
      <c r="AK96" s="1560"/>
      <c r="AL96" s="320"/>
      <c r="AM96" s="1177"/>
      <c r="AN96" s="1177"/>
      <c r="AO96" s="966" cm="1">
        <f t="array" ref="AO96">K96</f>
        <v>2040</v>
      </c>
      <c r="AP96" s="1177"/>
      <c r="AQ96" s="1177"/>
    </row>
    <row r="97" spans="1:43" s="1564" customFormat="1" ht="14.25" hidden="1" customHeight="1">
      <c r="A97" s="1177"/>
      <c r="B97" s="362" t="b">
        <f t="shared" si="4"/>
        <v>0</v>
      </c>
      <c r="C97" s="1177"/>
      <c r="D97" s="1177"/>
      <c r="E97" s="620">
        <v>15</v>
      </c>
      <c r="F97" s="3" t="str" cm="1">
        <f t="array" aca="1" ref="F97" ca="1">OFFSET(E97,-1,1)</f>
        <v>1</v>
      </c>
      <c r="G97" s="1177"/>
      <c r="H97" s="1177"/>
      <c r="I97" s="1177"/>
      <c r="J97" s="1177"/>
      <c r="K97" s="77">
        <f>first_year+15</f>
        <v>2041</v>
      </c>
      <c r="L97" s="1177"/>
      <c r="M97" s="1177"/>
      <c r="N97" s="1177"/>
      <c r="O97" s="1177"/>
      <c r="P97" s="1177"/>
      <c r="Q97" s="1177"/>
      <c r="R97" s="1177"/>
      <c r="S97" s="1177"/>
      <c r="T97" s="381" t="b" cm="1">
        <f t="array" ref="T97">T96</f>
        <v>1</v>
      </c>
      <c r="U97" s="1177"/>
      <c r="V97" s="1177"/>
      <c r="W97" s="1177"/>
      <c r="X97" s="1755"/>
      <c r="Y97" s="1177"/>
      <c r="Z97" s="1735"/>
      <c r="AA97" s="1177"/>
      <c r="AB97" s="172" t="str">
        <f t="shared" si="5"/>
        <v>2041 год</v>
      </c>
      <c r="AC97" s="1539"/>
      <c r="AD97" s="1542"/>
      <c r="AE97" s="1543"/>
      <c r="AF97" s="1543"/>
      <c r="AG97" s="1542"/>
      <c r="AH97" s="1542"/>
      <c r="AI97" s="1542"/>
      <c r="AJ97" s="1559"/>
      <c r="AK97" s="1560"/>
      <c r="AL97" s="320"/>
      <c r="AM97" s="1177"/>
      <c r="AN97" s="1177"/>
      <c r="AO97" s="966" cm="1">
        <f t="array" ref="AO97">K97</f>
        <v>2041</v>
      </c>
      <c r="AP97" s="1177"/>
      <c r="AQ97" s="1177"/>
    </row>
    <row r="98" spans="1:43" s="1565" customFormat="1" ht="14.25" hidden="1" customHeight="1">
      <c r="A98" s="1177"/>
      <c r="B98" s="362" t="b">
        <f t="shared" si="4"/>
        <v>0</v>
      </c>
      <c r="C98" s="1177"/>
      <c r="D98" s="1177"/>
      <c r="E98" s="620">
        <v>15</v>
      </c>
      <c r="F98" s="3" t="str" cm="1">
        <f t="array" aca="1" ref="F98" ca="1">OFFSET(E98,-1,1)</f>
        <v>1</v>
      </c>
      <c r="G98" s="1177"/>
      <c r="H98" s="1177"/>
      <c r="I98" s="1177"/>
      <c r="J98" s="1177"/>
      <c r="K98" s="77">
        <f>first_year+16</f>
        <v>2042</v>
      </c>
      <c r="L98" s="1177"/>
      <c r="M98" s="1177"/>
      <c r="N98" s="1177"/>
      <c r="O98" s="1177"/>
      <c r="P98" s="1177"/>
      <c r="Q98" s="1177"/>
      <c r="R98" s="1177"/>
      <c r="S98" s="1177"/>
      <c r="T98" s="381" t="b" cm="1">
        <f t="array" ref="T98">T97</f>
        <v>1</v>
      </c>
      <c r="U98" s="1177"/>
      <c r="V98" s="1177"/>
      <c r="W98" s="1177"/>
      <c r="X98" s="1755"/>
      <c r="Y98" s="1177"/>
      <c r="Z98" s="1735"/>
      <c r="AA98" s="1177"/>
      <c r="AB98" s="172" t="str">
        <f t="shared" si="5"/>
        <v>2042 год</v>
      </c>
      <c r="AC98" s="1539"/>
      <c r="AD98" s="1542"/>
      <c r="AE98" s="1543"/>
      <c r="AF98" s="1543"/>
      <c r="AG98" s="1542"/>
      <c r="AH98" s="1542"/>
      <c r="AI98" s="1542"/>
      <c r="AJ98" s="1559"/>
      <c r="AK98" s="1560"/>
      <c r="AL98" s="320"/>
      <c r="AM98" s="1177"/>
      <c r="AN98" s="1177"/>
      <c r="AO98" s="966" cm="1">
        <f t="array" ref="AO98">K98</f>
        <v>2042</v>
      </c>
      <c r="AP98" s="1177"/>
      <c r="AQ98" s="1177"/>
    </row>
    <row r="99" spans="1:43" s="1566" customFormat="1" ht="14.25" hidden="1" customHeight="1">
      <c r="A99" s="1177"/>
      <c r="B99" s="362" t="b">
        <f t="shared" si="4"/>
        <v>0</v>
      </c>
      <c r="C99" s="1177"/>
      <c r="D99" s="1177"/>
      <c r="E99" s="620">
        <v>15</v>
      </c>
      <c r="F99" s="3" t="str" cm="1">
        <f t="array" aca="1" ref="F99" ca="1">OFFSET(E99,-1,1)</f>
        <v>1</v>
      </c>
      <c r="G99" s="1177"/>
      <c r="H99" s="1177"/>
      <c r="I99" s="1177"/>
      <c r="J99" s="1177"/>
      <c r="K99" s="77">
        <f>first_year+17</f>
        <v>2043</v>
      </c>
      <c r="L99" s="1177"/>
      <c r="M99" s="1177"/>
      <c r="N99" s="1177"/>
      <c r="O99" s="1177"/>
      <c r="P99" s="1177"/>
      <c r="Q99" s="1177"/>
      <c r="R99" s="1177"/>
      <c r="S99" s="1177"/>
      <c r="T99" s="381" t="b" cm="1">
        <f t="array" ref="T99">T98</f>
        <v>1</v>
      </c>
      <c r="U99" s="1177"/>
      <c r="V99" s="1177"/>
      <c r="W99" s="1177"/>
      <c r="X99" s="1755"/>
      <c r="Y99" s="1177"/>
      <c r="Z99" s="1735"/>
      <c r="AA99" s="1177"/>
      <c r="AB99" s="172" t="str">
        <f t="shared" si="5"/>
        <v>2043 год</v>
      </c>
      <c r="AC99" s="1539"/>
      <c r="AD99" s="1542"/>
      <c r="AE99" s="1543"/>
      <c r="AF99" s="1543"/>
      <c r="AG99" s="1542"/>
      <c r="AH99" s="1542"/>
      <c r="AI99" s="1542"/>
      <c r="AJ99" s="1559"/>
      <c r="AK99" s="1560"/>
      <c r="AL99" s="320"/>
      <c r="AM99" s="1177"/>
      <c r="AN99" s="1177"/>
      <c r="AO99" s="966" cm="1">
        <f t="array" ref="AO99">K99</f>
        <v>2043</v>
      </c>
      <c r="AP99" s="1177"/>
      <c r="AQ99" s="1177"/>
    </row>
    <row r="100" spans="1:43" s="1567" customFormat="1" ht="14.25" hidden="1" customHeight="1">
      <c r="A100" s="1177"/>
      <c r="B100" s="362" t="b">
        <f t="shared" si="4"/>
        <v>0</v>
      </c>
      <c r="C100" s="1177"/>
      <c r="D100" s="1177"/>
      <c r="E100" s="620">
        <v>15</v>
      </c>
      <c r="F100" s="3" t="str" cm="1">
        <f t="array" aca="1" ref="F100" ca="1">OFFSET(E100,-1,1)</f>
        <v>1</v>
      </c>
      <c r="G100" s="1177"/>
      <c r="H100" s="1177"/>
      <c r="I100" s="1177"/>
      <c r="J100" s="1177"/>
      <c r="K100" s="77">
        <f>first_year+18</f>
        <v>2044</v>
      </c>
      <c r="L100" s="1177"/>
      <c r="M100" s="1177"/>
      <c r="N100" s="1177"/>
      <c r="O100" s="1177"/>
      <c r="P100" s="1177"/>
      <c r="Q100" s="1177"/>
      <c r="R100" s="1177"/>
      <c r="S100" s="1177"/>
      <c r="T100" s="381" t="b" cm="1">
        <f t="array" ref="T100">T99</f>
        <v>1</v>
      </c>
      <c r="U100" s="1177"/>
      <c r="V100" s="1177"/>
      <c r="W100" s="1177"/>
      <c r="X100" s="1755"/>
      <c r="Y100" s="1177"/>
      <c r="Z100" s="1735"/>
      <c r="AA100" s="1177"/>
      <c r="AB100" s="172" t="str">
        <f t="shared" si="5"/>
        <v>2044 год</v>
      </c>
      <c r="AC100" s="1539"/>
      <c r="AD100" s="1542"/>
      <c r="AE100" s="1543"/>
      <c r="AF100" s="1543"/>
      <c r="AG100" s="1542"/>
      <c r="AH100" s="1542"/>
      <c r="AI100" s="1542"/>
      <c r="AJ100" s="1559"/>
      <c r="AK100" s="1560"/>
      <c r="AL100" s="320"/>
      <c r="AM100" s="1177"/>
      <c r="AN100" s="1177"/>
      <c r="AO100" s="966" cm="1">
        <f t="array" ref="AO100">K100</f>
        <v>2044</v>
      </c>
      <c r="AP100" s="1177"/>
      <c r="AQ100" s="1177"/>
    </row>
    <row r="101" spans="1:43" s="1568" customFormat="1" ht="14.25" hidden="1" customHeight="1">
      <c r="A101" s="1177"/>
      <c r="B101" s="362" t="b">
        <f t="shared" si="4"/>
        <v>0</v>
      </c>
      <c r="C101" s="1177"/>
      <c r="D101" s="1177"/>
      <c r="E101" s="620">
        <v>15</v>
      </c>
      <c r="F101" s="3" t="str" cm="1">
        <f t="array" aca="1" ref="F101" ca="1">OFFSET(E101,-1,1)</f>
        <v>1</v>
      </c>
      <c r="G101" s="1177"/>
      <c r="H101" s="1177"/>
      <c r="I101" s="1177"/>
      <c r="J101" s="1177"/>
      <c r="K101" s="77">
        <f>first_year+19</f>
        <v>2045</v>
      </c>
      <c r="L101" s="1177"/>
      <c r="M101" s="1177"/>
      <c r="N101" s="1177"/>
      <c r="O101" s="1177"/>
      <c r="P101" s="1177"/>
      <c r="Q101" s="1177"/>
      <c r="R101" s="1177"/>
      <c r="S101" s="1177"/>
      <c r="T101" s="381" t="b" cm="1">
        <f t="array" ref="T101">T100</f>
        <v>1</v>
      </c>
      <c r="U101" s="1177"/>
      <c r="V101" s="1177"/>
      <c r="W101" s="1177"/>
      <c r="X101" s="1755"/>
      <c r="Y101" s="1177"/>
      <c r="Z101" s="1735"/>
      <c r="AA101" s="1177"/>
      <c r="AB101" s="172" t="str">
        <f t="shared" si="5"/>
        <v>2045 год</v>
      </c>
      <c r="AC101" s="1539"/>
      <c r="AD101" s="1542"/>
      <c r="AE101" s="1543"/>
      <c r="AF101" s="1543"/>
      <c r="AG101" s="1542"/>
      <c r="AH101" s="1542"/>
      <c r="AI101" s="1542"/>
      <c r="AJ101" s="1559"/>
      <c r="AK101" s="1560"/>
      <c r="AL101" s="320"/>
      <c r="AM101" s="1177"/>
      <c r="AN101" s="1177"/>
      <c r="AO101" s="966" cm="1">
        <f t="array" ref="AO101">K101</f>
        <v>2045</v>
      </c>
      <c r="AP101" s="1177"/>
      <c r="AQ101" s="1177"/>
    </row>
    <row r="102" spans="1:43" s="1569" customFormat="1" ht="14.25" hidden="1" customHeight="1">
      <c r="A102" s="1177"/>
      <c r="B102" s="362" t="b">
        <f t="shared" si="4"/>
        <v>0</v>
      </c>
      <c r="C102" s="1177"/>
      <c r="D102" s="1177"/>
      <c r="E102" s="620">
        <v>15</v>
      </c>
      <c r="F102" s="3" t="str" cm="1">
        <f t="array" aca="1" ref="F102" ca="1">OFFSET(E102,-1,1)</f>
        <v>1</v>
      </c>
      <c r="G102" s="1177"/>
      <c r="H102" s="1177"/>
      <c r="I102" s="1177"/>
      <c r="J102" s="1177"/>
      <c r="K102" s="77">
        <f>first_year+20</f>
        <v>2046</v>
      </c>
      <c r="L102" s="1177"/>
      <c r="M102" s="1177"/>
      <c r="N102" s="1177"/>
      <c r="O102" s="1177"/>
      <c r="P102" s="1177"/>
      <c r="Q102" s="1177"/>
      <c r="R102" s="1177"/>
      <c r="S102" s="1177"/>
      <c r="T102" s="381" t="b" cm="1">
        <f t="array" ref="T102">T101</f>
        <v>1</v>
      </c>
      <c r="U102" s="1177"/>
      <c r="V102" s="1177"/>
      <c r="W102" s="1177"/>
      <c r="X102" s="1755"/>
      <c r="Y102" s="1177"/>
      <c r="Z102" s="1735"/>
      <c r="AA102" s="1177"/>
      <c r="AB102" s="172" t="str">
        <f t="shared" si="5"/>
        <v>2046 год</v>
      </c>
      <c r="AC102" s="1539"/>
      <c r="AD102" s="1542"/>
      <c r="AE102" s="1543"/>
      <c r="AF102" s="1543"/>
      <c r="AG102" s="1542"/>
      <c r="AH102" s="1542"/>
      <c r="AI102" s="1542"/>
      <c r="AJ102" s="1559"/>
      <c r="AK102" s="1560"/>
      <c r="AL102" s="320"/>
      <c r="AM102" s="1177"/>
      <c r="AN102" s="1177"/>
      <c r="AO102" s="966" cm="1">
        <f t="array" ref="AO102">K102</f>
        <v>2046</v>
      </c>
      <c r="AP102" s="1177"/>
      <c r="AQ102" s="1177"/>
    </row>
    <row r="103" spans="1:43" s="1570" customFormat="1" ht="14.25" hidden="1" customHeight="1">
      <c r="A103" s="1177"/>
      <c r="B103" s="362" t="b">
        <f t="shared" si="4"/>
        <v>0</v>
      </c>
      <c r="C103" s="1177"/>
      <c r="D103" s="1177"/>
      <c r="E103" s="620">
        <v>15</v>
      </c>
      <c r="F103" s="3" t="str" cm="1">
        <f t="array" aca="1" ref="F103" ca="1">OFFSET(E103,-1,1)</f>
        <v>1</v>
      </c>
      <c r="G103" s="1177"/>
      <c r="H103" s="1177"/>
      <c r="I103" s="1177"/>
      <c r="J103" s="1177"/>
      <c r="K103" s="77">
        <f>first_year+21</f>
        <v>2047</v>
      </c>
      <c r="L103" s="1177"/>
      <c r="M103" s="1177"/>
      <c r="N103" s="1177"/>
      <c r="O103" s="1177"/>
      <c r="P103" s="1177"/>
      <c r="Q103" s="1177"/>
      <c r="R103" s="1177"/>
      <c r="S103" s="1177"/>
      <c r="T103" s="381" t="b" cm="1">
        <f t="array" ref="T103">T102</f>
        <v>1</v>
      </c>
      <c r="U103" s="1177"/>
      <c r="V103" s="1177"/>
      <c r="W103" s="1177"/>
      <c r="X103" s="1755"/>
      <c r="Y103" s="1177"/>
      <c r="Z103" s="1735"/>
      <c r="AA103" s="1177"/>
      <c r="AB103" s="172" t="str">
        <f t="shared" si="5"/>
        <v>2047 год</v>
      </c>
      <c r="AC103" s="1539"/>
      <c r="AD103" s="1542"/>
      <c r="AE103" s="1543"/>
      <c r="AF103" s="1543"/>
      <c r="AG103" s="1542"/>
      <c r="AH103" s="1542"/>
      <c r="AI103" s="1542"/>
      <c r="AJ103" s="1559"/>
      <c r="AK103" s="1560"/>
      <c r="AL103" s="320"/>
      <c r="AM103" s="1177"/>
      <c r="AN103" s="1177"/>
      <c r="AO103" s="966" cm="1">
        <f t="array" ref="AO103">K103</f>
        <v>2047</v>
      </c>
      <c r="AP103" s="1177"/>
      <c r="AQ103" s="1177"/>
    </row>
    <row r="104" spans="1:43" s="1571" customFormat="1" ht="14.25" hidden="1" customHeight="1">
      <c r="A104" s="1177"/>
      <c r="B104" s="362" t="b">
        <f t="shared" si="4"/>
        <v>0</v>
      </c>
      <c r="C104" s="1177"/>
      <c r="D104" s="1177"/>
      <c r="E104" s="620">
        <v>15</v>
      </c>
      <c r="F104" s="3" t="str" cm="1">
        <f t="array" aca="1" ref="F104" ca="1">OFFSET(E104,-1,1)</f>
        <v>1</v>
      </c>
      <c r="G104" s="1177"/>
      <c r="H104" s="1177"/>
      <c r="I104" s="1177"/>
      <c r="J104" s="1177"/>
      <c r="K104" s="77">
        <f>first_year+22</f>
        <v>2048</v>
      </c>
      <c r="L104" s="1177"/>
      <c r="M104" s="1177"/>
      <c r="N104" s="1177"/>
      <c r="O104" s="1177"/>
      <c r="P104" s="1177"/>
      <c r="Q104" s="1177"/>
      <c r="R104" s="1177"/>
      <c r="S104" s="1177"/>
      <c r="T104" s="381" t="b" cm="1">
        <f t="array" ref="T104">T103</f>
        <v>1</v>
      </c>
      <c r="U104" s="1177"/>
      <c r="V104" s="1177"/>
      <c r="W104" s="1177"/>
      <c r="X104" s="1755"/>
      <c r="Y104" s="1177"/>
      <c r="Z104" s="1735"/>
      <c r="AA104" s="1177"/>
      <c r="AB104" s="172" t="str">
        <f t="shared" si="5"/>
        <v>2048 год</v>
      </c>
      <c r="AC104" s="1539"/>
      <c r="AD104" s="1542"/>
      <c r="AE104" s="1543"/>
      <c r="AF104" s="1543"/>
      <c r="AG104" s="1542"/>
      <c r="AH104" s="1542"/>
      <c r="AI104" s="1542"/>
      <c r="AJ104" s="1559"/>
      <c r="AK104" s="1560"/>
      <c r="AL104" s="320"/>
      <c r="AM104" s="1177"/>
      <c r="AN104" s="1177"/>
      <c r="AO104" s="966" cm="1">
        <f t="array" ref="AO104">K104</f>
        <v>2048</v>
      </c>
      <c r="AP104" s="1177"/>
      <c r="AQ104" s="1177"/>
    </row>
    <row r="105" spans="1:43" s="1572" customFormat="1" ht="14.25" hidden="1" customHeight="1">
      <c r="A105" s="1177"/>
      <c r="B105" s="362" t="b">
        <f t="shared" si="4"/>
        <v>0</v>
      </c>
      <c r="C105" s="1177"/>
      <c r="D105" s="1177"/>
      <c r="E105" s="620">
        <v>15</v>
      </c>
      <c r="F105" s="3" t="str" cm="1">
        <f t="array" aca="1" ref="F105" ca="1">OFFSET(E105,-1,1)</f>
        <v>1</v>
      </c>
      <c r="G105" s="1177"/>
      <c r="H105" s="1177"/>
      <c r="I105" s="1177"/>
      <c r="J105" s="1177"/>
      <c r="K105" s="77">
        <f>first_year+23</f>
        <v>2049</v>
      </c>
      <c r="L105" s="1177"/>
      <c r="M105" s="1177"/>
      <c r="N105" s="1177"/>
      <c r="O105" s="1177"/>
      <c r="P105" s="1177"/>
      <c r="Q105" s="1177"/>
      <c r="R105" s="1177"/>
      <c r="S105" s="1177"/>
      <c r="T105" s="381" t="b" cm="1">
        <f t="array" ref="T105">T104</f>
        <v>1</v>
      </c>
      <c r="U105" s="1177"/>
      <c r="V105" s="1177"/>
      <c r="W105" s="1177"/>
      <c r="X105" s="1755"/>
      <c r="Y105" s="1177"/>
      <c r="Z105" s="1735"/>
      <c r="AA105" s="1177"/>
      <c r="AB105" s="172" t="str">
        <f t="shared" si="5"/>
        <v>2049 год</v>
      </c>
      <c r="AC105" s="1539"/>
      <c r="AD105" s="1542"/>
      <c r="AE105" s="1543"/>
      <c r="AF105" s="1543"/>
      <c r="AG105" s="1542"/>
      <c r="AH105" s="1542"/>
      <c r="AI105" s="1542"/>
      <c r="AJ105" s="1559"/>
      <c r="AK105" s="1560"/>
      <c r="AL105" s="320"/>
      <c r="AM105" s="1177"/>
      <c r="AN105" s="1177"/>
      <c r="AO105" s="966" cm="1">
        <f t="array" ref="AO105">K105</f>
        <v>2049</v>
      </c>
      <c r="AP105" s="1177"/>
      <c r="AQ105" s="1177"/>
    </row>
    <row r="106" spans="1:43" s="1573" customFormat="1" ht="14.25" hidden="1" customHeight="1">
      <c r="A106" s="1177"/>
      <c r="B106" s="362" t="b">
        <f t="shared" si="4"/>
        <v>0</v>
      </c>
      <c r="C106" s="1177"/>
      <c r="D106" s="1177"/>
      <c r="E106" s="620">
        <v>15</v>
      </c>
      <c r="F106" s="3" t="str" cm="1">
        <f t="array" aca="1" ref="F106" ca="1">OFFSET(E106,-1,1)</f>
        <v>1</v>
      </c>
      <c r="G106" s="1177"/>
      <c r="H106" s="1177"/>
      <c r="I106" s="1177"/>
      <c r="J106" s="1177"/>
      <c r="K106" s="77">
        <f>first_year+24</f>
        <v>2050</v>
      </c>
      <c r="L106" s="1177"/>
      <c r="M106" s="1177"/>
      <c r="N106" s="1177"/>
      <c r="O106" s="1177"/>
      <c r="P106" s="1177"/>
      <c r="Q106" s="1177"/>
      <c r="R106" s="1177"/>
      <c r="S106" s="1177"/>
      <c r="T106" s="381" t="b" cm="1">
        <f t="array" ref="T106">T105</f>
        <v>1</v>
      </c>
      <c r="U106" s="1177"/>
      <c r="V106" s="1177"/>
      <c r="W106" s="1177"/>
      <c r="X106" s="1755"/>
      <c r="Y106" s="1177"/>
      <c r="Z106" s="1735"/>
      <c r="AA106" s="1177"/>
      <c r="AB106" s="172" t="str">
        <f t="shared" si="5"/>
        <v>2050 год</v>
      </c>
      <c r="AC106" s="1539"/>
      <c r="AD106" s="1542"/>
      <c r="AE106" s="1543"/>
      <c r="AF106" s="1543"/>
      <c r="AG106" s="1542"/>
      <c r="AH106" s="1542"/>
      <c r="AI106" s="1542"/>
      <c r="AJ106" s="1559"/>
      <c r="AK106" s="1560"/>
      <c r="AL106" s="320"/>
      <c r="AM106" s="1177"/>
      <c r="AN106" s="1177"/>
      <c r="AO106" s="966" cm="1">
        <f t="array" ref="AO106">K106</f>
        <v>2050</v>
      </c>
      <c r="AP106" s="1177"/>
      <c r="AQ106" s="1177"/>
    </row>
    <row r="107" spans="1:43" s="1574" customFormat="1" ht="14.25" hidden="1" customHeight="1">
      <c r="A107" s="1177"/>
      <c r="B107" s="362" t="b">
        <f t="shared" si="4"/>
        <v>0</v>
      </c>
      <c r="C107" s="1177"/>
      <c r="D107" s="1177"/>
      <c r="E107" s="620">
        <v>15</v>
      </c>
      <c r="F107" s="3" t="str" cm="1">
        <f t="array" aca="1" ref="F107" ca="1">OFFSET(E107,-1,1)</f>
        <v>1</v>
      </c>
      <c r="G107" s="1177"/>
      <c r="H107" s="1177"/>
      <c r="I107" s="1177"/>
      <c r="J107" s="1177"/>
      <c r="K107" s="77">
        <f>first_year+25</f>
        <v>2051</v>
      </c>
      <c r="L107" s="1177"/>
      <c r="M107" s="1177"/>
      <c r="N107" s="1177"/>
      <c r="O107" s="1177"/>
      <c r="P107" s="1177"/>
      <c r="Q107" s="1177"/>
      <c r="R107" s="1177"/>
      <c r="S107" s="1177"/>
      <c r="T107" s="381" t="b" cm="1">
        <f t="array" ref="T107">T106</f>
        <v>1</v>
      </c>
      <c r="U107" s="1177"/>
      <c r="V107" s="1177"/>
      <c r="W107" s="1177"/>
      <c r="X107" s="1755"/>
      <c r="Y107" s="1177"/>
      <c r="Z107" s="1735"/>
      <c r="AA107" s="1177"/>
      <c r="AB107" s="172" t="str">
        <f t="shared" si="5"/>
        <v>2051 год</v>
      </c>
      <c r="AC107" s="1539"/>
      <c r="AD107" s="1542"/>
      <c r="AE107" s="1543"/>
      <c r="AF107" s="1543"/>
      <c r="AG107" s="1542"/>
      <c r="AH107" s="1542"/>
      <c r="AI107" s="1542"/>
      <c r="AJ107" s="1559"/>
      <c r="AK107" s="1560"/>
      <c r="AL107" s="320"/>
      <c r="AM107" s="1177"/>
      <c r="AN107" s="1177"/>
      <c r="AO107" s="966" cm="1">
        <f t="array" ref="AO107">K107</f>
        <v>2051</v>
      </c>
      <c r="AP107" s="1177"/>
      <c r="AQ107" s="1177"/>
    </row>
    <row r="108" spans="1:43" s="1575" customFormat="1" ht="14.25" hidden="1" customHeight="1">
      <c r="A108" s="1177"/>
      <c r="B108" s="362" t="b">
        <f t="shared" si="4"/>
        <v>0</v>
      </c>
      <c r="C108" s="1177"/>
      <c r="D108" s="1177"/>
      <c r="E108" s="620">
        <v>15</v>
      </c>
      <c r="F108" s="3" t="str" cm="1">
        <f t="array" aca="1" ref="F108" ca="1">OFFSET(E108,-1,1)</f>
        <v>1</v>
      </c>
      <c r="G108" s="1177"/>
      <c r="H108" s="1177"/>
      <c r="I108" s="1177"/>
      <c r="J108" s="1177"/>
      <c r="K108" s="77">
        <f>first_year+26</f>
        <v>2052</v>
      </c>
      <c r="L108" s="1177"/>
      <c r="M108" s="1177"/>
      <c r="N108" s="1177"/>
      <c r="O108" s="1177"/>
      <c r="P108" s="1177"/>
      <c r="Q108" s="1177"/>
      <c r="R108" s="1177"/>
      <c r="S108" s="1177"/>
      <c r="T108" s="381" t="b" cm="1">
        <f t="array" ref="T108">T107</f>
        <v>1</v>
      </c>
      <c r="U108" s="1177"/>
      <c r="V108" s="1177"/>
      <c r="W108" s="1177"/>
      <c r="X108" s="1755"/>
      <c r="Y108" s="1177"/>
      <c r="Z108" s="1735"/>
      <c r="AA108" s="1177"/>
      <c r="AB108" s="172" t="str">
        <f t="shared" si="5"/>
        <v>2052 год</v>
      </c>
      <c r="AC108" s="1539"/>
      <c r="AD108" s="1542"/>
      <c r="AE108" s="1543"/>
      <c r="AF108" s="1543"/>
      <c r="AG108" s="1542"/>
      <c r="AH108" s="1542"/>
      <c r="AI108" s="1542"/>
      <c r="AJ108" s="1559"/>
      <c r="AK108" s="1560"/>
      <c r="AL108" s="320"/>
      <c r="AM108" s="1177"/>
      <c r="AN108" s="1177"/>
      <c r="AO108" s="966" cm="1">
        <f t="array" ref="AO108">K108</f>
        <v>2052</v>
      </c>
      <c r="AP108" s="1177"/>
      <c r="AQ108" s="1177"/>
    </row>
    <row r="109" spans="1:43" s="1576" customFormat="1" ht="14.25" hidden="1" customHeight="1">
      <c r="A109" s="1177"/>
      <c r="B109" s="362" t="b">
        <f t="shared" si="4"/>
        <v>0</v>
      </c>
      <c r="C109" s="1177"/>
      <c r="D109" s="1177"/>
      <c r="E109" s="620">
        <v>15</v>
      </c>
      <c r="F109" s="3" t="str" cm="1">
        <f t="array" aca="1" ref="F109" ca="1">OFFSET(E109,-1,1)</f>
        <v>1</v>
      </c>
      <c r="G109" s="1177"/>
      <c r="H109" s="1177"/>
      <c r="I109" s="1177"/>
      <c r="J109" s="1177"/>
      <c r="K109" s="77">
        <f>first_year+27</f>
        <v>2053</v>
      </c>
      <c r="L109" s="1177"/>
      <c r="M109" s="1177"/>
      <c r="N109" s="1177"/>
      <c r="O109" s="1177"/>
      <c r="P109" s="1177"/>
      <c r="Q109" s="1177"/>
      <c r="R109" s="1177"/>
      <c r="S109" s="1177"/>
      <c r="T109" s="381" t="b" cm="1">
        <f t="array" ref="T109">T108</f>
        <v>1</v>
      </c>
      <c r="U109" s="1177"/>
      <c r="V109" s="1177"/>
      <c r="W109" s="1177"/>
      <c r="X109" s="1755"/>
      <c r="Y109" s="1177"/>
      <c r="Z109" s="1735"/>
      <c r="AA109" s="1177"/>
      <c r="AB109" s="172" t="str">
        <f t="shared" si="5"/>
        <v>2053 год</v>
      </c>
      <c r="AC109" s="1539"/>
      <c r="AD109" s="1542"/>
      <c r="AE109" s="1543"/>
      <c r="AF109" s="1543"/>
      <c r="AG109" s="1542"/>
      <c r="AH109" s="1542"/>
      <c r="AI109" s="1542"/>
      <c r="AJ109" s="1559"/>
      <c r="AK109" s="1560"/>
      <c r="AL109" s="320"/>
      <c r="AM109" s="1177"/>
      <c r="AN109" s="1177"/>
      <c r="AO109" s="966" cm="1">
        <f t="array" ref="AO109">K109</f>
        <v>2053</v>
      </c>
      <c r="AP109" s="1177"/>
      <c r="AQ109" s="1177"/>
    </row>
    <row r="110" spans="1:43" s="1577" customFormat="1" ht="14.25" hidden="1" customHeight="1">
      <c r="A110" s="1177"/>
      <c r="B110" s="362" t="b">
        <f t="shared" si="4"/>
        <v>0</v>
      </c>
      <c r="C110" s="1177"/>
      <c r="D110" s="1177"/>
      <c r="E110" s="620">
        <v>15</v>
      </c>
      <c r="F110" s="3" t="str" cm="1">
        <f t="array" aca="1" ref="F110" ca="1">OFFSET(E110,-1,1)</f>
        <v>1</v>
      </c>
      <c r="G110" s="1177"/>
      <c r="H110" s="1177"/>
      <c r="I110" s="1177"/>
      <c r="J110" s="1177"/>
      <c r="K110" s="77">
        <f>first_year+28</f>
        <v>2054</v>
      </c>
      <c r="L110" s="1177"/>
      <c r="M110" s="1177"/>
      <c r="N110" s="1177"/>
      <c r="O110" s="1177"/>
      <c r="P110" s="1177"/>
      <c r="Q110" s="1177"/>
      <c r="R110" s="1177"/>
      <c r="S110" s="1177"/>
      <c r="T110" s="381" t="b" cm="1">
        <f t="array" ref="T110">T109</f>
        <v>1</v>
      </c>
      <c r="U110" s="1177"/>
      <c r="V110" s="1177"/>
      <c r="W110" s="1177"/>
      <c r="X110" s="1755"/>
      <c r="Y110" s="1177"/>
      <c r="Z110" s="1735"/>
      <c r="AA110" s="1177"/>
      <c r="AB110" s="172" t="str">
        <f t="shared" si="5"/>
        <v>2054 год</v>
      </c>
      <c r="AC110" s="1539"/>
      <c r="AD110" s="1542"/>
      <c r="AE110" s="1543"/>
      <c r="AF110" s="1543"/>
      <c r="AG110" s="1542"/>
      <c r="AH110" s="1542"/>
      <c r="AI110" s="1542"/>
      <c r="AJ110" s="1559"/>
      <c r="AK110" s="1560"/>
      <c r="AL110" s="320"/>
      <c r="AM110" s="1177"/>
      <c r="AN110" s="1177"/>
      <c r="AO110" s="966" cm="1">
        <f t="array" ref="AO110">K110</f>
        <v>2054</v>
      </c>
      <c r="AP110" s="1177"/>
      <c r="AQ110" s="1177"/>
    </row>
    <row r="111" spans="1:43" s="1578" customFormat="1" ht="14.25" hidden="1" customHeight="1">
      <c r="A111" s="1177"/>
      <c r="B111" s="362" t="b">
        <f t="shared" si="4"/>
        <v>0</v>
      </c>
      <c r="C111" s="1177"/>
      <c r="D111" s="1177"/>
      <c r="E111" s="620">
        <v>15</v>
      </c>
      <c r="F111" s="3" t="str" cm="1">
        <f t="array" aca="1" ref="F111" ca="1">OFFSET(E111,-1,1)</f>
        <v>1</v>
      </c>
      <c r="G111" s="1177"/>
      <c r="H111" s="1177"/>
      <c r="I111" s="1177"/>
      <c r="J111" s="1177"/>
      <c r="K111" s="77">
        <f>first_year+29</f>
        <v>2055</v>
      </c>
      <c r="L111" s="1177"/>
      <c r="M111" s="1177"/>
      <c r="N111" s="1177"/>
      <c r="O111" s="1177"/>
      <c r="P111" s="1177"/>
      <c r="Q111" s="1177"/>
      <c r="R111" s="1177"/>
      <c r="S111" s="1177"/>
      <c r="T111" s="381" t="b" cm="1">
        <f t="array" ref="T111">T110</f>
        <v>1</v>
      </c>
      <c r="U111" s="1177"/>
      <c r="V111" s="1177"/>
      <c r="W111" s="1177"/>
      <c r="X111" s="1755"/>
      <c r="Y111" s="1177"/>
      <c r="Z111" s="1735"/>
      <c r="AA111" s="1177"/>
      <c r="AB111" s="172" t="str">
        <f t="shared" si="5"/>
        <v>2055 год</v>
      </c>
      <c r="AC111" s="1539"/>
      <c r="AD111" s="1542"/>
      <c r="AE111" s="1543"/>
      <c r="AF111" s="1543"/>
      <c r="AG111" s="1542"/>
      <c r="AH111" s="1542"/>
      <c r="AI111" s="1542"/>
      <c r="AJ111" s="1559"/>
      <c r="AK111" s="1560"/>
      <c r="AL111" s="320"/>
      <c r="AM111" s="1177"/>
      <c r="AN111" s="1177"/>
      <c r="AO111" s="966" cm="1">
        <f t="array" ref="AO111">K111</f>
        <v>2055</v>
      </c>
      <c r="AP111" s="1177"/>
      <c r="AQ111" s="1177"/>
    </row>
    <row r="112" spans="1:43" s="1579" customFormat="1" ht="14.25" hidden="1" customHeight="1">
      <c r="A112" s="1177"/>
      <c r="B112" s="362" t="b">
        <f t="shared" si="4"/>
        <v>0</v>
      </c>
      <c r="C112" s="1177"/>
      <c r="D112" s="1177"/>
      <c r="E112" s="620">
        <v>15</v>
      </c>
      <c r="F112" s="3" t="str" cm="1">
        <f t="array" aca="1" ref="F112" ca="1">OFFSET(E112,-1,1)</f>
        <v>1</v>
      </c>
      <c r="G112" s="1177"/>
      <c r="H112" s="1177"/>
      <c r="I112" s="1177"/>
      <c r="J112" s="1177"/>
      <c r="K112" s="77">
        <f>first_year+30</f>
        <v>2056</v>
      </c>
      <c r="L112" s="1177"/>
      <c r="M112" s="1177"/>
      <c r="N112" s="1177"/>
      <c r="O112" s="1177"/>
      <c r="P112" s="1177"/>
      <c r="Q112" s="1177"/>
      <c r="R112" s="1177"/>
      <c r="S112" s="1177"/>
      <c r="T112" s="381" t="b" cm="1">
        <f t="array" ref="T112">T111</f>
        <v>1</v>
      </c>
      <c r="U112" s="1177"/>
      <c r="V112" s="1177"/>
      <c r="W112" s="1177"/>
      <c r="X112" s="1755"/>
      <c r="Y112" s="1177"/>
      <c r="Z112" s="1735"/>
      <c r="AA112" s="1177"/>
      <c r="AB112" s="172" t="str">
        <f t="shared" si="5"/>
        <v>2056 год</v>
      </c>
      <c r="AC112" s="1539"/>
      <c r="AD112" s="1542"/>
      <c r="AE112" s="1543"/>
      <c r="AF112" s="1543"/>
      <c r="AG112" s="1542"/>
      <c r="AH112" s="1542"/>
      <c r="AI112" s="1542"/>
      <c r="AJ112" s="1559"/>
      <c r="AK112" s="1560"/>
      <c r="AL112" s="320"/>
      <c r="AM112" s="1177"/>
      <c r="AN112" s="1177"/>
      <c r="AO112" s="966" cm="1">
        <f t="array" ref="AO112">K112</f>
        <v>2056</v>
      </c>
      <c r="AP112" s="1177"/>
      <c r="AQ112" s="1177"/>
    </row>
    <row r="113" spans="1:43" s="1580" customFormat="1" ht="14.25" hidden="1" customHeight="1">
      <c r="A113" s="1177"/>
      <c r="B113" s="362" t="b">
        <f t="shared" si="4"/>
        <v>0</v>
      </c>
      <c r="C113" s="1177"/>
      <c r="D113" s="1177"/>
      <c r="E113" s="620">
        <v>15</v>
      </c>
      <c r="F113" s="3" t="str" cm="1">
        <f t="array" aca="1" ref="F113" ca="1">OFFSET(E113,-1,1)</f>
        <v>1</v>
      </c>
      <c r="G113" s="1177"/>
      <c r="H113" s="1177"/>
      <c r="I113" s="1177"/>
      <c r="J113" s="1177"/>
      <c r="K113" s="77">
        <f>first_year+31</f>
        <v>2057</v>
      </c>
      <c r="L113" s="1177"/>
      <c r="M113" s="1177"/>
      <c r="N113" s="1177"/>
      <c r="O113" s="1177"/>
      <c r="P113" s="1177"/>
      <c r="Q113" s="1177"/>
      <c r="R113" s="1177"/>
      <c r="S113" s="1177"/>
      <c r="T113" s="381" t="b" cm="1">
        <f t="array" ref="T113">T112</f>
        <v>1</v>
      </c>
      <c r="U113" s="1177"/>
      <c r="V113" s="1177"/>
      <c r="W113" s="1177"/>
      <c r="X113" s="1755"/>
      <c r="Y113" s="1177"/>
      <c r="Z113" s="1735"/>
      <c r="AA113" s="1177"/>
      <c r="AB113" s="172" t="str">
        <f t="shared" si="5"/>
        <v>2057 год</v>
      </c>
      <c r="AC113" s="1539"/>
      <c r="AD113" s="1542"/>
      <c r="AE113" s="1543"/>
      <c r="AF113" s="1543"/>
      <c r="AG113" s="1542"/>
      <c r="AH113" s="1542"/>
      <c r="AI113" s="1542"/>
      <c r="AJ113" s="1559"/>
      <c r="AK113" s="1560"/>
      <c r="AL113" s="320"/>
      <c r="AM113" s="1177"/>
      <c r="AN113" s="1177"/>
      <c r="AO113" s="966" cm="1">
        <f t="array" ref="AO113">K113</f>
        <v>2057</v>
      </c>
      <c r="AP113" s="1177"/>
      <c r="AQ113" s="1177"/>
    </row>
    <row r="114" spans="1:43" s="1581" customFormat="1" ht="14.25" hidden="1" customHeight="1">
      <c r="A114" s="1177"/>
      <c r="B114" s="362" t="b">
        <f t="shared" ref="B114:B131" si="6">K114&lt;first_year+PERIOD_LENGTH</f>
        <v>0</v>
      </c>
      <c r="C114" s="1177"/>
      <c r="D114" s="1177"/>
      <c r="E114" s="620">
        <v>15</v>
      </c>
      <c r="F114" s="3" t="str" cm="1">
        <f t="array" aca="1" ref="F114" ca="1">OFFSET(E114,-1,1)</f>
        <v>1</v>
      </c>
      <c r="G114" s="1177"/>
      <c r="H114" s="1177"/>
      <c r="I114" s="1177"/>
      <c r="J114" s="1177"/>
      <c r="K114" s="77">
        <f>first_year+32</f>
        <v>2058</v>
      </c>
      <c r="L114" s="1177"/>
      <c r="M114" s="1177"/>
      <c r="N114" s="1177"/>
      <c r="O114" s="1177"/>
      <c r="P114" s="1177"/>
      <c r="Q114" s="1177"/>
      <c r="R114" s="1177"/>
      <c r="S114" s="1177"/>
      <c r="T114" s="381" t="b" cm="1">
        <f t="array" ref="T114">T113</f>
        <v>1</v>
      </c>
      <c r="U114" s="1177"/>
      <c r="V114" s="1177"/>
      <c r="W114" s="1177"/>
      <c r="X114" s="1755"/>
      <c r="Y114" s="1177"/>
      <c r="Z114" s="1735"/>
      <c r="AA114" s="1177"/>
      <c r="AB114" s="172" t="str">
        <f t="shared" ref="AB114:AB131" si="7">K114&amp;" год"</f>
        <v>2058 год</v>
      </c>
      <c r="AC114" s="1539"/>
      <c r="AD114" s="1542"/>
      <c r="AE114" s="1543"/>
      <c r="AF114" s="1543"/>
      <c r="AG114" s="1542"/>
      <c r="AH114" s="1542"/>
      <c r="AI114" s="1542"/>
      <c r="AJ114" s="1559"/>
      <c r="AK114" s="1560"/>
      <c r="AL114" s="320"/>
      <c r="AM114" s="1177"/>
      <c r="AN114" s="1177"/>
      <c r="AO114" s="966" cm="1">
        <f t="array" ref="AO114">K114</f>
        <v>2058</v>
      </c>
      <c r="AP114" s="1177"/>
      <c r="AQ114" s="1177"/>
    </row>
    <row r="115" spans="1:43" s="1582" customFormat="1" ht="14.25" hidden="1" customHeight="1">
      <c r="A115" s="1177"/>
      <c r="B115" s="362" t="b">
        <f t="shared" si="6"/>
        <v>0</v>
      </c>
      <c r="C115" s="1177"/>
      <c r="D115" s="1177"/>
      <c r="E115" s="620">
        <v>15</v>
      </c>
      <c r="F115" s="3" t="str" cm="1">
        <f t="array" aca="1" ref="F115" ca="1">OFFSET(E115,-1,1)</f>
        <v>1</v>
      </c>
      <c r="G115" s="1177"/>
      <c r="H115" s="1177"/>
      <c r="I115" s="1177"/>
      <c r="J115" s="1177"/>
      <c r="K115" s="77">
        <f>first_year+33</f>
        <v>2059</v>
      </c>
      <c r="L115" s="1177"/>
      <c r="M115" s="1177"/>
      <c r="N115" s="1177"/>
      <c r="O115" s="1177"/>
      <c r="P115" s="1177"/>
      <c r="Q115" s="1177"/>
      <c r="R115" s="1177"/>
      <c r="S115" s="1177"/>
      <c r="T115" s="381" t="b" cm="1">
        <f t="array" ref="T115">T114</f>
        <v>1</v>
      </c>
      <c r="U115" s="1177"/>
      <c r="V115" s="1177"/>
      <c r="W115" s="1177"/>
      <c r="X115" s="1755"/>
      <c r="Y115" s="1177"/>
      <c r="Z115" s="1735"/>
      <c r="AA115" s="1177"/>
      <c r="AB115" s="172" t="str">
        <f t="shared" si="7"/>
        <v>2059 год</v>
      </c>
      <c r="AC115" s="1539"/>
      <c r="AD115" s="1542"/>
      <c r="AE115" s="1543"/>
      <c r="AF115" s="1543"/>
      <c r="AG115" s="1542"/>
      <c r="AH115" s="1542"/>
      <c r="AI115" s="1542"/>
      <c r="AJ115" s="1559"/>
      <c r="AK115" s="1560"/>
      <c r="AL115" s="320"/>
      <c r="AM115" s="1177"/>
      <c r="AN115" s="1177"/>
      <c r="AO115" s="966" cm="1">
        <f t="array" ref="AO115">K115</f>
        <v>2059</v>
      </c>
      <c r="AP115" s="1177"/>
      <c r="AQ115" s="1177"/>
    </row>
    <row r="116" spans="1:43" s="1583" customFormat="1" ht="14.25" hidden="1" customHeight="1">
      <c r="A116" s="1177"/>
      <c r="B116" s="362" t="b">
        <f t="shared" si="6"/>
        <v>0</v>
      </c>
      <c r="C116" s="1177"/>
      <c r="D116" s="1177"/>
      <c r="E116" s="620">
        <v>15</v>
      </c>
      <c r="F116" s="3" t="str" cm="1">
        <f t="array" aca="1" ref="F116" ca="1">OFFSET(E116,-1,1)</f>
        <v>1</v>
      </c>
      <c r="G116" s="1177"/>
      <c r="H116" s="1177"/>
      <c r="I116" s="1177"/>
      <c r="J116" s="1177"/>
      <c r="K116" s="77">
        <f>first_year+34</f>
        <v>2060</v>
      </c>
      <c r="L116" s="1177"/>
      <c r="M116" s="1177"/>
      <c r="N116" s="1177"/>
      <c r="O116" s="1177"/>
      <c r="P116" s="1177"/>
      <c r="Q116" s="1177"/>
      <c r="R116" s="1177"/>
      <c r="S116" s="1177"/>
      <c r="T116" s="381" t="b" cm="1">
        <f t="array" ref="T116">T115</f>
        <v>1</v>
      </c>
      <c r="U116" s="1177"/>
      <c r="V116" s="1177"/>
      <c r="W116" s="1177"/>
      <c r="X116" s="1755"/>
      <c r="Y116" s="1177"/>
      <c r="Z116" s="1735"/>
      <c r="AA116" s="1177"/>
      <c r="AB116" s="172" t="str">
        <f t="shared" si="7"/>
        <v>2060 год</v>
      </c>
      <c r="AC116" s="1539"/>
      <c r="AD116" s="1542"/>
      <c r="AE116" s="1543"/>
      <c r="AF116" s="1543"/>
      <c r="AG116" s="1542"/>
      <c r="AH116" s="1542"/>
      <c r="AI116" s="1542"/>
      <c r="AJ116" s="1559"/>
      <c r="AK116" s="1560"/>
      <c r="AL116" s="320"/>
      <c r="AM116" s="1177"/>
      <c r="AN116" s="1177"/>
      <c r="AO116" s="966" cm="1">
        <f t="array" ref="AO116">K116</f>
        <v>2060</v>
      </c>
      <c r="AP116" s="1177"/>
      <c r="AQ116" s="1177"/>
    </row>
    <row r="117" spans="1:43" s="1584" customFormat="1" ht="14.25" hidden="1" customHeight="1">
      <c r="A117" s="1177"/>
      <c r="B117" s="362" t="b">
        <f t="shared" si="6"/>
        <v>0</v>
      </c>
      <c r="C117" s="1177"/>
      <c r="D117" s="1177"/>
      <c r="E117" s="620">
        <v>15</v>
      </c>
      <c r="F117" s="3" t="str" cm="1">
        <f t="array" aca="1" ref="F117" ca="1">OFFSET(E117,-1,1)</f>
        <v>1</v>
      </c>
      <c r="G117" s="1177"/>
      <c r="H117" s="1177"/>
      <c r="I117" s="1177"/>
      <c r="J117" s="1177"/>
      <c r="K117" s="77">
        <f>first_year+35</f>
        <v>2061</v>
      </c>
      <c r="L117" s="1177"/>
      <c r="M117" s="1177"/>
      <c r="N117" s="1177"/>
      <c r="O117" s="1177"/>
      <c r="P117" s="1177"/>
      <c r="Q117" s="1177"/>
      <c r="R117" s="1177"/>
      <c r="S117" s="1177"/>
      <c r="T117" s="381" t="b" cm="1">
        <f t="array" ref="T117">T116</f>
        <v>1</v>
      </c>
      <c r="U117" s="1177"/>
      <c r="V117" s="1177"/>
      <c r="W117" s="1177"/>
      <c r="X117" s="1755"/>
      <c r="Y117" s="1177"/>
      <c r="Z117" s="1735"/>
      <c r="AA117" s="1177"/>
      <c r="AB117" s="172" t="str">
        <f t="shared" si="7"/>
        <v>2061 год</v>
      </c>
      <c r="AC117" s="1539"/>
      <c r="AD117" s="1542"/>
      <c r="AE117" s="1543"/>
      <c r="AF117" s="1543"/>
      <c r="AG117" s="1542"/>
      <c r="AH117" s="1542"/>
      <c r="AI117" s="1542"/>
      <c r="AJ117" s="1559"/>
      <c r="AK117" s="1560"/>
      <c r="AL117" s="320"/>
      <c r="AM117" s="1177"/>
      <c r="AN117" s="1177"/>
      <c r="AO117" s="966" cm="1">
        <f t="array" ref="AO117">K117</f>
        <v>2061</v>
      </c>
      <c r="AP117" s="1177"/>
      <c r="AQ117" s="1177"/>
    </row>
    <row r="118" spans="1:43" s="1585" customFormat="1" ht="14.25" hidden="1" customHeight="1">
      <c r="A118" s="1177"/>
      <c r="B118" s="362" t="b">
        <f t="shared" si="6"/>
        <v>0</v>
      </c>
      <c r="C118" s="1177"/>
      <c r="D118" s="1177"/>
      <c r="E118" s="620">
        <v>15</v>
      </c>
      <c r="F118" s="3" t="str" cm="1">
        <f t="array" aca="1" ref="F118" ca="1">OFFSET(E118,-1,1)</f>
        <v>1</v>
      </c>
      <c r="G118" s="1177"/>
      <c r="H118" s="1177"/>
      <c r="I118" s="1177"/>
      <c r="J118" s="1177"/>
      <c r="K118" s="77">
        <f>first_year+36</f>
        <v>2062</v>
      </c>
      <c r="L118" s="1177"/>
      <c r="M118" s="1177"/>
      <c r="N118" s="1177"/>
      <c r="O118" s="1177"/>
      <c r="P118" s="1177"/>
      <c r="Q118" s="1177"/>
      <c r="R118" s="1177"/>
      <c r="S118" s="1177"/>
      <c r="T118" s="381" t="b" cm="1">
        <f t="array" ref="T118">T117</f>
        <v>1</v>
      </c>
      <c r="U118" s="1177"/>
      <c r="V118" s="1177"/>
      <c r="W118" s="1177"/>
      <c r="X118" s="1755"/>
      <c r="Y118" s="1177"/>
      <c r="Z118" s="1735"/>
      <c r="AA118" s="1177"/>
      <c r="AB118" s="172" t="str">
        <f t="shared" si="7"/>
        <v>2062 год</v>
      </c>
      <c r="AC118" s="1539"/>
      <c r="AD118" s="1542"/>
      <c r="AE118" s="1543"/>
      <c r="AF118" s="1543"/>
      <c r="AG118" s="1542"/>
      <c r="AH118" s="1542"/>
      <c r="AI118" s="1542"/>
      <c r="AJ118" s="1559"/>
      <c r="AK118" s="1560"/>
      <c r="AL118" s="320"/>
      <c r="AM118" s="1177"/>
      <c r="AN118" s="1177"/>
      <c r="AO118" s="966" cm="1">
        <f t="array" ref="AO118">K118</f>
        <v>2062</v>
      </c>
      <c r="AP118" s="1177"/>
      <c r="AQ118" s="1177"/>
    </row>
    <row r="119" spans="1:43" s="1586" customFormat="1" ht="14.25" hidden="1" customHeight="1">
      <c r="A119" s="1177"/>
      <c r="B119" s="362" t="b">
        <f t="shared" si="6"/>
        <v>0</v>
      </c>
      <c r="C119" s="1177"/>
      <c r="D119" s="1177"/>
      <c r="E119" s="620">
        <v>15</v>
      </c>
      <c r="F119" s="3" t="str" cm="1">
        <f t="array" aca="1" ref="F119" ca="1">OFFSET(E119,-1,1)</f>
        <v>1</v>
      </c>
      <c r="G119" s="1177"/>
      <c r="H119" s="1177"/>
      <c r="I119" s="1177"/>
      <c r="J119" s="1177"/>
      <c r="K119" s="77">
        <f>first_year+37</f>
        <v>2063</v>
      </c>
      <c r="L119" s="1177"/>
      <c r="M119" s="1177"/>
      <c r="N119" s="1177"/>
      <c r="O119" s="1177"/>
      <c r="P119" s="1177"/>
      <c r="Q119" s="1177"/>
      <c r="R119" s="1177"/>
      <c r="S119" s="1177"/>
      <c r="T119" s="381" t="b" cm="1">
        <f t="array" ref="T119">T118</f>
        <v>1</v>
      </c>
      <c r="U119" s="1177"/>
      <c r="V119" s="1177"/>
      <c r="W119" s="1177"/>
      <c r="X119" s="1755"/>
      <c r="Y119" s="1177"/>
      <c r="Z119" s="1735"/>
      <c r="AA119" s="1177"/>
      <c r="AB119" s="172" t="str">
        <f t="shared" si="7"/>
        <v>2063 год</v>
      </c>
      <c r="AC119" s="1539"/>
      <c r="AD119" s="1542"/>
      <c r="AE119" s="1543"/>
      <c r="AF119" s="1543"/>
      <c r="AG119" s="1542"/>
      <c r="AH119" s="1542"/>
      <c r="AI119" s="1542"/>
      <c r="AJ119" s="1559"/>
      <c r="AK119" s="1560"/>
      <c r="AL119" s="320"/>
      <c r="AM119" s="1177"/>
      <c r="AN119" s="1177"/>
      <c r="AO119" s="966" cm="1">
        <f t="array" ref="AO119">K119</f>
        <v>2063</v>
      </c>
      <c r="AP119" s="1177"/>
      <c r="AQ119" s="1177"/>
    </row>
    <row r="120" spans="1:43" s="1587" customFormat="1" ht="14.25" hidden="1" customHeight="1">
      <c r="A120" s="1177"/>
      <c r="B120" s="362" t="b">
        <f t="shared" si="6"/>
        <v>0</v>
      </c>
      <c r="C120" s="1177"/>
      <c r="D120" s="1177"/>
      <c r="E120" s="620">
        <v>15</v>
      </c>
      <c r="F120" s="3" t="str" cm="1">
        <f t="array" aca="1" ref="F120" ca="1">OFFSET(E120,-1,1)</f>
        <v>1</v>
      </c>
      <c r="G120" s="1177"/>
      <c r="H120" s="1177"/>
      <c r="I120" s="1177"/>
      <c r="J120" s="1177"/>
      <c r="K120" s="77">
        <f>first_year+38</f>
        <v>2064</v>
      </c>
      <c r="L120" s="1177"/>
      <c r="M120" s="1177"/>
      <c r="N120" s="1177"/>
      <c r="O120" s="1177"/>
      <c r="P120" s="1177"/>
      <c r="Q120" s="1177"/>
      <c r="R120" s="1177"/>
      <c r="S120" s="1177"/>
      <c r="T120" s="381" t="b" cm="1">
        <f t="array" ref="T120">T119</f>
        <v>1</v>
      </c>
      <c r="U120" s="1177"/>
      <c r="V120" s="1177"/>
      <c r="W120" s="1177"/>
      <c r="X120" s="1755"/>
      <c r="Y120" s="1177"/>
      <c r="Z120" s="1735"/>
      <c r="AA120" s="1177"/>
      <c r="AB120" s="172" t="str">
        <f t="shared" si="7"/>
        <v>2064 год</v>
      </c>
      <c r="AC120" s="1539"/>
      <c r="AD120" s="1542"/>
      <c r="AE120" s="1543"/>
      <c r="AF120" s="1543"/>
      <c r="AG120" s="1542"/>
      <c r="AH120" s="1542"/>
      <c r="AI120" s="1542"/>
      <c r="AJ120" s="1559"/>
      <c r="AK120" s="1560"/>
      <c r="AL120" s="320"/>
      <c r="AM120" s="1177"/>
      <c r="AN120" s="1177"/>
      <c r="AO120" s="966" cm="1">
        <f t="array" ref="AO120">K120</f>
        <v>2064</v>
      </c>
      <c r="AP120" s="1177"/>
      <c r="AQ120" s="1177"/>
    </row>
    <row r="121" spans="1:43" s="1588" customFormat="1" ht="14.25" hidden="1" customHeight="1">
      <c r="A121" s="1177"/>
      <c r="B121" s="362" t="b">
        <f t="shared" si="6"/>
        <v>0</v>
      </c>
      <c r="C121" s="1177"/>
      <c r="D121" s="1177"/>
      <c r="E121" s="620">
        <v>15</v>
      </c>
      <c r="F121" s="3" t="str" cm="1">
        <f t="array" aca="1" ref="F121" ca="1">OFFSET(E121,-1,1)</f>
        <v>1</v>
      </c>
      <c r="G121" s="1177"/>
      <c r="H121" s="1177"/>
      <c r="I121" s="1177"/>
      <c r="J121" s="1177"/>
      <c r="K121" s="77">
        <f>first_year+39</f>
        <v>2065</v>
      </c>
      <c r="L121" s="1177"/>
      <c r="M121" s="1177"/>
      <c r="N121" s="1177"/>
      <c r="O121" s="1177"/>
      <c r="P121" s="1177"/>
      <c r="Q121" s="1177"/>
      <c r="R121" s="1177"/>
      <c r="S121" s="1177"/>
      <c r="T121" s="381" t="b" cm="1">
        <f t="array" ref="T121">T120</f>
        <v>1</v>
      </c>
      <c r="U121" s="1177"/>
      <c r="V121" s="1177"/>
      <c r="W121" s="1177"/>
      <c r="X121" s="1755"/>
      <c r="Y121" s="1177"/>
      <c r="Z121" s="1735"/>
      <c r="AA121" s="1177"/>
      <c r="AB121" s="172" t="str">
        <f t="shared" si="7"/>
        <v>2065 год</v>
      </c>
      <c r="AC121" s="1539"/>
      <c r="AD121" s="1542"/>
      <c r="AE121" s="1543"/>
      <c r="AF121" s="1543"/>
      <c r="AG121" s="1542"/>
      <c r="AH121" s="1542"/>
      <c r="AI121" s="1542"/>
      <c r="AJ121" s="1559"/>
      <c r="AK121" s="1560"/>
      <c r="AL121" s="320"/>
      <c r="AM121" s="1177"/>
      <c r="AN121" s="1177"/>
      <c r="AO121" s="966" cm="1">
        <f t="array" ref="AO121">K121</f>
        <v>2065</v>
      </c>
      <c r="AP121" s="1177"/>
      <c r="AQ121" s="1177"/>
    </row>
    <row r="122" spans="1:43" s="1589" customFormat="1" ht="14.25" hidden="1" customHeight="1">
      <c r="A122" s="1177"/>
      <c r="B122" s="362" t="b">
        <f t="shared" si="6"/>
        <v>0</v>
      </c>
      <c r="C122" s="1177"/>
      <c r="D122" s="1177"/>
      <c r="E122" s="620">
        <v>15</v>
      </c>
      <c r="F122" s="3" t="str" cm="1">
        <f t="array" aca="1" ref="F122" ca="1">OFFSET(E122,-1,1)</f>
        <v>1</v>
      </c>
      <c r="G122" s="1177"/>
      <c r="H122" s="1177"/>
      <c r="I122" s="1177"/>
      <c r="J122" s="1177"/>
      <c r="K122" s="77">
        <f>first_year+40</f>
        <v>2066</v>
      </c>
      <c r="L122" s="1177"/>
      <c r="M122" s="1177"/>
      <c r="N122" s="1177"/>
      <c r="O122" s="1177"/>
      <c r="P122" s="1177"/>
      <c r="Q122" s="1177"/>
      <c r="R122" s="1177"/>
      <c r="S122" s="1177"/>
      <c r="T122" s="381" t="b" cm="1">
        <f t="array" ref="T122">T121</f>
        <v>1</v>
      </c>
      <c r="U122" s="1177"/>
      <c r="V122" s="1177"/>
      <c r="W122" s="1177"/>
      <c r="X122" s="1755"/>
      <c r="Y122" s="1177"/>
      <c r="Z122" s="1735"/>
      <c r="AA122" s="1177"/>
      <c r="AB122" s="172" t="str">
        <f t="shared" si="7"/>
        <v>2066 год</v>
      </c>
      <c r="AC122" s="1539"/>
      <c r="AD122" s="1542"/>
      <c r="AE122" s="1543"/>
      <c r="AF122" s="1543"/>
      <c r="AG122" s="1542"/>
      <c r="AH122" s="1542"/>
      <c r="AI122" s="1542"/>
      <c r="AJ122" s="1559"/>
      <c r="AK122" s="1560"/>
      <c r="AL122" s="320"/>
      <c r="AM122" s="1177"/>
      <c r="AN122" s="1177"/>
      <c r="AO122" s="966" cm="1">
        <f t="array" ref="AO122">K122</f>
        <v>2066</v>
      </c>
      <c r="AP122" s="1177"/>
      <c r="AQ122" s="1177"/>
    </row>
    <row r="123" spans="1:43" s="1590" customFormat="1" ht="14.25" hidden="1" customHeight="1">
      <c r="A123" s="1177"/>
      <c r="B123" s="362" t="b">
        <f t="shared" si="6"/>
        <v>0</v>
      </c>
      <c r="C123" s="1177"/>
      <c r="D123" s="1177"/>
      <c r="E123" s="620">
        <v>15</v>
      </c>
      <c r="F123" s="3" t="str" cm="1">
        <f t="array" aca="1" ref="F123" ca="1">OFFSET(E123,-1,1)</f>
        <v>1</v>
      </c>
      <c r="G123" s="1177"/>
      <c r="H123" s="1177"/>
      <c r="I123" s="1177"/>
      <c r="J123" s="1177"/>
      <c r="K123" s="77">
        <f>first_year+41</f>
        <v>2067</v>
      </c>
      <c r="L123" s="1177"/>
      <c r="M123" s="1177"/>
      <c r="N123" s="1177"/>
      <c r="O123" s="1177"/>
      <c r="P123" s="1177"/>
      <c r="Q123" s="1177"/>
      <c r="R123" s="1177"/>
      <c r="S123" s="1177"/>
      <c r="T123" s="381" t="b" cm="1">
        <f t="array" ref="T123">T122</f>
        <v>1</v>
      </c>
      <c r="U123" s="1177"/>
      <c r="V123" s="1177"/>
      <c r="W123" s="1177"/>
      <c r="X123" s="1755"/>
      <c r="Y123" s="1177"/>
      <c r="Z123" s="1735"/>
      <c r="AA123" s="1177"/>
      <c r="AB123" s="172" t="str">
        <f t="shared" si="7"/>
        <v>2067 год</v>
      </c>
      <c r="AC123" s="1539"/>
      <c r="AD123" s="1542"/>
      <c r="AE123" s="1543"/>
      <c r="AF123" s="1543"/>
      <c r="AG123" s="1542"/>
      <c r="AH123" s="1542"/>
      <c r="AI123" s="1542"/>
      <c r="AJ123" s="1559"/>
      <c r="AK123" s="1560"/>
      <c r="AL123" s="320"/>
      <c r="AM123" s="1177"/>
      <c r="AN123" s="1177"/>
      <c r="AO123" s="966" cm="1">
        <f t="array" ref="AO123">K123</f>
        <v>2067</v>
      </c>
      <c r="AP123" s="1177"/>
      <c r="AQ123" s="1177"/>
    </row>
    <row r="124" spans="1:43" s="1591" customFormat="1" ht="14.25" hidden="1" customHeight="1">
      <c r="A124" s="1177"/>
      <c r="B124" s="362" t="b">
        <f t="shared" si="6"/>
        <v>0</v>
      </c>
      <c r="C124" s="1177"/>
      <c r="D124" s="1177"/>
      <c r="E124" s="620">
        <v>15</v>
      </c>
      <c r="F124" s="3" t="str" cm="1">
        <f t="array" aca="1" ref="F124" ca="1">OFFSET(E124,-1,1)</f>
        <v>1</v>
      </c>
      <c r="G124" s="1177"/>
      <c r="H124" s="1177"/>
      <c r="I124" s="1177"/>
      <c r="J124" s="1177"/>
      <c r="K124" s="77">
        <f>first_year+42</f>
        <v>2068</v>
      </c>
      <c r="L124" s="1177"/>
      <c r="M124" s="1177"/>
      <c r="N124" s="1177"/>
      <c r="O124" s="1177"/>
      <c r="P124" s="1177"/>
      <c r="Q124" s="1177"/>
      <c r="R124" s="1177"/>
      <c r="S124" s="1177"/>
      <c r="T124" s="381" t="b" cm="1">
        <f t="array" ref="T124">T123</f>
        <v>1</v>
      </c>
      <c r="U124" s="1177"/>
      <c r="V124" s="1177"/>
      <c r="W124" s="1177"/>
      <c r="X124" s="1755"/>
      <c r="Y124" s="1177"/>
      <c r="Z124" s="1735"/>
      <c r="AA124" s="1177"/>
      <c r="AB124" s="172" t="str">
        <f t="shared" si="7"/>
        <v>2068 год</v>
      </c>
      <c r="AC124" s="1539"/>
      <c r="AD124" s="1542"/>
      <c r="AE124" s="1543"/>
      <c r="AF124" s="1543"/>
      <c r="AG124" s="1542"/>
      <c r="AH124" s="1542"/>
      <c r="AI124" s="1542"/>
      <c r="AJ124" s="1559"/>
      <c r="AK124" s="1560"/>
      <c r="AL124" s="320"/>
      <c r="AM124" s="1177"/>
      <c r="AN124" s="1177"/>
      <c r="AO124" s="966" cm="1">
        <f t="array" ref="AO124">K124</f>
        <v>2068</v>
      </c>
      <c r="AP124" s="1177"/>
      <c r="AQ124" s="1177"/>
    </row>
    <row r="125" spans="1:43" s="1592" customFormat="1" ht="14.25" hidden="1" customHeight="1">
      <c r="A125" s="1177"/>
      <c r="B125" s="362" t="b">
        <f t="shared" si="6"/>
        <v>0</v>
      </c>
      <c r="C125" s="1177"/>
      <c r="D125" s="1177"/>
      <c r="E125" s="620">
        <v>15</v>
      </c>
      <c r="F125" s="3" t="str" cm="1">
        <f t="array" aca="1" ref="F125" ca="1">OFFSET(E125,-1,1)</f>
        <v>1</v>
      </c>
      <c r="G125" s="1177"/>
      <c r="H125" s="1177"/>
      <c r="I125" s="1177"/>
      <c r="J125" s="1177"/>
      <c r="K125" s="77">
        <f>first_year+43</f>
        <v>2069</v>
      </c>
      <c r="L125" s="1177"/>
      <c r="M125" s="1177"/>
      <c r="N125" s="1177"/>
      <c r="O125" s="1177"/>
      <c r="P125" s="1177"/>
      <c r="Q125" s="1177"/>
      <c r="R125" s="1177"/>
      <c r="S125" s="1177"/>
      <c r="T125" s="381" t="b" cm="1">
        <f t="array" ref="T125">T124</f>
        <v>1</v>
      </c>
      <c r="U125" s="1177"/>
      <c r="V125" s="1177"/>
      <c r="W125" s="1177"/>
      <c r="X125" s="1755"/>
      <c r="Y125" s="1177"/>
      <c r="Z125" s="1735"/>
      <c r="AA125" s="1177"/>
      <c r="AB125" s="172" t="str">
        <f t="shared" si="7"/>
        <v>2069 год</v>
      </c>
      <c r="AC125" s="1539"/>
      <c r="AD125" s="1542"/>
      <c r="AE125" s="1543"/>
      <c r="AF125" s="1543"/>
      <c r="AG125" s="1542"/>
      <c r="AH125" s="1542"/>
      <c r="AI125" s="1542"/>
      <c r="AJ125" s="1559"/>
      <c r="AK125" s="1560"/>
      <c r="AL125" s="320"/>
      <c r="AM125" s="1177"/>
      <c r="AN125" s="1177"/>
      <c r="AO125" s="966" cm="1">
        <f t="array" ref="AO125">K125</f>
        <v>2069</v>
      </c>
      <c r="AP125" s="1177"/>
      <c r="AQ125" s="1177"/>
    </row>
    <row r="126" spans="1:43" s="1593" customFormat="1" ht="14.25" hidden="1" customHeight="1">
      <c r="A126" s="1177"/>
      <c r="B126" s="362" t="b">
        <f t="shared" si="6"/>
        <v>0</v>
      </c>
      <c r="C126" s="1177"/>
      <c r="D126" s="1177"/>
      <c r="E126" s="620">
        <v>15</v>
      </c>
      <c r="F126" s="3" t="str" cm="1">
        <f t="array" aca="1" ref="F126" ca="1">OFFSET(E126,-1,1)</f>
        <v>1</v>
      </c>
      <c r="G126" s="1177"/>
      <c r="H126" s="1177"/>
      <c r="I126" s="1177"/>
      <c r="J126" s="1177"/>
      <c r="K126" s="77">
        <f>first_year+44</f>
        <v>2070</v>
      </c>
      <c r="L126" s="1177"/>
      <c r="M126" s="1177"/>
      <c r="N126" s="1177"/>
      <c r="O126" s="1177"/>
      <c r="P126" s="1177"/>
      <c r="Q126" s="1177"/>
      <c r="R126" s="1177"/>
      <c r="S126" s="1177"/>
      <c r="T126" s="381" t="b" cm="1">
        <f t="array" ref="T126">T125</f>
        <v>1</v>
      </c>
      <c r="U126" s="1177"/>
      <c r="V126" s="1177"/>
      <c r="W126" s="1177"/>
      <c r="X126" s="1755"/>
      <c r="Y126" s="1177"/>
      <c r="Z126" s="1735"/>
      <c r="AA126" s="1177"/>
      <c r="AB126" s="172" t="str">
        <f t="shared" si="7"/>
        <v>2070 год</v>
      </c>
      <c r="AC126" s="1539"/>
      <c r="AD126" s="1542"/>
      <c r="AE126" s="1543"/>
      <c r="AF126" s="1543"/>
      <c r="AG126" s="1542"/>
      <c r="AH126" s="1542"/>
      <c r="AI126" s="1542"/>
      <c r="AJ126" s="1559"/>
      <c r="AK126" s="1560"/>
      <c r="AL126" s="320"/>
      <c r="AM126" s="1177"/>
      <c r="AN126" s="1177"/>
      <c r="AO126" s="966" cm="1">
        <f t="array" ref="AO126">K126</f>
        <v>2070</v>
      </c>
      <c r="AP126" s="1177"/>
      <c r="AQ126" s="1177"/>
    </row>
    <row r="127" spans="1:43" s="1594" customFormat="1" ht="14.25" hidden="1" customHeight="1">
      <c r="A127" s="1177"/>
      <c r="B127" s="362" t="b">
        <f t="shared" si="6"/>
        <v>0</v>
      </c>
      <c r="C127" s="1177"/>
      <c r="D127" s="1177"/>
      <c r="E127" s="620">
        <v>15</v>
      </c>
      <c r="F127" s="3" t="str" cm="1">
        <f t="array" aca="1" ref="F127" ca="1">OFFSET(E127,-1,1)</f>
        <v>1</v>
      </c>
      <c r="G127" s="1177"/>
      <c r="H127" s="1177"/>
      <c r="I127" s="1177"/>
      <c r="J127" s="1177"/>
      <c r="K127" s="77">
        <f>first_year+45</f>
        <v>2071</v>
      </c>
      <c r="L127" s="1177"/>
      <c r="M127" s="1177"/>
      <c r="N127" s="1177"/>
      <c r="O127" s="1177"/>
      <c r="P127" s="1177"/>
      <c r="Q127" s="1177"/>
      <c r="R127" s="1177"/>
      <c r="S127" s="1177"/>
      <c r="T127" s="381" t="b" cm="1">
        <f t="array" ref="T127">T126</f>
        <v>1</v>
      </c>
      <c r="U127" s="1177"/>
      <c r="V127" s="1177"/>
      <c r="W127" s="1177"/>
      <c r="X127" s="1755"/>
      <c r="Y127" s="1177"/>
      <c r="Z127" s="1735"/>
      <c r="AA127" s="1177"/>
      <c r="AB127" s="172" t="str">
        <f t="shared" si="7"/>
        <v>2071 год</v>
      </c>
      <c r="AC127" s="1539"/>
      <c r="AD127" s="1542"/>
      <c r="AE127" s="1543"/>
      <c r="AF127" s="1543"/>
      <c r="AG127" s="1542"/>
      <c r="AH127" s="1542"/>
      <c r="AI127" s="1542"/>
      <c r="AJ127" s="1559"/>
      <c r="AK127" s="1560"/>
      <c r="AL127" s="320"/>
      <c r="AM127" s="1177"/>
      <c r="AN127" s="1177"/>
      <c r="AO127" s="966" cm="1">
        <f t="array" ref="AO127">K127</f>
        <v>2071</v>
      </c>
      <c r="AP127" s="1177"/>
      <c r="AQ127" s="1177"/>
    </row>
    <row r="128" spans="1:43" s="1595" customFormat="1" ht="14.25" hidden="1" customHeight="1">
      <c r="A128" s="1177"/>
      <c r="B128" s="362" t="b">
        <f t="shared" si="6"/>
        <v>0</v>
      </c>
      <c r="C128" s="1177"/>
      <c r="D128" s="1177"/>
      <c r="E128" s="620">
        <v>15</v>
      </c>
      <c r="F128" s="3" t="str" cm="1">
        <f t="array" aca="1" ref="F128" ca="1">OFFSET(E128,-1,1)</f>
        <v>1</v>
      </c>
      <c r="G128" s="1177"/>
      <c r="H128" s="1177"/>
      <c r="I128" s="1177"/>
      <c r="J128" s="1177"/>
      <c r="K128" s="77">
        <f>first_year+46</f>
        <v>2072</v>
      </c>
      <c r="L128" s="1177"/>
      <c r="M128" s="1177"/>
      <c r="N128" s="1177"/>
      <c r="O128" s="1177"/>
      <c r="P128" s="1177"/>
      <c r="Q128" s="1177"/>
      <c r="R128" s="1177"/>
      <c r="S128" s="1177"/>
      <c r="T128" s="381" t="b" cm="1">
        <f t="array" ref="T128">T127</f>
        <v>1</v>
      </c>
      <c r="U128" s="1177"/>
      <c r="V128" s="1177"/>
      <c r="W128" s="1177"/>
      <c r="X128" s="1755"/>
      <c r="Y128" s="1177"/>
      <c r="Z128" s="1735"/>
      <c r="AA128" s="1177"/>
      <c r="AB128" s="172" t="str">
        <f t="shared" si="7"/>
        <v>2072 год</v>
      </c>
      <c r="AC128" s="1539"/>
      <c r="AD128" s="1542"/>
      <c r="AE128" s="1543"/>
      <c r="AF128" s="1543"/>
      <c r="AG128" s="1542"/>
      <c r="AH128" s="1542"/>
      <c r="AI128" s="1542"/>
      <c r="AJ128" s="1559"/>
      <c r="AK128" s="1560"/>
      <c r="AL128" s="320"/>
      <c r="AM128" s="1177"/>
      <c r="AN128" s="1177"/>
      <c r="AO128" s="966" cm="1">
        <f t="array" ref="AO128">K128</f>
        <v>2072</v>
      </c>
      <c r="AP128" s="1177"/>
      <c r="AQ128" s="1177"/>
    </row>
    <row r="129" spans="1:43" s="1596" customFormat="1" ht="14.25" hidden="1" customHeight="1">
      <c r="A129" s="1177"/>
      <c r="B129" s="362" t="b">
        <f t="shared" si="6"/>
        <v>0</v>
      </c>
      <c r="C129" s="1177"/>
      <c r="D129" s="1177"/>
      <c r="E129" s="620">
        <v>15</v>
      </c>
      <c r="F129" s="3" t="str" cm="1">
        <f t="array" aca="1" ref="F129" ca="1">OFFSET(E129,-1,1)</f>
        <v>1</v>
      </c>
      <c r="G129" s="1177"/>
      <c r="H129" s="1177"/>
      <c r="I129" s="1177"/>
      <c r="J129" s="1177"/>
      <c r="K129" s="77">
        <f>first_year+47</f>
        <v>2073</v>
      </c>
      <c r="L129" s="1177"/>
      <c r="M129" s="1177"/>
      <c r="N129" s="1177"/>
      <c r="O129" s="1177"/>
      <c r="P129" s="1177"/>
      <c r="Q129" s="1177"/>
      <c r="R129" s="1177"/>
      <c r="S129" s="1177"/>
      <c r="T129" s="381" t="b" cm="1">
        <f t="array" ref="T129">T128</f>
        <v>1</v>
      </c>
      <c r="U129" s="1177"/>
      <c r="V129" s="1177"/>
      <c r="W129" s="1177"/>
      <c r="X129" s="1755"/>
      <c r="Y129" s="1177"/>
      <c r="Z129" s="1735"/>
      <c r="AA129" s="1177"/>
      <c r="AB129" s="172" t="str">
        <f t="shared" si="7"/>
        <v>2073 год</v>
      </c>
      <c r="AC129" s="1539"/>
      <c r="AD129" s="1542"/>
      <c r="AE129" s="1543"/>
      <c r="AF129" s="1543"/>
      <c r="AG129" s="1542"/>
      <c r="AH129" s="1542"/>
      <c r="AI129" s="1542"/>
      <c r="AJ129" s="1559"/>
      <c r="AK129" s="1560"/>
      <c r="AL129" s="320"/>
      <c r="AM129" s="1177"/>
      <c r="AN129" s="1177"/>
      <c r="AO129" s="966" cm="1">
        <f t="array" ref="AO129">K129</f>
        <v>2073</v>
      </c>
      <c r="AP129" s="1177"/>
      <c r="AQ129" s="1177"/>
    </row>
    <row r="130" spans="1:43" s="1597" customFormat="1" ht="14.25" hidden="1" customHeight="1">
      <c r="A130" s="1177"/>
      <c r="B130" s="362" t="b">
        <f t="shared" si="6"/>
        <v>0</v>
      </c>
      <c r="C130" s="1177"/>
      <c r="D130" s="1177"/>
      <c r="E130" s="620">
        <v>15</v>
      </c>
      <c r="F130" s="3" t="str" cm="1">
        <f t="array" aca="1" ref="F130" ca="1">OFFSET(E130,-1,1)</f>
        <v>1</v>
      </c>
      <c r="G130" s="1177"/>
      <c r="H130" s="1177"/>
      <c r="I130" s="1177"/>
      <c r="J130" s="1177"/>
      <c r="K130" s="77">
        <f>first_year+48</f>
        <v>2074</v>
      </c>
      <c r="L130" s="1177"/>
      <c r="M130" s="1177"/>
      <c r="N130" s="1177"/>
      <c r="O130" s="1177"/>
      <c r="P130" s="1177"/>
      <c r="Q130" s="1177"/>
      <c r="R130" s="1177"/>
      <c r="S130" s="1177"/>
      <c r="T130" s="381" t="b" cm="1">
        <f t="array" ref="T130">T129</f>
        <v>1</v>
      </c>
      <c r="U130" s="1177"/>
      <c r="V130" s="1177"/>
      <c r="W130" s="1177"/>
      <c r="X130" s="1755"/>
      <c r="Y130" s="1177"/>
      <c r="Z130" s="1735"/>
      <c r="AA130" s="1177"/>
      <c r="AB130" s="172" t="str">
        <f t="shared" si="7"/>
        <v>2074 год</v>
      </c>
      <c r="AC130" s="1539"/>
      <c r="AD130" s="1542"/>
      <c r="AE130" s="1543"/>
      <c r="AF130" s="1543"/>
      <c r="AG130" s="1542"/>
      <c r="AH130" s="1542"/>
      <c r="AI130" s="1542"/>
      <c r="AJ130" s="1559"/>
      <c r="AK130" s="1560"/>
      <c r="AL130" s="320"/>
      <c r="AM130" s="1177"/>
      <c r="AN130" s="1177"/>
      <c r="AO130" s="966" cm="1">
        <f t="array" ref="AO130">K130</f>
        <v>2074</v>
      </c>
      <c r="AP130" s="1177"/>
      <c r="AQ130" s="1177"/>
    </row>
    <row r="131" spans="1:43" s="1598" customFormat="1" ht="14.25" hidden="1" customHeight="1">
      <c r="A131" s="1177"/>
      <c r="B131" s="362" t="b">
        <f t="shared" si="6"/>
        <v>0</v>
      </c>
      <c r="C131" s="1177"/>
      <c r="D131" s="1177"/>
      <c r="E131" s="620">
        <v>15</v>
      </c>
      <c r="F131" s="3" t="str" cm="1">
        <f t="array" aca="1" ref="F131" ca="1">OFFSET(E131,-1,1)</f>
        <v>1</v>
      </c>
      <c r="G131" s="1177"/>
      <c r="H131" s="1177"/>
      <c r="I131" s="1177"/>
      <c r="J131" s="1177"/>
      <c r="K131" s="77">
        <f>first_year+49</f>
        <v>2075</v>
      </c>
      <c r="L131" s="1177"/>
      <c r="M131" s="1177"/>
      <c r="N131" s="1177"/>
      <c r="O131" s="1177"/>
      <c r="P131" s="1177"/>
      <c r="Q131" s="1177"/>
      <c r="R131" s="1177"/>
      <c r="S131" s="1177"/>
      <c r="T131" s="381" t="b" cm="1">
        <f t="array" ref="T131">T130</f>
        <v>1</v>
      </c>
      <c r="U131" s="1177"/>
      <c r="V131" s="1177"/>
      <c r="W131" s="1177"/>
      <c r="X131" s="1755"/>
      <c r="Y131" s="1177"/>
      <c r="Z131" s="1735"/>
      <c r="AA131" s="1177"/>
      <c r="AB131" s="172" t="str">
        <f t="shared" si="7"/>
        <v>2075 год</v>
      </c>
      <c r="AC131" s="1539"/>
      <c r="AD131" s="1542"/>
      <c r="AE131" s="1543"/>
      <c r="AF131" s="1543"/>
      <c r="AG131" s="1542"/>
      <c r="AH131" s="1542"/>
      <c r="AI131" s="1542"/>
      <c r="AJ131" s="1559"/>
      <c r="AK131" s="1560"/>
      <c r="AL131" s="320"/>
      <c r="AM131" s="1177"/>
      <c r="AN131" s="1177"/>
      <c r="AO131" s="966" cm="1">
        <f t="array" ref="AO131">K131</f>
        <v>2075</v>
      </c>
      <c r="AP131" s="1177"/>
      <c r="AQ131" s="1177"/>
    </row>
    <row r="132" spans="1:43" ht="10.7" customHeight="1">
      <c r="E132" s="620">
        <v>11</v>
      </c>
      <c r="U132" s="613" t="s">
        <v>177</v>
      </c>
      <c r="V132" s="626" t="s">
        <v>2073</v>
      </c>
      <c r="AO132" s="908"/>
    </row>
    <row r="133" spans="1:43" s="1177" customFormat="1" ht="14.65" customHeight="1">
      <c r="A133" s="17"/>
      <c r="B133" s="344"/>
      <c r="C133" s="17"/>
      <c r="D133" s="17"/>
      <c r="E133" s="549">
        <v>15</v>
      </c>
      <c r="F133" s="17"/>
      <c r="G133" s="17"/>
      <c r="H133" s="17"/>
      <c r="I133" s="17"/>
      <c r="J133" s="17"/>
      <c r="K133" s="17"/>
      <c r="L133" s="17"/>
      <c r="M133" s="17"/>
      <c r="N133" s="17"/>
      <c r="O133" s="17"/>
      <c r="P133" s="17"/>
      <c r="Q133" s="17"/>
      <c r="R133" s="17"/>
      <c r="S133" s="17"/>
      <c r="T133" s="17"/>
      <c r="U133" s="17"/>
      <c r="V133" s="17"/>
      <c r="W133" s="17"/>
      <c r="X133" s="17"/>
      <c r="Y133" s="17"/>
      <c r="Z133" s="17"/>
      <c r="AA133" s="17"/>
      <c r="AB133" s="1762" t="s">
        <v>394</v>
      </c>
      <c r="AC133" s="1762"/>
      <c r="AD133" s="1762"/>
      <c r="AE133" s="1762"/>
      <c r="AF133" s="1762"/>
      <c r="AG133" s="1762"/>
      <c r="AH133" s="1762"/>
      <c r="AI133" s="1762"/>
      <c r="AJ133" s="1762"/>
      <c r="AK133" s="1762"/>
      <c r="AL133" s="17"/>
      <c r="AO133" s="966"/>
    </row>
    <row r="134" spans="1:43" s="1177" customFormat="1" ht="14.65" customHeight="1">
      <c r="A134" s="17"/>
      <c r="B134" s="344"/>
      <c r="C134" s="17"/>
      <c r="D134" s="17"/>
      <c r="E134" s="549">
        <v>15</v>
      </c>
      <c r="F134" s="17"/>
      <c r="G134" s="17"/>
      <c r="H134" s="17"/>
      <c r="I134" s="17"/>
      <c r="J134" s="17"/>
      <c r="K134" s="17"/>
      <c r="L134" s="17"/>
      <c r="M134" s="17"/>
      <c r="N134" s="17"/>
      <c r="O134" s="17"/>
      <c r="P134" s="17"/>
      <c r="Q134" s="17"/>
      <c r="R134" s="17"/>
      <c r="S134" s="17"/>
      <c r="T134" s="17"/>
      <c r="U134" s="17"/>
      <c r="V134" s="17"/>
      <c r="W134" s="17"/>
      <c r="X134" s="17"/>
      <c r="Y134" s="17"/>
      <c r="Z134" s="17"/>
      <c r="AA134" s="92"/>
      <c r="AB134" s="1844"/>
      <c r="AC134" s="1844"/>
      <c r="AD134" s="1844"/>
      <c r="AE134" s="1844"/>
      <c r="AF134" s="1844"/>
      <c r="AG134" s="1844"/>
      <c r="AH134" s="1843"/>
      <c r="AI134" s="1843"/>
      <c r="AJ134" s="1843"/>
      <c r="AK134" s="1843"/>
      <c r="AL134" s="17"/>
      <c r="AO134" s="966"/>
    </row>
    <row r="135" spans="1:43" s="1327" customFormat="1" ht="14.65" hidden="1" customHeight="1">
      <c r="A135" s="17"/>
      <c r="B135" s="344"/>
      <c r="C135" s="17"/>
      <c r="D135" s="17"/>
      <c r="E135" s="549">
        <v>15</v>
      </c>
      <c r="F135" s="17"/>
      <c r="G135" s="17"/>
      <c r="H135" s="17"/>
      <c r="I135" s="17"/>
      <c r="J135" s="17"/>
      <c r="K135" s="17"/>
      <c r="L135" s="17"/>
      <c r="M135" s="17"/>
      <c r="N135" s="17"/>
      <c r="O135" s="17"/>
      <c r="P135" s="17"/>
      <c r="Q135" s="17"/>
      <c r="R135" s="17"/>
      <c r="S135" s="17"/>
      <c r="T135" s="405" t="b">
        <f>ROW(W135)&gt;ROW(W$135)</f>
        <v>0</v>
      </c>
      <c r="U135" s="17"/>
      <c r="V135" s="17"/>
      <c r="W135" s="77" t="s">
        <v>173</v>
      </c>
      <c r="X135" s="17"/>
      <c r="Y135" s="17"/>
      <c r="Z135" s="17"/>
      <c r="AA135" s="337" t="s">
        <v>174</v>
      </c>
      <c r="AB135" s="1843" t="s">
        <v>231</v>
      </c>
      <c r="AC135" s="1843"/>
      <c r="AD135" s="1843"/>
      <c r="AE135" s="1843"/>
      <c r="AF135" s="1843"/>
      <c r="AG135" s="1843"/>
      <c r="AH135" s="1843"/>
      <c r="AI135" s="1843"/>
      <c r="AJ135" s="1843"/>
      <c r="AK135" s="1843"/>
      <c r="AL135" s="17"/>
      <c r="AO135" s="906"/>
      <c r="AQ135" s="20"/>
    </row>
    <row r="136" spans="1:43" s="1327" customFormat="1" ht="14.65" customHeight="1">
      <c r="A136" s="17"/>
      <c r="B136" s="344"/>
      <c r="C136" s="17"/>
      <c r="D136" s="17"/>
      <c r="E136" s="549">
        <v>15</v>
      </c>
      <c r="F136" s="17"/>
      <c r="G136" s="17"/>
      <c r="H136" s="17"/>
      <c r="I136" s="17"/>
      <c r="J136" s="17"/>
      <c r="K136" s="17"/>
      <c r="L136" s="17"/>
      <c r="M136" s="17"/>
      <c r="N136" s="17"/>
      <c r="O136" s="17"/>
      <c r="P136" s="17"/>
      <c r="Q136" s="17"/>
      <c r="R136" s="17"/>
      <c r="S136" s="17"/>
      <c r="T136" s="17"/>
      <c r="U136" s="17"/>
      <c r="V136" s="17"/>
      <c r="W136" s="743" t="s">
        <v>395</v>
      </c>
      <c r="X136" s="17"/>
      <c r="Y136" s="17"/>
      <c r="Z136" s="17"/>
      <c r="AA136" s="17"/>
      <c r="AB136" s="564"/>
      <c r="AC136" s="430" t="s">
        <v>396</v>
      </c>
      <c r="AD136" s="227"/>
      <c r="AE136" s="227"/>
      <c r="AF136" s="227"/>
      <c r="AG136" s="227"/>
      <c r="AH136" s="227"/>
      <c r="AI136" s="227"/>
      <c r="AJ136" s="227"/>
      <c r="AK136" s="228"/>
      <c r="AL136" s="17"/>
      <c r="AO136" s="906"/>
      <c r="AQ136" s="20"/>
    </row>
    <row r="137" spans="1:43" s="1327" customFormat="1" ht="10.7" customHeight="1">
      <c r="A137" s="17"/>
      <c r="B137" s="344"/>
      <c r="C137" s="17"/>
      <c r="D137" s="17"/>
      <c r="E137" s="549">
        <v>11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25"/>
      <c r="AC137" s="17"/>
      <c r="AD137" s="17"/>
      <c r="AE137" s="17"/>
      <c r="AF137" s="17"/>
      <c r="AG137" s="17"/>
      <c r="AH137" s="17"/>
      <c r="AI137" s="17"/>
      <c r="AJ137" s="17"/>
      <c r="AK137" s="17"/>
      <c r="AL137" s="343"/>
      <c r="AO137" s="906"/>
      <c r="AQ137" s="20"/>
    </row>
    <row r="138" spans="1:43" s="1327" customFormat="1" ht="11.25" hidden="1" customHeight="1">
      <c r="B138" s="347"/>
      <c r="E138" s="541"/>
      <c r="AC138" s="19"/>
      <c r="AD138" s="19"/>
      <c r="AE138" s="19"/>
      <c r="AF138" s="19"/>
      <c r="AO138" s="906"/>
      <c r="AQ138" s="20"/>
    </row>
  </sheetData>
  <sheetProtection formatColumns="0" formatRows="0" insertRows="0" deleteColumns="0" deleteRows="0" sort="0" autoFilter="0"/>
  <mergeCells count="13">
    <mergeCell ref="AB135:AK135"/>
    <mergeCell ref="X30:X80"/>
    <mergeCell ref="Z30:Z80"/>
    <mergeCell ref="AB24:AE24"/>
    <mergeCell ref="AB133:AK133"/>
    <mergeCell ref="AB134:AK134"/>
    <mergeCell ref="AB26:AB28"/>
    <mergeCell ref="AC26:AC27"/>
    <mergeCell ref="AD26:AD27"/>
    <mergeCell ref="AE26:AE27"/>
    <mergeCell ref="AF26:AK26"/>
    <mergeCell ref="X81:X131"/>
    <mergeCell ref="Z81:Z131"/>
  </mergeCells>
  <dataValidations count="2">
    <dataValidation type="list" allowBlank="1" showInputMessage="1" showErrorMessage="1" errorTitle="Внимание" error="Пожалуйста, выберите значение из списка!" sqref="AF24">
      <formula1>YES_NO</formula1>
    </dataValidation>
    <dataValidation type="decimal" allowBlank="1" showErrorMessage="1" errorTitle="Ошибка" error="Допускается ввод только неотрицательных чисел!" sqref="AE31:AE80 AE82:AE131">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R139"/>
  <sheetViews>
    <sheetView showGridLines="0" workbookViewId="0">
      <pane xSplit="29" ySplit="26" topLeftCell="AD27" activePane="bottomRight" state="frozen"/>
      <selection pane="topRight" activeCell="AD1" sqref="AD1"/>
      <selection pane="bottomLeft" activeCell="A27" sqref="A27"/>
      <selection pane="bottomRight" activeCell="AA21" sqref="AA21"/>
    </sheetView>
  </sheetViews>
  <sheetFormatPr defaultColWidth="9.140625" defaultRowHeight="11.25" customHeight="1"/>
  <cols>
    <col min="1" max="1" width="3.5703125" style="1207" hidden="1" customWidth="1"/>
    <col min="2" max="2" width="8.5703125" style="1076" hidden="1" customWidth="1"/>
    <col min="3" max="4" width="3.5703125" style="1207" hidden="1" customWidth="1"/>
    <col min="5" max="5" width="3.5703125" style="1208" hidden="1" customWidth="1"/>
    <col min="6" max="10" width="3.5703125" style="1207" hidden="1" customWidth="1"/>
    <col min="11" max="11" width="7.140625" style="1207" hidden="1" customWidth="1"/>
    <col min="12" max="19" width="3.5703125" style="1207" hidden="1" customWidth="1"/>
    <col min="20" max="20" width="9.140625" style="1207" hidden="1"/>
    <col min="21" max="26" width="3.5703125" style="1207" hidden="1" customWidth="1"/>
    <col min="27" max="27" width="3" style="1207" customWidth="1"/>
    <col min="28" max="28" width="14.7109375" style="125" customWidth="1"/>
    <col min="29" max="33" width="17" style="1207" customWidth="1"/>
    <col min="34" max="36" width="23" style="1207" hidden="1" customWidth="1"/>
    <col min="37" max="37" width="25" style="1207" hidden="1" customWidth="1"/>
    <col min="38" max="38" width="3" style="1207" customWidth="1"/>
    <col min="39" max="39" width="9.140625" style="1207" hidden="1"/>
    <col min="40" max="42" width="9.140625" style="1209" hidden="1"/>
    <col min="43" max="44" width="9.140625" style="1208" hidden="1"/>
  </cols>
  <sheetData>
    <row r="1" spans="1:44" ht="11.25" hidden="1" customHeight="1">
      <c r="E1" s="17"/>
      <c r="F1" s="17" t="s">
        <v>311</v>
      </c>
      <c r="G1" s="17" t="s">
        <v>347</v>
      </c>
      <c r="K1" s="17" t="s">
        <v>350</v>
      </c>
      <c r="T1" s="381" t="s">
        <v>92</v>
      </c>
      <c r="U1" s="381" t="s">
        <v>97</v>
      </c>
      <c r="V1" s="381" t="s">
        <v>93</v>
      </c>
      <c r="W1" s="381" t="s">
        <v>94</v>
      </c>
      <c r="X1" s="381" t="s">
        <v>95</v>
      </c>
      <c r="Y1" s="383" t="s">
        <v>313</v>
      </c>
      <c r="Z1" s="381" t="s">
        <v>99</v>
      </c>
      <c r="AA1" s="382" t="s">
        <v>96</v>
      </c>
      <c r="AB1" s="381" t="s">
        <v>98</v>
      </c>
      <c r="AC1" s="382" t="s">
        <v>98</v>
      </c>
      <c r="AN1" s="917" t="s">
        <v>355</v>
      </c>
      <c r="AO1" s="917" t="s">
        <v>315</v>
      </c>
      <c r="AP1" s="917" t="s">
        <v>316</v>
      </c>
      <c r="AQ1" s="549" t="s">
        <v>319</v>
      </c>
      <c r="AR1" s="549" t="s">
        <v>320</v>
      </c>
    </row>
    <row r="2" spans="1:44" s="1076" customFormat="1" ht="11.25" hidden="1" customHeight="1">
      <c r="B2" s="362" t="s">
        <v>18</v>
      </c>
      <c r="AB2" s="346"/>
      <c r="AG2" s="362" t="b">
        <f>DPR_ee_divide="нет"</f>
        <v>1</v>
      </c>
      <c r="AH2" s="362" t="b">
        <f>DPR_ee_divide="да"</f>
        <v>0</v>
      </c>
      <c r="AI2" s="362" t="b">
        <f>DPR_ee_divide="да"</f>
        <v>0</v>
      </c>
      <c r="AJ2" s="362" t="b">
        <f>DPR_ee_divide="да"</f>
        <v>0</v>
      </c>
      <c r="AK2" s="362" t="b">
        <f>DPR_ee_divide="да"</f>
        <v>0</v>
      </c>
      <c r="AN2" s="918"/>
      <c r="AO2" s="918"/>
      <c r="AP2" s="918"/>
      <c r="AQ2" s="931"/>
      <c r="AR2" s="931"/>
    </row>
    <row r="3" spans="1:44" ht="11.25" hidden="1" customHeight="1">
      <c r="E3" s="17"/>
    </row>
    <row r="4" spans="1:44" ht="11.25" hidden="1" customHeight="1">
      <c r="E4" s="17"/>
    </row>
    <row r="5" spans="1:44" s="1208" customFormat="1" ht="11.25" hidden="1" customHeight="1">
      <c r="A5" s="17"/>
      <c r="B5" s="344"/>
      <c r="C5" s="17"/>
      <c r="D5" s="17"/>
      <c r="E5" s="549" t="s">
        <v>19</v>
      </c>
      <c r="AA5" s="549">
        <v>3</v>
      </c>
      <c r="AB5" s="610">
        <v>14.71</v>
      </c>
      <c r="AC5" s="549">
        <v>17</v>
      </c>
      <c r="AD5" s="549">
        <v>17</v>
      </c>
      <c r="AE5" s="549">
        <v>17</v>
      </c>
      <c r="AF5" s="549">
        <v>17</v>
      </c>
      <c r="AG5" s="549">
        <v>17</v>
      </c>
      <c r="AH5" s="549">
        <v>23</v>
      </c>
      <c r="AI5" s="549">
        <v>23</v>
      </c>
      <c r="AJ5" s="549">
        <v>23</v>
      </c>
      <c r="AK5" s="549">
        <v>25</v>
      </c>
      <c r="AL5" s="549">
        <v>3</v>
      </c>
      <c r="AN5" s="917"/>
      <c r="AO5" s="917"/>
      <c r="AP5" s="917"/>
    </row>
    <row r="6" spans="1:44" ht="11.25" hidden="1" customHeight="1">
      <c r="A6" s="17" t="s">
        <v>322</v>
      </c>
      <c r="AC6" s="17" t="s">
        <v>323</v>
      </c>
      <c r="AD6" s="17" t="s">
        <v>324</v>
      </c>
      <c r="AE6" s="17" t="s">
        <v>325</v>
      </c>
      <c r="AF6" s="17" t="s">
        <v>501</v>
      </c>
      <c r="AG6" s="17" t="s">
        <v>505</v>
      </c>
      <c r="AH6" s="17" t="s">
        <v>2048</v>
      </c>
      <c r="AI6" s="17" t="s">
        <v>2049</v>
      </c>
      <c r="AJ6" s="17" t="s">
        <v>2050</v>
      </c>
      <c r="AK6" s="17" t="s">
        <v>2051</v>
      </c>
    </row>
    <row r="7" spans="1:44" ht="11.25" hidden="1" customHeight="1"/>
    <row r="8" spans="1:44" ht="11.25" hidden="1" customHeight="1"/>
    <row r="9" spans="1:44" s="1209" customFormat="1" ht="11.25" hidden="1" customHeight="1">
      <c r="A9" s="917" t="s">
        <v>314</v>
      </c>
      <c r="B9" s="918"/>
      <c r="AB9" s="956"/>
      <c r="AC9" s="975" t="s">
        <v>2052</v>
      </c>
      <c r="AD9" s="975" t="s">
        <v>2053</v>
      </c>
      <c r="AE9" s="975" t="s">
        <v>2054</v>
      </c>
      <c r="AF9" s="975" t="s">
        <v>2055</v>
      </c>
      <c r="AG9" s="975" t="s">
        <v>2056</v>
      </c>
      <c r="AH9" s="975" t="s">
        <v>2057</v>
      </c>
      <c r="AI9" s="975" t="s">
        <v>2058</v>
      </c>
      <c r="AJ9" s="975" t="s">
        <v>2059</v>
      </c>
      <c r="AK9" s="917" t="s">
        <v>2060</v>
      </c>
      <c r="AQ9" s="549"/>
      <c r="AR9" s="549"/>
    </row>
    <row r="10" spans="1:44" s="1209" customFormat="1" ht="11.25" hidden="1" customHeight="1">
      <c r="A10" s="917" t="s">
        <v>329</v>
      </c>
      <c r="B10" s="918"/>
      <c r="AB10" s="956" t="s">
        <v>316</v>
      </c>
      <c r="AQ10" s="549"/>
      <c r="AR10" s="549"/>
    </row>
    <row r="11" spans="1:44" ht="11.25" hidden="1" customHeight="1"/>
    <row r="12" spans="1:44" ht="11.25" hidden="1" customHeight="1"/>
    <row r="13" spans="1:44" ht="11.25" hidden="1" customHeight="1"/>
    <row r="14" spans="1:44" ht="11.25" hidden="1" customHeight="1"/>
    <row r="15" spans="1:44" ht="11.25" hidden="1" customHeight="1"/>
    <row r="16" spans="1:44" ht="11.25" hidden="1" customHeight="1"/>
    <row r="17" spans="1:44" ht="11.25" hidden="1" customHeight="1"/>
    <row r="18" spans="1:44" ht="11.25" hidden="1" customHeight="1">
      <c r="A18" s="17" t="s">
        <v>358</v>
      </c>
      <c r="AB18" s="125" t="s">
        <v>194</v>
      </c>
    </row>
    <row r="19" spans="1:44" ht="11.25" hidden="1" customHeight="1"/>
    <row r="20" spans="1:44" ht="11.25" hidden="1" customHeight="1"/>
    <row r="21" spans="1:44" ht="14.65" customHeight="1">
      <c r="E21" s="549">
        <v>15</v>
      </c>
      <c r="AA21" s="574"/>
      <c r="AB21" s="279" t="str" cm="1">
        <f t="array" ref="AB21">tpl_title</f>
        <v>Кемеровская область / 2026 / ОАО «СКЭК» (ИНН:4205153492, КПП:420501001) / ДПР: 2026-2026</v>
      </c>
    </row>
    <row r="22" spans="1:44" s="1242" customFormat="1" ht="23.45" customHeight="1">
      <c r="B22" s="344"/>
      <c r="E22" s="550">
        <v>24</v>
      </c>
      <c r="AB22" s="232" t="s">
        <v>86</v>
      </c>
      <c r="AC22" s="124"/>
      <c r="AD22" s="124"/>
      <c r="AE22" s="124"/>
      <c r="AF22" s="124"/>
      <c r="AG22" s="124"/>
      <c r="AH22" s="124"/>
      <c r="AI22" s="124"/>
      <c r="AJ22" s="124"/>
      <c r="AK22" s="124"/>
      <c r="AN22" s="920"/>
      <c r="AO22" s="920"/>
      <c r="AP22" s="920"/>
      <c r="AQ22" s="550"/>
      <c r="AR22" s="550"/>
    </row>
    <row r="23" spans="1:44" ht="10.9" customHeight="1">
      <c r="E23" s="549">
        <v>11.25</v>
      </c>
      <c r="AB23" s="63"/>
      <c r="AC23" s="63"/>
    </row>
    <row r="24" spans="1:44" s="1079" customFormat="1" ht="38.1" customHeight="1">
      <c r="B24" s="346"/>
      <c r="E24" s="547">
        <v>39</v>
      </c>
      <c r="AB24" s="1852" t="s">
        <v>2062</v>
      </c>
      <c r="AC24" s="1855" t="s">
        <v>2063</v>
      </c>
      <c r="AD24" s="1855" t="s">
        <v>428</v>
      </c>
      <c r="AE24" s="1855" t="s">
        <v>2064</v>
      </c>
      <c r="AF24" s="1855" t="s">
        <v>2065</v>
      </c>
      <c r="AG24" s="1855"/>
      <c r="AH24" s="1855"/>
      <c r="AI24" s="1855"/>
      <c r="AJ24" s="1855"/>
      <c r="AK24" s="1856"/>
      <c r="AN24" s="915"/>
      <c r="AO24" s="915"/>
      <c r="AP24" s="915"/>
      <c r="AQ24" s="547"/>
      <c r="AR24" s="547"/>
    </row>
    <row r="25" spans="1:44" s="1079" customFormat="1" ht="35.1" customHeight="1">
      <c r="B25" s="346"/>
      <c r="E25" s="547">
        <v>36</v>
      </c>
      <c r="AB25" s="1853"/>
      <c r="AC25" s="1855"/>
      <c r="AD25" s="1855"/>
      <c r="AE25" s="1855"/>
      <c r="AF25" s="171" t="s">
        <v>549</v>
      </c>
      <c r="AG25" s="171" t="s">
        <v>2066</v>
      </c>
      <c r="AH25" s="171" t="s">
        <v>2067</v>
      </c>
      <c r="AI25" s="171" t="s">
        <v>2068</v>
      </c>
      <c r="AJ25" s="171" t="s">
        <v>2069</v>
      </c>
      <c r="AK25" s="172" t="s">
        <v>2070</v>
      </c>
      <c r="AN25" s="915"/>
      <c r="AO25" s="915"/>
      <c r="AP25" s="915"/>
      <c r="AQ25" s="547"/>
      <c r="AR25" s="547"/>
    </row>
    <row r="26" spans="1:44" s="1325" customFormat="1" ht="10.9" customHeight="1">
      <c r="B26" s="346"/>
      <c r="E26" s="183">
        <v>11.25</v>
      </c>
      <c r="AB26" s="1854"/>
      <c r="AC26" s="171" t="s">
        <v>766</v>
      </c>
      <c r="AD26" s="171" t="s">
        <v>423</v>
      </c>
      <c r="AE26" s="10" t="s">
        <v>423</v>
      </c>
      <c r="AF26" s="171" t="s">
        <v>423</v>
      </c>
      <c r="AG26" s="171" t="s">
        <v>2071</v>
      </c>
      <c r="AH26" s="171" t="s">
        <v>2071</v>
      </c>
      <c r="AI26" s="171" t="s">
        <v>2071</v>
      </c>
      <c r="AJ26" s="171" t="s">
        <v>2071</v>
      </c>
      <c r="AK26" s="172" t="s">
        <v>2071</v>
      </c>
      <c r="AN26" s="932"/>
      <c r="AO26" s="932"/>
      <c r="AP26" s="932"/>
      <c r="AQ26" s="183"/>
      <c r="AR26" s="183"/>
    </row>
    <row r="27" spans="1:44" s="1327" customFormat="1" ht="11.25" hidden="1" customHeight="1">
      <c r="A27" s="415"/>
      <c r="B27" s="575"/>
      <c r="C27" s="415"/>
      <c r="D27" s="415"/>
      <c r="E27" s="576">
        <v>0</v>
      </c>
      <c r="F27" s="4"/>
      <c r="G27" s="415"/>
      <c r="H27" s="415"/>
      <c r="I27" s="415"/>
      <c r="J27" s="415"/>
      <c r="K27" s="415"/>
      <c r="L27" s="415"/>
      <c r="M27" s="415"/>
      <c r="N27" s="415"/>
      <c r="O27" s="415"/>
      <c r="P27" s="415"/>
      <c r="Q27" s="415"/>
      <c r="R27" s="415"/>
      <c r="S27" s="415"/>
      <c r="T27" s="415"/>
      <c r="U27" s="415"/>
      <c r="V27" s="415"/>
      <c r="W27" s="415"/>
      <c r="X27" s="415"/>
      <c r="Y27" s="415"/>
      <c r="Z27" s="415"/>
      <c r="AA27" s="415"/>
      <c r="AC27" s="19"/>
      <c r="AD27" s="19"/>
      <c r="AE27" s="19"/>
      <c r="AF27" s="19"/>
      <c r="AN27" s="906"/>
      <c r="AO27" s="906"/>
      <c r="AP27" s="906"/>
      <c r="AQ27" s="909"/>
      <c r="AR27" s="541"/>
    </row>
    <row r="28" spans="1:44" s="1210" customFormat="1" ht="14.65" hidden="1" customHeight="1">
      <c r="B28" s="345"/>
      <c r="E28" s="535">
        <v>15</v>
      </c>
      <c r="F28" s="17" cm="1">
        <f t="array" ref="F28">X28</f>
        <v>0</v>
      </c>
      <c r="T28" s="381" t="b">
        <f>X28&gt;0</f>
        <v>0</v>
      </c>
      <c r="V28" s="41" t="s">
        <v>270</v>
      </c>
      <c r="X28" s="1755">
        <v>0</v>
      </c>
      <c r="Z28" s="1735"/>
      <c r="AB28" s="293" t="str" cm="1">
        <f t="array" ref="AB28">INDEX('Общие сведения'!$AG$179:$AG$208,MATCH($X28,'Общие сведения'!$Z$179:$Z$208,0))</f>
        <v xml:space="preserve">Тариф 0 () - </v>
      </c>
      <c r="AC28" s="161"/>
      <c r="AD28" s="161"/>
      <c r="AE28" s="161"/>
      <c r="AF28" s="161"/>
      <c r="AG28" s="161"/>
      <c r="AH28" s="161"/>
      <c r="AI28" s="161"/>
      <c r="AJ28" s="161"/>
      <c r="AK28" s="161"/>
      <c r="AL28" s="319"/>
      <c r="AN28" s="899"/>
      <c r="AO28" s="899"/>
      <c r="AP28" s="899"/>
      <c r="AQ28" s="535"/>
      <c r="AR28" s="535"/>
    </row>
    <row r="29" spans="1:44" s="1210" customFormat="1" ht="14.65" hidden="1" customHeight="1">
      <c r="B29" s="345"/>
      <c r="E29" s="535">
        <v>15</v>
      </c>
      <c r="F29" s="3" cm="1">
        <f t="array" aca="1" ref="F29" ca="1">OFFSET(E29,-1,1)</f>
        <v>0</v>
      </c>
      <c r="G29" s="41" cm="1">
        <f t="array" ref="G29">AB29</f>
        <v>0</v>
      </c>
      <c r="T29" s="381" t="b">
        <f ca="1">AND(F29&gt;0,Y29&gt;0)</f>
        <v>0</v>
      </c>
      <c r="W29" s="41" t="s">
        <v>173</v>
      </c>
      <c r="X29" s="1755"/>
      <c r="Y29" s="1755">
        <v>0</v>
      </c>
      <c r="Z29" s="1735"/>
      <c r="AA29" s="1848" t="s">
        <v>174</v>
      </c>
      <c r="AB29" s="1849"/>
      <c r="AC29" s="1849"/>
      <c r="AD29" s="1849"/>
      <c r="AE29" s="1849"/>
      <c r="AF29" s="1849"/>
      <c r="AG29" s="1849"/>
      <c r="AH29" s="1849"/>
      <c r="AI29" s="1849"/>
      <c r="AJ29" s="1849"/>
      <c r="AK29" s="1850"/>
      <c r="AL29" s="319"/>
      <c r="AN29" s="899"/>
      <c r="AO29" s="966" t="s">
        <v>2074</v>
      </c>
      <c r="AP29" s="981" cm="1">
        <f t="array" ref="AP29">AB29</f>
        <v>0</v>
      </c>
      <c r="AQ29" s="535"/>
      <c r="AR29" s="535" t="b">
        <v>1</v>
      </c>
    </row>
    <row r="30" spans="1:44" s="1177" customFormat="1" ht="14.65" hidden="1" customHeight="1">
      <c r="B30" s="362" t="b">
        <f t="shared" ref="B30:B61" si="0">K30&lt;first_year+PERIOD_LENGTH</f>
        <v>1</v>
      </c>
      <c r="E30" s="620">
        <v>15</v>
      </c>
      <c r="F30" s="3" cm="1">
        <f t="array" aca="1" ref="F30" ca="1">OFFSET(E30,-1,1)</f>
        <v>0</v>
      </c>
      <c r="G30" s="17" cm="1">
        <f t="array" ref="G30">G29</f>
        <v>0</v>
      </c>
      <c r="K30" s="77" cm="1">
        <f t="array" ref="K30">first_year</f>
        <v>2026</v>
      </c>
      <c r="T30" s="381" t="b" cm="1">
        <f t="array" aca="1" ref="T30" ca="1">T29</f>
        <v>0</v>
      </c>
      <c r="X30" s="1755"/>
      <c r="Y30" s="1755"/>
      <c r="Z30" s="1735"/>
      <c r="AA30" s="1848"/>
      <c r="AB30" s="217" t="str">
        <f t="shared" ref="AB30:AB61" si="1">K30&amp;" год"</f>
        <v>2026 год</v>
      </c>
      <c r="AC30" s="1599"/>
      <c r="AD30" s="1600"/>
      <c r="AE30" s="1599"/>
      <c r="AF30" s="1599"/>
      <c r="AG30" s="1600"/>
      <c r="AH30" s="1599"/>
      <c r="AI30" s="1600"/>
      <c r="AJ30" s="1599"/>
      <c r="AK30" s="1601"/>
      <c r="AL30" s="320"/>
      <c r="AN30" s="966" cm="1">
        <f t="array" ref="AN30">K30</f>
        <v>2026</v>
      </c>
      <c r="AO30" s="966" t="s">
        <v>2074</v>
      </c>
      <c r="AP30" s="976" cm="1">
        <f t="array" ref="AP30">AP29</f>
        <v>0</v>
      </c>
      <c r="AQ30" s="620"/>
      <c r="AR30" s="620"/>
    </row>
    <row r="31" spans="1:44" s="1177" customFormat="1" ht="14.65" hidden="1" customHeight="1">
      <c r="B31" s="362" t="b">
        <f t="shared" si="0"/>
        <v>0</v>
      </c>
      <c r="E31" s="620">
        <v>15</v>
      </c>
      <c r="F31" s="3" cm="1">
        <f t="array" aca="1" ref="F31" ca="1">OFFSET(E31,-1,1)</f>
        <v>0</v>
      </c>
      <c r="G31" s="17" cm="1">
        <f t="array" ref="G31">G30</f>
        <v>0</v>
      </c>
      <c r="K31" s="77">
        <f>first_year+1</f>
        <v>2027</v>
      </c>
      <c r="T31" s="381" t="b" cm="1">
        <f t="array" aca="1" ref="T31" ca="1">T30</f>
        <v>0</v>
      </c>
      <c r="X31" s="1755"/>
      <c r="Y31" s="1755"/>
      <c r="Z31" s="1735"/>
      <c r="AA31" s="1848"/>
      <c r="AB31" s="172" t="str">
        <f t="shared" si="1"/>
        <v>2027 год</v>
      </c>
      <c r="AC31" s="324"/>
      <c r="AD31" s="1600"/>
      <c r="AE31" s="1599"/>
      <c r="AF31" s="1599"/>
      <c r="AG31" s="1600"/>
      <c r="AH31" s="1599"/>
      <c r="AI31" s="1600"/>
      <c r="AJ31" s="1599"/>
      <c r="AK31" s="1601"/>
      <c r="AL31" s="320"/>
      <c r="AN31" s="966" cm="1">
        <f t="array" ref="AN31">K31</f>
        <v>2027</v>
      </c>
      <c r="AO31" s="966" t="s">
        <v>2074</v>
      </c>
      <c r="AP31" s="976" cm="1">
        <f t="array" ref="AP31">AP30</f>
        <v>0</v>
      </c>
      <c r="AQ31" s="620"/>
      <c r="AR31" s="620"/>
    </row>
    <row r="32" spans="1:44" s="1177" customFormat="1" ht="14.65" hidden="1" customHeight="1">
      <c r="B32" s="362" t="b">
        <f t="shared" si="0"/>
        <v>0</v>
      </c>
      <c r="E32" s="620">
        <v>15</v>
      </c>
      <c r="F32" s="3" cm="1">
        <f t="array" aca="1" ref="F32" ca="1">OFFSET(E32,-1,1)</f>
        <v>0</v>
      </c>
      <c r="G32" s="17" cm="1">
        <f t="array" ref="G32">G31</f>
        <v>0</v>
      </c>
      <c r="K32" s="77">
        <f>first_year+2</f>
        <v>2028</v>
      </c>
      <c r="T32" s="381" t="b" cm="1">
        <f t="array" aca="1" ref="T32" ca="1">T31</f>
        <v>0</v>
      </c>
      <c r="X32" s="1755"/>
      <c r="Y32" s="1755"/>
      <c r="Z32" s="1735"/>
      <c r="AA32" s="1848"/>
      <c r="AB32" s="172" t="str">
        <f t="shared" si="1"/>
        <v>2028 год</v>
      </c>
      <c r="AC32" s="324"/>
      <c r="AD32" s="1600"/>
      <c r="AE32" s="1599"/>
      <c r="AF32" s="1599"/>
      <c r="AG32" s="1600"/>
      <c r="AH32" s="1599"/>
      <c r="AI32" s="1600"/>
      <c r="AJ32" s="1599"/>
      <c r="AK32" s="1601"/>
      <c r="AL32" s="320"/>
      <c r="AN32" s="966" cm="1">
        <f t="array" ref="AN32">K32</f>
        <v>2028</v>
      </c>
      <c r="AO32" s="966" t="s">
        <v>2074</v>
      </c>
      <c r="AP32" s="976" cm="1">
        <f t="array" ref="AP32">AP31</f>
        <v>0</v>
      </c>
      <c r="AQ32" s="620"/>
      <c r="AR32" s="620"/>
    </row>
    <row r="33" spans="2:44" s="1177" customFormat="1" ht="14.65" hidden="1" customHeight="1">
      <c r="B33" s="362" t="b">
        <f t="shared" si="0"/>
        <v>0</v>
      </c>
      <c r="E33" s="620">
        <v>15</v>
      </c>
      <c r="F33" s="3" cm="1">
        <f t="array" aca="1" ref="F33" ca="1">OFFSET(E33,-1,1)</f>
        <v>0</v>
      </c>
      <c r="G33" s="17" cm="1">
        <f t="array" ref="G33">G32</f>
        <v>0</v>
      </c>
      <c r="K33" s="77">
        <f>first_year+3</f>
        <v>2029</v>
      </c>
      <c r="T33" s="381" t="b" cm="1">
        <f t="array" aca="1" ref="T33" ca="1">T32</f>
        <v>0</v>
      </c>
      <c r="X33" s="1755"/>
      <c r="Y33" s="1755"/>
      <c r="Z33" s="1735"/>
      <c r="AA33" s="1848"/>
      <c r="AB33" s="172" t="str">
        <f t="shared" si="1"/>
        <v>2029 год</v>
      </c>
      <c r="AC33" s="324"/>
      <c r="AD33" s="1600"/>
      <c r="AE33" s="1599"/>
      <c r="AF33" s="1599"/>
      <c r="AG33" s="1600"/>
      <c r="AH33" s="1599"/>
      <c r="AI33" s="1600"/>
      <c r="AJ33" s="1599"/>
      <c r="AK33" s="1601"/>
      <c r="AL33" s="320"/>
      <c r="AN33" s="966" cm="1">
        <f t="array" ref="AN33">K33</f>
        <v>2029</v>
      </c>
      <c r="AO33" s="966" t="s">
        <v>2074</v>
      </c>
      <c r="AP33" s="976" cm="1">
        <f t="array" ref="AP33">AP32</f>
        <v>0</v>
      </c>
      <c r="AQ33" s="620"/>
      <c r="AR33" s="620"/>
    </row>
    <row r="34" spans="2:44" s="1177" customFormat="1" ht="14.65" hidden="1" customHeight="1">
      <c r="B34" s="362" t="b">
        <f t="shared" si="0"/>
        <v>0</v>
      </c>
      <c r="E34" s="620">
        <v>15</v>
      </c>
      <c r="F34" s="3" cm="1">
        <f t="array" aca="1" ref="F34" ca="1">OFFSET(E34,-1,1)</f>
        <v>0</v>
      </c>
      <c r="G34" s="17" cm="1">
        <f t="array" ref="G34">G33</f>
        <v>0</v>
      </c>
      <c r="K34" s="77">
        <f>first_year+4</f>
        <v>2030</v>
      </c>
      <c r="T34" s="381" t="b" cm="1">
        <f t="array" aca="1" ref="T34" ca="1">T33</f>
        <v>0</v>
      </c>
      <c r="X34" s="1755"/>
      <c r="Y34" s="1755"/>
      <c r="Z34" s="1735"/>
      <c r="AA34" s="1848"/>
      <c r="AB34" s="172" t="str">
        <f t="shared" si="1"/>
        <v>2030 год</v>
      </c>
      <c r="AC34" s="324"/>
      <c r="AD34" s="1600"/>
      <c r="AE34" s="1599"/>
      <c r="AF34" s="1599"/>
      <c r="AG34" s="1600"/>
      <c r="AH34" s="1599"/>
      <c r="AI34" s="1600"/>
      <c r="AJ34" s="1599"/>
      <c r="AK34" s="1601"/>
      <c r="AL34" s="320"/>
      <c r="AN34" s="966" cm="1">
        <f t="array" ref="AN34">K34</f>
        <v>2030</v>
      </c>
      <c r="AO34" s="966" t="s">
        <v>2074</v>
      </c>
      <c r="AP34" s="976" cm="1">
        <f t="array" ref="AP34">AP33</f>
        <v>0</v>
      </c>
      <c r="AQ34" s="620"/>
      <c r="AR34" s="620"/>
    </row>
    <row r="35" spans="2:44" s="1177" customFormat="1" ht="14.65" hidden="1" customHeight="1">
      <c r="B35" s="362" t="b">
        <f t="shared" si="0"/>
        <v>0</v>
      </c>
      <c r="E35" s="620">
        <v>15</v>
      </c>
      <c r="F35" s="3" cm="1">
        <f t="array" aca="1" ref="F35" ca="1">OFFSET(E35,-1,1)</f>
        <v>0</v>
      </c>
      <c r="G35" s="17" cm="1">
        <f t="array" ref="G35">G34</f>
        <v>0</v>
      </c>
      <c r="K35" s="77">
        <f>first_year+5</f>
        <v>2031</v>
      </c>
      <c r="T35" s="381" t="b" cm="1">
        <f t="array" aca="1" ref="T35" ca="1">T34</f>
        <v>0</v>
      </c>
      <c r="X35" s="1755"/>
      <c r="Y35" s="1755"/>
      <c r="Z35" s="1735"/>
      <c r="AA35" s="1848"/>
      <c r="AB35" s="172" t="str">
        <f t="shared" si="1"/>
        <v>2031 год</v>
      </c>
      <c r="AC35" s="324"/>
      <c r="AD35" s="1600"/>
      <c r="AE35" s="1599"/>
      <c r="AF35" s="1599"/>
      <c r="AG35" s="1600"/>
      <c r="AH35" s="1599"/>
      <c r="AI35" s="1600"/>
      <c r="AJ35" s="1599"/>
      <c r="AK35" s="1601"/>
      <c r="AL35" s="320"/>
      <c r="AN35" s="966" cm="1">
        <f t="array" ref="AN35">K35</f>
        <v>2031</v>
      </c>
      <c r="AO35" s="966" t="s">
        <v>2074</v>
      </c>
      <c r="AP35" s="976" cm="1">
        <f t="array" ref="AP35">AP34</f>
        <v>0</v>
      </c>
      <c r="AQ35" s="620"/>
      <c r="AR35" s="620"/>
    </row>
    <row r="36" spans="2:44" s="1177" customFormat="1" ht="14.65" hidden="1" customHeight="1">
      <c r="B36" s="362" t="b">
        <f t="shared" si="0"/>
        <v>0</v>
      </c>
      <c r="E36" s="620">
        <v>15</v>
      </c>
      <c r="F36" s="3" cm="1">
        <f t="array" aca="1" ref="F36" ca="1">OFFSET(E36,-1,1)</f>
        <v>0</v>
      </c>
      <c r="G36" s="17" cm="1">
        <f t="array" ref="G36">G35</f>
        <v>0</v>
      </c>
      <c r="K36" s="77">
        <f>first_year+6</f>
        <v>2032</v>
      </c>
      <c r="T36" s="381" t="b" cm="1">
        <f t="array" aca="1" ref="T36" ca="1">T35</f>
        <v>0</v>
      </c>
      <c r="X36" s="1755"/>
      <c r="Y36" s="1755"/>
      <c r="Z36" s="1735"/>
      <c r="AA36" s="1848"/>
      <c r="AB36" s="172" t="str">
        <f t="shared" si="1"/>
        <v>2032 год</v>
      </c>
      <c r="AC36" s="324"/>
      <c r="AD36" s="1600"/>
      <c r="AE36" s="1599"/>
      <c r="AF36" s="1599"/>
      <c r="AG36" s="1600"/>
      <c r="AH36" s="1599"/>
      <c r="AI36" s="1600"/>
      <c r="AJ36" s="1599"/>
      <c r="AK36" s="1601"/>
      <c r="AL36" s="320"/>
      <c r="AN36" s="966" cm="1">
        <f t="array" ref="AN36">K36</f>
        <v>2032</v>
      </c>
      <c r="AO36" s="966" t="s">
        <v>2074</v>
      </c>
      <c r="AP36" s="976" cm="1">
        <f t="array" ref="AP36">AP35</f>
        <v>0</v>
      </c>
      <c r="AQ36" s="620"/>
      <c r="AR36" s="620"/>
    </row>
    <row r="37" spans="2:44" s="1177" customFormat="1" ht="14.65" hidden="1" customHeight="1">
      <c r="B37" s="362" t="b">
        <f t="shared" si="0"/>
        <v>0</v>
      </c>
      <c r="E37" s="620">
        <v>15</v>
      </c>
      <c r="F37" s="3" cm="1">
        <f t="array" aca="1" ref="F37" ca="1">OFFSET(E37,-1,1)</f>
        <v>0</v>
      </c>
      <c r="G37" s="17" cm="1">
        <f t="array" ref="G37">G36</f>
        <v>0</v>
      </c>
      <c r="K37" s="77">
        <f>first_year+7</f>
        <v>2033</v>
      </c>
      <c r="T37" s="381" t="b" cm="1">
        <f t="array" aca="1" ref="T37" ca="1">T36</f>
        <v>0</v>
      </c>
      <c r="X37" s="1755"/>
      <c r="Y37" s="1755"/>
      <c r="Z37" s="1735"/>
      <c r="AA37" s="1848"/>
      <c r="AB37" s="172" t="str">
        <f t="shared" si="1"/>
        <v>2033 год</v>
      </c>
      <c r="AC37" s="324"/>
      <c r="AD37" s="1600"/>
      <c r="AE37" s="1599"/>
      <c r="AF37" s="1599"/>
      <c r="AG37" s="1600"/>
      <c r="AH37" s="1599"/>
      <c r="AI37" s="1600"/>
      <c r="AJ37" s="1599"/>
      <c r="AK37" s="1601"/>
      <c r="AL37" s="320"/>
      <c r="AN37" s="966" cm="1">
        <f t="array" ref="AN37">K37</f>
        <v>2033</v>
      </c>
      <c r="AO37" s="966" t="s">
        <v>2074</v>
      </c>
      <c r="AP37" s="976" cm="1">
        <f t="array" ref="AP37">AP36</f>
        <v>0</v>
      </c>
      <c r="AQ37" s="620"/>
      <c r="AR37" s="620"/>
    </row>
    <row r="38" spans="2:44" s="1177" customFormat="1" ht="14.65" hidden="1" customHeight="1">
      <c r="B38" s="362" t="b">
        <f t="shared" si="0"/>
        <v>0</v>
      </c>
      <c r="E38" s="620">
        <v>15</v>
      </c>
      <c r="F38" s="3" cm="1">
        <f t="array" aca="1" ref="F38" ca="1">OFFSET(E38,-1,1)</f>
        <v>0</v>
      </c>
      <c r="G38" s="17" cm="1">
        <f t="array" ref="G38">G37</f>
        <v>0</v>
      </c>
      <c r="K38" s="77">
        <f>first_year+8</f>
        <v>2034</v>
      </c>
      <c r="T38" s="381" t="b" cm="1">
        <f t="array" aca="1" ref="T38" ca="1">T37</f>
        <v>0</v>
      </c>
      <c r="X38" s="1755"/>
      <c r="Y38" s="1755"/>
      <c r="Z38" s="1735"/>
      <c r="AA38" s="1848"/>
      <c r="AB38" s="172" t="str">
        <f t="shared" si="1"/>
        <v>2034 год</v>
      </c>
      <c r="AC38" s="324"/>
      <c r="AD38" s="1600"/>
      <c r="AE38" s="1599"/>
      <c r="AF38" s="1599"/>
      <c r="AG38" s="1600"/>
      <c r="AH38" s="1599"/>
      <c r="AI38" s="1600"/>
      <c r="AJ38" s="1599"/>
      <c r="AK38" s="1601"/>
      <c r="AL38" s="320"/>
      <c r="AN38" s="966" cm="1">
        <f t="array" ref="AN38">K38</f>
        <v>2034</v>
      </c>
      <c r="AO38" s="966" t="s">
        <v>2074</v>
      </c>
      <c r="AP38" s="976" cm="1">
        <f t="array" ref="AP38">AP37</f>
        <v>0</v>
      </c>
      <c r="AQ38" s="620"/>
      <c r="AR38" s="620"/>
    </row>
    <row r="39" spans="2:44" s="1177" customFormat="1" ht="14.65" hidden="1" customHeight="1">
      <c r="B39" s="362" t="b">
        <f t="shared" si="0"/>
        <v>0</v>
      </c>
      <c r="E39" s="620">
        <v>15</v>
      </c>
      <c r="F39" s="3" cm="1">
        <f t="array" aca="1" ref="F39" ca="1">OFFSET(E39,-1,1)</f>
        <v>0</v>
      </c>
      <c r="G39" s="17" cm="1">
        <f t="array" ref="G39">G38</f>
        <v>0</v>
      </c>
      <c r="K39" s="77">
        <f>first_year+9</f>
        <v>2035</v>
      </c>
      <c r="T39" s="381" t="b" cm="1">
        <f t="array" aca="1" ref="T39" ca="1">T38</f>
        <v>0</v>
      </c>
      <c r="X39" s="1755"/>
      <c r="Y39" s="1755"/>
      <c r="Z39" s="1735"/>
      <c r="AA39" s="1848"/>
      <c r="AB39" s="172" t="str">
        <f t="shared" si="1"/>
        <v>2035 год</v>
      </c>
      <c r="AC39" s="324"/>
      <c r="AD39" s="1600"/>
      <c r="AE39" s="1599"/>
      <c r="AF39" s="1599"/>
      <c r="AG39" s="1600"/>
      <c r="AH39" s="1599"/>
      <c r="AI39" s="1600"/>
      <c r="AJ39" s="1599"/>
      <c r="AK39" s="1601"/>
      <c r="AL39" s="320"/>
      <c r="AN39" s="966" cm="1">
        <f t="array" ref="AN39">K39</f>
        <v>2035</v>
      </c>
      <c r="AO39" s="966" t="s">
        <v>2074</v>
      </c>
      <c r="AP39" s="976" cm="1">
        <f t="array" ref="AP39">AP38</f>
        <v>0</v>
      </c>
      <c r="AQ39" s="620"/>
      <c r="AR39" s="620"/>
    </row>
    <row r="40" spans="2:44" s="1177" customFormat="1" ht="14.65" hidden="1" customHeight="1">
      <c r="B40" s="362" t="b">
        <f t="shared" si="0"/>
        <v>0</v>
      </c>
      <c r="E40" s="620">
        <v>15</v>
      </c>
      <c r="F40" s="3" cm="1">
        <f t="array" aca="1" ref="F40" ca="1">OFFSET(E40,-1,1)</f>
        <v>0</v>
      </c>
      <c r="G40" s="17" cm="1">
        <f t="array" ref="G40">G39</f>
        <v>0</v>
      </c>
      <c r="K40" s="77">
        <f>first_year+10</f>
        <v>2036</v>
      </c>
      <c r="T40" s="381" t="b" cm="1">
        <f t="array" aca="1" ref="T40" ca="1">T39</f>
        <v>0</v>
      </c>
      <c r="X40" s="1755"/>
      <c r="Y40" s="1755"/>
      <c r="Z40" s="1735"/>
      <c r="AA40" s="1848"/>
      <c r="AB40" s="172" t="str">
        <f t="shared" si="1"/>
        <v>2036 год</v>
      </c>
      <c r="AC40" s="324"/>
      <c r="AD40" s="1600"/>
      <c r="AE40" s="1599"/>
      <c r="AF40" s="1599"/>
      <c r="AG40" s="1600"/>
      <c r="AH40" s="1599"/>
      <c r="AI40" s="1600"/>
      <c r="AJ40" s="1599"/>
      <c r="AK40" s="1601"/>
      <c r="AL40" s="320"/>
      <c r="AN40" s="966" cm="1">
        <f t="array" ref="AN40">K40</f>
        <v>2036</v>
      </c>
      <c r="AO40" s="966" t="s">
        <v>2074</v>
      </c>
      <c r="AP40" s="976" cm="1">
        <f t="array" ref="AP40">AP39</f>
        <v>0</v>
      </c>
      <c r="AQ40" s="620"/>
      <c r="AR40" s="620"/>
    </row>
    <row r="41" spans="2:44" s="1177" customFormat="1" ht="14.65" hidden="1" customHeight="1">
      <c r="B41" s="362" t="b">
        <f t="shared" si="0"/>
        <v>0</v>
      </c>
      <c r="E41" s="620">
        <v>15</v>
      </c>
      <c r="F41" s="3" cm="1">
        <f t="array" aca="1" ref="F41" ca="1">OFFSET(E41,-1,1)</f>
        <v>0</v>
      </c>
      <c r="G41" s="17" cm="1">
        <f t="array" ref="G41">G40</f>
        <v>0</v>
      </c>
      <c r="K41" s="77">
        <f>first_year+11</f>
        <v>2037</v>
      </c>
      <c r="T41" s="381" t="b" cm="1">
        <f t="array" aca="1" ref="T41" ca="1">T40</f>
        <v>0</v>
      </c>
      <c r="X41" s="1755"/>
      <c r="Y41" s="1755"/>
      <c r="Z41" s="1735"/>
      <c r="AA41" s="1848"/>
      <c r="AB41" s="172" t="str">
        <f t="shared" si="1"/>
        <v>2037 год</v>
      </c>
      <c r="AC41" s="324"/>
      <c r="AD41" s="1600"/>
      <c r="AE41" s="1599"/>
      <c r="AF41" s="1599"/>
      <c r="AG41" s="1600"/>
      <c r="AH41" s="1599"/>
      <c r="AI41" s="1600"/>
      <c r="AJ41" s="1599"/>
      <c r="AK41" s="1601"/>
      <c r="AL41" s="320"/>
      <c r="AN41" s="966" cm="1">
        <f t="array" ref="AN41">K41</f>
        <v>2037</v>
      </c>
      <c r="AO41" s="966" t="s">
        <v>2074</v>
      </c>
      <c r="AP41" s="976" cm="1">
        <f t="array" ref="AP41">AP40</f>
        <v>0</v>
      </c>
      <c r="AQ41" s="620"/>
      <c r="AR41" s="620"/>
    </row>
    <row r="42" spans="2:44" s="1177" customFormat="1" ht="14.65" hidden="1" customHeight="1">
      <c r="B42" s="362" t="b">
        <f t="shared" si="0"/>
        <v>0</v>
      </c>
      <c r="E42" s="620">
        <v>15</v>
      </c>
      <c r="F42" s="3" cm="1">
        <f t="array" aca="1" ref="F42" ca="1">OFFSET(E42,-1,1)</f>
        <v>0</v>
      </c>
      <c r="G42" s="17" cm="1">
        <f t="array" ref="G42">G41</f>
        <v>0</v>
      </c>
      <c r="K42" s="77">
        <f>first_year+12</f>
        <v>2038</v>
      </c>
      <c r="T42" s="381" t="b" cm="1">
        <f t="array" aca="1" ref="T42" ca="1">T41</f>
        <v>0</v>
      </c>
      <c r="X42" s="1755"/>
      <c r="Y42" s="1755"/>
      <c r="Z42" s="1735"/>
      <c r="AA42" s="1848"/>
      <c r="AB42" s="172" t="str">
        <f t="shared" si="1"/>
        <v>2038 год</v>
      </c>
      <c r="AC42" s="324"/>
      <c r="AD42" s="1600"/>
      <c r="AE42" s="1599"/>
      <c r="AF42" s="1599"/>
      <c r="AG42" s="1600"/>
      <c r="AH42" s="1599"/>
      <c r="AI42" s="1600"/>
      <c r="AJ42" s="1599"/>
      <c r="AK42" s="1601"/>
      <c r="AL42" s="320"/>
      <c r="AN42" s="966" cm="1">
        <f t="array" ref="AN42">K42</f>
        <v>2038</v>
      </c>
      <c r="AO42" s="966" t="s">
        <v>2074</v>
      </c>
      <c r="AP42" s="976" cm="1">
        <f t="array" ref="AP42">AP41</f>
        <v>0</v>
      </c>
      <c r="AQ42" s="620"/>
      <c r="AR42" s="620"/>
    </row>
    <row r="43" spans="2:44" s="1177" customFormat="1" ht="14.65" hidden="1" customHeight="1">
      <c r="B43" s="362" t="b">
        <f t="shared" si="0"/>
        <v>0</v>
      </c>
      <c r="E43" s="620">
        <v>15</v>
      </c>
      <c r="F43" s="3" cm="1">
        <f t="array" aca="1" ref="F43" ca="1">OFFSET(E43,-1,1)</f>
        <v>0</v>
      </c>
      <c r="G43" s="17" cm="1">
        <f t="array" ref="G43">G42</f>
        <v>0</v>
      </c>
      <c r="K43" s="77">
        <f>first_year+13</f>
        <v>2039</v>
      </c>
      <c r="T43" s="381" t="b" cm="1">
        <f t="array" aca="1" ref="T43" ca="1">T42</f>
        <v>0</v>
      </c>
      <c r="X43" s="1755"/>
      <c r="Y43" s="1755"/>
      <c r="Z43" s="1735"/>
      <c r="AA43" s="1848"/>
      <c r="AB43" s="172" t="str">
        <f t="shared" si="1"/>
        <v>2039 год</v>
      </c>
      <c r="AC43" s="324"/>
      <c r="AD43" s="1600"/>
      <c r="AE43" s="1599"/>
      <c r="AF43" s="1599"/>
      <c r="AG43" s="1600"/>
      <c r="AH43" s="1599"/>
      <c r="AI43" s="1600"/>
      <c r="AJ43" s="1599"/>
      <c r="AK43" s="1601"/>
      <c r="AL43" s="320"/>
      <c r="AN43" s="966" cm="1">
        <f t="array" ref="AN43">K43</f>
        <v>2039</v>
      </c>
      <c r="AO43" s="966" t="s">
        <v>2074</v>
      </c>
      <c r="AP43" s="976" cm="1">
        <f t="array" ref="AP43">AP42</f>
        <v>0</v>
      </c>
      <c r="AQ43" s="620"/>
      <c r="AR43" s="620"/>
    </row>
    <row r="44" spans="2:44" s="1177" customFormat="1" ht="14.65" hidden="1" customHeight="1">
      <c r="B44" s="362" t="b">
        <f t="shared" si="0"/>
        <v>0</v>
      </c>
      <c r="E44" s="620">
        <v>15</v>
      </c>
      <c r="F44" s="3" cm="1">
        <f t="array" aca="1" ref="F44" ca="1">OFFSET(E44,-1,1)</f>
        <v>0</v>
      </c>
      <c r="G44" s="17" cm="1">
        <f t="array" ref="G44">G43</f>
        <v>0</v>
      </c>
      <c r="K44" s="77">
        <f>first_year+14</f>
        <v>2040</v>
      </c>
      <c r="T44" s="381" t="b" cm="1">
        <f t="array" aca="1" ref="T44" ca="1">T43</f>
        <v>0</v>
      </c>
      <c r="X44" s="1755"/>
      <c r="Y44" s="1755"/>
      <c r="Z44" s="1735"/>
      <c r="AA44" s="1848"/>
      <c r="AB44" s="172" t="str">
        <f t="shared" si="1"/>
        <v>2040 год</v>
      </c>
      <c r="AC44" s="324"/>
      <c r="AD44" s="1600"/>
      <c r="AE44" s="1599"/>
      <c r="AF44" s="1599"/>
      <c r="AG44" s="1600"/>
      <c r="AH44" s="1599"/>
      <c r="AI44" s="1600"/>
      <c r="AJ44" s="1599"/>
      <c r="AK44" s="1601"/>
      <c r="AL44" s="320"/>
      <c r="AN44" s="966" cm="1">
        <f t="array" ref="AN44">K44</f>
        <v>2040</v>
      </c>
      <c r="AO44" s="966" t="s">
        <v>2074</v>
      </c>
      <c r="AP44" s="976" cm="1">
        <f t="array" ref="AP44">AP43</f>
        <v>0</v>
      </c>
      <c r="AQ44" s="620"/>
      <c r="AR44" s="620"/>
    </row>
    <row r="45" spans="2:44" s="1177" customFormat="1" ht="14.65" hidden="1" customHeight="1">
      <c r="B45" s="362" t="b">
        <f t="shared" si="0"/>
        <v>0</v>
      </c>
      <c r="E45" s="620">
        <v>15</v>
      </c>
      <c r="F45" s="3" cm="1">
        <f t="array" aca="1" ref="F45" ca="1">OFFSET(E45,-1,1)</f>
        <v>0</v>
      </c>
      <c r="G45" s="17" cm="1">
        <f t="array" ref="G45">G44</f>
        <v>0</v>
      </c>
      <c r="K45" s="77">
        <f>first_year+15</f>
        <v>2041</v>
      </c>
      <c r="T45" s="381" t="b" cm="1">
        <f t="array" aca="1" ref="T45" ca="1">T44</f>
        <v>0</v>
      </c>
      <c r="X45" s="1755"/>
      <c r="Y45" s="1755"/>
      <c r="Z45" s="1735"/>
      <c r="AA45" s="1848"/>
      <c r="AB45" s="172" t="str">
        <f t="shared" si="1"/>
        <v>2041 год</v>
      </c>
      <c r="AC45" s="324"/>
      <c r="AD45" s="1600"/>
      <c r="AE45" s="1599"/>
      <c r="AF45" s="1599"/>
      <c r="AG45" s="1600"/>
      <c r="AH45" s="1599"/>
      <c r="AI45" s="1600"/>
      <c r="AJ45" s="1599"/>
      <c r="AK45" s="1601"/>
      <c r="AL45" s="320"/>
      <c r="AN45" s="966" cm="1">
        <f t="array" ref="AN45">K45</f>
        <v>2041</v>
      </c>
      <c r="AO45" s="966" t="s">
        <v>2074</v>
      </c>
      <c r="AP45" s="976" cm="1">
        <f t="array" ref="AP45">AP44</f>
        <v>0</v>
      </c>
      <c r="AQ45" s="620"/>
      <c r="AR45" s="620"/>
    </row>
    <row r="46" spans="2:44" s="1177" customFormat="1" ht="14.65" hidden="1" customHeight="1">
      <c r="B46" s="362" t="b">
        <f t="shared" si="0"/>
        <v>0</v>
      </c>
      <c r="E46" s="620">
        <v>15</v>
      </c>
      <c r="F46" s="3" cm="1">
        <f t="array" aca="1" ref="F46" ca="1">OFFSET(E46,-1,1)</f>
        <v>0</v>
      </c>
      <c r="G46" s="17" cm="1">
        <f t="array" ref="G46">G45</f>
        <v>0</v>
      </c>
      <c r="K46" s="77">
        <f>first_year+16</f>
        <v>2042</v>
      </c>
      <c r="T46" s="381" t="b" cm="1">
        <f t="array" aca="1" ref="T46" ca="1">T45</f>
        <v>0</v>
      </c>
      <c r="X46" s="1755"/>
      <c r="Y46" s="1755"/>
      <c r="Z46" s="1735"/>
      <c r="AA46" s="1848"/>
      <c r="AB46" s="172" t="str">
        <f t="shared" si="1"/>
        <v>2042 год</v>
      </c>
      <c r="AC46" s="324"/>
      <c r="AD46" s="1600"/>
      <c r="AE46" s="1599"/>
      <c r="AF46" s="1599"/>
      <c r="AG46" s="1600"/>
      <c r="AH46" s="1599"/>
      <c r="AI46" s="1600"/>
      <c r="AJ46" s="1599"/>
      <c r="AK46" s="1601"/>
      <c r="AL46" s="320"/>
      <c r="AN46" s="966" cm="1">
        <f t="array" ref="AN46">K46</f>
        <v>2042</v>
      </c>
      <c r="AO46" s="966" t="s">
        <v>2074</v>
      </c>
      <c r="AP46" s="976" cm="1">
        <f t="array" ref="AP46">AP45</f>
        <v>0</v>
      </c>
      <c r="AQ46" s="620"/>
      <c r="AR46" s="620"/>
    </row>
    <row r="47" spans="2:44" s="1177" customFormat="1" ht="14.65" hidden="1" customHeight="1">
      <c r="B47" s="362" t="b">
        <f t="shared" si="0"/>
        <v>0</v>
      </c>
      <c r="E47" s="620">
        <v>15</v>
      </c>
      <c r="F47" s="3" cm="1">
        <f t="array" aca="1" ref="F47" ca="1">OFFSET(E47,-1,1)</f>
        <v>0</v>
      </c>
      <c r="G47" s="17" cm="1">
        <f t="array" ref="G47">G46</f>
        <v>0</v>
      </c>
      <c r="K47" s="77">
        <f>first_year+17</f>
        <v>2043</v>
      </c>
      <c r="T47" s="381" t="b" cm="1">
        <f t="array" aca="1" ref="T47" ca="1">T46</f>
        <v>0</v>
      </c>
      <c r="X47" s="1755"/>
      <c r="Y47" s="1755"/>
      <c r="Z47" s="1735"/>
      <c r="AA47" s="1848"/>
      <c r="AB47" s="172" t="str">
        <f t="shared" si="1"/>
        <v>2043 год</v>
      </c>
      <c r="AC47" s="324"/>
      <c r="AD47" s="1600"/>
      <c r="AE47" s="1599"/>
      <c r="AF47" s="1599"/>
      <c r="AG47" s="1600"/>
      <c r="AH47" s="1599"/>
      <c r="AI47" s="1600"/>
      <c r="AJ47" s="1599"/>
      <c r="AK47" s="1601"/>
      <c r="AL47" s="320"/>
      <c r="AN47" s="966" cm="1">
        <f t="array" ref="AN47">K47</f>
        <v>2043</v>
      </c>
      <c r="AO47" s="966" t="s">
        <v>2074</v>
      </c>
      <c r="AP47" s="976" cm="1">
        <f t="array" ref="AP47">AP46</f>
        <v>0</v>
      </c>
      <c r="AQ47" s="620"/>
      <c r="AR47" s="620"/>
    </row>
    <row r="48" spans="2:44" s="1177" customFormat="1" ht="14.65" hidden="1" customHeight="1">
      <c r="B48" s="362" t="b">
        <f t="shared" si="0"/>
        <v>0</v>
      </c>
      <c r="E48" s="620">
        <v>15</v>
      </c>
      <c r="F48" s="3" cm="1">
        <f t="array" aca="1" ref="F48" ca="1">OFFSET(E48,-1,1)</f>
        <v>0</v>
      </c>
      <c r="G48" s="17" cm="1">
        <f t="array" ref="G48">G47</f>
        <v>0</v>
      </c>
      <c r="K48" s="77">
        <f>first_year+18</f>
        <v>2044</v>
      </c>
      <c r="T48" s="381" t="b" cm="1">
        <f t="array" aca="1" ref="T48" ca="1">T47</f>
        <v>0</v>
      </c>
      <c r="X48" s="1755"/>
      <c r="Y48" s="1755"/>
      <c r="Z48" s="1735"/>
      <c r="AA48" s="1848"/>
      <c r="AB48" s="172" t="str">
        <f t="shared" si="1"/>
        <v>2044 год</v>
      </c>
      <c r="AC48" s="324"/>
      <c r="AD48" s="1600"/>
      <c r="AE48" s="1599"/>
      <c r="AF48" s="1599"/>
      <c r="AG48" s="1600"/>
      <c r="AH48" s="1599"/>
      <c r="AI48" s="1600"/>
      <c r="AJ48" s="1599"/>
      <c r="AK48" s="1601"/>
      <c r="AL48" s="320"/>
      <c r="AN48" s="966" cm="1">
        <f t="array" ref="AN48">K48</f>
        <v>2044</v>
      </c>
      <c r="AO48" s="966" t="s">
        <v>2074</v>
      </c>
      <c r="AP48" s="976" cm="1">
        <f t="array" ref="AP48">AP47</f>
        <v>0</v>
      </c>
      <c r="AQ48" s="620"/>
      <c r="AR48" s="620"/>
    </row>
    <row r="49" spans="2:44" s="1177" customFormat="1" ht="14.65" hidden="1" customHeight="1">
      <c r="B49" s="362" t="b">
        <f t="shared" si="0"/>
        <v>0</v>
      </c>
      <c r="E49" s="620">
        <v>15</v>
      </c>
      <c r="F49" s="3" cm="1">
        <f t="array" aca="1" ref="F49" ca="1">OFFSET(E49,-1,1)</f>
        <v>0</v>
      </c>
      <c r="G49" s="17" cm="1">
        <f t="array" ref="G49">G48</f>
        <v>0</v>
      </c>
      <c r="K49" s="77">
        <f>first_year+19</f>
        <v>2045</v>
      </c>
      <c r="T49" s="381" t="b" cm="1">
        <f t="array" aca="1" ref="T49" ca="1">T48</f>
        <v>0</v>
      </c>
      <c r="X49" s="1755"/>
      <c r="Y49" s="1755"/>
      <c r="Z49" s="1735"/>
      <c r="AA49" s="1848"/>
      <c r="AB49" s="172" t="str">
        <f t="shared" si="1"/>
        <v>2045 год</v>
      </c>
      <c r="AC49" s="324"/>
      <c r="AD49" s="1600"/>
      <c r="AE49" s="1599"/>
      <c r="AF49" s="1599"/>
      <c r="AG49" s="1600"/>
      <c r="AH49" s="1599"/>
      <c r="AI49" s="1600"/>
      <c r="AJ49" s="1599"/>
      <c r="AK49" s="1601"/>
      <c r="AL49" s="320"/>
      <c r="AN49" s="966" cm="1">
        <f t="array" ref="AN49">K49</f>
        <v>2045</v>
      </c>
      <c r="AO49" s="966" t="s">
        <v>2074</v>
      </c>
      <c r="AP49" s="976" cm="1">
        <f t="array" ref="AP49">AP48</f>
        <v>0</v>
      </c>
      <c r="AQ49" s="620"/>
      <c r="AR49" s="620"/>
    </row>
    <row r="50" spans="2:44" s="1177" customFormat="1" ht="14.65" hidden="1" customHeight="1">
      <c r="B50" s="362" t="b">
        <f t="shared" si="0"/>
        <v>0</v>
      </c>
      <c r="E50" s="620">
        <v>15</v>
      </c>
      <c r="F50" s="3" cm="1">
        <f t="array" aca="1" ref="F50" ca="1">OFFSET(E50,-1,1)</f>
        <v>0</v>
      </c>
      <c r="G50" s="17" cm="1">
        <f t="array" ref="G50">G49</f>
        <v>0</v>
      </c>
      <c r="K50" s="77">
        <f>first_year+20</f>
        <v>2046</v>
      </c>
      <c r="T50" s="381" t="b" cm="1">
        <f t="array" aca="1" ref="T50" ca="1">T49</f>
        <v>0</v>
      </c>
      <c r="X50" s="1755"/>
      <c r="Y50" s="1755"/>
      <c r="Z50" s="1735"/>
      <c r="AA50" s="1848"/>
      <c r="AB50" s="172" t="str">
        <f t="shared" si="1"/>
        <v>2046 год</v>
      </c>
      <c r="AC50" s="324"/>
      <c r="AD50" s="1600"/>
      <c r="AE50" s="1599"/>
      <c r="AF50" s="1599"/>
      <c r="AG50" s="1600"/>
      <c r="AH50" s="1599"/>
      <c r="AI50" s="1600"/>
      <c r="AJ50" s="1599"/>
      <c r="AK50" s="1601"/>
      <c r="AL50" s="320"/>
      <c r="AN50" s="966" cm="1">
        <f t="array" ref="AN50">K50</f>
        <v>2046</v>
      </c>
      <c r="AO50" s="966" t="s">
        <v>2074</v>
      </c>
      <c r="AP50" s="976" cm="1">
        <f t="array" ref="AP50">AP49</f>
        <v>0</v>
      </c>
      <c r="AQ50" s="620"/>
      <c r="AR50" s="620"/>
    </row>
    <row r="51" spans="2:44" s="1177" customFormat="1" ht="14.65" hidden="1" customHeight="1">
      <c r="B51" s="362" t="b">
        <f t="shared" si="0"/>
        <v>0</v>
      </c>
      <c r="E51" s="620">
        <v>15</v>
      </c>
      <c r="F51" s="3" cm="1">
        <f t="array" aca="1" ref="F51" ca="1">OFFSET(E51,-1,1)</f>
        <v>0</v>
      </c>
      <c r="G51" s="17" cm="1">
        <f t="array" ref="G51">G50</f>
        <v>0</v>
      </c>
      <c r="K51" s="77">
        <f>first_year+21</f>
        <v>2047</v>
      </c>
      <c r="T51" s="381" t="b" cm="1">
        <f t="array" aca="1" ref="T51" ca="1">T50</f>
        <v>0</v>
      </c>
      <c r="X51" s="1755"/>
      <c r="Y51" s="1755"/>
      <c r="Z51" s="1735"/>
      <c r="AA51" s="1848"/>
      <c r="AB51" s="172" t="str">
        <f t="shared" si="1"/>
        <v>2047 год</v>
      </c>
      <c r="AC51" s="324"/>
      <c r="AD51" s="1600"/>
      <c r="AE51" s="1599"/>
      <c r="AF51" s="1599"/>
      <c r="AG51" s="1600"/>
      <c r="AH51" s="1599"/>
      <c r="AI51" s="1600"/>
      <c r="AJ51" s="1599"/>
      <c r="AK51" s="1601"/>
      <c r="AL51" s="320"/>
      <c r="AN51" s="966" cm="1">
        <f t="array" ref="AN51">K51</f>
        <v>2047</v>
      </c>
      <c r="AO51" s="966" t="s">
        <v>2074</v>
      </c>
      <c r="AP51" s="976" cm="1">
        <f t="array" ref="AP51">AP50</f>
        <v>0</v>
      </c>
      <c r="AQ51" s="620"/>
      <c r="AR51" s="620"/>
    </row>
    <row r="52" spans="2:44" s="1177" customFormat="1" ht="14.65" hidden="1" customHeight="1">
      <c r="B52" s="362" t="b">
        <f t="shared" si="0"/>
        <v>0</v>
      </c>
      <c r="E52" s="620">
        <v>15</v>
      </c>
      <c r="F52" s="3" cm="1">
        <f t="array" aca="1" ref="F52" ca="1">OFFSET(E52,-1,1)</f>
        <v>0</v>
      </c>
      <c r="G52" s="17" cm="1">
        <f t="array" ref="G52">G51</f>
        <v>0</v>
      </c>
      <c r="K52" s="77">
        <f>first_year+22</f>
        <v>2048</v>
      </c>
      <c r="T52" s="381" t="b" cm="1">
        <f t="array" aca="1" ref="T52" ca="1">T51</f>
        <v>0</v>
      </c>
      <c r="X52" s="1755"/>
      <c r="Y52" s="1755"/>
      <c r="Z52" s="1735"/>
      <c r="AA52" s="1848"/>
      <c r="AB52" s="172" t="str">
        <f t="shared" si="1"/>
        <v>2048 год</v>
      </c>
      <c r="AC52" s="324"/>
      <c r="AD52" s="1600"/>
      <c r="AE52" s="1599"/>
      <c r="AF52" s="1599"/>
      <c r="AG52" s="1600"/>
      <c r="AH52" s="1599"/>
      <c r="AI52" s="1600"/>
      <c r="AJ52" s="1599"/>
      <c r="AK52" s="1601"/>
      <c r="AL52" s="320"/>
      <c r="AN52" s="966" cm="1">
        <f t="array" ref="AN52">K52</f>
        <v>2048</v>
      </c>
      <c r="AO52" s="966" t="s">
        <v>2074</v>
      </c>
      <c r="AP52" s="976" cm="1">
        <f t="array" ref="AP52">AP51</f>
        <v>0</v>
      </c>
      <c r="AQ52" s="620"/>
      <c r="AR52" s="620"/>
    </row>
    <row r="53" spans="2:44" s="1177" customFormat="1" ht="14.65" hidden="1" customHeight="1">
      <c r="B53" s="362" t="b">
        <f t="shared" si="0"/>
        <v>0</v>
      </c>
      <c r="E53" s="620">
        <v>15</v>
      </c>
      <c r="F53" s="3" cm="1">
        <f t="array" aca="1" ref="F53" ca="1">OFFSET(E53,-1,1)</f>
        <v>0</v>
      </c>
      <c r="G53" s="17" cm="1">
        <f t="array" ref="G53">G52</f>
        <v>0</v>
      </c>
      <c r="K53" s="77">
        <f>first_year+23</f>
        <v>2049</v>
      </c>
      <c r="T53" s="381" t="b" cm="1">
        <f t="array" aca="1" ref="T53" ca="1">T52</f>
        <v>0</v>
      </c>
      <c r="X53" s="1755"/>
      <c r="Y53" s="1755"/>
      <c r="Z53" s="1735"/>
      <c r="AA53" s="1848"/>
      <c r="AB53" s="172" t="str">
        <f t="shared" si="1"/>
        <v>2049 год</v>
      </c>
      <c r="AC53" s="324"/>
      <c r="AD53" s="1600"/>
      <c r="AE53" s="1599"/>
      <c r="AF53" s="1599"/>
      <c r="AG53" s="1600"/>
      <c r="AH53" s="1599"/>
      <c r="AI53" s="1600"/>
      <c r="AJ53" s="1599"/>
      <c r="AK53" s="1601"/>
      <c r="AL53" s="320"/>
      <c r="AN53" s="966" cm="1">
        <f t="array" ref="AN53">K53</f>
        <v>2049</v>
      </c>
      <c r="AO53" s="966" t="s">
        <v>2074</v>
      </c>
      <c r="AP53" s="976" cm="1">
        <f t="array" ref="AP53">AP52</f>
        <v>0</v>
      </c>
      <c r="AQ53" s="620"/>
      <c r="AR53" s="620"/>
    </row>
    <row r="54" spans="2:44" s="1177" customFormat="1" ht="14.65" hidden="1" customHeight="1">
      <c r="B54" s="362" t="b">
        <f t="shared" si="0"/>
        <v>0</v>
      </c>
      <c r="E54" s="620">
        <v>15</v>
      </c>
      <c r="F54" s="3" cm="1">
        <f t="array" aca="1" ref="F54" ca="1">OFFSET(E54,-1,1)</f>
        <v>0</v>
      </c>
      <c r="G54" s="17" cm="1">
        <f t="array" ref="G54">G53</f>
        <v>0</v>
      </c>
      <c r="K54" s="77">
        <f>first_year+24</f>
        <v>2050</v>
      </c>
      <c r="T54" s="381" t="b" cm="1">
        <f t="array" aca="1" ref="T54" ca="1">T53</f>
        <v>0</v>
      </c>
      <c r="X54" s="1755"/>
      <c r="Y54" s="1755"/>
      <c r="Z54" s="1735"/>
      <c r="AA54" s="1848"/>
      <c r="AB54" s="172" t="str">
        <f t="shared" si="1"/>
        <v>2050 год</v>
      </c>
      <c r="AC54" s="324"/>
      <c r="AD54" s="1600"/>
      <c r="AE54" s="1599"/>
      <c r="AF54" s="1599"/>
      <c r="AG54" s="1600"/>
      <c r="AH54" s="1599"/>
      <c r="AI54" s="1600"/>
      <c r="AJ54" s="1599"/>
      <c r="AK54" s="1601"/>
      <c r="AL54" s="320"/>
      <c r="AN54" s="966" cm="1">
        <f t="array" ref="AN54">K54</f>
        <v>2050</v>
      </c>
      <c r="AO54" s="966" t="s">
        <v>2074</v>
      </c>
      <c r="AP54" s="976" cm="1">
        <f t="array" ref="AP54">AP53</f>
        <v>0</v>
      </c>
      <c r="AQ54" s="620"/>
      <c r="AR54" s="620"/>
    </row>
    <row r="55" spans="2:44" s="1177" customFormat="1" ht="14.65" hidden="1" customHeight="1">
      <c r="B55" s="362" t="b">
        <f t="shared" si="0"/>
        <v>0</v>
      </c>
      <c r="E55" s="620">
        <v>15</v>
      </c>
      <c r="F55" s="3" cm="1">
        <f t="array" aca="1" ref="F55" ca="1">OFFSET(E55,-1,1)</f>
        <v>0</v>
      </c>
      <c r="G55" s="17" cm="1">
        <f t="array" ref="G55">G54</f>
        <v>0</v>
      </c>
      <c r="K55" s="77">
        <f>first_year+25</f>
        <v>2051</v>
      </c>
      <c r="T55" s="381" t="b" cm="1">
        <f t="array" aca="1" ref="T55" ca="1">T54</f>
        <v>0</v>
      </c>
      <c r="X55" s="1755"/>
      <c r="Y55" s="1755"/>
      <c r="Z55" s="1735"/>
      <c r="AA55" s="1848"/>
      <c r="AB55" s="172" t="str">
        <f t="shared" si="1"/>
        <v>2051 год</v>
      </c>
      <c r="AC55" s="324"/>
      <c r="AD55" s="1600"/>
      <c r="AE55" s="1599"/>
      <c r="AF55" s="1599"/>
      <c r="AG55" s="1600"/>
      <c r="AH55" s="1599"/>
      <c r="AI55" s="1600"/>
      <c r="AJ55" s="1599"/>
      <c r="AK55" s="1601"/>
      <c r="AL55" s="320"/>
      <c r="AN55" s="966" cm="1">
        <f t="array" ref="AN55">K55</f>
        <v>2051</v>
      </c>
      <c r="AO55" s="966" t="s">
        <v>2074</v>
      </c>
      <c r="AP55" s="976" cm="1">
        <f t="array" ref="AP55">AP54</f>
        <v>0</v>
      </c>
      <c r="AQ55" s="620"/>
      <c r="AR55" s="620"/>
    </row>
    <row r="56" spans="2:44" s="1177" customFormat="1" ht="14.65" hidden="1" customHeight="1">
      <c r="B56" s="362" t="b">
        <f t="shared" si="0"/>
        <v>0</v>
      </c>
      <c r="E56" s="620">
        <v>15</v>
      </c>
      <c r="F56" s="3" cm="1">
        <f t="array" aca="1" ref="F56" ca="1">OFFSET(E56,-1,1)</f>
        <v>0</v>
      </c>
      <c r="G56" s="17" cm="1">
        <f t="array" ref="G56">G55</f>
        <v>0</v>
      </c>
      <c r="K56" s="77">
        <f>first_year+26</f>
        <v>2052</v>
      </c>
      <c r="T56" s="381" t="b" cm="1">
        <f t="array" aca="1" ref="T56" ca="1">T55</f>
        <v>0</v>
      </c>
      <c r="X56" s="1755"/>
      <c r="Y56" s="1755"/>
      <c r="Z56" s="1735"/>
      <c r="AA56" s="1848"/>
      <c r="AB56" s="172" t="str">
        <f t="shared" si="1"/>
        <v>2052 год</v>
      </c>
      <c r="AC56" s="324"/>
      <c r="AD56" s="1600"/>
      <c r="AE56" s="1599"/>
      <c r="AF56" s="1599"/>
      <c r="AG56" s="1600"/>
      <c r="AH56" s="1599"/>
      <c r="AI56" s="1600"/>
      <c r="AJ56" s="1599"/>
      <c r="AK56" s="1601"/>
      <c r="AL56" s="320"/>
      <c r="AN56" s="966" cm="1">
        <f t="array" ref="AN56">K56</f>
        <v>2052</v>
      </c>
      <c r="AO56" s="966" t="s">
        <v>2074</v>
      </c>
      <c r="AP56" s="976" cm="1">
        <f t="array" ref="AP56">AP55</f>
        <v>0</v>
      </c>
      <c r="AQ56" s="620"/>
      <c r="AR56" s="620"/>
    </row>
    <row r="57" spans="2:44" s="1177" customFormat="1" ht="14.65" hidden="1" customHeight="1">
      <c r="B57" s="362" t="b">
        <f t="shared" si="0"/>
        <v>0</v>
      </c>
      <c r="E57" s="620">
        <v>15</v>
      </c>
      <c r="F57" s="3" cm="1">
        <f t="array" aca="1" ref="F57" ca="1">OFFSET(E57,-1,1)</f>
        <v>0</v>
      </c>
      <c r="G57" s="17" cm="1">
        <f t="array" ref="G57">G56</f>
        <v>0</v>
      </c>
      <c r="K57" s="77">
        <f>first_year+27</f>
        <v>2053</v>
      </c>
      <c r="T57" s="381" t="b" cm="1">
        <f t="array" aca="1" ref="T57" ca="1">T56</f>
        <v>0</v>
      </c>
      <c r="X57" s="1755"/>
      <c r="Y57" s="1755"/>
      <c r="Z57" s="1735"/>
      <c r="AA57" s="1848"/>
      <c r="AB57" s="172" t="str">
        <f t="shared" si="1"/>
        <v>2053 год</v>
      </c>
      <c r="AC57" s="324"/>
      <c r="AD57" s="1600"/>
      <c r="AE57" s="1599"/>
      <c r="AF57" s="1599"/>
      <c r="AG57" s="1600"/>
      <c r="AH57" s="1599"/>
      <c r="AI57" s="1600"/>
      <c r="AJ57" s="1599"/>
      <c r="AK57" s="1601"/>
      <c r="AL57" s="320"/>
      <c r="AN57" s="966" cm="1">
        <f t="array" ref="AN57">K57</f>
        <v>2053</v>
      </c>
      <c r="AO57" s="966" t="s">
        <v>2074</v>
      </c>
      <c r="AP57" s="976" cm="1">
        <f t="array" ref="AP57">AP56</f>
        <v>0</v>
      </c>
      <c r="AQ57" s="620"/>
      <c r="AR57" s="620"/>
    </row>
    <row r="58" spans="2:44" s="1177" customFormat="1" ht="14.65" hidden="1" customHeight="1">
      <c r="B58" s="362" t="b">
        <f t="shared" si="0"/>
        <v>0</v>
      </c>
      <c r="E58" s="620">
        <v>15</v>
      </c>
      <c r="F58" s="3" cm="1">
        <f t="array" aca="1" ref="F58" ca="1">OFFSET(E58,-1,1)</f>
        <v>0</v>
      </c>
      <c r="G58" s="17" cm="1">
        <f t="array" ref="G58">G57</f>
        <v>0</v>
      </c>
      <c r="K58" s="77">
        <f>first_year+28</f>
        <v>2054</v>
      </c>
      <c r="T58" s="381" t="b" cm="1">
        <f t="array" aca="1" ref="T58" ca="1">T57</f>
        <v>0</v>
      </c>
      <c r="X58" s="1755"/>
      <c r="Y58" s="1755"/>
      <c r="Z58" s="1735"/>
      <c r="AA58" s="1848"/>
      <c r="AB58" s="172" t="str">
        <f t="shared" si="1"/>
        <v>2054 год</v>
      </c>
      <c r="AC58" s="324"/>
      <c r="AD58" s="1600"/>
      <c r="AE58" s="1599"/>
      <c r="AF58" s="1599"/>
      <c r="AG58" s="1600"/>
      <c r="AH58" s="1599"/>
      <c r="AI58" s="1600"/>
      <c r="AJ58" s="1599"/>
      <c r="AK58" s="1601"/>
      <c r="AL58" s="320"/>
      <c r="AN58" s="966" cm="1">
        <f t="array" ref="AN58">K58</f>
        <v>2054</v>
      </c>
      <c r="AO58" s="966" t="s">
        <v>2074</v>
      </c>
      <c r="AP58" s="976" cm="1">
        <f t="array" ref="AP58">AP57</f>
        <v>0</v>
      </c>
      <c r="AQ58" s="620"/>
      <c r="AR58" s="620"/>
    </row>
    <row r="59" spans="2:44" s="1177" customFormat="1" ht="14.65" hidden="1" customHeight="1">
      <c r="B59" s="362" t="b">
        <f t="shared" si="0"/>
        <v>0</v>
      </c>
      <c r="E59" s="620">
        <v>15</v>
      </c>
      <c r="F59" s="3" cm="1">
        <f t="array" aca="1" ref="F59" ca="1">OFFSET(E59,-1,1)</f>
        <v>0</v>
      </c>
      <c r="G59" s="17" cm="1">
        <f t="array" ref="G59">G58</f>
        <v>0</v>
      </c>
      <c r="K59" s="77">
        <f>first_year+29</f>
        <v>2055</v>
      </c>
      <c r="T59" s="381" t="b" cm="1">
        <f t="array" aca="1" ref="T59" ca="1">T58</f>
        <v>0</v>
      </c>
      <c r="X59" s="1755"/>
      <c r="Y59" s="1755"/>
      <c r="Z59" s="1735"/>
      <c r="AA59" s="1848"/>
      <c r="AB59" s="172" t="str">
        <f t="shared" si="1"/>
        <v>2055 год</v>
      </c>
      <c r="AC59" s="324"/>
      <c r="AD59" s="1600"/>
      <c r="AE59" s="1599"/>
      <c r="AF59" s="1599"/>
      <c r="AG59" s="1600"/>
      <c r="AH59" s="1599"/>
      <c r="AI59" s="1600"/>
      <c r="AJ59" s="1599"/>
      <c r="AK59" s="1601"/>
      <c r="AL59" s="320"/>
      <c r="AN59" s="966" cm="1">
        <f t="array" ref="AN59">K59</f>
        <v>2055</v>
      </c>
      <c r="AO59" s="966" t="s">
        <v>2074</v>
      </c>
      <c r="AP59" s="976" cm="1">
        <f t="array" ref="AP59">AP58</f>
        <v>0</v>
      </c>
      <c r="AQ59" s="620"/>
      <c r="AR59" s="620"/>
    </row>
    <row r="60" spans="2:44" s="1177" customFormat="1" ht="14.65" hidden="1" customHeight="1">
      <c r="B60" s="362" t="b">
        <f t="shared" si="0"/>
        <v>0</v>
      </c>
      <c r="E60" s="620">
        <v>15</v>
      </c>
      <c r="F60" s="3" cm="1">
        <f t="array" aca="1" ref="F60" ca="1">OFFSET(E60,-1,1)</f>
        <v>0</v>
      </c>
      <c r="G60" s="17" cm="1">
        <f t="array" ref="G60">G59</f>
        <v>0</v>
      </c>
      <c r="K60" s="77">
        <f>first_year+30</f>
        <v>2056</v>
      </c>
      <c r="T60" s="381" t="b" cm="1">
        <f t="array" aca="1" ref="T60" ca="1">T59</f>
        <v>0</v>
      </c>
      <c r="X60" s="1755"/>
      <c r="Y60" s="1755"/>
      <c r="Z60" s="1735"/>
      <c r="AA60" s="1848"/>
      <c r="AB60" s="172" t="str">
        <f t="shared" si="1"/>
        <v>2056 год</v>
      </c>
      <c r="AC60" s="324"/>
      <c r="AD60" s="1600"/>
      <c r="AE60" s="1599"/>
      <c r="AF60" s="1599"/>
      <c r="AG60" s="1600"/>
      <c r="AH60" s="1599"/>
      <c r="AI60" s="1600"/>
      <c r="AJ60" s="1599"/>
      <c r="AK60" s="1601"/>
      <c r="AL60" s="320"/>
      <c r="AN60" s="966" cm="1">
        <f t="array" ref="AN60">K60</f>
        <v>2056</v>
      </c>
      <c r="AO60" s="966" t="s">
        <v>2074</v>
      </c>
      <c r="AP60" s="976" cm="1">
        <f t="array" ref="AP60">AP59</f>
        <v>0</v>
      </c>
      <c r="AQ60" s="620"/>
      <c r="AR60" s="620"/>
    </row>
    <row r="61" spans="2:44" s="1177" customFormat="1" ht="14.65" hidden="1" customHeight="1">
      <c r="B61" s="362" t="b">
        <f t="shared" si="0"/>
        <v>0</v>
      </c>
      <c r="E61" s="620">
        <v>15</v>
      </c>
      <c r="F61" s="3" cm="1">
        <f t="array" aca="1" ref="F61" ca="1">OFFSET(E61,-1,1)</f>
        <v>0</v>
      </c>
      <c r="G61" s="17" cm="1">
        <f t="array" ref="G61">G60</f>
        <v>0</v>
      </c>
      <c r="K61" s="77">
        <f>first_year+31</f>
        <v>2057</v>
      </c>
      <c r="T61" s="381" t="b" cm="1">
        <f t="array" aca="1" ref="T61" ca="1">T60</f>
        <v>0</v>
      </c>
      <c r="X61" s="1755"/>
      <c r="Y61" s="1755"/>
      <c r="Z61" s="1735"/>
      <c r="AA61" s="1848"/>
      <c r="AB61" s="172" t="str">
        <f t="shared" si="1"/>
        <v>2057 год</v>
      </c>
      <c r="AC61" s="324"/>
      <c r="AD61" s="1600"/>
      <c r="AE61" s="1599"/>
      <c r="AF61" s="1599"/>
      <c r="AG61" s="1600"/>
      <c r="AH61" s="1599"/>
      <c r="AI61" s="1600"/>
      <c r="AJ61" s="1599"/>
      <c r="AK61" s="1601"/>
      <c r="AL61" s="320"/>
      <c r="AN61" s="966" cm="1">
        <f t="array" ref="AN61">K61</f>
        <v>2057</v>
      </c>
      <c r="AO61" s="966" t="s">
        <v>2074</v>
      </c>
      <c r="AP61" s="976" cm="1">
        <f t="array" ref="AP61">AP60</f>
        <v>0</v>
      </c>
      <c r="AQ61" s="620"/>
      <c r="AR61" s="620"/>
    </row>
    <row r="62" spans="2:44" s="1177" customFormat="1" ht="14.65" hidden="1" customHeight="1">
      <c r="B62" s="362" t="b">
        <f t="shared" ref="B62:B79" si="2">K62&lt;first_year+PERIOD_LENGTH</f>
        <v>0</v>
      </c>
      <c r="E62" s="620">
        <v>15</v>
      </c>
      <c r="F62" s="3" cm="1">
        <f t="array" aca="1" ref="F62" ca="1">OFFSET(E62,-1,1)</f>
        <v>0</v>
      </c>
      <c r="G62" s="17" cm="1">
        <f t="array" ref="G62">G61</f>
        <v>0</v>
      </c>
      <c r="K62" s="77">
        <f>first_year+32</f>
        <v>2058</v>
      </c>
      <c r="T62" s="381" t="b" cm="1">
        <f t="array" aca="1" ref="T62" ca="1">T61</f>
        <v>0</v>
      </c>
      <c r="X62" s="1755"/>
      <c r="Y62" s="1755"/>
      <c r="Z62" s="1735"/>
      <c r="AA62" s="1848"/>
      <c r="AB62" s="172" t="str">
        <f t="shared" ref="AB62:AB79" si="3">K62&amp;" год"</f>
        <v>2058 год</v>
      </c>
      <c r="AC62" s="324"/>
      <c r="AD62" s="1600"/>
      <c r="AE62" s="1599"/>
      <c r="AF62" s="1599"/>
      <c r="AG62" s="1600"/>
      <c r="AH62" s="1599"/>
      <c r="AI62" s="1600"/>
      <c r="AJ62" s="1599"/>
      <c r="AK62" s="1601"/>
      <c r="AL62" s="320"/>
      <c r="AN62" s="966" cm="1">
        <f t="array" ref="AN62">K62</f>
        <v>2058</v>
      </c>
      <c r="AO62" s="966" t="s">
        <v>2074</v>
      </c>
      <c r="AP62" s="976" cm="1">
        <f t="array" ref="AP62">AP61</f>
        <v>0</v>
      </c>
      <c r="AQ62" s="620"/>
      <c r="AR62" s="620"/>
    </row>
    <row r="63" spans="2:44" s="1177" customFormat="1" ht="14.65" hidden="1" customHeight="1">
      <c r="B63" s="362" t="b">
        <f t="shared" si="2"/>
        <v>0</v>
      </c>
      <c r="E63" s="620">
        <v>15</v>
      </c>
      <c r="F63" s="3" cm="1">
        <f t="array" aca="1" ref="F63" ca="1">OFFSET(E63,-1,1)</f>
        <v>0</v>
      </c>
      <c r="G63" s="17" cm="1">
        <f t="array" ref="G63">G62</f>
        <v>0</v>
      </c>
      <c r="K63" s="77">
        <f>first_year+33</f>
        <v>2059</v>
      </c>
      <c r="T63" s="381" t="b" cm="1">
        <f t="array" aca="1" ref="T63" ca="1">T62</f>
        <v>0</v>
      </c>
      <c r="X63" s="1755"/>
      <c r="Y63" s="1755"/>
      <c r="Z63" s="1735"/>
      <c r="AA63" s="1848"/>
      <c r="AB63" s="172" t="str">
        <f t="shared" si="3"/>
        <v>2059 год</v>
      </c>
      <c r="AC63" s="324"/>
      <c r="AD63" s="1600"/>
      <c r="AE63" s="1599"/>
      <c r="AF63" s="1599"/>
      <c r="AG63" s="1600"/>
      <c r="AH63" s="1599"/>
      <c r="AI63" s="1600"/>
      <c r="AJ63" s="1599"/>
      <c r="AK63" s="1601"/>
      <c r="AL63" s="320"/>
      <c r="AN63" s="966" cm="1">
        <f t="array" ref="AN63">K63</f>
        <v>2059</v>
      </c>
      <c r="AO63" s="966" t="s">
        <v>2074</v>
      </c>
      <c r="AP63" s="976" cm="1">
        <f t="array" ref="AP63">AP62</f>
        <v>0</v>
      </c>
      <c r="AQ63" s="620"/>
      <c r="AR63" s="620"/>
    </row>
    <row r="64" spans="2:44" s="1177" customFormat="1" ht="14.65" hidden="1" customHeight="1">
      <c r="B64" s="362" t="b">
        <f t="shared" si="2"/>
        <v>0</v>
      </c>
      <c r="E64" s="620">
        <v>15</v>
      </c>
      <c r="F64" s="3" cm="1">
        <f t="array" aca="1" ref="F64" ca="1">OFFSET(E64,-1,1)</f>
        <v>0</v>
      </c>
      <c r="G64" s="17" cm="1">
        <f t="array" ref="G64">G63</f>
        <v>0</v>
      </c>
      <c r="K64" s="77">
        <f>first_year+34</f>
        <v>2060</v>
      </c>
      <c r="T64" s="381" t="b" cm="1">
        <f t="array" aca="1" ref="T64" ca="1">T63</f>
        <v>0</v>
      </c>
      <c r="X64" s="1755"/>
      <c r="Y64" s="1755"/>
      <c r="Z64" s="1735"/>
      <c r="AA64" s="1848"/>
      <c r="AB64" s="172" t="str">
        <f t="shared" si="3"/>
        <v>2060 год</v>
      </c>
      <c r="AC64" s="324"/>
      <c r="AD64" s="1600"/>
      <c r="AE64" s="1599"/>
      <c r="AF64" s="1599"/>
      <c r="AG64" s="1600"/>
      <c r="AH64" s="1599"/>
      <c r="AI64" s="1600"/>
      <c r="AJ64" s="1599"/>
      <c r="AK64" s="1601"/>
      <c r="AL64" s="320"/>
      <c r="AN64" s="966" cm="1">
        <f t="array" ref="AN64">K64</f>
        <v>2060</v>
      </c>
      <c r="AO64" s="966" t="s">
        <v>2074</v>
      </c>
      <c r="AP64" s="976" cm="1">
        <f t="array" ref="AP64">AP63</f>
        <v>0</v>
      </c>
      <c r="AQ64" s="620"/>
      <c r="AR64" s="620"/>
    </row>
    <row r="65" spans="1:44" s="1177" customFormat="1" ht="14.65" hidden="1" customHeight="1">
      <c r="B65" s="362" t="b">
        <f t="shared" si="2"/>
        <v>0</v>
      </c>
      <c r="E65" s="620">
        <v>15</v>
      </c>
      <c r="F65" s="3" cm="1">
        <f t="array" aca="1" ref="F65" ca="1">OFFSET(E65,-1,1)</f>
        <v>0</v>
      </c>
      <c r="G65" s="17" cm="1">
        <f t="array" ref="G65">G64</f>
        <v>0</v>
      </c>
      <c r="K65" s="77">
        <f>first_year+35</f>
        <v>2061</v>
      </c>
      <c r="T65" s="381" t="b" cm="1">
        <f t="array" aca="1" ref="T65" ca="1">T64</f>
        <v>0</v>
      </c>
      <c r="X65" s="1755"/>
      <c r="Y65" s="1755"/>
      <c r="Z65" s="1735"/>
      <c r="AA65" s="1848"/>
      <c r="AB65" s="172" t="str">
        <f t="shared" si="3"/>
        <v>2061 год</v>
      </c>
      <c r="AC65" s="324"/>
      <c r="AD65" s="1600"/>
      <c r="AE65" s="1599"/>
      <c r="AF65" s="1599"/>
      <c r="AG65" s="1600"/>
      <c r="AH65" s="1599"/>
      <c r="AI65" s="1600"/>
      <c r="AJ65" s="1599"/>
      <c r="AK65" s="1601"/>
      <c r="AL65" s="320"/>
      <c r="AN65" s="966" cm="1">
        <f t="array" ref="AN65">K65</f>
        <v>2061</v>
      </c>
      <c r="AO65" s="966" t="s">
        <v>2074</v>
      </c>
      <c r="AP65" s="976" cm="1">
        <f t="array" ref="AP65">AP64</f>
        <v>0</v>
      </c>
      <c r="AQ65" s="620"/>
      <c r="AR65" s="620"/>
    </row>
    <row r="66" spans="1:44" s="1177" customFormat="1" ht="14.65" hidden="1" customHeight="1">
      <c r="B66" s="362" t="b">
        <f t="shared" si="2"/>
        <v>0</v>
      </c>
      <c r="E66" s="620">
        <v>15</v>
      </c>
      <c r="F66" s="3" cm="1">
        <f t="array" aca="1" ref="F66" ca="1">OFFSET(E66,-1,1)</f>
        <v>0</v>
      </c>
      <c r="G66" s="17" cm="1">
        <f t="array" ref="G66">G65</f>
        <v>0</v>
      </c>
      <c r="K66" s="77">
        <f>first_year+36</f>
        <v>2062</v>
      </c>
      <c r="T66" s="381" t="b" cm="1">
        <f t="array" aca="1" ref="T66" ca="1">T65</f>
        <v>0</v>
      </c>
      <c r="X66" s="1755"/>
      <c r="Y66" s="1755"/>
      <c r="Z66" s="1735"/>
      <c r="AA66" s="1848"/>
      <c r="AB66" s="172" t="str">
        <f t="shared" si="3"/>
        <v>2062 год</v>
      </c>
      <c r="AC66" s="324"/>
      <c r="AD66" s="1600"/>
      <c r="AE66" s="1599"/>
      <c r="AF66" s="1599"/>
      <c r="AG66" s="1600"/>
      <c r="AH66" s="1599"/>
      <c r="AI66" s="1600"/>
      <c r="AJ66" s="1599"/>
      <c r="AK66" s="1601"/>
      <c r="AL66" s="320"/>
      <c r="AN66" s="966" cm="1">
        <f t="array" ref="AN66">K66</f>
        <v>2062</v>
      </c>
      <c r="AO66" s="966" t="s">
        <v>2074</v>
      </c>
      <c r="AP66" s="976" cm="1">
        <f t="array" ref="AP66">AP65</f>
        <v>0</v>
      </c>
      <c r="AQ66" s="620"/>
      <c r="AR66" s="620"/>
    </row>
    <row r="67" spans="1:44" s="1177" customFormat="1" ht="14.65" hidden="1" customHeight="1">
      <c r="B67" s="362" t="b">
        <f t="shared" si="2"/>
        <v>0</v>
      </c>
      <c r="E67" s="620">
        <v>15</v>
      </c>
      <c r="F67" s="3" cm="1">
        <f t="array" aca="1" ref="F67" ca="1">OFFSET(E67,-1,1)</f>
        <v>0</v>
      </c>
      <c r="G67" s="17" cm="1">
        <f t="array" ref="G67">G66</f>
        <v>0</v>
      </c>
      <c r="K67" s="77">
        <f>first_year+37</f>
        <v>2063</v>
      </c>
      <c r="T67" s="381" t="b" cm="1">
        <f t="array" aca="1" ref="T67" ca="1">T66</f>
        <v>0</v>
      </c>
      <c r="X67" s="1755"/>
      <c r="Y67" s="1755"/>
      <c r="Z67" s="1735"/>
      <c r="AA67" s="1848"/>
      <c r="AB67" s="172" t="str">
        <f t="shared" si="3"/>
        <v>2063 год</v>
      </c>
      <c r="AC67" s="324"/>
      <c r="AD67" s="1600"/>
      <c r="AE67" s="1599"/>
      <c r="AF67" s="1599"/>
      <c r="AG67" s="1600"/>
      <c r="AH67" s="1599"/>
      <c r="AI67" s="1600"/>
      <c r="AJ67" s="1599"/>
      <c r="AK67" s="1601"/>
      <c r="AL67" s="320"/>
      <c r="AN67" s="966" cm="1">
        <f t="array" ref="AN67">K67</f>
        <v>2063</v>
      </c>
      <c r="AO67" s="966" t="s">
        <v>2074</v>
      </c>
      <c r="AP67" s="976" cm="1">
        <f t="array" ref="AP67">AP66</f>
        <v>0</v>
      </c>
      <c r="AQ67" s="620"/>
      <c r="AR67" s="620"/>
    </row>
    <row r="68" spans="1:44" s="1177" customFormat="1" ht="14.65" hidden="1" customHeight="1">
      <c r="B68" s="362" t="b">
        <f t="shared" si="2"/>
        <v>0</v>
      </c>
      <c r="E68" s="620">
        <v>15</v>
      </c>
      <c r="F68" s="3" cm="1">
        <f t="array" aca="1" ref="F68" ca="1">OFFSET(E68,-1,1)</f>
        <v>0</v>
      </c>
      <c r="G68" s="17" cm="1">
        <f t="array" ref="G68">G67</f>
        <v>0</v>
      </c>
      <c r="K68" s="77">
        <f>first_year+38</f>
        <v>2064</v>
      </c>
      <c r="T68" s="381" t="b" cm="1">
        <f t="array" aca="1" ref="T68" ca="1">T67</f>
        <v>0</v>
      </c>
      <c r="X68" s="1755"/>
      <c r="Y68" s="1755"/>
      <c r="Z68" s="1735"/>
      <c r="AA68" s="1848"/>
      <c r="AB68" s="172" t="str">
        <f t="shared" si="3"/>
        <v>2064 год</v>
      </c>
      <c r="AC68" s="324"/>
      <c r="AD68" s="1600"/>
      <c r="AE68" s="1599"/>
      <c r="AF68" s="1599"/>
      <c r="AG68" s="1600"/>
      <c r="AH68" s="1599"/>
      <c r="AI68" s="1600"/>
      <c r="AJ68" s="1599"/>
      <c r="AK68" s="1601"/>
      <c r="AL68" s="320"/>
      <c r="AN68" s="966" cm="1">
        <f t="array" ref="AN68">K68</f>
        <v>2064</v>
      </c>
      <c r="AO68" s="966" t="s">
        <v>2074</v>
      </c>
      <c r="AP68" s="976" cm="1">
        <f t="array" ref="AP68">AP67</f>
        <v>0</v>
      </c>
      <c r="AQ68" s="620"/>
      <c r="AR68" s="620"/>
    </row>
    <row r="69" spans="1:44" s="1177" customFormat="1" ht="14.65" hidden="1" customHeight="1">
      <c r="B69" s="362" t="b">
        <f t="shared" si="2"/>
        <v>0</v>
      </c>
      <c r="E69" s="620">
        <v>15</v>
      </c>
      <c r="F69" s="3" cm="1">
        <f t="array" aca="1" ref="F69" ca="1">OFFSET(E69,-1,1)</f>
        <v>0</v>
      </c>
      <c r="G69" s="17" cm="1">
        <f t="array" ref="G69">G68</f>
        <v>0</v>
      </c>
      <c r="K69" s="77">
        <f>first_year+39</f>
        <v>2065</v>
      </c>
      <c r="T69" s="381" t="b" cm="1">
        <f t="array" aca="1" ref="T69" ca="1">T68</f>
        <v>0</v>
      </c>
      <c r="X69" s="1755"/>
      <c r="Y69" s="1755"/>
      <c r="Z69" s="1735"/>
      <c r="AA69" s="1848"/>
      <c r="AB69" s="172" t="str">
        <f t="shared" si="3"/>
        <v>2065 год</v>
      </c>
      <c r="AC69" s="324"/>
      <c r="AD69" s="1600"/>
      <c r="AE69" s="1599"/>
      <c r="AF69" s="1599"/>
      <c r="AG69" s="1600"/>
      <c r="AH69" s="1599"/>
      <c r="AI69" s="1600"/>
      <c r="AJ69" s="1599"/>
      <c r="AK69" s="1601"/>
      <c r="AL69" s="320"/>
      <c r="AN69" s="966" cm="1">
        <f t="array" ref="AN69">K69</f>
        <v>2065</v>
      </c>
      <c r="AO69" s="966" t="s">
        <v>2074</v>
      </c>
      <c r="AP69" s="976" cm="1">
        <f t="array" ref="AP69">AP68</f>
        <v>0</v>
      </c>
      <c r="AQ69" s="620"/>
      <c r="AR69" s="620"/>
    </row>
    <row r="70" spans="1:44" s="1177" customFormat="1" ht="14.65" hidden="1" customHeight="1">
      <c r="B70" s="362" t="b">
        <f t="shared" si="2"/>
        <v>0</v>
      </c>
      <c r="E70" s="620">
        <v>15</v>
      </c>
      <c r="F70" s="3" cm="1">
        <f t="array" aca="1" ref="F70" ca="1">OFFSET(E70,-1,1)</f>
        <v>0</v>
      </c>
      <c r="G70" s="17" cm="1">
        <f t="array" ref="G70">G69</f>
        <v>0</v>
      </c>
      <c r="K70" s="77">
        <f>first_year+40</f>
        <v>2066</v>
      </c>
      <c r="T70" s="381" t="b" cm="1">
        <f t="array" aca="1" ref="T70" ca="1">T69</f>
        <v>0</v>
      </c>
      <c r="X70" s="1755"/>
      <c r="Y70" s="1755"/>
      <c r="Z70" s="1735"/>
      <c r="AA70" s="1848"/>
      <c r="AB70" s="172" t="str">
        <f t="shared" si="3"/>
        <v>2066 год</v>
      </c>
      <c r="AC70" s="324"/>
      <c r="AD70" s="1600"/>
      <c r="AE70" s="1599"/>
      <c r="AF70" s="1599"/>
      <c r="AG70" s="1600"/>
      <c r="AH70" s="1599"/>
      <c r="AI70" s="1600"/>
      <c r="AJ70" s="1599"/>
      <c r="AK70" s="1601"/>
      <c r="AL70" s="320"/>
      <c r="AN70" s="966" cm="1">
        <f t="array" ref="AN70">K70</f>
        <v>2066</v>
      </c>
      <c r="AO70" s="966" t="s">
        <v>2074</v>
      </c>
      <c r="AP70" s="976" cm="1">
        <f t="array" ref="AP70">AP69</f>
        <v>0</v>
      </c>
      <c r="AQ70" s="620"/>
      <c r="AR70" s="620"/>
    </row>
    <row r="71" spans="1:44" s="1177" customFormat="1" ht="14.65" hidden="1" customHeight="1">
      <c r="B71" s="362" t="b">
        <f t="shared" si="2"/>
        <v>0</v>
      </c>
      <c r="E71" s="620">
        <v>15</v>
      </c>
      <c r="F71" s="3" cm="1">
        <f t="array" aca="1" ref="F71" ca="1">OFFSET(E71,-1,1)</f>
        <v>0</v>
      </c>
      <c r="G71" s="17" cm="1">
        <f t="array" ref="G71">G70</f>
        <v>0</v>
      </c>
      <c r="K71" s="77">
        <f>first_year+41</f>
        <v>2067</v>
      </c>
      <c r="T71" s="381" t="b" cm="1">
        <f t="array" aca="1" ref="T71" ca="1">T70</f>
        <v>0</v>
      </c>
      <c r="X71" s="1755"/>
      <c r="Y71" s="1755"/>
      <c r="Z71" s="1735"/>
      <c r="AA71" s="1848"/>
      <c r="AB71" s="172" t="str">
        <f t="shared" si="3"/>
        <v>2067 год</v>
      </c>
      <c r="AC71" s="324"/>
      <c r="AD71" s="1600"/>
      <c r="AE71" s="1599"/>
      <c r="AF71" s="1599"/>
      <c r="AG71" s="1600"/>
      <c r="AH71" s="1599"/>
      <c r="AI71" s="1600"/>
      <c r="AJ71" s="1599"/>
      <c r="AK71" s="1601"/>
      <c r="AL71" s="320"/>
      <c r="AN71" s="966" cm="1">
        <f t="array" ref="AN71">K71</f>
        <v>2067</v>
      </c>
      <c r="AO71" s="966" t="s">
        <v>2074</v>
      </c>
      <c r="AP71" s="976" cm="1">
        <f t="array" ref="AP71">AP70</f>
        <v>0</v>
      </c>
      <c r="AQ71" s="620"/>
      <c r="AR71" s="620"/>
    </row>
    <row r="72" spans="1:44" s="1177" customFormat="1" ht="14.65" hidden="1" customHeight="1">
      <c r="B72" s="362" t="b">
        <f t="shared" si="2"/>
        <v>0</v>
      </c>
      <c r="E72" s="620">
        <v>15</v>
      </c>
      <c r="F72" s="3" cm="1">
        <f t="array" aca="1" ref="F72" ca="1">OFFSET(E72,-1,1)</f>
        <v>0</v>
      </c>
      <c r="G72" s="17" cm="1">
        <f t="array" ref="G72">G71</f>
        <v>0</v>
      </c>
      <c r="K72" s="77">
        <f>first_year+42</f>
        <v>2068</v>
      </c>
      <c r="T72" s="381" t="b" cm="1">
        <f t="array" aca="1" ref="T72" ca="1">T71</f>
        <v>0</v>
      </c>
      <c r="X72" s="1755"/>
      <c r="Y72" s="1755"/>
      <c r="Z72" s="1735"/>
      <c r="AA72" s="1848"/>
      <c r="AB72" s="172" t="str">
        <f t="shared" si="3"/>
        <v>2068 год</v>
      </c>
      <c r="AC72" s="324"/>
      <c r="AD72" s="1600"/>
      <c r="AE72" s="1599"/>
      <c r="AF72" s="1599"/>
      <c r="AG72" s="1600"/>
      <c r="AH72" s="1599"/>
      <c r="AI72" s="1600"/>
      <c r="AJ72" s="1599"/>
      <c r="AK72" s="1601"/>
      <c r="AL72" s="320"/>
      <c r="AN72" s="966" cm="1">
        <f t="array" ref="AN72">K72</f>
        <v>2068</v>
      </c>
      <c r="AO72" s="966" t="s">
        <v>2074</v>
      </c>
      <c r="AP72" s="976" cm="1">
        <f t="array" ref="AP72">AP71</f>
        <v>0</v>
      </c>
      <c r="AQ72" s="620"/>
      <c r="AR72" s="620"/>
    </row>
    <row r="73" spans="1:44" s="1177" customFormat="1" ht="14.65" hidden="1" customHeight="1">
      <c r="B73" s="362" t="b">
        <f t="shared" si="2"/>
        <v>0</v>
      </c>
      <c r="E73" s="620">
        <v>15</v>
      </c>
      <c r="F73" s="3" cm="1">
        <f t="array" aca="1" ref="F73" ca="1">OFFSET(E73,-1,1)</f>
        <v>0</v>
      </c>
      <c r="G73" s="17" cm="1">
        <f t="array" ref="G73">G72</f>
        <v>0</v>
      </c>
      <c r="K73" s="77">
        <f>first_year+43</f>
        <v>2069</v>
      </c>
      <c r="T73" s="381" t="b" cm="1">
        <f t="array" aca="1" ref="T73" ca="1">T72</f>
        <v>0</v>
      </c>
      <c r="X73" s="1755"/>
      <c r="Y73" s="1755"/>
      <c r="Z73" s="1735"/>
      <c r="AA73" s="1848"/>
      <c r="AB73" s="172" t="str">
        <f t="shared" si="3"/>
        <v>2069 год</v>
      </c>
      <c r="AC73" s="324"/>
      <c r="AD73" s="1600"/>
      <c r="AE73" s="1599"/>
      <c r="AF73" s="1599"/>
      <c r="AG73" s="1600"/>
      <c r="AH73" s="1599"/>
      <c r="AI73" s="1600"/>
      <c r="AJ73" s="1599"/>
      <c r="AK73" s="1601"/>
      <c r="AL73" s="320"/>
      <c r="AN73" s="966" cm="1">
        <f t="array" ref="AN73">K73</f>
        <v>2069</v>
      </c>
      <c r="AO73" s="966" t="s">
        <v>2074</v>
      </c>
      <c r="AP73" s="976" cm="1">
        <f t="array" ref="AP73">AP72</f>
        <v>0</v>
      </c>
      <c r="AQ73" s="620"/>
      <c r="AR73" s="620"/>
    </row>
    <row r="74" spans="1:44" s="1177" customFormat="1" ht="14.65" hidden="1" customHeight="1">
      <c r="B74" s="362" t="b">
        <f t="shared" si="2"/>
        <v>0</v>
      </c>
      <c r="E74" s="620">
        <v>15</v>
      </c>
      <c r="F74" s="3" cm="1">
        <f t="array" aca="1" ref="F74" ca="1">OFFSET(E74,-1,1)</f>
        <v>0</v>
      </c>
      <c r="G74" s="17" cm="1">
        <f t="array" ref="G74">G73</f>
        <v>0</v>
      </c>
      <c r="K74" s="77">
        <f>first_year+44</f>
        <v>2070</v>
      </c>
      <c r="T74" s="381" t="b" cm="1">
        <f t="array" aca="1" ref="T74" ca="1">T73</f>
        <v>0</v>
      </c>
      <c r="X74" s="1755"/>
      <c r="Y74" s="1755"/>
      <c r="Z74" s="1735"/>
      <c r="AA74" s="1848"/>
      <c r="AB74" s="172" t="str">
        <f t="shared" si="3"/>
        <v>2070 год</v>
      </c>
      <c r="AC74" s="324"/>
      <c r="AD74" s="1600"/>
      <c r="AE74" s="1599"/>
      <c r="AF74" s="1599"/>
      <c r="AG74" s="1600"/>
      <c r="AH74" s="1599"/>
      <c r="AI74" s="1600"/>
      <c r="AJ74" s="1599"/>
      <c r="AK74" s="1601"/>
      <c r="AL74" s="320"/>
      <c r="AN74" s="966" cm="1">
        <f t="array" ref="AN74">K74</f>
        <v>2070</v>
      </c>
      <c r="AO74" s="966" t="s">
        <v>2074</v>
      </c>
      <c r="AP74" s="976" cm="1">
        <f t="array" ref="AP74">AP73</f>
        <v>0</v>
      </c>
      <c r="AQ74" s="620"/>
      <c r="AR74" s="620"/>
    </row>
    <row r="75" spans="1:44" s="1177" customFormat="1" ht="14.65" hidden="1" customHeight="1">
      <c r="B75" s="362" t="b">
        <f t="shared" si="2"/>
        <v>0</v>
      </c>
      <c r="E75" s="620">
        <v>15</v>
      </c>
      <c r="F75" s="3" cm="1">
        <f t="array" aca="1" ref="F75" ca="1">OFFSET(E75,-1,1)</f>
        <v>0</v>
      </c>
      <c r="G75" s="17" cm="1">
        <f t="array" ref="G75">G74</f>
        <v>0</v>
      </c>
      <c r="K75" s="77">
        <f>first_year+45</f>
        <v>2071</v>
      </c>
      <c r="T75" s="381" t="b" cm="1">
        <f t="array" aca="1" ref="T75" ca="1">T74</f>
        <v>0</v>
      </c>
      <c r="X75" s="1755"/>
      <c r="Y75" s="1755"/>
      <c r="Z75" s="1735"/>
      <c r="AA75" s="1848"/>
      <c r="AB75" s="172" t="str">
        <f t="shared" si="3"/>
        <v>2071 год</v>
      </c>
      <c r="AC75" s="324"/>
      <c r="AD75" s="1600"/>
      <c r="AE75" s="1599"/>
      <c r="AF75" s="1599"/>
      <c r="AG75" s="1600"/>
      <c r="AH75" s="1599"/>
      <c r="AI75" s="1600"/>
      <c r="AJ75" s="1599"/>
      <c r="AK75" s="1601"/>
      <c r="AL75" s="320"/>
      <c r="AN75" s="966" cm="1">
        <f t="array" ref="AN75">K75</f>
        <v>2071</v>
      </c>
      <c r="AO75" s="966" t="s">
        <v>2074</v>
      </c>
      <c r="AP75" s="976" cm="1">
        <f t="array" ref="AP75">AP74</f>
        <v>0</v>
      </c>
      <c r="AQ75" s="620"/>
      <c r="AR75" s="620"/>
    </row>
    <row r="76" spans="1:44" s="1177" customFormat="1" ht="14.65" hidden="1" customHeight="1">
      <c r="B76" s="362" t="b">
        <f t="shared" si="2"/>
        <v>0</v>
      </c>
      <c r="E76" s="620">
        <v>15</v>
      </c>
      <c r="F76" s="3" cm="1">
        <f t="array" aca="1" ref="F76" ca="1">OFFSET(E76,-1,1)</f>
        <v>0</v>
      </c>
      <c r="G76" s="17" cm="1">
        <f t="array" ref="G76">G75</f>
        <v>0</v>
      </c>
      <c r="K76" s="77">
        <f>first_year+46</f>
        <v>2072</v>
      </c>
      <c r="T76" s="381" t="b" cm="1">
        <f t="array" aca="1" ref="T76" ca="1">T75</f>
        <v>0</v>
      </c>
      <c r="X76" s="1755"/>
      <c r="Y76" s="1755"/>
      <c r="Z76" s="1735"/>
      <c r="AA76" s="1848"/>
      <c r="AB76" s="172" t="str">
        <f t="shared" si="3"/>
        <v>2072 год</v>
      </c>
      <c r="AC76" s="324"/>
      <c r="AD76" s="1600"/>
      <c r="AE76" s="1599"/>
      <c r="AF76" s="1599"/>
      <c r="AG76" s="1600"/>
      <c r="AH76" s="1599"/>
      <c r="AI76" s="1600"/>
      <c r="AJ76" s="1599"/>
      <c r="AK76" s="1601"/>
      <c r="AL76" s="320"/>
      <c r="AN76" s="966" cm="1">
        <f t="array" ref="AN76">K76</f>
        <v>2072</v>
      </c>
      <c r="AO76" s="966" t="s">
        <v>2074</v>
      </c>
      <c r="AP76" s="976" cm="1">
        <f t="array" ref="AP76">AP75</f>
        <v>0</v>
      </c>
      <c r="AQ76" s="620"/>
      <c r="AR76" s="620"/>
    </row>
    <row r="77" spans="1:44" s="1177" customFormat="1" ht="14.65" hidden="1" customHeight="1">
      <c r="B77" s="362" t="b">
        <f t="shared" si="2"/>
        <v>0</v>
      </c>
      <c r="E77" s="620">
        <v>15</v>
      </c>
      <c r="F77" s="3" cm="1">
        <f t="array" aca="1" ref="F77" ca="1">OFFSET(E77,-1,1)</f>
        <v>0</v>
      </c>
      <c r="G77" s="17" cm="1">
        <f t="array" ref="G77">G76</f>
        <v>0</v>
      </c>
      <c r="K77" s="77">
        <f>first_year+47</f>
        <v>2073</v>
      </c>
      <c r="T77" s="381" t="b" cm="1">
        <f t="array" aca="1" ref="T77" ca="1">T76</f>
        <v>0</v>
      </c>
      <c r="X77" s="1755"/>
      <c r="Y77" s="1755"/>
      <c r="Z77" s="1735"/>
      <c r="AA77" s="1848"/>
      <c r="AB77" s="172" t="str">
        <f t="shared" si="3"/>
        <v>2073 год</v>
      </c>
      <c r="AC77" s="324"/>
      <c r="AD77" s="1600"/>
      <c r="AE77" s="1599"/>
      <c r="AF77" s="1599"/>
      <c r="AG77" s="1600"/>
      <c r="AH77" s="1599"/>
      <c r="AI77" s="1600"/>
      <c r="AJ77" s="1599"/>
      <c r="AK77" s="1601"/>
      <c r="AL77" s="320"/>
      <c r="AN77" s="966" cm="1">
        <f t="array" ref="AN77">K77</f>
        <v>2073</v>
      </c>
      <c r="AO77" s="966" t="s">
        <v>2074</v>
      </c>
      <c r="AP77" s="976" cm="1">
        <f t="array" ref="AP77">AP76</f>
        <v>0</v>
      </c>
      <c r="AQ77" s="620"/>
      <c r="AR77" s="620"/>
    </row>
    <row r="78" spans="1:44" s="1177" customFormat="1" ht="14.65" hidden="1" customHeight="1">
      <c r="B78" s="362" t="b">
        <f t="shared" si="2"/>
        <v>0</v>
      </c>
      <c r="E78" s="620">
        <v>15</v>
      </c>
      <c r="F78" s="3" cm="1">
        <f t="array" aca="1" ref="F78" ca="1">OFFSET(E78,-1,1)</f>
        <v>0</v>
      </c>
      <c r="G78" s="17" cm="1">
        <f t="array" ref="G78">G77</f>
        <v>0</v>
      </c>
      <c r="K78" s="77">
        <f>first_year+48</f>
        <v>2074</v>
      </c>
      <c r="T78" s="381" t="b" cm="1">
        <f t="array" aca="1" ref="T78" ca="1">T77</f>
        <v>0</v>
      </c>
      <c r="X78" s="1755"/>
      <c r="Y78" s="1755"/>
      <c r="Z78" s="1735"/>
      <c r="AA78" s="1848"/>
      <c r="AB78" s="172" t="str">
        <f t="shared" si="3"/>
        <v>2074 год</v>
      </c>
      <c r="AC78" s="324"/>
      <c r="AD78" s="1600"/>
      <c r="AE78" s="1599"/>
      <c r="AF78" s="1599"/>
      <c r="AG78" s="1600"/>
      <c r="AH78" s="1599"/>
      <c r="AI78" s="1600"/>
      <c r="AJ78" s="1599"/>
      <c r="AK78" s="1601"/>
      <c r="AL78" s="320"/>
      <c r="AN78" s="966" cm="1">
        <f t="array" ref="AN78">K78</f>
        <v>2074</v>
      </c>
      <c r="AO78" s="966" t="s">
        <v>2074</v>
      </c>
      <c r="AP78" s="976" cm="1">
        <f t="array" ref="AP78">AP77</f>
        <v>0</v>
      </c>
      <c r="AQ78" s="620"/>
      <c r="AR78" s="620"/>
    </row>
    <row r="79" spans="1:44" s="1177" customFormat="1" ht="14.65" hidden="1" customHeight="1">
      <c r="B79" s="362" t="b">
        <f t="shared" si="2"/>
        <v>0</v>
      </c>
      <c r="E79" s="620">
        <v>15</v>
      </c>
      <c r="F79" s="3" cm="1">
        <f t="array" aca="1" ref="F79" ca="1">OFFSET(E79,-1,1)</f>
        <v>0</v>
      </c>
      <c r="G79" s="17" cm="1">
        <f t="array" ref="G79">G78</f>
        <v>0</v>
      </c>
      <c r="K79" s="77">
        <f>first_year+49</f>
        <v>2075</v>
      </c>
      <c r="T79" s="381" t="b" cm="1">
        <f t="array" aca="1" ref="T79" ca="1">T78</f>
        <v>0</v>
      </c>
      <c r="X79" s="1755"/>
      <c r="Y79" s="1755"/>
      <c r="Z79" s="1735"/>
      <c r="AA79" s="1848"/>
      <c r="AB79" s="172" t="str">
        <f t="shared" si="3"/>
        <v>2075 год</v>
      </c>
      <c r="AC79" s="324"/>
      <c r="AD79" s="1600"/>
      <c r="AE79" s="1599"/>
      <c r="AF79" s="1599"/>
      <c r="AG79" s="1600"/>
      <c r="AH79" s="1599"/>
      <c r="AI79" s="1600"/>
      <c r="AJ79" s="1599"/>
      <c r="AK79" s="1601"/>
      <c r="AL79" s="320"/>
      <c r="AN79" s="966" cm="1">
        <f t="array" ref="AN79">K79</f>
        <v>2075</v>
      </c>
      <c r="AO79" s="966" t="s">
        <v>2074</v>
      </c>
      <c r="AP79" s="976" cm="1">
        <f t="array" ref="AP79">AP78</f>
        <v>0</v>
      </c>
      <c r="AQ79" s="620"/>
      <c r="AR79" s="620"/>
    </row>
    <row r="80" spans="1:44" s="1327" customFormat="1" ht="14.65" hidden="1" customHeight="1">
      <c r="A80" s="77"/>
      <c r="B80" s="349"/>
      <c r="C80" s="77"/>
      <c r="D80" s="77"/>
      <c r="E80" s="620">
        <v>15</v>
      </c>
      <c r="F80" s="1083" cm="1">
        <f t="array" aca="1" ref="F80" ca="1">OFFSET(E80,-1,1)</f>
        <v>0</v>
      </c>
      <c r="G80" s="77" t="str">
        <f>"!== 'не определено'"</f>
        <v>!== 'не определено'</v>
      </c>
      <c r="H80" s="77"/>
      <c r="I80" s="77"/>
      <c r="J80" s="77"/>
      <c r="K80" s="77"/>
      <c r="L80" s="77"/>
      <c r="M80" s="77"/>
      <c r="N80" s="77"/>
      <c r="O80" s="77"/>
      <c r="P80" s="77"/>
      <c r="Q80" s="77"/>
      <c r="R80" s="77"/>
      <c r="S80" s="77"/>
      <c r="T80" s="381" t="b">
        <f ca="1">F80&gt;0</f>
        <v>0</v>
      </c>
      <c r="U80" s="77"/>
      <c r="V80" s="77"/>
      <c r="W80" s="743" t="s">
        <v>2075</v>
      </c>
      <c r="X80" s="1755"/>
      <c r="Y80" s="77"/>
      <c r="Z80" s="1735"/>
      <c r="AA80" s="77"/>
      <c r="AB80" s="843" t="s">
        <v>177</v>
      </c>
      <c r="AC80" s="218"/>
      <c r="AD80" s="218"/>
      <c r="AE80" s="218"/>
      <c r="AF80" s="218"/>
      <c r="AG80" s="218"/>
      <c r="AH80" s="218"/>
      <c r="AI80" s="218"/>
      <c r="AJ80" s="218"/>
      <c r="AK80" s="218"/>
      <c r="AL80" s="320"/>
      <c r="AN80" s="906"/>
      <c r="AO80" s="906"/>
      <c r="AP80" s="906"/>
      <c r="AQ80" s="909" t="s">
        <v>2074</v>
      </c>
      <c r="AR80" s="541"/>
    </row>
    <row r="81" spans="1:44" s="454" customFormat="1" ht="14.25" customHeight="1">
      <c r="A81" s="1210"/>
      <c r="B81" s="345"/>
      <c r="C81" s="1210"/>
      <c r="D81" s="1210"/>
      <c r="E81" s="535">
        <v>15</v>
      </c>
      <c r="F81" s="17" t="str" cm="1">
        <f t="array" ref="F81">X81</f>
        <v>1</v>
      </c>
      <c r="G81" s="1210"/>
      <c r="H81" s="1210"/>
      <c r="I81" s="1210"/>
      <c r="J81" s="1210"/>
      <c r="K81" s="1210"/>
      <c r="L81" s="1210"/>
      <c r="M81" s="1210"/>
      <c r="N81" s="1210"/>
      <c r="O81" s="1210"/>
      <c r="P81" s="1210"/>
      <c r="Q81" s="1210"/>
      <c r="R81" s="1210"/>
      <c r="S81" s="1210"/>
      <c r="T81" s="381" t="b">
        <f>X81&gt;0</f>
        <v>1</v>
      </c>
      <c r="U81" s="1210"/>
      <c r="V81" s="41" t="str" cm="1">
        <f t="array" ref="V81">ДПР!$AB$81</f>
        <v>Тариф 1 (Водоснабжение) - тариф на питьевую воду</v>
      </c>
      <c r="W81" s="1210"/>
      <c r="X81" s="1755" t="s">
        <v>281</v>
      </c>
      <c r="Y81" s="1210"/>
      <c r="Z81" s="1735"/>
      <c r="AA81" s="1210"/>
      <c r="AB81" s="293" t="str" cm="1">
        <f t="array" ref="AB81">ДПР!$AB$81</f>
        <v>Тариф 1 (Водоснабжение) - тариф на питьевую воду</v>
      </c>
      <c r="AC81" s="161"/>
      <c r="AD81" s="161"/>
      <c r="AE81" s="161"/>
      <c r="AF81" s="161"/>
      <c r="AG81" s="161"/>
      <c r="AH81" s="161"/>
      <c r="AI81" s="161"/>
      <c r="AJ81" s="161"/>
      <c r="AK81" s="161"/>
      <c r="AL81" s="319"/>
      <c r="AM81" s="1210"/>
      <c r="AN81" s="899"/>
      <c r="AO81" s="899"/>
      <c r="AP81" s="899"/>
      <c r="AQ81" s="535"/>
      <c r="AR81" s="535"/>
    </row>
    <row r="82" spans="1:44" s="454" customFormat="1" ht="14.25" hidden="1" customHeight="1">
      <c r="A82" s="1210"/>
      <c r="B82" s="345"/>
      <c r="C82" s="1210"/>
      <c r="D82" s="1210"/>
      <c r="E82" s="535">
        <v>15</v>
      </c>
      <c r="F82" s="3" t="str" cm="1">
        <f t="array" aca="1" ref="F82" ca="1">OFFSET(E82,-1,1)</f>
        <v>1</v>
      </c>
      <c r="G82" s="41" cm="1">
        <f t="array" ref="G82">AB82</f>
        <v>0</v>
      </c>
      <c r="H82" s="1210"/>
      <c r="I82" s="1210"/>
      <c r="J82" s="1210"/>
      <c r="K82" s="1210"/>
      <c r="L82" s="1210"/>
      <c r="M82" s="1210"/>
      <c r="N82" s="1210"/>
      <c r="O82" s="1210"/>
      <c r="P82" s="1210"/>
      <c r="Q82" s="1210"/>
      <c r="R82" s="1210"/>
      <c r="S82" s="1210"/>
      <c r="T82" s="381" t="b">
        <f ca="1">AND(F82&gt;0,Y82&gt;0)</f>
        <v>0</v>
      </c>
      <c r="U82" s="1210"/>
      <c r="V82" s="1210"/>
      <c r="W82" s="41" t="s">
        <v>173</v>
      </c>
      <c r="X82" s="1755"/>
      <c r="Y82" s="1755">
        <v>0</v>
      </c>
      <c r="Z82" s="1735"/>
      <c r="AA82" s="1848" t="s">
        <v>174</v>
      </c>
      <c r="AB82" s="1849"/>
      <c r="AC82" s="1849"/>
      <c r="AD82" s="1849"/>
      <c r="AE82" s="1849"/>
      <c r="AF82" s="1849"/>
      <c r="AG82" s="1849"/>
      <c r="AH82" s="1849"/>
      <c r="AI82" s="1849"/>
      <c r="AJ82" s="1849"/>
      <c r="AK82" s="1850"/>
      <c r="AL82" s="319"/>
      <c r="AM82" s="1210"/>
      <c r="AN82" s="899"/>
      <c r="AO82" s="966" t="s">
        <v>2074</v>
      </c>
      <c r="AP82" s="981" cm="1">
        <f t="array" ref="AP82">AB82</f>
        <v>0</v>
      </c>
      <c r="AQ82" s="535"/>
      <c r="AR82" s="535" t="b">
        <v>1</v>
      </c>
    </row>
    <row r="83" spans="1:44" s="1602" customFormat="1" ht="14.25" hidden="1" customHeight="1">
      <c r="A83" s="1177"/>
      <c r="B83" s="362" t="b">
        <f t="shared" ref="B83:B114" si="4">K83&lt;first_year+PERIOD_LENGTH</f>
        <v>1</v>
      </c>
      <c r="C83" s="1177"/>
      <c r="D83" s="1177"/>
      <c r="E83" s="620">
        <v>15</v>
      </c>
      <c r="F83" s="3" t="str" cm="1">
        <f t="array" aca="1" ref="F83" ca="1">OFFSET(E83,-1,1)</f>
        <v>1</v>
      </c>
      <c r="G83" s="17" cm="1">
        <f t="array" ref="G83">G82</f>
        <v>0</v>
      </c>
      <c r="H83" s="1177"/>
      <c r="I83" s="1177"/>
      <c r="J83" s="1177"/>
      <c r="K83" s="77" cm="1">
        <f t="array" ref="K83">first_year</f>
        <v>2026</v>
      </c>
      <c r="L83" s="1177"/>
      <c r="M83" s="1177"/>
      <c r="N83" s="1177"/>
      <c r="O83" s="1177"/>
      <c r="P83" s="1177"/>
      <c r="Q83" s="1177"/>
      <c r="R83" s="1177"/>
      <c r="S83" s="1177"/>
      <c r="T83" s="381" t="b" cm="1">
        <f t="array" aca="1" ref="T83" ca="1">T82</f>
        <v>0</v>
      </c>
      <c r="U83" s="1177"/>
      <c r="V83" s="1177"/>
      <c r="W83" s="1177"/>
      <c r="X83" s="1755"/>
      <c r="Y83" s="1755"/>
      <c r="Z83" s="1735"/>
      <c r="AA83" s="1848"/>
      <c r="AB83" s="217" t="str">
        <f t="shared" ref="AB83:AB114" si="5">K83&amp;" год"</f>
        <v>2026 год</v>
      </c>
      <c r="AC83" s="1599"/>
      <c r="AD83" s="1600"/>
      <c r="AE83" s="1599"/>
      <c r="AF83" s="1599"/>
      <c r="AG83" s="1600"/>
      <c r="AH83" s="1599"/>
      <c r="AI83" s="1600"/>
      <c r="AJ83" s="1599"/>
      <c r="AK83" s="1601"/>
      <c r="AL83" s="320"/>
      <c r="AM83" s="1177"/>
      <c r="AN83" s="966" cm="1">
        <f t="array" ref="AN83">K83</f>
        <v>2026</v>
      </c>
      <c r="AO83" s="966" t="s">
        <v>2074</v>
      </c>
      <c r="AP83" s="976" cm="1">
        <f t="array" ref="AP83">AP82</f>
        <v>0</v>
      </c>
      <c r="AQ83" s="620"/>
      <c r="AR83" s="620"/>
    </row>
    <row r="84" spans="1:44" s="1603" customFormat="1" ht="14.25" hidden="1" customHeight="1">
      <c r="A84" s="1177"/>
      <c r="B84" s="362" t="b">
        <f t="shared" si="4"/>
        <v>0</v>
      </c>
      <c r="C84" s="1177"/>
      <c r="D84" s="1177"/>
      <c r="E84" s="620">
        <v>15</v>
      </c>
      <c r="F84" s="3" t="str" cm="1">
        <f t="array" aca="1" ref="F84" ca="1">OFFSET(E84,-1,1)</f>
        <v>1</v>
      </c>
      <c r="G84" s="17" cm="1">
        <f t="array" ref="G84">G83</f>
        <v>0</v>
      </c>
      <c r="H84" s="1177"/>
      <c r="I84" s="1177"/>
      <c r="J84" s="1177"/>
      <c r="K84" s="77">
        <f>first_year+1</f>
        <v>2027</v>
      </c>
      <c r="L84" s="1177"/>
      <c r="M84" s="1177"/>
      <c r="N84" s="1177"/>
      <c r="O84" s="1177"/>
      <c r="P84" s="1177"/>
      <c r="Q84" s="1177"/>
      <c r="R84" s="1177"/>
      <c r="S84" s="1177"/>
      <c r="T84" s="381" t="b" cm="1">
        <f t="array" aca="1" ref="T84" ca="1">T83</f>
        <v>0</v>
      </c>
      <c r="U84" s="1177"/>
      <c r="V84" s="1177"/>
      <c r="W84" s="1177"/>
      <c r="X84" s="1755"/>
      <c r="Y84" s="1755"/>
      <c r="Z84" s="1735"/>
      <c r="AA84" s="1848"/>
      <c r="AB84" s="172" t="str">
        <f t="shared" si="5"/>
        <v>2027 год</v>
      </c>
      <c r="AC84" s="324"/>
      <c r="AD84" s="1600"/>
      <c r="AE84" s="1599"/>
      <c r="AF84" s="1599"/>
      <c r="AG84" s="1600"/>
      <c r="AH84" s="1599"/>
      <c r="AI84" s="1600"/>
      <c r="AJ84" s="1599"/>
      <c r="AK84" s="1601"/>
      <c r="AL84" s="320"/>
      <c r="AM84" s="1177"/>
      <c r="AN84" s="966" cm="1">
        <f t="array" ref="AN84">K84</f>
        <v>2027</v>
      </c>
      <c r="AO84" s="966" t="s">
        <v>2074</v>
      </c>
      <c r="AP84" s="976" cm="1">
        <f t="array" ref="AP84">AP83</f>
        <v>0</v>
      </c>
      <c r="AQ84" s="620"/>
      <c r="AR84" s="620"/>
    </row>
    <row r="85" spans="1:44" s="1604" customFormat="1" ht="14.25" hidden="1" customHeight="1">
      <c r="A85" s="1177"/>
      <c r="B85" s="362" t="b">
        <f t="shared" si="4"/>
        <v>0</v>
      </c>
      <c r="C85" s="1177"/>
      <c r="D85" s="1177"/>
      <c r="E85" s="620">
        <v>15</v>
      </c>
      <c r="F85" s="3" t="str" cm="1">
        <f t="array" aca="1" ref="F85" ca="1">OFFSET(E85,-1,1)</f>
        <v>1</v>
      </c>
      <c r="G85" s="17" cm="1">
        <f t="array" ref="G85">G84</f>
        <v>0</v>
      </c>
      <c r="H85" s="1177"/>
      <c r="I85" s="1177"/>
      <c r="J85" s="1177"/>
      <c r="K85" s="77">
        <f>first_year+2</f>
        <v>2028</v>
      </c>
      <c r="L85" s="1177"/>
      <c r="M85" s="1177"/>
      <c r="N85" s="1177"/>
      <c r="O85" s="1177"/>
      <c r="P85" s="1177"/>
      <c r="Q85" s="1177"/>
      <c r="R85" s="1177"/>
      <c r="S85" s="1177"/>
      <c r="T85" s="381" t="b" cm="1">
        <f t="array" aca="1" ref="T85" ca="1">T84</f>
        <v>0</v>
      </c>
      <c r="U85" s="1177"/>
      <c r="V85" s="1177"/>
      <c r="W85" s="1177"/>
      <c r="X85" s="1755"/>
      <c r="Y85" s="1755"/>
      <c r="Z85" s="1735"/>
      <c r="AA85" s="1848"/>
      <c r="AB85" s="172" t="str">
        <f t="shared" si="5"/>
        <v>2028 год</v>
      </c>
      <c r="AC85" s="324"/>
      <c r="AD85" s="1600"/>
      <c r="AE85" s="1599"/>
      <c r="AF85" s="1599"/>
      <c r="AG85" s="1600"/>
      <c r="AH85" s="1599"/>
      <c r="AI85" s="1600"/>
      <c r="AJ85" s="1599"/>
      <c r="AK85" s="1601"/>
      <c r="AL85" s="320"/>
      <c r="AM85" s="1177"/>
      <c r="AN85" s="966" cm="1">
        <f t="array" ref="AN85">K85</f>
        <v>2028</v>
      </c>
      <c r="AO85" s="966" t="s">
        <v>2074</v>
      </c>
      <c r="AP85" s="976" cm="1">
        <f t="array" ref="AP85">AP84</f>
        <v>0</v>
      </c>
      <c r="AQ85" s="620"/>
      <c r="AR85" s="620"/>
    </row>
    <row r="86" spans="1:44" s="1605" customFormat="1" ht="14.25" hidden="1" customHeight="1">
      <c r="A86" s="1177"/>
      <c r="B86" s="362" t="b">
        <f t="shared" si="4"/>
        <v>0</v>
      </c>
      <c r="C86" s="1177"/>
      <c r="D86" s="1177"/>
      <c r="E86" s="620">
        <v>15</v>
      </c>
      <c r="F86" s="3" t="str" cm="1">
        <f t="array" aca="1" ref="F86" ca="1">OFFSET(E86,-1,1)</f>
        <v>1</v>
      </c>
      <c r="G86" s="17" cm="1">
        <f t="array" ref="G86">G85</f>
        <v>0</v>
      </c>
      <c r="H86" s="1177"/>
      <c r="I86" s="1177"/>
      <c r="J86" s="1177"/>
      <c r="K86" s="77">
        <f>first_year+3</f>
        <v>2029</v>
      </c>
      <c r="L86" s="1177"/>
      <c r="M86" s="1177"/>
      <c r="N86" s="1177"/>
      <c r="O86" s="1177"/>
      <c r="P86" s="1177"/>
      <c r="Q86" s="1177"/>
      <c r="R86" s="1177"/>
      <c r="S86" s="1177"/>
      <c r="T86" s="381" t="b" cm="1">
        <f t="array" aca="1" ref="T86" ca="1">T85</f>
        <v>0</v>
      </c>
      <c r="U86" s="1177"/>
      <c r="V86" s="1177"/>
      <c r="W86" s="1177"/>
      <c r="X86" s="1755"/>
      <c r="Y86" s="1755"/>
      <c r="Z86" s="1735"/>
      <c r="AA86" s="1848"/>
      <c r="AB86" s="172" t="str">
        <f t="shared" si="5"/>
        <v>2029 год</v>
      </c>
      <c r="AC86" s="324"/>
      <c r="AD86" s="1600"/>
      <c r="AE86" s="1599"/>
      <c r="AF86" s="1599"/>
      <c r="AG86" s="1600"/>
      <c r="AH86" s="1599"/>
      <c r="AI86" s="1600"/>
      <c r="AJ86" s="1599"/>
      <c r="AK86" s="1601"/>
      <c r="AL86" s="320"/>
      <c r="AM86" s="1177"/>
      <c r="AN86" s="966" cm="1">
        <f t="array" ref="AN86">K86</f>
        <v>2029</v>
      </c>
      <c r="AO86" s="966" t="s">
        <v>2074</v>
      </c>
      <c r="AP86" s="976" cm="1">
        <f t="array" ref="AP86">AP85</f>
        <v>0</v>
      </c>
      <c r="AQ86" s="620"/>
      <c r="AR86" s="620"/>
    </row>
    <row r="87" spans="1:44" s="1606" customFormat="1" ht="14.25" hidden="1" customHeight="1">
      <c r="A87" s="1177"/>
      <c r="B87" s="362" t="b">
        <f t="shared" si="4"/>
        <v>0</v>
      </c>
      <c r="C87" s="1177"/>
      <c r="D87" s="1177"/>
      <c r="E87" s="620">
        <v>15</v>
      </c>
      <c r="F87" s="3" t="str" cm="1">
        <f t="array" aca="1" ref="F87" ca="1">OFFSET(E87,-1,1)</f>
        <v>1</v>
      </c>
      <c r="G87" s="17" cm="1">
        <f t="array" ref="G87">G86</f>
        <v>0</v>
      </c>
      <c r="H87" s="1177"/>
      <c r="I87" s="1177"/>
      <c r="J87" s="1177"/>
      <c r="K87" s="77">
        <f>first_year+4</f>
        <v>2030</v>
      </c>
      <c r="L87" s="1177"/>
      <c r="M87" s="1177"/>
      <c r="N87" s="1177"/>
      <c r="O87" s="1177"/>
      <c r="P87" s="1177"/>
      <c r="Q87" s="1177"/>
      <c r="R87" s="1177"/>
      <c r="S87" s="1177"/>
      <c r="T87" s="381" t="b" cm="1">
        <f t="array" aca="1" ref="T87" ca="1">T86</f>
        <v>0</v>
      </c>
      <c r="U87" s="1177"/>
      <c r="V87" s="1177"/>
      <c r="W87" s="1177"/>
      <c r="X87" s="1755"/>
      <c r="Y87" s="1755"/>
      <c r="Z87" s="1735"/>
      <c r="AA87" s="1848"/>
      <c r="AB87" s="172" t="str">
        <f t="shared" si="5"/>
        <v>2030 год</v>
      </c>
      <c r="AC87" s="324"/>
      <c r="AD87" s="1600"/>
      <c r="AE87" s="1599"/>
      <c r="AF87" s="1599"/>
      <c r="AG87" s="1600"/>
      <c r="AH87" s="1599"/>
      <c r="AI87" s="1600"/>
      <c r="AJ87" s="1599"/>
      <c r="AK87" s="1601"/>
      <c r="AL87" s="320"/>
      <c r="AM87" s="1177"/>
      <c r="AN87" s="966" cm="1">
        <f t="array" ref="AN87">K87</f>
        <v>2030</v>
      </c>
      <c r="AO87" s="966" t="s">
        <v>2074</v>
      </c>
      <c r="AP87" s="976" cm="1">
        <f t="array" ref="AP87">AP86</f>
        <v>0</v>
      </c>
      <c r="AQ87" s="620"/>
      <c r="AR87" s="620"/>
    </row>
    <row r="88" spans="1:44" s="1607" customFormat="1" ht="14.25" hidden="1" customHeight="1">
      <c r="A88" s="1177"/>
      <c r="B88" s="362" t="b">
        <f t="shared" si="4"/>
        <v>0</v>
      </c>
      <c r="C88" s="1177"/>
      <c r="D88" s="1177"/>
      <c r="E88" s="620">
        <v>15</v>
      </c>
      <c r="F88" s="3" t="str" cm="1">
        <f t="array" aca="1" ref="F88" ca="1">OFFSET(E88,-1,1)</f>
        <v>1</v>
      </c>
      <c r="G88" s="17" cm="1">
        <f t="array" ref="G88">G87</f>
        <v>0</v>
      </c>
      <c r="H88" s="1177"/>
      <c r="I88" s="1177"/>
      <c r="J88" s="1177"/>
      <c r="K88" s="77">
        <f>first_year+5</f>
        <v>2031</v>
      </c>
      <c r="L88" s="1177"/>
      <c r="M88" s="1177"/>
      <c r="N88" s="1177"/>
      <c r="O88" s="1177"/>
      <c r="P88" s="1177"/>
      <c r="Q88" s="1177"/>
      <c r="R88" s="1177"/>
      <c r="S88" s="1177"/>
      <c r="T88" s="381" t="b" cm="1">
        <f t="array" aca="1" ref="T88" ca="1">T87</f>
        <v>0</v>
      </c>
      <c r="U88" s="1177"/>
      <c r="V88" s="1177"/>
      <c r="W88" s="1177"/>
      <c r="X88" s="1755"/>
      <c r="Y88" s="1755"/>
      <c r="Z88" s="1735"/>
      <c r="AA88" s="1848"/>
      <c r="AB88" s="172" t="str">
        <f t="shared" si="5"/>
        <v>2031 год</v>
      </c>
      <c r="AC88" s="324"/>
      <c r="AD88" s="1600"/>
      <c r="AE88" s="1599"/>
      <c r="AF88" s="1599"/>
      <c r="AG88" s="1600"/>
      <c r="AH88" s="1599"/>
      <c r="AI88" s="1600"/>
      <c r="AJ88" s="1599"/>
      <c r="AK88" s="1601"/>
      <c r="AL88" s="320"/>
      <c r="AM88" s="1177"/>
      <c r="AN88" s="966" cm="1">
        <f t="array" ref="AN88">K88</f>
        <v>2031</v>
      </c>
      <c r="AO88" s="966" t="s">
        <v>2074</v>
      </c>
      <c r="AP88" s="976" cm="1">
        <f t="array" ref="AP88">AP87</f>
        <v>0</v>
      </c>
      <c r="AQ88" s="620"/>
      <c r="AR88" s="620"/>
    </row>
    <row r="89" spans="1:44" s="1608" customFormat="1" ht="14.25" hidden="1" customHeight="1">
      <c r="A89" s="1177"/>
      <c r="B89" s="362" t="b">
        <f t="shared" si="4"/>
        <v>0</v>
      </c>
      <c r="C89" s="1177"/>
      <c r="D89" s="1177"/>
      <c r="E89" s="620">
        <v>15</v>
      </c>
      <c r="F89" s="3" t="str" cm="1">
        <f t="array" aca="1" ref="F89" ca="1">OFFSET(E89,-1,1)</f>
        <v>1</v>
      </c>
      <c r="G89" s="17" cm="1">
        <f t="array" ref="G89">G88</f>
        <v>0</v>
      </c>
      <c r="H89" s="1177"/>
      <c r="I89" s="1177"/>
      <c r="J89" s="1177"/>
      <c r="K89" s="77">
        <f>first_year+6</f>
        <v>2032</v>
      </c>
      <c r="L89" s="1177"/>
      <c r="M89" s="1177"/>
      <c r="N89" s="1177"/>
      <c r="O89" s="1177"/>
      <c r="P89" s="1177"/>
      <c r="Q89" s="1177"/>
      <c r="R89" s="1177"/>
      <c r="S89" s="1177"/>
      <c r="T89" s="381" t="b" cm="1">
        <f t="array" aca="1" ref="T89" ca="1">T88</f>
        <v>0</v>
      </c>
      <c r="U89" s="1177"/>
      <c r="V89" s="1177"/>
      <c r="W89" s="1177"/>
      <c r="X89" s="1755"/>
      <c r="Y89" s="1755"/>
      <c r="Z89" s="1735"/>
      <c r="AA89" s="1848"/>
      <c r="AB89" s="172" t="str">
        <f t="shared" si="5"/>
        <v>2032 год</v>
      </c>
      <c r="AC89" s="324"/>
      <c r="AD89" s="1600"/>
      <c r="AE89" s="1599"/>
      <c r="AF89" s="1599"/>
      <c r="AG89" s="1600"/>
      <c r="AH89" s="1599"/>
      <c r="AI89" s="1600"/>
      <c r="AJ89" s="1599"/>
      <c r="AK89" s="1601"/>
      <c r="AL89" s="320"/>
      <c r="AM89" s="1177"/>
      <c r="AN89" s="966" cm="1">
        <f t="array" ref="AN89">K89</f>
        <v>2032</v>
      </c>
      <c r="AO89" s="966" t="s">
        <v>2074</v>
      </c>
      <c r="AP89" s="976" cm="1">
        <f t="array" ref="AP89">AP88</f>
        <v>0</v>
      </c>
      <c r="AQ89" s="620"/>
      <c r="AR89" s="620"/>
    </row>
    <row r="90" spans="1:44" s="1609" customFormat="1" ht="14.25" hidden="1" customHeight="1">
      <c r="A90" s="1177"/>
      <c r="B90" s="362" t="b">
        <f t="shared" si="4"/>
        <v>0</v>
      </c>
      <c r="C90" s="1177"/>
      <c r="D90" s="1177"/>
      <c r="E90" s="620">
        <v>15</v>
      </c>
      <c r="F90" s="3" t="str" cm="1">
        <f t="array" aca="1" ref="F90" ca="1">OFFSET(E90,-1,1)</f>
        <v>1</v>
      </c>
      <c r="G90" s="17" cm="1">
        <f t="array" ref="G90">G89</f>
        <v>0</v>
      </c>
      <c r="H90" s="1177"/>
      <c r="I90" s="1177"/>
      <c r="J90" s="1177"/>
      <c r="K90" s="77">
        <f>first_year+7</f>
        <v>2033</v>
      </c>
      <c r="L90" s="1177"/>
      <c r="M90" s="1177"/>
      <c r="N90" s="1177"/>
      <c r="O90" s="1177"/>
      <c r="P90" s="1177"/>
      <c r="Q90" s="1177"/>
      <c r="R90" s="1177"/>
      <c r="S90" s="1177"/>
      <c r="T90" s="381" t="b" cm="1">
        <f t="array" aca="1" ref="T90" ca="1">T89</f>
        <v>0</v>
      </c>
      <c r="U90" s="1177"/>
      <c r="V90" s="1177"/>
      <c r="W90" s="1177"/>
      <c r="X90" s="1755"/>
      <c r="Y90" s="1755"/>
      <c r="Z90" s="1735"/>
      <c r="AA90" s="1848"/>
      <c r="AB90" s="172" t="str">
        <f t="shared" si="5"/>
        <v>2033 год</v>
      </c>
      <c r="AC90" s="324"/>
      <c r="AD90" s="1600"/>
      <c r="AE90" s="1599"/>
      <c r="AF90" s="1599"/>
      <c r="AG90" s="1600"/>
      <c r="AH90" s="1599"/>
      <c r="AI90" s="1600"/>
      <c r="AJ90" s="1599"/>
      <c r="AK90" s="1601"/>
      <c r="AL90" s="320"/>
      <c r="AM90" s="1177"/>
      <c r="AN90" s="966" cm="1">
        <f t="array" ref="AN90">K90</f>
        <v>2033</v>
      </c>
      <c r="AO90" s="966" t="s">
        <v>2074</v>
      </c>
      <c r="AP90" s="976" cm="1">
        <f t="array" ref="AP90">AP89</f>
        <v>0</v>
      </c>
      <c r="AQ90" s="620"/>
      <c r="AR90" s="620"/>
    </row>
    <row r="91" spans="1:44" s="1610" customFormat="1" ht="14.25" hidden="1" customHeight="1">
      <c r="A91" s="1177"/>
      <c r="B91" s="362" t="b">
        <f t="shared" si="4"/>
        <v>0</v>
      </c>
      <c r="C91" s="1177"/>
      <c r="D91" s="1177"/>
      <c r="E91" s="620">
        <v>15</v>
      </c>
      <c r="F91" s="3" t="str" cm="1">
        <f t="array" aca="1" ref="F91" ca="1">OFFSET(E91,-1,1)</f>
        <v>1</v>
      </c>
      <c r="G91" s="17" cm="1">
        <f t="array" ref="G91">G90</f>
        <v>0</v>
      </c>
      <c r="H91" s="1177"/>
      <c r="I91" s="1177"/>
      <c r="J91" s="1177"/>
      <c r="K91" s="77">
        <f>first_year+8</f>
        <v>2034</v>
      </c>
      <c r="L91" s="1177"/>
      <c r="M91" s="1177"/>
      <c r="N91" s="1177"/>
      <c r="O91" s="1177"/>
      <c r="P91" s="1177"/>
      <c r="Q91" s="1177"/>
      <c r="R91" s="1177"/>
      <c r="S91" s="1177"/>
      <c r="T91" s="381" t="b" cm="1">
        <f t="array" aca="1" ref="T91" ca="1">T90</f>
        <v>0</v>
      </c>
      <c r="U91" s="1177"/>
      <c r="V91" s="1177"/>
      <c r="W91" s="1177"/>
      <c r="X91" s="1755"/>
      <c r="Y91" s="1755"/>
      <c r="Z91" s="1735"/>
      <c r="AA91" s="1848"/>
      <c r="AB91" s="172" t="str">
        <f t="shared" si="5"/>
        <v>2034 год</v>
      </c>
      <c r="AC91" s="324"/>
      <c r="AD91" s="1600"/>
      <c r="AE91" s="1599"/>
      <c r="AF91" s="1599"/>
      <c r="AG91" s="1600"/>
      <c r="AH91" s="1599"/>
      <c r="AI91" s="1600"/>
      <c r="AJ91" s="1599"/>
      <c r="AK91" s="1601"/>
      <c r="AL91" s="320"/>
      <c r="AM91" s="1177"/>
      <c r="AN91" s="966" cm="1">
        <f t="array" ref="AN91">K91</f>
        <v>2034</v>
      </c>
      <c r="AO91" s="966" t="s">
        <v>2074</v>
      </c>
      <c r="AP91" s="976" cm="1">
        <f t="array" ref="AP91">AP90</f>
        <v>0</v>
      </c>
      <c r="AQ91" s="620"/>
      <c r="AR91" s="620"/>
    </row>
    <row r="92" spans="1:44" s="1611" customFormat="1" ht="14.25" hidden="1" customHeight="1">
      <c r="A92" s="1177"/>
      <c r="B92" s="362" t="b">
        <f t="shared" si="4"/>
        <v>0</v>
      </c>
      <c r="C92" s="1177"/>
      <c r="D92" s="1177"/>
      <c r="E92" s="620">
        <v>15</v>
      </c>
      <c r="F92" s="3" t="str" cm="1">
        <f t="array" aca="1" ref="F92" ca="1">OFFSET(E92,-1,1)</f>
        <v>1</v>
      </c>
      <c r="G92" s="17" cm="1">
        <f t="array" ref="G92">G91</f>
        <v>0</v>
      </c>
      <c r="H92" s="1177"/>
      <c r="I92" s="1177"/>
      <c r="J92" s="1177"/>
      <c r="K92" s="77">
        <f>first_year+9</f>
        <v>2035</v>
      </c>
      <c r="L92" s="1177"/>
      <c r="M92" s="1177"/>
      <c r="N92" s="1177"/>
      <c r="O92" s="1177"/>
      <c r="P92" s="1177"/>
      <c r="Q92" s="1177"/>
      <c r="R92" s="1177"/>
      <c r="S92" s="1177"/>
      <c r="T92" s="381" t="b" cm="1">
        <f t="array" aca="1" ref="T92" ca="1">T91</f>
        <v>0</v>
      </c>
      <c r="U92" s="1177"/>
      <c r="V92" s="1177"/>
      <c r="W92" s="1177"/>
      <c r="X92" s="1755"/>
      <c r="Y92" s="1755"/>
      <c r="Z92" s="1735"/>
      <c r="AA92" s="1848"/>
      <c r="AB92" s="172" t="str">
        <f t="shared" si="5"/>
        <v>2035 год</v>
      </c>
      <c r="AC92" s="324"/>
      <c r="AD92" s="1600"/>
      <c r="AE92" s="1599"/>
      <c r="AF92" s="1599"/>
      <c r="AG92" s="1600"/>
      <c r="AH92" s="1599"/>
      <c r="AI92" s="1600"/>
      <c r="AJ92" s="1599"/>
      <c r="AK92" s="1601"/>
      <c r="AL92" s="320"/>
      <c r="AM92" s="1177"/>
      <c r="AN92" s="966" cm="1">
        <f t="array" ref="AN92">K92</f>
        <v>2035</v>
      </c>
      <c r="AO92" s="966" t="s">
        <v>2074</v>
      </c>
      <c r="AP92" s="976" cm="1">
        <f t="array" ref="AP92">AP91</f>
        <v>0</v>
      </c>
      <c r="AQ92" s="620"/>
      <c r="AR92" s="620"/>
    </row>
    <row r="93" spans="1:44" s="1612" customFormat="1" ht="14.25" hidden="1" customHeight="1">
      <c r="A93" s="1177"/>
      <c r="B93" s="362" t="b">
        <f t="shared" si="4"/>
        <v>0</v>
      </c>
      <c r="C93" s="1177"/>
      <c r="D93" s="1177"/>
      <c r="E93" s="620">
        <v>15</v>
      </c>
      <c r="F93" s="3" t="str" cm="1">
        <f t="array" aca="1" ref="F93" ca="1">OFFSET(E93,-1,1)</f>
        <v>1</v>
      </c>
      <c r="G93" s="17" cm="1">
        <f t="array" ref="G93">G92</f>
        <v>0</v>
      </c>
      <c r="H93" s="1177"/>
      <c r="I93" s="1177"/>
      <c r="J93" s="1177"/>
      <c r="K93" s="77">
        <f>first_year+10</f>
        <v>2036</v>
      </c>
      <c r="L93" s="1177"/>
      <c r="M93" s="1177"/>
      <c r="N93" s="1177"/>
      <c r="O93" s="1177"/>
      <c r="P93" s="1177"/>
      <c r="Q93" s="1177"/>
      <c r="R93" s="1177"/>
      <c r="S93" s="1177"/>
      <c r="T93" s="381" t="b" cm="1">
        <f t="array" aca="1" ref="T93" ca="1">T92</f>
        <v>0</v>
      </c>
      <c r="U93" s="1177"/>
      <c r="V93" s="1177"/>
      <c r="W93" s="1177"/>
      <c r="X93" s="1755"/>
      <c r="Y93" s="1755"/>
      <c r="Z93" s="1735"/>
      <c r="AA93" s="1848"/>
      <c r="AB93" s="172" t="str">
        <f t="shared" si="5"/>
        <v>2036 год</v>
      </c>
      <c r="AC93" s="324"/>
      <c r="AD93" s="1600"/>
      <c r="AE93" s="1599"/>
      <c r="AF93" s="1599"/>
      <c r="AG93" s="1600"/>
      <c r="AH93" s="1599"/>
      <c r="AI93" s="1600"/>
      <c r="AJ93" s="1599"/>
      <c r="AK93" s="1601"/>
      <c r="AL93" s="320"/>
      <c r="AM93" s="1177"/>
      <c r="AN93" s="966" cm="1">
        <f t="array" ref="AN93">K93</f>
        <v>2036</v>
      </c>
      <c r="AO93" s="966" t="s">
        <v>2074</v>
      </c>
      <c r="AP93" s="976" cm="1">
        <f t="array" ref="AP93">AP92</f>
        <v>0</v>
      </c>
      <c r="AQ93" s="620"/>
      <c r="AR93" s="620"/>
    </row>
    <row r="94" spans="1:44" s="1613" customFormat="1" ht="14.25" hidden="1" customHeight="1">
      <c r="A94" s="1177"/>
      <c r="B94" s="362" t="b">
        <f t="shared" si="4"/>
        <v>0</v>
      </c>
      <c r="C94" s="1177"/>
      <c r="D94" s="1177"/>
      <c r="E94" s="620">
        <v>15</v>
      </c>
      <c r="F94" s="3" t="str" cm="1">
        <f t="array" aca="1" ref="F94" ca="1">OFFSET(E94,-1,1)</f>
        <v>1</v>
      </c>
      <c r="G94" s="17" cm="1">
        <f t="array" ref="G94">G93</f>
        <v>0</v>
      </c>
      <c r="H94" s="1177"/>
      <c r="I94" s="1177"/>
      <c r="J94" s="1177"/>
      <c r="K94" s="77">
        <f>first_year+11</f>
        <v>2037</v>
      </c>
      <c r="L94" s="1177"/>
      <c r="M94" s="1177"/>
      <c r="N94" s="1177"/>
      <c r="O94" s="1177"/>
      <c r="P94" s="1177"/>
      <c r="Q94" s="1177"/>
      <c r="R94" s="1177"/>
      <c r="S94" s="1177"/>
      <c r="T94" s="381" t="b" cm="1">
        <f t="array" aca="1" ref="T94" ca="1">T93</f>
        <v>0</v>
      </c>
      <c r="U94" s="1177"/>
      <c r="V94" s="1177"/>
      <c r="W94" s="1177"/>
      <c r="X94" s="1755"/>
      <c r="Y94" s="1755"/>
      <c r="Z94" s="1735"/>
      <c r="AA94" s="1848"/>
      <c r="AB94" s="172" t="str">
        <f t="shared" si="5"/>
        <v>2037 год</v>
      </c>
      <c r="AC94" s="324"/>
      <c r="AD94" s="1600"/>
      <c r="AE94" s="1599"/>
      <c r="AF94" s="1599"/>
      <c r="AG94" s="1600"/>
      <c r="AH94" s="1599"/>
      <c r="AI94" s="1600"/>
      <c r="AJ94" s="1599"/>
      <c r="AK94" s="1601"/>
      <c r="AL94" s="320"/>
      <c r="AM94" s="1177"/>
      <c r="AN94" s="966" cm="1">
        <f t="array" ref="AN94">K94</f>
        <v>2037</v>
      </c>
      <c r="AO94" s="966" t="s">
        <v>2074</v>
      </c>
      <c r="AP94" s="976" cm="1">
        <f t="array" ref="AP94">AP93</f>
        <v>0</v>
      </c>
      <c r="AQ94" s="620"/>
      <c r="AR94" s="620"/>
    </row>
    <row r="95" spans="1:44" s="1614" customFormat="1" ht="14.25" hidden="1" customHeight="1">
      <c r="A95" s="1177"/>
      <c r="B95" s="362" t="b">
        <f t="shared" si="4"/>
        <v>0</v>
      </c>
      <c r="C95" s="1177"/>
      <c r="D95" s="1177"/>
      <c r="E95" s="620">
        <v>15</v>
      </c>
      <c r="F95" s="3" t="str" cm="1">
        <f t="array" aca="1" ref="F95" ca="1">OFFSET(E95,-1,1)</f>
        <v>1</v>
      </c>
      <c r="G95" s="17" cm="1">
        <f t="array" ref="G95">G94</f>
        <v>0</v>
      </c>
      <c r="H95" s="1177"/>
      <c r="I95" s="1177"/>
      <c r="J95" s="1177"/>
      <c r="K95" s="77">
        <f>first_year+12</f>
        <v>2038</v>
      </c>
      <c r="L95" s="1177"/>
      <c r="M95" s="1177"/>
      <c r="N95" s="1177"/>
      <c r="O95" s="1177"/>
      <c r="P95" s="1177"/>
      <c r="Q95" s="1177"/>
      <c r="R95" s="1177"/>
      <c r="S95" s="1177"/>
      <c r="T95" s="381" t="b" cm="1">
        <f t="array" aca="1" ref="T95" ca="1">T94</f>
        <v>0</v>
      </c>
      <c r="U95" s="1177"/>
      <c r="V95" s="1177"/>
      <c r="W95" s="1177"/>
      <c r="X95" s="1755"/>
      <c r="Y95" s="1755"/>
      <c r="Z95" s="1735"/>
      <c r="AA95" s="1848"/>
      <c r="AB95" s="172" t="str">
        <f t="shared" si="5"/>
        <v>2038 год</v>
      </c>
      <c r="AC95" s="324"/>
      <c r="AD95" s="1600"/>
      <c r="AE95" s="1599"/>
      <c r="AF95" s="1599"/>
      <c r="AG95" s="1600"/>
      <c r="AH95" s="1599"/>
      <c r="AI95" s="1600"/>
      <c r="AJ95" s="1599"/>
      <c r="AK95" s="1601"/>
      <c r="AL95" s="320"/>
      <c r="AM95" s="1177"/>
      <c r="AN95" s="966" cm="1">
        <f t="array" ref="AN95">K95</f>
        <v>2038</v>
      </c>
      <c r="AO95" s="966" t="s">
        <v>2074</v>
      </c>
      <c r="AP95" s="976" cm="1">
        <f t="array" ref="AP95">AP94</f>
        <v>0</v>
      </c>
      <c r="AQ95" s="620"/>
      <c r="AR95" s="620"/>
    </row>
    <row r="96" spans="1:44" s="1615" customFormat="1" ht="14.25" hidden="1" customHeight="1">
      <c r="A96" s="1177"/>
      <c r="B96" s="362" t="b">
        <f t="shared" si="4"/>
        <v>0</v>
      </c>
      <c r="C96" s="1177"/>
      <c r="D96" s="1177"/>
      <c r="E96" s="620">
        <v>15</v>
      </c>
      <c r="F96" s="3" t="str" cm="1">
        <f t="array" aca="1" ref="F96" ca="1">OFFSET(E96,-1,1)</f>
        <v>1</v>
      </c>
      <c r="G96" s="17" cm="1">
        <f t="array" ref="G96">G95</f>
        <v>0</v>
      </c>
      <c r="H96" s="1177"/>
      <c r="I96" s="1177"/>
      <c r="J96" s="1177"/>
      <c r="K96" s="77">
        <f>first_year+13</f>
        <v>2039</v>
      </c>
      <c r="L96" s="1177"/>
      <c r="M96" s="1177"/>
      <c r="N96" s="1177"/>
      <c r="O96" s="1177"/>
      <c r="P96" s="1177"/>
      <c r="Q96" s="1177"/>
      <c r="R96" s="1177"/>
      <c r="S96" s="1177"/>
      <c r="T96" s="381" t="b" cm="1">
        <f t="array" aca="1" ref="T96" ca="1">T95</f>
        <v>0</v>
      </c>
      <c r="U96" s="1177"/>
      <c r="V96" s="1177"/>
      <c r="W96" s="1177"/>
      <c r="X96" s="1755"/>
      <c r="Y96" s="1755"/>
      <c r="Z96" s="1735"/>
      <c r="AA96" s="1848"/>
      <c r="AB96" s="172" t="str">
        <f t="shared" si="5"/>
        <v>2039 год</v>
      </c>
      <c r="AC96" s="324"/>
      <c r="AD96" s="1600"/>
      <c r="AE96" s="1599"/>
      <c r="AF96" s="1599"/>
      <c r="AG96" s="1600"/>
      <c r="AH96" s="1599"/>
      <c r="AI96" s="1600"/>
      <c r="AJ96" s="1599"/>
      <c r="AK96" s="1601"/>
      <c r="AL96" s="320"/>
      <c r="AM96" s="1177"/>
      <c r="AN96" s="966" cm="1">
        <f t="array" ref="AN96">K96</f>
        <v>2039</v>
      </c>
      <c r="AO96" s="966" t="s">
        <v>2074</v>
      </c>
      <c r="AP96" s="976" cm="1">
        <f t="array" ref="AP96">AP95</f>
        <v>0</v>
      </c>
      <c r="AQ96" s="620"/>
      <c r="AR96" s="620"/>
    </row>
    <row r="97" spans="1:44" s="1616" customFormat="1" ht="14.25" hidden="1" customHeight="1">
      <c r="A97" s="1177"/>
      <c r="B97" s="362" t="b">
        <f t="shared" si="4"/>
        <v>0</v>
      </c>
      <c r="C97" s="1177"/>
      <c r="D97" s="1177"/>
      <c r="E97" s="620">
        <v>15</v>
      </c>
      <c r="F97" s="3" t="str" cm="1">
        <f t="array" aca="1" ref="F97" ca="1">OFFSET(E97,-1,1)</f>
        <v>1</v>
      </c>
      <c r="G97" s="17" cm="1">
        <f t="array" ref="G97">G96</f>
        <v>0</v>
      </c>
      <c r="H97" s="1177"/>
      <c r="I97" s="1177"/>
      <c r="J97" s="1177"/>
      <c r="K97" s="77">
        <f>first_year+14</f>
        <v>2040</v>
      </c>
      <c r="L97" s="1177"/>
      <c r="M97" s="1177"/>
      <c r="N97" s="1177"/>
      <c r="O97" s="1177"/>
      <c r="P97" s="1177"/>
      <c r="Q97" s="1177"/>
      <c r="R97" s="1177"/>
      <c r="S97" s="1177"/>
      <c r="T97" s="381" t="b" cm="1">
        <f t="array" aca="1" ref="T97" ca="1">T96</f>
        <v>0</v>
      </c>
      <c r="U97" s="1177"/>
      <c r="V97" s="1177"/>
      <c r="W97" s="1177"/>
      <c r="X97" s="1755"/>
      <c r="Y97" s="1755"/>
      <c r="Z97" s="1735"/>
      <c r="AA97" s="1848"/>
      <c r="AB97" s="172" t="str">
        <f t="shared" si="5"/>
        <v>2040 год</v>
      </c>
      <c r="AC97" s="324"/>
      <c r="AD97" s="1600"/>
      <c r="AE97" s="1599"/>
      <c r="AF97" s="1599"/>
      <c r="AG97" s="1600"/>
      <c r="AH97" s="1599"/>
      <c r="AI97" s="1600"/>
      <c r="AJ97" s="1599"/>
      <c r="AK97" s="1601"/>
      <c r="AL97" s="320"/>
      <c r="AM97" s="1177"/>
      <c r="AN97" s="966" cm="1">
        <f t="array" ref="AN97">K97</f>
        <v>2040</v>
      </c>
      <c r="AO97" s="966" t="s">
        <v>2074</v>
      </c>
      <c r="AP97" s="976" cm="1">
        <f t="array" ref="AP97">AP96</f>
        <v>0</v>
      </c>
      <c r="AQ97" s="620"/>
      <c r="AR97" s="620"/>
    </row>
    <row r="98" spans="1:44" s="1617" customFormat="1" ht="14.25" hidden="1" customHeight="1">
      <c r="A98" s="1177"/>
      <c r="B98" s="362" t="b">
        <f t="shared" si="4"/>
        <v>0</v>
      </c>
      <c r="C98" s="1177"/>
      <c r="D98" s="1177"/>
      <c r="E98" s="620">
        <v>15</v>
      </c>
      <c r="F98" s="3" t="str" cm="1">
        <f t="array" aca="1" ref="F98" ca="1">OFFSET(E98,-1,1)</f>
        <v>1</v>
      </c>
      <c r="G98" s="17" cm="1">
        <f t="array" ref="G98">G97</f>
        <v>0</v>
      </c>
      <c r="H98" s="1177"/>
      <c r="I98" s="1177"/>
      <c r="J98" s="1177"/>
      <c r="K98" s="77">
        <f>first_year+15</f>
        <v>2041</v>
      </c>
      <c r="L98" s="1177"/>
      <c r="M98" s="1177"/>
      <c r="N98" s="1177"/>
      <c r="O98" s="1177"/>
      <c r="P98" s="1177"/>
      <c r="Q98" s="1177"/>
      <c r="R98" s="1177"/>
      <c r="S98" s="1177"/>
      <c r="T98" s="381" t="b" cm="1">
        <f t="array" aca="1" ref="T98" ca="1">T97</f>
        <v>0</v>
      </c>
      <c r="U98" s="1177"/>
      <c r="V98" s="1177"/>
      <c r="W98" s="1177"/>
      <c r="X98" s="1755"/>
      <c r="Y98" s="1755"/>
      <c r="Z98" s="1735"/>
      <c r="AA98" s="1848"/>
      <c r="AB98" s="172" t="str">
        <f t="shared" si="5"/>
        <v>2041 год</v>
      </c>
      <c r="AC98" s="324"/>
      <c r="AD98" s="1600"/>
      <c r="AE98" s="1599"/>
      <c r="AF98" s="1599"/>
      <c r="AG98" s="1600"/>
      <c r="AH98" s="1599"/>
      <c r="AI98" s="1600"/>
      <c r="AJ98" s="1599"/>
      <c r="AK98" s="1601"/>
      <c r="AL98" s="320"/>
      <c r="AM98" s="1177"/>
      <c r="AN98" s="966" cm="1">
        <f t="array" ref="AN98">K98</f>
        <v>2041</v>
      </c>
      <c r="AO98" s="966" t="s">
        <v>2074</v>
      </c>
      <c r="AP98" s="976" cm="1">
        <f t="array" ref="AP98">AP97</f>
        <v>0</v>
      </c>
      <c r="AQ98" s="620"/>
      <c r="AR98" s="620"/>
    </row>
    <row r="99" spans="1:44" s="1618" customFormat="1" ht="14.25" hidden="1" customHeight="1">
      <c r="A99" s="1177"/>
      <c r="B99" s="362" t="b">
        <f t="shared" si="4"/>
        <v>0</v>
      </c>
      <c r="C99" s="1177"/>
      <c r="D99" s="1177"/>
      <c r="E99" s="620">
        <v>15</v>
      </c>
      <c r="F99" s="3" t="str" cm="1">
        <f t="array" aca="1" ref="F99" ca="1">OFFSET(E99,-1,1)</f>
        <v>1</v>
      </c>
      <c r="G99" s="17" cm="1">
        <f t="array" ref="G99">G98</f>
        <v>0</v>
      </c>
      <c r="H99" s="1177"/>
      <c r="I99" s="1177"/>
      <c r="J99" s="1177"/>
      <c r="K99" s="77">
        <f>first_year+16</f>
        <v>2042</v>
      </c>
      <c r="L99" s="1177"/>
      <c r="M99" s="1177"/>
      <c r="N99" s="1177"/>
      <c r="O99" s="1177"/>
      <c r="P99" s="1177"/>
      <c r="Q99" s="1177"/>
      <c r="R99" s="1177"/>
      <c r="S99" s="1177"/>
      <c r="T99" s="381" t="b" cm="1">
        <f t="array" aca="1" ref="T99" ca="1">T98</f>
        <v>0</v>
      </c>
      <c r="U99" s="1177"/>
      <c r="V99" s="1177"/>
      <c r="W99" s="1177"/>
      <c r="X99" s="1755"/>
      <c r="Y99" s="1755"/>
      <c r="Z99" s="1735"/>
      <c r="AA99" s="1848"/>
      <c r="AB99" s="172" t="str">
        <f t="shared" si="5"/>
        <v>2042 год</v>
      </c>
      <c r="AC99" s="324"/>
      <c r="AD99" s="1600"/>
      <c r="AE99" s="1599"/>
      <c r="AF99" s="1599"/>
      <c r="AG99" s="1600"/>
      <c r="AH99" s="1599"/>
      <c r="AI99" s="1600"/>
      <c r="AJ99" s="1599"/>
      <c r="AK99" s="1601"/>
      <c r="AL99" s="320"/>
      <c r="AM99" s="1177"/>
      <c r="AN99" s="966" cm="1">
        <f t="array" ref="AN99">K99</f>
        <v>2042</v>
      </c>
      <c r="AO99" s="966" t="s">
        <v>2074</v>
      </c>
      <c r="AP99" s="976" cm="1">
        <f t="array" ref="AP99">AP98</f>
        <v>0</v>
      </c>
      <c r="AQ99" s="620"/>
      <c r="AR99" s="620"/>
    </row>
    <row r="100" spans="1:44" s="1619" customFormat="1" ht="14.25" hidden="1" customHeight="1">
      <c r="A100" s="1177"/>
      <c r="B100" s="362" t="b">
        <f t="shared" si="4"/>
        <v>0</v>
      </c>
      <c r="C100" s="1177"/>
      <c r="D100" s="1177"/>
      <c r="E100" s="620">
        <v>15</v>
      </c>
      <c r="F100" s="3" t="str" cm="1">
        <f t="array" aca="1" ref="F100" ca="1">OFFSET(E100,-1,1)</f>
        <v>1</v>
      </c>
      <c r="G100" s="17" cm="1">
        <f t="array" ref="G100">G99</f>
        <v>0</v>
      </c>
      <c r="H100" s="1177"/>
      <c r="I100" s="1177"/>
      <c r="J100" s="1177"/>
      <c r="K100" s="77">
        <f>first_year+17</f>
        <v>2043</v>
      </c>
      <c r="L100" s="1177"/>
      <c r="M100" s="1177"/>
      <c r="N100" s="1177"/>
      <c r="O100" s="1177"/>
      <c r="P100" s="1177"/>
      <c r="Q100" s="1177"/>
      <c r="R100" s="1177"/>
      <c r="S100" s="1177"/>
      <c r="T100" s="381" t="b" cm="1">
        <f t="array" aca="1" ref="T100" ca="1">T99</f>
        <v>0</v>
      </c>
      <c r="U100" s="1177"/>
      <c r="V100" s="1177"/>
      <c r="W100" s="1177"/>
      <c r="X100" s="1755"/>
      <c r="Y100" s="1755"/>
      <c r="Z100" s="1735"/>
      <c r="AA100" s="1848"/>
      <c r="AB100" s="172" t="str">
        <f t="shared" si="5"/>
        <v>2043 год</v>
      </c>
      <c r="AC100" s="324"/>
      <c r="AD100" s="1600"/>
      <c r="AE100" s="1599"/>
      <c r="AF100" s="1599"/>
      <c r="AG100" s="1600"/>
      <c r="AH100" s="1599"/>
      <c r="AI100" s="1600"/>
      <c r="AJ100" s="1599"/>
      <c r="AK100" s="1601"/>
      <c r="AL100" s="320"/>
      <c r="AM100" s="1177"/>
      <c r="AN100" s="966" cm="1">
        <f t="array" ref="AN100">K100</f>
        <v>2043</v>
      </c>
      <c r="AO100" s="966" t="s">
        <v>2074</v>
      </c>
      <c r="AP100" s="976" cm="1">
        <f t="array" ref="AP100">AP99</f>
        <v>0</v>
      </c>
      <c r="AQ100" s="620"/>
      <c r="AR100" s="620"/>
    </row>
    <row r="101" spans="1:44" s="1620" customFormat="1" ht="14.25" hidden="1" customHeight="1">
      <c r="A101" s="1177"/>
      <c r="B101" s="362" t="b">
        <f t="shared" si="4"/>
        <v>0</v>
      </c>
      <c r="C101" s="1177"/>
      <c r="D101" s="1177"/>
      <c r="E101" s="620">
        <v>15</v>
      </c>
      <c r="F101" s="3" t="str" cm="1">
        <f t="array" aca="1" ref="F101" ca="1">OFFSET(E101,-1,1)</f>
        <v>1</v>
      </c>
      <c r="G101" s="17" cm="1">
        <f t="array" ref="G101">G100</f>
        <v>0</v>
      </c>
      <c r="H101" s="1177"/>
      <c r="I101" s="1177"/>
      <c r="J101" s="1177"/>
      <c r="K101" s="77">
        <f>first_year+18</f>
        <v>2044</v>
      </c>
      <c r="L101" s="1177"/>
      <c r="M101" s="1177"/>
      <c r="N101" s="1177"/>
      <c r="O101" s="1177"/>
      <c r="P101" s="1177"/>
      <c r="Q101" s="1177"/>
      <c r="R101" s="1177"/>
      <c r="S101" s="1177"/>
      <c r="T101" s="381" t="b" cm="1">
        <f t="array" aca="1" ref="T101" ca="1">T100</f>
        <v>0</v>
      </c>
      <c r="U101" s="1177"/>
      <c r="V101" s="1177"/>
      <c r="W101" s="1177"/>
      <c r="X101" s="1755"/>
      <c r="Y101" s="1755"/>
      <c r="Z101" s="1735"/>
      <c r="AA101" s="1848"/>
      <c r="AB101" s="172" t="str">
        <f t="shared" si="5"/>
        <v>2044 год</v>
      </c>
      <c r="AC101" s="324"/>
      <c r="AD101" s="1600"/>
      <c r="AE101" s="1599"/>
      <c r="AF101" s="1599"/>
      <c r="AG101" s="1600"/>
      <c r="AH101" s="1599"/>
      <c r="AI101" s="1600"/>
      <c r="AJ101" s="1599"/>
      <c r="AK101" s="1601"/>
      <c r="AL101" s="320"/>
      <c r="AM101" s="1177"/>
      <c r="AN101" s="966" cm="1">
        <f t="array" ref="AN101">K101</f>
        <v>2044</v>
      </c>
      <c r="AO101" s="966" t="s">
        <v>2074</v>
      </c>
      <c r="AP101" s="976" cm="1">
        <f t="array" ref="AP101">AP100</f>
        <v>0</v>
      </c>
      <c r="AQ101" s="620"/>
      <c r="AR101" s="620"/>
    </row>
    <row r="102" spans="1:44" s="1621" customFormat="1" ht="14.25" hidden="1" customHeight="1">
      <c r="A102" s="1177"/>
      <c r="B102" s="362" t="b">
        <f t="shared" si="4"/>
        <v>0</v>
      </c>
      <c r="C102" s="1177"/>
      <c r="D102" s="1177"/>
      <c r="E102" s="620">
        <v>15</v>
      </c>
      <c r="F102" s="3" t="str" cm="1">
        <f t="array" aca="1" ref="F102" ca="1">OFFSET(E102,-1,1)</f>
        <v>1</v>
      </c>
      <c r="G102" s="17" cm="1">
        <f t="array" ref="G102">G101</f>
        <v>0</v>
      </c>
      <c r="H102" s="1177"/>
      <c r="I102" s="1177"/>
      <c r="J102" s="1177"/>
      <c r="K102" s="77">
        <f>first_year+19</f>
        <v>2045</v>
      </c>
      <c r="L102" s="1177"/>
      <c r="M102" s="1177"/>
      <c r="N102" s="1177"/>
      <c r="O102" s="1177"/>
      <c r="P102" s="1177"/>
      <c r="Q102" s="1177"/>
      <c r="R102" s="1177"/>
      <c r="S102" s="1177"/>
      <c r="T102" s="381" t="b" cm="1">
        <f t="array" aca="1" ref="T102" ca="1">T101</f>
        <v>0</v>
      </c>
      <c r="U102" s="1177"/>
      <c r="V102" s="1177"/>
      <c r="W102" s="1177"/>
      <c r="X102" s="1755"/>
      <c r="Y102" s="1755"/>
      <c r="Z102" s="1735"/>
      <c r="AA102" s="1848"/>
      <c r="AB102" s="172" t="str">
        <f t="shared" si="5"/>
        <v>2045 год</v>
      </c>
      <c r="AC102" s="324"/>
      <c r="AD102" s="1600"/>
      <c r="AE102" s="1599"/>
      <c r="AF102" s="1599"/>
      <c r="AG102" s="1600"/>
      <c r="AH102" s="1599"/>
      <c r="AI102" s="1600"/>
      <c r="AJ102" s="1599"/>
      <c r="AK102" s="1601"/>
      <c r="AL102" s="320"/>
      <c r="AM102" s="1177"/>
      <c r="AN102" s="966" cm="1">
        <f t="array" ref="AN102">K102</f>
        <v>2045</v>
      </c>
      <c r="AO102" s="966" t="s">
        <v>2074</v>
      </c>
      <c r="AP102" s="976" cm="1">
        <f t="array" ref="AP102">AP101</f>
        <v>0</v>
      </c>
      <c r="AQ102" s="620"/>
      <c r="AR102" s="620"/>
    </row>
    <row r="103" spans="1:44" s="1622" customFormat="1" ht="14.25" hidden="1" customHeight="1">
      <c r="A103" s="1177"/>
      <c r="B103" s="362" t="b">
        <f t="shared" si="4"/>
        <v>0</v>
      </c>
      <c r="C103" s="1177"/>
      <c r="D103" s="1177"/>
      <c r="E103" s="620">
        <v>15</v>
      </c>
      <c r="F103" s="3" t="str" cm="1">
        <f t="array" aca="1" ref="F103" ca="1">OFFSET(E103,-1,1)</f>
        <v>1</v>
      </c>
      <c r="G103" s="17" cm="1">
        <f t="array" ref="G103">G102</f>
        <v>0</v>
      </c>
      <c r="H103" s="1177"/>
      <c r="I103" s="1177"/>
      <c r="J103" s="1177"/>
      <c r="K103" s="77">
        <f>first_year+20</f>
        <v>2046</v>
      </c>
      <c r="L103" s="1177"/>
      <c r="M103" s="1177"/>
      <c r="N103" s="1177"/>
      <c r="O103" s="1177"/>
      <c r="P103" s="1177"/>
      <c r="Q103" s="1177"/>
      <c r="R103" s="1177"/>
      <c r="S103" s="1177"/>
      <c r="T103" s="381" t="b" cm="1">
        <f t="array" aca="1" ref="T103" ca="1">T102</f>
        <v>0</v>
      </c>
      <c r="U103" s="1177"/>
      <c r="V103" s="1177"/>
      <c r="W103" s="1177"/>
      <c r="X103" s="1755"/>
      <c r="Y103" s="1755"/>
      <c r="Z103" s="1735"/>
      <c r="AA103" s="1848"/>
      <c r="AB103" s="172" t="str">
        <f t="shared" si="5"/>
        <v>2046 год</v>
      </c>
      <c r="AC103" s="324"/>
      <c r="AD103" s="1600"/>
      <c r="AE103" s="1599"/>
      <c r="AF103" s="1599"/>
      <c r="AG103" s="1600"/>
      <c r="AH103" s="1599"/>
      <c r="AI103" s="1600"/>
      <c r="AJ103" s="1599"/>
      <c r="AK103" s="1601"/>
      <c r="AL103" s="320"/>
      <c r="AM103" s="1177"/>
      <c r="AN103" s="966" cm="1">
        <f t="array" ref="AN103">K103</f>
        <v>2046</v>
      </c>
      <c r="AO103" s="966" t="s">
        <v>2074</v>
      </c>
      <c r="AP103" s="976" cm="1">
        <f t="array" ref="AP103">AP102</f>
        <v>0</v>
      </c>
      <c r="AQ103" s="620"/>
      <c r="AR103" s="620"/>
    </row>
    <row r="104" spans="1:44" s="1623" customFormat="1" ht="14.25" hidden="1" customHeight="1">
      <c r="A104" s="1177"/>
      <c r="B104" s="362" t="b">
        <f t="shared" si="4"/>
        <v>0</v>
      </c>
      <c r="C104" s="1177"/>
      <c r="D104" s="1177"/>
      <c r="E104" s="620">
        <v>15</v>
      </c>
      <c r="F104" s="3" t="str" cm="1">
        <f t="array" aca="1" ref="F104" ca="1">OFFSET(E104,-1,1)</f>
        <v>1</v>
      </c>
      <c r="G104" s="17" cm="1">
        <f t="array" ref="G104">G103</f>
        <v>0</v>
      </c>
      <c r="H104" s="1177"/>
      <c r="I104" s="1177"/>
      <c r="J104" s="1177"/>
      <c r="K104" s="77">
        <f>first_year+21</f>
        <v>2047</v>
      </c>
      <c r="L104" s="1177"/>
      <c r="M104" s="1177"/>
      <c r="N104" s="1177"/>
      <c r="O104" s="1177"/>
      <c r="P104" s="1177"/>
      <c r="Q104" s="1177"/>
      <c r="R104" s="1177"/>
      <c r="S104" s="1177"/>
      <c r="T104" s="381" t="b" cm="1">
        <f t="array" aca="1" ref="T104" ca="1">T103</f>
        <v>0</v>
      </c>
      <c r="U104" s="1177"/>
      <c r="V104" s="1177"/>
      <c r="W104" s="1177"/>
      <c r="X104" s="1755"/>
      <c r="Y104" s="1755"/>
      <c r="Z104" s="1735"/>
      <c r="AA104" s="1848"/>
      <c r="AB104" s="172" t="str">
        <f t="shared" si="5"/>
        <v>2047 год</v>
      </c>
      <c r="AC104" s="324"/>
      <c r="AD104" s="1600"/>
      <c r="AE104" s="1599"/>
      <c r="AF104" s="1599"/>
      <c r="AG104" s="1600"/>
      <c r="AH104" s="1599"/>
      <c r="AI104" s="1600"/>
      <c r="AJ104" s="1599"/>
      <c r="AK104" s="1601"/>
      <c r="AL104" s="320"/>
      <c r="AM104" s="1177"/>
      <c r="AN104" s="966" cm="1">
        <f t="array" ref="AN104">K104</f>
        <v>2047</v>
      </c>
      <c r="AO104" s="966" t="s">
        <v>2074</v>
      </c>
      <c r="AP104" s="976" cm="1">
        <f t="array" ref="AP104">AP103</f>
        <v>0</v>
      </c>
      <c r="AQ104" s="620"/>
      <c r="AR104" s="620"/>
    </row>
    <row r="105" spans="1:44" s="1624" customFormat="1" ht="14.25" hidden="1" customHeight="1">
      <c r="A105" s="1177"/>
      <c r="B105" s="362" t="b">
        <f t="shared" si="4"/>
        <v>0</v>
      </c>
      <c r="C105" s="1177"/>
      <c r="D105" s="1177"/>
      <c r="E105" s="620">
        <v>15</v>
      </c>
      <c r="F105" s="3" t="str" cm="1">
        <f t="array" aca="1" ref="F105" ca="1">OFFSET(E105,-1,1)</f>
        <v>1</v>
      </c>
      <c r="G105" s="17" cm="1">
        <f t="array" ref="G105">G104</f>
        <v>0</v>
      </c>
      <c r="H105" s="1177"/>
      <c r="I105" s="1177"/>
      <c r="J105" s="1177"/>
      <c r="K105" s="77">
        <f>first_year+22</f>
        <v>2048</v>
      </c>
      <c r="L105" s="1177"/>
      <c r="M105" s="1177"/>
      <c r="N105" s="1177"/>
      <c r="O105" s="1177"/>
      <c r="P105" s="1177"/>
      <c r="Q105" s="1177"/>
      <c r="R105" s="1177"/>
      <c r="S105" s="1177"/>
      <c r="T105" s="381" t="b" cm="1">
        <f t="array" aca="1" ref="T105" ca="1">T104</f>
        <v>0</v>
      </c>
      <c r="U105" s="1177"/>
      <c r="V105" s="1177"/>
      <c r="W105" s="1177"/>
      <c r="X105" s="1755"/>
      <c r="Y105" s="1755"/>
      <c r="Z105" s="1735"/>
      <c r="AA105" s="1848"/>
      <c r="AB105" s="172" t="str">
        <f t="shared" si="5"/>
        <v>2048 год</v>
      </c>
      <c r="AC105" s="324"/>
      <c r="AD105" s="1600"/>
      <c r="AE105" s="1599"/>
      <c r="AF105" s="1599"/>
      <c r="AG105" s="1600"/>
      <c r="AH105" s="1599"/>
      <c r="AI105" s="1600"/>
      <c r="AJ105" s="1599"/>
      <c r="AK105" s="1601"/>
      <c r="AL105" s="320"/>
      <c r="AM105" s="1177"/>
      <c r="AN105" s="966" cm="1">
        <f t="array" ref="AN105">K105</f>
        <v>2048</v>
      </c>
      <c r="AO105" s="966" t="s">
        <v>2074</v>
      </c>
      <c r="AP105" s="976" cm="1">
        <f t="array" ref="AP105">AP104</f>
        <v>0</v>
      </c>
      <c r="AQ105" s="620"/>
      <c r="AR105" s="620"/>
    </row>
    <row r="106" spans="1:44" s="1625" customFormat="1" ht="14.25" hidden="1" customHeight="1">
      <c r="A106" s="1177"/>
      <c r="B106" s="362" t="b">
        <f t="shared" si="4"/>
        <v>0</v>
      </c>
      <c r="C106" s="1177"/>
      <c r="D106" s="1177"/>
      <c r="E106" s="620">
        <v>15</v>
      </c>
      <c r="F106" s="3" t="str" cm="1">
        <f t="array" aca="1" ref="F106" ca="1">OFFSET(E106,-1,1)</f>
        <v>1</v>
      </c>
      <c r="G106" s="17" cm="1">
        <f t="array" ref="G106">G105</f>
        <v>0</v>
      </c>
      <c r="H106" s="1177"/>
      <c r="I106" s="1177"/>
      <c r="J106" s="1177"/>
      <c r="K106" s="77">
        <f>first_year+23</f>
        <v>2049</v>
      </c>
      <c r="L106" s="1177"/>
      <c r="M106" s="1177"/>
      <c r="N106" s="1177"/>
      <c r="O106" s="1177"/>
      <c r="P106" s="1177"/>
      <c r="Q106" s="1177"/>
      <c r="R106" s="1177"/>
      <c r="S106" s="1177"/>
      <c r="T106" s="381" t="b" cm="1">
        <f t="array" aca="1" ref="T106" ca="1">T105</f>
        <v>0</v>
      </c>
      <c r="U106" s="1177"/>
      <c r="V106" s="1177"/>
      <c r="W106" s="1177"/>
      <c r="X106" s="1755"/>
      <c r="Y106" s="1755"/>
      <c r="Z106" s="1735"/>
      <c r="AA106" s="1848"/>
      <c r="AB106" s="172" t="str">
        <f t="shared" si="5"/>
        <v>2049 год</v>
      </c>
      <c r="AC106" s="324"/>
      <c r="AD106" s="1600"/>
      <c r="AE106" s="1599"/>
      <c r="AF106" s="1599"/>
      <c r="AG106" s="1600"/>
      <c r="AH106" s="1599"/>
      <c r="AI106" s="1600"/>
      <c r="AJ106" s="1599"/>
      <c r="AK106" s="1601"/>
      <c r="AL106" s="320"/>
      <c r="AM106" s="1177"/>
      <c r="AN106" s="966" cm="1">
        <f t="array" ref="AN106">K106</f>
        <v>2049</v>
      </c>
      <c r="AO106" s="966" t="s">
        <v>2074</v>
      </c>
      <c r="AP106" s="976" cm="1">
        <f t="array" ref="AP106">AP105</f>
        <v>0</v>
      </c>
      <c r="AQ106" s="620"/>
      <c r="AR106" s="620"/>
    </row>
    <row r="107" spans="1:44" s="1626" customFormat="1" ht="14.25" hidden="1" customHeight="1">
      <c r="A107" s="1177"/>
      <c r="B107" s="362" t="b">
        <f t="shared" si="4"/>
        <v>0</v>
      </c>
      <c r="C107" s="1177"/>
      <c r="D107" s="1177"/>
      <c r="E107" s="620">
        <v>15</v>
      </c>
      <c r="F107" s="3" t="str" cm="1">
        <f t="array" aca="1" ref="F107" ca="1">OFFSET(E107,-1,1)</f>
        <v>1</v>
      </c>
      <c r="G107" s="17" cm="1">
        <f t="array" ref="G107">G106</f>
        <v>0</v>
      </c>
      <c r="H107" s="1177"/>
      <c r="I107" s="1177"/>
      <c r="J107" s="1177"/>
      <c r="K107" s="77">
        <f>first_year+24</f>
        <v>2050</v>
      </c>
      <c r="L107" s="1177"/>
      <c r="M107" s="1177"/>
      <c r="N107" s="1177"/>
      <c r="O107" s="1177"/>
      <c r="P107" s="1177"/>
      <c r="Q107" s="1177"/>
      <c r="R107" s="1177"/>
      <c r="S107" s="1177"/>
      <c r="T107" s="381" t="b" cm="1">
        <f t="array" aca="1" ref="T107" ca="1">T106</f>
        <v>0</v>
      </c>
      <c r="U107" s="1177"/>
      <c r="V107" s="1177"/>
      <c r="W107" s="1177"/>
      <c r="X107" s="1755"/>
      <c r="Y107" s="1755"/>
      <c r="Z107" s="1735"/>
      <c r="AA107" s="1848"/>
      <c r="AB107" s="172" t="str">
        <f t="shared" si="5"/>
        <v>2050 год</v>
      </c>
      <c r="AC107" s="324"/>
      <c r="AD107" s="1600"/>
      <c r="AE107" s="1599"/>
      <c r="AF107" s="1599"/>
      <c r="AG107" s="1600"/>
      <c r="AH107" s="1599"/>
      <c r="AI107" s="1600"/>
      <c r="AJ107" s="1599"/>
      <c r="AK107" s="1601"/>
      <c r="AL107" s="320"/>
      <c r="AM107" s="1177"/>
      <c r="AN107" s="966" cm="1">
        <f t="array" ref="AN107">K107</f>
        <v>2050</v>
      </c>
      <c r="AO107" s="966" t="s">
        <v>2074</v>
      </c>
      <c r="AP107" s="976" cm="1">
        <f t="array" ref="AP107">AP106</f>
        <v>0</v>
      </c>
      <c r="AQ107" s="620"/>
      <c r="AR107" s="620"/>
    </row>
    <row r="108" spans="1:44" s="1627" customFormat="1" ht="14.25" hidden="1" customHeight="1">
      <c r="A108" s="1177"/>
      <c r="B108" s="362" t="b">
        <f t="shared" si="4"/>
        <v>0</v>
      </c>
      <c r="C108" s="1177"/>
      <c r="D108" s="1177"/>
      <c r="E108" s="620">
        <v>15</v>
      </c>
      <c r="F108" s="3" t="str" cm="1">
        <f t="array" aca="1" ref="F108" ca="1">OFFSET(E108,-1,1)</f>
        <v>1</v>
      </c>
      <c r="G108" s="17" cm="1">
        <f t="array" ref="G108">G107</f>
        <v>0</v>
      </c>
      <c r="H108" s="1177"/>
      <c r="I108" s="1177"/>
      <c r="J108" s="1177"/>
      <c r="K108" s="77">
        <f>first_year+25</f>
        <v>2051</v>
      </c>
      <c r="L108" s="1177"/>
      <c r="M108" s="1177"/>
      <c r="N108" s="1177"/>
      <c r="O108" s="1177"/>
      <c r="P108" s="1177"/>
      <c r="Q108" s="1177"/>
      <c r="R108" s="1177"/>
      <c r="S108" s="1177"/>
      <c r="T108" s="381" t="b" cm="1">
        <f t="array" aca="1" ref="T108" ca="1">T107</f>
        <v>0</v>
      </c>
      <c r="U108" s="1177"/>
      <c r="V108" s="1177"/>
      <c r="W108" s="1177"/>
      <c r="X108" s="1755"/>
      <c r="Y108" s="1755"/>
      <c r="Z108" s="1735"/>
      <c r="AA108" s="1848"/>
      <c r="AB108" s="172" t="str">
        <f t="shared" si="5"/>
        <v>2051 год</v>
      </c>
      <c r="AC108" s="324"/>
      <c r="AD108" s="1600"/>
      <c r="AE108" s="1599"/>
      <c r="AF108" s="1599"/>
      <c r="AG108" s="1600"/>
      <c r="AH108" s="1599"/>
      <c r="AI108" s="1600"/>
      <c r="AJ108" s="1599"/>
      <c r="AK108" s="1601"/>
      <c r="AL108" s="320"/>
      <c r="AM108" s="1177"/>
      <c r="AN108" s="966" cm="1">
        <f t="array" ref="AN108">K108</f>
        <v>2051</v>
      </c>
      <c r="AO108" s="966" t="s">
        <v>2074</v>
      </c>
      <c r="AP108" s="976" cm="1">
        <f t="array" ref="AP108">AP107</f>
        <v>0</v>
      </c>
      <c r="AQ108" s="620"/>
      <c r="AR108" s="620"/>
    </row>
    <row r="109" spans="1:44" s="1628" customFormat="1" ht="14.25" hidden="1" customHeight="1">
      <c r="A109" s="1177"/>
      <c r="B109" s="362" t="b">
        <f t="shared" si="4"/>
        <v>0</v>
      </c>
      <c r="C109" s="1177"/>
      <c r="D109" s="1177"/>
      <c r="E109" s="620">
        <v>15</v>
      </c>
      <c r="F109" s="3" t="str" cm="1">
        <f t="array" aca="1" ref="F109" ca="1">OFFSET(E109,-1,1)</f>
        <v>1</v>
      </c>
      <c r="G109" s="17" cm="1">
        <f t="array" ref="G109">G108</f>
        <v>0</v>
      </c>
      <c r="H109" s="1177"/>
      <c r="I109" s="1177"/>
      <c r="J109" s="1177"/>
      <c r="K109" s="77">
        <f>first_year+26</f>
        <v>2052</v>
      </c>
      <c r="L109" s="1177"/>
      <c r="M109" s="1177"/>
      <c r="N109" s="1177"/>
      <c r="O109" s="1177"/>
      <c r="P109" s="1177"/>
      <c r="Q109" s="1177"/>
      <c r="R109" s="1177"/>
      <c r="S109" s="1177"/>
      <c r="T109" s="381" t="b" cm="1">
        <f t="array" aca="1" ref="T109" ca="1">T108</f>
        <v>0</v>
      </c>
      <c r="U109" s="1177"/>
      <c r="V109" s="1177"/>
      <c r="W109" s="1177"/>
      <c r="X109" s="1755"/>
      <c r="Y109" s="1755"/>
      <c r="Z109" s="1735"/>
      <c r="AA109" s="1848"/>
      <c r="AB109" s="172" t="str">
        <f t="shared" si="5"/>
        <v>2052 год</v>
      </c>
      <c r="AC109" s="324"/>
      <c r="AD109" s="1600"/>
      <c r="AE109" s="1599"/>
      <c r="AF109" s="1599"/>
      <c r="AG109" s="1600"/>
      <c r="AH109" s="1599"/>
      <c r="AI109" s="1600"/>
      <c r="AJ109" s="1599"/>
      <c r="AK109" s="1601"/>
      <c r="AL109" s="320"/>
      <c r="AM109" s="1177"/>
      <c r="AN109" s="966" cm="1">
        <f t="array" ref="AN109">K109</f>
        <v>2052</v>
      </c>
      <c r="AO109" s="966" t="s">
        <v>2074</v>
      </c>
      <c r="AP109" s="976" cm="1">
        <f t="array" ref="AP109">AP108</f>
        <v>0</v>
      </c>
      <c r="AQ109" s="620"/>
      <c r="AR109" s="620"/>
    </row>
    <row r="110" spans="1:44" s="1629" customFormat="1" ht="14.25" hidden="1" customHeight="1">
      <c r="A110" s="1177"/>
      <c r="B110" s="362" t="b">
        <f t="shared" si="4"/>
        <v>0</v>
      </c>
      <c r="C110" s="1177"/>
      <c r="D110" s="1177"/>
      <c r="E110" s="620">
        <v>15</v>
      </c>
      <c r="F110" s="3" t="str" cm="1">
        <f t="array" aca="1" ref="F110" ca="1">OFFSET(E110,-1,1)</f>
        <v>1</v>
      </c>
      <c r="G110" s="17" cm="1">
        <f t="array" ref="G110">G109</f>
        <v>0</v>
      </c>
      <c r="H110" s="1177"/>
      <c r="I110" s="1177"/>
      <c r="J110" s="1177"/>
      <c r="K110" s="77">
        <f>first_year+27</f>
        <v>2053</v>
      </c>
      <c r="L110" s="1177"/>
      <c r="M110" s="1177"/>
      <c r="N110" s="1177"/>
      <c r="O110" s="1177"/>
      <c r="P110" s="1177"/>
      <c r="Q110" s="1177"/>
      <c r="R110" s="1177"/>
      <c r="S110" s="1177"/>
      <c r="T110" s="381" t="b" cm="1">
        <f t="array" aca="1" ref="T110" ca="1">T109</f>
        <v>0</v>
      </c>
      <c r="U110" s="1177"/>
      <c r="V110" s="1177"/>
      <c r="W110" s="1177"/>
      <c r="X110" s="1755"/>
      <c r="Y110" s="1755"/>
      <c r="Z110" s="1735"/>
      <c r="AA110" s="1848"/>
      <c r="AB110" s="172" t="str">
        <f t="shared" si="5"/>
        <v>2053 год</v>
      </c>
      <c r="AC110" s="324"/>
      <c r="AD110" s="1600"/>
      <c r="AE110" s="1599"/>
      <c r="AF110" s="1599"/>
      <c r="AG110" s="1600"/>
      <c r="AH110" s="1599"/>
      <c r="AI110" s="1600"/>
      <c r="AJ110" s="1599"/>
      <c r="AK110" s="1601"/>
      <c r="AL110" s="320"/>
      <c r="AM110" s="1177"/>
      <c r="AN110" s="966" cm="1">
        <f t="array" ref="AN110">K110</f>
        <v>2053</v>
      </c>
      <c r="AO110" s="966" t="s">
        <v>2074</v>
      </c>
      <c r="AP110" s="976" cm="1">
        <f t="array" ref="AP110">AP109</f>
        <v>0</v>
      </c>
      <c r="AQ110" s="620"/>
      <c r="AR110" s="620"/>
    </row>
    <row r="111" spans="1:44" s="1630" customFormat="1" ht="14.25" hidden="1" customHeight="1">
      <c r="A111" s="1177"/>
      <c r="B111" s="362" t="b">
        <f t="shared" si="4"/>
        <v>0</v>
      </c>
      <c r="C111" s="1177"/>
      <c r="D111" s="1177"/>
      <c r="E111" s="620">
        <v>15</v>
      </c>
      <c r="F111" s="3" t="str" cm="1">
        <f t="array" aca="1" ref="F111" ca="1">OFFSET(E111,-1,1)</f>
        <v>1</v>
      </c>
      <c r="G111" s="17" cm="1">
        <f t="array" ref="G111">G110</f>
        <v>0</v>
      </c>
      <c r="H111" s="1177"/>
      <c r="I111" s="1177"/>
      <c r="J111" s="1177"/>
      <c r="K111" s="77">
        <f>first_year+28</f>
        <v>2054</v>
      </c>
      <c r="L111" s="1177"/>
      <c r="M111" s="1177"/>
      <c r="N111" s="1177"/>
      <c r="O111" s="1177"/>
      <c r="P111" s="1177"/>
      <c r="Q111" s="1177"/>
      <c r="R111" s="1177"/>
      <c r="S111" s="1177"/>
      <c r="T111" s="381" t="b" cm="1">
        <f t="array" aca="1" ref="T111" ca="1">T110</f>
        <v>0</v>
      </c>
      <c r="U111" s="1177"/>
      <c r="V111" s="1177"/>
      <c r="W111" s="1177"/>
      <c r="X111" s="1755"/>
      <c r="Y111" s="1755"/>
      <c r="Z111" s="1735"/>
      <c r="AA111" s="1848"/>
      <c r="AB111" s="172" t="str">
        <f t="shared" si="5"/>
        <v>2054 год</v>
      </c>
      <c r="AC111" s="324"/>
      <c r="AD111" s="1600"/>
      <c r="AE111" s="1599"/>
      <c r="AF111" s="1599"/>
      <c r="AG111" s="1600"/>
      <c r="AH111" s="1599"/>
      <c r="AI111" s="1600"/>
      <c r="AJ111" s="1599"/>
      <c r="AK111" s="1601"/>
      <c r="AL111" s="320"/>
      <c r="AM111" s="1177"/>
      <c r="AN111" s="966" cm="1">
        <f t="array" ref="AN111">K111</f>
        <v>2054</v>
      </c>
      <c r="AO111" s="966" t="s">
        <v>2074</v>
      </c>
      <c r="AP111" s="976" cm="1">
        <f t="array" ref="AP111">AP110</f>
        <v>0</v>
      </c>
      <c r="AQ111" s="620"/>
      <c r="AR111" s="620"/>
    </row>
    <row r="112" spans="1:44" s="1631" customFormat="1" ht="14.25" hidden="1" customHeight="1">
      <c r="A112" s="1177"/>
      <c r="B112" s="362" t="b">
        <f t="shared" si="4"/>
        <v>0</v>
      </c>
      <c r="C112" s="1177"/>
      <c r="D112" s="1177"/>
      <c r="E112" s="620">
        <v>15</v>
      </c>
      <c r="F112" s="3" t="str" cm="1">
        <f t="array" aca="1" ref="F112" ca="1">OFFSET(E112,-1,1)</f>
        <v>1</v>
      </c>
      <c r="G112" s="17" cm="1">
        <f t="array" ref="G112">G111</f>
        <v>0</v>
      </c>
      <c r="H112" s="1177"/>
      <c r="I112" s="1177"/>
      <c r="J112" s="1177"/>
      <c r="K112" s="77">
        <f>first_year+29</f>
        <v>2055</v>
      </c>
      <c r="L112" s="1177"/>
      <c r="M112" s="1177"/>
      <c r="N112" s="1177"/>
      <c r="O112" s="1177"/>
      <c r="P112" s="1177"/>
      <c r="Q112" s="1177"/>
      <c r="R112" s="1177"/>
      <c r="S112" s="1177"/>
      <c r="T112" s="381" t="b" cm="1">
        <f t="array" aca="1" ref="T112" ca="1">T111</f>
        <v>0</v>
      </c>
      <c r="U112" s="1177"/>
      <c r="V112" s="1177"/>
      <c r="W112" s="1177"/>
      <c r="X112" s="1755"/>
      <c r="Y112" s="1755"/>
      <c r="Z112" s="1735"/>
      <c r="AA112" s="1848"/>
      <c r="AB112" s="172" t="str">
        <f t="shared" si="5"/>
        <v>2055 год</v>
      </c>
      <c r="AC112" s="324"/>
      <c r="AD112" s="1600"/>
      <c r="AE112" s="1599"/>
      <c r="AF112" s="1599"/>
      <c r="AG112" s="1600"/>
      <c r="AH112" s="1599"/>
      <c r="AI112" s="1600"/>
      <c r="AJ112" s="1599"/>
      <c r="AK112" s="1601"/>
      <c r="AL112" s="320"/>
      <c r="AM112" s="1177"/>
      <c r="AN112" s="966" cm="1">
        <f t="array" ref="AN112">K112</f>
        <v>2055</v>
      </c>
      <c r="AO112" s="966" t="s">
        <v>2074</v>
      </c>
      <c r="AP112" s="976" cm="1">
        <f t="array" ref="AP112">AP111</f>
        <v>0</v>
      </c>
      <c r="AQ112" s="620"/>
      <c r="AR112" s="620"/>
    </row>
    <row r="113" spans="1:44" s="1632" customFormat="1" ht="14.25" hidden="1" customHeight="1">
      <c r="A113" s="1177"/>
      <c r="B113" s="362" t="b">
        <f t="shared" si="4"/>
        <v>0</v>
      </c>
      <c r="C113" s="1177"/>
      <c r="D113" s="1177"/>
      <c r="E113" s="620">
        <v>15</v>
      </c>
      <c r="F113" s="3" t="str" cm="1">
        <f t="array" aca="1" ref="F113" ca="1">OFFSET(E113,-1,1)</f>
        <v>1</v>
      </c>
      <c r="G113" s="17" cm="1">
        <f t="array" ref="G113">G112</f>
        <v>0</v>
      </c>
      <c r="H113" s="1177"/>
      <c r="I113" s="1177"/>
      <c r="J113" s="1177"/>
      <c r="K113" s="77">
        <f>first_year+30</f>
        <v>2056</v>
      </c>
      <c r="L113" s="1177"/>
      <c r="M113" s="1177"/>
      <c r="N113" s="1177"/>
      <c r="O113" s="1177"/>
      <c r="P113" s="1177"/>
      <c r="Q113" s="1177"/>
      <c r="R113" s="1177"/>
      <c r="S113" s="1177"/>
      <c r="T113" s="381" t="b" cm="1">
        <f t="array" aca="1" ref="T113" ca="1">T112</f>
        <v>0</v>
      </c>
      <c r="U113" s="1177"/>
      <c r="V113" s="1177"/>
      <c r="W113" s="1177"/>
      <c r="X113" s="1755"/>
      <c r="Y113" s="1755"/>
      <c r="Z113" s="1735"/>
      <c r="AA113" s="1848"/>
      <c r="AB113" s="172" t="str">
        <f t="shared" si="5"/>
        <v>2056 год</v>
      </c>
      <c r="AC113" s="324"/>
      <c r="AD113" s="1600"/>
      <c r="AE113" s="1599"/>
      <c r="AF113" s="1599"/>
      <c r="AG113" s="1600"/>
      <c r="AH113" s="1599"/>
      <c r="AI113" s="1600"/>
      <c r="AJ113" s="1599"/>
      <c r="AK113" s="1601"/>
      <c r="AL113" s="320"/>
      <c r="AM113" s="1177"/>
      <c r="AN113" s="966" cm="1">
        <f t="array" ref="AN113">K113</f>
        <v>2056</v>
      </c>
      <c r="AO113" s="966" t="s">
        <v>2074</v>
      </c>
      <c r="AP113" s="976" cm="1">
        <f t="array" ref="AP113">AP112</f>
        <v>0</v>
      </c>
      <c r="AQ113" s="620"/>
      <c r="AR113" s="620"/>
    </row>
    <row r="114" spans="1:44" s="1633" customFormat="1" ht="14.25" hidden="1" customHeight="1">
      <c r="A114" s="1177"/>
      <c r="B114" s="362" t="b">
        <f t="shared" si="4"/>
        <v>0</v>
      </c>
      <c r="C114" s="1177"/>
      <c r="D114" s="1177"/>
      <c r="E114" s="620">
        <v>15</v>
      </c>
      <c r="F114" s="3" t="str" cm="1">
        <f t="array" aca="1" ref="F114" ca="1">OFFSET(E114,-1,1)</f>
        <v>1</v>
      </c>
      <c r="G114" s="17" cm="1">
        <f t="array" ref="G114">G113</f>
        <v>0</v>
      </c>
      <c r="H114" s="1177"/>
      <c r="I114" s="1177"/>
      <c r="J114" s="1177"/>
      <c r="K114" s="77">
        <f>first_year+31</f>
        <v>2057</v>
      </c>
      <c r="L114" s="1177"/>
      <c r="M114" s="1177"/>
      <c r="N114" s="1177"/>
      <c r="O114" s="1177"/>
      <c r="P114" s="1177"/>
      <c r="Q114" s="1177"/>
      <c r="R114" s="1177"/>
      <c r="S114" s="1177"/>
      <c r="T114" s="381" t="b" cm="1">
        <f t="array" aca="1" ref="T114" ca="1">T113</f>
        <v>0</v>
      </c>
      <c r="U114" s="1177"/>
      <c r="V114" s="1177"/>
      <c r="W114" s="1177"/>
      <c r="X114" s="1755"/>
      <c r="Y114" s="1755"/>
      <c r="Z114" s="1735"/>
      <c r="AA114" s="1848"/>
      <c r="AB114" s="172" t="str">
        <f t="shared" si="5"/>
        <v>2057 год</v>
      </c>
      <c r="AC114" s="324"/>
      <c r="AD114" s="1600"/>
      <c r="AE114" s="1599"/>
      <c r="AF114" s="1599"/>
      <c r="AG114" s="1600"/>
      <c r="AH114" s="1599"/>
      <c r="AI114" s="1600"/>
      <c r="AJ114" s="1599"/>
      <c r="AK114" s="1601"/>
      <c r="AL114" s="320"/>
      <c r="AM114" s="1177"/>
      <c r="AN114" s="966" cm="1">
        <f t="array" ref="AN114">K114</f>
        <v>2057</v>
      </c>
      <c r="AO114" s="966" t="s">
        <v>2074</v>
      </c>
      <c r="AP114" s="976" cm="1">
        <f t="array" ref="AP114">AP113</f>
        <v>0</v>
      </c>
      <c r="AQ114" s="620"/>
      <c r="AR114" s="620"/>
    </row>
    <row r="115" spans="1:44" s="1634" customFormat="1" ht="14.25" hidden="1" customHeight="1">
      <c r="A115" s="1177"/>
      <c r="B115" s="362" t="b">
        <f t="shared" ref="B115:B132" si="6">K115&lt;first_year+PERIOD_LENGTH</f>
        <v>0</v>
      </c>
      <c r="C115" s="1177"/>
      <c r="D115" s="1177"/>
      <c r="E115" s="620">
        <v>15</v>
      </c>
      <c r="F115" s="3" t="str" cm="1">
        <f t="array" aca="1" ref="F115" ca="1">OFFSET(E115,-1,1)</f>
        <v>1</v>
      </c>
      <c r="G115" s="17" cm="1">
        <f t="array" ref="G115">G114</f>
        <v>0</v>
      </c>
      <c r="H115" s="1177"/>
      <c r="I115" s="1177"/>
      <c r="J115" s="1177"/>
      <c r="K115" s="77">
        <f>first_year+32</f>
        <v>2058</v>
      </c>
      <c r="L115" s="1177"/>
      <c r="M115" s="1177"/>
      <c r="N115" s="1177"/>
      <c r="O115" s="1177"/>
      <c r="P115" s="1177"/>
      <c r="Q115" s="1177"/>
      <c r="R115" s="1177"/>
      <c r="S115" s="1177"/>
      <c r="T115" s="381" t="b" cm="1">
        <f t="array" aca="1" ref="T115" ca="1">T114</f>
        <v>0</v>
      </c>
      <c r="U115" s="1177"/>
      <c r="V115" s="1177"/>
      <c r="W115" s="1177"/>
      <c r="X115" s="1755"/>
      <c r="Y115" s="1755"/>
      <c r="Z115" s="1735"/>
      <c r="AA115" s="1848"/>
      <c r="AB115" s="172" t="str">
        <f t="shared" ref="AB115:AB132" si="7">K115&amp;" год"</f>
        <v>2058 год</v>
      </c>
      <c r="AC115" s="324"/>
      <c r="AD115" s="1600"/>
      <c r="AE115" s="1599"/>
      <c r="AF115" s="1599"/>
      <c r="AG115" s="1600"/>
      <c r="AH115" s="1599"/>
      <c r="AI115" s="1600"/>
      <c r="AJ115" s="1599"/>
      <c r="AK115" s="1601"/>
      <c r="AL115" s="320"/>
      <c r="AM115" s="1177"/>
      <c r="AN115" s="966" cm="1">
        <f t="array" ref="AN115">K115</f>
        <v>2058</v>
      </c>
      <c r="AO115" s="966" t="s">
        <v>2074</v>
      </c>
      <c r="AP115" s="976" cm="1">
        <f t="array" ref="AP115">AP114</f>
        <v>0</v>
      </c>
      <c r="AQ115" s="620"/>
      <c r="AR115" s="620"/>
    </row>
    <row r="116" spans="1:44" s="1635" customFormat="1" ht="14.25" hidden="1" customHeight="1">
      <c r="A116" s="1177"/>
      <c r="B116" s="362" t="b">
        <f t="shared" si="6"/>
        <v>0</v>
      </c>
      <c r="C116" s="1177"/>
      <c r="D116" s="1177"/>
      <c r="E116" s="620">
        <v>15</v>
      </c>
      <c r="F116" s="3" t="str" cm="1">
        <f t="array" aca="1" ref="F116" ca="1">OFFSET(E116,-1,1)</f>
        <v>1</v>
      </c>
      <c r="G116" s="17" cm="1">
        <f t="array" ref="G116">G115</f>
        <v>0</v>
      </c>
      <c r="H116" s="1177"/>
      <c r="I116" s="1177"/>
      <c r="J116" s="1177"/>
      <c r="K116" s="77">
        <f>first_year+33</f>
        <v>2059</v>
      </c>
      <c r="L116" s="1177"/>
      <c r="M116" s="1177"/>
      <c r="N116" s="1177"/>
      <c r="O116" s="1177"/>
      <c r="P116" s="1177"/>
      <c r="Q116" s="1177"/>
      <c r="R116" s="1177"/>
      <c r="S116" s="1177"/>
      <c r="T116" s="381" t="b" cm="1">
        <f t="array" aca="1" ref="T116" ca="1">T115</f>
        <v>0</v>
      </c>
      <c r="U116" s="1177"/>
      <c r="V116" s="1177"/>
      <c r="W116" s="1177"/>
      <c r="X116" s="1755"/>
      <c r="Y116" s="1755"/>
      <c r="Z116" s="1735"/>
      <c r="AA116" s="1848"/>
      <c r="AB116" s="172" t="str">
        <f t="shared" si="7"/>
        <v>2059 год</v>
      </c>
      <c r="AC116" s="324"/>
      <c r="AD116" s="1600"/>
      <c r="AE116" s="1599"/>
      <c r="AF116" s="1599"/>
      <c r="AG116" s="1600"/>
      <c r="AH116" s="1599"/>
      <c r="AI116" s="1600"/>
      <c r="AJ116" s="1599"/>
      <c r="AK116" s="1601"/>
      <c r="AL116" s="320"/>
      <c r="AM116" s="1177"/>
      <c r="AN116" s="966" cm="1">
        <f t="array" ref="AN116">K116</f>
        <v>2059</v>
      </c>
      <c r="AO116" s="966" t="s">
        <v>2074</v>
      </c>
      <c r="AP116" s="976" cm="1">
        <f t="array" ref="AP116">AP115</f>
        <v>0</v>
      </c>
      <c r="AQ116" s="620"/>
      <c r="AR116" s="620"/>
    </row>
    <row r="117" spans="1:44" s="1636" customFormat="1" ht="14.25" hidden="1" customHeight="1">
      <c r="A117" s="1177"/>
      <c r="B117" s="362" t="b">
        <f t="shared" si="6"/>
        <v>0</v>
      </c>
      <c r="C117" s="1177"/>
      <c r="D117" s="1177"/>
      <c r="E117" s="620">
        <v>15</v>
      </c>
      <c r="F117" s="3" t="str" cm="1">
        <f t="array" aca="1" ref="F117" ca="1">OFFSET(E117,-1,1)</f>
        <v>1</v>
      </c>
      <c r="G117" s="17" cm="1">
        <f t="array" ref="G117">G116</f>
        <v>0</v>
      </c>
      <c r="H117" s="1177"/>
      <c r="I117" s="1177"/>
      <c r="J117" s="1177"/>
      <c r="K117" s="77">
        <f>first_year+34</f>
        <v>2060</v>
      </c>
      <c r="L117" s="1177"/>
      <c r="M117" s="1177"/>
      <c r="N117" s="1177"/>
      <c r="O117" s="1177"/>
      <c r="P117" s="1177"/>
      <c r="Q117" s="1177"/>
      <c r="R117" s="1177"/>
      <c r="S117" s="1177"/>
      <c r="T117" s="381" t="b" cm="1">
        <f t="array" aca="1" ref="T117" ca="1">T116</f>
        <v>0</v>
      </c>
      <c r="U117" s="1177"/>
      <c r="V117" s="1177"/>
      <c r="W117" s="1177"/>
      <c r="X117" s="1755"/>
      <c r="Y117" s="1755"/>
      <c r="Z117" s="1735"/>
      <c r="AA117" s="1848"/>
      <c r="AB117" s="172" t="str">
        <f t="shared" si="7"/>
        <v>2060 год</v>
      </c>
      <c r="AC117" s="324"/>
      <c r="AD117" s="1600"/>
      <c r="AE117" s="1599"/>
      <c r="AF117" s="1599"/>
      <c r="AG117" s="1600"/>
      <c r="AH117" s="1599"/>
      <c r="AI117" s="1600"/>
      <c r="AJ117" s="1599"/>
      <c r="AK117" s="1601"/>
      <c r="AL117" s="320"/>
      <c r="AM117" s="1177"/>
      <c r="AN117" s="966" cm="1">
        <f t="array" ref="AN117">K117</f>
        <v>2060</v>
      </c>
      <c r="AO117" s="966" t="s">
        <v>2074</v>
      </c>
      <c r="AP117" s="976" cm="1">
        <f t="array" ref="AP117">AP116</f>
        <v>0</v>
      </c>
      <c r="AQ117" s="620"/>
      <c r="AR117" s="620"/>
    </row>
    <row r="118" spans="1:44" s="1637" customFormat="1" ht="14.25" hidden="1" customHeight="1">
      <c r="A118" s="1177"/>
      <c r="B118" s="362" t="b">
        <f t="shared" si="6"/>
        <v>0</v>
      </c>
      <c r="C118" s="1177"/>
      <c r="D118" s="1177"/>
      <c r="E118" s="620">
        <v>15</v>
      </c>
      <c r="F118" s="3" t="str" cm="1">
        <f t="array" aca="1" ref="F118" ca="1">OFFSET(E118,-1,1)</f>
        <v>1</v>
      </c>
      <c r="G118" s="17" cm="1">
        <f t="array" ref="G118">G117</f>
        <v>0</v>
      </c>
      <c r="H118" s="1177"/>
      <c r="I118" s="1177"/>
      <c r="J118" s="1177"/>
      <c r="K118" s="77">
        <f>first_year+35</f>
        <v>2061</v>
      </c>
      <c r="L118" s="1177"/>
      <c r="M118" s="1177"/>
      <c r="N118" s="1177"/>
      <c r="O118" s="1177"/>
      <c r="P118" s="1177"/>
      <c r="Q118" s="1177"/>
      <c r="R118" s="1177"/>
      <c r="S118" s="1177"/>
      <c r="T118" s="381" t="b" cm="1">
        <f t="array" aca="1" ref="T118" ca="1">T117</f>
        <v>0</v>
      </c>
      <c r="U118" s="1177"/>
      <c r="V118" s="1177"/>
      <c r="W118" s="1177"/>
      <c r="X118" s="1755"/>
      <c r="Y118" s="1755"/>
      <c r="Z118" s="1735"/>
      <c r="AA118" s="1848"/>
      <c r="AB118" s="172" t="str">
        <f t="shared" si="7"/>
        <v>2061 год</v>
      </c>
      <c r="AC118" s="324"/>
      <c r="AD118" s="1600"/>
      <c r="AE118" s="1599"/>
      <c r="AF118" s="1599"/>
      <c r="AG118" s="1600"/>
      <c r="AH118" s="1599"/>
      <c r="AI118" s="1600"/>
      <c r="AJ118" s="1599"/>
      <c r="AK118" s="1601"/>
      <c r="AL118" s="320"/>
      <c r="AM118" s="1177"/>
      <c r="AN118" s="966" cm="1">
        <f t="array" ref="AN118">K118</f>
        <v>2061</v>
      </c>
      <c r="AO118" s="966" t="s">
        <v>2074</v>
      </c>
      <c r="AP118" s="976" cm="1">
        <f t="array" ref="AP118">AP117</f>
        <v>0</v>
      </c>
      <c r="AQ118" s="620"/>
      <c r="AR118" s="620"/>
    </row>
    <row r="119" spans="1:44" s="1638" customFormat="1" ht="14.25" hidden="1" customHeight="1">
      <c r="A119" s="1177"/>
      <c r="B119" s="362" t="b">
        <f t="shared" si="6"/>
        <v>0</v>
      </c>
      <c r="C119" s="1177"/>
      <c r="D119" s="1177"/>
      <c r="E119" s="620">
        <v>15</v>
      </c>
      <c r="F119" s="3" t="str" cm="1">
        <f t="array" aca="1" ref="F119" ca="1">OFFSET(E119,-1,1)</f>
        <v>1</v>
      </c>
      <c r="G119" s="17" cm="1">
        <f t="array" ref="G119">G118</f>
        <v>0</v>
      </c>
      <c r="H119" s="1177"/>
      <c r="I119" s="1177"/>
      <c r="J119" s="1177"/>
      <c r="K119" s="77">
        <f>first_year+36</f>
        <v>2062</v>
      </c>
      <c r="L119" s="1177"/>
      <c r="M119" s="1177"/>
      <c r="N119" s="1177"/>
      <c r="O119" s="1177"/>
      <c r="P119" s="1177"/>
      <c r="Q119" s="1177"/>
      <c r="R119" s="1177"/>
      <c r="S119" s="1177"/>
      <c r="T119" s="381" t="b" cm="1">
        <f t="array" aca="1" ref="T119" ca="1">T118</f>
        <v>0</v>
      </c>
      <c r="U119" s="1177"/>
      <c r="V119" s="1177"/>
      <c r="W119" s="1177"/>
      <c r="X119" s="1755"/>
      <c r="Y119" s="1755"/>
      <c r="Z119" s="1735"/>
      <c r="AA119" s="1848"/>
      <c r="AB119" s="172" t="str">
        <f t="shared" si="7"/>
        <v>2062 год</v>
      </c>
      <c r="AC119" s="324"/>
      <c r="AD119" s="1600"/>
      <c r="AE119" s="1599"/>
      <c r="AF119" s="1599"/>
      <c r="AG119" s="1600"/>
      <c r="AH119" s="1599"/>
      <c r="AI119" s="1600"/>
      <c r="AJ119" s="1599"/>
      <c r="AK119" s="1601"/>
      <c r="AL119" s="320"/>
      <c r="AM119" s="1177"/>
      <c r="AN119" s="966" cm="1">
        <f t="array" ref="AN119">K119</f>
        <v>2062</v>
      </c>
      <c r="AO119" s="966" t="s">
        <v>2074</v>
      </c>
      <c r="AP119" s="976" cm="1">
        <f t="array" ref="AP119">AP118</f>
        <v>0</v>
      </c>
      <c r="AQ119" s="620"/>
      <c r="AR119" s="620"/>
    </row>
    <row r="120" spans="1:44" s="1639" customFormat="1" ht="14.25" hidden="1" customHeight="1">
      <c r="A120" s="1177"/>
      <c r="B120" s="362" t="b">
        <f t="shared" si="6"/>
        <v>0</v>
      </c>
      <c r="C120" s="1177"/>
      <c r="D120" s="1177"/>
      <c r="E120" s="620">
        <v>15</v>
      </c>
      <c r="F120" s="3" t="str" cm="1">
        <f t="array" aca="1" ref="F120" ca="1">OFFSET(E120,-1,1)</f>
        <v>1</v>
      </c>
      <c r="G120" s="17" cm="1">
        <f t="array" ref="G120">G119</f>
        <v>0</v>
      </c>
      <c r="H120" s="1177"/>
      <c r="I120" s="1177"/>
      <c r="J120" s="1177"/>
      <c r="K120" s="77">
        <f>first_year+37</f>
        <v>2063</v>
      </c>
      <c r="L120" s="1177"/>
      <c r="M120" s="1177"/>
      <c r="N120" s="1177"/>
      <c r="O120" s="1177"/>
      <c r="P120" s="1177"/>
      <c r="Q120" s="1177"/>
      <c r="R120" s="1177"/>
      <c r="S120" s="1177"/>
      <c r="T120" s="381" t="b" cm="1">
        <f t="array" aca="1" ref="T120" ca="1">T119</f>
        <v>0</v>
      </c>
      <c r="U120" s="1177"/>
      <c r="V120" s="1177"/>
      <c r="W120" s="1177"/>
      <c r="X120" s="1755"/>
      <c r="Y120" s="1755"/>
      <c r="Z120" s="1735"/>
      <c r="AA120" s="1848"/>
      <c r="AB120" s="172" t="str">
        <f t="shared" si="7"/>
        <v>2063 год</v>
      </c>
      <c r="AC120" s="324"/>
      <c r="AD120" s="1600"/>
      <c r="AE120" s="1599"/>
      <c r="AF120" s="1599"/>
      <c r="AG120" s="1600"/>
      <c r="AH120" s="1599"/>
      <c r="AI120" s="1600"/>
      <c r="AJ120" s="1599"/>
      <c r="AK120" s="1601"/>
      <c r="AL120" s="320"/>
      <c r="AM120" s="1177"/>
      <c r="AN120" s="966" cm="1">
        <f t="array" ref="AN120">K120</f>
        <v>2063</v>
      </c>
      <c r="AO120" s="966" t="s">
        <v>2074</v>
      </c>
      <c r="AP120" s="976" cm="1">
        <f t="array" ref="AP120">AP119</f>
        <v>0</v>
      </c>
      <c r="AQ120" s="620"/>
      <c r="AR120" s="620"/>
    </row>
    <row r="121" spans="1:44" s="1640" customFormat="1" ht="14.25" hidden="1" customHeight="1">
      <c r="A121" s="1177"/>
      <c r="B121" s="362" t="b">
        <f t="shared" si="6"/>
        <v>0</v>
      </c>
      <c r="C121" s="1177"/>
      <c r="D121" s="1177"/>
      <c r="E121" s="620">
        <v>15</v>
      </c>
      <c r="F121" s="3" t="str" cm="1">
        <f t="array" aca="1" ref="F121" ca="1">OFFSET(E121,-1,1)</f>
        <v>1</v>
      </c>
      <c r="G121" s="17" cm="1">
        <f t="array" ref="G121">G120</f>
        <v>0</v>
      </c>
      <c r="H121" s="1177"/>
      <c r="I121" s="1177"/>
      <c r="J121" s="1177"/>
      <c r="K121" s="77">
        <f>first_year+38</f>
        <v>2064</v>
      </c>
      <c r="L121" s="1177"/>
      <c r="M121" s="1177"/>
      <c r="N121" s="1177"/>
      <c r="O121" s="1177"/>
      <c r="P121" s="1177"/>
      <c r="Q121" s="1177"/>
      <c r="R121" s="1177"/>
      <c r="S121" s="1177"/>
      <c r="T121" s="381" t="b" cm="1">
        <f t="array" aca="1" ref="T121" ca="1">T120</f>
        <v>0</v>
      </c>
      <c r="U121" s="1177"/>
      <c r="V121" s="1177"/>
      <c r="W121" s="1177"/>
      <c r="X121" s="1755"/>
      <c r="Y121" s="1755"/>
      <c r="Z121" s="1735"/>
      <c r="AA121" s="1848"/>
      <c r="AB121" s="172" t="str">
        <f t="shared" si="7"/>
        <v>2064 год</v>
      </c>
      <c r="AC121" s="324"/>
      <c r="AD121" s="1600"/>
      <c r="AE121" s="1599"/>
      <c r="AF121" s="1599"/>
      <c r="AG121" s="1600"/>
      <c r="AH121" s="1599"/>
      <c r="AI121" s="1600"/>
      <c r="AJ121" s="1599"/>
      <c r="AK121" s="1601"/>
      <c r="AL121" s="320"/>
      <c r="AM121" s="1177"/>
      <c r="AN121" s="966" cm="1">
        <f t="array" ref="AN121">K121</f>
        <v>2064</v>
      </c>
      <c r="AO121" s="966" t="s">
        <v>2074</v>
      </c>
      <c r="AP121" s="976" cm="1">
        <f t="array" ref="AP121">AP120</f>
        <v>0</v>
      </c>
      <c r="AQ121" s="620"/>
      <c r="AR121" s="620"/>
    </row>
    <row r="122" spans="1:44" s="1641" customFormat="1" ht="14.25" hidden="1" customHeight="1">
      <c r="A122" s="1177"/>
      <c r="B122" s="362" t="b">
        <f t="shared" si="6"/>
        <v>0</v>
      </c>
      <c r="C122" s="1177"/>
      <c r="D122" s="1177"/>
      <c r="E122" s="620">
        <v>15</v>
      </c>
      <c r="F122" s="3" t="str" cm="1">
        <f t="array" aca="1" ref="F122" ca="1">OFFSET(E122,-1,1)</f>
        <v>1</v>
      </c>
      <c r="G122" s="17" cm="1">
        <f t="array" ref="G122">G121</f>
        <v>0</v>
      </c>
      <c r="H122" s="1177"/>
      <c r="I122" s="1177"/>
      <c r="J122" s="1177"/>
      <c r="K122" s="77">
        <f>first_year+39</f>
        <v>2065</v>
      </c>
      <c r="L122" s="1177"/>
      <c r="M122" s="1177"/>
      <c r="N122" s="1177"/>
      <c r="O122" s="1177"/>
      <c r="P122" s="1177"/>
      <c r="Q122" s="1177"/>
      <c r="R122" s="1177"/>
      <c r="S122" s="1177"/>
      <c r="T122" s="381" t="b" cm="1">
        <f t="array" aca="1" ref="T122" ca="1">T121</f>
        <v>0</v>
      </c>
      <c r="U122" s="1177"/>
      <c r="V122" s="1177"/>
      <c r="W122" s="1177"/>
      <c r="X122" s="1755"/>
      <c r="Y122" s="1755"/>
      <c r="Z122" s="1735"/>
      <c r="AA122" s="1848"/>
      <c r="AB122" s="172" t="str">
        <f t="shared" si="7"/>
        <v>2065 год</v>
      </c>
      <c r="AC122" s="324"/>
      <c r="AD122" s="1600"/>
      <c r="AE122" s="1599"/>
      <c r="AF122" s="1599"/>
      <c r="AG122" s="1600"/>
      <c r="AH122" s="1599"/>
      <c r="AI122" s="1600"/>
      <c r="AJ122" s="1599"/>
      <c r="AK122" s="1601"/>
      <c r="AL122" s="320"/>
      <c r="AM122" s="1177"/>
      <c r="AN122" s="966" cm="1">
        <f t="array" ref="AN122">K122</f>
        <v>2065</v>
      </c>
      <c r="AO122" s="966" t="s">
        <v>2074</v>
      </c>
      <c r="AP122" s="976" cm="1">
        <f t="array" ref="AP122">AP121</f>
        <v>0</v>
      </c>
      <c r="AQ122" s="620"/>
      <c r="AR122" s="620"/>
    </row>
    <row r="123" spans="1:44" s="1642" customFormat="1" ht="14.25" hidden="1" customHeight="1">
      <c r="A123" s="1177"/>
      <c r="B123" s="362" t="b">
        <f t="shared" si="6"/>
        <v>0</v>
      </c>
      <c r="C123" s="1177"/>
      <c r="D123" s="1177"/>
      <c r="E123" s="620">
        <v>15</v>
      </c>
      <c r="F123" s="3" t="str" cm="1">
        <f t="array" aca="1" ref="F123" ca="1">OFFSET(E123,-1,1)</f>
        <v>1</v>
      </c>
      <c r="G123" s="17" cm="1">
        <f t="array" ref="G123">G122</f>
        <v>0</v>
      </c>
      <c r="H123" s="1177"/>
      <c r="I123" s="1177"/>
      <c r="J123" s="1177"/>
      <c r="K123" s="77">
        <f>first_year+40</f>
        <v>2066</v>
      </c>
      <c r="L123" s="1177"/>
      <c r="M123" s="1177"/>
      <c r="N123" s="1177"/>
      <c r="O123" s="1177"/>
      <c r="P123" s="1177"/>
      <c r="Q123" s="1177"/>
      <c r="R123" s="1177"/>
      <c r="S123" s="1177"/>
      <c r="T123" s="381" t="b" cm="1">
        <f t="array" aca="1" ref="T123" ca="1">T122</f>
        <v>0</v>
      </c>
      <c r="U123" s="1177"/>
      <c r="V123" s="1177"/>
      <c r="W123" s="1177"/>
      <c r="X123" s="1755"/>
      <c r="Y123" s="1755"/>
      <c r="Z123" s="1735"/>
      <c r="AA123" s="1848"/>
      <c r="AB123" s="172" t="str">
        <f t="shared" si="7"/>
        <v>2066 год</v>
      </c>
      <c r="AC123" s="324"/>
      <c r="AD123" s="1600"/>
      <c r="AE123" s="1599"/>
      <c r="AF123" s="1599"/>
      <c r="AG123" s="1600"/>
      <c r="AH123" s="1599"/>
      <c r="AI123" s="1600"/>
      <c r="AJ123" s="1599"/>
      <c r="AK123" s="1601"/>
      <c r="AL123" s="320"/>
      <c r="AM123" s="1177"/>
      <c r="AN123" s="966" cm="1">
        <f t="array" ref="AN123">K123</f>
        <v>2066</v>
      </c>
      <c r="AO123" s="966" t="s">
        <v>2074</v>
      </c>
      <c r="AP123" s="976" cm="1">
        <f t="array" ref="AP123">AP122</f>
        <v>0</v>
      </c>
      <c r="AQ123" s="620"/>
      <c r="AR123" s="620"/>
    </row>
    <row r="124" spans="1:44" s="1643" customFormat="1" ht="14.25" hidden="1" customHeight="1">
      <c r="A124" s="1177"/>
      <c r="B124" s="362" t="b">
        <f t="shared" si="6"/>
        <v>0</v>
      </c>
      <c r="C124" s="1177"/>
      <c r="D124" s="1177"/>
      <c r="E124" s="620">
        <v>15</v>
      </c>
      <c r="F124" s="3" t="str" cm="1">
        <f t="array" aca="1" ref="F124" ca="1">OFFSET(E124,-1,1)</f>
        <v>1</v>
      </c>
      <c r="G124" s="17" cm="1">
        <f t="array" ref="G124">G123</f>
        <v>0</v>
      </c>
      <c r="H124" s="1177"/>
      <c r="I124" s="1177"/>
      <c r="J124" s="1177"/>
      <c r="K124" s="77">
        <f>first_year+41</f>
        <v>2067</v>
      </c>
      <c r="L124" s="1177"/>
      <c r="M124" s="1177"/>
      <c r="N124" s="1177"/>
      <c r="O124" s="1177"/>
      <c r="P124" s="1177"/>
      <c r="Q124" s="1177"/>
      <c r="R124" s="1177"/>
      <c r="S124" s="1177"/>
      <c r="T124" s="381" t="b" cm="1">
        <f t="array" aca="1" ref="T124" ca="1">T123</f>
        <v>0</v>
      </c>
      <c r="U124" s="1177"/>
      <c r="V124" s="1177"/>
      <c r="W124" s="1177"/>
      <c r="X124" s="1755"/>
      <c r="Y124" s="1755"/>
      <c r="Z124" s="1735"/>
      <c r="AA124" s="1848"/>
      <c r="AB124" s="172" t="str">
        <f t="shared" si="7"/>
        <v>2067 год</v>
      </c>
      <c r="AC124" s="324"/>
      <c r="AD124" s="1600"/>
      <c r="AE124" s="1599"/>
      <c r="AF124" s="1599"/>
      <c r="AG124" s="1600"/>
      <c r="AH124" s="1599"/>
      <c r="AI124" s="1600"/>
      <c r="AJ124" s="1599"/>
      <c r="AK124" s="1601"/>
      <c r="AL124" s="320"/>
      <c r="AM124" s="1177"/>
      <c r="AN124" s="966" cm="1">
        <f t="array" ref="AN124">K124</f>
        <v>2067</v>
      </c>
      <c r="AO124" s="966" t="s">
        <v>2074</v>
      </c>
      <c r="AP124" s="976" cm="1">
        <f t="array" ref="AP124">AP123</f>
        <v>0</v>
      </c>
      <c r="AQ124" s="620"/>
      <c r="AR124" s="620"/>
    </row>
    <row r="125" spans="1:44" s="1644" customFormat="1" ht="14.25" hidden="1" customHeight="1">
      <c r="A125" s="1177"/>
      <c r="B125" s="362" t="b">
        <f t="shared" si="6"/>
        <v>0</v>
      </c>
      <c r="C125" s="1177"/>
      <c r="D125" s="1177"/>
      <c r="E125" s="620">
        <v>15</v>
      </c>
      <c r="F125" s="3" t="str" cm="1">
        <f t="array" aca="1" ref="F125" ca="1">OFFSET(E125,-1,1)</f>
        <v>1</v>
      </c>
      <c r="G125" s="17" cm="1">
        <f t="array" ref="G125">G124</f>
        <v>0</v>
      </c>
      <c r="H125" s="1177"/>
      <c r="I125" s="1177"/>
      <c r="J125" s="1177"/>
      <c r="K125" s="77">
        <f>first_year+42</f>
        <v>2068</v>
      </c>
      <c r="L125" s="1177"/>
      <c r="M125" s="1177"/>
      <c r="N125" s="1177"/>
      <c r="O125" s="1177"/>
      <c r="P125" s="1177"/>
      <c r="Q125" s="1177"/>
      <c r="R125" s="1177"/>
      <c r="S125" s="1177"/>
      <c r="T125" s="381" t="b" cm="1">
        <f t="array" aca="1" ref="T125" ca="1">T124</f>
        <v>0</v>
      </c>
      <c r="U125" s="1177"/>
      <c r="V125" s="1177"/>
      <c r="W125" s="1177"/>
      <c r="X125" s="1755"/>
      <c r="Y125" s="1755"/>
      <c r="Z125" s="1735"/>
      <c r="AA125" s="1848"/>
      <c r="AB125" s="172" t="str">
        <f t="shared" si="7"/>
        <v>2068 год</v>
      </c>
      <c r="AC125" s="324"/>
      <c r="AD125" s="1600"/>
      <c r="AE125" s="1599"/>
      <c r="AF125" s="1599"/>
      <c r="AG125" s="1600"/>
      <c r="AH125" s="1599"/>
      <c r="AI125" s="1600"/>
      <c r="AJ125" s="1599"/>
      <c r="AK125" s="1601"/>
      <c r="AL125" s="320"/>
      <c r="AM125" s="1177"/>
      <c r="AN125" s="966" cm="1">
        <f t="array" ref="AN125">K125</f>
        <v>2068</v>
      </c>
      <c r="AO125" s="966" t="s">
        <v>2074</v>
      </c>
      <c r="AP125" s="976" cm="1">
        <f t="array" ref="AP125">AP124</f>
        <v>0</v>
      </c>
      <c r="AQ125" s="620"/>
      <c r="AR125" s="620"/>
    </row>
    <row r="126" spans="1:44" s="1645" customFormat="1" ht="14.25" hidden="1" customHeight="1">
      <c r="A126" s="1177"/>
      <c r="B126" s="362" t="b">
        <f t="shared" si="6"/>
        <v>0</v>
      </c>
      <c r="C126" s="1177"/>
      <c r="D126" s="1177"/>
      <c r="E126" s="620">
        <v>15</v>
      </c>
      <c r="F126" s="3" t="str" cm="1">
        <f t="array" aca="1" ref="F126" ca="1">OFFSET(E126,-1,1)</f>
        <v>1</v>
      </c>
      <c r="G126" s="17" cm="1">
        <f t="array" ref="G126">G125</f>
        <v>0</v>
      </c>
      <c r="H126" s="1177"/>
      <c r="I126" s="1177"/>
      <c r="J126" s="1177"/>
      <c r="K126" s="77">
        <f>first_year+43</f>
        <v>2069</v>
      </c>
      <c r="L126" s="1177"/>
      <c r="M126" s="1177"/>
      <c r="N126" s="1177"/>
      <c r="O126" s="1177"/>
      <c r="P126" s="1177"/>
      <c r="Q126" s="1177"/>
      <c r="R126" s="1177"/>
      <c r="S126" s="1177"/>
      <c r="T126" s="381" t="b" cm="1">
        <f t="array" aca="1" ref="T126" ca="1">T125</f>
        <v>0</v>
      </c>
      <c r="U126" s="1177"/>
      <c r="V126" s="1177"/>
      <c r="W126" s="1177"/>
      <c r="X126" s="1755"/>
      <c r="Y126" s="1755"/>
      <c r="Z126" s="1735"/>
      <c r="AA126" s="1848"/>
      <c r="AB126" s="172" t="str">
        <f t="shared" si="7"/>
        <v>2069 год</v>
      </c>
      <c r="AC126" s="324"/>
      <c r="AD126" s="1600"/>
      <c r="AE126" s="1599"/>
      <c r="AF126" s="1599"/>
      <c r="AG126" s="1600"/>
      <c r="AH126" s="1599"/>
      <c r="AI126" s="1600"/>
      <c r="AJ126" s="1599"/>
      <c r="AK126" s="1601"/>
      <c r="AL126" s="320"/>
      <c r="AM126" s="1177"/>
      <c r="AN126" s="966" cm="1">
        <f t="array" ref="AN126">K126</f>
        <v>2069</v>
      </c>
      <c r="AO126" s="966" t="s">
        <v>2074</v>
      </c>
      <c r="AP126" s="976" cm="1">
        <f t="array" ref="AP126">AP125</f>
        <v>0</v>
      </c>
      <c r="AQ126" s="620"/>
      <c r="AR126" s="620"/>
    </row>
    <row r="127" spans="1:44" s="1646" customFormat="1" ht="14.25" hidden="1" customHeight="1">
      <c r="A127" s="1177"/>
      <c r="B127" s="362" t="b">
        <f t="shared" si="6"/>
        <v>0</v>
      </c>
      <c r="C127" s="1177"/>
      <c r="D127" s="1177"/>
      <c r="E127" s="620">
        <v>15</v>
      </c>
      <c r="F127" s="3" t="str" cm="1">
        <f t="array" aca="1" ref="F127" ca="1">OFFSET(E127,-1,1)</f>
        <v>1</v>
      </c>
      <c r="G127" s="17" cm="1">
        <f t="array" ref="G127">G126</f>
        <v>0</v>
      </c>
      <c r="H127" s="1177"/>
      <c r="I127" s="1177"/>
      <c r="J127" s="1177"/>
      <c r="K127" s="77">
        <f>first_year+44</f>
        <v>2070</v>
      </c>
      <c r="L127" s="1177"/>
      <c r="M127" s="1177"/>
      <c r="N127" s="1177"/>
      <c r="O127" s="1177"/>
      <c r="P127" s="1177"/>
      <c r="Q127" s="1177"/>
      <c r="R127" s="1177"/>
      <c r="S127" s="1177"/>
      <c r="T127" s="381" t="b" cm="1">
        <f t="array" aca="1" ref="T127" ca="1">T126</f>
        <v>0</v>
      </c>
      <c r="U127" s="1177"/>
      <c r="V127" s="1177"/>
      <c r="W127" s="1177"/>
      <c r="X127" s="1755"/>
      <c r="Y127" s="1755"/>
      <c r="Z127" s="1735"/>
      <c r="AA127" s="1848"/>
      <c r="AB127" s="172" t="str">
        <f t="shared" si="7"/>
        <v>2070 год</v>
      </c>
      <c r="AC127" s="324"/>
      <c r="AD127" s="1600"/>
      <c r="AE127" s="1599"/>
      <c r="AF127" s="1599"/>
      <c r="AG127" s="1600"/>
      <c r="AH127" s="1599"/>
      <c r="AI127" s="1600"/>
      <c r="AJ127" s="1599"/>
      <c r="AK127" s="1601"/>
      <c r="AL127" s="320"/>
      <c r="AM127" s="1177"/>
      <c r="AN127" s="966" cm="1">
        <f t="array" ref="AN127">K127</f>
        <v>2070</v>
      </c>
      <c r="AO127" s="966" t="s">
        <v>2074</v>
      </c>
      <c r="AP127" s="976" cm="1">
        <f t="array" ref="AP127">AP126</f>
        <v>0</v>
      </c>
      <c r="AQ127" s="620"/>
      <c r="AR127" s="620"/>
    </row>
    <row r="128" spans="1:44" s="1647" customFormat="1" ht="14.25" hidden="1" customHeight="1">
      <c r="A128" s="1177"/>
      <c r="B128" s="362" t="b">
        <f t="shared" si="6"/>
        <v>0</v>
      </c>
      <c r="C128" s="1177"/>
      <c r="D128" s="1177"/>
      <c r="E128" s="620">
        <v>15</v>
      </c>
      <c r="F128" s="3" t="str" cm="1">
        <f t="array" aca="1" ref="F128" ca="1">OFFSET(E128,-1,1)</f>
        <v>1</v>
      </c>
      <c r="G128" s="17" cm="1">
        <f t="array" ref="G128">G127</f>
        <v>0</v>
      </c>
      <c r="H128" s="1177"/>
      <c r="I128" s="1177"/>
      <c r="J128" s="1177"/>
      <c r="K128" s="77">
        <f>first_year+45</f>
        <v>2071</v>
      </c>
      <c r="L128" s="1177"/>
      <c r="M128" s="1177"/>
      <c r="N128" s="1177"/>
      <c r="O128" s="1177"/>
      <c r="P128" s="1177"/>
      <c r="Q128" s="1177"/>
      <c r="R128" s="1177"/>
      <c r="S128" s="1177"/>
      <c r="T128" s="381" t="b" cm="1">
        <f t="array" aca="1" ref="T128" ca="1">T127</f>
        <v>0</v>
      </c>
      <c r="U128" s="1177"/>
      <c r="V128" s="1177"/>
      <c r="W128" s="1177"/>
      <c r="X128" s="1755"/>
      <c r="Y128" s="1755"/>
      <c r="Z128" s="1735"/>
      <c r="AA128" s="1848"/>
      <c r="AB128" s="172" t="str">
        <f t="shared" si="7"/>
        <v>2071 год</v>
      </c>
      <c r="AC128" s="324"/>
      <c r="AD128" s="1600"/>
      <c r="AE128" s="1599"/>
      <c r="AF128" s="1599"/>
      <c r="AG128" s="1600"/>
      <c r="AH128" s="1599"/>
      <c r="AI128" s="1600"/>
      <c r="AJ128" s="1599"/>
      <c r="AK128" s="1601"/>
      <c r="AL128" s="320"/>
      <c r="AM128" s="1177"/>
      <c r="AN128" s="966" cm="1">
        <f t="array" ref="AN128">K128</f>
        <v>2071</v>
      </c>
      <c r="AO128" s="966" t="s">
        <v>2074</v>
      </c>
      <c r="AP128" s="976" cm="1">
        <f t="array" ref="AP128">AP127</f>
        <v>0</v>
      </c>
      <c r="AQ128" s="620"/>
      <c r="AR128" s="620"/>
    </row>
    <row r="129" spans="1:44" s="1648" customFormat="1" ht="14.25" hidden="1" customHeight="1">
      <c r="A129" s="1177"/>
      <c r="B129" s="362" t="b">
        <f t="shared" si="6"/>
        <v>0</v>
      </c>
      <c r="C129" s="1177"/>
      <c r="D129" s="1177"/>
      <c r="E129" s="620">
        <v>15</v>
      </c>
      <c r="F129" s="3" t="str" cm="1">
        <f t="array" aca="1" ref="F129" ca="1">OFFSET(E129,-1,1)</f>
        <v>1</v>
      </c>
      <c r="G129" s="17" cm="1">
        <f t="array" ref="G129">G128</f>
        <v>0</v>
      </c>
      <c r="H129" s="1177"/>
      <c r="I129" s="1177"/>
      <c r="J129" s="1177"/>
      <c r="K129" s="77">
        <f>first_year+46</f>
        <v>2072</v>
      </c>
      <c r="L129" s="1177"/>
      <c r="M129" s="1177"/>
      <c r="N129" s="1177"/>
      <c r="O129" s="1177"/>
      <c r="P129" s="1177"/>
      <c r="Q129" s="1177"/>
      <c r="R129" s="1177"/>
      <c r="S129" s="1177"/>
      <c r="T129" s="381" t="b" cm="1">
        <f t="array" aca="1" ref="T129" ca="1">T128</f>
        <v>0</v>
      </c>
      <c r="U129" s="1177"/>
      <c r="V129" s="1177"/>
      <c r="W129" s="1177"/>
      <c r="X129" s="1755"/>
      <c r="Y129" s="1755"/>
      <c r="Z129" s="1735"/>
      <c r="AA129" s="1848"/>
      <c r="AB129" s="172" t="str">
        <f t="shared" si="7"/>
        <v>2072 год</v>
      </c>
      <c r="AC129" s="324"/>
      <c r="AD129" s="1600"/>
      <c r="AE129" s="1599"/>
      <c r="AF129" s="1599"/>
      <c r="AG129" s="1600"/>
      <c r="AH129" s="1599"/>
      <c r="AI129" s="1600"/>
      <c r="AJ129" s="1599"/>
      <c r="AK129" s="1601"/>
      <c r="AL129" s="320"/>
      <c r="AM129" s="1177"/>
      <c r="AN129" s="966" cm="1">
        <f t="array" ref="AN129">K129</f>
        <v>2072</v>
      </c>
      <c r="AO129" s="966" t="s">
        <v>2074</v>
      </c>
      <c r="AP129" s="976" cm="1">
        <f t="array" ref="AP129">AP128</f>
        <v>0</v>
      </c>
      <c r="AQ129" s="620"/>
      <c r="AR129" s="620"/>
    </row>
    <row r="130" spans="1:44" s="1649" customFormat="1" ht="14.25" hidden="1" customHeight="1">
      <c r="A130" s="1177"/>
      <c r="B130" s="362" t="b">
        <f t="shared" si="6"/>
        <v>0</v>
      </c>
      <c r="C130" s="1177"/>
      <c r="D130" s="1177"/>
      <c r="E130" s="620">
        <v>15</v>
      </c>
      <c r="F130" s="3" t="str" cm="1">
        <f t="array" aca="1" ref="F130" ca="1">OFFSET(E130,-1,1)</f>
        <v>1</v>
      </c>
      <c r="G130" s="17" cm="1">
        <f t="array" ref="G130">G129</f>
        <v>0</v>
      </c>
      <c r="H130" s="1177"/>
      <c r="I130" s="1177"/>
      <c r="J130" s="1177"/>
      <c r="K130" s="77">
        <f>first_year+47</f>
        <v>2073</v>
      </c>
      <c r="L130" s="1177"/>
      <c r="M130" s="1177"/>
      <c r="N130" s="1177"/>
      <c r="O130" s="1177"/>
      <c r="P130" s="1177"/>
      <c r="Q130" s="1177"/>
      <c r="R130" s="1177"/>
      <c r="S130" s="1177"/>
      <c r="T130" s="381" t="b" cm="1">
        <f t="array" aca="1" ref="T130" ca="1">T129</f>
        <v>0</v>
      </c>
      <c r="U130" s="1177"/>
      <c r="V130" s="1177"/>
      <c r="W130" s="1177"/>
      <c r="X130" s="1755"/>
      <c r="Y130" s="1755"/>
      <c r="Z130" s="1735"/>
      <c r="AA130" s="1848"/>
      <c r="AB130" s="172" t="str">
        <f t="shared" si="7"/>
        <v>2073 год</v>
      </c>
      <c r="AC130" s="324"/>
      <c r="AD130" s="1600"/>
      <c r="AE130" s="1599"/>
      <c r="AF130" s="1599"/>
      <c r="AG130" s="1600"/>
      <c r="AH130" s="1599"/>
      <c r="AI130" s="1600"/>
      <c r="AJ130" s="1599"/>
      <c r="AK130" s="1601"/>
      <c r="AL130" s="320"/>
      <c r="AM130" s="1177"/>
      <c r="AN130" s="966" cm="1">
        <f t="array" ref="AN130">K130</f>
        <v>2073</v>
      </c>
      <c r="AO130" s="966" t="s">
        <v>2074</v>
      </c>
      <c r="AP130" s="976" cm="1">
        <f t="array" ref="AP130">AP129</f>
        <v>0</v>
      </c>
      <c r="AQ130" s="620"/>
      <c r="AR130" s="620"/>
    </row>
    <row r="131" spans="1:44" s="1650" customFormat="1" ht="14.25" hidden="1" customHeight="1">
      <c r="A131" s="1177"/>
      <c r="B131" s="362" t="b">
        <f t="shared" si="6"/>
        <v>0</v>
      </c>
      <c r="C131" s="1177"/>
      <c r="D131" s="1177"/>
      <c r="E131" s="620">
        <v>15</v>
      </c>
      <c r="F131" s="3" t="str" cm="1">
        <f t="array" aca="1" ref="F131" ca="1">OFFSET(E131,-1,1)</f>
        <v>1</v>
      </c>
      <c r="G131" s="17" cm="1">
        <f t="array" ref="G131">G130</f>
        <v>0</v>
      </c>
      <c r="H131" s="1177"/>
      <c r="I131" s="1177"/>
      <c r="J131" s="1177"/>
      <c r="K131" s="77">
        <f>first_year+48</f>
        <v>2074</v>
      </c>
      <c r="L131" s="1177"/>
      <c r="M131" s="1177"/>
      <c r="N131" s="1177"/>
      <c r="O131" s="1177"/>
      <c r="P131" s="1177"/>
      <c r="Q131" s="1177"/>
      <c r="R131" s="1177"/>
      <c r="S131" s="1177"/>
      <c r="T131" s="381" t="b" cm="1">
        <f t="array" aca="1" ref="T131" ca="1">T130</f>
        <v>0</v>
      </c>
      <c r="U131" s="1177"/>
      <c r="V131" s="1177"/>
      <c r="W131" s="1177"/>
      <c r="X131" s="1755"/>
      <c r="Y131" s="1755"/>
      <c r="Z131" s="1735"/>
      <c r="AA131" s="1848"/>
      <c r="AB131" s="172" t="str">
        <f t="shared" si="7"/>
        <v>2074 год</v>
      </c>
      <c r="AC131" s="324"/>
      <c r="AD131" s="1600"/>
      <c r="AE131" s="1599"/>
      <c r="AF131" s="1599"/>
      <c r="AG131" s="1600"/>
      <c r="AH131" s="1599"/>
      <c r="AI131" s="1600"/>
      <c r="AJ131" s="1599"/>
      <c r="AK131" s="1601"/>
      <c r="AL131" s="320"/>
      <c r="AM131" s="1177"/>
      <c r="AN131" s="966" cm="1">
        <f t="array" ref="AN131">K131</f>
        <v>2074</v>
      </c>
      <c r="AO131" s="966" t="s">
        <v>2074</v>
      </c>
      <c r="AP131" s="976" cm="1">
        <f t="array" ref="AP131">AP130</f>
        <v>0</v>
      </c>
      <c r="AQ131" s="620"/>
      <c r="AR131" s="620"/>
    </row>
    <row r="132" spans="1:44" s="1651" customFormat="1" ht="14.25" hidden="1" customHeight="1">
      <c r="A132" s="1177"/>
      <c r="B132" s="362" t="b">
        <f t="shared" si="6"/>
        <v>0</v>
      </c>
      <c r="C132" s="1177"/>
      <c r="D132" s="1177"/>
      <c r="E132" s="620">
        <v>15</v>
      </c>
      <c r="F132" s="3" t="str" cm="1">
        <f t="array" aca="1" ref="F132" ca="1">OFFSET(E132,-1,1)</f>
        <v>1</v>
      </c>
      <c r="G132" s="17" cm="1">
        <f t="array" ref="G132">G131</f>
        <v>0</v>
      </c>
      <c r="H132" s="1177"/>
      <c r="I132" s="1177"/>
      <c r="J132" s="1177"/>
      <c r="K132" s="77">
        <f>first_year+49</f>
        <v>2075</v>
      </c>
      <c r="L132" s="1177"/>
      <c r="M132" s="1177"/>
      <c r="N132" s="1177"/>
      <c r="O132" s="1177"/>
      <c r="P132" s="1177"/>
      <c r="Q132" s="1177"/>
      <c r="R132" s="1177"/>
      <c r="S132" s="1177"/>
      <c r="T132" s="381" t="b" cm="1">
        <f t="array" aca="1" ref="T132" ca="1">T131</f>
        <v>0</v>
      </c>
      <c r="U132" s="1177"/>
      <c r="V132" s="1177"/>
      <c r="W132" s="1177"/>
      <c r="X132" s="1755"/>
      <c r="Y132" s="1755"/>
      <c r="Z132" s="1735"/>
      <c r="AA132" s="1848"/>
      <c r="AB132" s="172" t="str">
        <f t="shared" si="7"/>
        <v>2075 год</v>
      </c>
      <c r="AC132" s="324"/>
      <c r="AD132" s="1600"/>
      <c r="AE132" s="1599"/>
      <c r="AF132" s="1599"/>
      <c r="AG132" s="1600"/>
      <c r="AH132" s="1599"/>
      <c r="AI132" s="1600"/>
      <c r="AJ132" s="1599"/>
      <c r="AK132" s="1601"/>
      <c r="AL132" s="320"/>
      <c r="AM132" s="1177"/>
      <c r="AN132" s="966" cm="1">
        <f t="array" ref="AN132">K132</f>
        <v>2075</v>
      </c>
      <c r="AO132" s="966" t="s">
        <v>2074</v>
      </c>
      <c r="AP132" s="976" cm="1">
        <f t="array" ref="AP132">AP131</f>
        <v>0</v>
      </c>
      <c r="AQ132" s="620"/>
      <c r="AR132" s="620"/>
    </row>
    <row r="133" spans="1:44" s="1327" customFormat="1" ht="14.25" customHeight="1">
      <c r="A133" s="77"/>
      <c r="B133" s="349"/>
      <c r="C133" s="77"/>
      <c r="D133" s="77"/>
      <c r="E133" s="620">
        <v>15</v>
      </c>
      <c r="F133" s="1083" t="str" cm="1">
        <f t="array" aca="1" ref="F133" ca="1">OFFSET(E133,-1,1)</f>
        <v>1</v>
      </c>
      <c r="G133" s="77" t="str">
        <f>"!== 'не определено'"</f>
        <v>!== 'не определено'</v>
      </c>
      <c r="H133" s="77"/>
      <c r="I133" s="77"/>
      <c r="J133" s="77"/>
      <c r="K133" s="77"/>
      <c r="L133" s="77"/>
      <c r="M133" s="77"/>
      <c r="N133" s="77"/>
      <c r="O133" s="77"/>
      <c r="P133" s="77"/>
      <c r="Q133" s="77"/>
      <c r="R133" s="77"/>
      <c r="S133" s="77"/>
      <c r="T133" s="381" t="b">
        <f ca="1">F133&gt;0</f>
        <v>1</v>
      </c>
      <c r="U133" s="77"/>
      <c r="V133" s="77"/>
      <c r="W133" s="743" t="s">
        <v>2075</v>
      </c>
      <c r="X133" s="1755"/>
      <c r="Y133" s="77"/>
      <c r="Z133" s="1735"/>
      <c r="AA133" s="77"/>
      <c r="AB133" s="843" t="s">
        <v>177</v>
      </c>
      <c r="AC133" s="218"/>
      <c r="AD133" s="218"/>
      <c r="AE133" s="218"/>
      <c r="AF133" s="218"/>
      <c r="AG133" s="218"/>
      <c r="AH133" s="218"/>
      <c r="AI133" s="218"/>
      <c r="AJ133" s="218"/>
      <c r="AK133" s="218"/>
      <c r="AL133" s="320"/>
      <c r="AN133" s="906"/>
      <c r="AO133" s="906"/>
      <c r="AP133" s="906"/>
      <c r="AQ133" s="909" t="s">
        <v>2074</v>
      </c>
      <c r="AR133" s="541"/>
    </row>
    <row r="134" spans="1:44" ht="10.9" customHeight="1">
      <c r="E134" s="620">
        <v>11.25</v>
      </c>
      <c r="U134" s="613" t="s">
        <v>177</v>
      </c>
      <c r="V134" s="626" t="s">
        <v>2076</v>
      </c>
      <c r="AN134" s="908"/>
      <c r="AO134" s="908"/>
      <c r="AP134" s="908"/>
      <c r="AQ134" s="592"/>
      <c r="AR134" s="592"/>
    </row>
    <row r="135" spans="1:44" ht="14.65" customHeight="1">
      <c r="E135" s="549">
        <v>15</v>
      </c>
      <c r="AB135" s="1762" t="s">
        <v>394</v>
      </c>
      <c r="AC135" s="1762"/>
      <c r="AD135" s="1762"/>
      <c r="AE135" s="1762"/>
      <c r="AF135" s="1762"/>
      <c r="AG135" s="1762"/>
      <c r="AH135" s="1762"/>
      <c r="AI135" s="1762"/>
      <c r="AJ135" s="1762"/>
      <c r="AK135" s="1762"/>
    </row>
    <row r="136" spans="1:44" ht="14.65" customHeight="1">
      <c r="E136" s="549">
        <v>15</v>
      </c>
      <c r="AA136" s="578"/>
      <c r="AB136" s="1844"/>
      <c r="AC136" s="1844"/>
      <c r="AD136" s="1844"/>
      <c r="AE136" s="1844"/>
      <c r="AF136" s="1844"/>
      <c r="AG136" s="1844"/>
      <c r="AH136" s="1843"/>
      <c r="AI136" s="1843"/>
      <c r="AJ136" s="1843"/>
      <c r="AK136" s="1843"/>
    </row>
    <row r="137" spans="1:44" ht="14.65" hidden="1" customHeight="1">
      <c r="E137" s="549">
        <v>15</v>
      </c>
      <c r="T137" s="17" t="b">
        <f>ROW(W137)&gt;ROW(W$137)</f>
        <v>0</v>
      </c>
      <c r="W137" s="17" t="s">
        <v>173</v>
      </c>
      <c r="AA137" s="337" t="s">
        <v>174</v>
      </c>
      <c r="AB137" s="1843" t="s">
        <v>231</v>
      </c>
      <c r="AC137" s="1843"/>
      <c r="AD137" s="1843"/>
      <c r="AE137" s="1843"/>
      <c r="AF137" s="1843"/>
      <c r="AG137" s="1843"/>
      <c r="AH137" s="1843"/>
      <c r="AI137" s="1843"/>
      <c r="AJ137" s="1843"/>
      <c r="AK137" s="1851"/>
    </row>
    <row r="138" spans="1:44" ht="14.65" customHeight="1">
      <c r="E138" s="549">
        <v>15</v>
      </c>
      <c r="W138" s="743" t="s">
        <v>395</v>
      </c>
      <c r="AB138" s="564"/>
      <c r="AC138" s="430" t="s">
        <v>396</v>
      </c>
      <c r="AD138" s="227"/>
      <c r="AE138" s="227"/>
      <c r="AF138" s="227"/>
      <c r="AG138" s="227"/>
      <c r="AH138" s="227"/>
      <c r="AI138" s="227"/>
      <c r="AJ138" s="227"/>
      <c r="AK138" s="627"/>
    </row>
    <row r="139" spans="1:44" ht="10.7" customHeight="1">
      <c r="E139" s="549">
        <v>11</v>
      </c>
      <c r="AL139" s="343"/>
    </row>
  </sheetData>
  <sheetProtection formatColumns="0" formatRows="0" insertRows="0" deleteColumns="0" deleteRows="0" sort="0" autoFilter="0"/>
  <mergeCells count="18">
    <mergeCell ref="X81:X133"/>
    <mergeCell ref="Z81:Z133"/>
    <mergeCell ref="Y82:Y132"/>
    <mergeCell ref="AA82:AA132"/>
    <mergeCell ref="AB82:AK82"/>
    <mergeCell ref="AB136:AK136"/>
    <mergeCell ref="AB135:AK135"/>
    <mergeCell ref="AB137:AK137"/>
    <mergeCell ref="AB24:AB26"/>
    <mergeCell ref="AC24:AC25"/>
    <mergeCell ref="AD24:AD25"/>
    <mergeCell ref="AE24:AE25"/>
    <mergeCell ref="AF24:AK24"/>
    <mergeCell ref="X28:X80"/>
    <mergeCell ref="Z28:Z80"/>
    <mergeCell ref="Y29:Y79"/>
    <mergeCell ref="AA29:AA79"/>
    <mergeCell ref="AB29:AK29"/>
  </mergeCells>
  <dataValidations count="1">
    <dataValidation type="decimal" allowBlank="1" showErrorMessage="1" errorTitle="Ошибка" error="Допускается ввод только неотрицательных чисел!" sqref="AK30:AK80 AK83:AK133 AJ30:AJ80 AJ83:AJ133 AI30:AI80 AI83:AI133 AH30:AH80 AH83:AH133 AG30:AG80 AG83:AG133 AF30:AF80 AF83:AF133 AE30:AE80 AE83:AE133 AD30:AD80 AD83:AD133 AC30:AC80 AC83:AC133">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22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140625" style="584" hidden="1" customWidth="1"/>
    <col min="2" max="2" width="9.28515625" style="1121" hidden="1" customWidth="1"/>
    <col min="3" max="3" width="5.140625" style="1121" hidden="1" customWidth="1"/>
    <col min="4" max="4" width="2.7109375" style="1121" hidden="1" customWidth="1"/>
    <col min="5" max="5" width="5.7109375" style="1074" hidden="1" customWidth="1"/>
    <col min="6" max="6" width="2.7109375" style="1121" hidden="1" customWidth="1"/>
    <col min="7" max="7" width="7.5703125" style="1121" hidden="1" customWidth="1"/>
    <col min="8" max="9" width="2.7109375" style="1121" hidden="1" customWidth="1"/>
    <col min="10" max="10" width="8.140625" style="1121" hidden="1" customWidth="1"/>
    <col min="11" max="18" width="2.7109375" style="1121" hidden="1" customWidth="1"/>
    <col min="19" max="19" width="4.42578125" style="1121" hidden="1" customWidth="1"/>
    <col min="20" max="20" width="9.140625" style="1121" hidden="1" customWidth="1"/>
    <col min="21" max="21" width="5.85546875" style="1121" hidden="1" customWidth="1"/>
    <col min="22" max="23" width="6.140625" style="1121" hidden="1" customWidth="1"/>
    <col min="24" max="25" width="5.5703125" style="1121" hidden="1" customWidth="1"/>
    <col min="26" max="26" width="5.28515625" style="1121" hidden="1" customWidth="1"/>
    <col min="27" max="27" width="3" style="1121" customWidth="1"/>
    <col min="28" max="28" width="11" style="1121" customWidth="1"/>
    <col min="29" max="29" width="58" style="1121" customWidth="1"/>
    <col min="30" max="30" width="11" style="1326" customWidth="1"/>
    <col min="31" max="31" width="18.28515625" style="1326" customWidth="1"/>
    <col min="32" max="32" width="8.7109375" style="1187"/>
    <col min="33" max="33" width="8.7109375" style="1187" hidden="1"/>
    <col min="34" max="36" width="8.7109375" style="1188" hidden="1"/>
    <col min="37" max="38" width="8.7109375" style="1189" hidden="1"/>
    <col min="39" max="42" width="8.7109375" hidden="1"/>
  </cols>
  <sheetData>
    <row r="1" spans="1:42" ht="11.25" hidden="1" customHeight="1">
      <c r="E1" s="404"/>
      <c r="F1" s="404" t="s">
        <v>311</v>
      </c>
      <c r="H1" s="404" t="s">
        <v>322</v>
      </c>
      <c r="I1" s="404" t="s">
        <v>347</v>
      </c>
      <c r="T1" s="381" t="s">
        <v>92</v>
      </c>
      <c r="U1" s="381" t="s">
        <v>97</v>
      </c>
      <c r="V1" s="381" t="s">
        <v>93</v>
      </c>
      <c r="W1" s="381" t="s">
        <v>94</v>
      </c>
      <c r="X1" s="381" t="s">
        <v>95</v>
      </c>
      <c r="Y1" s="383" t="s">
        <v>313</v>
      </c>
      <c r="Z1" s="381" t="s">
        <v>99</v>
      </c>
      <c r="AA1" s="383" t="s">
        <v>96</v>
      </c>
      <c r="AB1" s="332"/>
      <c r="AC1" s="382" t="s">
        <v>98</v>
      </c>
      <c r="AH1" s="903" t="s">
        <v>314</v>
      </c>
      <c r="AI1" s="903" t="s">
        <v>315</v>
      </c>
      <c r="AJ1" s="903" t="s">
        <v>316</v>
      </c>
      <c r="AK1" s="573" t="s">
        <v>319</v>
      </c>
      <c r="AL1" s="573" t="s">
        <v>320</v>
      </c>
    </row>
    <row r="2" spans="1:42" ht="11.25" hidden="1" customHeight="1">
      <c r="B2" s="1165" t="s">
        <v>18</v>
      </c>
      <c r="E2" s="404"/>
    </row>
    <row r="3" spans="1:42" ht="11.25" hidden="1" customHeight="1">
      <c r="E3" s="404"/>
    </row>
    <row r="4" spans="1:42" ht="11.25" hidden="1" customHeight="1">
      <c r="E4" s="404"/>
    </row>
    <row r="5" spans="1:42" s="1074" customFormat="1" ht="11.25" hidden="1" customHeight="1">
      <c r="A5" s="584"/>
      <c r="B5" s="404"/>
      <c r="C5" s="404"/>
      <c r="D5" s="404"/>
      <c r="E5" s="566" t="s">
        <v>19</v>
      </c>
      <c r="AA5" s="566">
        <v>3</v>
      </c>
      <c r="AB5" s="566">
        <v>11</v>
      </c>
      <c r="AC5" s="566">
        <v>58</v>
      </c>
      <c r="AD5" s="568">
        <v>11</v>
      </c>
      <c r="AE5" s="568">
        <v>18.29</v>
      </c>
      <c r="AF5" s="573" t="s">
        <v>321</v>
      </c>
      <c r="AG5" s="573"/>
      <c r="AH5" s="903"/>
      <c r="AI5" s="903"/>
      <c r="AJ5" s="903"/>
      <c r="AK5" s="573"/>
      <c r="AL5" s="573"/>
      <c r="AM5" s="592"/>
      <c r="AN5" s="592"/>
      <c r="AO5" s="592"/>
      <c r="AP5" s="592"/>
    </row>
    <row r="6" spans="1:42" ht="13.5" hidden="1" customHeight="1">
      <c r="A6" s="584" t="s">
        <v>350</v>
      </c>
      <c r="AE6" s="471">
        <f>god-2</f>
        <v>2024</v>
      </c>
    </row>
    <row r="7" spans="1:42" ht="11.25" hidden="1" customHeight="1">
      <c r="AE7" s="471"/>
    </row>
    <row r="8" spans="1:42" ht="11.25" hidden="1" customHeight="1">
      <c r="AE8" s="471"/>
    </row>
    <row r="9" spans="1:42" ht="11.25" hidden="1" customHeight="1">
      <c r="AE9" s="471" cm="1">
        <f t="array" ref="AE9">god</f>
        <v>2026</v>
      </c>
    </row>
    <row r="10" spans="1:42" s="1075" customFormat="1" ht="11.25" hidden="1" customHeight="1">
      <c r="A10" s="977" t="s">
        <v>329</v>
      </c>
      <c r="AC10" s="927" t="s">
        <v>316</v>
      </c>
      <c r="AD10" s="928"/>
      <c r="AE10" s="978"/>
      <c r="AF10" s="903"/>
      <c r="AG10" s="903"/>
      <c r="AH10" s="903"/>
      <c r="AI10" s="903"/>
      <c r="AJ10" s="903"/>
      <c r="AK10" s="573"/>
      <c r="AL10" s="573"/>
      <c r="AM10" s="908"/>
      <c r="AN10" s="908"/>
      <c r="AO10" s="908"/>
      <c r="AP10" s="908"/>
    </row>
    <row r="11" spans="1:42" ht="11.25" hidden="1" customHeight="1">
      <c r="AE11" s="471"/>
    </row>
    <row r="12" spans="1:42" ht="11.25" hidden="1" customHeight="1">
      <c r="AE12" s="471"/>
    </row>
    <row r="13" spans="1:42" ht="11.25" hidden="1" customHeight="1">
      <c r="AE13" s="471"/>
    </row>
    <row r="14" spans="1:42" ht="11.25" hidden="1" customHeight="1">
      <c r="AE14" s="471"/>
    </row>
    <row r="15" spans="1:42" ht="11.25" hidden="1" customHeight="1">
      <c r="AE15" s="471"/>
    </row>
    <row r="16" spans="1:42" ht="11.25" hidden="1" customHeight="1">
      <c r="AE16" s="471"/>
    </row>
    <row r="17" spans="1:42" ht="11.25" hidden="1" customHeight="1">
      <c r="AE17" s="433"/>
    </row>
    <row r="18" spans="1:42" ht="11.25" hidden="1" customHeight="1">
      <c r="A18" s="584" t="s">
        <v>358</v>
      </c>
      <c r="AC18" s="404" t="s">
        <v>194</v>
      </c>
    </row>
    <row r="19" spans="1:42" ht="11.25" hidden="1" customHeight="1"/>
    <row r="20" spans="1:42" ht="11.25" hidden="1" customHeight="1"/>
    <row r="21" spans="1:42" ht="14.65" customHeight="1">
      <c r="E21" s="566">
        <v>15</v>
      </c>
      <c r="AA21" s="404"/>
      <c r="AC21" s="439" t="str" cm="1">
        <f t="array" ref="AC21">tpl_title</f>
        <v>Кемеровская область / 2026 / ОАО «СКЭК» (ИНН:4205153492, КПП:420501001) / ДПР: 2026-2026</v>
      </c>
    </row>
    <row r="22" spans="1:42" ht="43.9" customHeight="1">
      <c r="E22" s="566">
        <v>45</v>
      </c>
      <c r="AB22" s="1857"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85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85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85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42" ht="10.9" customHeight="1">
      <c r="E23" s="566">
        <v>11.25</v>
      </c>
      <c r="AB23" s="1772"/>
      <c r="AC23" s="1772"/>
      <c r="AD23" s="1772"/>
      <c r="AE23" s="1772"/>
    </row>
    <row r="24" spans="1:42" ht="14.65" customHeight="1">
      <c r="E24" s="566">
        <v>15</v>
      </c>
      <c r="AB24" s="1758" t="s">
        <v>748</v>
      </c>
      <c r="AC24" s="1804" t="s">
        <v>194</v>
      </c>
      <c r="AD24" s="1758" t="s">
        <v>360</v>
      </c>
      <c r="AE24" s="1233" t="str">
        <f>god-2&amp;" год"</f>
        <v>2024 год</v>
      </c>
    </row>
    <row r="25" spans="1:42" ht="48.75" customHeight="1">
      <c r="E25" s="566">
        <v>50</v>
      </c>
      <c r="AB25" s="1758"/>
      <c r="AC25" s="1804"/>
      <c r="AD25" s="1799"/>
      <c r="AE25" s="472" t="s">
        <v>2077</v>
      </c>
    </row>
    <row r="26" spans="1:42" ht="11.25" hidden="1" customHeight="1">
      <c r="E26" s="566">
        <v>0</v>
      </c>
      <c r="AB26" s="638"/>
      <c r="AC26" s="637"/>
      <c r="AD26" s="638"/>
      <c r="AE26" s="644"/>
    </row>
    <row r="27" spans="1:42" ht="14.65" hidden="1" customHeight="1">
      <c r="E27" s="566">
        <v>15</v>
      </c>
      <c r="F27" s="750" cm="1">
        <f t="array" ref="F27">X27</f>
        <v>0</v>
      </c>
      <c r="G27" s="404" t="s">
        <v>759</v>
      </c>
      <c r="T27" s="381" t="b">
        <f>X27&gt;0</f>
        <v>0</v>
      </c>
      <c r="V27" s="404" t="s">
        <v>270</v>
      </c>
      <c r="X27" s="1787">
        <v>0</v>
      </c>
      <c r="Z27" s="1788"/>
      <c r="AB27" s="140" t="str" cm="1">
        <f t="array" ref="AB27">INDEX('Общие сведения'!$AG$179:$AG$208,MATCH($X27,'Общие сведения'!$Z$179:$Z$208,0))</f>
        <v xml:space="preserve">Тариф 0 () - </v>
      </c>
      <c r="AC27" s="99"/>
      <c r="AD27" s="93"/>
      <c r="AE27" s="1166">
        <f>AE28+AE78+AE115</f>
        <v>0</v>
      </c>
      <c r="AM27" s="1652"/>
      <c r="AN27" s="1652"/>
      <c r="AO27" s="1652"/>
      <c r="AP27" s="1652"/>
    </row>
    <row r="28" spans="1:42" ht="14.65" hidden="1" customHeight="1">
      <c r="E28" s="566">
        <v>15</v>
      </c>
      <c r="F28" s="3" cm="1">
        <f t="array" aca="1" ref="F28" ca="1">OFFSET(E28,-1,1)</f>
        <v>0</v>
      </c>
      <c r="H28" s="404" t="s">
        <v>323</v>
      </c>
      <c r="T28" s="381" t="b" cm="1">
        <f t="array" ref="T28">T27</f>
        <v>0</v>
      </c>
      <c r="X28" s="1787"/>
      <c r="Z28" s="1788"/>
      <c r="AB28" s="1167" t="s">
        <v>281</v>
      </c>
      <c r="AC28" s="1168" t="s">
        <v>1764</v>
      </c>
      <c r="AD28" s="1169" t="s">
        <v>766</v>
      </c>
      <c r="AE28" s="1234">
        <f>AE29+AE47+AE55+AE75</f>
        <v>0</v>
      </c>
      <c r="AH28" s="903" t="s">
        <v>491</v>
      </c>
      <c r="AM28" s="1652"/>
      <c r="AN28" s="1652"/>
      <c r="AO28" s="1652"/>
      <c r="AP28" s="1652"/>
    </row>
    <row r="29" spans="1:42" ht="14.65" hidden="1" customHeight="1">
      <c r="E29" s="566">
        <v>15</v>
      </c>
      <c r="F29" s="3" cm="1">
        <f t="array" aca="1" ref="F29" ca="1">OFFSET(E29,-1,1)</f>
        <v>0</v>
      </c>
      <c r="H29" s="404" t="s">
        <v>427</v>
      </c>
      <c r="T29" s="381" t="b" cm="1">
        <f t="array" ref="T29">T28</f>
        <v>0</v>
      </c>
      <c r="X29" s="1787"/>
      <c r="Z29" s="1788"/>
      <c r="AB29" s="1170" t="s">
        <v>821</v>
      </c>
      <c r="AC29" s="1171" t="s">
        <v>1546</v>
      </c>
      <c r="AD29" s="1172" t="s">
        <v>766</v>
      </c>
      <c r="AE29" s="473">
        <f>AE30+AE31+AE32+AE37+AE38+AE39</f>
        <v>0</v>
      </c>
      <c r="AH29" s="903" t="s">
        <v>1013</v>
      </c>
      <c r="AM29" s="1652"/>
      <c r="AN29" s="1652"/>
      <c r="AO29" s="1652"/>
      <c r="AP29" s="1652"/>
    </row>
    <row r="30" spans="1:42" ht="14.65" hidden="1" customHeight="1">
      <c r="E30" s="566">
        <v>15</v>
      </c>
      <c r="F30" s="3" cm="1">
        <f t="array" aca="1" ref="F30" ca="1">OFFSET(E30,-1,1)</f>
        <v>0</v>
      </c>
      <c r="H30" s="404" t="s">
        <v>924</v>
      </c>
      <c r="T30" s="381" t="b" cm="1">
        <f t="array" ref="T30">T29</f>
        <v>0</v>
      </c>
      <c r="X30" s="1787"/>
      <c r="Z30" s="1788"/>
      <c r="AB30" s="630" t="s">
        <v>925</v>
      </c>
      <c r="AC30" s="1173" t="s">
        <v>2078</v>
      </c>
      <c r="AD30" s="464" t="s">
        <v>766</v>
      </c>
      <c r="AE30" s="1653"/>
      <c r="AH30" s="903" t="s">
        <v>1109</v>
      </c>
      <c r="AM30" s="1652"/>
      <c r="AN30" s="1652"/>
      <c r="AO30" s="1652"/>
      <c r="AP30" s="1652"/>
    </row>
    <row r="31" spans="1:42" ht="21.95" hidden="1" customHeight="1">
      <c r="E31" s="566">
        <v>22.5</v>
      </c>
      <c r="F31" s="3" cm="1">
        <f t="array" aca="1" ref="F31" ca="1">OFFSET(E31,-1,1)</f>
        <v>0</v>
      </c>
      <c r="H31" s="404" t="s">
        <v>928</v>
      </c>
      <c r="T31" s="381" t="b" cm="1">
        <f t="array" ref="T31">T30</f>
        <v>0</v>
      </c>
      <c r="X31" s="1787"/>
      <c r="Z31" s="1788"/>
      <c r="AB31" s="630" t="s">
        <v>929</v>
      </c>
      <c r="AC31" s="465" t="s">
        <v>1772</v>
      </c>
      <c r="AD31" s="464" t="s">
        <v>766</v>
      </c>
      <c r="AE31" s="1653"/>
      <c r="AH31" s="903" t="s">
        <v>1579</v>
      </c>
      <c r="AM31" s="1652"/>
      <c r="AN31" s="1652"/>
      <c r="AO31" s="1652"/>
      <c r="AP31" s="1652"/>
    </row>
    <row r="32" spans="1:42" ht="32.85" hidden="1" customHeight="1">
      <c r="E32" s="566">
        <v>33.75</v>
      </c>
      <c r="F32" s="3" cm="1">
        <f t="array" aca="1" ref="F32" ca="1">OFFSET(E32,-1,1)</f>
        <v>0</v>
      </c>
      <c r="H32" s="404" t="s">
        <v>1161</v>
      </c>
      <c r="T32" s="381" t="b" cm="1">
        <f t="array" ref="T32">T31</f>
        <v>0</v>
      </c>
      <c r="X32" s="1787"/>
      <c r="Z32" s="1788"/>
      <c r="AB32" s="630" t="s">
        <v>1162</v>
      </c>
      <c r="AC32" s="465" t="s">
        <v>2079</v>
      </c>
      <c r="AD32" s="464" t="s">
        <v>766</v>
      </c>
      <c r="AE32" s="473">
        <f>AE33+AE36</f>
        <v>0</v>
      </c>
      <c r="AH32" s="903" t="s">
        <v>1581</v>
      </c>
      <c r="AM32" s="1652"/>
      <c r="AN32" s="1652"/>
      <c r="AO32" s="1652"/>
      <c r="AP32" s="1652"/>
    </row>
    <row r="33" spans="5:42" ht="21.95" hidden="1" customHeight="1">
      <c r="E33" s="566">
        <v>22.5</v>
      </c>
      <c r="F33" s="3" cm="1">
        <f t="array" aca="1" ref="F33" ca="1">OFFSET(E33,-1,1)</f>
        <v>0</v>
      </c>
      <c r="H33" s="404" t="s">
        <v>2080</v>
      </c>
      <c r="T33" s="381" t="b" cm="1">
        <f t="array" ref="T33">T32</f>
        <v>0</v>
      </c>
      <c r="X33" s="1787"/>
      <c r="Z33" s="1788"/>
      <c r="AB33" s="630" t="s">
        <v>2081</v>
      </c>
      <c r="AC33" s="1174" t="s">
        <v>2082</v>
      </c>
      <c r="AD33" s="464" t="s">
        <v>766</v>
      </c>
      <c r="AE33" s="1653"/>
      <c r="AH33" s="903" t="s">
        <v>1583</v>
      </c>
      <c r="AM33" s="1652"/>
      <c r="AN33" s="1652"/>
      <c r="AO33" s="1652"/>
      <c r="AP33" s="1652"/>
    </row>
    <row r="34" spans="5:42" ht="21.95" hidden="1" customHeight="1">
      <c r="E34" s="566">
        <v>22.5</v>
      </c>
      <c r="F34" s="3" cm="1">
        <f t="array" aca="1" ref="F34" ca="1">OFFSET(E34,-1,1)</f>
        <v>0</v>
      </c>
      <c r="H34" s="404" t="s">
        <v>2083</v>
      </c>
      <c r="T34" s="381" t="b" cm="1">
        <f t="array" ref="T34">T33</f>
        <v>0</v>
      </c>
      <c r="X34" s="1787"/>
      <c r="Z34" s="1788"/>
      <c r="AB34" s="630" t="s">
        <v>2084</v>
      </c>
      <c r="AC34" s="1175" t="s">
        <v>2085</v>
      </c>
      <c r="AD34" s="464" t="s">
        <v>2086</v>
      </c>
      <c r="AE34" s="1653"/>
      <c r="AH34" s="903" t="s">
        <v>2087</v>
      </c>
      <c r="AM34" s="1652"/>
      <c r="AN34" s="1652"/>
      <c r="AO34" s="1652"/>
      <c r="AP34" s="1652"/>
    </row>
    <row r="35" spans="5:42" ht="21.95" hidden="1" customHeight="1">
      <c r="E35" s="566">
        <v>22.5</v>
      </c>
      <c r="F35" s="3" cm="1">
        <f t="array" aca="1" ref="F35" ca="1">OFFSET(E35,-1,1)</f>
        <v>0</v>
      </c>
      <c r="H35" s="404" t="s">
        <v>2088</v>
      </c>
      <c r="T35" s="381" t="b" cm="1">
        <f t="array" ref="T35">T34</f>
        <v>0</v>
      </c>
      <c r="X35" s="1787"/>
      <c r="Z35" s="1788"/>
      <c r="AB35" s="630" t="s">
        <v>2089</v>
      </c>
      <c r="AC35" s="467" t="s">
        <v>2090</v>
      </c>
      <c r="AD35" s="464" t="s">
        <v>2091</v>
      </c>
      <c r="AE35" s="1653"/>
      <c r="AH35" s="903" t="s">
        <v>2092</v>
      </c>
      <c r="AM35" s="1652"/>
      <c r="AN35" s="1652"/>
      <c r="AO35" s="1652"/>
      <c r="AP35" s="1652"/>
    </row>
    <row r="36" spans="5:42" ht="21.95" hidden="1" customHeight="1">
      <c r="E36" s="566">
        <v>22.5</v>
      </c>
      <c r="F36" s="3" cm="1">
        <f t="array" aca="1" ref="F36" ca="1">OFFSET(E36,-1,1)</f>
        <v>0</v>
      </c>
      <c r="H36" s="404" t="s">
        <v>2093</v>
      </c>
      <c r="T36" s="381" t="b" cm="1">
        <f t="array" ref="T36">T35</f>
        <v>0</v>
      </c>
      <c r="X36" s="1787"/>
      <c r="Z36" s="1788"/>
      <c r="AB36" s="630" t="s">
        <v>2094</v>
      </c>
      <c r="AC36" s="466" t="s">
        <v>2095</v>
      </c>
      <c r="AD36" s="464" t="s">
        <v>766</v>
      </c>
      <c r="AE36" s="1653"/>
      <c r="AH36" s="903" t="s">
        <v>1585</v>
      </c>
      <c r="AM36" s="1652"/>
      <c r="AN36" s="1652"/>
      <c r="AO36" s="1652"/>
      <c r="AP36" s="1652"/>
    </row>
    <row r="37" spans="5:42" ht="14.65" hidden="1" customHeight="1">
      <c r="E37" s="566">
        <v>15</v>
      </c>
      <c r="F37" s="3" cm="1">
        <f t="array" aca="1" ref="F37" ca="1">OFFSET(E37,-1,1)</f>
        <v>0</v>
      </c>
      <c r="H37" s="404" t="s">
        <v>1165</v>
      </c>
      <c r="T37" s="381" t="b" cm="1">
        <f t="array" ref="T37">T36</f>
        <v>0</v>
      </c>
      <c r="X37" s="1787"/>
      <c r="Z37" s="1788"/>
      <c r="AB37" s="630" t="s">
        <v>1166</v>
      </c>
      <c r="AC37" s="465" t="s">
        <v>2096</v>
      </c>
      <c r="AD37" s="464" t="s">
        <v>766</v>
      </c>
      <c r="AE37" s="1653"/>
      <c r="AH37" s="903" t="s">
        <v>1953</v>
      </c>
      <c r="AM37" s="1652"/>
      <c r="AN37" s="1652"/>
      <c r="AO37" s="1652"/>
      <c r="AP37" s="1652"/>
    </row>
    <row r="38" spans="5:42" ht="14.65" hidden="1" customHeight="1">
      <c r="E38" s="566">
        <v>15</v>
      </c>
      <c r="F38" s="3" cm="1">
        <f t="array" aca="1" ref="F38" ca="1">OFFSET(E38,-1,1)</f>
        <v>0</v>
      </c>
      <c r="H38" s="404" t="s">
        <v>2097</v>
      </c>
      <c r="T38" s="381" t="b" cm="1">
        <f t="array" ref="T38">T37</f>
        <v>0</v>
      </c>
      <c r="X38" s="1787"/>
      <c r="Z38" s="1788"/>
      <c r="AB38" s="630" t="s">
        <v>1169</v>
      </c>
      <c r="AC38" s="465" t="s">
        <v>1778</v>
      </c>
      <c r="AD38" s="464" t="s">
        <v>766</v>
      </c>
      <c r="AE38" s="1653"/>
      <c r="AH38" s="903" t="s">
        <v>1590</v>
      </c>
      <c r="AM38" s="1652"/>
      <c r="AN38" s="1652"/>
      <c r="AO38" s="1652"/>
      <c r="AP38" s="1652"/>
    </row>
    <row r="39" spans="5:42" ht="14.65" hidden="1" customHeight="1">
      <c r="E39" s="566">
        <v>15</v>
      </c>
      <c r="F39" s="3" cm="1">
        <f t="array" aca="1" ref="F39" ca="1">OFFSET(E39,-1,1)</f>
        <v>0</v>
      </c>
      <c r="H39" s="404" t="s">
        <v>2098</v>
      </c>
      <c r="T39" s="381" t="b" cm="1">
        <f t="array" ref="T39">T38</f>
        <v>0</v>
      </c>
      <c r="X39" s="1787"/>
      <c r="Z39" s="1788"/>
      <c r="AB39" s="630" t="s">
        <v>2099</v>
      </c>
      <c r="AC39" s="465" t="s">
        <v>2100</v>
      </c>
      <c r="AD39" s="464" t="s">
        <v>766</v>
      </c>
      <c r="AE39" s="473">
        <f>SUM(AE40:AE46)</f>
        <v>0</v>
      </c>
      <c r="AH39" s="903" t="s">
        <v>1594</v>
      </c>
      <c r="AM39" s="1652"/>
      <c r="AN39" s="1652"/>
      <c r="AO39" s="1652"/>
      <c r="AP39" s="1652"/>
    </row>
    <row r="40" spans="5:42" ht="14.65" hidden="1" customHeight="1">
      <c r="E40" s="566">
        <v>15</v>
      </c>
      <c r="F40" s="3" cm="1">
        <f t="array" aca="1" ref="F40" ca="1">OFFSET(E40,-1,1)</f>
        <v>0</v>
      </c>
      <c r="H40" s="404" t="s">
        <v>2101</v>
      </c>
      <c r="T40" s="381" t="b" cm="1">
        <f t="array" ref="T40">T39</f>
        <v>0</v>
      </c>
      <c r="X40" s="1787"/>
      <c r="Z40" s="1788"/>
      <c r="AB40" s="630" t="s">
        <v>2102</v>
      </c>
      <c r="AC40" s="466" t="s">
        <v>1601</v>
      </c>
      <c r="AD40" s="464" t="s">
        <v>766</v>
      </c>
      <c r="AE40" s="1653"/>
      <c r="AH40" s="903" t="s">
        <v>2103</v>
      </c>
      <c r="AM40" s="1652"/>
      <c r="AN40" s="1652"/>
      <c r="AO40" s="1652"/>
      <c r="AP40" s="1652"/>
    </row>
    <row r="41" spans="5:42" ht="21.95" hidden="1" customHeight="1">
      <c r="E41" s="566">
        <v>22.5</v>
      </c>
      <c r="F41" s="3" cm="1">
        <f t="array" aca="1" ref="F41" ca="1">OFFSET(E41,-1,1)</f>
        <v>0</v>
      </c>
      <c r="H41" s="404" t="s">
        <v>2104</v>
      </c>
      <c r="T41" s="381" t="b" cm="1">
        <f t="array" ref="T41">T40</f>
        <v>0</v>
      </c>
      <c r="X41" s="1787"/>
      <c r="Z41" s="1788"/>
      <c r="AB41" s="630" t="s">
        <v>2105</v>
      </c>
      <c r="AC41" s="466" t="s">
        <v>1786</v>
      </c>
      <c r="AD41" s="464" t="s">
        <v>766</v>
      </c>
      <c r="AE41" s="1653"/>
      <c r="AH41" s="966" t="s">
        <v>1787</v>
      </c>
      <c r="AM41" s="1652"/>
      <c r="AN41" s="1652"/>
      <c r="AO41" s="1652"/>
      <c r="AP41" s="1652"/>
    </row>
    <row r="42" spans="5:42" ht="21.95" hidden="1" customHeight="1">
      <c r="E42" s="566">
        <v>22.5</v>
      </c>
      <c r="F42" s="3" cm="1">
        <f t="array" aca="1" ref="F42" ca="1">OFFSET(E42,-1,1)</f>
        <v>0</v>
      </c>
      <c r="H42" s="404" t="s">
        <v>2106</v>
      </c>
      <c r="T42" s="381" t="b" cm="1">
        <f t="array" ref="T42">T41</f>
        <v>0</v>
      </c>
      <c r="X42" s="1787"/>
      <c r="Z42" s="1788"/>
      <c r="AB42" s="630" t="s">
        <v>2107</v>
      </c>
      <c r="AC42" s="466" t="s">
        <v>1790</v>
      </c>
      <c r="AD42" s="464" t="s">
        <v>766</v>
      </c>
      <c r="AE42" s="1653"/>
      <c r="AH42" s="966" t="s">
        <v>1791</v>
      </c>
      <c r="AM42" s="1652"/>
      <c r="AN42" s="1652"/>
      <c r="AO42" s="1652"/>
      <c r="AP42" s="1652"/>
    </row>
    <row r="43" spans="5:42" ht="21.95" hidden="1" customHeight="1">
      <c r="E43" s="566">
        <v>22.5</v>
      </c>
      <c r="F43" s="3" cm="1">
        <f t="array" aca="1" ref="F43" ca="1">OFFSET(E43,-1,1)</f>
        <v>0</v>
      </c>
      <c r="H43" s="404" t="s">
        <v>2108</v>
      </c>
      <c r="T43" s="381" t="b" cm="1">
        <f t="array" ref="T43">T42</f>
        <v>0</v>
      </c>
      <c r="X43" s="1787"/>
      <c r="Z43" s="1788"/>
      <c r="AB43" s="630" t="s">
        <v>2109</v>
      </c>
      <c r="AC43" s="466" t="s">
        <v>2110</v>
      </c>
      <c r="AD43" s="464" t="s">
        <v>766</v>
      </c>
      <c r="AE43" s="1653"/>
      <c r="AH43" s="966" t="s">
        <v>1795</v>
      </c>
      <c r="AM43" s="1652"/>
      <c r="AN43" s="1652"/>
      <c r="AO43" s="1652"/>
      <c r="AP43" s="1652"/>
    </row>
    <row r="44" spans="5:42" ht="54.75" hidden="1" customHeight="1">
      <c r="E44" s="566">
        <v>56.25</v>
      </c>
      <c r="F44" s="3" cm="1">
        <f t="array" aca="1" ref="F44" ca="1">OFFSET(E44,-1,1)</f>
        <v>0</v>
      </c>
      <c r="H44" s="404" t="s">
        <v>2111</v>
      </c>
      <c r="T44" s="381" t="b" cm="1">
        <f t="array" ref="T44">T43</f>
        <v>0</v>
      </c>
      <c r="X44" s="1787"/>
      <c r="Z44" s="1788"/>
      <c r="AB44" s="630" t="s">
        <v>2112</v>
      </c>
      <c r="AC44" s="466" t="s">
        <v>1798</v>
      </c>
      <c r="AD44" s="464" t="s">
        <v>766</v>
      </c>
      <c r="AE44" s="1653"/>
      <c r="AH44" s="966" t="s">
        <v>1606</v>
      </c>
      <c r="AM44" s="1652"/>
      <c r="AN44" s="1652"/>
      <c r="AO44" s="1652"/>
      <c r="AP44" s="1652"/>
    </row>
    <row r="45" spans="5:42" ht="14.65" hidden="1" customHeight="1">
      <c r="E45" s="566">
        <v>15</v>
      </c>
      <c r="F45" s="3" cm="1">
        <f t="array" aca="1" ref="F45" ca="1">OFFSET(E45,-1,1)</f>
        <v>0</v>
      </c>
      <c r="H45" s="404" t="s">
        <v>2113</v>
      </c>
      <c r="T45" s="381" t="b" cm="1">
        <f t="array" ref="T45">T44</f>
        <v>0</v>
      </c>
      <c r="X45" s="1787"/>
      <c r="Z45" s="1788"/>
      <c r="AB45" s="630" t="s">
        <v>2114</v>
      </c>
      <c r="AC45" s="466" t="s">
        <v>1609</v>
      </c>
      <c r="AD45" s="464" t="s">
        <v>766</v>
      </c>
      <c r="AE45" s="1653"/>
      <c r="AH45" s="966" t="s">
        <v>1610</v>
      </c>
      <c r="AM45" s="1652"/>
      <c r="AN45" s="1652"/>
      <c r="AO45" s="1652"/>
      <c r="AP45" s="1652"/>
    </row>
    <row r="46" spans="5:42" ht="14.65" hidden="1" customHeight="1">
      <c r="E46" s="566">
        <v>15</v>
      </c>
      <c r="F46" s="3" cm="1">
        <f t="array" aca="1" ref="F46" ca="1">OFFSET(E46,-1,1)</f>
        <v>0</v>
      </c>
      <c r="H46" s="404" t="s">
        <v>2115</v>
      </c>
      <c r="T46" s="381" t="b" cm="1">
        <f t="array" ref="T46">T45</f>
        <v>0</v>
      </c>
      <c r="X46" s="1787"/>
      <c r="Z46" s="1788"/>
      <c r="AB46" s="630" t="s">
        <v>2116</v>
      </c>
      <c r="AC46" s="466" t="s">
        <v>1101</v>
      </c>
      <c r="AD46" s="464" t="s">
        <v>766</v>
      </c>
      <c r="AE46" s="1653"/>
      <c r="AH46" s="966" t="s">
        <v>1594</v>
      </c>
      <c r="AM46" s="1652"/>
      <c r="AN46" s="1652"/>
      <c r="AO46" s="1652"/>
      <c r="AP46" s="1652"/>
    </row>
    <row r="47" spans="5:42" ht="14.65" hidden="1" customHeight="1">
      <c r="E47" s="566">
        <v>15</v>
      </c>
      <c r="F47" s="3" cm="1">
        <f t="array" aca="1" ref="F47" ca="1">OFFSET(E47,-1,1)</f>
        <v>0</v>
      </c>
      <c r="H47" s="404" t="s">
        <v>431</v>
      </c>
      <c r="T47" s="381" t="b" cm="1">
        <f t="array" ref="T47">T46</f>
        <v>0</v>
      </c>
      <c r="X47" s="1787"/>
      <c r="Z47" s="1788"/>
      <c r="AB47" s="630" t="s">
        <v>824</v>
      </c>
      <c r="AC47" s="463" t="s">
        <v>2117</v>
      </c>
      <c r="AD47" s="464" t="s">
        <v>766</v>
      </c>
      <c r="AE47" s="473">
        <f>AE48+AE49+AE50</f>
        <v>0</v>
      </c>
      <c r="AH47" s="965" t="s">
        <v>1615</v>
      </c>
      <c r="AM47" s="1652"/>
      <c r="AN47" s="1652"/>
      <c r="AO47" s="1652"/>
      <c r="AP47" s="1652"/>
    </row>
    <row r="48" spans="5:42" ht="14.65" hidden="1" customHeight="1">
      <c r="E48" s="566">
        <v>15</v>
      </c>
      <c r="F48" s="3" cm="1">
        <f t="array" aca="1" ref="F48" ca="1">OFFSET(E48,-1,1)</f>
        <v>0</v>
      </c>
      <c r="H48" s="404" t="s">
        <v>1186</v>
      </c>
      <c r="T48" s="381" t="b" cm="1">
        <f t="array" ref="T48">T47</f>
        <v>0</v>
      </c>
      <c r="X48" s="1787"/>
      <c r="Z48" s="1788"/>
      <c r="AB48" s="630" t="s">
        <v>1187</v>
      </c>
      <c r="AC48" s="465" t="s">
        <v>2118</v>
      </c>
      <c r="AD48" s="464" t="s">
        <v>766</v>
      </c>
      <c r="AE48" s="1653"/>
      <c r="AH48" s="964" t="s">
        <v>1617</v>
      </c>
      <c r="AM48" s="1652"/>
      <c r="AN48" s="1652"/>
      <c r="AO48" s="1652"/>
      <c r="AP48" s="1652"/>
    </row>
    <row r="49" spans="5:42" ht="14.65" hidden="1" customHeight="1">
      <c r="E49" s="566">
        <v>15</v>
      </c>
      <c r="F49" s="3" cm="1">
        <f t="array" aca="1" ref="F49" ca="1">OFFSET(E49,-1,1)</f>
        <v>0</v>
      </c>
      <c r="H49" s="404" t="s">
        <v>1189</v>
      </c>
      <c r="T49" s="381" t="b" cm="1">
        <f t="array" ref="T49">T48</f>
        <v>0</v>
      </c>
      <c r="X49" s="1787"/>
      <c r="Z49" s="1788"/>
      <c r="AB49" s="630" t="s">
        <v>1190</v>
      </c>
      <c r="AC49" s="465" t="s">
        <v>2119</v>
      </c>
      <c r="AD49" s="464" t="s">
        <v>766</v>
      </c>
      <c r="AE49" s="1653"/>
      <c r="AH49" s="966" t="s">
        <v>1806</v>
      </c>
      <c r="AM49" s="1652"/>
      <c r="AN49" s="1652"/>
      <c r="AO49" s="1652"/>
      <c r="AP49" s="1652"/>
    </row>
    <row r="50" spans="5:42" ht="21.95" hidden="1" customHeight="1">
      <c r="E50" s="566">
        <v>22.5</v>
      </c>
      <c r="F50" s="3" cm="1">
        <f t="array" aca="1" ref="F50" ca="1">OFFSET(E50,-1,1)</f>
        <v>0</v>
      </c>
      <c r="H50" s="404" t="s">
        <v>1193</v>
      </c>
      <c r="T50" s="381" t="b" cm="1">
        <f t="array" ref="T50">T49</f>
        <v>0</v>
      </c>
      <c r="X50" s="1787"/>
      <c r="Z50" s="1788"/>
      <c r="AB50" s="630" t="s">
        <v>1194</v>
      </c>
      <c r="AC50" s="465" t="s">
        <v>2120</v>
      </c>
      <c r="AD50" s="464" t="s">
        <v>766</v>
      </c>
      <c r="AE50" s="473">
        <f>AE51+AE54</f>
        <v>0</v>
      </c>
      <c r="AH50" s="964" t="s">
        <v>1619</v>
      </c>
      <c r="AM50" s="1652"/>
      <c r="AN50" s="1652"/>
      <c r="AO50" s="1652"/>
      <c r="AP50" s="1652"/>
    </row>
    <row r="51" spans="5:42" ht="14.65" hidden="1" customHeight="1">
      <c r="E51" s="566">
        <v>15</v>
      </c>
      <c r="F51" s="3" cm="1">
        <f t="array" aca="1" ref="F51" ca="1">OFFSET(E51,-1,1)</f>
        <v>0</v>
      </c>
      <c r="H51" s="404" t="s">
        <v>1337</v>
      </c>
      <c r="T51" s="381" t="b" cm="1">
        <f t="array" ref="T51">T50</f>
        <v>0</v>
      </c>
      <c r="X51" s="1787"/>
      <c r="Z51" s="1788"/>
      <c r="AB51" s="630" t="s">
        <v>1775</v>
      </c>
      <c r="AC51" s="466" t="s">
        <v>1621</v>
      </c>
      <c r="AD51" s="464" t="s">
        <v>766</v>
      </c>
      <c r="AE51" s="1653"/>
      <c r="AH51" s="964" t="s">
        <v>1622</v>
      </c>
      <c r="AM51" s="1652"/>
      <c r="AN51" s="1652"/>
      <c r="AO51" s="1652"/>
      <c r="AP51" s="1652"/>
    </row>
    <row r="52" spans="5:42" ht="14.65" hidden="1" customHeight="1">
      <c r="E52" s="566">
        <v>15</v>
      </c>
      <c r="F52" s="3" cm="1">
        <f t="array" aca="1" ref="F52" ca="1">OFFSET(E52,-1,1)</f>
        <v>0</v>
      </c>
      <c r="H52" s="404" t="s">
        <v>2121</v>
      </c>
      <c r="T52" s="381" t="b" cm="1">
        <f t="array" ref="T52">T51</f>
        <v>0</v>
      </c>
      <c r="X52" s="1787"/>
      <c r="Z52" s="1788"/>
      <c r="AB52" s="630" t="s">
        <v>2122</v>
      </c>
      <c r="AC52" s="467" t="s">
        <v>2123</v>
      </c>
      <c r="AD52" s="464" t="s">
        <v>2086</v>
      </c>
      <c r="AE52" s="1653"/>
      <c r="AH52" s="903" t="s">
        <v>2124</v>
      </c>
      <c r="AM52" s="1652"/>
      <c r="AN52" s="1652"/>
      <c r="AO52" s="1652"/>
      <c r="AP52" s="1652"/>
    </row>
    <row r="53" spans="5:42" ht="14.65" hidden="1" customHeight="1">
      <c r="E53" s="566">
        <v>15</v>
      </c>
      <c r="F53" s="3" cm="1">
        <f t="array" aca="1" ref="F53" ca="1">OFFSET(E53,-1,1)</f>
        <v>0</v>
      </c>
      <c r="H53" s="404" t="s">
        <v>2125</v>
      </c>
      <c r="T53" s="381" t="b" cm="1">
        <f t="array" ref="T53">T52</f>
        <v>0</v>
      </c>
      <c r="X53" s="1787"/>
      <c r="Z53" s="1788"/>
      <c r="AB53" s="630" t="s">
        <v>2126</v>
      </c>
      <c r="AC53" s="467" t="s">
        <v>2127</v>
      </c>
      <c r="AD53" s="464" t="s">
        <v>2091</v>
      </c>
      <c r="AE53" s="1653"/>
      <c r="AH53" s="903" t="s">
        <v>2128</v>
      </c>
      <c r="AM53" s="1652"/>
      <c r="AN53" s="1652"/>
      <c r="AO53" s="1652"/>
      <c r="AP53" s="1652"/>
    </row>
    <row r="54" spans="5:42" ht="21.95" hidden="1" customHeight="1">
      <c r="E54" s="566">
        <v>22.5</v>
      </c>
      <c r="F54" s="3" cm="1">
        <f t="array" aca="1" ref="F54" ca="1">OFFSET(E54,-1,1)</f>
        <v>0</v>
      </c>
      <c r="H54" s="404" t="s">
        <v>1341</v>
      </c>
      <c r="T54" s="381" t="b" cm="1">
        <f t="array" ref="T54">T53</f>
        <v>0</v>
      </c>
      <c r="X54" s="1787"/>
      <c r="Z54" s="1788"/>
      <c r="AB54" s="630" t="s">
        <v>1776</v>
      </c>
      <c r="AC54" s="466" t="s">
        <v>1812</v>
      </c>
      <c r="AD54" s="464" t="s">
        <v>766</v>
      </c>
      <c r="AE54" s="1653"/>
      <c r="AH54" s="964" t="s">
        <v>1625</v>
      </c>
      <c r="AM54" s="1652"/>
      <c r="AN54" s="1652"/>
      <c r="AO54" s="1652"/>
      <c r="AP54" s="1652"/>
    </row>
    <row r="55" spans="5:42" ht="14.65" hidden="1" customHeight="1">
      <c r="E55" s="566">
        <v>15</v>
      </c>
      <c r="F55" s="3" cm="1">
        <f t="array" aca="1" ref="F55" ca="1">OFFSET(E55,-1,1)</f>
        <v>0</v>
      </c>
      <c r="H55" s="404" t="s">
        <v>434</v>
      </c>
      <c r="T55" s="381" t="b" cm="1">
        <f t="array" ref="T55">T54</f>
        <v>0</v>
      </c>
      <c r="X55" s="1787"/>
      <c r="Z55" s="1788"/>
      <c r="AB55" s="630" t="s">
        <v>827</v>
      </c>
      <c r="AC55" s="463" t="s">
        <v>1813</v>
      </c>
      <c r="AD55" s="464" t="s">
        <v>766</v>
      </c>
      <c r="AE55" s="473">
        <f>AE56+AE62+AE67+AE68+AE69+AE70+AE71</f>
        <v>0</v>
      </c>
      <c r="AH55" s="965" t="s">
        <v>1627</v>
      </c>
      <c r="AM55" s="1652"/>
      <c r="AN55" s="1652"/>
      <c r="AO55" s="1652"/>
      <c r="AP55" s="1652"/>
    </row>
    <row r="56" spans="5:42" ht="21.95" hidden="1" customHeight="1">
      <c r="E56" s="566">
        <v>22.5</v>
      </c>
      <c r="F56" s="3" cm="1">
        <f t="array" aca="1" ref="F56" ca="1">OFFSET(E56,-1,1)</f>
        <v>0</v>
      </c>
      <c r="H56" s="404" t="s">
        <v>1199</v>
      </c>
      <c r="T56" s="381" t="b" cm="1">
        <f t="array" ref="T56">T55</f>
        <v>0</v>
      </c>
      <c r="X56" s="1787"/>
      <c r="Z56" s="1788"/>
      <c r="AB56" s="630" t="s">
        <v>1200</v>
      </c>
      <c r="AC56" s="465" t="s">
        <v>1628</v>
      </c>
      <c r="AD56" s="464" t="s">
        <v>766</v>
      </c>
      <c r="AE56" s="473">
        <f>SUM(AE57:AE61)</f>
        <v>0</v>
      </c>
      <c r="AH56" s="964" t="s">
        <v>1054</v>
      </c>
      <c r="AM56" s="1652"/>
      <c r="AN56" s="1652"/>
      <c r="AO56" s="1652"/>
      <c r="AP56" s="1652"/>
    </row>
    <row r="57" spans="5:42" ht="14.65" hidden="1" customHeight="1">
      <c r="E57" s="566">
        <v>15</v>
      </c>
      <c r="F57" s="3" cm="1">
        <f t="array" aca="1" ref="F57" ca="1">OFFSET(E57,-1,1)</f>
        <v>0</v>
      </c>
      <c r="H57" s="404" t="s">
        <v>2129</v>
      </c>
      <c r="T57" s="381" t="b" cm="1">
        <f t="array" ref="T57">T56</f>
        <v>0</v>
      </c>
      <c r="X57" s="1787"/>
      <c r="Z57" s="1788"/>
      <c r="AB57" s="630" t="s">
        <v>2130</v>
      </c>
      <c r="AC57" s="466" t="s">
        <v>1056</v>
      </c>
      <c r="AD57" s="464" t="s">
        <v>766</v>
      </c>
      <c r="AE57" s="1653"/>
      <c r="AH57" s="966" t="s">
        <v>1057</v>
      </c>
      <c r="AM57" s="1652"/>
      <c r="AN57" s="1652"/>
      <c r="AO57" s="1652"/>
      <c r="AP57" s="1652"/>
    </row>
    <row r="58" spans="5:42" ht="14.65" hidden="1" customHeight="1">
      <c r="E58" s="566">
        <v>15</v>
      </c>
      <c r="F58" s="3" cm="1">
        <f t="array" aca="1" ref="F58" ca="1">OFFSET(E58,-1,1)</f>
        <v>0</v>
      </c>
      <c r="H58" s="404" t="s">
        <v>2131</v>
      </c>
      <c r="T58" s="381" t="b" cm="1">
        <f t="array" ref="T58">T57</f>
        <v>0</v>
      </c>
      <c r="X58" s="1787"/>
      <c r="Z58" s="1788"/>
      <c r="AB58" s="630" t="s">
        <v>2132</v>
      </c>
      <c r="AC58" s="466" t="s">
        <v>1059</v>
      </c>
      <c r="AD58" s="464" t="s">
        <v>766</v>
      </c>
      <c r="AE58" s="1653"/>
      <c r="AH58" s="966" t="s">
        <v>1060</v>
      </c>
      <c r="AM58" s="1652"/>
      <c r="AN58" s="1652"/>
      <c r="AO58" s="1652"/>
      <c r="AP58" s="1652"/>
    </row>
    <row r="59" spans="5:42" ht="14.65" hidden="1" customHeight="1">
      <c r="E59" s="566">
        <v>15</v>
      </c>
      <c r="F59" s="3" cm="1">
        <f t="array" aca="1" ref="F59" ca="1">OFFSET(E59,-1,1)</f>
        <v>0</v>
      </c>
      <c r="H59" s="404" t="s">
        <v>2133</v>
      </c>
      <c r="T59" s="381" t="b" cm="1">
        <f t="array" ref="T59">T58</f>
        <v>0</v>
      </c>
      <c r="X59" s="1787"/>
      <c r="Z59" s="1788"/>
      <c r="AB59" s="630" t="s">
        <v>2134</v>
      </c>
      <c r="AC59" s="466" t="s">
        <v>1062</v>
      </c>
      <c r="AD59" s="464" t="s">
        <v>766</v>
      </c>
      <c r="AE59" s="1653"/>
      <c r="AH59" s="966" t="s">
        <v>1063</v>
      </c>
      <c r="AM59" s="1652"/>
      <c r="AN59" s="1652"/>
      <c r="AO59" s="1652"/>
      <c r="AP59" s="1652"/>
    </row>
    <row r="60" spans="5:42" ht="14.65" hidden="1" customHeight="1">
      <c r="E60" s="566">
        <v>15</v>
      </c>
      <c r="F60" s="3" cm="1">
        <f t="array" aca="1" ref="F60" ca="1">OFFSET(E60,-1,1)</f>
        <v>0</v>
      </c>
      <c r="H60" s="404" t="s">
        <v>2135</v>
      </c>
      <c r="T60" s="381" t="b" cm="1">
        <f t="array" ref="T60">T59</f>
        <v>0</v>
      </c>
      <c r="X60" s="1787"/>
      <c r="Z60" s="1788"/>
      <c r="AB60" s="630" t="s">
        <v>2136</v>
      </c>
      <c r="AC60" s="466" t="s">
        <v>1065</v>
      </c>
      <c r="AD60" s="464" t="s">
        <v>766</v>
      </c>
      <c r="AE60" s="1653"/>
      <c r="AH60" s="966" t="s">
        <v>1066</v>
      </c>
      <c r="AM60" s="1652"/>
      <c r="AN60" s="1652"/>
      <c r="AO60" s="1652"/>
      <c r="AP60" s="1652"/>
    </row>
    <row r="61" spans="5:42" ht="14.65" hidden="1" customHeight="1">
      <c r="E61" s="566">
        <v>15</v>
      </c>
      <c r="F61" s="3" cm="1">
        <f t="array" aca="1" ref="F61" ca="1">OFFSET(E61,-1,1)</f>
        <v>0</v>
      </c>
      <c r="H61" s="404" t="s">
        <v>2137</v>
      </c>
      <c r="T61" s="381" t="b" cm="1">
        <f t="array" ref="T61">T60</f>
        <v>0</v>
      </c>
      <c r="X61" s="1787"/>
      <c r="Z61" s="1788"/>
      <c r="AB61" s="630" t="s">
        <v>2138</v>
      </c>
      <c r="AC61" s="466" t="s">
        <v>1073</v>
      </c>
      <c r="AD61" s="464" t="s">
        <v>766</v>
      </c>
      <c r="AE61" s="1653"/>
      <c r="AH61" s="966" t="s">
        <v>1074</v>
      </c>
      <c r="AM61" s="1652"/>
      <c r="AN61" s="1652"/>
      <c r="AO61" s="1652"/>
      <c r="AP61" s="1652"/>
    </row>
    <row r="62" spans="5:42" ht="32.85" hidden="1" customHeight="1">
      <c r="E62" s="566">
        <v>33.75</v>
      </c>
      <c r="F62" s="3" cm="1">
        <f t="array" aca="1" ref="F62" ca="1">OFFSET(E62,-1,1)</f>
        <v>0</v>
      </c>
      <c r="H62" s="404" t="s">
        <v>1203</v>
      </c>
      <c r="T62" s="381" t="b" cm="1">
        <f t="array" ref="T62">T61</f>
        <v>0</v>
      </c>
      <c r="X62" s="1787"/>
      <c r="Z62" s="1788"/>
      <c r="AB62" s="630" t="s">
        <v>1204</v>
      </c>
      <c r="AC62" s="465" t="s">
        <v>2139</v>
      </c>
      <c r="AD62" s="464" t="s">
        <v>766</v>
      </c>
      <c r="AE62" s="473">
        <f>AE63+AE66</f>
        <v>0</v>
      </c>
      <c r="AH62" s="964" t="s">
        <v>1630</v>
      </c>
      <c r="AM62" s="1652"/>
      <c r="AN62" s="1652"/>
      <c r="AO62" s="1652"/>
      <c r="AP62" s="1652"/>
    </row>
    <row r="63" spans="5:42" ht="21.95" hidden="1" customHeight="1">
      <c r="E63" s="566">
        <v>22.5</v>
      </c>
      <c r="F63" s="3" cm="1">
        <f t="array" aca="1" ref="F63" ca="1">OFFSET(E63,-1,1)</f>
        <v>0</v>
      </c>
      <c r="H63" s="404" t="s">
        <v>2140</v>
      </c>
      <c r="T63" s="381" t="b" cm="1">
        <f t="array" ref="T63">T62</f>
        <v>0</v>
      </c>
      <c r="X63" s="1787"/>
      <c r="Z63" s="1788"/>
      <c r="AB63" s="630" t="s">
        <v>2141</v>
      </c>
      <c r="AC63" s="466" t="s">
        <v>1631</v>
      </c>
      <c r="AD63" s="464" t="s">
        <v>766</v>
      </c>
      <c r="AE63" s="1653"/>
      <c r="AH63" s="964" t="s">
        <v>1051</v>
      </c>
      <c r="AM63" s="1652"/>
      <c r="AN63" s="1652"/>
      <c r="AO63" s="1652"/>
      <c r="AP63" s="1652"/>
    </row>
    <row r="64" spans="5:42" ht="14.65" hidden="1" customHeight="1">
      <c r="E64" s="566">
        <v>15</v>
      </c>
      <c r="F64" s="3" cm="1">
        <f t="array" aca="1" ref="F64" ca="1">OFFSET(E64,-1,1)</f>
        <v>0</v>
      </c>
      <c r="H64" s="404" t="s">
        <v>2142</v>
      </c>
      <c r="T64" s="381" t="b" cm="1">
        <f t="array" ref="T64">T63</f>
        <v>0</v>
      </c>
      <c r="X64" s="1787"/>
      <c r="Z64" s="1788"/>
      <c r="AB64" s="630" t="s">
        <v>2143</v>
      </c>
      <c r="AC64" s="467" t="s">
        <v>2144</v>
      </c>
      <c r="AD64" s="464" t="s">
        <v>2086</v>
      </c>
      <c r="AE64" s="1653"/>
      <c r="AH64" s="903" t="s">
        <v>2145</v>
      </c>
      <c r="AM64" s="1652"/>
      <c r="AN64" s="1652"/>
      <c r="AO64" s="1652"/>
      <c r="AP64" s="1652"/>
    </row>
    <row r="65" spans="1:42" ht="21.95" hidden="1" customHeight="1">
      <c r="E65" s="566">
        <v>22.5</v>
      </c>
      <c r="F65" s="3" cm="1">
        <f t="array" aca="1" ref="F65" ca="1">OFFSET(E65,-1,1)</f>
        <v>0</v>
      </c>
      <c r="H65" s="404" t="s">
        <v>2146</v>
      </c>
      <c r="T65" s="381" t="b" cm="1">
        <f t="array" ref="T65">T64</f>
        <v>0</v>
      </c>
      <c r="X65" s="1787"/>
      <c r="Z65" s="1788"/>
      <c r="AB65" s="630" t="s">
        <v>2147</v>
      </c>
      <c r="AC65" s="467" t="s">
        <v>2148</v>
      </c>
      <c r="AD65" s="464" t="s">
        <v>2091</v>
      </c>
      <c r="AE65" s="1653"/>
      <c r="AH65" s="903" t="s">
        <v>2149</v>
      </c>
      <c r="AM65" s="1652"/>
      <c r="AN65" s="1652"/>
      <c r="AO65" s="1652"/>
      <c r="AP65" s="1652"/>
    </row>
    <row r="66" spans="1:42" ht="21.95" hidden="1" customHeight="1">
      <c r="E66" s="566">
        <v>22.5</v>
      </c>
      <c r="F66" s="3" cm="1">
        <f t="array" aca="1" ref="F66" ca="1">OFFSET(E66,-1,1)</f>
        <v>0</v>
      </c>
      <c r="H66" s="404" t="s">
        <v>2150</v>
      </c>
      <c r="T66" s="381" t="b" cm="1">
        <f t="array" ref="T66">T65</f>
        <v>0</v>
      </c>
      <c r="X66" s="1787"/>
      <c r="Z66" s="1788"/>
      <c r="AB66" s="630" t="s">
        <v>2151</v>
      </c>
      <c r="AC66" s="466" t="s">
        <v>1836</v>
      </c>
      <c r="AD66" s="464" t="s">
        <v>766</v>
      </c>
      <c r="AE66" s="1653"/>
      <c r="AH66" s="964" t="s">
        <v>1633</v>
      </c>
      <c r="AM66" s="1652"/>
      <c r="AN66" s="1652"/>
      <c r="AO66" s="1652"/>
      <c r="AP66" s="1652"/>
    </row>
    <row r="67" spans="1:42" ht="21.95" hidden="1" customHeight="1">
      <c r="E67" s="566">
        <v>22.5</v>
      </c>
      <c r="F67" s="3" cm="1">
        <f t="array" aca="1" ref="F67" ca="1">OFFSET(E67,-1,1)</f>
        <v>0</v>
      </c>
      <c r="H67" s="404" t="s">
        <v>1207</v>
      </c>
      <c r="T67" s="381" t="b" cm="1">
        <f t="array" ref="T67">T66</f>
        <v>0</v>
      </c>
      <c r="X67" s="1787"/>
      <c r="Z67" s="1788"/>
      <c r="AB67" s="630" t="s">
        <v>1208</v>
      </c>
      <c r="AC67" s="465" t="s">
        <v>2152</v>
      </c>
      <c r="AD67" s="464" t="s">
        <v>766</v>
      </c>
      <c r="AE67" s="1653"/>
      <c r="AH67" s="964" t="s">
        <v>1082</v>
      </c>
      <c r="AM67" s="1652"/>
      <c r="AN67" s="1652"/>
      <c r="AO67" s="1652"/>
      <c r="AP67" s="1652"/>
    </row>
    <row r="68" spans="1:42" ht="14.65" hidden="1" customHeight="1">
      <c r="E68" s="566">
        <v>15</v>
      </c>
      <c r="F68" s="3" cm="1">
        <f t="array" aca="1" ref="F68" ca="1">OFFSET(E68,-1,1)</f>
        <v>0</v>
      </c>
      <c r="H68" s="404" t="s">
        <v>2153</v>
      </c>
      <c r="T68" s="381" t="b" cm="1">
        <f t="array" ref="T68">T67</f>
        <v>0</v>
      </c>
      <c r="X68" s="1787"/>
      <c r="Z68" s="1788"/>
      <c r="AB68" s="630" t="s">
        <v>2154</v>
      </c>
      <c r="AC68" s="465" t="s">
        <v>1084</v>
      </c>
      <c r="AD68" s="464" t="s">
        <v>766</v>
      </c>
      <c r="AE68" s="1653"/>
      <c r="AH68" s="964" t="s">
        <v>1085</v>
      </c>
      <c r="AM68" s="1652"/>
      <c r="AN68" s="1652"/>
      <c r="AO68" s="1652"/>
      <c r="AP68" s="1652"/>
    </row>
    <row r="69" spans="1:42" ht="14.65" hidden="1" customHeight="1">
      <c r="E69" s="566">
        <v>15</v>
      </c>
      <c r="F69" s="3" cm="1">
        <f t="array" aca="1" ref="F69" ca="1">OFFSET(E69,-1,1)</f>
        <v>0</v>
      </c>
      <c r="H69" s="404" t="s">
        <v>2155</v>
      </c>
      <c r="T69" s="381" t="b" cm="1">
        <f t="array" ref="T69">T68</f>
        <v>0</v>
      </c>
      <c r="X69" s="1787"/>
      <c r="Z69" s="1788"/>
      <c r="AB69" s="630" t="s">
        <v>2156</v>
      </c>
      <c r="AC69" s="465" t="s">
        <v>1087</v>
      </c>
      <c r="AD69" s="464" t="s">
        <v>766</v>
      </c>
      <c r="AE69" s="1653"/>
      <c r="AH69" s="964" t="s">
        <v>1088</v>
      </c>
      <c r="AM69" s="1652"/>
      <c r="AN69" s="1652"/>
      <c r="AO69" s="1652"/>
      <c r="AP69" s="1652"/>
    </row>
    <row r="70" spans="1:42" ht="21.95" hidden="1" customHeight="1">
      <c r="E70" s="566">
        <v>22.5</v>
      </c>
      <c r="F70" s="3" cm="1">
        <f t="array" aca="1" ref="F70" ca="1">OFFSET(E70,-1,1)</f>
        <v>0</v>
      </c>
      <c r="H70" s="404" t="s">
        <v>2157</v>
      </c>
      <c r="T70" s="381" t="b" cm="1">
        <f t="array" ref="T70">T69</f>
        <v>0</v>
      </c>
      <c r="X70" s="1787"/>
      <c r="Z70" s="1788"/>
      <c r="AB70" s="630" t="s">
        <v>2158</v>
      </c>
      <c r="AC70" s="465" t="s">
        <v>2159</v>
      </c>
      <c r="AD70" s="464" t="s">
        <v>766</v>
      </c>
      <c r="AE70" s="1653"/>
      <c r="AH70" s="964" t="s">
        <v>1635</v>
      </c>
      <c r="AM70" s="1652"/>
      <c r="AN70" s="1652"/>
      <c r="AO70" s="1652"/>
      <c r="AP70" s="1652"/>
    </row>
    <row r="71" spans="1:42" ht="14.65" hidden="1" customHeight="1">
      <c r="E71" s="566">
        <v>15</v>
      </c>
      <c r="F71" s="3" cm="1">
        <f t="array" aca="1" ref="F71" ca="1">OFFSET(E71,-1,1)</f>
        <v>0</v>
      </c>
      <c r="H71" s="404" t="s">
        <v>2160</v>
      </c>
      <c r="T71" s="381" t="b" cm="1">
        <f t="array" ref="T71">T70</f>
        <v>0</v>
      </c>
      <c r="X71" s="1787"/>
      <c r="Z71" s="1788"/>
      <c r="AB71" s="630" t="s">
        <v>2161</v>
      </c>
      <c r="AC71" s="465" t="s">
        <v>2162</v>
      </c>
      <c r="AD71" s="464" t="s">
        <v>766</v>
      </c>
      <c r="AE71" s="473">
        <f>AE72+AE73+AE74</f>
        <v>0</v>
      </c>
      <c r="AH71" s="964" t="s">
        <v>1637</v>
      </c>
      <c r="AM71" s="1652"/>
      <c r="AN71" s="1652"/>
      <c r="AO71" s="1652"/>
      <c r="AP71" s="1652"/>
    </row>
    <row r="72" spans="1:42" ht="14.65" hidden="1" customHeight="1">
      <c r="E72" s="566">
        <v>15</v>
      </c>
      <c r="F72" s="3" cm="1">
        <f t="array" aca="1" ref="F72" ca="1">OFFSET(E72,-1,1)</f>
        <v>0</v>
      </c>
      <c r="H72" s="404" t="s">
        <v>2163</v>
      </c>
      <c r="T72" s="381" t="b" cm="1">
        <f t="array" ref="T72">T71</f>
        <v>0</v>
      </c>
      <c r="X72" s="1787"/>
      <c r="Z72" s="1788"/>
      <c r="AB72" s="630" t="s">
        <v>2164</v>
      </c>
      <c r="AC72" s="466" t="s">
        <v>2165</v>
      </c>
      <c r="AD72" s="464" t="s">
        <v>766</v>
      </c>
      <c r="AE72" s="1653"/>
      <c r="AH72" s="964" t="s">
        <v>1641</v>
      </c>
      <c r="AM72" s="1652"/>
      <c r="AN72" s="1652"/>
      <c r="AO72" s="1652"/>
      <c r="AP72" s="1652"/>
    </row>
    <row r="73" spans="1:42" ht="14.65" hidden="1" customHeight="1">
      <c r="E73" s="566">
        <v>15</v>
      </c>
      <c r="F73" s="3" cm="1">
        <f t="array" aca="1" ref="F73" ca="1">OFFSET(E73,-1,1)</f>
        <v>0</v>
      </c>
      <c r="H73" s="404" t="s">
        <v>2166</v>
      </c>
      <c r="T73" s="381" t="b" cm="1">
        <f t="array" ref="T73">T72</f>
        <v>0</v>
      </c>
      <c r="X73" s="1787"/>
      <c r="Z73" s="1788"/>
      <c r="AB73" s="631" t="s">
        <v>2167</v>
      </c>
      <c r="AC73" s="468" t="s">
        <v>2168</v>
      </c>
      <c r="AD73" s="469" t="s">
        <v>766</v>
      </c>
      <c r="AE73" s="1653"/>
      <c r="AH73" s="964" t="s">
        <v>1644</v>
      </c>
      <c r="AM73" s="1652"/>
      <c r="AN73" s="1652"/>
      <c r="AO73" s="1652"/>
      <c r="AP73" s="1652"/>
    </row>
    <row r="74" spans="1:42" ht="14.65" hidden="1" customHeight="1">
      <c r="E74" s="566">
        <v>15</v>
      </c>
      <c r="F74" s="3" cm="1">
        <f t="array" aca="1" ref="F74" ca="1">OFFSET(E74,-1,1)</f>
        <v>0</v>
      </c>
      <c r="H74" s="404" t="s">
        <v>2169</v>
      </c>
      <c r="T74" s="381" t="b" cm="1">
        <f t="array" ref="T74">T73</f>
        <v>0</v>
      </c>
      <c r="X74" s="1787"/>
      <c r="Z74" s="1788"/>
      <c r="AB74" s="631" t="s">
        <v>2170</v>
      </c>
      <c r="AC74" s="468" t="s">
        <v>1101</v>
      </c>
      <c r="AD74" s="469" t="s">
        <v>766</v>
      </c>
      <c r="AE74" s="1653"/>
      <c r="AH74" s="964" t="s">
        <v>1647</v>
      </c>
      <c r="AM74" s="1652"/>
      <c r="AN74" s="1652"/>
      <c r="AO74" s="1652"/>
      <c r="AP74" s="1652"/>
    </row>
    <row r="75" spans="1:42" ht="14.65" hidden="1" customHeight="1">
      <c r="E75" s="566">
        <v>15</v>
      </c>
      <c r="F75" s="3" cm="1">
        <f t="array" aca="1" ref="F75" ca="1">OFFSET(E75,-1,1)</f>
        <v>0</v>
      </c>
      <c r="H75" s="404" t="s">
        <v>438</v>
      </c>
      <c r="T75" s="381" t="b" cm="1">
        <f t="array" ref="T75">T74</f>
        <v>0</v>
      </c>
      <c r="X75" s="1787"/>
      <c r="Z75" s="1788"/>
      <c r="AB75" s="631" t="s">
        <v>830</v>
      </c>
      <c r="AC75" s="470" t="s">
        <v>2171</v>
      </c>
      <c r="AD75" s="469" t="s">
        <v>766</v>
      </c>
      <c r="AE75" s="473">
        <f>SUM(AE76:AE77)</f>
        <v>0</v>
      </c>
      <c r="AH75" s="966" t="s">
        <v>2172</v>
      </c>
      <c r="AM75" s="1652"/>
      <c r="AN75" s="1652"/>
      <c r="AO75" s="1652"/>
      <c r="AP75" s="1652"/>
    </row>
    <row r="76" spans="1:42" ht="14.65" hidden="1" customHeight="1">
      <c r="E76" s="566">
        <v>15</v>
      </c>
      <c r="F76" s="3" cm="1">
        <f t="array" aca="1" ref="F76" ca="1">OFFSET(E76,-1,1)</f>
        <v>0</v>
      </c>
      <c r="H76" s="404" t="s">
        <v>438</v>
      </c>
      <c r="I76" s="479" cm="1">
        <f t="array" ref="I76">AC76</f>
        <v>0</v>
      </c>
      <c r="T76" s="381" t="b">
        <f ca="1">AND(F76&gt;0,Y76&gt;0)</f>
        <v>0</v>
      </c>
      <c r="W76" s="471" t="s">
        <v>173</v>
      </c>
      <c r="X76" s="1787"/>
      <c r="Y76" s="404">
        <v>0</v>
      </c>
      <c r="Z76" s="1788"/>
      <c r="AA76" s="1176" t="s">
        <v>174</v>
      </c>
      <c r="AB76" s="630" t="str">
        <f>"1.4."&amp;Y76</f>
        <v>1.4.0</v>
      </c>
      <c r="AC76" s="1654"/>
      <c r="AD76" s="464" t="s">
        <v>766</v>
      </c>
      <c r="AE76" s="1655"/>
      <c r="AH76" s="966" t="s">
        <v>2172</v>
      </c>
      <c r="AI76" s="903" t="s">
        <v>2173</v>
      </c>
      <c r="AJ76" s="903" cm="1">
        <f t="array" ref="AJ76">AC76</f>
        <v>0</v>
      </c>
      <c r="AL76" s="573" t="b">
        <v>1</v>
      </c>
      <c r="AM76" s="1652"/>
      <c r="AN76" s="1652"/>
      <c r="AO76" s="1652"/>
      <c r="AP76" s="1652"/>
    </row>
    <row r="77" spans="1:42" ht="14.65" hidden="1" customHeight="1">
      <c r="E77" s="566">
        <v>15</v>
      </c>
      <c r="F77" s="3" cm="1">
        <f t="array" aca="1" ref="F77" ca="1">OFFSET(E77,-1,1)</f>
        <v>0</v>
      </c>
      <c r="I77" s="1177" t="str">
        <f>"!== 'не определено' &amp;&amp; row.l1_4 !== null"</f>
        <v>!== 'не определено' &amp;&amp; row.l1_4 !== null</v>
      </c>
      <c r="T77" s="381" t="b">
        <f ca="1">F77&gt;0</f>
        <v>0</v>
      </c>
      <c r="W77" s="1319" t="s">
        <v>389</v>
      </c>
      <c r="X77" s="1787"/>
      <c r="Z77" s="1788"/>
      <c r="AB77" s="1178"/>
      <c r="AC77" s="1179" t="s">
        <v>177</v>
      </c>
      <c r="AD77" s="1180"/>
      <c r="AE77" s="1236"/>
      <c r="AK77" s="573" t="s">
        <v>2173</v>
      </c>
      <c r="AM77" s="1652"/>
      <c r="AN77" s="1652"/>
      <c r="AO77" s="1652"/>
      <c r="AP77" s="1652"/>
    </row>
    <row r="78" spans="1:42" ht="14.65" hidden="1" customHeight="1">
      <c r="E78" s="566">
        <v>15</v>
      </c>
      <c r="F78" s="3" cm="1">
        <f t="array" aca="1" ref="F78" ca="1">OFFSET(E78,-1,1)</f>
        <v>0</v>
      </c>
      <c r="H78" s="404" t="s">
        <v>324</v>
      </c>
      <c r="T78" s="381" t="b" cm="1">
        <f t="array" aca="1" ref="T78" ca="1">T77</f>
        <v>0</v>
      </c>
      <c r="X78" s="1787"/>
      <c r="Z78" s="1788"/>
      <c r="AB78" s="629" t="s">
        <v>224</v>
      </c>
      <c r="AC78" s="461" t="s">
        <v>1861</v>
      </c>
      <c r="AD78" s="462" t="s">
        <v>766</v>
      </c>
      <c r="AE78" s="473">
        <f>AE79+AE91+AE92+AE102+AE103+AE104+AE107+AE108+AE109+AE110+AE111+AE112</f>
        <v>0</v>
      </c>
      <c r="AH78" s="903" t="s">
        <v>2174</v>
      </c>
      <c r="AM78" s="1652"/>
      <c r="AN78" s="1652"/>
      <c r="AO78" s="1652"/>
      <c r="AP78" s="1652"/>
    </row>
    <row r="79" spans="1:42" s="1314" customFormat="1" ht="26.25" hidden="1" customHeight="1">
      <c r="A79" s="584"/>
      <c r="B79" s="404"/>
      <c r="C79" s="404"/>
      <c r="D79" s="404"/>
      <c r="E79" s="566">
        <v>27</v>
      </c>
      <c r="F79" s="439" cm="1">
        <f t="array" aca="1" ref="F79" ca="1">OFFSET(E79,-1,1)</f>
        <v>0</v>
      </c>
      <c r="G79" s="404"/>
      <c r="H79" s="404"/>
      <c r="I79" s="404"/>
      <c r="J79" s="404"/>
      <c r="K79" s="404"/>
      <c r="L79" s="404"/>
      <c r="M79" s="404"/>
      <c r="N79" s="404"/>
      <c r="O79" s="404"/>
      <c r="P79" s="404"/>
      <c r="Q79" s="404"/>
      <c r="R79" s="404"/>
      <c r="S79" s="404"/>
      <c r="T79" s="381" t="b" cm="1">
        <f t="array" aca="1" ref="T79" ca="1">T78</f>
        <v>0</v>
      </c>
      <c r="U79" s="404"/>
      <c r="V79" s="404"/>
      <c r="W79" s="404"/>
      <c r="X79" s="1787"/>
      <c r="Y79" s="404"/>
      <c r="Z79" s="1788"/>
      <c r="AA79" s="404"/>
      <c r="AB79" s="1170" t="s">
        <v>502</v>
      </c>
      <c r="AC79" s="1181" t="s">
        <v>1863</v>
      </c>
      <c r="AD79" s="1169" t="s">
        <v>766</v>
      </c>
      <c r="AE79" s="473">
        <f>SUM(AE80:AE90)</f>
        <v>0</v>
      </c>
      <c r="AF79" s="1009"/>
      <c r="AG79" s="1009"/>
      <c r="AH79" s="966" t="s">
        <v>1102</v>
      </c>
      <c r="AI79" s="960"/>
      <c r="AJ79" s="960"/>
      <c r="AK79" s="869"/>
      <c r="AL79" s="869"/>
    </row>
    <row r="80" spans="1:42" s="1314" customFormat="1" ht="14.65" hidden="1" customHeight="1">
      <c r="A80" s="584"/>
      <c r="B80" s="404"/>
      <c r="C80" s="404"/>
      <c r="D80" s="404"/>
      <c r="E80" s="566">
        <v>15</v>
      </c>
      <c r="F80" s="439" cm="1">
        <f t="array" aca="1" ref="F80" ca="1">OFFSET(E80,-1,1)</f>
        <v>0</v>
      </c>
      <c r="G80" s="404"/>
      <c r="H80" s="404"/>
      <c r="I80" s="404"/>
      <c r="J80" s="404"/>
      <c r="K80" s="404"/>
      <c r="L80" s="404"/>
      <c r="M80" s="404"/>
      <c r="N80" s="404"/>
      <c r="O80" s="404"/>
      <c r="P80" s="404"/>
      <c r="Q80" s="404"/>
      <c r="R80" s="404"/>
      <c r="S80" s="404"/>
      <c r="T80" s="381" t="b" cm="1">
        <f t="array" aca="1" ref="T80" ca="1">T79</f>
        <v>0</v>
      </c>
      <c r="U80" s="404"/>
      <c r="V80" s="404"/>
      <c r="W80" s="404"/>
      <c r="X80" s="1787"/>
      <c r="Y80" s="404"/>
      <c r="Z80" s="1788"/>
      <c r="AA80" s="404"/>
      <c r="AB80" s="1170" t="s">
        <v>453</v>
      </c>
      <c r="AC80" s="1173" t="s">
        <v>1865</v>
      </c>
      <c r="AD80" s="1172" t="s">
        <v>766</v>
      </c>
      <c r="AE80" s="1656"/>
      <c r="AF80" s="1009"/>
      <c r="AG80" s="1009"/>
      <c r="AH80" s="966" t="s">
        <v>2175</v>
      </c>
      <c r="AI80" s="960"/>
      <c r="AJ80" s="960"/>
      <c r="AK80" s="869"/>
      <c r="AL80" s="869"/>
    </row>
    <row r="81" spans="1:42" s="1314" customFormat="1" ht="14.65" hidden="1" customHeight="1">
      <c r="A81" s="584"/>
      <c r="B81" s="404"/>
      <c r="C81" s="404"/>
      <c r="D81" s="404"/>
      <c r="E81" s="566">
        <v>15</v>
      </c>
      <c r="F81" s="439" cm="1">
        <f t="array" aca="1" ref="F81" ca="1">OFFSET(E81,-1,1)</f>
        <v>0</v>
      </c>
      <c r="G81" s="404"/>
      <c r="H81" s="404"/>
      <c r="I81" s="404"/>
      <c r="J81" s="404"/>
      <c r="K81" s="404"/>
      <c r="L81" s="404"/>
      <c r="M81" s="404"/>
      <c r="N81" s="404"/>
      <c r="O81" s="404"/>
      <c r="P81" s="404"/>
      <c r="Q81" s="404"/>
      <c r="R81" s="404"/>
      <c r="S81" s="404"/>
      <c r="T81" s="381" t="b" cm="1">
        <f t="array" aca="1" ref="T81" ca="1">T80</f>
        <v>0</v>
      </c>
      <c r="U81" s="404"/>
      <c r="V81" s="404"/>
      <c r="W81" s="404"/>
      <c r="X81" s="1787"/>
      <c r="Y81" s="404"/>
      <c r="Z81" s="1788"/>
      <c r="AA81" s="404"/>
      <c r="AB81" s="1170" t="s">
        <v>1866</v>
      </c>
      <c r="AC81" s="1173" t="s">
        <v>1867</v>
      </c>
      <c r="AD81" s="1172" t="s">
        <v>766</v>
      </c>
      <c r="AE81" s="1656"/>
      <c r="AF81" s="1009"/>
      <c r="AG81" s="1009"/>
      <c r="AH81" s="966" t="s">
        <v>2176</v>
      </c>
      <c r="AI81" s="960"/>
      <c r="AJ81" s="960"/>
      <c r="AK81" s="869"/>
      <c r="AL81" s="869"/>
    </row>
    <row r="82" spans="1:42" s="1314" customFormat="1" ht="14.65" hidden="1" customHeight="1">
      <c r="A82" s="584"/>
      <c r="B82" s="404"/>
      <c r="C82" s="404"/>
      <c r="D82" s="404"/>
      <c r="E82" s="566">
        <v>15</v>
      </c>
      <c r="F82" s="439" cm="1">
        <f t="array" aca="1" ref="F82" ca="1">OFFSET(E82,-1,1)</f>
        <v>0</v>
      </c>
      <c r="G82" s="404"/>
      <c r="H82" s="404"/>
      <c r="I82" s="404"/>
      <c r="J82" s="404"/>
      <c r="K82" s="404"/>
      <c r="L82" s="404"/>
      <c r="M82" s="404"/>
      <c r="N82" s="404"/>
      <c r="O82" s="404"/>
      <c r="P82" s="404"/>
      <c r="Q82" s="404"/>
      <c r="R82" s="404"/>
      <c r="S82" s="404"/>
      <c r="T82" s="381" t="b" cm="1">
        <f t="array" aca="1" ref="T82" ca="1">T81</f>
        <v>0</v>
      </c>
      <c r="U82" s="404"/>
      <c r="V82" s="404"/>
      <c r="W82" s="404"/>
      <c r="X82" s="1787"/>
      <c r="Y82" s="404"/>
      <c r="Z82" s="1788"/>
      <c r="AA82" s="404"/>
      <c r="AB82" s="1170" t="s">
        <v>1868</v>
      </c>
      <c r="AC82" s="1173" t="s">
        <v>1869</v>
      </c>
      <c r="AD82" s="1172" t="s">
        <v>766</v>
      </c>
      <c r="AE82" s="1656"/>
      <c r="AF82" s="1009"/>
      <c r="AG82" s="1009"/>
      <c r="AH82" s="966" t="s">
        <v>2177</v>
      </c>
      <c r="AI82" s="960"/>
      <c r="AJ82" s="960"/>
      <c r="AK82" s="869"/>
      <c r="AL82" s="869"/>
    </row>
    <row r="83" spans="1:42" s="1314" customFormat="1" ht="14.65" hidden="1" customHeight="1">
      <c r="A83" s="584"/>
      <c r="B83" s="404"/>
      <c r="C83" s="404"/>
      <c r="D83" s="404"/>
      <c r="E83" s="566">
        <v>15</v>
      </c>
      <c r="F83" s="439" cm="1">
        <f t="array" aca="1" ref="F83" ca="1">OFFSET(E83,-1,1)</f>
        <v>0</v>
      </c>
      <c r="G83" s="404"/>
      <c r="H83" s="404"/>
      <c r="I83" s="404"/>
      <c r="J83" s="404"/>
      <c r="K83" s="404"/>
      <c r="L83" s="404"/>
      <c r="M83" s="404"/>
      <c r="N83" s="404"/>
      <c r="O83" s="404"/>
      <c r="P83" s="404"/>
      <c r="Q83" s="404"/>
      <c r="R83" s="404"/>
      <c r="S83" s="404"/>
      <c r="T83" s="381" t="b" cm="1">
        <f t="array" aca="1" ref="T83" ca="1">T82</f>
        <v>0</v>
      </c>
      <c r="U83" s="404"/>
      <c r="V83" s="404"/>
      <c r="W83" s="404"/>
      <c r="X83" s="1787"/>
      <c r="Y83" s="404"/>
      <c r="Z83" s="1788"/>
      <c r="AA83" s="404"/>
      <c r="AB83" s="1170" t="s">
        <v>1871</v>
      </c>
      <c r="AC83" s="1173" t="s">
        <v>1872</v>
      </c>
      <c r="AD83" s="1172" t="s">
        <v>766</v>
      </c>
      <c r="AE83" s="1656"/>
      <c r="AF83" s="1009"/>
      <c r="AG83" s="1009"/>
      <c r="AH83" s="966" t="s">
        <v>2178</v>
      </c>
      <c r="AI83" s="960"/>
      <c r="AJ83" s="960"/>
      <c r="AK83" s="869"/>
      <c r="AL83" s="869"/>
    </row>
    <row r="84" spans="1:42" s="1314" customFormat="1" ht="14.65" hidden="1" customHeight="1">
      <c r="A84" s="584"/>
      <c r="B84" s="404"/>
      <c r="C84" s="404"/>
      <c r="D84" s="404"/>
      <c r="E84" s="566">
        <v>15</v>
      </c>
      <c r="F84" s="439" cm="1">
        <f t="array" aca="1" ref="F84" ca="1">OFFSET(E84,-1,1)</f>
        <v>0</v>
      </c>
      <c r="G84" s="404"/>
      <c r="H84" s="404"/>
      <c r="I84" s="404"/>
      <c r="J84" s="404"/>
      <c r="K84" s="404"/>
      <c r="L84" s="404"/>
      <c r="M84" s="404"/>
      <c r="N84" s="404"/>
      <c r="O84" s="404"/>
      <c r="P84" s="404"/>
      <c r="Q84" s="404"/>
      <c r="R84" s="404"/>
      <c r="S84" s="404"/>
      <c r="T84" s="381" t="b" cm="1">
        <f t="array" aca="1" ref="T84" ca="1">T83</f>
        <v>0</v>
      </c>
      <c r="U84" s="404"/>
      <c r="V84" s="404"/>
      <c r="W84" s="404"/>
      <c r="X84" s="1787"/>
      <c r="Y84" s="404"/>
      <c r="Z84" s="1788"/>
      <c r="AA84" s="404"/>
      <c r="AB84" s="1170" t="s">
        <v>1874</v>
      </c>
      <c r="AC84" s="1173" t="s">
        <v>1875</v>
      </c>
      <c r="AD84" s="1172" t="s">
        <v>766</v>
      </c>
      <c r="AE84" s="1656"/>
      <c r="AF84" s="1009"/>
      <c r="AG84" s="1009"/>
      <c r="AH84" s="966" t="s">
        <v>2179</v>
      </c>
      <c r="AI84" s="960"/>
      <c r="AJ84" s="960"/>
      <c r="AK84" s="869"/>
      <c r="AL84" s="869"/>
    </row>
    <row r="85" spans="1:42" s="1314" customFormat="1" ht="26.25" hidden="1" customHeight="1">
      <c r="A85" s="584"/>
      <c r="B85" s="404"/>
      <c r="C85" s="404"/>
      <c r="D85" s="404"/>
      <c r="E85" s="566">
        <v>27</v>
      </c>
      <c r="F85" s="439" cm="1">
        <f t="array" aca="1" ref="F85" ca="1">OFFSET(E85,-1,1)</f>
        <v>0</v>
      </c>
      <c r="G85" s="404"/>
      <c r="H85" s="404"/>
      <c r="I85" s="404"/>
      <c r="J85" s="404"/>
      <c r="K85" s="404"/>
      <c r="L85" s="404"/>
      <c r="M85" s="404"/>
      <c r="N85" s="404"/>
      <c r="O85" s="404"/>
      <c r="P85" s="404"/>
      <c r="Q85" s="404"/>
      <c r="R85" s="404"/>
      <c r="S85" s="404"/>
      <c r="T85" s="381" t="b" cm="1">
        <f t="array" aca="1" ref="T85" ca="1">T84</f>
        <v>0</v>
      </c>
      <c r="U85" s="404"/>
      <c r="V85" s="404"/>
      <c r="W85" s="404"/>
      <c r="X85" s="1787"/>
      <c r="Y85" s="404"/>
      <c r="Z85" s="1788"/>
      <c r="AA85" s="404"/>
      <c r="AB85" s="1170" t="s">
        <v>1877</v>
      </c>
      <c r="AC85" s="1173" t="s">
        <v>1878</v>
      </c>
      <c r="AD85" s="1172" t="s">
        <v>766</v>
      </c>
      <c r="AE85" s="1656"/>
      <c r="AF85" s="1009"/>
      <c r="AG85" s="1009"/>
      <c r="AH85" s="966" t="s">
        <v>2180</v>
      </c>
      <c r="AI85" s="960"/>
      <c r="AJ85" s="960"/>
      <c r="AK85" s="869"/>
      <c r="AL85" s="869"/>
    </row>
    <row r="86" spans="1:42" s="1314" customFormat="1" ht="14.65" hidden="1" customHeight="1">
      <c r="A86" s="584"/>
      <c r="B86" s="404"/>
      <c r="C86" s="404"/>
      <c r="D86" s="404"/>
      <c r="E86" s="566">
        <v>15</v>
      </c>
      <c r="F86" s="439" cm="1">
        <f t="array" aca="1" ref="F86" ca="1">OFFSET(E86,-1,1)</f>
        <v>0</v>
      </c>
      <c r="G86" s="404"/>
      <c r="H86" s="404"/>
      <c r="I86" s="404"/>
      <c r="J86" s="404"/>
      <c r="K86" s="404"/>
      <c r="L86" s="404"/>
      <c r="M86" s="404"/>
      <c r="N86" s="404"/>
      <c r="O86" s="404"/>
      <c r="P86" s="404"/>
      <c r="Q86" s="404"/>
      <c r="R86" s="404"/>
      <c r="S86" s="404"/>
      <c r="T86" s="381" t="b" cm="1">
        <f t="array" aca="1" ref="T86" ca="1">T85</f>
        <v>0</v>
      </c>
      <c r="U86" s="404"/>
      <c r="V86" s="404"/>
      <c r="W86" s="404"/>
      <c r="X86" s="1787"/>
      <c r="Y86" s="404"/>
      <c r="Z86" s="1788"/>
      <c r="AA86" s="404"/>
      <c r="AB86" s="1170" t="s">
        <v>1881</v>
      </c>
      <c r="AC86" s="1173" t="s">
        <v>1882</v>
      </c>
      <c r="AD86" s="1172" t="s">
        <v>766</v>
      </c>
      <c r="AE86" s="1656"/>
      <c r="AF86" s="1009"/>
      <c r="AG86" s="1009"/>
      <c r="AH86" s="966" t="s">
        <v>2181</v>
      </c>
      <c r="AI86" s="960"/>
      <c r="AJ86" s="960"/>
      <c r="AK86" s="869"/>
      <c r="AL86" s="869"/>
    </row>
    <row r="87" spans="1:42" s="1314" customFormat="1" ht="14.65" hidden="1" customHeight="1">
      <c r="A87" s="584"/>
      <c r="B87" s="404"/>
      <c r="C87" s="404"/>
      <c r="D87" s="404"/>
      <c r="E87" s="566">
        <v>15</v>
      </c>
      <c r="F87" s="439" cm="1">
        <f t="array" aca="1" ref="F87" ca="1">OFFSET(E87,-1,1)</f>
        <v>0</v>
      </c>
      <c r="G87" s="404"/>
      <c r="H87" s="404"/>
      <c r="I87" s="404"/>
      <c r="J87" s="404"/>
      <c r="K87" s="404"/>
      <c r="L87" s="404"/>
      <c r="M87" s="404"/>
      <c r="N87" s="404"/>
      <c r="O87" s="404"/>
      <c r="P87" s="404"/>
      <c r="Q87" s="404"/>
      <c r="R87" s="404"/>
      <c r="S87" s="404"/>
      <c r="T87" s="381" t="b" cm="1">
        <f t="array" aca="1" ref="T87" ca="1">T86</f>
        <v>0</v>
      </c>
      <c r="U87" s="404"/>
      <c r="V87" s="404"/>
      <c r="W87" s="404"/>
      <c r="X87" s="1787"/>
      <c r="Y87" s="404"/>
      <c r="Z87" s="1788"/>
      <c r="AA87" s="404"/>
      <c r="AB87" s="1170" t="s">
        <v>1885</v>
      </c>
      <c r="AC87" s="1173" t="s">
        <v>1886</v>
      </c>
      <c r="AD87" s="1172" t="s">
        <v>766</v>
      </c>
      <c r="AE87" s="1656"/>
      <c r="AF87" s="1009"/>
      <c r="AG87" s="1009"/>
      <c r="AH87" s="966" t="s">
        <v>2182</v>
      </c>
      <c r="AI87" s="960"/>
      <c r="AJ87" s="960"/>
      <c r="AK87" s="869"/>
      <c r="AL87" s="869"/>
    </row>
    <row r="88" spans="1:42" s="1314" customFormat="1" ht="14.65" hidden="1" customHeight="1">
      <c r="A88" s="584"/>
      <c r="B88" s="404"/>
      <c r="C88" s="404"/>
      <c r="D88" s="404"/>
      <c r="E88" s="566">
        <v>15</v>
      </c>
      <c r="F88" s="439" cm="1">
        <f t="array" aca="1" ref="F88" ca="1">OFFSET(E88,-1,1)</f>
        <v>0</v>
      </c>
      <c r="G88" s="404"/>
      <c r="H88" s="404"/>
      <c r="I88" s="404"/>
      <c r="J88" s="404"/>
      <c r="K88" s="404"/>
      <c r="L88" s="404"/>
      <c r="M88" s="404"/>
      <c r="N88" s="404"/>
      <c r="O88" s="404"/>
      <c r="P88" s="404"/>
      <c r="Q88" s="404"/>
      <c r="R88" s="404"/>
      <c r="S88" s="404"/>
      <c r="T88" s="381" t="b" cm="1">
        <f t="array" aca="1" ref="T88" ca="1">T87</f>
        <v>0</v>
      </c>
      <c r="U88" s="404"/>
      <c r="V88" s="404"/>
      <c r="W88" s="404"/>
      <c r="X88" s="1787"/>
      <c r="Y88" s="404"/>
      <c r="Z88" s="1788"/>
      <c r="AA88" s="404"/>
      <c r="AB88" s="1170" t="s">
        <v>1888</v>
      </c>
      <c r="AC88" s="1173" t="s">
        <v>1889</v>
      </c>
      <c r="AD88" s="1172" t="s">
        <v>766</v>
      </c>
      <c r="AE88" s="1656"/>
      <c r="AF88" s="1009"/>
      <c r="AG88" s="1009"/>
      <c r="AH88" s="966" t="s">
        <v>2183</v>
      </c>
      <c r="AI88" s="960"/>
      <c r="AJ88" s="960"/>
      <c r="AK88" s="869"/>
      <c r="AL88" s="869"/>
    </row>
    <row r="89" spans="1:42" s="1314" customFormat="1" ht="14.65" hidden="1" customHeight="1">
      <c r="A89" s="584"/>
      <c r="B89" s="404"/>
      <c r="C89" s="404"/>
      <c r="D89" s="404"/>
      <c r="E89" s="566">
        <v>15</v>
      </c>
      <c r="F89" s="439" cm="1">
        <f t="array" aca="1" ref="F89" ca="1">OFFSET(E89,-1,1)</f>
        <v>0</v>
      </c>
      <c r="G89" s="404"/>
      <c r="H89" s="404"/>
      <c r="I89" s="404"/>
      <c r="J89" s="404"/>
      <c r="K89" s="404"/>
      <c r="L89" s="404"/>
      <c r="M89" s="404"/>
      <c r="N89" s="404"/>
      <c r="O89" s="404"/>
      <c r="P89" s="404"/>
      <c r="Q89" s="404"/>
      <c r="R89" s="404"/>
      <c r="S89" s="404"/>
      <c r="T89" s="381" t="b" cm="1">
        <f t="array" aca="1" ref="T89" ca="1">T88</f>
        <v>0</v>
      </c>
      <c r="U89" s="404"/>
      <c r="V89" s="404"/>
      <c r="W89" s="404"/>
      <c r="X89" s="1787"/>
      <c r="Y89" s="404"/>
      <c r="Z89" s="1788"/>
      <c r="AA89" s="404"/>
      <c r="AB89" s="1170" t="s">
        <v>1891</v>
      </c>
      <c r="AC89" s="1173" t="s">
        <v>1892</v>
      </c>
      <c r="AD89" s="1172" t="s">
        <v>766</v>
      </c>
      <c r="AE89" s="1656"/>
      <c r="AF89" s="1009"/>
      <c r="AG89" s="1009"/>
      <c r="AH89" s="966" t="s">
        <v>2184</v>
      </c>
      <c r="AI89" s="960"/>
      <c r="AJ89" s="960"/>
      <c r="AK89" s="869"/>
      <c r="AL89" s="869"/>
    </row>
    <row r="90" spans="1:42" s="1314" customFormat="1" ht="14.65" hidden="1" customHeight="1">
      <c r="A90" s="584"/>
      <c r="B90" s="404"/>
      <c r="C90" s="404"/>
      <c r="D90" s="404"/>
      <c r="E90" s="566">
        <v>15</v>
      </c>
      <c r="F90" s="439" cm="1">
        <f t="array" aca="1" ref="F90" ca="1">OFFSET(E90,-1,1)</f>
        <v>0</v>
      </c>
      <c r="G90" s="404"/>
      <c r="H90" s="404"/>
      <c r="I90" s="404"/>
      <c r="J90" s="404"/>
      <c r="K90" s="404"/>
      <c r="L90" s="404"/>
      <c r="M90" s="404"/>
      <c r="N90" s="404"/>
      <c r="O90" s="404"/>
      <c r="P90" s="404"/>
      <c r="Q90" s="404"/>
      <c r="R90" s="404"/>
      <c r="S90" s="404"/>
      <c r="T90" s="381" t="b" cm="1">
        <f t="array" aca="1" ref="T90" ca="1">T89</f>
        <v>0</v>
      </c>
      <c r="U90" s="404"/>
      <c r="V90" s="404"/>
      <c r="W90" s="404"/>
      <c r="X90" s="1787"/>
      <c r="Y90" s="404"/>
      <c r="Z90" s="1788"/>
      <c r="AA90" s="404"/>
      <c r="AB90" s="1170" t="s">
        <v>1893</v>
      </c>
      <c r="AC90" s="1173" t="s">
        <v>1894</v>
      </c>
      <c r="AD90" s="1172" t="s">
        <v>766</v>
      </c>
      <c r="AE90" s="1656"/>
      <c r="AF90" s="1009"/>
      <c r="AG90" s="1009"/>
      <c r="AH90" s="966" t="s">
        <v>2185</v>
      </c>
      <c r="AI90" s="960"/>
      <c r="AJ90" s="960"/>
      <c r="AK90" s="869"/>
      <c r="AL90" s="869"/>
    </row>
    <row r="91" spans="1:42" s="1314" customFormat="1" ht="14.65" hidden="1" customHeight="1">
      <c r="A91" s="584"/>
      <c r="B91" s="404"/>
      <c r="C91" s="404"/>
      <c r="D91" s="404"/>
      <c r="E91" s="566">
        <v>15</v>
      </c>
      <c r="F91" s="439" cm="1">
        <f t="array" aca="1" ref="F91" ca="1">OFFSET(E91,-1,1)</f>
        <v>0</v>
      </c>
      <c r="G91" s="404"/>
      <c r="H91" s="404"/>
      <c r="I91" s="404"/>
      <c r="J91" s="404"/>
      <c r="K91" s="404"/>
      <c r="L91" s="404"/>
      <c r="M91" s="404"/>
      <c r="N91" s="404"/>
      <c r="O91" s="404"/>
      <c r="P91" s="404"/>
      <c r="Q91" s="404"/>
      <c r="R91" s="404"/>
      <c r="S91" s="404"/>
      <c r="T91" s="381" t="b" cm="1">
        <f t="array" aca="1" ref="T91" ca="1">T90</f>
        <v>0</v>
      </c>
      <c r="U91" s="404"/>
      <c r="V91" s="404"/>
      <c r="W91" s="404"/>
      <c r="X91" s="1787"/>
      <c r="Y91" s="404"/>
      <c r="Z91" s="1788"/>
      <c r="AA91" s="404"/>
      <c r="AB91" s="1170" t="s">
        <v>506</v>
      </c>
      <c r="AC91" s="1171" t="s">
        <v>1895</v>
      </c>
      <c r="AD91" s="1172" t="s">
        <v>766</v>
      </c>
      <c r="AE91" s="1656"/>
      <c r="AF91" s="1009"/>
      <c r="AG91" s="1009"/>
      <c r="AH91" s="966" t="s">
        <v>2186</v>
      </c>
      <c r="AI91" s="960"/>
      <c r="AJ91" s="960"/>
      <c r="AK91" s="869"/>
      <c r="AL91" s="869"/>
    </row>
    <row r="92" spans="1:42" ht="14.65" hidden="1" customHeight="1">
      <c r="E92" s="566">
        <v>15</v>
      </c>
      <c r="F92" s="3" cm="1">
        <f t="array" aca="1" ref="F92" ca="1">OFFSET(E92,-1,1)</f>
        <v>0</v>
      </c>
      <c r="H92" s="404" t="s">
        <v>448</v>
      </c>
      <c r="T92" s="381" t="b" cm="1">
        <f t="array" aca="1" ref="T92" ca="1">T78</f>
        <v>0</v>
      </c>
      <c r="X92" s="1787"/>
      <c r="Z92" s="1788"/>
      <c r="AB92" s="630" t="s">
        <v>510</v>
      </c>
      <c r="AC92" s="463" t="s">
        <v>2187</v>
      </c>
      <c r="AD92" s="464" t="s">
        <v>766</v>
      </c>
      <c r="AE92" s="473">
        <f>SUM(AE93:AE101)</f>
        <v>0</v>
      </c>
      <c r="AH92" s="972" t="s">
        <v>1124</v>
      </c>
      <c r="AM92" s="1652"/>
      <c r="AN92" s="1652"/>
      <c r="AO92" s="1652"/>
      <c r="AP92" s="1652"/>
    </row>
    <row r="93" spans="1:42" ht="14.65" hidden="1" customHeight="1">
      <c r="E93" s="566">
        <v>15</v>
      </c>
      <c r="F93" s="3" cm="1">
        <f t="array" aca="1" ref="F93" ca="1">OFFSET(E93,-1,1)</f>
        <v>0</v>
      </c>
      <c r="H93" s="404" t="s">
        <v>1620</v>
      </c>
      <c r="T93" s="381" t="b" cm="1">
        <f t="array" aca="1" ref="T93" ca="1">T92</f>
        <v>0</v>
      </c>
      <c r="X93" s="1787"/>
      <c r="Z93" s="1788"/>
      <c r="AB93" s="630" t="s">
        <v>464</v>
      </c>
      <c r="AC93" s="465" t="s">
        <v>1139</v>
      </c>
      <c r="AD93" s="464" t="s">
        <v>766</v>
      </c>
      <c r="AE93" s="1653"/>
      <c r="AH93" s="966" t="s">
        <v>1898</v>
      </c>
      <c r="AM93" s="1652"/>
      <c r="AN93" s="1652"/>
      <c r="AO93" s="1652"/>
      <c r="AP93" s="1652"/>
    </row>
    <row r="94" spans="1:42" ht="14.65" hidden="1" customHeight="1">
      <c r="E94" s="566">
        <v>15</v>
      </c>
      <c r="F94" s="3" cm="1">
        <f t="array" aca="1" ref="F94" ca="1">OFFSET(E94,-1,1)</f>
        <v>0</v>
      </c>
      <c r="H94" s="404" t="s">
        <v>1623</v>
      </c>
      <c r="T94" s="381" t="b" cm="1">
        <f t="array" aca="1" ref="T94" ca="1">T93</f>
        <v>0</v>
      </c>
      <c r="X94" s="1787"/>
      <c r="Z94" s="1788"/>
      <c r="AB94" s="630" t="s">
        <v>1342</v>
      </c>
      <c r="AC94" s="465" t="s">
        <v>2188</v>
      </c>
      <c r="AD94" s="464" t="s">
        <v>766</v>
      </c>
      <c r="AE94" s="1653"/>
      <c r="AH94" s="966" t="s">
        <v>1901</v>
      </c>
      <c r="AM94" s="1652"/>
      <c r="AN94" s="1652"/>
      <c r="AO94" s="1652"/>
      <c r="AP94" s="1652"/>
    </row>
    <row r="95" spans="1:42" ht="14.65" hidden="1" customHeight="1">
      <c r="E95" s="566">
        <v>15</v>
      </c>
      <c r="F95" s="3" cm="1">
        <f t="array" aca="1" ref="F95" ca="1">OFFSET(E95,-1,1)</f>
        <v>0</v>
      </c>
      <c r="H95" s="404" t="s">
        <v>2189</v>
      </c>
      <c r="T95" s="381" t="b" cm="1">
        <f t="array" aca="1" ref="T95" ca="1">T94</f>
        <v>0</v>
      </c>
      <c r="X95" s="1787"/>
      <c r="Z95" s="1788"/>
      <c r="AB95" s="630" t="s">
        <v>1347</v>
      </c>
      <c r="AC95" s="465" t="s">
        <v>2190</v>
      </c>
      <c r="AD95" s="464" t="s">
        <v>766</v>
      </c>
      <c r="AE95" s="1653"/>
      <c r="AH95" s="966" t="s">
        <v>1904</v>
      </c>
      <c r="AM95" s="1652"/>
      <c r="AN95" s="1652"/>
      <c r="AO95" s="1652"/>
      <c r="AP95" s="1652"/>
    </row>
    <row r="96" spans="1:42" ht="14.65" hidden="1" customHeight="1">
      <c r="E96" s="566">
        <v>15</v>
      </c>
      <c r="F96" s="3" cm="1">
        <f t="array" aca="1" ref="F96" ca="1">OFFSET(E96,-1,1)</f>
        <v>0</v>
      </c>
      <c r="H96" s="404" t="s">
        <v>2191</v>
      </c>
      <c r="T96" s="381" t="b" cm="1">
        <f t="array" aca="1" ref="T96" ca="1">T95</f>
        <v>0</v>
      </c>
      <c r="X96" s="1787"/>
      <c r="Z96" s="1788"/>
      <c r="AB96" s="630" t="s">
        <v>1906</v>
      </c>
      <c r="AC96" s="465" t="s">
        <v>1132</v>
      </c>
      <c r="AD96" s="464" t="s">
        <v>766</v>
      </c>
      <c r="AE96" s="1653"/>
      <c r="AH96" s="966" t="s">
        <v>1908</v>
      </c>
      <c r="AM96" s="1652"/>
      <c r="AN96" s="1652"/>
      <c r="AO96" s="1652"/>
      <c r="AP96" s="1652"/>
    </row>
    <row r="97" spans="1:42" ht="14.65" hidden="1" customHeight="1">
      <c r="E97" s="566">
        <v>15</v>
      </c>
      <c r="F97" s="3" cm="1">
        <f t="array" aca="1" ref="F97" ca="1">OFFSET(E97,-1,1)</f>
        <v>0</v>
      </c>
      <c r="H97" s="404" t="s">
        <v>2192</v>
      </c>
      <c r="T97" s="381" t="b" cm="1">
        <f t="array" aca="1" ref="T97" ca="1">T96</f>
        <v>0</v>
      </c>
      <c r="X97" s="1787"/>
      <c r="Z97" s="1788"/>
      <c r="AB97" s="630" t="s">
        <v>1910</v>
      </c>
      <c r="AC97" s="465" t="s">
        <v>1134</v>
      </c>
      <c r="AD97" s="464" t="s">
        <v>766</v>
      </c>
      <c r="AE97" s="1653"/>
      <c r="AH97" s="966" t="s">
        <v>1912</v>
      </c>
      <c r="AM97" s="1652"/>
      <c r="AN97" s="1652"/>
      <c r="AO97" s="1652"/>
      <c r="AP97" s="1652"/>
    </row>
    <row r="98" spans="1:42" ht="14.65" hidden="1" customHeight="1">
      <c r="E98" s="566">
        <v>15</v>
      </c>
      <c r="F98" s="3" cm="1">
        <f t="array" aca="1" ref="F98" ca="1">OFFSET(E98,-1,1)</f>
        <v>0</v>
      </c>
      <c r="H98" s="404" t="s">
        <v>2193</v>
      </c>
      <c r="T98" s="381" t="b" cm="1">
        <f t="array" aca="1" ref="T98" ca="1">T97</f>
        <v>0</v>
      </c>
      <c r="X98" s="1787"/>
      <c r="Z98" s="1788"/>
      <c r="AB98" s="630" t="s">
        <v>1914</v>
      </c>
      <c r="AC98" s="465" t="s">
        <v>1125</v>
      </c>
      <c r="AD98" s="464" t="s">
        <v>766</v>
      </c>
      <c r="AE98" s="1653"/>
      <c r="AH98" s="966" t="s">
        <v>1916</v>
      </c>
      <c r="AM98" s="1652"/>
      <c r="AN98" s="1652"/>
      <c r="AO98" s="1652"/>
      <c r="AP98" s="1652"/>
    </row>
    <row r="99" spans="1:42" s="1314" customFormat="1" ht="14.65" hidden="1" customHeight="1">
      <c r="A99" s="584"/>
      <c r="B99" s="404"/>
      <c r="C99" s="404"/>
      <c r="D99" s="404"/>
      <c r="E99" s="566">
        <v>15</v>
      </c>
      <c r="F99" s="439" cm="1">
        <f t="array" aca="1" ref="F99" ca="1">OFFSET(E99,-1,1)</f>
        <v>0</v>
      </c>
      <c r="G99" s="404"/>
      <c r="H99" s="404"/>
      <c r="I99" s="404"/>
      <c r="J99" s="404"/>
      <c r="K99" s="404"/>
      <c r="L99" s="404"/>
      <c r="M99" s="404"/>
      <c r="N99" s="404"/>
      <c r="O99" s="404"/>
      <c r="P99" s="404"/>
      <c r="Q99" s="404"/>
      <c r="R99" s="404"/>
      <c r="S99" s="404"/>
      <c r="T99" s="381" t="b" cm="1">
        <f t="array" aca="1" ref="T99" ca="1">T98</f>
        <v>0</v>
      </c>
      <c r="U99" s="404"/>
      <c r="V99" s="404"/>
      <c r="W99" s="404"/>
      <c r="X99" s="1787"/>
      <c r="Y99" s="404"/>
      <c r="Z99" s="1788"/>
      <c r="AA99" s="404"/>
      <c r="AB99" s="1170" t="s">
        <v>1918</v>
      </c>
      <c r="AC99" s="1173" t="s">
        <v>2194</v>
      </c>
      <c r="AD99" s="1172" t="s">
        <v>766</v>
      </c>
      <c r="AE99" s="1656"/>
      <c r="AF99" s="1009"/>
      <c r="AG99" s="1009"/>
      <c r="AH99" s="966" t="s">
        <v>1142</v>
      </c>
      <c r="AI99" s="960"/>
      <c r="AJ99" s="960"/>
      <c r="AK99" s="869"/>
      <c r="AL99" s="869"/>
    </row>
    <row r="100" spans="1:42" s="1314" customFormat="1" ht="14.65" hidden="1" customHeight="1">
      <c r="A100" s="584"/>
      <c r="B100" s="404"/>
      <c r="C100" s="404"/>
      <c r="D100" s="404"/>
      <c r="E100" s="566">
        <v>15</v>
      </c>
      <c r="F100" s="439" cm="1">
        <f t="array" aca="1" ref="F100" ca="1">OFFSET(E100,-1,1)</f>
        <v>0</v>
      </c>
      <c r="G100" s="404"/>
      <c r="H100" s="404"/>
      <c r="I100" s="404"/>
      <c r="J100" s="404"/>
      <c r="K100" s="404"/>
      <c r="L100" s="404"/>
      <c r="M100" s="404"/>
      <c r="N100" s="404"/>
      <c r="O100" s="404"/>
      <c r="P100" s="404"/>
      <c r="Q100" s="404"/>
      <c r="R100" s="404"/>
      <c r="S100" s="404"/>
      <c r="T100" s="381" t="b" cm="1">
        <f t="array" aca="1" ref="T100" ca="1">T99</f>
        <v>0</v>
      </c>
      <c r="U100" s="404"/>
      <c r="V100" s="404"/>
      <c r="W100" s="404"/>
      <c r="X100" s="1787"/>
      <c r="Y100" s="404"/>
      <c r="Z100" s="1788"/>
      <c r="AA100" s="404"/>
      <c r="AB100" s="1170" t="s">
        <v>1922</v>
      </c>
      <c r="AC100" s="1173" t="s">
        <v>1143</v>
      </c>
      <c r="AD100" s="1172" t="s">
        <v>766</v>
      </c>
      <c r="AE100" s="1656"/>
      <c r="AF100" s="1009"/>
      <c r="AG100" s="1009"/>
      <c r="AH100" s="966" t="s">
        <v>2195</v>
      </c>
      <c r="AI100" s="960"/>
      <c r="AJ100" s="960"/>
      <c r="AK100" s="869"/>
      <c r="AL100" s="869"/>
    </row>
    <row r="101" spans="1:42" ht="14.65" hidden="1" customHeight="1">
      <c r="E101" s="566">
        <v>15</v>
      </c>
      <c r="F101" s="3" cm="1">
        <f t="array" aca="1" ref="F101" ca="1">OFFSET(E101,-1,1)</f>
        <v>0</v>
      </c>
      <c r="H101" s="404" t="s">
        <v>2196</v>
      </c>
      <c r="T101" s="381" t="b" cm="1">
        <f t="array" aca="1" ref="T101" ca="1">T98</f>
        <v>0</v>
      </c>
      <c r="X101" s="1787"/>
      <c r="Z101" s="1788"/>
      <c r="AB101" s="630" t="s">
        <v>1924</v>
      </c>
      <c r="AC101" s="465" t="s">
        <v>1145</v>
      </c>
      <c r="AD101" s="464" t="s">
        <v>766</v>
      </c>
      <c r="AE101" s="1653"/>
      <c r="AH101" s="966" t="s">
        <v>1930</v>
      </c>
      <c r="AM101" s="1652"/>
      <c r="AN101" s="1652"/>
      <c r="AO101" s="1652"/>
      <c r="AP101" s="1652"/>
    </row>
    <row r="102" spans="1:42" ht="14.65" hidden="1" customHeight="1">
      <c r="E102" s="566">
        <v>15</v>
      </c>
      <c r="F102" s="3" cm="1">
        <f t="array" aca="1" ref="F102" ca="1">OFFSET(E102,-1,1)</f>
        <v>0</v>
      </c>
      <c r="H102" s="404" t="s">
        <v>841</v>
      </c>
      <c r="T102" s="381" t="b" cm="1">
        <f t="array" aca="1" ref="T102" ca="1">T101</f>
        <v>0</v>
      </c>
      <c r="X102" s="1787"/>
      <c r="Z102" s="1788"/>
      <c r="AB102" s="630" t="s">
        <v>844</v>
      </c>
      <c r="AC102" s="465" t="s">
        <v>939</v>
      </c>
      <c r="AD102" s="464" t="s">
        <v>766</v>
      </c>
      <c r="AE102" s="1653"/>
      <c r="AH102" s="966" t="s">
        <v>1082</v>
      </c>
      <c r="AM102" s="1652"/>
      <c r="AN102" s="1652"/>
      <c r="AO102" s="1652"/>
      <c r="AP102" s="1652"/>
    </row>
    <row r="103" spans="1:42" ht="14.65" hidden="1" customHeight="1">
      <c r="E103" s="566">
        <v>15</v>
      </c>
      <c r="F103" s="3" cm="1">
        <f t="array" aca="1" ref="F103" ca="1">OFFSET(E103,-1,1)</f>
        <v>0</v>
      </c>
      <c r="H103" s="404" t="s">
        <v>1933</v>
      </c>
      <c r="T103" s="381" t="b" cm="1">
        <f t="array" aca="1" ref="T103" ca="1">T102</f>
        <v>0</v>
      </c>
      <c r="X103" s="1787"/>
      <c r="Z103" s="1788"/>
      <c r="AB103" s="630" t="s">
        <v>847</v>
      </c>
      <c r="AC103" s="463" t="s">
        <v>1314</v>
      </c>
      <c r="AD103" s="464" t="s">
        <v>766</v>
      </c>
      <c r="AE103" s="1653"/>
      <c r="AH103" s="973" t="s">
        <v>1664</v>
      </c>
      <c r="AM103" s="1652"/>
      <c r="AN103" s="1652"/>
      <c r="AO103" s="1652"/>
      <c r="AP103" s="1652"/>
    </row>
    <row r="104" spans="1:42" ht="14.65" hidden="1" customHeight="1">
      <c r="E104" s="566">
        <v>15</v>
      </c>
      <c r="F104" s="3" cm="1">
        <f t="array" aca="1" ref="F104" ca="1">OFFSET(E104,-1,1)</f>
        <v>0</v>
      </c>
      <c r="H104" s="404" t="s">
        <v>1941</v>
      </c>
      <c r="T104" s="381" t="b" cm="1">
        <f t="array" aca="1" ref="T104" ca="1">T103</f>
        <v>0</v>
      </c>
      <c r="X104" s="1787"/>
      <c r="Z104" s="1788"/>
      <c r="AB104" s="630" t="s">
        <v>1362</v>
      </c>
      <c r="AC104" s="463" t="s">
        <v>1324</v>
      </c>
      <c r="AD104" s="464" t="s">
        <v>766</v>
      </c>
      <c r="AE104" s="473">
        <f>AE105+AE106</f>
        <v>0</v>
      </c>
      <c r="AH104" s="966" t="s">
        <v>1946</v>
      </c>
      <c r="AM104" s="1652"/>
      <c r="AN104" s="1652"/>
      <c r="AO104" s="1652"/>
      <c r="AP104" s="1652"/>
    </row>
    <row r="105" spans="1:42" ht="14.65" hidden="1" customHeight="1">
      <c r="E105" s="566">
        <v>15</v>
      </c>
      <c r="F105" s="3" cm="1">
        <f t="array" aca="1" ref="F105" ca="1">OFFSET(E105,-1,1)</f>
        <v>0</v>
      </c>
      <c r="H105" s="404" t="s">
        <v>2197</v>
      </c>
      <c r="T105" s="381" t="b" cm="1">
        <f t="array" aca="1" ref="T105" ca="1">T104</f>
        <v>0</v>
      </c>
      <c r="X105" s="1787"/>
      <c r="Z105" s="1788"/>
      <c r="AB105" s="630" t="s">
        <v>1937</v>
      </c>
      <c r="AC105" s="465" t="s">
        <v>2198</v>
      </c>
      <c r="AD105" s="464" t="s">
        <v>766</v>
      </c>
      <c r="AE105" s="1653"/>
      <c r="AH105" s="966" t="s">
        <v>1117</v>
      </c>
      <c r="AM105" s="1652"/>
      <c r="AN105" s="1652"/>
      <c r="AO105" s="1652"/>
      <c r="AP105" s="1652"/>
    </row>
    <row r="106" spans="1:42" ht="21.95" hidden="1" customHeight="1">
      <c r="E106" s="566">
        <v>22.5</v>
      </c>
      <c r="F106" s="3" cm="1">
        <f t="array" aca="1" ref="F106" ca="1">OFFSET(E106,-1,1)</f>
        <v>0</v>
      </c>
      <c r="H106" s="404" t="s">
        <v>2199</v>
      </c>
      <c r="T106" s="381" t="b" cm="1">
        <f t="array" aca="1" ref="T106" ca="1">T105</f>
        <v>0</v>
      </c>
      <c r="X106" s="1787"/>
      <c r="Z106" s="1788"/>
      <c r="AB106" s="630" t="s">
        <v>2200</v>
      </c>
      <c r="AC106" s="465" t="s">
        <v>2201</v>
      </c>
      <c r="AD106" s="464" t="s">
        <v>766</v>
      </c>
      <c r="AE106" s="1653"/>
      <c r="AH106" s="966" t="s">
        <v>1953</v>
      </c>
      <c r="AM106" s="1652"/>
      <c r="AN106" s="1652"/>
      <c r="AO106" s="1652"/>
      <c r="AP106" s="1652"/>
    </row>
    <row r="107" spans="1:42" ht="76.7" hidden="1" customHeight="1">
      <c r="E107" s="566">
        <v>78.75</v>
      </c>
      <c r="F107" s="3" cm="1">
        <f t="array" aca="1" ref="F107" ca="1">OFFSET(E107,-1,1)</f>
        <v>0</v>
      </c>
      <c r="H107" s="404" t="s">
        <v>1945</v>
      </c>
      <c r="T107" s="381" t="b" cm="1">
        <f t="array" aca="1" ref="T107" ca="1">T106</f>
        <v>0</v>
      </c>
      <c r="X107" s="1787"/>
      <c r="Z107" s="1788"/>
      <c r="AB107" s="630" t="s">
        <v>1367</v>
      </c>
      <c r="AC107" s="1182" t="s">
        <v>1298</v>
      </c>
      <c r="AD107" s="464" t="s">
        <v>766</v>
      </c>
      <c r="AE107" s="1653"/>
      <c r="AH107" s="966" t="s">
        <v>1931</v>
      </c>
      <c r="AM107" s="1652"/>
      <c r="AN107" s="1652"/>
      <c r="AO107" s="1652"/>
      <c r="AP107" s="1652"/>
    </row>
    <row r="108" spans="1:42" s="1314" customFormat="1" ht="14.65" hidden="1" customHeight="1">
      <c r="A108" s="584"/>
      <c r="B108" s="404"/>
      <c r="C108" s="404"/>
      <c r="D108" s="404"/>
      <c r="E108" s="566">
        <v>15</v>
      </c>
      <c r="F108" s="439" cm="1">
        <f t="array" aca="1" ref="F108" ca="1">OFFSET(E108,-1,1)</f>
        <v>0</v>
      </c>
      <c r="G108" s="404"/>
      <c r="H108" s="404"/>
      <c r="I108" s="404"/>
      <c r="J108" s="404"/>
      <c r="K108" s="404"/>
      <c r="L108" s="404"/>
      <c r="M108" s="404"/>
      <c r="N108" s="404"/>
      <c r="O108" s="404"/>
      <c r="P108" s="404"/>
      <c r="Q108" s="404"/>
      <c r="R108" s="404"/>
      <c r="S108" s="404"/>
      <c r="T108" s="381" t="b" cm="1">
        <f t="array" aca="1" ref="T108" ca="1">T107</f>
        <v>0</v>
      </c>
      <c r="U108" s="404"/>
      <c r="V108" s="404"/>
      <c r="W108" s="404"/>
      <c r="X108" s="1787"/>
      <c r="Y108" s="404"/>
      <c r="Z108" s="1788"/>
      <c r="AA108" s="404"/>
      <c r="AB108" s="1170" t="s">
        <v>1942</v>
      </c>
      <c r="AC108" s="1182" t="s">
        <v>919</v>
      </c>
      <c r="AD108" s="1172" t="s">
        <v>766</v>
      </c>
      <c r="AE108" s="1656"/>
      <c r="AF108" s="1009"/>
      <c r="AG108" s="1009"/>
      <c r="AH108" s="966" t="s">
        <v>921</v>
      </c>
      <c r="AI108" s="960"/>
      <c r="AJ108" s="960"/>
      <c r="AK108" s="869"/>
      <c r="AL108" s="869"/>
    </row>
    <row r="109" spans="1:42" s="1314" customFormat="1" ht="14.65" hidden="1" customHeight="1">
      <c r="A109" s="584"/>
      <c r="B109" s="404"/>
      <c r="C109" s="404"/>
      <c r="D109" s="404"/>
      <c r="E109" s="566">
        <v>15</v>
      </c>
      <c r="F109" s="439" cm="1">
        <f t="array" aca="1" ref="F109" ca="1">OFFSET(E109,-1,1)</f>
        <v>0</v>
      </c>
      <c r="G109" s="404"/>
      <c r="H109" s="404"/>
      <c r="I109" s="404"/>
      <c r="J109" s="404"/>
      <c r="K109" s="404"/>
      <c r="L109" s="404"/>
      <c r="M109" s="404"/>
      <c r="N109" s="404"/>
      <c r="O109" s="404"/>
      <c r="P109" s="404"/>
      <c r="Q109" s="404"/>
      <c r="R109" s="404"/>
      <c r="S109" s="404"/>
      <c r="T109" s="381" t="b" cm="1">
        <f t="array" aca="1" ref="T109" ca="1">T108</f>
        <v>0</v>
      </c>
      <c r="U109" s="404"/>
      <c r="V109" s="404"/>
      <c r="W109" s="404"/>
      <c r="X109" s="1787"/>
      <c r="Y109" s="404"/>
      <c r="Z109" s="1788"/>
      <c r="AA109" s="404"/>
      <c r="AB109" s="1170" t="s">
        <v>1386</v>
      </c>
      <c r="AC109" s="1182" t="s">
        <v>1309</v>
      </c>
      <c r="AD109" s="1172" t="s">
        <v>766</v>
      </c>
      <c r="AE109" s="1656"/>
      <c r="AF109" s="1009"/>
      <c r="AG109" s="1009"/>
      <c r="AH109" s="966" t="s">
        <v>2202</v>
      </c>
      <c r="AI109" s="960"/>
      <c r="AJ109" s="960"/>
      <c r="AK109" s="869"/>
      <c r="AL109" s="869"/>
    </row>
    <row r="110" spans="1:42" ht="14.65" hidden="1" customHeight="1">
      <c r="E110" s="566">
        <v>15</v>
      </c>
      <c r="F110" s="3" cm="1">
        <f t="array" aca="1" ref="F110" ca="1">OFFSET(E110,-1,1)</f>
        <v>0</v>
      </c>
      <c r="H110" s="404" t="s">
        <v>2203</v>
      </c>
      <c r="T110" s="381" t="b" cm="1">
        <f t="array" aca="1" ref="T110" ca="1">T107</f>
        <v>0</v>
      </c>
      <c r="X110" s="1787"/>
      <c r="Z110" s="1788"/>
      <c r="AB110" s="630" t="s">
        <v>1390</v>
      </c>
      <c r="AC110" s="463" t="s">
        <v>2204</v>
      </c>
      <c r="AD110" s="464" t="s">
        <v>766</v>
      </c>
      <c r="AE110" s="1653"/>
      <c r="AH110" s="903" t="s">
        <v>2205</v>
      </c>
      <c r="AM110" s="1652"/>
      <c r="AN110" s="1652"/>
      <c r="AO110" s="1652"/>
      <c r="AP110" s="1652"/>
    </row>
    <row r="111" spans="1:42" s="1314" customFormat="1" ht="32.1" hidden="1" customHeight="1">
      <c r="A111" s="584"/>
      <c r="B111" s="404"/>
      <c r="C111" s="404"/>
      <c r="D111" s="404"/>
      <c r="E111" s="566">
        <v>33</v>
      </c>
      <c r="F111" s="439" cm="1">
        <f t="array" aca="1" ref="F111" ca="1">OFFSET(E111,-1,1)</f>
        <v>0</v>
      </c>
      <c r="G111" s="404"/>
      <c r="H111" s="404"/>
      <c r="I111" s="404"/>
      <c r="J111" s="404"/>
      <c r="K111" s="404"/>
      <c r="L111" s="404"/>
      <c r="M111" s="404"/>
      <c r="N111" s="404"/>
      <c r="O111" s="404"/>
      <c r="P111" s="404"/>
      <c r="Q111" s="404"/>
      <c r="R111" s="404"/>
      <c r="S111" s="404"/>
      <c r="T111" s="381" t="b" cm="1">
        <f t="array" aca="1" ref="T111" ca="1">T110</f>
        <v>0</v>
      </c>
      <c r="U111" s="404"/>
      <c r="V111" s="404"/>
      <c r="W111" s="404"/>
      <c r="X111" s="1787"/>
      <c r="Y111" s="404"/>
      <c r="Z111" s="1788"/>
      <c r="AA111" s="404"/>
      <c r="AB111" s="1170" t="s">
        <v>1393</v>
      </c>
      <c r="AC111" s="1171" t="s">
        <v>1955</v>
      </c>
      <c r="AD111" s="1172" t="s">
        <v>766</v>
      </c>
      <c r="AE111" s="1656"/>
      <c r="AF111" s="1009"/>
      <c r="AG111" s="1009"/>
      <c r="AH111" s="960" t="s">
        <v>2206</v>
      </c>
      <c r="AI111" s="960"/>
      <c r="AJ111" s="960"/>
      <c r="AK111" s="869"/>
      <c r="AL111" s="869"/>
    </row>
    <row r="112" spans="1:42" ht="14.65" hidden="1" customHeight="1">
      <c r="E112" s="566">
        <v>15</v>
      </c>
      <c r="F112" s="3" cm="1">
        <f t="array" aca="1" ref="F112" ca="1">OFFSET(E112,-1,1)</f>
        <v>0</v>
      </c>
      <c r="H112" s="404" t="s">
        <v>2207</v>
      </c>
      <c r="T112" s="381" t="b" cm="1">
        <f t="array" aca="1" ref="T112" ca="1">T110</f>
        <v>0</v>
      </c>
      <c r="X112" s="1787"/>
      <c r="Z112" s="1788"/>
      <c r="AB112" s="630" t="s">
        <v>2208</v>
      </c>
      <c r="AC112" s="463" t="s">
        <v>2209</v>
      </c>
      <c r="AD112" s="464" t="s">
        <v>766</v>
      </c>
      <c r="AE112" s="473">
        <f>SUM(AE113:AE114)</f>
        <v>0</v>
      </c>
      <c r="AH112" s="903" t="s">
        <v>2210</v>
      </c>
      <c r="AM112" s="1652"/>
      <c r="AN112" s="1652"/>
      <c r="AO112" s="1652"/>
      <c r="AP112" s="1652"/>
    </row>
    <row r="113" spans="1:42" ht="14.65" hidden="1" customHeight="1">
      <c r="E113" s="566">
        <v>15</v>
      </c>
      <c r="F113" s="3" cm="1">
        <f t="array" aca="1" ref="F113" ca="1">OFFSET(E113,-1,1)</f>
        <v>0</v>
      </c>
      <c r="H113" s="404" t="s">
        <v>2207</v>
      </c>
      <c r="I113" s="479" cm="1">
        <f t="array" ref="I113">AC113</f>
        <v>0</v>
      </c>
      <c r="T113" s="381" t="b">
        <f ca="1">AND(F113&gt;0,Y113&gt;0)</f>
        <v>0</v>
      </c>
      <c r="W113" s="471" t="s">
        <v>173</v>
      </c>
      <c r="X113" s="1787"/>
      <c r="Y113" s="404">
        <v>0</v>
      </c>
      <c r="Z113" s="1788"/>
      <c r="AA113" s="579" t="s">
        <v>174</v>
      </c>
      <c r="AB113" s="630" t="str">
        <f>"2.12."&amp;Y113</f>
        <v>2.12.0</v>
      </c>
      <c r="AC113" s="1654"/>
      <c r="AD113" s="464" t="s">
        <v>766</v>
      </c>
      <c r="AE113" s="1655"/>
      <c r="AH113" s="903" t="s">
        <v>2210</v>
      </c>
      <c r="AI113" s="903" t="s">
        <v>2211</v>
      </c>
      <c r="AJ113" s="908" cm="1">
        <f t="array" ref="AJ113">AC113</f>
        <v>0</v>
      </c>
      <c r="AL113" s="573" t="b">
        <v>1</v>
      </c>
      <c r="AM113" s="1652"/>
      <c r="AN113" s="1652"/>
      <c r="AO113" s="1652"/>
      <c r="AP113" s="1652"/>
    </row>
    <row r="114" spans="1:42" ht="14.65" hidden="1" customHeight="1">
      <c r="E114" s="566">
        <v>15</v>
      </c>
      <c r="F114" s="3" cm="1">
        <f t="array" aca="1" ref="F114" ca="1">OFFSET(E114,-1,1)</f>
        <v>0</v>
      </c>
      <c r="I114" s="77" t="str">
        <f>"!== 'не определено' &amp;&amp; row.l2_13 !== null"</f>
        <v>!== 'не определено' &amp;&amp; row.l2_13 !== null</v>
      </c>
      <c r="T114" s="381" t="b">
        <f ca="1">F114&gt;0</f>
        <v>0</v>
      </c>
      <c r="W114" s="743" t="s">
        <v>814</v>
      </c>
      <c r="X114" s="1787"/>
      <c r="Z114" s="1788"/>
      <c r="AB114" s="1178"/>
      <c r="AC114" s="1237" t="s">
        <v>177</v>
      </c>
      <c r="AD114" s="1180"/>
      <c r="AE114" s="1236"/>
      <c r="AK114" s="573" t="s">
        <v>2211</v>
      </c>
      <c r="AM114" s="1652"/>
      <c r="AN114" s="1652"/>
      <c r="AO114" s="1652"/>
      <c r="AP114" s="1652"/>
    </row>
    <row r="115" spans="1:42" ht="14.65" hidden="1" customHeight="1">
      <c r="E115" s="566">
        <v>15</v>
      </c>
      <c r="F115" s="3" cm="1">
        <f t="array" aca="1" ref="F115" ca="1">OFFSET(E115,-1,1)</f>
        <v>0</v>
      </c>
      <c r="G115" s="404" t="s">
        <v>50</v>
      </c>
      <c r="H115" s="404" t="s">
        <v>325</v>
      </c>
      <c r="T115" s="381" t="b" cm="1">
        <f t="array" aca="1" ref="T115" ca="1">T114</f>
        <v>0</v>
      </c>
      <c r="X115" s="1787"/>
      <c r="Z115" s="1788"/>
      <c r="AB115" s="629" t="s">
        <v>321</v>
      </c>
      <c r="AC115" s="461" t="s">
        <v>1958</v>
      </c>
      <c r="AD115" s="462" t="s">
        <v>766</v>
      </c>
      <c r="AE115" s="1657"/>
      <c r="AH115" s="903" t="s">
        <v>1558</v>
      </c>
      <c r="AM115" s="1652"/>
      <c r="AN115" s="1652"/>
      <c r="AO115" s="1652"/>
      <c r="AP115" s="1652"/>
    </row>
    <row r="116" spans="1:42" s="1327" customFormat="1" ht="14.25" customHeight="1">
      <c r="A116" s="584"/>
      <c r="B116" s="1121"/>
      <c r="C116" s="1121"/>
      <c r="D116" s="1121"/>
      <c r="E116" s="566">
        <v>15</v>
      </c>
      <c r="F116" s="750" t="str" cm="1">
        <f t="array" ref="F116">X116</f>
        <v>1</v>
      </c>
      <c r="G116" s="404" t="s">
        <v>759</v>
      </c>
      <c r="H116" s="1121"/>
      <c r="I116" s="1121"/>
      <c r="J116" s="1121"/>
      <c r="K116" s="1121"/>
      <c r="L116" s="1121"/>
      <c r="M116" s="1121"/>
      <c r="N116" s="1121"/>
      <c r="O116" s="1121"/>
      <c r="P116" s="1121"/>
      <c r="Q116" s="1121"/>
      <c r="R116" s="1121"/>
      <c r="S116" s="1121"/>
      <c r="T116" s="381" t="b">
        <f>X116&gt;0</f>
        <v>1</v>
      </c>
      <c r="U116" s="1121"/>
      <c r="V116" s="404" t="str" cm="1">
        <f t="array" ref="V116">'ДПР (концессии)'!$AB$81</f>
        <v>Тариф 1 (Водоснабжение) - тариф на питьевую воду</v>
      </c>
      <c r="W116" s="1121"/>
      <c r="X116" s="1787" t="s">
        <v>281</v>
      </c>
      <c r="Y116" s="1121"/>
      <c r="Z116" s="1788"/>
      <c r="AA116" s="1121"/>
      <c r="AB116" s="140" t="str" cm="1">
        <f t="array" ref="AB116">'ДПР (концессии)'!$AB$81</f>
        <v>Тариф 1 (Водоснабжение) - тариф на питьевую воду</v>
      </c>
      <c r="AC116" s="99"/>
      <c r="AD116" s="93"/>
      <c r="AE116" s="1166">
        <f>AE117+AE167+AE204</f>
        <v>0</v>
      </c>
      <c r="AF116" s="1187"/>
      <c r="AG116" s="1187"/>
      <c r="AH116" s="1188"/>
      <c r="AI116" s="1188"/>
      <c r="AJ116" s="1188"/>
      <c r="AK116" s="1189"/>
      <c r="AL116" s="1189"/>
    </row>
    <row r="117" spans="1:42" s="1327" customFormat="1" ht="14.25" customHeight="1">
      <c r="A117" s="584"/>
      <c r="B117" s="1121"/>
      <c r="C117" s="1121"/>
      <c r="D117" s="1121"/>
      <c r="E117" s="566">
        <v>15</v>
      </c>
      <c r="F117" s="3" t="str" cm="1">
        <f t="array" aca="1" ref="F117" ca="1">OFFSET(E117,-1,1)</f>
        <v>1</v>
      </c>
      <c r="G117" s="1121"/>
      <c r="H117" s="404" t="s">
        <v>323</v>
      </c>
      <c r="I117" s="1121"/>
      <c r="J117" s="1121"/>
      <c r="K117" s="1121"/>
      <c r="L117" s="1121"/>
      <c r="M117" s="1121"/>
      <c r="N117" s="1121"/>
      <c r="O117" s="1121"/>
      <c r="P117" s="1121"/>
      <c r="Q117" s="1121"/>
      <c r="R117" s="1121"/>
      <c r="S117" s="1121"/>
      <c r="T117" s="381" t="b" cm="1">
        <f t="array" ref="T117">T116</f>
        <v>1</v>
      </c>
      <c r="U117" s="1121"/>
      <c r="V117" s="1121"/>
      <c r="W117" s="1121"/>
      <c r="X117" s="1787"/>
      <c r="Y117" s="1121"/>
      <c r="Z117" s="1788"/>
      <c r="AA117" s="1121"/>
      <c r="AB117" s="1167" t="s">
        <v>281</v>
      </c>
      <c r="AC117" s="1168" t="s">
        <v>1764</v>
      </c>
      <c r="AD117" s="1169" t="s">
        <v>766</v>
      </c>
      <c r="AE117" s="1234">
        <f>AE118+AE136+AE144+AE164</f>
        <v>0</v>
      </c>
      <c r="AF117" s="1187"/>
      <c r="AG117" s="1187"/>
      <c r="AH117" s="903" t="s">
        <v>491</v>
      </c>
      <c r="AI117" s="1188"/>
      <c r="AJ117" s="1188"/>
      <c r="AK117" s="1189"/>
      <c r="AL117" s="1189"/>
    </row>
    <row r="118" spans="1:42" s="1327" customFormat="1" ht="14.25" customHeight="1">
      <c r="A118" s="584"/>
      <c r="B118" s="1121"/>
      <c r="C118" s="1121"/>
      <c r="D118" s="1121"/>
      <c r="E118" s="566">
        <v>15</v>
      </c>
      <c r="F118" s="3" t="str" cm="1">
        <f t="array" aca="1" ref="F118" ca="1">OFFSET(E118,-1,1)</f>
        <v>1</v>
      </c>
      <c r="G118" s="1121"/>
      <c r="H118" s="404" t="s">
        <v>427</v>
      </c>
      <c r="I118" s="1121"/>
      <c r="J118" s="1121"/>
      <c r="K118" s="1121"/>
      <c r="L118" s="1121"/>
      <c r="M118" s="1121"/>
      <c r="N118" s="1121"/>
      <c r="O118" s="1121"/>
      <c r="P118" s="1121"/>
      <c r="Q118" s="1121"/>
      <c r="R118" s="1121"/>
      <c r="S118" s="1121"/>
      <c r="T118" s="381" t="b" cm="1">
        <f t="array" ref="T118">T117</f>
        <v>1</v>
      </c>
      <c r="U118" s="1121"/>
      <c r="V118" s="1121"/>
      <c r="W118" s="1121"/>
      <c r="X118" s="1787"/>
      <c r="Y118" s="1121"/>
      <c r="Z118" s="1788"/>
      <c r="AA118" s="1121"/>
      <c r="AB118" s="1170" t="s">
        <v>821</v>
      </c>
      <c r="AC118" s="1171" t="s">
        <v>1546</v>
      </c>
      <c r="AD118" s="1172" t="s">
        <v>766</v>
      </c>
      <c r="AE118" s="473">
        <f>AE119+AE120+AE121+AE126+AE127+AE128</f>
        <v>0</v>
      </c>
      <c r="AF118" s="1187"/>
      <c r="AG118" s="1187"/>
      <c r="AH118" s="903" t="s">
        <v>1013</v>
      </c>
      <c r="AI118" s="1188"/>
      <c r="AJ118" s="1188"/>
      <c r="AK118" s="1189"/>
      <c r="AL118" s="1189"/>
    </row>
    <row r="119" spans="1:42" s="1327" customFormat="1" ht="14.25" customHeight="1">
      <c r="A119" s="584"/>
      <c r="B119" s="1121"/>
      <c r="C119" s="1121"/>
      <c r="D119" s="1121"/>
      <c r="E119" s="566">
        <v>15</v>
      </c>
      <c r="F119" s="3" t="str" cm="1">
        <f t="array" aca="1" ref="F119" ca="1">OFFSET(E119,-1,1)</f>
        <v>1</v>
      </c>
      <c r="G119" s="1121"/>
      <c r="H119" s="404" t="s">
        <v>924</v>
      </c>
      <c r="I119" s="1121"/>
      <c r="J119" s="1121"/>
      <c r="K119" s="1121"/>
      <c r="L119" s="1121"/>
      <c r="M119" s="1121"/>
      <c r="N119" s="1121"/>
      <c r="O119" s="1121"/>
      <c r="P119" s="1121"/>
      <c r="Q119" s="1121"/>
      <c r="R119" s="1121"/>
      <c r="S119" s="1121"/>
      <c r="T119" s="381" t="b" cm="1">
        <f t="array" ref="T119">T118</f>
        <v>1</v>
      </c>
      <c r="U119" s="1121"/>
      <c r="V119" s="1121"/>
      <c r="W119" s="1121"/>
      <c r="X119" s="1787"/>
      <c r="Y119" s="1121"/>
      <c r="Z119" s="1788"/>
      <c r="AA119" s="1121"/>
      <c r="AB119" s="630" t="s">
        <v>925</v>
      </c>
      <c r="AC119" s="1173" t="s">
        <v>2078</v>
      </c>
      <c r="AD119" s="464" t="s">
        <v>766</v>
      </c>
      <c r="AE119" s="1235"/>
      <c r="AF119" s="1187"/>
      <c r="AG119" s="1187"/>
      <c r="AH119" s="903" t="s">
        <v>1109</v>
      </c>
      <c r="AI119" s="1188"/>
      <c r="AJ119" s="1188"/>
      <c r="AK119" s="1189"/>
      <c r="AL119" s="1189"/>
    </row>
    <row r="120" spans="1:42" s="1327" customFormat="1" ht="21.75" customHeight="1">
      <c r="A120" s="584"/>
      <c r="B120" s="1121"/>
      <c r="C120" s="1121"/>
      <c r="D120" s="1121"/>
      <c r="E120" s="566">
        <v>22.5</v>
      </c>
      <c r="F120" s="3" t="str" cm="1">
        <f t="array" aca="1" ref="F120" ca="1">OFFSET(E120,-1,1)</f>
        <v>1</v>
      </c>
      <c r="G120" s="1121"/>
      <c r="H120" s="404" t="s">
        <v>928</v>
      </c>
      <c r="I120" s="1121"/>
      <c r="J120" s="1121"/>
      <c r="K120" s="1121"/>
      <c r="L120" s="1121"/>
      <c r="M120" s="1121"/>
      <c r="N120" s="1121"/>
      <c r="O120" s="1121"/>
      <c r="P120" s="1121"/>
      <c r="Q120" s="1121"/>
      <c r="R120" s="1121"/>
      <c r="S120" s="1121"/>
      <c r="T120" s="381" t="b" cm="1">
        <f t="array" ref="T120">T119</f>
        <v>1</v>
      </c>
      <c r="U120" s="1121"/>
      <c r="V120" s="1121"/>
      <c r="W120" s="1121"/>
      <c r="X120" s="1787"/>
      <c r="Y120" s="1121"/>
      <c r="Z120" s="1788"/>
      <c r="AA120" s="1121"/>
      <c r="AB120" s="630" t="s">
        <v>929</v>
      </c>
      <c r="AC120" s="465" t="s">
        <v>1772</v>
      </c>
      <c r="AD120" s="464" t="s">
        <v>766</v>
      </c>
      <c r="AE120" s="1235"/>
      <c r="AF120" s="1187"/>
      <c r="AG120" s="1187"/>
      <c r="AH120" s="903" t="s">
        <v>1579</v>
      </c>
      <c r="AI120" s="1188"/>
      <c r="AJ120" s="1188"/>
      <c r="AK120" s="1189"/>
      <c r="AL120" s="1189"/>
    </row>
    <row r="121" spans="1:42" s="1327" customFormat="1" ht="32.25" customHeight="1">
      <c r="A121" s="584"/>
      <c r="B121" s="1121"/>
      <c r="C121" s="1121"/>
      <c r="D121" s="1121"/>
      <c r="E121" s="566">
        <v>33.75</v>
      </c>
      <c r="F121" s="3" t="str" cm="1">
        <f t="array" aca="1" ref="F121" ca="1">OFFSET(E121,-1,1)</f>
        <v>1</v>
      </c>
      <c r="G121" s="1121"/>
      <c r="H121" s="404" t="s">
        <v>1161</v>
      </c>
      <c r="I121" s="1121"/>
      <c r="J121" s="1121"/>
      <c r="K121" s="1121"/>
      <c r="L121" s="1121"/>
      <c r="M121" s="1121"/>
      <c r="N121" s="1121"/>
      <c r="O121" s="1121"/>
      <c r="P121" s="1121"/>
      <c r="Q121" s="1121"/>
      <c r="R121" s="1121"/>
      <c r="S121" s="1121"/>
      <c r="T121" s="381" t="b" cm="1">
        <f t="array" ref="T121">T120</f>
        <v>1</v>
      </c>
      <c r="U121" s="1121"/>
      <c r="V121" s="1121"/>
      <c r="W121" s="1121"/>
      <c r="X121" s="1787"/>
      <c r="Y121" s="1121"/>
      <c r="Z121" s="1788"/>
      <c r="AA121" s="1121"/>
      <c r="AB121" s="630" t="s">
        <v>1162</v>
      </c>
      <c r="AC121" s="465" t="s">
        <v>2079</v>
      </c>
      <c r="AD121" s="464" t="s">
        <v>766</v>
      </c>
      <c r="AE121" s="473">
        <f>AE122+AE125</f>
        <v>0</v>
      </c>
      <c r="AF121" s="1187"/>
      <c r="AG121" s="1187"/>
      <c r="AH121" s="903" t="s">
        <v>1581</v>
      </c>
      <c r="AI121" s="1188"/>
      <c r="AJ121" s="1188"/>
      <c r="AK121" s="1189"/>
      <c r="AL121" s="1189"/>
    </row>
    <row r="122" spans="1:42" s="1327" customFormat="1" ht="21.75" customHeight="1">
      <c r="A122" s="584"/>
      <c r="B122" s="1121"/>
      <c r="C122" s="1121"/>
      <c r="D122" s="1121"/>
      <c r="E122" s="566">
        <v>22.5</v>
      </c>
      <c r="F122" s="3" t="str" cm="1">
        <f t="array" aca="1" ref="F122" ca="1">OFFSET(E122,-1,1)</f>
        <v>1</v>
      </c>
      <c r="G122" s="1121"/>
      <c r="H122" s="404" t="s">
        <v>2080</v>
      </c>
      <c r="I122" s="1121"/>
      <c r="J122" s="1121"/>
      <c r="K122" s="1121"/>
      <c r="L122" s="1121"/>
      <c r="M122" s="1121"/>
      <c r="N122" s="1121"/>
      <c r="O122" s="1121"/>
      <c r="P122" s="1121"/>
      <c r="Q122" s="1121"/>
      <c r="R122" s="1121"/>
      <c r="S122" s="1121"/>
      <c r="T122" s="381" t="b" cm="1">
        <f t="array" ref="T122">T121</f>
        <v>1</v>
      </c>
      <c r="U122" s="1121"/>
      <c r="V122" s="1121"/>
      <c r="W122" s="1121"/>
      <c r="X122" s="1787"/>
      <c r="Y122" s="1121"/>
      <c r="Z122" s="1788"/>
      <c r="AA122" s="1121"/>
      <c r="AB122" s="630" t="s">
        <v>2081</v>
      </c>
      <c r="AC122" s="1174" t="s">
        <v>2082</v>
      </c>
      <c r="AD122" s="464" t="s">
        <v>766</v>
      </c>
      <c r="AE122" s="1235"/>
      <c r="AF122" s="1187"/>
      <c r="AG122" s="1187"/>
      <c r="AH122" s="903" t="s">
        <v>1583</v>
      </c>
      <c r="AI122" s="1188"/>
      <c r="AJ122" s="1188"/>
      <c r="AK122" s="1189"/>
      <c r="AL122" s="1189"/>
    </row>
    <row r="123" spans="1:42" s="1327" customFormat="1" ht="21.75" customHeight="1">
      <c r="A123" s="584"/>
      <c r="B123" s="1121"/>
      <c r="C123" s="1121"/>
      <c r="D123" s="1121"/>
      <c r="E123" s="566">
        <v>22.5</v>
      </c>
      <c r="F123" s="3" t="str" cm="1">
        <f t="array" aca="1" ref="F123" ca="1">OFFSET(E123,-1,1)</f>
        <v>1</v>
      </c>
      <c r="G123" s="1121"/>
      <c r="H123" s="404" t="s">
        <v>2083</v>
      </c>
      <c r="I123" s="1121"/>
      <c r="J123" s="1121"/>
      <c r="K123" s="1121"/>
      <c r="L123" s="1121"/>
      <c r="M123" s="1121"/>
      <c r="N123" s="1121"/>
      <c r="O123" s="1121"/>
      <c r="P123" s="1121"/>
      <c r="Q123" s="1121"/>
      <c r="R123" s="1121"/>
      <c r="S123" s="1121"/>
      <c r="T123" s="381" t="b" cm="1">
        <f t="array" ref="T123">T122</f>
        <v>1</v>
      </c>
      <c r="U123" s="1121"/>
      <c r="V123" s="1121"/>
      <c r="W123" s="1121"/>
      <c r="X123" s="1787"/>
      <c r="Y123" s="1121"/>
      <c r="Z123" s="1788"/>
      <c r="AA123" s="1121"/>
      <c r="AB123" s="630" t="s">
        <v>2084</v>
      </c>
      <c r="AC123" s="1175" t="s">
        <v>2085</v>
      </c>
      <c r="AD123" s="464" t="s">
        <v>2086</v>
      </c>
      <c r="AE123" s="1235"/>
      <c r="AF123" s="1187"/>
      <c r="AG123" s="1187"/>
      <c r="AH123" s="903" t="s">
        <v>2087</v>
      </c>
      <c r="AI123" s="1188"/>
      <c r="AJ123" s="1188"/>
      <c r="AK123" s="1189"/>
      <c r="AL123" s="1189"/>
    </row>
    <row r="124" spans="1:42" s="1327" customFormat="1" ht="21.75" customHeight="1">
      <c r="A124" s="584"/>
      <c r="B124" s="1121"/>
      <c r="C124" s="1121"/>
      <c r="D124" s="1121"/>
      <c r="E124" s="566">
        <v>22.5</v>
      </c>
      <c r="F124" s="3" t="str" cm="1">
        <f t="array" aca="1" ref="F124" ca="1">OFFSET(E124,-1,1)</f>
        <v>1</v>
      </c>
      <c r="G124" s="1121"/>
      <c r="H124" s="404" t="s">
        <v>2088</v>
      </c>
      <c r="I124" s="1121"/>
      <c r="J124" s="1121"/>
      <c r="K124" s="1121"/>
      <c r="L124" s="1121"/>
      <c r="M124" s="1121"/>
      <c r="N124" s="1121"/>
      <c r="O124" s="1121"/>
      <c r="P124" s="1121"/>
      <c r="Q124" s="1121"/>
      <c r="R124" s="1121"/>
      <c r="S124" s="1121"/>
      <c r="T124" s="381" t="b" cm="1">
        <f t="array" ref="T124">T123</f>
        <v>1</v>
      </c>
      <c r="U124" s="1121"/>
      <c r="V124" s="1121"/>
      <c r="W124" s="1121"/>
      <c r="X124" s="1787"/>
      <c r="Y124" s="1121"/>
      <c r="Z124" s="1788"/>
      <c r="AA124" s="1121"/>
      <c r="AB124" s="630" t="s">
        <v>2089</v>
      </c>
      <c r="AC124" s="467" t="s">
        <v>2090</v>
      </c>
      <c r="AD124" s="464" t="s">
        <v>2091</v>
      </c>
      <c r="AE124" s="1235"/>
      <c r="AF124" s="1187"/>
      <c r="AG124" s="1187"/>
      <c r="AH124" s="903" t="s">
        <v>2092</v>
      </c>
      <c r="AI124" s="1188"/>
      <c r="AJ124" s="1188"/>
      <c r="AK124" s="1189"/>
      <c r="AL124" s="1189"/>
    </row>
    <row r="125" spans="1:42" s="1327" customFormat="1" ht="21.75" customHeight="1">
      <c r="A125" s="584"/>
      <c r="B125" s="1121"/>
      <c r="C125" s="1121"/>
      <c r="D125" s="1121"/>
      <c r="E125" s="566">
        <v>22.5</v>
      </c>
      <c r="F125" s="3" t="str" cm="1">
        <f t="array" aca="1" ref="F125" ca="1">OFFSET(E125,-1,1)</f>
        <v>1</v>
      </c>
      <c r="G125" s="1121"/>
      <c r="H125" s="404" t="s">
        <v>2093</v>
      </c>
      <c r="I125" s="1121"/>
      <c r="J125" s="1121"/>
      <c r="K125" s="1121"/>
      <c r="L125" s="1121"/>
      <c r="M125" s="1121"/>
      <c r="N125" s="1121"/>
      <c r="O125" s="1121"/>
      <c r="P125" s="1121"/>
      <c r="Q125" s="1121"/>
      <c r="R125" s="1121"/>
      <c r="S125" s="1121"/>
      <c r="T125" s="381" t="b" cm="1">
        <f t="array" ref="T125">T124</f>
        <v>1</v>
      </c>
      <c r="U125" s="1121"/>
      <c r="V125" s="1121"/>
      <c r="W125" s="1121"/>
      <c r="X125" s="1787"/>
      <c r="Y125" s="1121"/>
      <c r="Z125" s="1788"/>
      <c r="AA125" s="1121"/>
      <c r="AB125" s="630" t="s">
        <v>2094</v>
      </c>
      <c r="AC125" s="466" t="s">
        <v>2095</v>
      </c>
      <c r="AD125" s="464" t="s">
        <v>766</v>
      </c>
      <c r="AE125" s="1235"/>
      <c r="AF125" s="1187"/>
      <c r="AG125" s="1187"/>
      <c r="AH125" s="903" t="s">
        <v>1585</v>
      </c>
      <c r="AI125" s="1188"/>
      <c r="AJ125" s="1188"/>
      <c r="AK125" s="1189"/>
      <c r="AL125" s="1189"/>
    </row>
    <row r="126" spans="1:42" s="1327" customFormat="1" ht="14.25" customHeight="1">
      <c r="A126" s="584"/>
      <c r="B126" s="1121"/>
      <c r="C126" s="1121"/>
      <c r="D126" s="1121"/>
      <c r="E126" s="566">
        <v>15</v>
      </c>
      <c r="F126" s="3" t="str" cm="1">
        <f t="array" aca="1" ref="F126" ca="1">OFFSET(E126,-1,1)</f>
        <v>1</v>
      </c>
      <c r="G126" s="1121"/>
      <c r="H126" s="404" t="s">
        <v>1165</v>
      </c>
      <c r="I126" s="1121"/>
      <c r="J126" s="1121"/>
      <c r="K126" s="1121"/>
      <c r="L126" s="1121"/>
      <c r="M126" s="1121"/>
      <c r="N126" s="1121"/>
      <c r="O126" s="1121"/>
      <c r="P126" s="1121"/>
      <c r="Q126" s="1121"/>
      <c r="R126" s="1121"/>
      <c r="S126" s="1121"/>
      <c r="T126" s="381" t="b" cm="1">
        <f t="array" ref="T126">T125</f>
        <v>1</v>
      </c>
      <c r="U126" s="1121"/>
      <c r="V126" s="1121"/>
      <c r="W126" s="1121"/>
      <c r="X126" s="1787"/>
      <c r="Y126" s="1121"/>
      <c r="Z126" s="1788"/>
      <c r="AA126" s="1121"/>
      <c r="AB126" s="630" t="s">
        <v>1166</v>
      </c>
      <c r="AC126" s="465" t="s">
        <v>2096</v>
      </c>
      <c r="AD126" s="464" t="s">
        <v>766</v>
      </c>
      <c r="AE126" s="1235"/>
      <c r="AF126" s="1187"/>
      <c r="AG126" s="1187"/>
      <c r="AH126" s="903" t="s">
        <v>1953</v>
      </c>
      <c r="AI126" s="1188"/>
      <c r="AJ126" s="1188"/>
      <c r="AK126" s="1189"/>
      <c r="AL126" s="1189"/>
    </row>
    <row r="127" spans="1:42" s="1327" customFormat="1" ht="14.25" customHeight="1">
      <c r="A127" s="584"/>
      <c r="B127" s="1121"/>
      <c r="C127" s="1121"/>
      <c r="D127" s="1121"/>
      <c r="E127" s="566">
        <v>15</v>
      </c>
      <c r="F127" s="3" t="str" cm="1">
        <f t="array" aca="1" ref="F127" ca="1">OFFSET(E127,-1,1)</f>
        <v>1</v>
      </c>
      <c r="G127" s="1121"/>
      <c r="H127" s="404" t="s">
        <v>2097</v>
      </c>
      <c r="I127" s="1121"/>
      <c r="J127" s="1121"/>
      <c r="K127" s="1121"/>
      <c r="L127" s="1121"/>
      <c r="M127" s="1121"/>
      <c r="N127" s="1121"/>
      <c r="O127" s="1121"/>
      <c r="P127" s="1121"/>
      <c r="Q127" s="1121"/>
      <c r="R127" s="1121"/>
      <c r="S127" s="1121"/>
      <c r="T127" s="381" t="b" cm="1">
        <f t="array" ref="T127">T126</f>
        <v>1</v>
      </c>
      <c r="U127" s="1121"/>
      <c r="V127" s="1121"/>
      <c r="W127" s="1121"/>
      <c r="X127" s="1787"/>
      <c r="Y127" s="1121"/>
      <c r="Z127" s="1788"/>
      <c r="AA127" s="1121"/>
      <c r="AB127" s="630" t="s">
        <v>1169</v>
      </c>
      <c r="AC127" s="465" t="s">
        <v>1778</v>
      </c>
      <c r="AD127" s="464" t="s">
        <v>766</v>
      </c>
      <c r="AE127" s="1235"/>
      <c r="AF127" s="1187"/>
      <c r="AG127" s="1187"/>
      <c r="AH127" s="903" t="s">
        <v>1590</v>
      </c>
      <c r="AI127" s="1188"/>
      <c r="AJ127" s="1188"/>
      <c r="AK127" s="1189"/>
      <c r="AL127" s="1189"/>
    </row>
    <row r="128" spans="1:42" s="1327" customFormat="1" ht="14.25" customHeight="1">
      <c r="A128" s="584"/>
      <c r="B128" s="1121"/>
      <c r="C128" s="1121"/>
      <c r="D128" s="1121"/>
      <c r="E128" s="566">
        <v>15</v>
      </c>
      <c r="F128" s="3" t="str" cm="1">
        <f t="array" aca="1" ref="F128" ca="1">OFFSET(E128,-1,1)</f>
        <v>1</v>
      </c>
      <c r="G128" s="1121"/>
      <c r="H128" s="404" t="s">
        <v>2098</v>
      </c>
      <c r="I128" s="1121"/>
      <c r="J128" s="1121"/>
      <c r="K128" s="1121"/>
      <c r="L128" s="1121"/>
      <c r="M128" s="1121"/>
      <c r="N128" s="1121"/>
      <c r="O128" s="1121"/>
      <c r="P128" s="1121"/>
      <c r="Q128" s="1121"/>
      <c r="R128" s="1121"/>
      <c r="S128" s="1121"/>
      <c r="T128" s="381" t="b" cm="1">
        <f t="array" ref="T128">T127</f>
        <v>1</v>
      </c>
      <c r="U128" s="1121"/>
      <c r="V128" s="1121"/>
      <c r="W128" s="1121"/>
      <c r="X128" s="1787"/>
      <c r="Y128" s="1121"/>
      <c r="Z128" s="1788"/>
      <c r="AA128" s="1121"/>
      <c r="AB128" s="630" t="s">
        <v>2099</v>
      </c>
      <c r="AC128" s="465" t="s">
        <v>2100</v>
      </c>
      <c r="AD128" s="464" t="s">
        <v>766</v>
      </c>
      <c r="AE128" s="473">
        <f>SUM(AE129:AE135)</f>
        <v>0</v>
      </c>
      <c r="AF128" s="1187"/>
      <c r="AG128" s="1187"/>
      <c r="AH128" s="903" t="s">
        <v>1594</v>
      </c>
      <c r="AI128" s="1188"/>
      <c r="AJ128" s="1188"/>
      <c r="AK128" s="1189"/>
      <c r="AL128" s="1189"/>
    </row>
    <row r="129" spans="1:38" s="1327" customFormat="1" ht="14.25" customHeight="1">
      <c r="A129" s="584"/>
      <c r="B129" s="1121"/>
      <c r="C129" s="1121"/>
      <c r="D129" s="1121"/>
      <c r="E129" s="566">
        <v>15</v>
      </c>
      <c r="F129" s="3" t="str" cm="1">
        <f t="array" aca="1" ref="F129" ca="1">OFFSET(E129,-1,1)</f>
        <v>1</v>
      </c>
      <c r="G129" s="1121"/>
      <c r="H129" s="404" t="s">
        <v>2101</v>
      </c>
      <c r="I129" s="1121"/>
      <c r="J129" s="1121"/>
      <c r="K129" s="1121"/>
      <c r="L129" s="1121"/>
      <c r="M129" s="1121"/>
      <c r="N129" s="1121"/>
      <c r="O129" s="1121"/>
      <c r="P129" s="1121"/>
      <c r="Q129" s="1121"/>
      <c r="R129" s="1121"/>
      <c r="S129" s="1121"/>
      <c r="T129" s="381" t="b" cm="1">
        <f t="array" ref="T129">T128</f>
        <v>1</v>
      </c>
      <c r="U129" s="1121"/>
      <c r="V129" s="1121"/>
      <c r="W129" s="1121"/>
      <c r="X129" s="1787"/>
      <c r="Y129" s="1121"/>
      <c r="Z129" s="1788"/>
      <c r="AA129" s="1121"/>
      <c r="AB129" s="630" t="s">
        <v>2102</v>
      </c>
      <c r="AC129" s="466" t="s">
        <v>1601</v>
      </c>
      <c r="AD129" s="464" t="s">
        <v>766</v>
      </c>
      <c r="AE129" s="1235"/>
      <c r="AF129" s="1187"/>
      <c r="AG129" s="1187"/>
      <c r="AH129" s="903" t="s">
        <v>2103</v>
      </c>
      <c r="AI129" s="1188"/>
      <c r="AJ129" s="1188"/>
      <c r="AK129" s="1189"/>
      <c r="AL129" s="1189"/>
    </row>
    <row r="130" spans="1:38" s="1327" customFormat="1" ht="21.75" customHeight="1">
      <c r="A130" s="584"/>
      <c r="B130" s="1121"/>
      <c r="C130" s="1121"/>
      <c r="D130" s="1121"/>
      <c r="E130" s="566">
        <v>22.5</v>
      </c>
      <c r="F130" s="3" t="str" cm="1">
        <f t="array" aca="1" ref="F130" ca="1">OFFSET(E130,-1,1)</f>
        <v>1</v>
      </c>
      <c r="G130" s="1121"/>
      <c r="H130" s="404" t="s">
        <v>2104</v>
      </c>
      <c r="I130" s="1121"/>
      <c r="J130" s="1121"/>
      <c r="K130" s="1121"/>
      <c r="L130" s="1121"/>
      <c r="M130" s="1121"/>
      <c r="N130" s="1121"/>
      <c r="O130" s="1121"/>
      <c r="P130" s="1121"/>
      <c r="Q130" s="1121"/>
      <c r="R130" s="1121"/>
      <c r="S130" s="1121"/>
      <c r="T130" s="381" t="b" cm="1">
        <f t="array" ref="T130">T129</f>
        <v>1</v>
      </c>
      <c r="U130" s="1121"/>
      <c r="V130" s="1121"/>
      <c r="W130" s="1121"/>
      <c r="X130" s="1787"/>
      <c r="Y130" s="1121"/>
      <c r="Z130" s="1788"/>
      <c r="AA130" s="1121"/>
      <c r="AB130" s="630" t="s">
        <v>2105</v>
      </c>
      <c r="AC130" s="466" t="s">
        <v>1786</v>
      </c>
      <c r="AD130" s="464" t="s">
        <v>766</v>
      </c>
      <c r="AE130" s="1235"/>
      <c r="AF130" s="1187"/>
      <c r="AG130" s="1187"/>
      <c r="AH130" s="966" t="s">
        <v>1787</v>
      </c>
      <c r="AI130" s="1188"/>
      <c r="AJ130" s="1188"/>
      <c r="AK130" s="1189"/>
      <c r="AL130" s="1189"/>
    </row>
    <row r="131" spans="1:38" s="1327" customFormat="1" ht="21.75" customHeight="1">
      <c r="A131" s="584"/>
      <c r="B131" s="1121"/>
      <c r="C131" s="1121"/>
      <c r="D131" s="1121"/>
      <c r="E131" s="566">
        <v>22.5</v>
      </c>
      <c r="F131" s="3" t="str" cm="1">
        <f t="array" aca="1" ref="F131" ca="1">OFFSET(E131,-1,1)</f>
        <v>1</v>
      </c>
      <c r="G131" s="1121"/>
      <c r="H131" s="404" t="s">
        <v>2106</v>
      </c>
      <c r="I131" s="1121"/>
      <c r="J131" s="1121"/>
      <c r="K131" s="1121"/>
      <c r="L131" s="1121"/>
      <c r="M131" s="1121"/>
      <c r="N131" s="1121"/>
      <c r="O131" s="1121"/>
      <c r="P131" s="1121"/>
      <c r="Q131" s="1121"/>
      <c r="R131" s="1121"/>
      <c r="S131" s="1121"/>
      <c r="T131" s="381" t="b" cm="1">
        <f t="array" ref="T131">T130</f>
        <v>1</v>
      </c>
      <c r="U131" s="1121"/>
      <c r="V131" s="1121"/>
      <c r="W131" s="1121"/>
      <c r="X131" s="1787"/>
      <c r="Y131" s="1121"/>
      <c r="Z131" s="1788"/>
      <c r="AA131" s="1121"/>
      <c r="AB131" s="630" t="s">
        <v>2107</v>
      </c>
      <c r="AC131" s="466" t="s">
        <v>1790</v>
      </c>
      <c r="AD131" s="464" t="s">
        <v>766</v>
      </c>
      <c r="AE131" s="1235"/>
      <c r="AF131" s="1187"/>
      <c r="AG131" s="1187"/>
      <c r="AH131" s="966" t="s">
        <v>1791</v>
      </c>
      <c r="AI131" s="1188"/>
      <c r="AJ131" s="1188"/>
      <c r="AK131" s="1189"/>
      <c r="AL131" s="1189"/>
    </row>
    <row r="132" spans="1:38" s="1327" customFormat="1" ht="21.75" customHeight="1">
      <c r="A132" s="584"/>
      <c r="B132" s="1121"/>
      <c r="C132" s="1121"/>
      <c r="D132" s="1121"/>
      <c r="E132" s="566">
        <v>22.5</v>
      </c>
      <c r="F132" s="3" t="str" cm="1">
        <f t="array" aca="1" ref="F132" ca="1">OFFSET(E132,-1,1)</f>
        <v>1</v>
      </c>
      <c r="G132" s="1121"/>
      <c r="H132" s="404" t="s">
        <v>2108</v>
      </c>
      <c r="I132" s="1121"/>
      <c r="J132" s="1121"/>
      <c r="K132" s="1121"/>
      <c r="L132" s="1121"/>
      <c r="M132" s="1121"/>
      <c r="N132" s="1121"/>
      <c r="O132" s="1121"/>
      <c r="P132" s="1121"/>
      <c r="Q132" s="1121"/>
      <c r="R132" s="1121"/>
      <c r="S132" s="1121"/>
      <c r="T132" s="381" t="b" cm="1">
        <f t="array" ref="T132">T131</f>
        <v>1</v>
      </c>
      <c r="U132" s="1121"/>
      <c r="V132" s="1121"/>
      <c r="W132" s="1121"/>
      <c r="X132" s="1787"/>
      <c r="Y132" s="1121"/>
      <c r="Z132" s="1788"/>
      <c r="AA132" s="1121"/>
      <c r="AB132" s="630" t="s">
        <v>2109</v>
      </c>
      <c r="AC132" s="466" t="s">
        <v>2110</v>
      </c>
      <c r="AD132" s="464" t="s">
        <v>766</v>
      </c>
      <c r="AE132" s="1235"/>
      <c r="AF132" s="1187"/>
      <c r="AG132" s="1187"/>
      <c r="AH132" s="966" t="s">
        <v>1795</v>
      </c>
      <c r="AI132" s="1188"/>
      <c r="AJ132" s="1188"/>
      <c r="AK132" s="1189"/>
      <c r="AL132" s="1189"/>
    </row>
    <row r="133" spans="1:38" s="1327" customFormat="1" ht="54.75" customHeight="1">
      <c r="A133" s="584"/>
      <c r="B133" s="1121"/>
      <c r="C133" s="1121"/>
      <c r="D133" s="1121"/>
      <c r="E133" s="566">
        <v>56.25</v>
      </c>
      <c r="F133" s="3" t="str" cm="1">
        <f t="array" aca="1" ref="F133" ca="1">OFFSET(E133,-1,1)</f>
        <v>1</v>
      </c>
      <c r="G133" s="1121"/>
      <c r="H133" s="404" t="s">
        <v>2111</v>
      </c>
      <c r="I133" s="1121"/>
      <c r="J133" s="1121"/>
      <c r="K133" s="1121"/>
      <c r="L133" s="1121"/>
      <c r="M133" s="1121"/>
      <c r="N133" s="1121"/>
      <c r="O133" s="1121"/>
      <c r="P133" s="1121"/>
      <c r="Q133" s="1121"/>
      <c r="R133" s="1121"/>
      <c r="S133" s="1121"/>
      <c r="T133" s="381" t="b" cm="1">
        <f t="array" ref="T133">T132</f>
        <v>1</v>
      </c>
      <c r="U133" s="1121"/>
      <c r="V133" s="1121"/>
      <c r="W133" s="1121"/>
      <c r="X133" s="1787"/>
      <c r="Y133" s="1121"/>
      <c r="Z133" s="1788"/>
      <c r="AA133" s="1121"/>
      <c r="AB133" s="630" t="s">
        <v>2112</v>
      </c>
      <c r="AC133" s="466" t="s">
        <v>1798</v>
      </c>
      <c r="AD133" s="464" t="s">
        <v>766</v>
      </c>
      <c r="AE133" s="1235"/>
      <c r="AF133" s="1187"/>
      <c r="AG133" s="1187"/>
      <c r="AH133" s="966" t="s">
        <v>1606</v>
      </c>
      <c r="AI133" s="1188"/>
      <c r="AJ133" s="1188"/>
      <c r="AK133" s="1189"/>
      <c r="AL133" s="1189"/>
    </row>
    <row r="134" spans="1:38" s="1327" customFormat="1" ht="14.25" customHeight="1">
      <c r="A134" s="584"/>
      <c r="B134" s="1121"/>
      <c r="C134" s="1121"/>
      <c r="D134" s="1121"/>
      <c r="E134" s="566">
        <v>15</v>
      </c>
      <c r="F134" s="3" t="str" cm="1">
        <f t="array" aca="1" ref="F134" ca="1">OFFSET(E134,-1,1)</f>
        <v>1</v>
      </c>
      <c r="G134" s="1121"/>
      <c r="H134" s="404" t="s">
        <v>2113</v>
      </c>
      <c r="I134" s="1121"/>
      <c r="J134" s="1121"/>
      <c r="K134" s="1121"/>
      <c r="L134" s="1121"/>
      <c r="M134" s="1121"/>
      <c r="N134" s="1121"/>
      <c r="O134" s="1121"/>
      <c r="P134" s="1121"/>
      <c r="Q134" s="1121"/>
      <c r="R134" s="1121"/>
      <c r="S134" s="1121"/>
      <c r="T134" s="381" t="b" cm="1">
        <f t="array" ref="T134">T133</f>
        <v>1</v>
      </c>
      <c r="U134" s="1121"/>
      <c r="V134" s="1121"/>
      <c r="W134" s="1121"/>
      <c r="X134" s="1787"/>
      <c r="Y134" s="1121"/>
      <c r="Z134" s="1788"/>
      <c r="AA134" s="1121"/>
      <c r="AB134" s="630" t="s">
        <v>2114</v>
      </c>
      <c r="AC134" s="466" t="s">
        <v>1609</v>
      </c>
      <c r="AD134" s="464" t="s">
        <v>766</v>
      </c>
      <c r="AE134" s="1235"/>
      <c r="AF134" s="1187"/>
      <c r="AG134" s="1187"/>
      <c r="AH134" s="966" t="s">
        <v>1610</v>
      </c>
      <c r="AI134" s="1188"/>
      <c r="AJ134" s="1188"/>
      <c r="AK134" s="1189"/>
      <c r="AL134" s="1189"/>
    </row>
    <row r="135" spans="1:38" s="1327" customFormat="1" ht="14.25" customHeight="1">
      <c r="A135" s="584"/>
      <c r="B135" s="1121"/>
      <c r="C135" s="1121"/>
      <c r="D135" s="1121"/>
      <c r="E135" s="566">
        <v>15</v>
      </c>
      <c r="F135" s="3" t="str" cm="1">
        <f t="array" aca="1" ref="F135" ca="1">OFFSET(E135,-1,1)</f>
        <v>1</v>
      </c>
      <c r="G135" s="1121"/>
      <c r="H135" s="404" t="s">
        <v>2115</v>
      </c>
      <c r="I135" s="1121"/>
      <c r="J135" s="1121"/>
      <c r="K135" s="1121"/>
      <c r="L135" s="1121"/>
      <c r="M135" s="1121"/>
      <c r="N135" s="1121"/>
      <c r="O135" s="1121"/>
      <c r="P135" s="1121"/>
      <c r="Q135" s="1121"/>
      <c r="R135" s="1121"/>
      <c r="S135" s="1121"/>
      <c r="T135" s="381" t="b" cm="1">
        <f t="array" ref="T135">T134</f>
        <v>1</v>
      </c>
      <c r="U135" s="1121"/>
      <c r="V135" s="1121"/>
      <c r="W135" s="1121"/>
      <c r="X135" s="1787"/>
      <c r="Y135" s="1121"/>
      <c r="Z135" s="1788"/>
      <c r="AA135" s="1121"/>
      <c r="AB135" s="630" t="s">
        <v>2116</v>
      </c>
      <c r="AC135" s="466" t="s">
        <v>1101</v>
      </c>
      <c r="AD135" s="464" t="s">
        <v>766</v>
      </c>
      <c r="AE135" s="1235"/>
      <c r="AF135" s="1187"/>
      <c r="AG135" s="1187"/>
      <c r="AH135" s="966" t="s">
        <v>1594</v>
      </c>
      <c r="AI135" s="1188"/>
      <c r="AJ135" s="1188"/>
      <c r="AK135" s="1189"/>
      <c r="AL135" s="1189"/>
    </row>
    <row r="136" spans="1:38" s="1327" customFormat="1" ht="14.25" customHeight="1">
      <c r="A136" s="584"/>
      <c r="B136" s="1121"/>
      <c r="C136" s="1121"/>
      <c r="D136" s="1121"/>
      <c r="E136" s="566">
        <v>15</v>
      </c>
      <c r="F136" s="3" t="str" cm="1">
        <f t="array" aca="1" ref="F136" ca="1">OFFSET(E136,-1,1)</f>
        <v>1</v>
      </c>
      <c r="G136" s="1121"/>
      <c r="H136" s="404" t="s">
        <v>431</v>
      </c>
      <c r="I136" s="1121"/>
      <c r="J136" s="1121"/>
      <c r="K136" s="1121"/>
      <c r="L136" s="1121"/>
      <c r="M136" s="1121"/>
      <c r="N136" s="1121"/>
      <c r="O136" s="1121"/>
      <c r="P136" s="1121"/>
      <c r="Q136" s="1121"/>
      <c r="R136" s="1121"/>
      <c r="S136" s="1121"/>
      <c r="T136" s="381" t="b" cm="1">
        <f t="array" ref="T136">T135</f>
        <v>1</v>
      </c>
      <c r="U136" s="1121"/>
      <c r="V136" s="1121"/>
      <c r="W136" s="1121"/>
      <c r="X136" s="1787"/>
      <c r="Y136" s="1121"/>
      <c r="Z136" s="1788"/>
      <c r="AA136" s="1121"/>
      <c r="AB136" s="630" t="s">
        <v>824</v>
      </c>
      <c r="AC136" s="463" t="s">
        <v>2117</v>
      </c>
      <c r="AD136" s="464" t="s">
        <v>766</v>
      </c>
      <c r="AE136" s="473">
        <f>AE137+AE138+AE139</f>
        <v>0</v>
      </c>
      <c r="AF136" s="1187"/>
      <c r="AG136" s="1187"/>
      <c r="AH136" s="965" t="s">
        <v>1615</v>
      </c>
      <c r="AI136" s="1188"/>
      <c r="AJ136" s="1188"/>
      <c r="AK136" s="1189"/>
      <c r="AL136" s="1189"/>
    </row>
    <row r="137" spans="1:38" s="1327" customFormat="1" ht="14.25" customHeight="1">
      <c r="A137" s="584"/>
      <c r="B137" s="1121"/>
      <c r="C137" s="1121"/>
      <c r="D137" s="1121"/>
      <c r="E137" s="566">
        <v>15</v>
      </c>
      <c r="F137" s="3" t="str" cm="1">
        <f t="array" aca="1" ref="F137" ca="1">OFFSET(E137,-1,1)</f>
        <v>1</v>
      </c>
      <c r="G137" s="1121"/>
      <c r="H137" s="404" t="s">
        <v>1186</v>
      </c>
      <c r="I137" s="1121"/>
      <c r="J137" s="1121"/>
      <c r="K137" s="1121"/>
      <c r="L137" s="1121"/>
      <c r="M137" s="1121"/>
      <c r="N137" s="1121"/>
      <c r="O137" s="1121"/>
      <c r="P137" s="1121"/>
      <c r="Q137" s="1121"/>
      <c r="R137" s="1121"/>
      <c r="S137" s="1121"/>
      <c r="T137" s="381" t="b" cm="1">
        <f t="array" ref="T137">T136</f>
        <v>1</v>
      </c>
      <c r="U137" s="1121"/>
      <c r="V137" s="1121"/>
      <c r="W137" s="1121"/>
      <c r="X137" s="1787"/>
      <c r="Y137" s="1121"/>
      <c r="Z137" s="1788"/>
      <c r="AA137" s="1121"/>
      <c r="AB137" s="630" t="s">
        <v>1187</v>
      </c>
      <c r="AC137" s="465" t="s">
        <v>2118</v>
      </c>
      <c r="AD137" s="464" t="s">
        <v>766</v>
      </c>
      <c r="AE137" s="1235"/>
      <c r="AF137" s="1187"/>
      <c r="AG137" s="1187"/>
      <c r="AH137" s="964" t="s">
        <v>1617</v>
      </c>
      <c r="AI137" s="1188"/>
      <c r="AJ137" s="1188"/>
      <c r="AK137" s="1189"/>
      <c r="AL137" s="1189"/>
    </row>
    <row r="138" spans="1:38" s="1327" customFormat="1" ht="14.25" customHeight="1">
      <c r="A138" s="584"/>
      <c r="B138" s="1121"/>
      <c r="C138" s="1121"/>
      <c r="D138" s="1121"/>
      <c r="E138" s="566">
        <v>15</v>
      </c>
      <c r="F138" s="3" t="str" cm="1">
        <f t="array" aca="1" ref="F138" ca="1">OFFSET(E138,-1,1)</f>
        <v>1</v>
      </c>
      <c r="G138" s="1121"/>
      <c r="H138" s="404" t="s">
        <v>1189</v>
      </c>
      <c r="I138" s="1121"/>
      <c r="J138" s="1121"/>
      <c r="K138" s="1121"/>
      <c r="L138" s="1121"/>
      <c r="M138" s="1121"/>
      <c r="N138" s="1121"/>
      <c r="O138" s="1121"/>
      <c r="P138" s="1121"/>
      <c r="Q138" s="1121"/>
      <c r="R138" s="1121"/>
      <c r="S138" s="1121"/>
      <c r="T138" s="381" t="b" cm="1">
        <f t="array" ref="T138">T137</f>
        <v>1</v>
      </c>
      <c r="U138" s="1121"/>
      <c r="V138" s="1121"/>
      <c r="W138" s="1121"/>
      <c r="X138" s="1787"/>
      <c r="Y138" s="1121"/>
      <c r="Z138" s="1788"/>
      <c r="AA138" s="1121"/>
      <c r="AB138" s="630" t="s">
        <v>1190</v>
      </c>
      <c r="AC138" s="465" t="s">
        <v>2119</v>
      </c>
      <c r="AD138" s="464" t="s">
        <v>766</v>
      </c>
      <c r="AE138" s="1235"/>
      <c r="AF138" s="1187"/>
      <c r="AG138" s="1187"/>
      <c r="AH138" s="966" t="s">
        <v>1806</v>
      </c>
      <c r="AI138" s="1188"/>
      <c r="AJ138" s="1188"/>
      <c r="AK138" s="1189"/>
      <c r="AL138" s="1189"/>
    </row>
    <row r="139" spans="1:38" s="1327" customFormat="1" ht="21.75" customHeight="1">
      <c r="A139" s="584"/>
      <c r="B139" s="1121"/>
      <c r="C139" s="1121"/>
      <c r="D139" s="1121"/>
      <c r="E139" s="566">
        <v>22.5</v>
      </c>
      <c r="F139" s="3" t="str" cm="1">
        <f t="array" aca="1" ref="F139" ca="1">OFFSET(E139,-1,1)</f>
        <v>1</v>
      </c>
      <c r="G139" s="1121"/>
      <c r="H139" s="404" t="s">
        <v>1193</v>
      </c>
      <c r="I139" s="1121"/>
      <c r="J139" s="1121"/>
      <c r="K139" s="1121"/>
      <c r="L139" s="1121"/>
      <c r="M139" s="1121"/>
      <c r="N139" s="1121"/>
      <c r="O139" s="1121"/>
      <c r="P139" s="1121"/>
      <c r="Q139" s="1121"/>
      <c r="R139" s="1121"/>
      <c r="S139" s="1121"/>
      <c r="T139" s="381" t="b" cm="1">
        <f t="array" ref="T139">T138</f>
        <v>1</v>
      </c>
      <c r="U139" s="1121"/>
      <c r="V139" s="1121"/>
      <c r="W139" s="1121"/>
      <c r="X139" s="1787"/>
      <c r="Y139" s="1121"/>
      <c r="Z139" s="1788"/>
      <c r="AA139" s="1121"/>
      <c r="AB139" s="630" t="s">
        <v>1194</v>
      </c>
      <c r="AC139" s="465" t="s">
        <v>2120</v>
      </c>
      <c r="AD139" s="464" t="s">
        <v>766</v>
      </c>
      <c r="AE139" s="473">
        <f>AE140+AE143</f>
        <v>0</v>
      </c>
      <c r="AF139" s="1187"/>
      <c r="AG139" s="1187"/>
      <c r="AH139" s="964" t="s">
        <v>1619</v>
      </c>
      <c r="AI139" s="1188"/>
      <c r="AJ139" s="1188"/>
      <c r="AK139" s="1189"/>
      <c r="AL139" s="1189"/>
    </row>
    <row r="140" spans="1:38" s="1327" customFormat="1" ht="14.25" customHeight="1">
      <c r="A140" s="584"/>
      <c r="B140" s="1121"/>
      <c r="C140" s="1121"/>
      <c r="D140" s="1121"/>
      <c r="E140" s="566">
        <v>15</v>
      </c>
      <c r="F140" s="3" t="str" cm="1">
        <f t="array" aca="1" ref="F140" ca="1">OFFSET(E140,-1,1)</f>
        <v>1</v>
      </c>
      <c r="G140" s="1121"/>
      <c r="H140" s="404" t="s">
        <v>1337</v>
      </c>
      <c r="I140" s="1121"/>
      <c r="J140" s="1121"/>
      <c r="K140" s="1121"/>
      <c r="L140" s="1121"/>
      <c r="M140" s="1121"/>
      <c r="N140" s="1121"/>
      <c r="O140" s="1121"/>
      <c r="P140" s="1121"/>
      <c r="Q140" s="1121"/>
      <c r="R140" s="1121"/>
      <c r="S140" s="1121"/>
      <c r="T140" s="381" t="b" cm="1">
        <f t="array" ref="T140">T139</f>
        <v>1</v>
      </c>
      <c r="U140" s="1121"/>
      <c r="V140" s="1121"/>
      <c r="W140" s="1121"/>
      <c r="X140" s="1787"/>
      <c r="Y140" s="1121"/>
      <c r="Z140" s="1788"/>
      <c r="AA140" s="1121"/>
      <c r="AB140" s="630" t="s">
        <v>1775</v>
      </c>
      <c r="AC140" s="466" t="s">
        <v>1621</v>
      </c>
      <c r="AD140" s="464" t="s">
        <v>766</v>
      </c>
      <c r="AE140" s="1235"/>
      <c r="AF140" s="1187"/>
      <c r="AG140" s="1187"/>
      <c r="AH140" s="964" t="s">
        <v>1622</v>
      </c>
      <c r="AI140" s="1188"/>
      <c r="AJ140" s="1188"/>
      <c r="AK140" s="1189"/>
      <c r="AL140" s="1189"/>
    </row>
    <row r="141" spans="1:38" s="1327" customFormat="1" ht="14.25" customHeight="1">
      <c r="A141" s="584"/>
      <c r="B141" s="1121"/>
      <c r="C141" s="1121"/>
      <c r="D141" s="1121"/>
      <c r="E141" s="566">
        <v>15</v>
      </c>
      <c r="F141" s="3" t="str" cm="1">
        <f t="array" aca="1" ref="F141" ca="1">OFFSET(E141,-1,1)</f>
        <v>1</v>
      </c>
      <c r="G141" s="1121"/>
      <c r="H141" s="404" t="s">
        <v>2121</v>
      </c>
      <c r="I141" s="1121"/>
      <c r="J141" s="1121"/>
      <c r="K141" s="1121"/>
      <c r="L141" s="1121"/>
      <c r="M141" s="1121"/>
      <c r="N141" s="1121"/>
      <c r="O141" s="1121"/>
      <c r="P141" s="1121"/>
      <c r="Q141" s="1121"/>
      <c r="R141" s="1121"/>
      <c r="S141" s="1121"/>
      <c r="T141" s="381" t="b" cm="1">
        <f t="array" ref="T141">T140</f>
        <v>1</v>
      </c>
      <c r="U141" s="1121"/>
      <c r="V141" s="1121"/>
      <c r="W141" s="1121"/>
      <c r="X141" s="1787"/>
      <c r="Y141" s="1121"/>
      <c r="Z141" s="1788"/>
      <c r="AA141" s="1121"/>
      <c r="AB141" s="630" t="s">
        <v>2122</v>
      </c>
      <c r="AC141" s="467" t="s">
        <v>2123</v>
      </c>
      <c r="AD141" s="464" t="s">
        <v>2086</v>
      </c>
      <c r="AE141" s="1235"/>
      <c r="AF141" s="1187"/>
      <c r="AG141" s="1187"/>
      <c r="AH141" s="903" t="s">
        <v>2124</v>
      </c>
      <c r="AI141" s="1188"/>
      <c r="AJ141" s="1188"/>
      <c r="AK141" s="1189"/>
      <c r="AL141" s="1189"/>
    </row>
    <row r="142" spans="1:38" s="1327" customFormat="1" ht="14.25" customHeight="1">
      <c r="A142" s="584"/>
      <c r="B142" s="1121"/>
      <c r="C142" s="1121"/>
      <c r="D142" s="1121"/>
      <c r="E142" s="566">
        <v>15</v>
      </c>
      <c r="F142" s="3" t="str" cm="1">
        <f t="array" aca="1" ref="F142" ca="1">OFFSET(E142,-1,1)</f>
        <v>1</v>
      </c>
      <c r="G142" s="1121"/>
      <c r="H142" s="404" t="s">
        <v>2125</v>
      </c>
      <c r="I142" s="1121"/>
      <c r="J142" s="1121"/>
      <c r="K142" s="1121"/>
      <c r="L142" s="1121"/>
      <c r="M142" s="1121"/>
      <c r="N142" s="1121"/>
      <c r="O142" s="1121"/>
      <c r="P142" s="1121"/>
      <c r="Q142" s="1121"/>
      <c r="R142" s="1121"/>
      <c r="S142" s="1121"/>
      <c r="T142" s="381" t="b" cm="1">
        <f t="array" ref="T142">T141</f>
        <v>1</v>
      </c>
      <c r="U142" s="1121"/>
      <c r="V142" s="1121"/>
      <c r="W142" s="1121"/>
      <c r="X142" s="1787"/>
      <c r="Y142" s="1121"/>
      <c r="Z142" s="1788"/>
      <c r="AA142" s="1121"/>
      <c r="AB142" s="630" t="s">
        <v>2126</v>
      </c>
      <c r="AC142" s="467" t="s">
        <v>2127</v>
      </c>
      <c r="AD142" s="464" t="s">
        <v>2091</v>
      </c>
      <c r="AE142" s="1235"/>
      <c r="AF142" s="1187"/>
      <c r="AG142" s="1187"/>
      <c r="AH142" s="903" t="s">
        <v>2128</v>
      </c>
      <c r="AI142" s="1188"/>
      <c r="AJ142" s="1188"/>
      <c r="AK142" s="1189"/>
      <c r="AL142" s="1189"/>
    </row>
    <row r="143" spans="1:38" s="1327" customFormat="1" ht="21.75" customHeight="1">
      <c r="A143" s="584"/>
      <c r="B143" s="1121"/>
      <c r="C143" s="1121"/>
      <c r="D143" s="1121"/>
      <c r="E143" s="566">
        <v>22.5</v>
      </c>
      <c r="F143" s="3" t="str" cm="1">
        <f t="array" aca="1" ref="F143" ca="1">OFFSET(E143,-1,1)</f>
        <v>1</v>
      </c>
      <c r="G143" s="1121"/>
      <c r="H143" s="404" t="s">
        <v>1341</v>
      </c>
      <c r="I143" s="1121"/>
      <c r="J143" s="1121"/>
      <c r="K143" s="1121"/>
      <c r="L143" s="1121"/>
      <c r="M143" s="1121"/>
      <c r="N143" s="1121"/>
      <c r="O143" s="1121"/>
      <c r="P143" s="1121"/>
      <c r="Q143" s="1121"/>
      <c r="R143" s="1121"/>
      <c r="S143" s="1121"/>
      <c r="T143" s="381" t="b" cm="1">
        <f t="array" ref="T143">T142</f>
        <v>1</v>
      </c>
      <c r="U143" s="1121"/>
      <c r="V143" s="1121"/>
      <c r="W143" s="1121"/>
      <c r="X143" s="1787"/>
      <c r="Y143" s="1121"/>
      <c r="Z143" s="1788"/>
      <c r="AA143" s="1121"/>
      <c r="AB143" s="630" t="s">
        <v>1776</v>
      </c>
      <c r="AC143" s="466" t="s">
        <v>1812</v>
      </c>
      <c r="AD143" s="464" t="s">
        <v>766</v>
      </c>
      <c r="AE143" s="1235"/>
      <c r="AF143" s="1187"/>
      <c r="AG143" s="1187"/>
      <c r="AH143" s="964" t="s">
        <v>1625</v>
      </c>
      <c r="AI143" s="1188"/>
      <c r="AJ143" s="1188"/>
      <c r="AK143" s="1189"/>
      <c r="AL143" s="1189"/>
    </row>
    <row r="144" spans="1:38" s="1327" customFormat="1" ht="14.25" customHeight="1">
      <c r="A144" s="584"/>
      <c r="B144" s="1121"/>
      <c r="C144" s="1121"/>
      <c r="D144" s="1121"/>
      <c r="E144" s="566">
        <v>15</v>
      </c>
      <c r="F144" s="3" t="str" cm="1">
        <f t="array" aca="1" ref="F144" ca="1">OFFSET(E144,-1,1)</f>
        <v>1</v>
      </c>
      <c r="G144" s="1121"/>
      <c r="H144" s="404" t="s">
        <v>434</v>
      </c>
      <c r="I144" s="1121"/>
      <c r="J144" s="1121"/>
      <c r="K144" s="1121"/>
      <c r="L144" s="1121"/>
      <c r="M144" s="1121"/>
      <c r="N144" s="1121"/>
      <c r="O144" s="1121"/>
      <c r="P144" s="1121"/>
      <c r="Q144" s="1121"/>
      <c r="R144" s="1121"/>
      <c r="S144" s="1121"/>
      <c r="T144" s="381" t="b" cm="1">
        <f t="array" ref="T144">T143</f>
        <v>1</v>
      </c>
      <c r="U144" s="1121"/>
      <c r="V144" s="1121"/>
      <c r="W144" s="1121"/>
      <c r="X144" s="1787"/>
      <c r="Y144" s="1121"/>
      <c r="Z144" s="1788"/>
      <c r="AA144" s="1121"/>
      <c r="AB144" s="630" t="s">
        <v>827</v>
      </c>
      <c r="AC144" s="463" t="s">
        <v>1813</v>
      </c>
      <c r="AD144" s="464" t="s">
        <v>766</v>
      </c>
      <c r="AE144" s="473">
        <f>AE145+AE151+AE156+AE157+AE158+AE159+AE160</f>
        <v>0</v>
      </c>
      <c r="AF144" s="1187"/>
      <c r="AG144" s="1187"/>
      <c r="AH144" s="965" t="s">
        <v>1627</v>
      </c>
      <c r="AI144" s="1188"/>
      <c r="AJ144" s="1188"/>
      <c r="AK144" s="1189"/>
      <c r="AL144" s="1189"/>
    </row>
    <row r="145" spans="1:38" s="1327" customFormat="1" ht="21.75" customHeight="1">
      <c r="A145" s="584"/>
      <c r="B145" s="1121"/>
      <c r="C145" s="1121"/>
      <c r="D145" s="1121"/>
      <c r="E145" s="566">
        <v>22.5</v>
      </c>
      <c r="F145" s="3" t="str" cm="1">
        <f t="array" aca="1" ref="F145" ca="1">OFFSET(E145,-1,1)</f>
        <v>1</v>
      </c>
      <c r="G145" s="1121"/>
      <c r="H145" s="404" t="s">
        <v>1199</v>
      </c>
      <c r="I145" s="1121"/>
      <c r="J145" s="1121"/>
      <c r="K145" s="1121"/>
      <c r="L145" s="1121"/>
      <c r="M145" s="1121"/>
      <c r="N145" s="1121"/>
      <c r="O145" s="1121"/>
      <c r="P145" s="1121"/>
      <c r="Q145" s="1121"/>
      <c r="R145" s="1121"/>
      <c r="S145" s="1121"/>
      <c r="T145" s="381" t="b" cm="1">
        <f t="array" ref="T145">T144</f>
        <v>1</v>
      </c>
      <c r="U145" s="1121"/>
      <c r="V145" s="1121"/>
      <c r="W145" s="1121"/>
      <c r="X145" s="1787"/>
      <c r="Y145" s="1121"/>
      <c r="Z145" s="1788"/>
      <c r="AA145" s="1121"/>
      <c r="AB145" s="630" t="s">
        <v>1200</v>
      </c>
      <c r="AC145" s="465" t="s">
        <v>1628</v>
      </c>
      <c r="AD145" s="464" t="s">
        <v>766</v>
      </c>
      <c r="AE145" s="473">
        <f>SUM(AE146:AE150)</f>
        <v>0</v>
      </c>
      <c r="AF145" s="1187"/>
      <c r="AG145" s="1187"/>
      <c r="AH145" s="964" t="s">
        <v>1054</v>
      </c>
      <c r="AI145" s="1188"/>
      <c r="AJ145" s="1188"/>
      <c r="AK145" s="1189"/>
      <c r="AL145" s="1189"/>
    </row>
    <row r="146" spans="1:38" s="1327" customFormat="1" ht="14.25" customHeight="1">
      <c r="A146" s="584"/>
      <c r="B146" s="1121"/>
      <c r="C146" s="1121"/>
      <c r="D146" s="1121"/>
      <c r="E146" s="566">
        <v>15</v>
      </c>
      <c r="F146" s="3" t="str" cm="1">
        <f t="array" aca="1" ref="F146" ca="1">OFFSET(E146,-1,1)</f>
        <v>1</v>
      </c>
      <c r="G146" s="1121"/>
      <c r="H146" s="404" t="s">
        <v>2129</v>
      </c>
      <c r="I146" s="1121"/>
      <c r="J146" s="1121"/>
      <c r="K146" s="1121"/>
      <c r="L146" s="1121"/>
      <c r="M146" s="1121"/>
      <c r="N146" s="1121"/>
      <c r="O146" s="1121"/>
      <c r="P146" s="1121"/>
      <c r="Q146" s="1121"/>
      <c r="R146" s="1121"/>
      <c r="S146" s="1121"/>
      <c r="T146" s="381" t="b" cm="1">
        <f t="array" ref="T146">T145</f>
        <v>1</v>
      </c>
      <c r="U146" s="1121"/>
      <c r="V146" s="1121"/>
      <c r="W146" s="1121"/>
      <c r="X146" s="1787"/>
      <c r="Y146" s="1121"/>
      <c r="Z146" s="1788"/>
      <c r="AA146" s="1121"/>
      <c r="AB146" s="630" t="s">
        <v>2130</v>
      </c>
      <c r="AC146" s="466" t="s">
        <v>1056</v>
      </c>
      <c r="AD146" s="464" t="s">
        <v>766</v>
      </c>
      <c r="AE146" s="1235"/>
      <c r="AF146" s="1187"/>
      <c r="AG146" s="1187"/>
      <c r="AH146" s="966" t="s">
        <v>1057</v>
      </c>
      <c r="AI146" s="1188"/>
      <c r="AJ146" s="1188"/>
      <c r="AK146" s="1189"/>
      <c r="AL146" s="1189"/>
    </row>
    <row r="147" spans="1:38" s="1327" customFormat="1" ht="14.25" customHeight="1">
      <c r="A147" s="584"/>
      <c r="B147" s="1121"/>
      <c r="C147" s="1121"/>
      <c r="D147" s="1121"/>
      <c r="E147" s="566">
        <v>15</v>
      </c>
      <c r="F147" s="3" t="str" cm="1">
        <f t="array" aca="1" ref="F147" ca="1">OFFSET(E147,-1,1)</f>
        <v>1</v>
      </c>
      <c r="G147" s="1121"/>
      <c r="H147" s="404" t="s">
        <v>2131</v>
      </c>
      <c r="I147" s="1121"/>
      <c r="J147" s="1121"/>
      <c r="K147" s="1121"/>
      <c r="L147" s="1121"/>
      <c r="M147" s="1121"/>
      <c r="N147" s="1121"/>
      <c r="O147" s="1121"/>
      <c r="P147" s="1121"/>
      <c r="Q147" s="1121"/>
      <c r="R147" s="1121"/>
      <c r="S147" s="1121"/>
      <c r="T147" s="381" t="b" cm="1">
        <f t="array" ref="T147">T146</f>
        <v>1</v>
      </c>
      <c r="U147" s="1121"/>
      <c r="V147" s="1121"/>
      <c r="W147" s="1121"/>
      <c r="X147" s="1787"/>
      <c r="Y147" s="1121"/>
      <c r="Z147" s="1788"/>
      <c r="AA147" s="1121"/>
      <c r="AB147" s="630" t="s">
        <v>2132</v>
      </c>
      <c r="AC147" s="466" t="s">
        <v>1059</v>
      </c>
      <c r="AD147" s="464" t="s">
        <v>766</v>
      </c>
      <c r="AE147" s="1235"/>
      <c r="AF147" s="1187"/>
      <c r="AG147" s="1187"/>
      <c r="AH147" s="966" t="s">
        <v>1060</v>
      </c>
      <c r="AI147" s="1188"/>
      <c r="AJ147" s="1188"/>
      <c r="AK147" s="1189"/>
      <c r="AL147" s="1189"/>
    </row>
    <row r="148" spans="1:38" s="1327" customFormat="1" ht="14.25" customHeight="1">
      <c r="A148" s="584"/>
      <c r="B148" s="1121"/>
      <c r="C148" s="1121"/>
      <c r="D148" s="1121"/>
      <c r="E148" s="566">
        <v>15</v>
      </c>
      <c r="F148" s="3" t="str" cm="1">
        <f t="array" aca="1" ref="F148" ca="1">OFFSET(E148,-1,1)</f>
        <v>1</v>
      </c>
      <c r="G148" s="1121"/>
      <c r="H148" s="404" t="s">
        <v>2133</v>
      </c>
      <c r="I148" s="1121"/>
      <c r="J148" s="1121"/>
      <c r="K148" s="1121"/>
      <c r="L148" s="1121"/>
      <c r="M148" s="1121"/>
      <c r="N148" s="1121"/>
      <c r="O148" s="1121"/>
      <c r="P148" s="1121"/>
      <c r="Q148" s="1121"/>
      <c r="R148" s="1121"/>
      <c r="S148" s="1121"/>
      <c r="T148" s="381" t="b" cm="1">
        <f t="array" ref="T148">T147</f>
        <v>1</v>
      </c>
      <c r="U148" s="1121"/>
      <c r="V148" s="1121"/>
      <c r="W148" s="1121"/>
      <c r="X148" s="1787"/>
      <c r="Y148" s="1121"/>
      <c r="Z148" s="1788"/>
      <c r="AA148" s="1121"/>
      <c r="AB148" s="630" t="s">
        <v>2134</v>
      </c>
      <c r="AC148" s="466" t="s">
        <v>1062</v>
      </c>
      <c r="AD148" s="464" t="s">
        <v>766</v>
      </c>
      <c r="AE148" s="1235"/>
      <c r="AF148" s="1187"/>
      <c r="AG148" s="1187"/>
      <c r="AH148" s="966" t="s">
        <v>1063</v>
      </c>
      <c r="AI148" s="1188"/>
      <c r="AJ148" s="1188"/>
      <c r="AK148" s="1189"/>
      <c r="AL148" s="1189"/>
    </row>
    <row r="149" spans="1:38" s="1327" customFormat="1" ht="14.25" customHeight="1">
      <c r="A149" s="584"/>
      <c r="B149" s="1121"/>
      <c r="C149" s="1121"/>
      <c r="D149" s="1121"/>
      <c r="E149" s="566">
        <v>15</v>
      </c>
      <c r="F149" s="3" t="str" cm="1">
        <f t="array" aca="1" ref="F149" ca="1">OFFSET(E149,-1,1)</f>
        <v>1</v>
      </c>
      <c r="G149" s="1121"/>
      <c r="H149" s="404" t="s">
        <v>2135</v>
      </c>
      <c r="I149" s="1121"/>
      <c r="J149" s="1121"/>
      <c r="K149" s="1121"/>
      <c r="L149" s="1121"/>
      <c r="M149" s="1121"/>
      <c r="N149" s="1121"/>
      <c r="O149" s="1121"/>
      <c r="P149" s="1121"/>
      <c r="Q149" s="1121"/>
      <c r="R149" s="1121"/>
      <c r="S149" s="1121"/>
      <c r="T149" s="381" t="b" cm="1">
        <f t="array" ref="T149">T148</f>
        <v>1</v>
      </c>
      <c r="U149" s="1121"/>
      <c r="V149" s="1121"/>
      <c r="W149" s="1121"/>
      <c r="X149" s="1787"/>
      <c r="Y149" s="1121"/>
      <c r="Z149" s="1788"/>
      <c r="AA149" s="1121"/>
      <c r="AB149" s="630" t="s">
        <v>2136</v>
      </c>
      <c r="AC149" s="466" t="s">
        <v>1065</v>
      </c>
      <c r="AD149" s="464" t="s">
        <v>766</v>
      </c>
      <c r="AE149" s="1235"/>
      <c r="AF149" s="1187"/>
      <c r="AG149" s="1187"/>
      <c r="AH149" s="966" t="s">
        <v>1066</v>
      </c>
      <c r="AI149" s="1188"/>
      <c r="AJ149" s="1188"/>
      <c r="AK149" s="1189"/>
      <c r="AL149" s="1189"/>
    </row>
    <row r="150" spans="1:38" s="1327" customFormat="1" ht="14.25" customHeight="1">
      <c r="A150" s="584"/>
      <c r="B150" s="1121"/>
      <c r="C150" s="1121"/>
      <c r="D150" s="1121"/>
      <c r="E150" s="566">
        <v>15</v>
      </c>
      <c r="F150" s="3" t="str" cm="1">
        <f t="array" aca="1" ref="F150" ca="1">OFFSET(E150,-1,1)</f>
        <v>1</v>
      </c>
      <c r="G150" s="1121"/>
      <c r="H150" s="404" t="s">
        <v>2137</v>
      </c>
      <c r="I150" s="1121"/>
      <c r="J150" s="1121"/>
      <c r="K150" s="1121"/>
      <c r="L150" s="1121"/>
      <c r="M150" s="1121"/>
      <c r="N150" s="1121"/>
      <c r="O150" s="1121"/>
      <c r="P150" s="1121"/>
      <c r="Q150" s="1121"/>
      <c r="R150" s="1121"/>
      <c r="S150" s="1121"/>
      <c r="T150" s="381" t="b" cm="1">
        <f t="array" ref="T150">T149</f>
        <v>1</v>
      </c>
      <c r="U150" s="1121"/>
      <c r="V150" s="1121"/>
      <c r="W150" s="1121"/>
      <c r="X150" s="1787"/>
      <c r="Y150" s="1121"/>
      <c r="Z150" s="1788"/>
      <c r="AA150" s="1121"/>
      <c r="AB150" s="630" t="s">
        <v>2138</v>
      </c>
      <c r="AC150" s="466" t="s">
        <v>1073</v>
      </c>
      <c r="AD150" s="464" t="s">
        <v>766</v>
      </c>
      <c r="AE150" s="1235"/>
      <c r="AF150" s="1187"/>
      <c r="AG150" s="1187"/>
      <c r="AH150" s="966" t="s">
        <v>1074</v>
      </c>
      <c r="AI150" s="1188"/>
      <c r="AJ150" s="1188"/>
      <c r="AK150" s="1189"/>
      <c r="AL150" s="1189"/>
    </row>
    <row r="151" spans="1:38" s="1327" customFormat="1" ht="32.25" customHeight="1">
      <c r="A151" s="584"/>
      <c r="B151" s="1121"/>
      <c r="C151" s="1121"/>
      <c r="D151" s="1121"/>
      <c r="E151" s="566">
        <v>33.75</v>
      </c>
      <c r="F151" s="3" t="str" cm="1">
        <f t="array" aca="1" ref="F151" ca="1">OFFSET(E151,-1,1)</f>
        <v>1</v>
      </c>
      <c r="G151" s="1121"/>
      <c r="H151" s="404" t="s">
        <v>1203</v>
      </c>
      <c r="I151" s="1121"/>
      <c r="J151" s="1121"/>
      <c r="K151" s="1121"/>
      <c r="L151" s="1121"/>
      <c r="M151" s="1121"/>
      <c r="N151" s="1121"/>
      <c r="O151" s="1121"/>
      <c r="P151" s="1121"/>
      <c r="Q151" s="1121"/>
      <c r="R151" s="1121"/>
      <c r="S151" s="1121"/>
      <c r="T151" s="381" t="b" cm="1">
        <f t="array" ref="T151">T150</f>
        <v>1</v>
      </c>
      <c r="U151" s="1121"/>
      <c r="V151" s="1121"/>
      <c r="W151" s="1121"/>
      <c r="X151" s="1787"/>
      <c r="Y151" s="1121"/>
      <c r="Z151" s="1788"/>
      <c r="AA151" s="1121"/>
      <c r="AB151" s="630" t="s">
        <v>1204</v>
      </c>
      <c r="AC151" s="465" t="s">
        <v>2139</v>
      </c>
      <c r="AD151" s="464" t="s">
        <v>766</v>
      </c>
      <c r="AE151" s="473">
        <f>AE152+AE155</f>
        <v>0</v>
      </c>
      <c r="AF151" s="1187"/>
      <c r="AG151" s="1187"/>
      <c r="AH151" s="964" t="s">
        <v>1630</v>
      </c>
      <c r="AI151" s="1188"/>
      <c r="AJ151" s="1188"/>
      <c r="AK151" s="1189"/>
      <c r="AL151" s="1189"/>
    </row>
    <row r="152" spans="1:38" s="1327" customFormat="1" ht="21.75" customHeight="1">
      <c r="A152" s="584"/>
      <c r="B152" s="1121"/>
      <c r="C152" s="1121"/>
      <c r="D152" s="1121"/>
      <c r="E152" s="566">
        <v>22.5</v>
      </c>
      <c r="F152" s="3" t="str" cm="1">
        <f t="array" aca="1" ref="F152" ca="1">OFFSET(E152,-1,1)</f>
        <v>1</v>
      </c>
      <c r="G152" s="1121"/>
      <c r="H152" s="404" t="s">
        <v>2140</v>
      </c>
      <c r="I152" s="1121"/>
      <c r="J152" s="1121"/>
      <c r="K152" s="1121"/>
      <c r="L152" s="1121"/>
      <c r="M152" s="1121"/>
      <c r="N152" s="1121"/>
      <c r="O152" s="1121"/>
      <c r="P152" s="1121"/>
      <c r="Q152" s="1121"/>
      <c r="R152" s="1121"/>
      <c r="S152" s="1121"/>
      <c r="T152" s="381" t="b" cm="1">
        <f t="array" ref="T152">T151</f>
        <v>1</v>
      </c>
      <c r="U152" s="1121"/>
      <c r="V152" s="1121"/>
      <c r="W152" s="1121"/>
      <c r="X152" s="1787"/>
      <c r="Y152" s="1121"/>
      <c r="Z152" s="1788"/>
      <c r="AA152" s="1121"/>
      <c r="AB152" s="630" t="s">
        <v>2141</v>
      </c>
      <c r="AC152" s="466" t="s">
        <v>1631</v>
      </c>
      <c r="AD152" s="464" t="s">
        <v>766</v>
      </c>
      <c r="AE152" s="1235"/>
      <c r="AF152" s="1187"/>
      <c r="AG152" s="1187"/>
      <c r="AH152" s="964" t="s">
        <v>1051</v>
      </c>
      <c r="AI152" s="1188"/>
      <c r="AJ152" s="1188"/>
      <c r="AK152" s="1189"/>
      <c r="AL152" s="1189"/>
    </row>
    <row r="153" spans="1:38" s="1327" customFormat="1" ht="14.25" customHeight="1">
      <c r="A153" s="584"/>
      <c r="B153" s="1121"/>
      <c r="C153" s="1121"/>
      <c r="D153" s="1121"/>
      <c r="E153" s="566">
        <v>15</v>
      </c>
      <c r="F153" s="3" t="str" cm="1">
        <f t="array" aca="1" ref="F153" ca="1">OFFSET(E153,-1,1)</f>
        <v>1</v>
      </c>
      <c r="G153" s="1121"/>
      <c r="H153" s="404" t="s">
        <v>2142</v>
      </c>
      <c r="I153" s="1121"/>
      <c r="J153" s="1121"/>
      <c r="K153" s="1121"/>
      <c r="L153" s="1121"/>
      <c r="M153" s="1121"/>
      <c r="N153" s="1121"/>
      <c r="O153" s="1121"/>
      <c r="P153" s="1121"/>
      <c r="Q153" s="1121"/>
      <c r="R153" s="1121"/>
      <c r="S153" s="1121"/>
      <c r="T153" s="381" t="b" cm="1">
        <f t="array" ref="T153">T152</f>
        <v>1</v>
      </c>
      <c r="U153" s="1121"/>
      <c r="V153" s="1121"/>
      <c r="W153" s="1121"/>
      <c r="X153" s="1787"/>
      <c r="Y153" s="1121"/>
      <c r="Z153" s="1788"/>
      <c r="AA153" s="1121"/>
      <c r="AB153" s="630" t="s">
        <v>2143</v>
      </c>
      <c r="AC153" s="467" t="s">
        <v>2144</v>
      </c>
      <c r="AD153" s="464" t="s">
        <v>2086</v>
      </c>
      <c r="AE153" s="1235"/>
      <c r="AF153" s="1187"/>
      <c r="AG153" s="1187"/>
      <c r="AH153" s="903" t="s">
        <v>2145</v>
      </c>
      <c r="AI153" s="1188"/>
      <c r="AJ153" s="1188"/>
      <c r="AK153" s="1189"/>
      <c r="AL153" s="1189"/>
    </row>
    <row r="154" spans="1:38" s="1327" customFormat="1" ht="21.75" customHeight="1">
      <c r="A154" s="584"/>
      <c r="B154" s="1121"/>
      <c r="C154" s="1121"/>
      <c r="D154" s="1121"/>
      <c r="E154" s="566">
        <v>22.5</v>
      </c>
      <c r="F154" s="3" t="str" cm="1">
        <f t="array" aca="1" ref="F154" ca="1">OFFSET(E154,-1,1)</f>
        <v>1</v>
      </c>
      <c r="G154" s="1121"/>
      <c r="H154" s="404" t="s">
        <v>2146</v>
      </c>
      <c r="I154" s="1121"/>
      <c r="J154" s="1121"/>
      <c r="K154" s="1121"/>
      <c r="L154" s="1121"/>
      <c r="M154" s="1121"/>
      <c r="N154" s="1121"/>
      <c r="O154" s="1121"/>
      <c r="P154" s="1121"/>
      <c r="Q154" s="1121"/>
      <c r="R154" s="1121"/>
      <c r="S154" s="1121"/>
      <c r="T154" s="381" t="b" cm="1">
        <f t="array" ref="T154">T153</f>
        <v>1</v>
      </c>
      <c r="U154" s="1121"/>
      <c r="V154" s="1121"/>
      <c r="W154" s="1121"/>
      <c r="X154" s="1787"/>
      <c r="Y154" s="1121"/>
      <c r="Z154" s="1788"/>
      <c r="AA154" s="1121"/>
      <c r="AB154" s="630" t="s">
        <v>2147</v>
      </c>
      <c r="AC154" s="467" t="s">
        <v>2148</v>
      </c>
      <c r="AD154" s="464" t="s">
        <v>2091</v>
      </c>
      <c r="AE154" s="1235"/>
      <c r="AF154" s="1187"/>
      <c r="AG154" s="1187"/>
      <c r="AH154" s="903" t="s">
        <v>2149</v>
      </c>
      <c r="AI154" s="1188"/>
      <c r="AJ154" s="1188"/>
      <c r="AK154" s="1189"/>
      <c r="AL154" s="1189"/>
    </row>
    <row r="155" spans="1:38" s="1327" customFormat="1" ht="21.75" customHeight="1">
      <c r="A155" s="584"/>
      <c r="B155" s="1121"/>
      <c r="C155" s="1121"/>
      <c r="D155" s="1121"/>
      <c r="E155" s="566">
        <v>22.5</v>
      </c>
      <c r="F155" s="3" t="str" cm="1">
        <f t="array" aca="1" ref="F155" ca="1">OFFSET(E155,-1,1)</f>
        <v>1</v>
      </c>
      <c r="G155" s="1121"/>
      <c r="H155" s="404" t="s">
        <v>2150</v>
      </c>
      <c r="I155" s="1121"/>
      <c r="J155" s="1121"/>
      <c r="K155" s="1121"/>
      <c r="L155" s="1121"/>
      <c r="M155" s="1121"/>
      <c r="N155" s="1121"/>
      <c r="O155" s="1121"/>
      <c r="P155" s="1121"/>
      <c r="Q155" s="1121"/>
      <c r="R155" s="1121"/>
      <c r="S155" s="1121"/>
      <c r="T155" s="381" t="b" cm="1">
        <f t="array" ref="T155">T154</f>
        <v>1</v>
      </c>
      <c r="U155" s="1121"/>
      <c r="V155" s="1121"/>
      <c r="W155" s="1121"/>
      <c r="X155" s="1787"/>
      <c r="Y155" s="1121"/>
      <c r="Z155" s="1788"/>
      <c r="AA155" s="1121"/>
      <c r="AB155" s="630" t="s">
        <v>2151</v>
      </c>
      <c r="AC155" s="466" t="s">
        <v>1836</v>
      </c>
      <c r="AD155" s="464" t="s">
        <v>766</v>
      </c>
      <c r="AE155" s="1235"/>
      <c r="AF155" s="1187"/>
      <c r="AG155" s="1187"/>
      <c r="AH155" s="964" t="s">
        <v>1633</v>
      </c>
      <c r="AI155" s="1188"/>
      <c r="AJ155" s="1188"/>
      <c r="AK155" s="1189"/>
      <c r="AL155" s="1189"/>
    </row>
    <row r="156" spans="1:38" s="1327" customFormat="1" ht="21.75" customHeight="1">
      <c r="A156" s="584"/>
      <c r="B156" s="1121"/>
      <c r="C156" s="1121"/>
      <c r="D156" s="1121"/>
      <c r="E156" s="566">
        <v>22.5</v>
      </c>
      <c r="F156" s="3" t="str" cm="1">
        <f t="array" aca="1" ref="F156" ca="1">OFFSET(E156,-1,1)</f>
        <v>1</v>
      </c>
      <c r="G156" s="1121"/>
      <c r="H156" s="404" t="s">
        <v>1207</v>
      </c>
      <c r="I156" s="1121"/>
      <c r="J156" s="1121"/>
      <c r="K156" s="1121"/>
      <c r="L156" s="1121"/>
      <c r="M156" s="1121"/>
      <c r="N156" s="1121"/>
      <c r="O156" s="1121"/>
      <c r="P156" s="1121"/>
      <c r="Q156" s="1121"/>
      <c r="R156" s="1121"/>
      <c r="S156" s="1121"/>
      <c r="T156" s="381" t="b" cm="1">
        <f t="array" ref="T156">T155</f>
        <v>1</v>
      </c>
      <c r="U156" s="1121"/>
      <c r="V156" s="1121"/>
      <c r="W156" s="1121"/>
      <c r="X156" s="1787"/>
      <c r="Y156" s="1121"/>
      <c r="Z156" s="1788"/>
      <c r="AA156" s="1121"/>
      <c r="AB156" s="630" t="s">
        <v>1208</v>
      </c>
      <c r="AC156" s="465" t="s">
        <v>2152</v>
      </c>
      <c r="AD156" s="464" t="s">
        <v>766</v>
      </c>
      <c r="AE156" s="1235"/>
      <c r="AF156" s="1187"/>
      <c r="AG156" s="1187"/>
      <c r="AH156" s="964" t="s">
        <v>1082</v>
      </c>
      <c r="AI156" s="1188"/>
      <c r="AJ156" s="1188"/>
      <c r="AK156" s="1189"/>
      <c r="AL156" s="1189"/>
    </row>
    <row r="157" spans="1:38" s="1327" customFormat="1" ht="14.25" customHeight="1">
      <c r="A157" s="584"/>
      <c r="B157" s="1121"/>
      <c r="C157" s="1121"/>
      <c r="D157" s="1121"/>
      <c r="E157" s="566">
        <v>15</v>
      </c>
      <c r="F157" s="3" t="str" cm="1">
        <f t="array" aca="1" ref="F157" ca="1">OFFSET(E157,-1,1)</f>
        <v>1</v>
      </c>
      <c r="G157" s="1121"/>
      <c r="H157" s="404" t="s">
        <v>2153</v>
      </c>
      <c r="I157" s="1121"/>
      <c r="J157" s="1121"/>
      <c r="K157" s="1121"/>
      <c r="L157" s="1121"/>
      <c r="M157" s="1121"/>
      <c r="N157" s="1121"/>
      <c r="O157" s="1121"/>
      <c r="P157" s="1121"/>
      <c r="Q157" s="1121"/>
      <c r="R157" s="1121"/>
      <c r="S157" s="1121"/>
      <c r="T157" s="381" t="b" cm="1">
        <f t="array" ref="T157">T156</f>
        <v>1</v>
      </c>
      <c r="U157" s="1121"/>
      <c r="V157" s="1121"/>
      <c r="W157" s="1121"/>
      <c r="X157" s="1787"/>
      <c r="Y157" s="1121"/>
      <c r="Z157" s="1788"/>
      <c r="AA157" s="1121"/>
      <c r="AB157" s="630" t="s">
        <v>2154</v>
      </c>
      <c r="AC157" s="465" t="s">
        <v>1084</v>
      </c>
      <c r="AD157" s="464" t="s">
        <v>766</v>
      </c>
      <c r="AE157" s="1235"/>
      <c r="AF157" s="1187"/>
      <c r="AG157" s="1187"/>
      <c r="AH157" s="964" t="s">
        <v>1085</v>
      </c>
      <c r="AI157" s="1188"/>
      <c r="AJ157" s="1188"/>
      <c r="AK157" s="1189"/>
      <c r="AL157" s="1189"/>
    </row>
    <row r="158" spans="1:38" s="1327" customFormat="1" ht="14.25" customHeight="1">
      <c r="A158" s="584"/>
      <c r="B158" s="1121"/>
      <c r="C158" s="1121"/>
      <c r="D158" s="1121"/>
      <c r="E158" s="566">
        <v>15</v>
      </c>
      <c r="F158" s="3" t="str" cm="1">
        <f t="array" aca="1" ref="F158" ca="1">OFFSET(E158,-1,1)</f>
        <v>1</v>
      </c>
      <c r="G158" s="1121"/>
      <c r="H158" s="404" t="s">
        <v>2155</v>
      </c>
      <c r="I158" s="1121"/>
      <c r="J158" s="1121"/>
      <c r="K158" s="1121"/>
      <c r="L158" s="1121"/>
      <c r="M158" s="1121"/>
      <c r="N158" s="1121"/>
      <c r="O158" s="1121"/>
      <c r="P158" s="1121"/>
      <c r="Q158" s="1121"/>
      <c r="R158" s="1121"/>
      <c r="S158" s="1121"/>
      <c r="T158" s="381" t="b" cm="1">
        <f t="array" ref="T158">T157</f>
        <v>1</v>
      </c>
      <c r="U158" s="1121"/>
      <c r="V158" s="1121"/>
      <c r="W158" s="1121"/>
      <c r="X158" s="1787"/>
      <c r="Y158" s="1121"/>
      <c r="Z158" s="1788"/>
      <c r="AA158" s="1121"/>
      <c r="AB158" s="630" t="s">
        <v>2156</v>
      </c>
      <c r="AC158" s="465" t="s">
        <v>1087</v>
      </c>
      <c r="AD158" s="464" t="s">
        <v>766</v>
      </c>
      <c r="AE158" s="1235"/>
      <c r="AF158" s="1187"/>
      <c r="AG158" s="1187"/>
      <c r="AH158" s="964" t="s">
        <v>1088</v>
      </c>
      <c r="AI158" s="1188"/>
      <c r="AJ158" s="1188"/>
      <c r="AK158" s="1189"/>
      <c r="AL158" s="1189"/>
    </row>
    <row r="159" spans="1:38" s="1327" customFormat="1" ht="21.75" customHeight="1">
      <c r="A159" s="584"/>
      <c r="B159" s="1121"/>
      <c r="C159" s="1121"/>
      <c r="D159" s="1121"/>
      <c r="E159" s="566">
        <v>22.5</v>
      </c>
      <c r="F159" s="3" t="str" cm="1">
        <f t="array" aca="1" ref="F159" ca="1">OFFSET(E159,-1,1)</f>
        <v>1</v>
      </c>
      <c r="G159" s="1121"/>
      <c r="H159" s="404" t="s">
        <v>2157</v>
      </c>
      <c r="I159" s="1121"/>
      <c r="J159" s="1121"/>
      <c r="K159" s="1121"/>
      <c r="L159" s="1121"/>
      <c r="M159" s="1121"/>
      <c r="N159" s="1121"/>
      <c r="O159" s="1121"/>
      <c r="P159" s="1121"/>
      <c r="Q159" s="1121"/>
      <c r="R159" s="1121"/>
      <c r="S159" s="1121"/>
      <c r="T159" s="381" t="b" cm="1">
        <f t="array" ref="T159">T158</f>
        <v>1</v>
      </c>
      <c r="U159" s="1121"/>
      <c r="V159" s="1121"/>
      <c r="W159" s="1121"/>
      <c r="X159" s="1787"/>
      <c r="Y159" s="1121"/>
      <c r="Z159" s="1788"/>
      <c r="AA159" s="1121"/>
      <c r="AB159" s="630" t="s">
        <v>2158</v>
      </c>
      <c r="AC159" s="465" t="s">
        <v>2159</v>
      </c>
      <c r="AD159" s="464" t="s">
        <v>766</v>
      </c>
      <c r="AE159" s="1235"/>
      <c r="AF159" s="1187"/>
      <c r="AG159" s="1187"/>
      <c r="AH159" s="964" t="s">
        <v>1635</v>
      </c>
      <c r="AI159" s="1188"/>
      <c r="AJ159" s="1188"/>
      <c r="AK159" s="1189"/>
      <c r="AL159" s="1189"/>
    </row>
    <row r="160" spans="1:38" s="1327" customFormat="1" ht="14.25" customHeight="1">
      <c r="A160" s="584"/>
      <c r="B160" s="1121"/>
      <c r="C160" s="1121"/>
      <c r="D160" s="1121"/>
      <c r="E160" s="566">
        <v>15</v>
      </c>
      <c r="F160" s="3" t="str" cm="1">
        <f t="array" aca="1" ref="F160" ca="1">OFFSET(E160,-1,1)</f>
        <v>1</v>
      </c>
      <c r="G160" s="1121"/>
      <c r="H160" s="404" t="s">
        <v>2160</v>
      </c>
      <c r="I160" s="1121"/>
      <c r="J160" s="1121"/>
      <c r="K160" s="1121"/>
      <c r="L160" s="1121"/>
      <c r="M160" s="1121"/>
      <c r="N160" s="1121"/>
      <c r="O160" s="1121"/>
      <c r="P160" s="1121"/>
      <c r="Q160" s="1121"/>
      <c r="R160" s="1121"/>
      <c r="S160" s="1121"/>
      <c r="T160" s="381" t="b" cm="1">
        <f t="array" ref="T160">T159</f>
        <v>1</v>
      </c>
      <c r="U160" s="1121"/>
      <c r="V160" s="1121"/>
      <c r="W160" s="1121"/>
      <c r="X160" s="1787"/>
      <c r="Y160" s="1121"/>
      <c r="Z160" s="1788"/>
      <c r="AA160" s="1121"/>
      <c r="AB160" s="630" t="s">
        <v>2161</v>
      </c>
      <c r="AC160" s="465" t="s">
        <v>2162</v>
      </c>
      <c r="AD160" s="464" t="s">
        <v>766</v>
      </c>
      <c r="AE160" s="473">
        <f>AE161+AE162+AE163</f>
        <v>0</v>
      </c>
      <c r="AF160" s="1187"/>
      <c r="AG160" s="1187"/>
      <c r="AH160" s="964" t="s">
        <v>1637</v>
      </c>
      <c r="AI160" s="1188"/>
      <c r="AJ160" s="1188"/>
      <c r="AK160" s="1189"/>
      <c r="AL160" s="1189"/>
    </row>
    <row r="161" spans="1:38" s="1327" customFormat="1" ht="14.25" customHeight="1">
      <c r="A161" s="584"/>
      <c r="B161" s="1121"/>
      <c r="C161" s="1121"/>
      <c r="D161" s="1121"/>
      <c r="E161" s="566">
        <v>15</v>
      </c>
      <c r="F161" s="3" t="str" cm="1">
        <f t="array" aca="1" ref="F161" ca="1">OFFSET(E161,-1,1)</f>
        <v>1</v>
      </c>
      <c r="G161" s="1121"/>
      <c r="H161" s="404" t="s">
        <v>2163</v>
      </c>
      <c r="I161" s="1121"/>
      <c r="J161" s="1121"/>
      <c r="K161" s="1121"/>
      <c r="L161" s="1121"/>
      <c r="M161" s="1121"/>
      <c r="N161" s="1121"/>
      <c r="O161" s="1121"/>
      <c r="P161" s="1121"/>
      <c r="Q161" s="1121"/>
      <c r="R161" s="1121"/>
      <c r="S161" s="1121"/>
      <c r="T161" s="381" t="b" cm="1">
        <f t="array" ref="T161">T160</f>
        <v>1</v>
      </c>
      <c r="U161" s="1121"/>
      <c r="V161" s="1121"/>
      <c r="W161" s="1121"/>
      <c r="X161" s="1787"/>
      <c r="Y161" s="1121"/>
      <c r="Z161" s="1788"/>
      <c r="AA161" s="1121"/>
      <c r="AB161" s="630" t="s">
        <v>2164</v>
      </c>
      <c r="AC161" s="466" t="s">
        <v>2165</v>
      </c>
      <c r="AD161" s="464" t="s">
        <v>766</v>
      </c>
      <c r="AE161" s="1235"/>
      <c r="AF161" s="1187"/>
      <c r="AG161" s="1187"/>
      <c r="AH161" s="964" t="s">
        <v>1641</v>
      </c>
      <c r="AI161" s="1188"/>
      <c r="AJ161" s="1188"/>
      <c r="AK161" s="1189"/>
      <c r="AL161" s="1189"/>
    </row>
    <row r="162" spans="1:38" s="1327" customFormat="1" ht="14.25" customHeight="1">
      <c r="A162" s="584"/>
      <c r="B162" s="1121"/>
      <c r="C162" s="1121"/>
      <c r="D162" s="1121"/>
      <c r="E162" s="566">
        <v>15</v>
      </c>
      <c r="F162" s="3" t="str" cm="1">
        <f t="array" aca="1" ref="F162" ca="1">OFFSET(E162,-1,1)</f>
        <v>1</v>
      </c>
      <c r="G162" s="1121"/>
      <c r="H162" s="404" t="s">
        <v>2166</v>
      </c>
      <c r="I162" s="1121"/>
      <c r="J162" s="1121"/>
      <c r="K162" s="1121"/>
      <c r="L162" s="1121"/>
      <c r="M162" s="1121"/>
      <c r="N162" s="1121"/>
      <c r="O162" s="1121"/>
      <c r="P162" s="1121"/>
      <c r="Q162" s="1121"/>
      <c r="R162" s="1121"/>
      <c r="S162" s="1121"/>
      <c r="T162" s="381" t="b" cm="1">
        <f t="array" ref="T162">T161</f>
        <v>1</v>
      </c>
      <c r="U162" s="1121"/>
      <c r="V162" s="1121"/>
      <c r="W162" s="1121"/>
      <c r="X162" s="1787"/>
      <c r="Y162" s="1121"/>
      <c r="Z162" s="1788"/>
      <c r="AA162" s="1121"/>
      <c r="AB162" s="631" t="s">
        <v>2167</v>
      </c>
      <c r="AC162" s="468" t="s">
        <v>2168</v>
      </c>
      <c r="AD162" s="469" t="s">
        <v>766</v>
      </c>
      <c r="AE162" s="1235"/>
      <c r="AF162" s="1187"/>
      <c r="AG162" s="1187"/>
      <c r="AH162" s="964" t="s">
        <v>1644</v>
      </c>
      <c r="AI162" s="1188"/>
      <c r="AJ162" s="1188"/>
      <c r="AK162" s="1189"/>
      <c r="AL162" s="1189"/>
    </row>
    <row r="163" spans="1:38" s="1327" customFormat="1" ht="14.25" customHeight="1">
      <c r="A163" s="584"/>
      <c r="B163" s="1121"/>
      <c r="C163" s="1121"/>
      <c r="D163" s="1121"/>
      <c r="E163" s="566">
        <v>15</v>
      </c>
      <c r="F163" s="3" t="str" cm="1">
        <f t="array" aca="1" ref="F163" ca="1">OFFSET(E163,-1,1)</f>
        <v>1</v>
      </c>
      <c r="G163" s="1121"/>
      <c r="H163" s="404" t="s">
        <v>2169</v>
      </c>
      <c r="I163" s="1121"/>
      <c r="J163" s="1121"/>
      <c r="K163" s="1121"/>
      <c r="L163" s="1121"/>
      <c r="M163" s="1121"/>
      <c r="N163" s="1121"/>
      <c r="O163" s="1121"/>
      <c r="P163" s="1121"/>
      <c r="Q163" s="1121"/>
      <c r="R163" s="1121"/>
      <c r="S163" s="1121"/>
      <c r="T163" s="381" t="b" cm="1">
        <f t="array" ref="T163">T162</f>
        <v>1</v>
      </c>
      <c r="U163" s="1121"/>
      <c r="V163" s="1121"/>
      <c r="W163" s="1121"/>
      <c r="X163" s="1787"/>
      <c r="Y163" s="1121"/>
      <c r="Z163" s="1788"/>
      <c r="AA163" s="1121"/>
      <c r="AB163" s="631" t="s">
        <v>2170</v>
      </c>
      <c r="AC163" s="468" t="s">
        <v>1101</v>
      </c>
      <c r="AD163" s="469" t="s">
        <v>766</v>
      </c>
      <c r="AE163" s="1235"/>
      <c r="AF163" s="1187"/>
      <c r="AG163" s="1187"/>
      <c r="AH163" s="964" t="s">
        <v>1647</v>
      </c>
      <c r="AI163" s="1188"/>
      <c r="AJ163" s="1188"/>
      <c r="AK163" s="1189"/>
      <c r="AL163" s="1189"/>
    </row>
    <row r="164" spans="1:38" s="1327" customFormat="1" ht="14.25" customHeight="1">
      <c r="A164" s="584"/>
      <c r="B164" s="1121"/>
      <c r="C164" s="1121"/>
      <c r="D164" s="1121"/>
      <c r="E164" s="566">
        <v>15</v>
      </c>
      <c r="F164" s="3" t="str" cm="1">
        <f t="array" aca="1" ref="F164" ca="1">OFFSET(E164,-1,1)</f>
        <v>1</v>
      </c>
      <c r="G164" s="1121"/>
      <c r="H164" s="404" t="s">
        <v>438</v>
      </c>
      <c r="I164" s="1121"/>
      <c r="J164" s="1121"/>
      <c r="K164" s="1121"/>
      <c r="L164" s="1121"/>
      <c r="M164" s="1121"/>
      <c r="N164" s="1121"/>
      <c r="O164" s="1121"/>
      <c r="P164" s="1121"/>
      <c r="Q164" s="1121"/>
      <c r="R164" s="1121"/>
      <c r="S164" s="1121"/>
      <c r="T164" s="381" t="b" cm="1">
        <f t="array" ref="T164">T163</f>
        <v>1</v>
      </c>
      <c r="U164" s="1121"/>
      <c r="V164" s="1121"/>
      <c r="W164" s="1121"/>
      <c r="X164" s="1787"/>
      <c r="Y164" s="1121"/>
      <c r="Z164" s="1788"/>
      <c r="AA164" s="1121"/>
      <c r="AB164" s="631" t="s">
        <v>830</v>
      </c>
      <c r="AC164" s="470" t="s">
        <v>2171</v>
      </c>
      <c r="AD164" s="469" t="s">
        <v>766</v>
      </c>
      <c r="AE164" s="473">
        <f>SUM(AE165:AE166)</f>
        <v>0</v>
      </c>
      <c r="AF164" s="1187"/>
      <c r="AG164" s="1187"/>
      <c r="AH164" s="966" t="s">
        <v>2172</v>
      </c>
      <c r="AI164" s="1188"/>
      <c r="AJ164" s="1188"/>
      <c r="AK164" s="1189"/>
      <c r="AL164" s="1189"/>
    </row>
    <row r="165" spans="1:38" s="1327" customFormat="1" ht="14.25" hidden="1" customHeight="1">
      <c r="A165" s="584"/>
      <c r="B165" s="1121"/>
      <c r="C165" s="1121"/>
      <c r="D165" s="1121"/>
      <c r="E165" s="566">
        <v>15</v>
      </c>
      <c r="F165" s="3" t="str" cm="1">
        <f t="array" aca="1" ref="F165" ca="1">OFFSET(E165,-1,1)</f>
        <v>1</v>
      </c>
      <c r="G165" s="1121"/>
      <c r="H165" s="404" t="s">
        <v>438</v>
      </c>
      <c r="I165" s="479" cm="1">
        <f t="array" ref="I165">AC165</f>
        <v>0</v>
      </c>
      <c r="J165" s="1121"/>
      <c r="K165" s="1121"/>
      <c r="L165" s="1121"/>
      <c r="M165" s="1121"/>
      <c r="N165" s="1121"/>
      <c r="O165" s="1121"/>
      <c r="P165" s="1121"/>
      <c r="Q165" s="1121"/>
      <c r="R165" s="1121"/>
      <c r="S165" s="1121"/>
      <c r="T165" s="381" t="b">
        <f ca="1">AND(F165&gt;0,Y165&gt;0)</f>
        <v>0</v>
      </c>
      <c r="U165" s="1121"/>
      <c r="V165" s="1121"/>
      <c r="W165" s="471" t="s">
        <v>173</v>
      </c>
      <c r="X165" s="1787"/>
      <c r="Y165" s="404">
        <v>0</v>
      </c>
      <c r="Z165" s="1788"/>
      <c r="AA165" s="1176" t="s">
        <v>174</v>
      </c>
      <c r="AB165" s="630" t="str">
        <f>"1.4."&amp;Y165</f>
        <v>1.4.0</v>
      </c>
      <c r="AC165" s="1654"/>
      <c r="AD165" s="464" t="s">
        <v>766</v>
      </c>
      <c r="AE165" s="1655"/>
      <c r="AF165" s="1187"/>
      <c r="AG165" s="1187"/>
      <c r="AH165" s="966" t="s">
        <v>2172</v>
      </c>
      <c r="AI165" s="903" t="s">
        <v>2173</v>
      </c>
      <c r="AJ165" s="903" cm="1">
        <f t="array" ref="AJ165">AC165</f>
        <v>0</v>
      </c>
      <c r="AK165" s="1189"/>
      <c r="AL165" s="573" t="b">
        <v>1</v>
      </c>
    </row>
    <row r="166" spans="1:38" s="1327" customFormat="1" ht="14.25" customHeight="1">
      <c r="A166" s="584"/>
      <c r="B166" s="1121"/>
      <c r="C166" s="1121"/>
      <c r="D166" s="1121"/>
      <c r="E166" s="566">
        <v>15</v>
      </c>
      <c r="F166" s="3" t="str" cm="1">
        <f t="array" aca="1" ref="F166" ca="1">OFFSET(E166,-1,1)</f>
        <v>1</v>
      </c>
      <c r="G166" s="1121"/>
      <c r="H166" s="1121"/>
      <c r="I166" s="1177" t="str">
        <f>"!== 'не определено' &amp;&amp; row.l1_4 !== null"</f>
        <v>!== 'не определено' &amp;&amp; row.l1_4 !== null</v>
      </c>
      <c r="J166" s="1121"/>
      <c r="K166" s="1121"/>
      <c r="L166" s="1121"/>
      <c r="M166" s="1121"/>
      <c r="N166" s="1121"/>
      <c r="O166" s="1121"/>
      <c r="P166" s="1121"/>
      <c r="Q166" s="1121"/>
      <c r="R166" s="1121"/>
      <c r="S166" s="1121"/>
      <c r="T166" s="381" t="b">
        <f ca="1">F166&gt;0</f>
        <v>1</v>
      </c>
      <c r="U166" s="1121"/>
      <c r="V166" s="1121"/>
      <c r="W166" s="1319" t="s">
        <v>389</v>
      </c>
      <c r="X166" s="1787"/>
      <c r="Y166" s="1121"/>
      <c r="Z166" s="1788"/>
      <c r="AA166" s="1121"/>
      <c r="AB166" s="1178"/>
      <c r="AC166" s="1179" t="s">
        <v>177</v>
      </c>
      <c r="AD166" s="1180"/>
      <c r="AE166" s="1236"/>
      <c r="AF166" s="1187"/>
      <c r="AG166" s="1187"/>
      <c r="AH166" s="1188"/>
      <c r="AI166" s="1188"/>
      <c r="AJ166" s="1188"/>
      <c r="AK166" s="573" t="s">
        <v>2173</v>
      </c>
      <c r="AL166" s="1189"/>
    </row>
    <row r="167" spans="1:38" s="1327" customFormat="1" ht="14.25" customHeight="1">
      <c r="A167" s="584"/>
      <c r="B167" s="1121"/>
      <c r="C167" s="1121"/>
      <c r="D167" s="1121"/>
      <c r="E167" s="566">
        <v>15</v>
      </c>
      <c r="F167" s="3" t="str" cm="1">
        <f t="array" aca="1" ref="F167" ca="1">OFFSET(E167,-1,1)</f>
        <v>1</v>
      </c>
      <c r="G167" s="1121"/>
      <c r="H167" s="404" t="s">
        <v>324</v>
      </c>
      <c r="I167" s="1121"/>
      <c r="J167" s="1121"/>
      <c r="K167" s="1121"/>
      <c r="L167" s="1121"/>
      <c r="M167" s="1121"/>
      <c r="N167" s="1121"/>
      <c r="O167" s="1121"/>
      <c r="P167" s="1121"/>
      <c r="Q167" s="1121"/>
      <c r="R167" s="1121"/>
      <c r="S167" s="1121"/>
      <c r="T167" s="381" t="b" cm="1">
        <f t="array" aca="1" ref="T167" ca="1">T166</f>
        <v>1</v>
      </c>
      <c r="U167" s="1121"/>
      <c r="V167" s="1121"/>
      <c r="W167" s="1121"/>
      <c r="X167" s="1787"/>
      <c r="Y167" s="1121"/>
      <c r="Z167" s="1788"/>
      <c r="AA167" s="1121"/>
      <c r="AB167" s="629" t="s">
        <v>224</v>
      </c>
      <c r="AC167" s="461" t="s">
        <v>1861</v>
      </c>
      <c r="AD167" s="462" t="s">
        <v>766</v>
      </c>
      <c r="AE167" s="473">
        <f>AE168+AE180+AE181+AE191+AE192+AE193+AE196+AE197+AE198+AE199+AE200+AE201</f>
        <v>0</v>
      </c>
      <c r="AF167" s="1187"/>
      <c r="AG167" s="1187"/>
      <c r="AH167" s="903" t="s">
        <v>2174</v>
      </c>
      <c r="AI167" s="1188"/>
      <c r="AJ167" s="1188"/>
      <c r="AK167" s="1189"/>
      <c r="AL167" s="1189"/>
    </row>
    <row r="168" spans="1:38" s="1314" customFormat="1" ht="26.25" customHeight="1">
      <c r="A168" s="584"/>
      <c r="B168" s="404"/>
      <c r="C168" s="404"/>
      <c r="D168" s="404"/>
      <c r="E168" s="566">
        <v>27</v>
      </c>
      <c r="F168" s="439" t="str" cm="1">
        <f t="array" aca="1" ref="F168" ca="1">OFFSET(E168,-1,1)</f>
        <v>1</v>
      </c>
      <c r="G168" s="404"/>
      <c r="H168" s="404"/>
      <c r="I168" s="404"/>
      <c r="J168" s="404"/>
      <c r="K168" s="404"/>
      <c r="L168" s="404"/>
      <c r="M168" s="404"/>
      <c r="N168" s="404"/>
      <c r="O168" s="404"/>
      <c r="P168" s="404"/>
      <c r="Q168" s="404"/>
      <c r="R168" s="404"/>
      <c r="S168" s="404"/>
      <c r="T168" s="381" t="b" cm="1">
        <f t="array" aca="1" ref="T168" ca="1">T167</f>
        <v>1</v>
      </c>
      <c r="U168" s="404"/>
      <c r="V168" s="404"/>
      <c r="W168" s="404"/>
      <c r="X168" s="1787"/>
      <c r="Y168" s="404"/>
      <c r="Z168" s="1788"/>
      <c r="AA168" s="404"/>
      <c r="AB168" s="1170" t="s">
        <v>502</v>
      </c>
      <c r="AC168" s="1181" t="s">
        <v>1863</v>
      </c>
      <c r="AD168" s="1169" t="s">
        <v>766</v>
      </c>
      <c r="AE168" s="473">
        <f>SUM(AE169:AE179)</f>
        <v>0</v>
      </c>
      <c r="AF168" s="1009"/>
      <c r="AG168" s="1009"/>
      <c r="AH168" s="966" t="s">
        <v>1102</v>
      </c>
      <c r="AI168" s="960"/>
      <c r="AJ168" s="960"/>
      <c r="AK168" s="869"/>
      <c r="AL168" s="869"/>
    </row>
    <row r="169" spans="1:38" s="1314" customFormat="1" ht="14.25" customHeight="1">
      <c r="A169" s="584"/>
      <c r="B169" s="404"/>
      <c r="C169" s="404"/>
      <c r="D169" s="404"/>
      <c r="E169" s="566">
        <v>15</v>
      </c>
      <c r="F169" s="439" t="str" cm="1">
        <f t="array" aca="1" ref="F169" ca="1">OFFSET(E169,-1,1)</f>
        <v>1</v>
      </c>
      <c r="G169" s="404"/>
      <c r="H169" s="404"/>
      <c r="I169" s="404"/>
      <c r="J169" s="404"/>
      <c r="K169" s="404"/>
      <c r="L169" s="404"/>
      <c r="M169" s="404"/>
      <c r="N169" s="404"/>
      <c r="O169" s="404"/>
      <c r="P169" s="404"/>
      <c r="Q169" s="404"/>
      <c r="R169" s="404"/>
      <c r="S169" s="404"/>
      <c r="T169" s="381" t="b" cm="1">
        <f t="array" aca="1" ref="T169" ca="1">T168</f>
        <v>1</v>
      </c>
      <c r="U169" s="404"/>
      <c r="V169" s="404"/>
      <c r="W169" s="404"/>
      <c r="X169" s="1787"/>
      <c r="Y169" s="404"/>
      <c r="Z169" s="1788"/>
      <c r="AA169" s="404"/>
      <c r="AB169" s="1170" t="s">
        <v>453</v>
      </c>
      <c r="AC169" s="1173" t="s">
        <v>1865</v>
      </c>
      <c r="AD169" s="1172" t="s">
        <v>766</v>
      </c>
      <c r="AE169" s="474"/>
      <c r="AF169" s="1009"/>
      <c r="AG169" s="1009"/>
      <c r="AH169" s="966" t="s">
        <v>2175</v>
      </c>
      <c r="AI169" s="960"/>
      <c r="AJ169" s="960"/>
      <c r="AK169" s="869"/>
      <c r="AL169" s="869"/>
    </row>
    <row r="170" spans="1:38" s="1314" customFormat="1" ht="14.25" customHeight="1">
      <c r="A170" s="584"/>
      <c r="B170" s="404"/>
      <c r="C170" s="404"/>
      <c r="D170" s="404"/>
      <c r="E170" s="566">
        <v>15</v>
      </c>
      <c r="F170" s="439" t="str" cm="1">
        <f t="array" aca="1" ref="F170" ca="1">OFFSET(E170,-1,1)</f>
        <v>1</v>
      </c>
      <c r="G170" s="404"/>
      <c r="H170" s="404"/>
      <c r="I170" s="404"/>
      <c r="J170" s="404"/>
      <c r="K170" s="404"/>
      <c r="L170" s="404"/>
      <c r="M170" s="404"/>
      <c r="N170" s="404"/>
      <c r="O170" s="404"/>
      <c r="P170" s="404"/>
      <c r="Q170" s="404"/>
      <c r="R170" s="404"/>
      <c r="S170" s="404"/>
      <c r="T170" s="381" t="b" cm="1">
        <f t="array" aca="1" ref="T170" ca="1">T169</f>
        <v>1</v>
      </c>
      <c r="U170" s="404"/>
      <c r="V170" s="404"/>
      <c r="W170" s="404"/>
      <c r="X170" s="1787"/>
      <c r="Y170" s="404"/>
      <c r="Z170" s="1788"/>
      <c r="AA170" s="404"/>
      <c r="AB170" s="1170" t="s">
        <v>1866</v>
      </c>
      <c r="AC170" s="1173" t="s">
        <v>1867</v>
      </c>
      <c r="AD170" s="1172" t="s">
        <v>766</v>
      </c>
      <c r="AE170" s="474"/>
      <c r="AF170" s="1009"/>
      <c r="AG170" s="1009"/>
      <c r="AH170" s="966" t="s">
        <v>2176</v>
      </c>
      <c r="AI170" s="960"/>
      <c r="AJ170" s="960"/>
      <c r="AK170" s="869"/>
      <c r="AL170" s="869"/>
    </row>
    <row r="171" spans="1:38" s="1314" customFormat="1" ht="14.25" customHeight="1">
      <c r="A171" s="584"/>
      <c r="B171" s="404"/>
      <c r="C171" s="404"/>
      <c r="D171" s="404"/>
      <c r="E171" s="566">
        <v>15</v>
      </c>
      <c r="F171" s="439" t="str" cm="1">
        <f t="array" aca="1" ref="F171" ca="1">OFFSET(E171,-1,1)</f>
        <v>1</v>
      </c>
      <c r="G171" s="404"/>
      <c r="H171" s="404"/>
      <c r="I171" s="404"/>
      <c r="J171" s="404"/>
      <c r="K171" s="404"/>
      <c r="L171" s="404"/>
      <c r="M171" s="404"/>
      <c r="N171" s="404"/>
      <c r="O171" s="404"/>
      <c r="P171" s="404"/>
      <c r="Q171" s="404"/>
      <c r="R171" s="404"/>
      <c r="S171" s="404"/>
      <c r="T171" s="381" t="b" cm="1">
        <f t="array" aca="1" ref="T171" ca="1">T170</f>
        <v>1</v>
      </c>
      <c r="U171" s="404"/>
      <c r="V171" s="404"/>
      <c r="W171" s="404"/>
      <c r="X171" s="1787"/>
      <c r="Y171" s="404"/>
      <c r="Z171" s="1788"/>
      <c r="AA171" s="404"/>
      <c r="AB171" s="1170" t="s">
        <v>1868</v>
      </c>
      <c r="AC171" s="1173" t="s">
        <v>1869</v>
      </c>
      <c r="AD171" s="1172" t="s">
        <v>766</v>
      </c>
      <c r="AE171" s="474"/>
      <c r="AF171" s="1009"/>
      <c r="AG171" s="1009"/>
      <c r="AH171" s="966" t="s">
        <v>2177</v>
      </c>
      <c r="AI171" s="960"/>
      <c r="AJ171" s="960"/>
      <c r="AK171" s="869"/>
      <c r="AL171" s="869"/>
    </row>
    <row r="172" spans="1:38" s="1314" customFormat="1" ht="14.25" customHeight="1">
      <c r="A172" s="584"/>
      <c r="B172" s="404"/>
      <c r="C172" s="404"/>
      <c r="D172" s="404"/>
      <c r="E172" s="566">
        <v>15</v>
      </c>
      <c r="F172" s="439" t="str" cm="1">
        <f t="array" aca="1" ref="F172" ca="1">OFFSET(E172,-1,1)</f>
        <v>1</v>
      </c>
      <c r="G172" s="404"/>
      <c r="H172" s="404"/>
      <c r="I172" s="404"/>
      <c r="J172" s="404"/>
      <c r="K172" s="404"/>
      <c r="L172" s="404"/>
      <c r="M172" s="404"/>
      <c r="N172" s="404"/>
      <c r="O172" s="404"/>
      <c r="P172" s="404"/>
      <c r="Q172" s="404"/>
      <c r="R172" s="404"/>
      <c r="S172" s="404"/>
      <c r="T172" s="381" t="b" cm="1">
        <f t="array" aca="1" ref="T172" ca="1">T171</f>
        <v>1</v>
      </c>
      <c r="U172" s="404"/>
      <c r="V172" s="404"/>
      <c r="W172" s="404"/>
      <c r="X172" s="1787"/>
      <c r="Y172" s="404"/>
      <c r="Z172" s="1788"/>
      <c r="AA172" s="404"/>
      <c r="AB172" s="1170" t="s">
        <v>1871</v>
      </c>
      <c r="AC172" s="1173" t="s">
        <v>1872</v>
      </c>
      <c r="AD172" s="1172" t="s">
        <v>766</v>
      </c>
      <c r="AE172" s="474"/>
      <c r="AF172" s="1009"/>
      <c r="AG172" s="1009"/>
      <c r="AH172" s="966" t="s">
        <v>2178</v>
      </c>
      <c r="AI172" s="960"/>
      <c r="AJ172" s="960"/>
      <c r="AK172" s="869"/>
      <c r="AL172" s="869"/>
    </row>
    <row r="173" spans="1:38" s="1314" customFormat="1" ht="14.25" customHeight="1">
      <c r="A173" s="584"/>
      <c r="B173" s="404"/>
      <c r="C173" s="404"/>
      <c r="D173" s="404"/>
      <c r="E173" s="566">
        <v>15</v>
      </c>
      <c r="F173" s="439" t="str" cm="1">
        <f t="array" aca="1" ref="F173" ca="1">OFFSET(E173,-1,1)</f>
        <v>1</v>
      </c>
      <c r="G173" s="404"/>
      <c r="H173" s="404"/>
      <c r="I173" s="404"/>
      <c r="J173" s="404"/>
      <c r="K173" s="404"/>
      <c r="L173" s="404"/>
      <c r="M173" s="404"/>
      <c r="N173" s="404"/>
      <c r="O173" s="404"/>
      <c r="P173" s="404"/>
      <c r="Q173" s="404"/>
      <c r="R173" s="404"/>
      <c r="S173" s="404"/>
      <c r="T173" s="381" t="b" cm="1">
        <f t="array" aca="1" ref="T173" ca="1">T172</f>
        <v>1</v>
      </c>
      <c r="U173" s="404"/>
      <c r="V173" s="404"/>
      <c r="W173" s="404"/>
      <c r="X173" s="1787"/>
      <c r="Y173" s="404"/>
      <c r="Z173" s="1788"/>
      <c r="AA173" s="404"/>
      <c r="AB173" s="1170" t="s">
        <v>1874</v>
      </c>
      <c r="AC173" s="1173" t="s">
        <v>1875</v>
      </c>
      <c r="AD173" s="1172" t="s">
        <v>766</v>
      </c>
      <c r="AE173" s="474"/>
      <c r="AF173" s="1009"/>
      <c r="AG173" s="1009"/>
      <c r="AH173" s="966" t="s">
        <v>2179</v>
      </c>
      <c r="AI173" s="960"/>
      <c r="AJ173" s="960"/>
      <c r="AK173" s="869"/>
      <c r="AL173" s="869"/>
    </row>
    <row r="174" spans="1:38" s="1314" customFormat="1" ht="26.25" customHeight="1">
      <c r="A174" s="584"/>
      <c r="B174" s="404"/>
      <c r="C174" s="404"/>
      <c r="D174" s="404"/>
      <c r="E174" s="566">
        <v>27</v>
      </c>
      <c r="F174" s="439" t="str" cm="1">
        <f t="array" aca="1" ref="F174" ca="1">OFFSET(E174,-1,1)</f>
        <v>1</v>
      </c>
      <c r="G174" s="404"/>
      <c r="H174" s="404"/>
      <c r="I174" s="404"/>
      <c r="J174" s="404"/>
      <c r="K174" s="404"/>
      <c r="L174" s="404"/>
      <c r="M174" s="404"/>
      <c r="N174" s="404"/>
      <c r="O174" s="404"/>
      <c r="P174" s="404"/>
      <c r="Q174" s="404"/>
      <c r="R174" s="404"/>
      <c r="S174" s="404"/>
      <c r="T174" s="381" t="b" cm="1">
        <f t="array" aca="1" ref="T174" ca="1">T173</f>
        <v>1</v>
      </c>
      <c r="U174" s="404"/>
      <c r="V174" s="404"/>
      <c r="W174" s="404"/>
      <c r="X174" s="1787"/>
      <c r="Y174" s="404"/>
      <c r="Z174" s="1788"/>
      <c r="AA174" s="404"/>
      <c r="AB174" s="1170" t="s">
        <v>1877</v>
      </c>
      <c r="AC174" s="1173" t="s">
        <v>1878</v>
      </c>
      <c r="AD174" s="1172" t="s">
        <v>766</v>
      </c>
      <c r="AE174" s="474"/>
      <c r="AF174" s="1009"/>
      <c r="AG174" s="1009"/>
      <c r="AH174" s="966" t="s">
        <v>2180</v>
      </c>
      <c r="AI174" s="960"/>
      <c r="AJ174" s="960"/>
      <c r="AK174" s="869"/>
      <c r="AL174" s="869"/>
    </row>
    <row r="175" spans="1:38" s="1314" customFormat="1" ht="14.25" customHeight="1">
      <c r="A175" s="584"/>
      <c r="B175" s="404"/>
      <c r="C175" s="404"/>
      <c r="D175" s="404"/>
      <c r="E175" s="566">
        <v>15</v>
      </c>
      <c r="F175" s="439" t="str" cm="1">
        <f t="array" aca="1" ref="F175" ca="1">OFFSET(E175,-1,1)</f>
        <v>1</v>
      </c>
      <c r="G175" s="404"/>
      <c r="H175" s="404"/>
      <c r="I175" s="404"/>
      <c r="J175" s="404"/>
      <c r="K175" s="404"/>
      <c r="L175" s="404"/>
      <c r="M175" s="404"/>
      <c r="N175" s="404"/>
      <c r="O175" s="404"/>
      <c r="P175" s="404"/>
      <c r="Q175" s="404"/>
      <c r="R175" s="404"/>
      <c r="S175" s="404"/>
      <c r="T175" s="381" t="b" cm="1">
        <f t="array" aca="1" ref="T175" ca="1">T174</f>
        <v>1</v>
      </c>
      <c r="U175" s="404"/>
      <c r="V175" s="404"/>
      <c r="W175" s="404"/>
      <c r="X175" s="1787"/>
      <c r="Y175" s="404"/>
      <c r="Z175" s="1788"/>
      <c r="AA175" s="404"/>
      <c r="AB175" s="1170" t="s">
        <v>1881</v>
      </c>
      <c r="AC175" s="1173" t="s">
        <v>1882</v>
      </c>
      <c r="AD175" s="1172" t="s">
        <v>766</v>
      </c>
      <c r="AE175" s="474"/>
      <c r="AF175" s="1009"/>
      <c r="AG175" s="1009"/>
      <c r="AH175" s="966" t="s">
        <v>2181</v>
      </c>
      <c r="AI175" s="960"/>
      <c r="AJ175" s="960"/>
      <c r="AK175" s="869"/>
      <c r="AL175" s="869"/>
    </row>
    <row r="176" spans="1:38" s="1314" customFormat="1" ht="14.25" customHeight="1">
      <c r="A176" s="584"/>
      <c r="B176" s="404"/>
      <c r="C176" s="404"/>
      <c r="D176" s="404"/>
      <c r="E176" s="566">
        <v>15</v>
      </c>
      <c r="F176" s="439" t="str" cm="1">
        <f t="array" aca="1" ref="F176" ca="1">OFFSET(E176,-1,1)</f>
        <v>1</v>
      </c>
      <c r="G176" s="404"/>
      <c r="H176" s="404"/>
      <c r="I176" s="404"/>
      <c r="J176" s="404"/>
      <c r="K176" s="404"/>
      <c r="L176" s="404"/>
      <c r="M176" s="404"/>
      <c r="N176" s="404"/>
      <c r="O176" s="404"/>
      <c r="P176" s="404"/>
      <c r="Q176" s="404"/>
      <c r="R176" s="404"/>
      <c r="S176" s="404"/>
      <c r="T176" s="381" t="b" cm="1">
        <f t="array" aca="1" ref="T176" ca="1">T175</f>
        <v>1</v>
      </c>
      <c r="U176" s="404"/>
      <c r="V176" s="404"/>
      <c r="W176" s="404"/>
      <c r="X176" s="1787"/>
      <c r="Y176" s="404"/>
      <c r="Z176" s="1788"/>
      <c r="AA176" s="404"/>
      <c r="AB176" s="1170" t="s">
        <v>1885</v>
      </c>
      <c r="AC176" s="1173" t="s">
        <v>1886</v>
      </c>
      <c r="AD176" s="1172" t="s">
        <v>766</v>
      </c>
      <c r="AE176" s="474"/>
      <c r="AF176" s="1009"/>
      <c r="AG176" s="1009"/>
      <c r="AH176" s="966" t="s">
        <v>2182</v>
      </c>
      <c r="AI176" s="960"/>
      <c r="AJ176" s="960"/>
      <c r="AK176" s="869"/>
      <c r="AL176" s="869"/>
    </row>
    <row r="177" spans="1:38" s="1314" customFormat="1" ht="14.25" customHeight="1">
      <c r="A177" s="584"/>
      <c r="B177" s="404"/>
      <c r="C177" s="404"/>
      <c r="D177" s="404"/>
      <c r="E177" s="566">
        <v>15</v>
      </c>
      <c r="F177" s="439" t="str" cm="1">
        <f t="array" aca="1" ref="F177" ca="1">OFFSET(E177,-1,1)</f>
        <v>1</v>
      </c>
      <c r="G177" s="404"/>
      <c r="H177" s="404"/>
      <c r="I177" s="404"/>
      <c r="J177" s="404"/>
      <c r="K177" s="404"/>
      <c r="L177" s="404"/>
      <c r="M177" s="404"/>
      <c r="N177" s="404"/>
      <c r="O177" s="404"/>
      <c r="P177" s="404"/>
      <c r="Q177" s="404"/>
      <c r="R177" s="404"/>
      <c r="S177" s="404"/>
      <c r="T177" s="381" t="b" cm="1">
        <f t="array" aca="1" ref="T177" ca="1">T176</f>
        <v>1</v>
      </c>
      <c r="U177" s="404"/>
      <c r="V177" s="404"/>
      <c r="W177" s="404"/>
      <c r="X177" s="1787"/>
      <c r="Y177" s="404"/>
      <c r="Z177" s="1788"/>
      <c r="AA177" s="404"/>
      <c r="AB177" s="1170" t="s">
        <v>1888</v>
      </c>
      <c r="AC177" s="1173" t="s">
        <v>1889</v>
      </c>
      <c r="AD177" s="1172" t="s">
        <v>766</v>
      </c>
      <c r="AE177" s="474"/>
      <c r="AF177" s="1009"/>
      <c r="AG177" s="1009"/>
      <c r="AH177" s="966" t="s">
        <v>2183</v>
      </c>
      <c r="AI177" s="960"/>
      <c r="AJ177" s="960"/>
      <c r="AK177" s="869"/>
      <c r="AL177" s="869"/>
    </row>
    <row r="178" spans="1:38" s="1314" customFormat="1" ht="14.25" customHeight="1">
      <c r="A178" s="584"/>
      <c r="B178" s="404"/>
      <c r="C178" s="404"/>
      <c r="D178" s="404"/>
      <c r="E178" s="566">
        <v>15</v>
      </c>
      <c r="F178" s="439" t="str" cm="1">
        <f t="array" aca="1" ref="F178" ca="1">OFFSET(E178,-1,1)</f>
        <v>1</v>
      </c>
      <c r="G178" s="404"/>
      <c r="H178" s="404"/>
      <c r="I178" s="404"/>
      <c r="J178" s="404"/>
      <c r="K178" s="404"/>
      <c r="L178" s="404"/>
      <c r="M178" s="404"/>
      <c r="N178" s="404"/>
      <c r="O178" s="404"/>
      <c r="P178" s="404"/>
      <c r="Q178" s="404"/>
      <c r="R178" s="404"/>
      <c r="S178" s="404"/>
      <c r="T178" s="381" t="b" cm="1">
        <f t="array" aca="1" ref="T178" ca="1">T177</f>
        <v>1</v>
      </c>
      <c r="U178" s="404"/>
      <c r="V178" s="404"/>
      <c r="W178" s="404"/>
      <c r="X178" s="1787"/>
      <c r="Y178" s="404"/>
      <c r="Z178" s="1788"/>
      <c r="AA178" s="404"/>
      <c r="AB178" s="1170" t="s">
        <v>1891</v>
      </c>
      <c r="AC178" s="1173" t="s">
        <v>1892</v>
      </c>
      <c r="AD178" s="1172" t="s">
        <v>766</v>
      </c>
      <c r="AE178" s="474"/>
      <c r="AF178" s="1009"/>
      <c r="AG178" s="1009"/>
      <c r="AH178" s="966" t="s">
        <v>2184</v>
      </c>
      <c r="AI178" s="960"/>
      <c r="AJ178" s="960"/>
      <c r="AK178" s="869"/>
      <c r="AL178" s="869"/>
    </row>
    <row r="179" spans="1:38" s="1314" customFormat="1" ht="14.25" customHeight="1">
      <c r="A179" s="584"/>
      <c r="B179" s="404"/>
      <c r="C179" s="404"/>
      <c r="D179" s="404"/>
      <c r="E179" s="566">
        <v>15</v>
      </c>
      <c r="F179" s="439" t="str" cm="1">
        <f t="array" aca="1" ref="F179" ca="1">OFFSET(E179,-1,1)</f>
        <v>1</v>
      </c>
      <c r="G179" s="404"/>
      <c r="H179" s="404"/>
      <c r="I179" s="404"/>
      <c r="J179" s="404"/>
      <c r="K179" s="404"/>
      <c r="L179" s="404"/>
      <c r="M179" s="404"/>
      <c r="N179" s="404"/>
      <c r="O179" s="404"/>
      <c r="P179" s="404"/>
      <c r="Q179" s="404"/>
      <c r="R179" s="404"/>
      <c r="S179" s="404"/>
      <c r="T179" s="381" t="b" cm="1">
        <f t="array" aca="1" ref="T179" ca="1">T178</f>
        <v>1</v>
      </c>
      <c r="U179" s="404"/>
      <c r="V179" s="404"/>
      <c r="W179" s="404"/>
      <c r="X179" s="1787"/>
      <c r="Y179" s="404"/>
      <c r="Z179" s="1788"/>
      <c r="AA179" s="404"/>
      <c r="AB179" s="1170" t="s">
        <v>1893</v>
      </c>
      <c r="AC179" s="1173" t="s">
        <v>1894</v>
      </c>
      <c r="AD179" s="1172" t="s">
        <v>766</v>
      </c>
      <c r="AE179" s="474"/>
      <c r="AF179" s="1009"/>
      <c r="AG179" s="1009"/>
      <c r="AH179" s="966" t="s">
        <v>2185</v>
      </c>
      <c r="AI179" s="960"/>
      <c r="AJ179" s="960"/>
      <c r="AK179" s="869"/>
      <c r="AL179" s="869"/>
    </row>
    <row r="180" spans="1:38" s="1314" customFormat="1" ht="14.25" customHeight="1">
      <c r="A180" s="584"/>
      <c r="B180" s="404"/>
      <c r="C180" s="404"/>
      <c r="D180" s="404"/>
      <c r="E180" s="566">
        <v>15</v>
      </c>
      <c r="F180" s="439" t="str" cm="1">
        <f t="array" aca="1" ref="F180" ca="1">OFFSET(E180,-1,1)</f>
        <v>1</v>
      </c>
      <c r="G180" s="404"/>
      <c r="H180" s="404"/>
      <c r="I180" s="404"/>
      <c r="J180" s="404"/>
      <c r="K180" s="404"/>
      <c r="L180" s="404"/>
      <c r="M180" s="404"/>
      <c r="N180" s="404"/>
      <c r="O180" s="404"/>
      <c r="P180" s="404"/>
      <c r="Q180" s="404"/>
      <c r="R180" s="404"/>
      <c r="S180" s="404"/>
      <c r="T180" s="381" t="b" cm="1">
        <f t="array" aca="1" ref="T180" ca="1">T179</f>
        <v>1</v>
      </c>
      <c r="U180" s="404"/>
      <c r="V180" s="404"/>
      <c r="W180" s="404"/>
      <c r="X180" s="1787"/>
      <c r="Y180" s="404"/>
      <c r="Z180" s="1788"/>
      <c r="AA180" s="404"/>
      <c r="AB180" s="1170" t="s">
        <v>506</v>
      </c>
      <c r="AC180" s="1171" t="s">
        <v>1895</v>
      </c>
      <c r="AD180" s="1172" t="s">
        <v>766</v>
      </c>
      <c r="AE180" s="474"/>
      <c r="AF180" s="1009"/>
      <c r="AG180" s="1009"/>
      <c r="AH180" s="966" t="s">
        <v>2186</v>
      </c>
      <c r="AI180" s="960"/>
      <c r="AJ180" s="960"/>
      <c r="AK180" s="869"/>
      <c r="AL180" s="869"/>
    </row>
    <row r="181" spans="1:38" s="1327" customFormat="1" ht="14.25" customHeight="1">
      <c r="A181" s="584"/>
      <c r="B181" s="1121"/>
      <c r="C181" s="1121"/>
      <c r="D181" s="1121"/>
      <c r="E181" s="566">
        <v>15</v>
      </c>
      <c r="F181" s="3" t="str" cm="1">
        <f t="array" aca="1" ref="F181" ca="1">OFFSET(E181,-1,1)</f>
        <v>1</v>
      </c>
      <c r="G181" s="1121"/>
      <c r="H181" s="404" t="s">
        <v>448</v>
      </c>
      <c r="I181" s="1121"/>
      <c r="J181" s="1121"/>
      <c r="K181" s="1121"/>
      <c r="L181" s="1121"/>
      <c r="M181" s="1121"/>
      <c r="N181" s="1121"/>
      <c r="O181" s="1121"/>
      <c r="P181" s="1121"/>
      <c r="Q181" s="1121"/>
      <c r="R181" s="1121"/>
      <c r="S181" s="1121"/>
      <c r="T181" s="381" t="b" cm="1">
        <f t="array" aca="1" ref="T181" ca="1">T167</f>
        <v>1</v>
      </c>
      <c r="U181" s="1121"/>
      <c r="V181" s="1121"/>
      <c r="W181" s="1121"/>
      <c r="X181" s="1787"/>
      <c r="Y181" s="1121"/>
      <c r="Z181" s="1788"/>
      <c r="AA181" s="1121"/>
      <c r="AB181" s="630" t="s">
        <v>510</v>
      </c>
      <c r="AC181" s="463" t="s">
        <v>2187</v>
      </c>
      <c r="AD181" s="464" t="s">
        <v>766</v>
      </c>
      <c r="AE181" s="473">
        <f>SUM(AE182:AE190)</f>
        <v>0</v>
      </c>
      <c r="AF181" s="1187"/>
      <c r="AG181" s="1187"/>
      <c r="AH181" s="972" t="s">
        <v>1124</v>
      </c>
      <c r="AI181" s="1188"/>
      <c r="AJ181" s="1188"/>
      <c r="AK181" s="1189"/>
      <c r="AL181" s="1189"/>
    </row>
    <row r="182" spans="1:38" s="1327" customFormat="1" ht="14.25" customHeight="1">
      <c r="A182" s="584"/>
      <c r="B182" s="1121"/>
      <c r="C182" s="1121"/>
      <c r="D182" s="1121"/>
      <c r="E182" s="566">
        <v>15</v>
      </c>
      <c r="F182" s="3" t="str" cm="1">
        <f t="array" aca="1" ref="F182" ca="1">OFFSET(E182,-1,1)</f>
        <v>1</v>
      </c>
      <c r="G182" s="1121"/>
      <c r="H182" s="404" t="s">
        <v>1620</v>
      </c>
      <c r="I182" s="1121"/>
      <c r="J182" s="1121"/>
      <c r="K182" s="1121"/>
      <c r="L182" s="1121"/>
      <c r="M182" s="1121"/>
      <c r="N182" s="1121"/>
      <c r="O182" s="1121"/>
      <c r="P182" s="1121"/>
      <c r="Q182" s="1121"/>
      <c r="R182" s="1121"/>
      <c r="S182" s="1121"/>
      <c r="T182" s="381" t="b" cm="1">
        <f t="array" aca="1" ref="T182" ca="1">T181</f>
        <v>1</v>
      </c>
      <c r="U182" s="1121"/>
      <c r="V182" s="1121"/>
      <c r="W182" s="1121"/>
      <c r="X182" s="1787"/>
      <c r="Y182" s="1121"/>
      <c r="Z182" s="1788"/>
      <c r="AA182" s="1121"/>
      <c r="AB182" s="630" t="s">
        <v>464</v>
      </c>
      <c r="AC182" s="465" t="s">
        <v>1139</v>
      </c>
      <c r="AD182" s="464" t="s">
        <v>766</v>
      </c>
      <c r="AE182" s="1235"/>
      <c r="AF182" s="1187"/>
      <c r="AG182" s="1187"/>
      <c r="AH182" s="966" t="s">
        <v>1898</v>
      </c>
      <c r="AI182" s="1188"/>
      <c r="AJ182" s="1188"/>
      <c r="AK182" s="1189"/>
      <c r="AL182" s="1189"/>
    </row>
    <row r="183" spans="1:38" s="1327" customFormat="1" ht="14.25" customHeight="1">
      <c r="A183" s="584"/>
      <c r="B183" s="1121"/>
      <c r="C183" s="1121"/>
      <c r="D183" s="1121"/>
      <c r="E183" s="566">
        <v>15</v>
      </c>
      <c r="F183" s="3" t="str" cm="1">
        <f t="array" aca="1" ref="F183" ca="1">OFFSET(E183,-1,1)</f>
        <v>1</v>
      </c>
      <c r="G183" s="1121"/>
      <c r="H183" s="404" t="s">
        <v>1623</v>
      </c>
      <c r="I183" s="1121"/>
      <c r="J183" s="1121"/>
      <c r="K183" s="1121"/>
      <c r="L183" s="1121"/>
      <c r="M183" s="1121"/>
      <c r="N183" s="1121"/>
      <c r="O183" s="1121"/>
      <c r="P183" s="1121"/>
      <c r="Q183" s="1121"/>
      <c r="R183" s="1121"/>
      <c r="S183" s="1121"/>
      <c r="T183" s="381" t="b" cm="1">
        <f t="array" aca="1" ref="T183" ca="1">T182</f>
        <v>1</v>
      </c>
      <c r="U183" s="1121"/>
      <c r="V183" s="1121"/>
      <c r="W183" s="1121"/>
      <c r="X183" s="1787"/>
      <c r="Y183" s="1121"/>
      <c r="Z183" s="1788"/>
      <c r="AA183" s="1121"/>
      <c r="AB183" s="630" t="s">
        <v>1342</v>
      </c>
      <c r="AC183" s="465" t="s">
        <v>2188</v>
      </c>
      <c r="AD183" s="464" t="s">
        <v>766</v>
      </c>
      <c r="AE183" s="1235"/>
      <c r="AF183" s="1187"/>
      <c r="AG183" s="1187"/>
      <c r="AH183" s="966" t="s">
        <v>1901</v>
      </c>
      <c r="AI183" s="1188"/>
      <c r="AJ183" s="1188"/>
      <c r="AK183" s="1189"/>
      <c r="AL183" s="1189"/>
    </row>
    <row r="184" spans="1:38" s="1327" customFormat="1" ht="14.25" customHeight="1">
      <c r="A184" s="584"/>
      <c r="B184" s="1121"/>
      <c r="C184" s="1121"/>
      <c r="D184" s="1121"/>
      <c r="E184" s="566">
        <v>15</v>
      </c>
      <c r="F184" s="3" t="str" cm="1">
        <f t="array" aca="1" ref="F184" ca="1">OFFSET(E184,-1,1)</f>
        <v>1</v>
      </c>
      <c r="G184" s="1121"/>
      <c r="H184" s="404" t="s">
        <v>2189</v>
      </c>
      <c r="I184" s="1121"/>
      <c r="J184" s="1121"/>
      <c r="K184" s="1121"/>
      <c r="L184" s="1121"/>
      <c r="M184" s="1121"/>
      <c r="N184" s="1121"/>
      <c r="O184" s="1121"/>
      <c r="P184" s="1121"/>
      <c r="Q184" s="1121"/>
      <c r="R184" s="1121"/>
      <c r="S184" s="1121"/>
      <c r="T184" s="381" t="b" cm="1">
        <f t="array" aca="1" ref="T184" ca="1">T183</f>
        <v>1</v>
      </c>
      <c r="U184" s="1121"/>
      <c r="V184" s="1121"/>
      <c r="W184" s="1121"/>
      <c r="X184" s="1787"/>
      <c r="Y184" s="1121"/>
      <c r="Z184" s="1788"/>
      <c r="AA184" s="1121"/>
      <c r="AB184" s="630" t="s">
        <v>1347</v>
      </c>
      <c r="AC184" s="465" t="s">
        <v>2190</v>
      </c>
      <c r="AD184" s="464" t="s">
        <v>766</v>
      </c>
      <c r="AE184" s="1235"/>
      <c r="AF184" s="1187"/>
      <c r="AG184" s="1187"/>
      <c r="AH184" s="966" t="s">
        <v>1904</v>
      </c>
      <c r="AI184" s="1188"/>
      <c r="AJ184" s="1188"/>
      <c r="AK184" s="1189"/>
      <c r="AL184" s="1189"/>
    </row>
    <row r="185" spans="1:38" s="1327" customFormat="1" ht="14.25" customHeight="1">
      <c r="A185" s="584"/>
      <c r="B185" s="1121"/>
      <c r="C185" s="1121"/>
      <c r="D185" s="1121"/>
      <c r="E185" s="566">
        <v>15</v>
      </c>
      <c r="F185" s="3" t="str" cm="1">
        <f t="array" aca="1" ref="F185" ca="1">OFFSET(E185,-1,1)</f>
        <v>1</v>
      </c>
      <c r="G185" s="1121"/>
      <c r="H185" s="404" t="s">
        <v>2191</v>
      </c>
      <c r="I185" s="1121"/>
      <c r="J185" s="1121"/>
      <c r="K185" s="1121"/>
      <c r="L185" s="1121"/>
      <c r="M185" s="1121"/>
      <c r="N185" s="1121"/>
      <c r="O185" s="1121"/>
      <c r="P185" s="1121"/>
      <c r="Q185" s="1121"/>
      <c r="R185" s="1121"/>
      <c r="S185" s="1121"/>
      <c r="T185" s="381" t="b" cm="1">
        <f t="array" aca="1" ref="T185" ca="1">T184</f>
        <v>1</v>
      </c>
      <c r="U185" s="1121"/>
      <c r="V185" s="1121"/>
      <c r="W185" s="1121"/>
      <c r="X185" s="1787"/>
      <c r="Y185" s="1121"/>
      <c r="Z185" s="1788"/>
      <c r="AA185" s="1121"/>
      <c r="AB185" s="630" t="s">
        <v>1906</v>
      </c>
      <c r="AC185" s="465" t="s">
        <v>1132</v>
      </c>
      <c r="AD185" s="464" t="s">
        <v>766</v>
      </c>
      <c r="AE185" s="1235"/>
      <c r="AF185" s="1187"/>
      <c r="AG185" s="1187"/>
      <c r="AH185" s="966" t="s">
        <v>1908</v>
      </c>
      <c r="AI185" s="1188"/>
      <c r="AJ185" s="1188"/>
      <c r="AK185" s="1189"/>
      <c r="AL185" s="1189"/>
    </row>
    <row r="186" spans="1:38" s="1327" customFormat="1" ht="14.25" customHeight="1">
      <c r="A186" s="584"/>
      <c r="B186" s="1121"/>
      <c r="C186" s="1121"/>
      <c r="D186" s="1121"/>
      <c r="E186" s="566">
        <v>15</v>
      </c>
      <c r="F186" s="3" t="str" cm="1">
        <f t="array" aca="1" ref="F186" ca="1">OFFSET(E186,-1,1)</f>
        <v>1</v>
      </c>
      <c r="G186" s="1121"/>
      <c r="H186" s="404" t="s">
        <v>2192</v>
      </c>
      <c r="I186" s="1121"/>
      <c r="J186" s="1121"/>
      <c r="K186" s="1121"/>
      <c r="L186" s="1121"/>
      <c r="M186" s="1121"/>
      <c r="N186" s="1121"/>
      <c r="O186" s="1121"/>
      <c r="P186" s="1121"/>
      <c r="Q186" s="1121"/>
      <c r="R186" s="1121"/>
      <c r="S186" s="1121"/>
      <c r="T186" s="381" t="b" cm="1">
        <f t="array" aca="1" ref="T186" ca="1">T185</f>
        <v>1</v>
      </c>
      <c r="U186" s="1121"/>
      <c r="V186" s="1121"/>
      <c r="W186" s="1121"/>
      <c r="X186" s="1787"/>
      <c r="Y186" s="1121"/>
      <c r="Z186" s="1788"/>
      <c r="AA186" s="1121"/>
      <c r="AB186" s="630" t="s">
        <v>1910</v>
      </c>
      <c r="AC186" s="465" t="s">
        <v>1134</v>
      </c>
      <c r="AD186" s="464" t="s">
        <v>766</v>
      </c>
      <c r="AE186" s="1235"/>
      <c r="AF186" s="1187"/>
      <c r="AG186" s="1187"/>
      <c r="AH186" s="966" t="s">
        <v>1912</v>
      </c>
      <c r="AI186" s="1188"/>
      <c r="AJ186" s="1188"/>
      <c r="AK186" s="1189"/>
      <c r="AL186" s="1189"/>
    </row>
    <row r="187" spans="1:38" s="1327" customFormat="1" ht="14.25" customHeight="1">
      <c r="A187" s="584"/>
      <c r="B187" s="1121"/>
      <c r="C187" s="1121"/>
      <c r="D187" s="1121"/>
      <c r="E187" s="566">
        <v>15</v>
      </c>
      <c r="F187" s="3" t="str" cm="1">
        <f t="array" aca="1" ref="F187" ca="1">OFFSET(E187,-1,1)</f>
        <v>1</v>
      </c>
      <c r="G187" s="1121"/>
      <c r="H187" s="404" t="s">
        <v>2193</v>
      </c>
      <c r="I187" s="1121"/>
      <c r="J187" s="1121"/>
      <c r="K187" s="1121"/>
      <c r="L187" s="1121"/>
      <c r="M187" s="1121"/>
      <c r="N187" s="1121"/>
      <c r="O187" s="1121"/>
      <c r="P187" s="1121"/>
      <c r="Q187" s="1121"/>
      <c r="R187" s="1121"/>
      <c r="S187" s="1121"/>
      <c r="T187" s="381" t="b" cm="1">
        <f t="array" aca="1" ref="T187" ca="1">T186</f>
        <v>1</v>
      </c>
      <c r="U187" s="1121"/>
      <c r="V187" s="1121"/>
      <c r="W187" s="1121"/>
      <c r="X187" s="1787"/>
      <c r="Y187" s="1121"/>
      <c r="Z187" s="1788"/>
      <c r="AA187" s="1121"/>
      <c r="AB187" s="630" t="s">
        <v>1914</v>
      </c>
      <c r="AC187" s="465" t="s">
        <v>1125</v>
      </c>
      <c r="AD187" s="464" t="s">
        <v>766</v>
      </c>
      <c r="AE187" s="1235"/>
      <c r="AF187" s="1187"/>
      <c r="AG187" s="1187"/>
      <c r="AH187" s="966" t="s">
        <v>1916</v>
      </c>
      <c r="AI187" s="1188"/>
      <c r="AJ187" s="1188"/>
      <c r="AK187" s="1189"/>
      <c r="AL187" s="1189"/>
    </row>
    <row r="188" spans="1:38" s="1314" customFormat="1" ht="14.25" customHeight="1">
      <c r="A188" s="584"/>
      <c r="B188" s="404"/>
      <c r="C188" s="404"/>
      <c r="D188" s="404"/>
      <c r="E188" s="566">
        <v>15</v>
      </c>
      <c r="F188" s="439" t="str" cm="1">
        <f t="array" aca="1" ref="F188" ca="1">OFFSET(E188,-1,1)</f>
        <v>1</v>
      </c>
      <c r="G188" s="404"/>
      <c r="H188" s="404"/>
      <c r="I188" s="404"/>
      <c r="J188" s="404"/>
      <c r="K188" s="404"/>
      <c r="L188" s="404"/>
      <c r="M188" s="404"/>
      <c r="N188" s="404"/>
      <c r="O188" s="404"/>
      <c r="P188" s="404"/>
      <c r="Q188" s="404"/>
      <c r="R188" s="404"/>
      <c r="S188" s="404"/>
      <c r="T188" s="381" t="b" cm="1">
        <f t="array" aca="1" ref="T188" ca="1">T187</f>
        <v>1</v>
      </c>
      <c r="U188" s="404"/>
      <c r="V188" s="404"/>
      <c r="W188" s="404"/>
      <c r="X188" s="1787"/>
      <c r="Y188" s="404"/>
      <c r="Z188" s="1788"/>
      <c r="AA188" s="404"/>
      <c r="AB188" s="1170" t="s">
        <v>1918</v>
      </c>
      <c r="AC188" s="1173" t="s">
        <v>2194</v>
      </c>
      <c r="AD188" s="1172" t="s">
        <v>766</v>
      </c>
      <c r="AE188" s="474"/>
      <c r="AF188" s="1009"/>
      <c r="AG188" s="1009"/>
      <c r="AH188" s="966" t="s">
        <v>1142</v>
      </c>
      <c r="AI188" s="960"/>
      <c r="AJ188" s="960"/>
      <c r="AK188" s="869"/>
      <c r="AL188" s="869"/>
    </row>
    <row r="189" spans="1:38" s="1314" customFormat="1" ht="14.25" customHeight="1">
      <c r="A189" s="584"/>
      <c r="B189" s="404"/>
      <c r="C189" s="404"/>
      <c r="D189" s="404"/>
      <c r="E189" s="566">
        <v>15</v>
      </c>
      <c r="F189" s="439" t="str" cm="1">
        <f t="array" aca="1" ref="F189" ca="1">OFFSET(E189,-1,1)</f>
        <v>1</v>
      </c>
      <c r="G189" s="404"/>
      <c r="H189" s="404"/>
      <c r="I189" s="404"/>
      <c r="J189" s="404"/>
      <c r="K189" s="404"/>
      <c r="L189" s="404"/>
      <c r="M189" s="404"/>
      <c r="N189" s="404"/>
      <c r="O189" s="404"/>
      <c r="P189" s="404"/>
      <c r="Q189" s="404"/>
      <c r="R189" s="404"/>
      <c r="S189" s="404"/>
      <c r="T189" s="381" t="b" cm="1">
        <f t="array" aca="1" ref="T189" ca="1">T188</f>
        <v>1</v>
      </c>
      <c r="U189" s="404"/>
      <c r="V189" s="404"/>
      <c r="W189" s="404"/>
      <c r="X189" s="1787"/>
      <c r="Y189" s="404"/>
      <c r="Z189" s="1788"/>
      <c r="AA189" s="404"/>
      <c r="AB189" s="1170" t="s">
        <v>1922</v>
      </c>
      <c r="AC189" s="1173" t="s">
        <v>1143</v>
      </c>
      <c r="AD189" s="1172" t="s">
        <v>766</v>
      </c>
      <c r="AE189" s="474"/>
      <c r="AF189" s="1009"/>
      <c r="AG189" s="1009"/>
      <c r="AH189" s="966" t="s">
        <v>2195</v>
      </c>
      <c r="AI189" s="960"/>
      <c r="AJ189" s="960"/>
      <c r="AK189" s="869"/>
      <c r="AL189" s="869"/>
    </row>
    <row r="190" spans="1:38" s="1327" customFormat="1" ht="14.25" customHeight="1">
      <c r="A190" s="584"/>
      <c r="B190" s="1121"/>
      <c r="C190" s="1121"/>
      <c r="D190" s="1121"/>
      <c r="E190" s="566">
        <v>15</v>
      </c>
      <c r="F190" s="3" t="str" cm="1">
        <f t="array" aca="1" ref="F190" ca="1">OFFSET(E190,-1,1)</f>
        <v>1</v>
      </c>
      <c r="G190" s="1121"/>
      <c r="H190" s="404" t="s">
        <v>2196</v>
      </c>
      <c r="I190" s="1121"/>
      <c r="J190" s="1121"/>
      <c r="K190" s="1121"/>
      <c r="L190" s="1121"/>
      <c r="M190" s="1121"/>
      <c r="N190" s="1121"/>
      <c r="O190" s="1121"/>
      <c r="P190" s="1121"/>
      <c r="Q190" s="1121"/>
      <c r="R190" s="1121"/>
      <c r="S190" s="1121"/>
      <c r="T190" s="381" t="b" cm="1">
        <f t="array" aca="1" ref="T190" ca="1">T187</f>
        <v>1</v>
      </c>
      <c r="U190" s="1121"/>
      <c r="V190" s="1121"/>
      <c r="W190" s="1121"/>
      <c r="X190" s="1787"/>
      <c r="Y190" s="1121"/>
      <c r="Z190" s="1788"/>
      <c r="AA190" s="1121"/>
      <c r="AB190" s="630" t="s">
        <v>1924</v>
      </c>
      <c r="AC190" s="465" t="s">
        <v>1145</v>
      </c>
      <c r="AD190" s="464" t="s">
        <v>766</v>
      </c>
      <c r="AE190" s="1235"/>
      <c r="AF190" s="1187"/>
      <c r="AG190" s="1187"/>
      <c r="AH190" s="966" t="s">
        <v>1930</v>
      </c>
      <c r="AI190" s="1188"/>
      <c r="AJ190" s="1188"/>
      <c r="AK190" s="1189"/>
      <c r="AL190" s="1189"/>
    </row>
    <row r="191" spans="1:38" s="1327" customFormat="1" ht="14.25" customHeight="1">
      <c r="A191" s="584"/>
      <c r="B191" s="1121"/>
      <c r="C191" s="1121"/>
      <c r="D191" s="1121"/>
      <c r="E191" s="566">
        <v>15</v>
      </c>
      <c r="F191" s="3" t="str" cm="1">
        <f t="array" aca="1" ref="F191" ca="1">OFFSET(E191,-1,1)</f>
        <v>1</v>
      </c>
      <c r="G191" s="1121"/>
      <c r="H191" s="404" t="s">
        <v>841</v>
      </c>
      <c r="I191" s="1121"/>
      <c r="J191" s="1121"/>
      <c r="K191" s="1121"/>
      <c r="L191" s="1121"/>
      <c r="M191" s="1121"/>
      <c r="N191" s="1121"/>
      <c r="O191" s="1121"/>
      <c r="P191" s="1121"/>
      <c r="Q191" s="1121"/>
      <c r="R191" s="1121"/>
      <c r="S191" s="1121"/>
      <c r="T191" s="381" t="b" cm="1">
        <f t="array" aca="1" ref="T191" ca="1">T190</f>
        <v>1</v>
      </c>
      <c r="U191" s="1121"/>
      <c r="V191" s="1121"/>
      <c r="W191" s="1121"/>
      <c r="X191" s="1787"/>
      <c r="Y191" s="1121"/>
      <c r="Z191" s="1788"/>
      <c r="AA191" s="1121"/>
      <c r="AB191" s="630" t="s">
        <v>844</v>
      </c>
      <c r="AC191" s="465" t="s">
        <v>939</v>
      </c>
      <c r="AD191" s="464" t="s">
        <v>766</v>
      </c>
      <c r="AE191" s="1235"/>
      <c r="AF191" s="1187"/>
      <c r="AG191" s="1187"/>
      <c r="AH191" s="966" t="s">
        <v>1082</v>
      </c>
      <c r="AI191" s="1188"/>
      <c r="AJ191" s="1188"/>
      <c r="AK191" s="1189"/>
      <c r="AL191" s="1189"/>
    </row>
    <row r="192" spans="1:38" s="1327" customFormat="1" ht="14.25" customHeight="1">
      <c r="A192" s="584"/>
      <c r="B192" s="1121"/>
      <c r="C192" s="1121"/>
      <c r="D192" s="1121"/>
      <c r="E192" s="566">
        <v>15</v>
      </c>
      <c r="F192" s="3" t="str" cm="1">
        <f t="array" aca="1" ref="F192" ca="1">OFFSET(E192,-1,1)</f>
        <v>1</v>
      </c>
      <c r="G192" s="1121"/>
      <c r="H192" s="404" t="s">
        <v>1933</v>
      </c>
      <c r="I192" s="1121"/>
      <c r="J192" s="1121"/>
      <c r="K192" s="1121"/>
      <c r="L192" s="1121"/>
      <c r="M192" s="1121"/>
      <c r="N192" s="1121"/>
      <c r="O192" s="1121"/>
      <c r="P192" s="1121"/>
      <c r="Q192" s="1121"/>
      <c r="R192" s="1121"/>
      <c r="S192" s="1121"/>
      <c r="T192" s="381" t="b" cm="1">
        <f t="array" aca="1" ref="T192" ca="1">T191</f>
        <v>1</v>
      </c>
      <c r="U192" s="1121"/>
      <c r="V192" s="1121"/>
      <c r="W192" s="1121"/>
      <c r="X192" s="1787"/>
      <c r="Y192" s="1121"/>
      <c r="Z192" s="1788"/>
      <c r="AA192" s="1121"/>
      <c r="AB192" s="630" t="s">
        <v>847</v>
      </c>
      <c r="AC192" s="463" t="s">
        <v>1314</v>
      </c>
      <c r="AD192" s="464" t="s">
        <v>766</v>
      </c>
      <c r="AE192" s="1235"/>
      <c r="AF192" s="1187"/>
      <c r="AG192" s="1187"/>
      <c r="AH192" s="973" t="s">
        <v>1664</v>
      </c>
      <c r="AI192" s="1188"/>
      <c r="AJ192" s="1188"/>
      <c r="AK192" s="1189"/>
      <c r="AL192" s="1189"/>
    </row>
    <row r="193" spans="1:42" s="1327" customFormat="1" ht="14.25" customHeight="1">
      <c r="A193" s="584"/>
      <c r="B193" s="1121"/>
      <c r="C193" s="1121"/>
      <c r="D193" s="1121"/>
      <c r="E193" s="566">
        <v>15</v>
      </c>
      <c r="F193" s="3" t="str" cm="1">
        <f t="array" aca="1" ref="F193" ca="1">OFFSET(E193,-1,1)</f>
        <v>1</v>
      </c>
      <c r="G193" s="1121"/>
      <c r="H193" s="404" t="s">
        <v>1941</v>
      </c>
      <c r="I193" s="1121"/>
      <c r="J193" s="1121"/>
      <c r="K193" s="1121"/>
      <c r="L193" s="1121"/>
      <c r="M193" s="1121"/>
      <c r="N193" s="1121"/>
      <c r="O193" s="1121"/>
      <c r="P193" s="1121"/>
      <c r="Q193" s="1121"/>
      <c r="R193" s="1121"/>
      <c r="S193" s="1121"/>
      <c r="T193" s="381" t="b" cm="1">
        <f t="array" aca="1" ref="T193" ca="1">T192</f>
        <v>1</v>
      </c>
      <c r="U193" s="1121"/>
      <c r="V193" s="1121"/>
      <c r="W193" s="1121"/>
      <c r="X193" s="1787"/>
      <c r="Y193" s="1121"/>
      <c r="Z193" s="1788"/>
      <c r="AA193" s="1121"/>
      <c r="AB193" s="630" t="s">
        <v>1362</v>
      </c>
      <c r="AC193" s="463" t="s">
        <v>1324</v>
      </c>
      <c r="AD193" s="464" t="s">
        <v>766</v>
      </c>
      <c r="AE193" s="473">
        <f>AE194+AE195</f>
        <v>0</v>
      </c>
      <c r="AF193" s="1187"/>
      <c r="AG193" s="1187"/>
      <c r="AH193" s="966" t="s">
        <v>1946</v>
      </c>
      <c r="AI193" s="1188"/>
      <c r="AJ193" s="1188"/>
      <c r="AK193" s="1189"/>
      <c r="AL193" s="1189"/>
    </row>
    <row r="194" spans="1:42" s="1327" customFormat="1" ht="14.25" customHeight="1">
      <c r="A194" s="584"/>
      <c r="B194" s="1121"/>
      <c r="C194" s="1121"/>
      <c r="D194" s="1121"/>
      <c r="E194" s="566">
        <v>15</v>
      </c>
      <c r="F194" s="3" t="str" cm="1">
        <f t="array" aca="1" ref="F194" ca="1">OFFSET(E194,-1,1)</f>
        <v>1</v>
      </c>
      <c r="G194" s="1121"/>
      <c r="H194" s="404" t="s">
        <v>2197</v>
      </c>
      <c r="I194" s="1121"/>
      <c r="J194" s="1121"/>
      <c r="K194" s="1121"/>
      <c r="L194" s="1121"/>
      <c r="M194" s="1121"/>
      <c r="N194" s="1121"/>
      <c r="O194" s="1121"/>
      <c r="P194" s="1121"/>
      <c r="Q194" s="1121"/>
      <c r="R194" s="1121"/>
      <c r="S194" s="1121"/>
      <c r="T194" s="381" t="b" cm="1">
        <f t="array" aca="1" ref="T194" ca="1">T193</f>
        <v>1</v>
      </c>
      <c r="U194" s="1121"/>
      <c r="V194" s="1121"/>
      <c r="W194" s="1121"/>
      <c r="X194" s="1787"/>
      <c r="Y194" s="1121"/>
      <c r="Z194" s="1788"/>
      <c r="AA194" s="1121"/>
      <c r="AB194" s="630" t="s">
        <v>1937</v>
      </c>
      <c r="AC194" s="465" t="s">
        <v>2198</v>
      </c>
      <c r="AD194" s="464" t="s">
        <v>766</v>
      </c>
      <c r="AE194" s="1235"/>
      <c r="AF194" s="1187"/>
      <c r="AG194" s="1187"/>
      <c r="AH194" s="966" t="s">
        <v>1117</v>
      </c>
      <c r="AI194" s="1188"/>
      <c r="AJ194" s="1188"/>
      <c r="AK194" s="1189"/>
      <c r="AL194" s="1189"/>
    </row>
    <row r="195" spans="1:42" s="1327" customFormat="1" ht="21.75" customHeight="1">
      <c r="A195" s="584"/>
      <c r="B195" s="1121"/>
      <c r="C195" s="1121"/>
      <c r="D195" s="1121"/>
      <c r="E195" s="566">
        <v>22.5</v>
      </c>
      <c r="F195" s="3" t="str" cm="1">
        <f t="array" aca="1" ref="F195" ca="1">OFFSET(E195,-1,1)</f>
        <v>1</v>
      </c>
      <c r="G195" s="1121"/>
      <c r="H195" s="404" t="s">
        <v>2199</v>
      </c>
      <c r="I195" s="1121"/>
      <c r="J195" s="1121"/>
      <c r="K195" s="1121"/>
      <c r="L195" s="1121"/>
      <c r="M195" s="1121"/>
      <c r="N195" s="1121"/>
      <c r="O195" s="1121"/>
      <c r="P195" s="1121"/>
      <c r="Q195" s="1121"/>
      <c r="R195" s="1121"/>
      <c r="S195" s="1121"/>
      <c r="T195" s="381" t="b" cm="1">
        <f t="array" aca="1" ref="T195" ca="1">T194</f>
        <v>1</v>
      </c>
      <c r="U195" s="1121"/>
      <c r="V195" s="1121"/>
      <c r="W195" s="1121"/>
      <c r="X195" s="1787"/>
      <c r="Y195" s="1121"/>
      <c r="Z195" s="1788"/>
      <c r="AA195" s="1121"/>
      <c r="AB195" s="630" t="s">
        <v>2200</v>
      </c>
      <c r="AC195" s="465" t="s">
        <v>2201</v>
      </c>
      <c r="AD195" s="464" t="s">
        <v>766</v>
      </c>
      <c r="AE195" s="1235"/>
      <c r="AF195" s="1187"/>
      <c r="AG195" s="1187"/>
      <c r="AH195" s="966" t="s">
        <v>1953</v>
      </c>
      <c r="AI195" s="1188"/>
      <c r="AJ195" s="1188"/>
      <c r="AK195" s="1189"/>
      <c r="AL195" s="1189"/>
    </row>
    <row r="196" spans="1:42" s="1327" customFormat="1" ht="76.5" customHeight="1">
      <c r="A196" s="584"/>
      <c r="B196" s="1121"/>
      <c r="C196" s="1121"/>
      <c r="D196" s="1121"/>
      <c r="E196" s="566">
        <v>78.75</v>
      </c>
      <c r="F196" s="3" t="str" cm="1">
        <f t="array" aca="1" ref="F196" ca="1">OFFSET(E196,-1,1)</f>
        <v>1</v>
      </c>
      <c r="G196" s="1121"/>
      <c r="H196" s="404" t="s">
        <v>1945</v>
      </c>
      <c r="I196" s="1121"/>
      <c r="J196" s="1121"/>
      <c r="K196" s="1121"/>
      <c r="L196" s="1121"/>
      <c r="M196" s="1121"/>
      <c r="N196" s="1121"/>
      <c r="O196" s="1121"/>
      <c r="P196" s="1121"/>
      <c r="Q196" s="1121"/>
      <c r="R196" s="1121"/>
      <c r="S196" s="1121"/>
      <c r="T196" s="381" t="b" cm="1">
        <f t="array" aca="1" ref="T196" ca="1">T195</f>
        <v>1</v>
      </c>
      <c r="U196" s="1121"/>
      <c r="V196" s="1121"/>
      <c r="W196" s="1121"/>
      <c r="X196" s="1787"/>
      <c r="Y196" s="1121"/>
      <c r="Z196" s="1788"/>
      <c r="AA196" s="1121"/>
      <c r="AB196" s="630" t="s">
        <v>1367</v>
      </c>
      <c r="AC196" s="1182" t="s">
        <v>1298</v>
      </c>
      <c r="AD196" s="464" t="s">
        <v>766</v>
      </c>
      <c r="AE196" s="1235"/>
      <c r="AF196" s="1187"/>
      <c r="AG196" s="1187"/>
      <c r="AH196" s="966" t="s">
        <v>1931</v>
      </c>
      <c r="AI196" s="1188"/>
      <c r="AJ196" s="1188"/>
      <c r="AK196" s="1189"/>
      <c r="AL196" s="1189"/>
    </row>
    <row r="197" spans="1:42" s="1314" customFormat="1" ht="14.25" customHeight="1">
      <c r="A197" s="584"/>
      <c r="B197" s="404"/>
      <c r="C197" s="404"/>
      <c r="D197" s="404"/>
      <c r="E197" s="566">
        <v>15</v>
      </c>
      <c r="F197" s="439" t="str" cm="1">
        <f t="array" aca="1" ref="F197" ca="1">OFFSET(E197,-1,1)</f>
        <v>1</v>
      </c>
      <c r="G197" s="404"/>
      <c r="H197" s="404"/>
      <c r="I197" s="404"/>
      <c r="J197" s="404"/>
      <c r="K197" s="404"/>
      <c r="L197" s="404"/>
      <c r="M197" s="404"/>
      <c r="N197" s="404"/>
      <c r="O197" s="404"/>
      <c r="P197" s="404"/>
      <c r="Q197" s="404"/>
      <c r="R197" s="404"/>
      <c r="S197" s="404"/>
      <c r="T197" s="381" t="b" cm="1">
        <f t="array" aca="1" ref="T197" ca="1">T196</f>
        <v>1</v>
      </c>
      <c r="U197" s="404"/>
      <c r="V197" s="404"/>
      <c r="W197" s="404"/>
      <c r="X197" s="1787"/>
      <c r="Y197" s="404"/>
      <c r="Z197" s="1788"/>
      <c r="AA197" s="404"/>
      <c r="AB197" s="1170" t="s">
        <v>1942</v>
      </c>
      <c r="AC197" s="1182" t="s">
        <v>919</v>
      </c>
      <c r="AD197" s="1172" t="s">
        <v>766</v>
      </c>
      <c r="AE197" s="474"/>
      <c r="AF197" s="1009"/>
      <c r="AG197" s="1009"/>
      <c r="AH197" s="966" t="s">
        <v>921</v>
      </c>
      <c r="AI197" s="960"/>
      <c r="AJ197" s="960"/>
      <c r="AK197" s="869"/>
      <c r="AL197" s="869"/>
    </row>
    <row r="198" spans="1:42" s="1314" customFormat="1" ht="14.25" customHeight="1">
      <c r="A198" s="584"/>
      <c r="B198" s="404"/>
      <c r="C198" s="404"/>
      <c r="D198" s="404"/>
      <c r="E198" s="566">
        <v>15</v>
      </c>
      <c r="F198" s="439" t="str" cm="1">
        <f t="array" aca="1" ref="F198" ca="1">OFFSET(E198,-1,1)</f>
        <v>1</v>
      </c>
      <c r="G198" s="404"/>
      <c r="H198" s="404"/>
      <c r="I198" s="404"/>
      <c r="J198" s="404"/>
      <c r="K198" s="404"/>
      <c r="L198" s="404"/>
      <c r="M198" s="404"/>
      <c r="N198" s="404"/>
      <c r="O198" s="404"/>
      <c r="P198" s="404"/>
      <c r="Q198" s="404"/>
      <c r="R198" s="404"/>
      <c r="S198" s="404"/>
      <c r="T198" s="381" t="b" cm="1">
        <f t="array" aca="1" ref="T198" ca="1">T197</f>
        <v>1</v>
      </c>
      <c r="U198" s="404"/>
      <c r="V198" s="404"/>
      <c r="W198" s="404"/>
      <c r="X198" s="1787"/>
      <c r="Y198" s="404"/>
      <c r="Z198" s="1788"/>
      <c r="AA198" s="404"/>
      <c r="AB198" s="1170" t="s">
        <v>1386</v>
      </c>
      <c r="AC198" s="1182" t="s">
        <v>1309</v>
      </c>
      <c r="AD198" s="1172" t="s">
        <v>766</v>
      </c>
      <c r="AE198" s="474"/>
      <c r="AF198" s="1009"/>
      <c r="AG198" s="1009"/>
      <c r="AH198" s="966" t="s">
        <v>2202</v>
      </c>
      <c r="AI198" s="960"/>
      <c r="AJ198" s="960"/>
      <c r="AK198" s="869"/>
      <c r="AL198" s="869"/>
    </row>
    <row r="199" spans="1:42" s="1327" customFormat="1" ht="14.25" customHeight="1">
      <c r="A199" s="584"/>
      <c r="B199" s="1121"/>
      <c r="C199" s="1121"/>
      <c r="D199" s="1121"/>
      <c r="E199" s="566">
        <v>15</v>
      </c>
      <c r="F199" s="3" t="str" cm="1">
        <f t="array" aca="1" ref="F199" ca="1">OFFSET(E199,-1,1)</f>
        <v>1</v>
      </c>
      <c r="G199" s="1121"/>
      <c r="H199" s="404" t="s">
        <v>2203</v>
      </c>
      <c r="I199" s="1121"/>
      <c r="J199" s="1121"/>
      <c r="K199" s="1121"/>
      <c r="L199" s="1121"/>
      <c r="M199" s="1121"/>
      <c r="N199" s="1121"/>
      <c r="O199" s="1121"/>
      <c r="P199" s="1121"/>
      <c r="Q199" s="1121"/>
      <c r="R199" s="1121"/>
      <c r="S199" s="1121"/>
      <c r="T199" s="381" t="b" cm="1">
        <f t="array" aca="1" ref="T199" ca="1">T196</f>
        <v>1</v>
      </c>
      <c r="U199" s="1121"/>
      <c r="V199" s="1121"/>
      <c r="W199" s="1121"/>
      <c r="X199" s="1787"/>
      <c r="Y199" s="1121"/>
      <c r="Z199" s="1788"/>
      <c r="AA199" s="1121"/>
      <c r="AB199" s="630" t="s">
        <v>1390</v>
      </c>
      <c r="AC199" s="463" t="s">
        <v>2204</v>
      </c>
      <c r="AD199" s="464" t="s">
        <v>766</v>
      </c>
      <c r="AE199" s="1235"/>
      <c r="AF199" s="1187"/>
      <c r="AG199" s="1187"/>
      <c r="AH199" s="903" t="s">
        <v>2205</v>
      </c>
      <c r="AI199" s="1188"/>
      <c r="AJ199" s="1188"/>
      <c r="AK199" s="1189"/>
      <c r="AL199" s="1189"/>
    </row>
    <row r="200" spans="1:42" s="1314" customFormat="1" ht="31.5" customHeight="1">
      <c r="A200" s="584"/>
      <c r="B200" s="404"/>
      <c r="C200" s="404"/>
      <c r="D200" s="404"/>
      <c r="E200" s="566">
        <v>33</v>
      </c>
      <c r="F200" s="439" t="str" cm="1">
        <f t="array" aca="1" ref="F200" ca="1">OFFSET(E200,-1,1)</f>
        <v>1</v>
      </c>
      <c r="G200" s="404"/>
      <c r="H200" s="404"/>
      <c r="I200" s="404"/>
      <c r="J200" s="404"/>
      <c r="K200" s="404"/>
      <c r="L200" s="404"/>
      <c r="M200" s="404"/>
      <c r="N200" s="404"/>
      <c r="O200" s="404"/>
      <c r="P200" s="404"/>
      <c r="Q200" s="404"/>
      <c r="R200" s="404"/>
      <c r="S200" s="404"/>
      <c r="T200" s="381" t="b" cm="1">
        <f t="array" aca="1" ref="T200" ca="1">T199</f>
        <v>1</v>
      </c>
      <c r="U200" s="404"/>
      <c r="V200" s="404"/>
      <c r="W200" s="404"/>
      <c r="X200" s="1787"/>
      <c r="Y200" s="404"/>
      <c r="Z200" s="1788"/>
      <c r="AA200" s="404"/>
      <c r="AB200" s="1170" t="s">
        <v>1393</v>
      </c>
      <c r="AC200" s="1171" t="s">
        <v>1955</v>
      </c>
      <c r="AD200" s="1172" t="s">
        <v>766</v>
      </c>
      <c r="AE200" s="474"/>
      <c r="AF200" s="1009"/>
      <c r="AG200" s="1009"/>
      <c r="AH200" s="960" t="s">
        <v>2206</v>
      </c>
      <c r="AI200" s="960"/>
      <c r="AJ200" s="960"/>
      <c r="AK200" s="869"/>
      <c r="AL200" s="869"/>
    </row>
    <row r="201" spans="1:42" s="1327" customFormat="1" ht="14.25" customHeight="1">
      <c r="A201" s="584"/>
      <c r="B201" s="1121"/>
      <c r="C201" s="1121"/>
      <c r="D201" s="1121"/>
      <c r="E201" s="566">
        <v>15</v>
      </c>
      <c r="F201" s="3" t="str" cm="1">
        <f t="array" aca="1" ref="F201" ca="1">OFFSET(E201,-1,1)</f>
        <v>1</v>
      </c>
      <c r="G201" s="1121"/>
      <c r="H201" s="404" t="s">
        <v>2207</v>
      </c>
      <c r="I201" s="1121"/>
      <c r="J201" s="1121"/>
      <c r="K201" s="1121"/>
      <c r="L201" s="1121"/>
      <c r="M201" s="1121"/>
      <c r="N201" s="1121"/>
      <c r="O201" s="1121"/>
      <c r="P201" s="1121"/>
      <c r="Q201" s="1121"/>
      <c r="R201" s="1121"/>
      <c r="S201" s="1121"/>
      <c r="T201" s="381" t="b" cm="1">
        <f t="array" aca="1" ref="T201" ca="1">T199</f>
        <v>1</v>
      </c>
      <c r="U201" s="1121"/>
      <c r="V201" s="1121"/>
      <c r="W201" s="1121"/>
      <c r="X201" s="1787"/>
      <c r="Y201" s="1121"/>
      <c r="Z201" s="1788"/>
      <c r="AA201" s="1121"/>
      <c r="AB201" s="630" t="s">
        <v>2208</v>
      </c>
      <c r="AC201" s="463" t="s">
        <v>2209</v>
      </c>
      <c r="AD201" s="464" t="s">
        <v>766</v>
      </c>
      <c r="AE201" s="473">
        <f>SUM(AE202:AE203)</f>
        <v>0</v>
      </c>
      <c r="AF201" s="1187"/>
      <c r="AG201" s="1187"/>
      <c r="AH201" s="903" t="s">
        <v>2210</v>
      </c>
      <c r="AI201" s="1188"/>
      <c r="AJ201" s="1188"/>
      <c r="AK201" s="1189"/>
      <c r="AL201" s="1189"/>
    </row>
    <row r="202" spans="1:42" s="1327" customFormat="1" ht="14.25" hidden="1" customHeight="1">
      <c r="A202" s="584"/>
      <c r="B202" s="1121"/>
      <c r="C202" s="1121"/>
      <c r="D202" s="1121"/>
      <c r="E202" s="566">
        <v>15</v>
      </c>
      <c r="F202" s="3" t="str" cm="1">
        <f t="array" aca="1" ref="F202" ca="1">OFFSET(E202,-1,1)</f>
        <v>1</v>
      </c>
      <c r="G202" s="1121"/>
      <c r="H202" s="404" t="s">
        <v>2207</v>
      </c>
      <c r="I202" s="479" cm="1">
        <f t="array" ref="I202">AC202</f>
        <v>0</v>
      </c>
      <c r="J202" s="1121"/>
      <c r="K202" s="1121"/>
      <c r="L202" s="1121"/>
      <c r="M202" s="1121"/>
      <c r="N202" s="1121"/>
      <c r="O202" s="1121"/>
      <c r="P202" s="1121"/>
      <c r="Q202" s="1121"/>
      <c r="R202" s="1121"/>
      <c r="S202" s="1121"/>
      <c r="T202" s="381" t="b">
        <f ca="1">AND(F202&gt;0,Y202&gt;0)</f>
        <v>0</v>
      </c>
      <c r="U202" s="1121"/>
      <c r="V202" s="1121"/>
      <c r="W202" s="471" t="s">
        <v>173</v>
      </c>
      <c r="X202" s="1787"/>
      <c r="Y202" s="404">
        <v>0</v>
      </c>
      <c r="Z202" s="1788"/>
      <c r="AA202" s="579" t="s">
        <v>174</v>
      </c>
      <c r="AB202" s="630" t="str">
        <f>"2.12."&amp;Y202</f>
        <v>2.12.0</v>
      </c>
      <c r="AC202" s="1654"/>
      <c r="AD202" s="464" t="s">
        <v>766</v>
      </c>
      <c r="AE202" s="1655"/>
      <c r="AF202" s="1187"/>
      <c r="AG202" s="1187"/>
      <c r="AH202" s="903" t="s">
        <v>2210</v>
      </c>
      <c r="AI202" s="903" t="s">
        <v>2211</v>
      </c>
      <c r="AJ202" s="908" cm="1">
        <f t="array" ref="AJ202">AC202</f>
        <v>0</v>
      </c>
      <c r="AK202" s="1189"/>
      <c r="AL202" s="573" t="b">
        <v>1</v>
      </c>
    </row>
    <row r="203" spans="1:42" s="1327" customFormat="1" ht="14.25" customHeight="1">
      <c r="A203" s="584"/>
      <c r="B203" s="1121"/>
      <c r="C203" s="1121"/>
      <c r="D203" s="1121"/>
      <c r="E203" s="566">
        <v>15</v>
      </c>
      <c r="F203" s="3" t="str" cm="1">
        <f t="array" aca="1" ref="F203" ca="1">OFFSET(E203,-1,1)</f>
        <v>1</v>
      </c>
      <c r="G203" s="1121"/>
      <c r="H203" s="1121"/>
      <c r="I203" s="77" t="str">
        <f>"!== 'не определено' &amp;&amp; row.l2_13 !== null"</f>
        <v>!== 'не определено' &amp;&amp; row.l2_13 !== null</v>
      </c>
      <c r="J203" s="1121"/>
      <c r="K203" s="1121"/>
      <c r="L203" s="1121"/>
      <c r="M203" s="1121"/>
      <c r="N203" s="1121"/>
      <c r="O203" s="1121"/>
      <c r="P203" s="1121"/>
      <c r="Q203" s="1121"/>
      <c r="R203" s="1121"/>
      <c r="S203" s="1121"/>
      <c r="T203" s="381" t="b">
        <f ca="1">F203&gt;0</f>
        <v>1</v>
      </c>
      <c r="U203" s="1121"/>
      <c r="V203" s="1121"/>
      <c r="W203" s="743" t="s">
        <v>814</v>
      </c>
      <c r="X203" s="1787"/>
      <c r="Y203" s="1121"/>
      <c r="Z203" s="1788"/>
      <c r="AA203" s="1121"/>
      <c r="AB203" s="1178"/>
      <c r="AC203" s="1237" t="s">
        <v>177</v>
      </c>
      <c r="AD203" s="1180"/>
      <c r="AE203" s="1236"/>
      <c r="AF203" s="1187"/>
      <c r="AG203" s="1187"/>
      <c r="AH203" s="1188"/>
      <c r="AI203" s="1188"/>
      <c r="AJ203" s="1188"/>
      <c r="AK203" s="573" t="s">
        <v>2211</v>
      </c>
      <c r="AL203" s="1189"/>
    </row>
    <row r="204" spans="1:42" s="1327" customFormat="1" ht="14.25" customHeight="1">
      <c r="A204" s="584"/>
      <c r="B204" s="1121"/>
      <c r="C204" s="1121"/>
      <c r="D204" s="1121"/>
      <c r="E204" s="566">
        <v>15</v>
      </c>
      <c r="F204" s="3" t="str" cm="1">
        <f t="array" aca="1" ref="F204" ca="1">OFFSET(E204,-1,1)</f>
        <v>1</v>
      </c>
      <c r="G204" s="404" t="s">
        <v>50</v>
      </c>
      <c r="H204" s="404" t="s">
        <v>325</v>
      </c>
      <c r="I204" s="1121"/>
      <c r="J204" s="1121"/>
      <c r="K204" s="1121"/>
      <c r="L204" s="1121"/>
      <c r="M204" s="1121"/>
      <c r="N204" s="1121"/>
      <c r="O204" s="1121"/>
      <c r="P204" s="1121"/>
      <c r="Q204" s="1121"/>
      <c r="R204" s="1121"/>
      <c r="S204" s="1121"/>
      <c r="T204" s="381" t="b" cm="1">
        <f t="array" aca="1" ref="T204" ca="1">T203</f>
        <v>1</v>
      </c>
      <c r="U204" s="1121"/>
      <c r="V204" s="1121"/>
      <c r="W204" s="1121"/>
      <c r="X204" s="1787"/>
      <c r="Y204" s="1121"/>
      <c r="Z204" s="1788"/>
      <c r="AA204" s="1121"/>
      <c r="AB204" s="629" t="s">
        <v>321</v>
      </c>
      <c r="AC204" s="461" t="s">
        <v>1958</v>
      </c>
      <c r="AD204" s="462" t="s">
        <v>766</v>
      </c>
      <c r="AE204" s="1238"/>
      <c r="AF204" s="1187"/>
      <c r="AG204" s="1187"/>
      <c r="AH204" s="903" t="s">
        <v>1558</v>
      </c>
      <c r="AI204" s="1188"/>
      <c r="AJ204" s="1188"/>
      <c r="AK204" s="1189"/>
      <c r="AL204" s="1189"/>
    </row>
    <row r="205" spans="1:42" ht="10.9" customHeight="1">
      <c r="E205" s="566">
        <v>11.25</v>
      </c>
      <c r="U205" s="404" t="s">
        <v>177</v>
      </c>
      <c r="V205" s="1183" t="s">
        <v>2212</v>
      </c>
      <c r="AB205" s="1184"/>
      <c r="AC205" s="1185"/>
      <c r="AD205" s="1186"/>
      <c r="AE205" s="1239"/>
      <c r="AF205" s="398"/>
    </row>
    <row r="206" spans="1:42" s="1207" customFormat="1" ht="14.65" customHeight="1">
      <c r="A206" s="1240"/>
      <c r="E206" s="1241">
        <v>15</v>
      </c>
      <c r="F206" s="1242"/>
      <c r="G206" s="1242"/>
      <c r="AB206" s="1758" t="s">
        <v>394</v>
      </c>
      <c r="AC206" s="1758"/>
      <c r="AD206" s="1758"/>
      <c r="AE206" s="1789"/>
      <c r="AF206" s="1187"/>
      <c r="AG206" s="1187"/>
      <c r="AH206" s="1188"/>
      <c r="AI206" s="1188"/>
      <c r="AJ206" s="1188"/>
      <c r="AK206" s="1189"/>
      <c r="AL206" s="1189"/>
      <c r="AM206" s="4"/>
      <c r="AN206" s="4"/>
      <c r="AO206" s="4"/>
      <c r="AP206" s="4"/>
    </row>
    <row r="207" spans="1:42" s="1207" customFormat="1" ht="14.65" customHeight="1">
      <c r="A207" s="1240"/>
      <c r="E207" s="751">
        <v>15</v>
      </c>
      <c r="F207" s="1242"/>
      <c r="G207" s="1242"/>
      <c r="AB207" s="1790"/>
      <c r="AC207" s="1790"/>
      <c r="AD207" s="1790"/>
      <c r="AE207" s="1791"/>
      <c r="AF207" s="1187"/>
      <c r="AG207" s="1187"/>
      <c r="AH207" s="1188"/>
      <c r="AI207" s="1188"/>
      <c r="AJ207" s="1188"/>
      <c r="AK207" s="1189"/>
      <c r="AL207" s="1189"/>
      <c r="AM207" s="4"/>
      <c r="AN207" s="4"/>
      <c r="AO207" s="4"/>
      <c r="AP207" s="4"/>
    </row>
    <row r="208" spans="1:42" s="1207" customFormat="1" ht="14.65" hidden="1" customHeight="1">
      <c r="A208" s="1240"/>
      <c r="E208" s="628">
        <v>15</v>
      </c>
      <c r="T208" s="381" t="b">
        <f>ROW(W208)&gt;ROW(W$208)</f>
        <v>0</v>
      </c>
      <c r="W208" s="471" t="s">
        <v>173</v>
      </c>
      <c r="AA208" s="1190" t="s">
        <v>174</v>
      </c>
      <c r="AB208" s="1793"/>
      <c r="AC208" s="1794"/>
      <c r="AD208" s="1794"/>
      <c r="AE208" s="1796"/>
      <c r="AF208" s="1187"/>
      <c r="AG208" s="1187"/>
      <c r="AH208" s="1188"/>
      <c r="AI208" s="1188"/>
      <c r="AJ208" s="1188"/>
      <c r="AK208" s="1189"/>
      <c r="AL208" s="1189"/>
      <c r="AM208" s="4"/>
      <c r="AN208" s="4"/>
      <c r="AO208" s="4"/>
      <c r="AP208" s="4"/>
    </row>
    <row r="209" spans="1:42" s="1207" customFormat="1" ht="14.65" customHeight="1">
      <c r="A209" s="1240"/>
      <c r="E209" s="628">
        <v>15</v>
      </c>
      <c r="W209" s="743" t="s">
        <v>395</v>
      </c>
      <c r="AB209" s="1243"/>
      <c r="AC209" s="1244" t="s">
        <v>396</v>
      </c>
      <c r="AD209" s="1245"/>
      <c r="AE209" s="1246"/>
      <c r="AF209" s="1187"/>
      <c r="AG209" s="1187"/>
      <c r="AH209" s="1188"/>
      <c r="AI209" s="1188"/>
      <c r="AJ209" s="1188"/>
      <c r="AK209" s="1189"/>
      <c r="AL209" s="1189"/>
      <c r="AM209" s="4"/>
      <c r="AN209" s="4"/>
      <c r="AO209" s="4"/>
      <c r="AP209" s="4"/>
    </row>
    <row r="210" spans="1:42" ht="10.9" customHeight="1">
      <c r="E210" s="566">
        <v>11.25</v>
      </c>
      <c r="AC210" s="454"/>
      <c r="AF210" s="332"/>
    </row>
    <row r="211" spans="1:42" ht="11.25" hidden="1" customHeight="1">
      <c r="A211" s="332"/>
      <c r="B211" s="332"/>
      <c r="C211" s="332"/>
      <c r="D211" s="332"/>
      <c r="E211" s="573"/>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F211" s="332"/>
      <c r="AG211" s="332"/>
      <c r="AH211" s="903"/>
      <c r="AI211" s="903"/>
      <c r="AJ211" s="903"/>
      <c r="AK211" s="573"/>
      <c r="AL211" s="573"/>
    </row>
    <row r="212" spans="1:42" ht="11.25" hidden="1" customHeight="1">
      <c r="A212" s="332"/>
      <c r="B212" s="332"/>
      <c r="C212" s="332"/>
      <c r="D212" s="332"/>
      <c r="E212" s="573"/>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F212" s="332"/>
      <c r="AG212" s="332"/>
      <c r="AH212" s="903"/>
      <c r="AI212" s="903"/>
      <c r="AJ212" s="903"/>
      <c r="AK212" s="573"/>
      <c r="AL212" s="573"/>
    </row>
    <row r="213" spans="1:42" ht="11.25" hidden="1" customHeight="1">
      <c r="A213" s="332"/>
      <c r="B213" s="332"/>
      <c r="C213" s="332"/>
      <c r="D213" s="332"/>
      <c r="E213" s="573"/>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F213" s="332"/>
      <c r="AG213" s="332"/>
      <c r="AH213" s="903"/>
      <c r="AI213" s="903"/>
      <c r="AJ213" s="903"/>
      <c r="AK213" s="573"/>
      <c r="AL213" s="573"/>
    </row>
    <row r="214" spans="1:42" ht="11.25" hidden="1" customHeight="1">
      <c r="A214" s="332"/>
      <c r="B214" s="332"/>
      <c r="C214" s="332"/>
      <c r="D214" s="332"/>
      <c r="E214" s="573"/>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F214" s="332"/>
      <c r="AG214" s="332"/>
      <c r="AH214" s="903"/>
      <c r="AI214" s="903"/>
      <c r="AJ214" s="903"/>
      <c r="AK214" s="573"/>
      <c r="AL214" s="573"/>
    </row>
    <row r="215" spans="1:42" ht="11.25" hidden="1" customHeight="1">
      <c r="A215" s="332"/>
      <c r="B215" s="332"/>
      <c r="C215" s="332"/>
      <c r="D215" s="332"/>
      <c r="E215" s="573"/>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F215" s="332"/>
      <c r="AG215" s="332"/>
      <c r="AH215" s="903"/>
      <c r="AI215" s="903"/>
      <c r="AJ215" s="903"/>
      <c r="AK215" s="573"/>
      <c r="AL215" s="573"/>
    </row>
    <row r="216" spans="1:42" ht="11.25" hidden="1" customHeight="1">
      <c r="A216" s="332"/>
      <c r="B216" s="332"/>
      <c r="C216" s="332"/>
      <c r="D216" s="332"/>
      <c r="E216" s="573"/>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F216" s="332"/>
      <c r="AG216" s="332"/>
      <c r="AH216" s="903"/>
      <c r="AI216" s="903"/>
      <c r="AJ216" s="903"/>
      <c r="AK216" s="573"/>
      <c r="AL216" s="573"/>
    </row>
    <row r="217" spans="1:42" ht="11.25" hidden="1" customHeight="1">
      <c r="A217" s="332"/>
      <c r="B217" s="332"/>
      <c r="C217" s="332"/>
      <c r="D217" s="332"/>
      <c r="E217" s="573"/>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F217" s="332"/>
      <c r="AG217" s="332"/>
      <c r="AH217" s="903"/>
      <c r="AI217" s="903"/>
      <c r="AJ217" s="903"/>
      <c r="AK217" s="573"/>
      <c r="AL217" s="573"/>
    </row>
    <row r="218" spans="1:42" ht="11.25" hidden="1" customHeight="1">
      <c r="A218" s="332"/>
      <c r="B218" s="332"/>
      <c r="C218" s="332"/>
      <c r="D218" s="332"/>
      <c r="E218" s="573"/>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F218" s="332"/>
      <c r="AG218" s="332"/>
      <c r="AH218" s="903"/>
      <c r="AI218" s="903"/>
      <c r="AJ218" s="903"/>
      <c r="AK218" s="573"/>
      <c r="AL218" s="573"/>
    </row>
    <row r="219" spans="1:42" ht="11.25" hidden="1" customHeight="1">
      <c r="A219" s="332"/>
      <c r="B219" s="332"/>
      <c r="C219" s="332"/>
      <c r="D219" s="332"/>
      <c r="E219" s="573"/>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F219" s="332"/>
      <c r="AG219" s="332"/>
      <c r="AH219" s="903"/>
      <c r="AI219" s="903"/>
      <c r="AJ219" s="903"/>
      <c r="AK219" s="573"/>
      <c r="AL219" s="573"/>
    </row>
    <row r="220" spans="1:42" ht="11.25" hidden="1" customHeight="1">
      <c r="A220" s="332"/>
      <c r="B220" s="332"/>
      <c r="C220" s="332"/>
      <c r="D220" s="332"/>
      <c r="E220" s="573"/>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F220" s="332"/>
      <c r="AG220" s="332"/>
      <c r="AH220" s="903"/>
      <c r="AI220" s="903"/>
      <c r="AJ220" s="903"/>
      <c r="AK220" s="573"/>
      <c r="AL220" s="573"/>
    </row>
    <row r="221" spans="1:42" ht="11.25" hidden="1" customHeight="1">
      <c r="A221" s="332"/>
      <c r="B221" s="332"/>
      <c r="C221" s="332"/>
      <c r="D221" s="332"/>
      <c r="E221" s="573"/>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F221" s="332"/>
      <c r="AG221" s="332"/>
      <c r="AH221" s="903"/>
      <c r="AI221" s="903"/>
      <c r="AJ221" s="903"/>
      <c r="AK221" s="573"/>
      <c r="AL221" s="573"/>
    </row>
    <row r="222" spans="1:42" ht="11.25" hidden="1" customHeight="1">
      <c r="A222" s="332"/>
      <c r="B222" s="332"/>
      <c r="C222" s="332"/>
      <c r="D222" s="332"/>
      <c r="E222" s="573"/>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F222" s="332"/>
      <c r="AG222" s="332"/>
      <c r="AH222" s="903"/>
      <c r="AI222" s="903"/>
      <c r="AJ222" s="903"/>
      <c r="AK222" s="573"/>
      <c r="AL222" s="573"/>
    </row>
    <row r="223" spans="1:42" ht="11.25" hidden="1" customHeight="1">
      <c r="A223" s="332"/>
      <c r="B223" s="332"/>
      <c r="C223" s="332"/>
      <c r="D223" s="332"/>
      <c r="E223" s="573"/>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F223" s="332"/>
      <c r="AG223" s="332"/>
      <c r="AH223" s="903"/>
      <c r="AI223" s="903"/>
      <c r="AJ223" s="903"/>
      <c r="AK223" s="573"/>
      <c r="AL223" s="573"/>
    </row>
    <row r="224" spans="1:42" ht="11.25" hidden="1" customHeight="1">
      <c r="A224" s="332"/>
      <c r="B224" s="332"/>
      <c r="C224" s="332"/>
      <c r="D224" s="332"/>
      <c r="E224" s="573"/>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F224" s="332"/>
      <c r="AG224" s="332"/>
      <c r="AH224" s="903"/>
      <c r="AI224" s="903"/>
      <c r="AJ224" s="903"/>
      <c r="AK224" s="573"/>
      <c r="AL224" s="573"/>
    </row>
    <row r="225" spans="1:38" ht="11.25" hidden="1" customHeight="1">
      <c r="A225" s="332"/>
      <c r="B225" s="332"/>
      <c r="C225" s="332"/>
      <c r="D225" s="332"/>
      <c r="E225" s="573"/>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F225" s="332"/>
      <c r="AG225" s="332"/>
      <c r="AH225" s="903"/>
      <c r="AI225" s="903"/>
      <c r="AJ225" s="903"/>
      <c r="AK225" s="573"/>
      <c r="AL225" s="573"/>
    </row>
    <row r="226" spans="1:38" ht="11.25" hidden="1" customHeight="1">
      <c r="A226" s="332"/>
      <c r="B226" s="332"/>
      <c r="C226" s="332"/>
      <c r="D226" s="332"/>
      <c r="E226" s="573"/>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F226" s="332"/>
      <c r="AG226" s="332"/>
      <c r="AH226" s="903"/>
      <c r="AI226" s="903"/>
      <c r="AJ226" s="903"/>
      <c r="AK226" s="573"/>
      <c r="AL226" s="573"/>
    </row>
    <row r="227" spans="1:38" ht="11.25" hidden="1" customHeight="1">
      <c r="A227" s="332"/>
      <c r="B227" s="332"/>
      <c r="C227" s="332"/>
      <c r="D227" s="332"/>
      <c r="E227" s="573"/>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F227" s="332"/>
      <c r="AG227" s="332"/>
      <c r="AH227" s="903"/>
      <c r="AI227" s="903"/>
      <c r="AJ227" s="903"/>
      <c r="AK227" s="573"/>
      <c r="AL227" s="573"/>
    </row>
    <row r="228" spans="1:38" ht="11.25" hidden="1" customHeight="1">
      <c r="A228" s="332"/>
      <c r="B228" s="332"/>
      <c r="C228" s="332"/>
      <c r="D228" s="332"/>
      <c r="E228" s="573"/>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F228" s="332"/>
      <c r="AG228" s="332"/>
      <c r="AH228" s="903"/>
      <c r="AI228" s="903"/>
      <c r="AJ228" s="903"/>
      <c r="AK228" s="573"/>
      <c r="AL228" s="573"/>
    </row>
    <row r="229" spans="1:38" ht="11.25" hidden="1" customHeight="1">
      <c r="A229" s="332"/>
      <c r="B229" s="332"/>
      <c r="C229" s="332"/>
      <c r="D229" s="332"/>
      <c r="E229" s="573"/>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F229" s="332"/>
      <c r="AG229" s="332"/>
      <c r="AH229" s="903"/>
      <c r="AI229" s="903"/>
      <c r="AJ229" s="903"/>
      <c r="AK229" s="573"/>
      <c r="AL229" s="573"/>
    </row>
  </sheetData>
  <sheetProtection formatColumns="0" formatRows="0" insertRows="0" deleteColumns="0" deleteRows="0" sort="0" autoFilter="0"/>
  <mergeCells count="12">
    <mergeCell ref="AB22:AE22"/>
    <mergeCell ref="AB207:AE207"/>
    <mergeCell ref="AB208:AE208"/>
    <mergeCell ref="X27:X115"/>
    <mergeCell ref="Z27:Z115"/>
    <mergeCell ref="AB23:AE23"/>
    <mergeCell ref="AB24:AB25"/>
    <mergeCell ref="AC24:AC25"/>
    <mergeCell ref="AD24:AD25"/>
    <mergeCell ref="AB206:AE206"/>
    <mergeCell ref="X116:X204"/>
    <mergeCell ref="Z116:Z204"/>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I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4" width="2.7109375" style="1121" hidden="1" customWidth="1"/>
    <col min="5" max="5" width="4.5703125" style="1074" hidden="1" customWidth="1"/>
    <col min="6" max="6" width="2.7109375" style="1121" hidden="1" customWidth="1"/>
    <col min="7" max="7" width="13.28515625" style="1121" hidden="1" customWidth="1"/>
    <col min="8" max="19" width="2.7109375" style="1121" hidden="1" customWidth="1"/>
    <col min="20" max="20" width="8.5703125" style="1121" hidden="1" customWidth="1"/>
    <col min="21" max="26" width="2.7109375" style="1121" hidden="1" customWidth="1"/>
    <col min="27" max="27" width="3" style="1121" customWidth="1"/>
    <col min="28" max="28" width="11" style="1121" customWidth="1"/>
    <col min="29" max="29" width="57" style="1121" customWidth="1"/>
    <col min="30" max="30" width="14.5703125" style="1326" customWidth="1"/>
    <col min="31" max="32" width="12.5703125" style="1326" customWidth="1"/>
    <col min="33" max="33" width="3" style="1121" customWidth="1"/>
    <col min="34" max="34" width="8.7109375" style="1121" hidden="1"/>
    <col min="35" max="35" width="8.7109375" style="1075" hidden="1"/>
  </cols>
  <sheetData>
    <row r="1" spans="1:35" ht="11.25" hidden="1" customHeight="1">
      <c r="E1" s="404"/>
      <c r="F1" s="404" t="s">
        <v>311</v>
      </c>
      <c r="H1" s="404" t="s">
        <v>322</v>
      </c>
      <c r="T1" s="381" t="s">
        <v>92</v>
      </c>
      <c r="U1" s="381" t="s">
        <v>97</v>
      </c>
      <c r="V1" s="381" t="s">
        <v>93</v>
      </c>
      <c r="W1" s="381" t="s">
        <v>94</v>
      </c>
      <c r="X1" s="381" t="s">
        <v>95</v>
      </c>
      <c r="Y1" s="383" t="s">
        <v>313</v>
      </c>
      <c r="Z1" s="381" t="s">
        <v>99</v>
      </c>
      <c r="AA1" s="383" t="s">
        <v>96</v>
      </c>
      <c r="AC1" s="383" t="s">
        <v>98</v>
      </c>
      <c r="AI1" s="927" t="s">
        <v>314</v>
      </c>
    </row>
    <row r="2" spans="1:35" ht="11.25" hidden="1" customHeight="1">
      <c r="B2" s="362" t="s">
        <v>18</v>
      </c>
      <c r="E2" s="404"/>
    </row>
    <row r="3" spans="1:35" ht="11.25" hidden="1" customHeight="1">
      <c r="E3" s="404"/>
    </row>
    <row r="4" spans="1:35" ht="11.25" hidden="1" customHeight="1">
      <c r="E4" s="404"/>
    </row>
    <row r="5" spans="1:35" s="1074" customFormat="1" ht="11.25" hidden="1" customHeight="1">
      <c r="A5" s="404"/>
      <c r="B5" s="404"/>
      <c r="C5" s="404"/>
      <c r="D5" s="404"/>
      <c r="E5" s="566" t="s">
        <v>19</v>
      </c>
      <c r="AA5" s="566">
        <v>3</v>
      </c>
      <c r="AB5" s="566">
        <v>11</v>
      </c>
      <c r="AC5" s="566">
        <v>57</v>
      </c>
      <c r="AD5" s="568">
        <v>14.57</v>
      </c>
      <c r="AE5" s="568">
        <v>12.57</v>
      </c>
      <c r="AF5" s="568">
        <v>12.57</v>
      </c>
      <c r="AG5" s="566">
        <v>3</v>
      </c>
      <c r="AI5" s="927"/>
    </row>
    <row r="6" spans="1:35" ht="11.25" hidden="1" customHeight="1">
      <c r="A6" s="404" t="s">
        <v>350</v>
      </c>
      <c r="AE6" s="475" cm="1">
        <f t="array" ref="AE6">god</f>
        <v>2026</v>
      </c>
      <c r="AF6" s="475" cm="1">
        <f t="array" ref="AF6">god</f>
        <v>2026</v>
      </c>
    </row>
    <row r="7" spans="1:35" ht="11.25" hidden="1" customHeight="1">
      <c r="A7" s="404" t="s">
        <v>351</v>
      </c>
      <c r="AE7" s="475" t="str" cm="1">
        <f t="array" ref="AE7">AE25</f>
        <v>Предложение организации</v>
      </c>
      <c r="AF7" s="475" t="str" cm="1">
        <f t="array" ref="AF7">AF25</f>
        <v>Принято органом регулирования</v>
      </c>
    </row>
    <row r="8" spans="1:35" ht="11.25" hidden="1" customHeight="1">
      <c r="AE8" s="475"/>
      <c r="AF8" s="475"/>
    </row>
    <row r="9" spans="1:35" s="1075" customFormat="1" ht="11.25" hidden="1" customHeight="1">
      <c r="A9" s="927" t="s">
        <v>356</v>
      </c>
      <c r="AD9" s="928"/>
      <c r="AE9" s="979" t="str" cm="1">
        <f t="array" ref="AE9">AE25</f>
        <v>Предложение организации</v>
      </c>
      <c r="AF9" s="979" t="str" cm="1">
        <f t="array" ref="AF9">AF25</f>
        <v>Принято органом регулирования</v>
      </c>
    </row>
    <row r="10" spans="1:35" ht="11.25" hidden="1" customHeight="1">
      <c r="AE10" s="475"/>
      <c r="AF10" s="475"/>
    </row>
    <row r="11" spans="1:35" ht="11.25" hidden="1" customHeight="1">
      <c r="AE11" s="475"/>
      <c r="AF11" s="475"/>
    </row>
    <row r="12" spans="1:35" ht="11.25" hidden="1" customHeight="1">
      <c r="AE12" s="475"/>
      <c r="AF12" s="475"/>
    </row>
    <row r="13" spans="1:35" ht="11.25" hidden="1" customHeight="1">
      <c r="AE13" s="475"/>
      <c r="AF13" s="475"/>
    </row>
    <row r="14" spans="1:35" ht="11.25" hidden="1" customHeight="1">
      <c r="AE14" s="475"/>
      <c r="AF14" s="475"/>
    </row>
    <row r="15" spans="1:35" ht="11.25" hidden="1" customHeight="1">
      <c r="AE15" s="475"/>
      <c r="AF15" s="475"/>
    </row>
    <row r="16" spans="1:35" ht="11.25" hidden="1" customHeight="1">
      <c r="AE16" s="475"/>
      <c r="AF16" s="475"/>
    </row>
    <row r="17" spans="5:35" ht="11.25" hidden="1" customHeight="1">
      <c r="AE17" s="433"/>
      <c r="AF17" s="433"/>
    </row>
    <row r="18" spans="5:35" ht="11.25" hidden="1" customHeight="1">
      <c r="AE18" s="438">
        <f ca="1">SUMIFS('Перечень объектов'!AH$24:AH$51,'Перечень объектов'!$F$24:$F$51,$F29,'Перечень объектов'!$L$24:$L$51,"ЭЭ")</f>
        <v>0</v>
      </c>
    </row>
    <row r="19" spans="5:35" ht="11.25" hidden="1" customHeight="1"/>
    <row r="20" spans="5:35" ht="11.25" hidden="1" customHeight="1"/>
    <row r="21" spans="5:35" ht="14.65" customHeight="1">
      <c r="E21" s="566">
        <v>15</v>
      </c>
      <c r="AA21" s="404"/>
      <c r="AC21" s="439" t="str" cm="1">
        <f t="array" ref="AC21">tpl_title</f>
        <v>Кемеровская область / 2026 / ОАО «СКЭК» (ИНН:4205153492, КПП:420501001) / ДПР: 2026-2026</v>
      </c>
    </row>
    <row r="22" spans="5:35" ht="32.85" customHeight="1">
      <c r="E22" s="566">
        <v>33.75</v>
      </c>
      <c r="AB22" s="1807" t="s">
        <v>90</v>
      </c>
      <c r="AC22" s="1808"/>
      <c r="AD22" s="1808"/>
      <c r="AE22" s="1808"/>
      <c r="AF22" s="1808"/>
    </row>
    <row r="23" spans="5:35" ht="10.9" customHeight="1">
      <c r="E23" s="566">
        <v>11.25</v>
      </c>
      <c r="AB23" s="1772"/>
      <c r="AC23" s="1772"/>
      <c r="AD23" s="1772"/>
      <c r="AE23" s="1772"/>
      <c r="AF23" s="1772"/>
    </row>
    <row r="24" spans="5:35" ht="14.65" customHeight="1">
      <c r="E24" s="566">
        <v>15</v>
      </c>
      <c r="AB24" s="1758" t="s">
        <v>748</v>
      </c>
      <c r="AC24" s="1804" t="s">
        <v>194</v>
      </c>
      <c r="AD24" s="1758" t="s">
        <v>360</v>
      </c>
      <c r="AE24" s="1861" t="str">
        <f>god&amp;" год"</f>
        <v>2026 год</v>
      </c>
      <c r="AF24" s="1862"/>
    </row>
    <row r="25" spans="5:35" ht="48.75" customHeight="1">
      <c r="E25" s="566">
        <v>50</v>
      </c>
      <c r="AB25" s="1758"/>
      <c r="AC25" s="1804"/>
      <c r="AD25" s="1758"/>
      <c r="AE25" s="1247" t="s">
        <v>353</v>
      </c>
      <c r="AF25" s="674" t="s">
        <v>352</v>
      </c>
    </row>
    <row r="26" spans="5:35" ht="11.25" hidden="1" customHeight="1">
      <c r="E26" s="566">
        <v>0</v>
      </c>
      <c r="AB26" s="640"/>
      <c r="AC26" s="652"/>
      <c r="AD26" s="640"/>
      <c r="AE26" s="1248"/>
      <c r="AF26" s="1248"/>
    </row>
    <row r="27" spans="5:35" ht="14.65" hidden="1" customHeight="1">
      <c r="E27" s="566">
        <v>15</v>
      </c>
      <c r="F27" s="404" cm="1">
        <f t="array" ref="F27">X27</f>
        <v>0</v>
      </c>
      <c r="T27" s="381" t="b">
        <f>X27&gt;0</f>
        <v>0</v>
      </c>
      <c r="V27" s="404" t="s">
        <v>270</v>
      </c>
      <c r="X27" s="1787">
        <v>0</v>
      </c>
      <c r="Z27" s="1788"/>
      <c r="AB27" s="140" t="str" cm="1">
        <f t="array" ref="AB27">INDEX('Общие сведения'!$AG$179:$AG$208,MATCH($X27,'Общие сведения'!$Z$179:$Z$208,0))</f>
        <v xml:space="preserve">Тариф 0 () - </v>
      </c>
      <c r="AC27" s="1191"/>
      <c r="AD27" s="1192"/>
      <c r="AE27" s="1192"/>
      <c r="AF27" s="1193"/>
    </row>
    <row r="28" spans="5:35" s="441" customFormat="1" ht="21.95" hidden="1" customHeight="1">
      <c r="E28" s="591">
        <v>22.5</v>
      </c>
      <c r="F28" s="3" cm="1">
        <f t="array" aca="1" ref="F28" ca="1">OFFSET(E28,-1,1)</f>
        <v>0</v>
      </c>
      <c r="H28" s="404" t="s">
        <v>323</v>
      </c>
      <c r="I28" s="404"/>
      <c r="J28" s="404"/>
      <c r="K28" s="404"/>
      <c r="T28" s="381" t="b" cm="1">
        <f t="array" ref="T28">T27</f>
        <v>0</v>
      </c>
      <c r="X28" s="1787"/>
      <c r="Z28" s="1788"/>
      <c r="AB28" s="431" t="s">
        <v>281</v>
      </c>
      <c r="AC28" s="447" t="s">
        <v>2213</v>
      </c>
      <c r="AD28" s="431" t="s">
        <v>766</v>
      </c>
      <c r="AE28" s="443">
        <f ca="1">(AE29+AE37)*AE35</f>
        <v>0</v>
      </c>
      <c r="AF28" s="443">
        <f ca="1">(AF29+AF37)*AF35</f>
        <v>0</v>
      </c>
      <c r="AI28" s="937" t="s">
        <v>2214</v>
      </c>
    </row>
    <row r="29" spans="5:35" ht="21.95" hidden="1" customHeight="1">
      <c r="E29" s="566">
        <v>22.5</v>
      </c>
      <c r="F29" s="3" cm="1">
        <f t="array" aca="1" ref="F29" ca="1">OFFSET(E29,-1,1)</f>
        <v>0</v>
      </c>
      <c r="G29" s="404" t="s">
        <v>2215</v>
      </c>
      <c r="H29" s="404" t="s">
        <v>324</v>
      </c>
      <c r="K29" s="404" t="str">
        <f ca="1">F29&amp;G29</f>
        <v>0УТР</v>
      </c>
      <c r="L29" s="989" cm="1">
        <f t="array" ref="L29">AE29</f>
        <v>0</v>
      </c>
      <c r="M29" s="989" cm="1">
        <f t="array" ref="M29">AF29</f>
        <v>0</v>
      </c>
      <c r="T29" s="381" t="b" cm="1">
        <f t="array" ref="T29">T28</f>
        <v>0</v>
      </c>
      <c r="X29" s="1787"/>
      <c r="Z29" s="1788"/>
      <c r="AB29" s="431" t="s">
        <v>224</v>
      </c>
      <c r="AC29" s="442" t="s">
        <v>958</v>
      </c>
      <c r="AD29" s="431" t="s">
        <v>950</v>
      </c>
      <c r="AE29" s="988">
        <f>IF(AE34=0,0,(AE30-IF(SUMIFS('Перечень объектов'!AH$24:AH$51,'Перечень объектов'!$F$24:$F$51,$F29,'Перечень объектов'!$G$24:$G$51,"ЭЭ")&gt;0,0,AE31))/AE34)</f>
        <v>0</v>
      </c>
      <c r="AF29" s="988">
        <f>IF(AF34=0,0,(AF30-IF(SUMIFS('Перечень объектов'!AI$24:AI$51,'Перечень объектов'!$F$24:$F$51,$F29,'Перечень объектов'!$G$24:$G$51,"ЭЭ")&gt;0,0,AF31))/AF34)</f>
        <v>0</v>
      </c>
      <c r="AI29" s="927" t="s">
        <v>2216</v>
      </c>
    </row>
    <row r="30" spans="5:35" ht="32.85" hidden="1" customHeight="1">
      <c r="E30" s="566">
        <v>33.75</v>
      </c>
      <c r="F30" s="3" cm="1">
        <f t="array" aca="1" ref="F30" ca="1">OFFSET(E30,-1,1)</f>
        <v>0</v>
      </c>
      <c r="H30" s="404" t="s">
        <v>445</v>
      </c>
      <c r="T30" s="381" t="b" cm="1">
        <f t="array" ref="T30">T29</f>
        <v>0</v>
      </c>
      <c r="X30" s="1787"/>
      <c r="Z30" s="1788"/>
      <c r="AB30" s="431" t="s">
        <v>502</v>
      </c>
      <c r="AC30" s="478" t="s">
        <v>2217</v>
      </c>
      <c r="AD30" s="431" t="s">
        <v>766</v>
      </c>
      <c r="AE30" s="1658"/>
      <c r="AF30" s="443">
        <f ca="1">SUMIFS(ГО!AE$25:AE$205,ГО!$F$25:$F$205,$F30,ГО!$G$25:$G$205,"Итог")*(1+AF32/100)*(1+AF33/100)</f>
        <v>0</v>
      </c>
      <c r="AI30" s="927" t="s">
        <v>2218</v>
      </c>
    </row>
    <row r="31" spans="5:35" s="441" customFormat="1" ht="14.65" hidden="1" customHeight="1">
      <c r="E31" s="591">
        <v>15</v>
      </c>
      <c r="F31" s="3" cm="1">
        <f t="array" aca="1" ref="F31" ca="1">OFFSET(E31,-1,1)</f>
        <v>0</v>
      </c>
      <c r="H31" s="404" t="s">
        <v>1412</v>
      </c>
      <c r="I31" s="404"/>
      <c r="J31" s="404"/>
      <c r="K31" s="404"/>
      <c r="T31" s="381" t="b" cm="1">
        <f t="array" ref="T31">T30</f>
        <v>0</v>
      </c>
      <c r="X31" s="1787"/>
      <c r="Z31" s="1788"/>
      <c r="AB31" s="431" t="s">
        <v>453</v>
      </c>
      <c r="AC31" s="1194" t="s">
        <v>2219</v>
      </c>
      <c r="AD31" s="431" t="s">
        <v>766</v>
      </c>
      <c r="AE31" s="1658"/>
      <c r="AF31" s="443">
        <f ca="1">SUMIFS(ГО!AE$25:AE$205,ГО!$F$25:$F$205,$F31,ГО!$G$25:$G$205,"ЭЭ")*(1+AF32/100)*(1+AF33/100)</f>
        <v>0</v>
      </c>
      <c r="AI31" s="937" t="s">
        <v>1558</v>
      </c>
    </row>
    <row r="32" spans="5:35" s="441" customFormat="1" ht="14.65" hidden="1" customHeight="1">
      <c r="E32" s="591">
        <v>15</v>
      </c>
      <c r="F32" s="3" cm="1">
        <f t="array" aca="1" ref="F32" ca="1">OFFSET(E32,-1,1)</f>
        <v>0</v>
      </c>
      <c r="H32" s="404" t="s">
        <v>448</v>
      </c>
      <c r="I32" s="404"/>
      <c r="J32" s="404"/>
      <c r="K32" s="404"/>
      <c r="T32" s="381" t="b" cm="1">
        <f t="array" ref="T32">T31</f>
        <v>0</v>
      </c>
      <c r="X32" s="1787"/>
      <c r="Z32" s="1788"/>
      <c r="AB32" s="431" t="s">
        <v>506</v>
      </c>
      <c r="AC32" s="478" t="str">
        <f>"индекс потребительских цен на "&amp;god-1&amp;" год"</f>
        <v>индекс потребительских цен на 2025 год</v>
      </c>
      <c r="AD32" s="431" t="s">
        <v>423</v>
      </c>
      <c r="AE32" s="1658"/>
      <c r="AF32" s="1658"/>
      <c r="AI32" s="937" t="s">
        <v>2220</v>
      </c>
    </row>
    <row r="33" spans="1:35" s="441" customFormat="1" ht="14.65" hidden="1" customHeight="1">
      <c r="E33" s="591">
        <v>15</v>
      </c>
      <c r="F33" s="3" cm="1">
        <f t="array" aca="1" ref="F33" ca="1">OFFSET(E33,-1,1)</f>
        <v>0</v>
      </c>
      <c r="H33" s="404" t="s">
        <v>841</v>
      </c>
      <c r="I33" s="404"/>
      <c r="J33" s="404"/>
      <c r="K33" s="404"/>
      <c r="T33" s="381" t="b" cm="1">
        <f t="array" ref="T33">T32</f>
        <v>0</v>
      </c>
      <c r="X33" s="1787"/>
      <c r="Z33" s="1788"/>
      <c r="AB33" s="431" t="s">
        <v>510</v>
      </c>
      <c r="AC33" s="478" t="str">
        <f>"индекс потребительских цен на "&amp;god&amp;" год"</f>
        <v>индекс потребительских цен на 2026 год</v>
      </c>
      <c r="AD33" s="431" t="s">
        <v>423</v>
      </c>
      <c r="AE33" s="1658"/>
      <c r="AF33" s="1658"/>
      <c r="AI33" s="937" t="s">
        <v>2221</v>
      </c>
    </row>
    <row r="34" spans="1:35" s="441" customFormat="1" ht="21.95" hidden="1" customHeight="1">
      <c r="E34" s="591">
        <v>22.5</v>
      </c>
      <c r="F34" s="3" cm="1">
        <f t="array" aca="1" ref="F34" ca="1">OFFSET(E34,-1,1)</f>
        <v>0</v>
      </c>
      <c r="H34" s="404" t="s">
        <v>843</v>
      </c>
      <c r="I34" s="404"/>
      <c r="J34" s="404"/>
      <c r="K34" s="404"/>
      <c r="T34" s="381" t="b" cm="1">
        <f t="array" ref="T34">T33</f>
        <v>0</v>
      </c>
      <c r="X34" s="1787"/>
      <c r="Z34" s="1788"/>
      <c r="AB34" s="431" t="s">
        <v>844</v>
      </c>
      <c r="AC34" s="478" t="s">
        <v>2222</v>
      </c>
      <c r="AD34" s="431" t="s">
        <v>758</v>
      </c>
      <c r="AE34" s="1658"/>
      <c r="AF34" s="1658"/>
      <c r="AI34" s="937" t="s">
        <v>2223</v>
      </c>
    </row>
    <row r="35" spans="1:35" s="441" customFormat="1" ht="14.65" hidden="1" customHeight="1">
      <c r="E35" s="591">
        <v>15</v>
      </c>
      <c r="F35" s="3" cm="1">
        <f t="array" aca="1" ref="F35" ca="1">OFFSET(E35,-1,1)</f>
        <v>0</v>
      </c>
      <c r="H35" s="404" t="s">
        <v>325</v>
      </c>
      <c r="I35" s="404"/>
      <c r="J35" s="404"/>
      <c r="K35" s="404"/>
      <c r="T35" s="381" t="b" cm="1">
        <f t="array" ref="T35">T34</f>
        <v>0</v>
      </c>
      <c r="X35" s="1787"/>
      <c r="Z35" s="1788"/>
      <c r="AB35" s="431" t="s">
        <v>321</v>
      </c>
      <c r="AC35" s="1195" t="s">
        <v>2224</v>
      </c>
      <c r="AD35" s="431" t="s">
        <v>758</v>
      </c>
      <c r="AE35" s="446">
        <f ca="1">SUMIFS('Условные метры'!AL$27:AL$35,'Условные метры'!$F$27:$F$35,$F35,'Условные метры'!$G$27:$G$35,"Итог")</f>
        <v>0</v>
      </c>
      <c r="AF35" s="446">
        <f ca="1">SUMIFS('Условные метры'!AN$27:AN$35,'Условные метры'!$F$27:$F$35,$F35,'Условные метры'!$G$27:$G$35,"Итог")</f>
        <v>0</v>
      </c>
      <c r="AI35" s="937" t="s">
        <v>2225</v>
      </c>
    </row>
    <row r="36" spans="1:35" s="441" customFormat="1" ht="14.65" hidden="1" customHeight="1">
      <c r="E36" s="591">
        <v>15</v>
      </c>
      <c r="F36" s="3" cm="1">
        <f t="array" aca="1" ref="F36" ca="1">OFFSET(E36,-1,1)</f>
        <v>0</v>
      </c>
      <c r="H36" s="404" t="s">
        <v>851</v>
      </c>
      <c r="I36" s="404"/>
      <c r="J36" s="404"/>
      <c r="K36" s="404"/>
      <c r="T36" s="381" t="b" cm="1">
        <f t="array" ref="T36">T35</f>
        <v>0</v>
      </c>
      <c r="X36" s="1787"/>
      <c r="Z36" s="1788"/>
      <c r="AB36" s="431" t="s">
        <v>516</v>
      </c>
      <c r="AC36" s="478" t="s">
        <v>2226</v>
      </c>
      <c r="AD36" s="431" t="s">
        <v>378</v>
      </c>
      <c r="AE36" s="446">
        <f ca="1">SUMIFS('Условные метры'!AK$27:AK$35,'Условные метры'!$F$27:$F$35,$F36,'Условные метры'!$G$27:$G$35,"Итог")</f>
        <v>0</v>
      </c>
      <c r="AF36" s="446">
        <f ca="1">SUMIFS('Условные метры'!AM$27:AM$35,'Условные метры'!$F$27:$F$35,$F36,'Условные метры'!$G$27:$G$35,"Итог")</f>
        <v>0</v>
      </c>
      <c r="AI36" s="937" t="s">
        <v>2227</v>
      </c>
    </row>
    <row r="37" spans="1:35" s="441" customFormat="1" ht="14.65" hidden="1" customHeight="1">
      <c r="E37" s="591">
        <v>15</v>
      </c>
      <c r="F37" s="3" cm="1">
        <f t="array" aca="1" ref="F37" ca="1">OFFSET(E37,-1,1)</f>
        <v>0</v>
      </c>
      <c r="H37" s="404" t="s">
        <v>327</v>
      </c>
      <c r="I37" s="404"/>
      <c r="J37" s="404"/>
      <c r="K37" s="404"/>
      <c r="T37" s="381" t="b" cm="1">
        <f t="array" ref="T37">T36</f>
        <v>0</v>
      </c>
      <c r="X37" s="1787"/>
      <c r="Z37" s="1788"/>
      <c r="AB37" s="431" t="s">
        <v>523</v>
      </c>
      <c r="AC37" s="477" t="s">
        <v>2228</v>
      </c>
      <c r="AD37" s="431" t="s">
        <v>950</v>
      </c>
      <c r="AE37" s="446">
        <f ca="1">SUMIFS('Амортизация (аналог)'!AE$25:AE$41,'Амортизация (аналог)'!$F$25:$F$41,$F37,'Амортизация (аналог)'!$AB$25:$AB$41,"2")</f>
        <v>0</v>
      </c>
      <c r="AF37" s="446">
        <f ca="1">SUMIFS('Амортизация (аналог)'!AF$25:AF$41,'Амортизация (аналог)'!$F$25:$F$41,$F37,'Амортизация (аналог)'!$AB$25:$AB$41,"2")</f>
        <v>0</v>
      </c>
      <c r="AI37" s="937" t="s">
        <v>2229</v>
      </c>
    </row>
    <row r="38" spans="1:35" s="441" customFormat="1" ht="14.65" hidden="1" customHeight="1">
      <c r="E38" s="591">
        <v>15</v>
      </c>
      <c r="F38" s="3" cm="1">
        <f t="array" aca="1" ref="F38" ca="1">OFFSET(E38,-1,1)</f>
        <v>0</v>
      </c>
      <c r="H38" s="404" t="s">
        <v>501</v>
      </c>
      <c r="I38" s="404"/>
      <c r="J38" s="404"/>
      <c r="K38" s="404"/>
      <c r="T38" s="381" t="b" cm="1">
        <f t="array" ref="T38">T37</f>
        <v>0</v>
      </c>
      <c r="X38" s="1787"/>
      <c r="Z38" s="1788"/>
      <c r="AB38" s="431" t="s">
        <v>639</v>
      </c>
      <c r="AC38" s="1196" t="s">
        <v>2230</v>
      </c>
      <c r="AD38" s="431" t="s">
        <v>423</v>
      </c>
      <c r="AE38" s="443">
        <f>IF(AE29=0,0,AE37/AE29*100)</f>
        <v>0</v>
      </c>
      <c r="AF38" s="443">
        <f>IF(AF29=0,0,AF37/AF29*100)</f>
        <v>0</v>
      </c>
      <c r="AI38" s="937" t="s">
        <v>2231</v>
      </c>
    </row>
    <row r="39" spans="1:35" s="441" customFormat="1" ht="21.95" hidden="1" customHeight="1">
      <c r="E39" s="591">
        <v>22.5</v>
      </c>
      <c r="F39" s="3" cm="1">
        <f t="array" aca="1" ref="F39" ca="1">OFFSET(E39,-1,1)</f>
        <v>0</v>
      </c>
      <c r="G39" s="77" t="s">
        <v>1463</v>
      </c>
      <c r="H39" s="404" t="s">
        <v>326</v>
      </c>
      <c r="I39" s="404"/>
      <c r="J39" s="404"/>
      <c r="K39" s="404"/>
      <c r="T39" s="381" t="b" cm="1">
        <f t="array" ref="T39">T38</f>
        <v>0</v>
      </c>
      <c r="X39" s="1787"/>
      <c r="Z39" s="1788"/>
      <c r="AB39" s="431" t="s">
        <v>478</v>
      </c>
      <c r="AC39" s="1197" t="s">
        <v>2232</v>
      </c>
      <c r="AD39" s="431" t="s">
        <v>2233</v>
      </c>
      <c r="AE39" s="446">
        <f ca="1">SUMIFS(Баланс!$AI$25:$AI$209,Баланс!$F$25:$F$209,$F39,Баланс!$G$25:$G$209,"ПО")</f>
        <v>0</v>
      </c>
      <c r="AF39" s="446">
        <f ca="1">SUMIFS(Баланс!$AS$25:$AS$209,Баланс!$F$25:$F$209,$F39,Баланс!$G$25:$G$209,"ПО")</f>
        <v>0</v>
      </c>
      <c r="AI39" s="937" t="s">
        <v>972</v>
      </c>
    </row>
    <row r="40" spans="1:35" s="441" customFormat="1" ht="14.65" hidden="1" customHeight="1">
      <c r="E40" s="591">
        <v>15</v>
      </c>
      <c r="F40" s="3" cm="1">
        <f t="array" aca="1" ref="F40" ca="1">OFFSET(E40,-1,1)</f>
        <v>0</v>
      </c>
      <c r="G40" s="1198" t="s">
        <v>1490</v>
      </c>
      <c r="H40" s="404" t="s">
        <v>515</v>
      </c>
      <c r="I40" s="404"/>
      <c r="J40" s="404"/>
      <c r="K40" s="404"/>
      <c r="T40" s="381" t="b" cm="1">
        <f t="array" ref="T40">T39</f>
        <v>0</v>
      </c>
      <c r="X40" s="1787"/>
      <c r="Z40" s="1788"/>
      <c r="AB40" s="431" t="s">
        <v>646</v>
      </c>
      <c r="AC40" s="1199" t="s">
        <v>2234</v>
      </c>
      <c r="AD40" s="431" t="s">
        <v>2233</v>
      </c>
      <c r="AE40" s="1659"/>
      <c r="AF40" s="1659"/>
      <c r="AI40" s="937" t="s">
        <v>2235</v>
      </c>
    </row>
    <row r="41" spans="1:35" s="441" customFormat="1" ht="14.65" hidden="1" customHeight="1">
      <c r="E41" s="591">
        <v>15</v>
      </c>
      <c r="F41" s="3" cm="1">
        <f t="array" aca="1" ref="F41" ca="1">OFFSET(E41,-1,1)</f>
        <v>0</v>
      </c>
      <c r="G41" s="26" t="s">
        <v>1503</v>
      </c>
      <c r="H41" s="404" t="s">
        <v>519</v>
      </c>
      <c r="I41" s="404"/>
      <c r="J41" s="404"/>
      <c r="K41" s="404"/>
      <c r="T41" s="381" t="b" cm="1">
        <f t="array" ref="T41">T40</f>
        <v>0</v>
      </c>
      <c r="X41" s="1787"/>
      <c r="Z41" s="1788"/>
      <c r="AB41" s="431" t="s">
        <v>649</v>
      </c>
      <c r="AC41" s="1032" t="s">
        <v>2236</v>
      </c>
      <c r="AD41" s="431" t="s">
        <v>2233</v>
      </c>
      <c r="AE41" s="446">
        <f ca="1">AE39-AE40</f>
        <v>0</v>
      </c>
      <c r="AF41" s="446">
        <f ca="1">AF39-AF40</f>
        <v>0</v>
      </c>
      <c r="AI41" s="937" t="s">
        <v>2237</v>
      </c>
    </row>
    <row r="42" spans="1:35" s="441" customFormat="1" ht="14.65" hidden="1" customHeight="1">
      <c r="E42" s="591">
        <v>15</v>
      </c>
      <c r="F42" s="3" cm="1">
        <f t="array" aca="1" ref="F42" ca="1">OFFSET(E42,-1,1)</f>
        <v>0</v>
      </c>
      <c r="H42" s="404" t="s">
        <v>477</v>
      </c>
      <c r="I42" s="404"/>
      <c r="J42" s="404"/>
      <c r="K42" s="404"/>
      <c r="T42" s="381" t="b" cm="1">
        <f t="array" ref="T42">T41</f>
        <v>0</v>
      </c>
      <c r="X42" s="1787"/>
      <c r="Z42" s="1788"/>
      <c r="AB42" s="431" t="s">
        <v>482</v>
      </c>
      <c r="AC42" s="476" t="s">
        <v>2238</v>
      </c>
      <c r="AD42" s="431" t="s">
        <v>1454</v>
      </c>
      <c r="AE42" s="443">
        <f ca="1">IF(AE39=0,0,AE28/AE39)</f>
        <v>0</v>
      </c>
      <c r="AF42" s="443">
        <f ca="1">IF(AF39=0,0,AF28/AF39)</f>
        <v>0</v>
      </c>
      <c r="AI42" s="937" t="s">
        <v>1022</v>
      </c>
    </row>
    <row r="43" spans="1:35" s="441" customFormat="1" ht="14.65" hidden="1" customHeight="1">
      <c r="E43" s="591">
        <v>15</v>
      </c>
      <c r="F43" s="3" cm="1">
        <f t="array" aca="1" ref="F43" ca="1">OFFSET(E43,-1,1)</f>
        <v>0</v>
      </c>
      <c r="G43" s="26" t="s">
        <v>1451</v>
      </c>
      <c r="H43" s="404" t="s">
        <v>662</v>
      </c>
      <c r="I43" s="404"/>
      <c r="J43" s="404"/>
      <c r="K43" s="404"/>
      <c r="T43" s="381" t="b" cm="1">
        <f t="array" ref="T43">T42</f>
        <v>0</v>
      </c>
      <c r="X43" s="1787"/>
      <c r="Z43" s="1788"/>
      <c r="AB43" s="431" t="s">
        <v>2239</v>
      </c>
      <c r="AC43" s="1201" t="s">
        <v>2240</v>
      </c>
      <c r="AD43" s="431" t="s">
        <v>1454</v>
      </c>
      <c r="AE43" s="1658"/>
      <c r="AF43" s="1658"/>
      <c r="AI43" s="937" t="s">
        <v>2241</v>
      </c>
    </row>
    <row r="44" spans="1:35" s="441" customFormat="1" ht="14.65" hidden="1" customHeight="1">
      <c r="E44" s="591">
        <v>15</v>
      </c>
      <c r="F44" s="3" cm="1">
        <f t="array" aca="1" ref="F44" ca="1">OFFSET(E44,-1,1)</f>
        <v>0</v>
      </c>
      <c r="G44" s="26" t="s">
        <v>1456</v>
      </c>
      <c r="H44" s="404" t="s">
        <v>665</v>
      </c>
      <c r="I44" s="404"/>
      <c r="J44" s="404"/>
      <c r="K44" s="404"/>
      <c r="T44" s="381" t="b" cm="1">
        <f t="array" ref="T44">T43</f>
        <v>0</v>
      </c>
      <c r="X44" s="1787"/>
      <c r="Z44" s="1788"/>
      <c r="AB44" s="431" t="s">
        <v>2242</v>
      </c>
      <c r="AC44" s="1033" t="s">
        <v>2243</v>
      </c>
      <c r="AD44" s="431" t="s">
        <v>1454</v>
      </c>
      <c r="AE44" s="1658">
        <f ca="1">IF(AE41=0,0,(AE28-AE43*AE40)/AE41)</f>
        <v>0</v>
      </c>
      <c r="AF44" s="1658">
        <f ca="1">IF(AF41=0,0,(AF28-AF43*AF40)/AF41)</f>
        <v>0</v>
      </c>
      <c r="AI44" s="937" t="s">
        <v>2244</v>
      </c>
    </row>
    <row r="45" spans="1:35" ht="14.65" hidden="1" customHeight="1">
      <c r="E45" s="566">
        <v>15</v>
      </c>
      <c r="F45" s="3" cm="1">
        <f t="array" aca="1" ref="F45" ca="1">OFFSET(E45,-1,1)</f>
        <v>0</v>
      </c>
      <c r="H45" s="404" t="s">
        <v>641</v>
      </c>
      <c r="T45" s="381" t="b" cm="1">
        <f t="array" ref="T45">T44</f>
        <v>0</v>
      </c>
      <c r="X45" s="1787"/>
      <c r="Z45" s="1788"/>
      <c r="AB45" s="431" t="s">
        <v>536</v>
      </c>
      <c r="AC45" s="470" t="s">
        <v>2245</v>
      </c>
      <c r="AD45" s="431" t="s">
        <v>423</v>
      </c>
      <c r="AE45" s="443">
        <f>IF(AE43=0,0,AE44/AE43*100)</f>
        <v>0</v>
      </c>
      <c r="AF45" s="443">
        <f>IF(AF43=0,0,AF44/AF43*100)</f>
        <v>0</v>
      </c>
      <c r="AI45" s="927" t="s">
        <v>2246</v>
      </c>
    </row>
    <row r="46" spans="1:35" s="1327" customFormat="1" ht="14.25" customHeight="1">
      <c r="A46" s="1121"/>
      <c r="B46" s="1121"/>
      <c r="C46" s="1121"/>
      <c r="D46" s="1121"/>
      <c r="E46" s="566">
        <v>15</v>
      </c>
      <c r="F46" s="404" t="str" cm="1">
        <f t="array" ref="F46">X46</f>
        <v>1</v>
      </c>
      <c r="G46" s="1121"/>
      <c r="H46" s="1121"/>
      <c r="I46" s="1121"/>
      <c r="J46" s="1121"/>
      <c r="K46" s="1121"/>
      <c r="L46" s="1121"/>
      <c r="M46" s="1121"/>
      <c r="N46" s="1121"/>
      <c r="O46" s="1121"/>
      <c r="P46" s="1121"/>
      <c r="Q46" s="1121"/>
      <c r="R46" s="1121"/>
      <c r="S46" s="1121"/>
      <c r="T46" s="381" t="b">
        <f>X46&gt;0</f>
        <v>1</v>
      </c>
      <c r="U46" s="1121"/>
      <c r="V46" s="404" t="str" cm="1">
        <f t="array" ref="V46">ГО!$AB$116</f>
        <v>Тариф 1 (Водоснабжение) - тариф на питьевую воду</v>
      </c>
      <c r="W46" s="1121"/>
      <c r="X46" s="1787" t="s">
        <v>281</v>
      </c>
      <c r="Y46" s="1121"/>
      <c r="Z46" s="1788"/>
      <c r="AA46" s="1121"/>
      <c r="AB46" s="140" t="str" cm="1">
        <f t="array" ref="AB46">ГО!$AB$116</f>
        <v>Тариф 1 (Водоснабжение) - тариф на питьевую воду</v>
      </c>
      <c r="AC46" s="1191"/>
      <c r="AD46" s="1192"/>
      <c r="AE46" s="1192"/>
      <c r="AF46" s="1193"/>
      <c r="AG46" s="1121"/>
      <c r="AH46" s="1121"/>
      <c r="AI46" s="1075"/>
    </row>
    <row r="47" spans="1:35" s="441" customFormat="1" ht="21.75" customHeight="1">
      <c r="E47" s="591">
        <v>22.5</v>
      </c>
      <c r="F47" s="3" t="str" cm="1">
        <f t="array" aca="1" ref="F47" ca="1">OFFSET(E47,-1,1)</f>
        <v>1</v>
      </c>
      <c r="H47" s="404" t="s">
        <v>323</v>
      </c>
      <c r="I47" s="404"/>
      <c r="J47" s="404"/>
      <c r="K47" s="404"/>
      <c r="T47" s="381" t="b" cm="1">
        <f t="array" ref="T47">T46</f>
        <v>1</v>
      </c>
      <c r="X47" s="1787"/>
      <c r="Z47" s="1788"/>
      <c r="AB47" s="431" t="s">
        <v>281</v>
      </c>
      <c r="AC47" s="447" t="s">
        <v>2213</v>
      </c>
      <c r="AD47" s="431" t="s">
        <v>766</v>
      </c>
      <c r="AE47" s="443">
        <f ca="1">(AE48+AE56)*AE54</f>
        <v>0</v>
      </c>
      <c r="AF47" s="443">
        <f ca="1">(AF48+AF56)*AF54</f>
        <v>0</v>
      </c>
      <c r="AI47" s="937" t="s">
        <v>2214</v>
      </c>
    </row>
    <row r="48" spans="1:35" s="1327" customFormat="1" ht="21.75" customHeight="1">
      <c r="A48" s="1121"/>
      <c r="B48" s="1121"/>
      <c r="C48" s="1121"/>
      <c r="D48" s="1121"/>
      <c r="E48" s="566">
        <v>22.5</v>
      </c>
      <c r="F48" s="3" t="str" cm="1">
        <f t="array" aca="1" ref="F48" ca="1">OFFSET(E48,-1,1)</f>
        <v>1</v>
      </c>
      <c r="G48" s="404" t="s">
        <v>2215</v>
      </c>
      <c r="H48" s="404" t="s">
        <v>324</v>
      </c>
      <c r="I48" s="1121"/>
      <c r="J48" s="1121"/>
      <c r="K48" s="404" t="str">
        <f ca="1">F48&amp;G48</f>
        <v>1УТР</v>
      </c>
      <c r="L48" s="989" cm="1">
        <f t="array" ref="L48">AE48</f>
        <v>0</v>
      </c>
      <c r="M48" s="989" cm="1">
        <f t="array" ref="M48">AF48</f>
        <v>0</v>
      </c>
      <c r="N48" s="1121"/>
      <c r="O48" s="1121"/>
      <c r="P48" s="1121"/>
      <c r="Q48" s="1121"/>
      <c r="R48" s="1121"/>
      <c r="S48" s="1121"/>
      <c r="T48" s="381" t="b" cm="1">
        <f t="array" ref="T48">T47</f>
        <v>1</v>
      </c>
      <c r="U48" s="1121"/>
      <c r="V48" s="1121"/>
      <c r="W48" s="1121"/>
      <c r="X48" s="1787"/>
      <c r="Y48" s="1121"/>
      <c r="Z48" s="1788"/>
      <c r="AA48" s="1121"/>
      <c r="AB48" s="431" t="s">
        <v>224</v>
      </c>
      <c r="AC48" s="442" t="s">
        <v>958</v>
      </c>
      <c r="AD48" s="431" t="s">
        <v>950</v>
      </c>
      <c r="AE48" s="988">
        <f>IF(AE53=0,0,(AE49-IF(SUMIFS('Перечень объектов'!AH$24:AH$51,'Перечень объектов'!$F$24:$F$51,$F48,'Перечень объектов'!$G$24:$G$51,"ЭЭ")&gt;0,0,AE50))/AE53)</f>
        <v>0</v>
      </c>
      <c r="AF48" s="988">
        <f>IF(AF53=0,0,(AF49-IF(SUMIFS('Перечень объектов'!AI$24:AI$51,'Перечень объектов'!$F$24:$F$51,$F48,'Перечень объектов'!$G$24:$G$51,"ЭЭ")&gt;0,0,AF50))/AF53)</f>
        <v>0</v>
      </c>
      <c r="AG48" s="1121"/>
      <c r="AH48" s="1121"/>
      <c r="AI48" s="927" t="s">
        <v>2216</v>
      </c>
    </row>
    <row r="49" spans="1:35" s="1327" customFormat="1" ht="32.25" customHeight="1">
      <c r="A49" s="1121"/>
      <c r="B49" s="1121"/>
      <c r="C49" s="1121"/>
      <c r="D49" s="1121"/>
      <c r="E49" s="566">
        <v>33.75</v>
      </c>
      <c r="F49" s="3" t="str" cm="1">
        <f t="array" aca="1" ref="F49" ca="1">OFFSET(E49,-1,1)</f>
        <v>1</v>
      </c>
      <c r="G49" s="1121"/>
      <c r="H49" s="404" t="s">
        <v>445</v>
      </c>
      <c r="I49" s="1121"/>
      <c r="J49" s="1121"/>
      <c r="K49" s="1121"/>
      <c r="L49" s="1121"/>
      <c r="M49" s="1121"/>
      <c r="N49" s="1121"/>
      <c r="O49" s="1121"/>
      <c r="P49" s="1121"/>
      <c r="Q49" s="1121"/>
      <c r="R49" s="1121"/>
      <c r="S49" s="1121"/>
      <c r="T49" s="381" t="b" cm="1">
        <f t="array" ref="T49">T48</f>
        <v>1</v>
      </c>
      <c r="U49" s="1121"/>
      <c r="V49" s="1121"/>
      <c r="W49" s="1121"/>
      <c r="X49" s="1787"/>
      <c r="Y49" s="1121"/>
      <c r="Z49" s="1788"/>
      <c r="AA49" s="1121"/>
      <c r="AB49" s="431" t="s">
        <v>502</v>
      </c>
      <c r="AC49" s="478" t="s">
        <v>2217</v>
      </c>
      <c r="AD49" s="431" t="s">
        <v>766</v>
      </c>
      <c r="AE49" s="450"/>
      <c r="AF49" s="443">
        <f ca="1">SUMIFS(ГО!AE$25:AE$205,ГО!$F$25:$F$205,$F49,ГО!$G$25:$G$205,"Итог")*(1+AF51/100)*(1+AF52/100)</f>
        <v>0</v>
      </c>
      <c r="AG49" s="1121"/>
      <c r="AH49" s="1121"/>
      <c r="AI49" s="927" t="s">
        <v>2218</v>
      </c>
    </row>
    <row r="50" spans="1:35" s="441" customFormat="1" ht="14.25" customHeight="1">
      <c r="E50" s="591">
        <v>15</v>
      </c>
      <c r="F50" s="3" t="str" cm="1">
        <f t="array" aca="1" ref="F50" ca="1">OFFSET(E50,-1,1)</f>
        <v>1</v>
      </c>
      <c r="H50" s="404" t="s">
        <v>1412</v>
      </c>
      <c r="I50" s="404"/>
      <c r="J50" s="404"/>
      <c r="K50" s="404"/>
      <c r="T50" s="381" t="b" cm="1">
        <f t="array" ref="T50">T49</f>
        <v>1</v>
      </c>
      <c r="X50" s="1787"/>
      <c r="Z50" s="1788"/>
      <c r="AB50" s="431" t="s">
        <v>453</v>
      </c>
      <c r="AC50" s="1194" t="s">
        <v>2219</v>
      </c>
      <c r="AD50" s="431" t="s">
        <v>766</v>
      </c>
      <c r="AE50" s="450"/>
      <c r="AF50" s="443">
        <f ca="1">SUMIFS(ГО!AE$25:AE$205,ГО!$F$25:$F$205,$F50,ГО!$G$25:$G$205,"ЭЭ")*(1+AF51/100)*(1+AF52/100)</f>
        <v>0</v>
      </c>
      <c r="AI50" s="937" t="s">
        <v>1558</v>
      </c>
    </row>
    <row r="51" spans="1:35" s="441" customFormat="1" ht="14.25" customHeight="1">
      <c r="E51" s="591">
        <v>15</v>
      </c>
      <c r="F51" s="3" t="str" cm="1">
        <f t="array" aca="1" ref="F51" ca="1">OFFSET(E51,-1,1)</f>
        <v>1</v>
      </c>
      <c r="H51" s="404" t="s">
        <v>448</v>
      </c>
      <c r="I51" s="404"/>
      <c r="J51" s="404"/>
      <c r="K51" s="404"/>
      <c r="T51" s="381" t="b" cm="1">
        <f t="array" ref="T51">T50</f>
        <v>1</v>
      </c>
      <c r="X51" s="1787"/>
      <c r="Z51" s="1788"/>
      <c r="AB51" s="431" t="s">
        <v>506</v>
      </c>
      <c r="AC51" s="478" t="str">
        <f>"индекс потребительских цен на "&amp;god-1&amp;" год"</f>
        <v>индекс потребительских цен на 2025 год</v>
      </c>
      <c r="AD51" s="431" t="s">
        <v>423</v>
      </c>
      <c r="AE51" s="450"/>
      <c r="AF51" s="450"/>
      <c r="AI51" s="937" t="s">
        <v>2220</v>
      </c>
    </row>
    <row r="52" spans="1:35" s="441" customFormat="1" ht="14.25" customHeight="1">
      <c r="E52" s="591">
        <v>15</v>
      </c>
      <c r="F52" s="3" t="str" cm="1">
        <f t="array" aca="1" ref="F52" ca="1">OFFSET(E52,-1,1)</f>
        <v>1</v>
      </c>
      <c r="H52" s="404" t="s">
        <v>841</v>
      </c>
      <c r="I52" s="404"/>
      <c r="J52" s="404"/>
      <c r="K52" s="404"/>
      <c r="T52" s="381" t="b" cm="1">
        <f t="array" ref="T52">T51</f>
        <v>1</v>
      </c>
      <c r="X52" s="1787"/>
      <c r="Z52" s="1788"/>
      <c r="AB52" s="431" t="s">
        <v>510</v>
      </c>
      <c r="AC52" s="478" t="str">
        <f>"индекс потребительских цен на "&amp;god&amp;" год"</f>
        <v>индекс потребительских цен на 2026 год</v>
      </c>
      <c r="AD52" s="431" t="s">
        <v>423</v>
      </c>
      <c r="AE52" s="450"/>
      <c r="AF52" s="450"/>
      <c r="AI52" s="937" t="s">
        <v>2221</v>
      </c>
    </row>
    <row r="53" spans="1:35" s="441" customFormat="1" ht="21.75" customHeight="1">
      <c r="E53" s="591">
        <v>22.5</v>
      </c>
      <c r="F53" s="3" t="str" cm="1">
        <f t="array" aca="1" ref="F53" ca="1">OFFSET(E53,-1,1)</f>
        <v>1</v>
      </c>
      <c r="H53" s="404" t="s">
        <v>843</v>
      </c>
      <c r="I53" s="404"/>
      <c r="J53" s="404"/>
      <c r="K53" s="404"/>
      <c r="T53" s="381" t="b" cm="1">
        <f t="array" ref="T53">T52</f>
        <v>1</v>
      </c>
      <c r="X53" s="1787"/>
      <c r="Z53" s="1788"/>
      <c r="AB53" s="431" t="s">
        <v>844</v>
      </c>
      <c r="AC53" s="478" t="s">
        <v>2222</v>
      </c>
      <c r="AD53" s="431" t="s">
        <v>758</v>
      </c>
      <c r="AE53" s="450"/>
      <c r="AF53" s="450"/>
      <c r="AI53" s="937" t="s">
        <v>2223</v>
      </c>
    </row>
    <row r="54" spans="1:35" s="441" customFormat="1" ht="14.25" customHeight="1">
      <c r="E54" s="591">
        <v>15</v>
      </c>
      <c r="F54" s="3" t="str" cm="1">
        <f t="array" aca="1" ref="F54" ca="1">OFFSET(E54,-1,1)</f>
        <v>1</v>
      </c>
      <c r="H54" s="404" t="s">
        <v>325</v>
      </c>
      <c r="I54" s="404"/>
      <c r="J54" s="404"/>
      <c r="K54" s="404"/>
      <c r="T54" s="381" t="b" cm="1">
        <f t="array" ref="T54">T53</f>
        <v>1</v>
      </c>
      <c r="X54" s="1787"/>
      <c r="Z54" s="1788"/>
      <c r="AB54" s="431" t="s">
        <v>321</v>
      </c>
      <c r="AC54" s="1195" t="s">
        <v>2224</v>
      </c>
      <c r="AD54" s="431" t="s">
        <v>758</v>
      </c>
      <c r="AE54" s="446">
        <f ca="1">SUMIFS('Условные метры'!AL$27:AL$35,'Условные метры'!$F$27:$F$35,$F54,'Условные метры'!$G$27:$G$35,"Итог")</f>
        <v>0</v>
      </c>
      <c r="AF54" s="446">
        <f ca="1">SUMIFS('Условные метры'!AN$27:AN$35,'Условные метры'!$F$27:$F$35,$F54,'Условные метры'!$G$27:$G$35,"Итог")</f>
        <v>0</v>
      </c>
      <c r="AI54" s="937" t="s">
        <v>2225</v>
      </c>
    </row>
    <row r="55" spans="1:35" s="441" customFormat="1" ht="14.25" customHeight="1">
      <c r="E55" s="591">
        <v>15</v>
      </c>
      <c r="F55" s="3" t="str" cm="1">
        <f t="array" aca="1" ref="F55" ca="1">OFFSET(E55,-1,1)</f>
        <v>1</v>
      </c>
      <c r="H55" s="404" t="s">
        <v>851</v>
      </c>
      <c r="I55" s="404"/>
      <c r="J55" s="404"/>
      <c r="K55" s="404"/>
      <c r="T55" s="381" t="b" cm="1">
        <f t="array" ref="T55">T54</f>
        <v>1</v>
      </c>
      <c r="X55" s="1787"/>
      <c r="Z55" s="1788"/>
      <c r="AB55" s="431" t="s">
        <v>516</v>
      </c>
      <c r="AC55" s="478" t="s">
        <v>2226</v>
      </c>
      <c r="AD55" s="431" t="s">
        <v>378</v>
      </c>
      <c r="AE55" s="446">
        <f ca="1">SUMIFS('Условные метры'!AK$27:AK$35,'Условные метры'!$F$27:$F$35,$F55,'Условные метры'!$G$27:$G$35,"Итог")</f>
        <v>0</v>
      </c>
      <c r="AF55" s="446">
        <f ca="1">SUMIFS('Условные метры'!AM$27:AM$35,'Условные метры'!$F$27:$F$35,$F55,'Условные метры'!$G$27:$G$35,"Итог")</f>
        <v>0</v>
      </c>
      <c r="AI55" s="937" t="s">
        <v>2227</v>
      </c>
    </row>
    <row r="56" spans="1:35" s="441" customFormat="1" ht="14.25" customHeight="1">
      <c r="E56" s="591">
        <v>15</v>
      </c>
      <c r="F56" s="3" t="str" cm="1">
        <f t="array" aca="1" ref="F56" ca="1">OFFSET(E56,-1,1)</f>
        <v>1</v>
      </c>
      <c r="H56" s="404" t="s">
        <v>327</v>
      </c>
      <c r="I56" s="404"/>
      <c r="J56" s="404"/>
      <c r="K56" s="404"/>
      <c r="T56" s="381" t="b" cm="1">
        <f t="array" ref="T56">T55</f>
        <v>1</v>
      </c>
      <c r="X56" s="1787"/>
      <c r="Z56" s="1788"/>
      <c r="AB56" s="431" t="s">
        <v>523</v>
      </c>
      <c r="AC56" s="477" t="s">
        <v>2228</v>
      </c>
      <c r="AD56" s="431" t="s">
        <v>950</v>
      </c>
      <c r="AE56" s="446">
        <f ca="1">SUMIFS('Амортизация (аналог)'!AE$25:AE$41,'Амортизация (аналог)'!$F$25:$F$41,$F56,'Амортизация (аналог)'!$AB$25:$AB$41,"2")</f>
        <v>0</v>
      </c>
      <c r="AF56" s="446">
        <f ca="1">SUMIFS('Амортизация (аналог)'!AF$25:AF$41,'Амортизация (аналог)'!$F$25:$F$41,$F56,'Амортизация (аналог)'!$AB$25:$AB$41,"2")</f>
        <v>0</v>
      </c>
      <c r="AI56" s="937" t="s">
        <v>2229</v>
      </c>
    </row>
    <row r="57" spans="1:35" s="441" customFormat="1" ht="14.25" customHeight="1">
      <c r="E57" s="591">
        <v>15</v>
      </c>
      <c r="F57" s="3" t="str" cm="1">
        <f t="array" aca="1" ref="F57" ca="1">OFFSET(E57,-1,1)</f>
        <v>1</v>
      </c>
      <c r="H57" s="404" t="s">
        <v>501</v>
      </c>
      <c r="I57" s="404"/>
      <c r="J57" s="404"/>
      <c r="K57" s="404"/>
      <c r="T57" s="381" t="b" cm="1">
        <f t="array" ref="T57">T56</f>
        <v>1</v>
      </c>
      <c r="X57" s="1787"/>
      <c r="Z57" s="1788"/>
      <c r="AB57" s="431" t="s">
        <v>639</v>
      </c>
      <c r="AC57" s="1196" t="s">
        <v>2230</v>
      </c>
      <c r="AD57" s="431" t="s">
        <v>423</v>
      </c>
      <c r="AE57" s="443">
        <f>IF(AE48=0,0,AE56/AE48*100)</f>
        <v>0</v>
      </c>
      <c r="AF57" s="443">
        <f>IF(AF48=0,0,AF56/AF48*100)</f>
        <v>0</v>
      </c>
      <c r="AI57" s="937" t="s">
        <v>2231</v>
      </c>
    </row>
    <row r="58" spans="1:35" s="441" customFormat="1" ht="21.75" customHeight="1">
      <c r="E58" s="591">
        <v>22.5</v>
      </c>
      <c r="F58" s="3" t="str" cm="1">
        <f t="array" aca="1" ref="F58" ca="1">OFFSET(E58,-1,1)</f>
        <v>1</v>
      </c>
      <c r="G58" s="77" t="s">
        <v>1463</v>
      </c>
      <c r="H58" s="404" t="s">
        <v>326</v>
      </c>
      <c r="I58" s="404"/>
      <c r="J58" s="404"/>
      <c r="K58" s="404"/>
      <c r="T58" s="381" t="b" cm="1">
        <f t="array" ref="T58">T57</f>
        <v>1</v>
      </c>
      <c r="X58" s="1787"/>
      <c r="Z58" s="1788"/>
      <c r="AB58" s="431" t="s">
        <v>478</v>
      </c>
      <c r="AC58" s="1197" t="s">
        <v>2232</v>
      </c>
      <c r="AD58" s="431" t="s">
        <v>2233</v>
      </c>
      <c r="AE58" s="446">
        <f ca="1">SUMIFS(Баланс!$AI$25:$AI$209,Баланс!$F$25:$F$209,$F58,Баланс!$G$25:$G$209,"ПО")</f>
        <v>2.5756999999999999</v>
      </c>
      <c r="AF58" s="446">
        <f ca="1">SUMIFS(Баланс!$AS$25:$AS$209,Баланс!$F$25:$F$209,$F58,Баланс!$G$25:$G$209,"ПО")</f>
        <v>2.5756999999999999</v>
      </c>
      <c r="AI58" s="937" t="s">
        <v>972</v>
      </c>
    </row>
    <row r="59" spans="1:35" s="441" customFormat="1" ht="14.25" customHeight="1">
      <c r="E59" s="591">
        <v>15</v>
      </c>
      <c r="F59" s="3" t="str" cm="1">
        <f t="array" aca="1" ref="F59" ca="1">OFFSET(E59,-1,1)</f>
        <v>1</v>
      </c>
      <c r="G59" s="1198" t="s">
        <v>1490</v>
      </c>
      <c r="H59" s="404" t="s">
        <v>515</v>
      </c>
      <c r="I59" s="404"/>
      <c r="J59" s="404"/>
      <c r="K59" s="404"/>
      <c r="T59" s="381" t="b" cm="1">
        <f t="array" ref="T59">T58</f>
        <v>1</v>
      </c>
      <c r="X59" s="1787"/>
      <c r="Z59" s="1788"/>
      <c r="AB59" s="431" t="s">
        <v>646</v>
      </c>
      <c r="AC59" s="1199" t="s">
        <v>2234</v>
      </c>
      <c r="AD59" s="431" t="s">
        <v>2233</v>
      </c>
      <c r="AE59" s="1200"/>
      <c r="AF59" s="1200"/>
      <c r="AI59" s="937" t="s">
        <v>2235</v>
      </c>
    </row>
    <row r="60" spans="1:35" s="441" customFormat="1" ht="14.25" customHeight="1">
      <c r="E60" s="591">
        <v>15</v>
      </c>
      <c r="F60" s="3" t="str" cm="1">
        <f t="array" aca="1" ref="F60" ca="1">OFFSET(E60,-1,1)</f>
        <v>1</v>
      </c>
      <c r="G60" s="26" t="s">
        <v>1503</v>
      </c>
      <c r="H60" s="404" t="s">
        <v>519</v>
      </c>
      <c r="I60" s="404"/>
      <c r="J60" s="404"/>
      <c r="K60" s="404"/>
      <c r="T60" s="381" t="b" cm="1">
        <f t="array" ref="T60">T59</f>
        <v>1</v>
      </c>
      <c r="X60" s="1787"/>
      <c r="Z60" s="1788"/>
      <c r="AB60" s="431" t="s">
        <v>649</v>
      </c>
      <c r="AC60" s="1032" t="s">
        <v>2236</v>
      </c>
      <c r="AD60" s="431" t="s">
        <v>2233</v>
      </c>
      <c r="AE60" s="446">
        <f ca="1">AE58-AE59</f>
        <v>2.5756999999999999</v>
      </c>
      <c r="AF60" s="446">
        <f ca="1">AF58-AF59</f>
        <v>2.5756999999999999</v>
      </c>
      <c r="AI60" s="937" t="s">
        <v>2237</v>
      </c>
    </row>
    <row r="61" spans="1:35" s="441" customFormat="1" ht="14.25" customHeight="1">
      <c r="E61" s="591">
        <v>15</v>
      </c>
      <c r="F61" s="3" t="str" cm="1">
        <f t="array" aca="1" ref="F61" ca="1">OFFSET(E61,-1,1)</f>
        <v>1</v>
      </c>
      <c r="H61" s="404" t="s">
        <v>477</v>
      </c>
      <c r="I61" s="404"/>
      <c r="J61" s="404"/>
      <c r="K61" s="404"/>
      <c r="T61" s="381" t="b" cm="1">
        <f t="array" ref="T61">T60</f>
        <v>1</v>
      </c>
      <c r="X61" s="1787"/>
      <c r="Z61" s="1788"/>
      <c r="AB61" s="431" t="s">
        <v>482</v>
      </c>
      <c r="AC61" s="476" t="s">
        <v>2238</v>
      </c>
      <c r="AD61" s="431" t="s">
        <v>1454</v>
      </c>
      <c r="AE61" s="443">
        <f ca="1">IF(AE58=0,0,AE47/AE58)</f>
        <v>0</v>
      </c>
      <c r="AF61" s="443">
        <f ca="1">IF(AF58=0,0,AF47/AF58)</f>
        <v>0</v>
      </c>
      <c r="AI61" s="937" t="s">
        <v>1022</v>
      </c>
    </row>
    <row r="62" spans="1:35" s="441" customFormat="1" ht="14.25" customHeight="1">
      <c r="E62" s="591">
        <v>15</v>
      </c>
      <c r="F62" s="3" t="str" cm="1">
        <f t="array" aca="1" ref="F62" ca="1">OFFSET(E62,-1,1)</f>
        <v>1</v>
      </c>
      <c r="G62" s="26" t="s">
        <v>1451</v>
      </c>
      <c r="H62" s="404" t="s">
        <v>662</v>
      </c>
      <c r="I62" s="404"/>
      <c r="J62" s="404"/>
      <c r="K62" s="404"/>
      <c r="T62" s="381" t="b" cm="1">
        <f t="array" ref="T62">T61</f>
        <v>1</v>
      </c>
      <c r="X62" s="1787"/>
      <c r="Z62" s="1788"/>
      <c r="AB62" s="431" t="s">
        <v>2239</v>
      </c>
      <c r="AC62" s="1201" t="s">
        <v>2240</v>
      </c>
      <c r="AD62" s="431" t="s">
        <v>1454</v>
      </c>
      <c r="AE62" s="450"/>
      <c r="AF62" s="450"/>
      <c r="AI62" s="937" t="s">
        <v>2241</v>
      </c>
    </row>
    <row r="63" spans="1:35" s="441" customFormat="1" ht="14.25" customHeight="1">
      <c r="E63" s="591">
        <v>15</v>
      </c>
      <c r="F63" s="3" t="str" cm="1">
        <f t="array" aca="1" ref="F63" ca="1">OFFSET(E63,-1,1)</f>
        <v>1</v>
      </c>
      <c r="G63" s="26" t="s">
        <v>1456</v>
      </c>
      <c r="H63" s="404" t="s">
        <v>665</v>
      </c>
      <c r="I63" s="404"/>
      <c r="J63" s="404"/>
      <c r="K63" s="404"/>
      <c r="T63" s="381" t="b" cm="1">
        <f t="array" ref="T63">T62</f>
        <v>1</v>
      </c>
      <c r="X63" s="1787"/>
      <c r="Z63" s="1788"/>
      <c r="AB63" s="431" t="s">
        <v>2242</v>
      </c>
      <c r="AC63" s="1033" t="s">
        <v>2243</v>
      </c>
      <c r="AD63" s="431" t="s">
        <v>1454</v>
      </c>
      <c r="AE63" s="450">
        <f ca="1">IF(AE60=0,0,(AE47-AE62*AE59)/AE60)</f>
        <v>0</v>
      </c>
      <c r="AF63" s="450">
        <f ca="1">IF(AF60=0,0,(AF47-AF62*AF59)/AF60)</f>
        <v>0</v>
      </c>
      <c r="AI63" s="937" t="s">
        <v>2244</v>
      </c>
    </row>
    <row r="64" spans="1:35" s="1327" customFormat="1" ht="14.25" customHeight="1">
      <c r="A64" s="1121"/>
      <c r="B64" s="1121"/>
      <c r="C64" s="1121"/>
      <c r="D64" s="1121"/>
      <c r="E64" s="566">
        <v>15</v>
      </c>
      <c r="F64" s="3" t="str" cm="1">
        <f t="array" aca="1" ref="F64" ca="1">OFFSET(E64,-1,1)</f>
        <v>1</v>
      </c>
      <c r="G64" s="1121"/>
      <c r="H64" s="404" t="s">
        <v>641</v>
      </c>
      <c r="I64" s="1121"/>
      <c r="J64" s="1121"/>
      <c r="K64" s="1121"/>
      <c r="L64" s="1121"/>
      <c r="M64" s="1121"/>
      <c r="N64" s="1121"/>
      <c r="O64" s="1121"/>
      <c r="P64" s="1121"/>
      <c r="Q64" s="1121"/>
      <c r="R64" s="1121"/>
      <c r="S64" s="1121"/>
      <c r="T64" s="381" t="b" cm="1">
        <f t="array" ref="T64">T63</f>
        <v>1</v>
      </c>
      <c r="U64" s="1121"/>
      <c r="V64" s="1121"/>
      <c r="W64" s="1121"/>
      <c r="X64" s="1787"/>
      <c r="Y64" s="1121"/>
      <c r="Z64" s="1788"/>
      <c r="AA64" s="1121"/>
      <c r="AB64" s="431" t="s">
        <v>536</v>
      </c>
      <c r="AC64" s="470" t="s">
        <v>2245</v>
      </c>
      <c r="AD64" s="431" t="s">
        <v>423</v>
      </c>
      <c r="AE64" s="443">
        <f>IF(AE62=0,0,AE63/AE62*100)</f>
        <v>0</v>
      </c>
      <c r="AF64" s="443">
        <f>IF(AF62=0,0,AF63/AF62*100)</f>
        <v>0</v>
      </c>
      <c r="AG64" s="1121"/>
      <c r="AH64" s="1121"/>
      <c r="AI64" s="927" t="s">
        <v>2246</v>
      </c>
    </row>
    <row r="65" spans="5:35" ht="10.9" customHeight="1">
      <c r="E65" s="566">
        <v>11.25</v>
      </c>
      <c r="U65" s="404" t="s">
        <v>177</v>
      </c>
      <c r="V65" s="633" t="s">
        <v>2247</v>
      </c>
      <c r="AB65" s="451"/>
      <c r="AC65" s="452"/>
      <c r="AD65" s="451"/>
      <c r="AE65" s="453"/>
    </row>
    <row r="66" spans="5:35" ht="44.65" customHeight="1">
      <c r="E66" s="566">
        <v>45.75</v>
      </c>
      <c r="AB66" s="1860" t="s">
        <v>2248</v>
      </c>
      <c r="AC66" s="1860"/>
      <c r="AD66" s="1860"/>
      <c r="AE66" s="1860"/>
      <c r="AF66" s="1860"/>
    </row>
    <row r="67" spans="5:35" ht="10.9" customHeight="1">
      <c r="E67" s="566">
        <v>11.25</v>
      </c>
      <c r="AB67" s="451"/>
      <c r="AC67" s="452"/>
      <c r="AD67" s="451"/>
      <c r="AE67" s="453"/>
    </row>
    <row r="68" spans="5:35" s="1207" customFormat="1" ht="14.65" customHeight="1">
      <c r="E68" s="632">
        <v>15</v>
      </c>
      <c r="AB68" s="1758" t="s">
        <v>394</v>
      </c>
      <c r="AC68" s="1758"/>
      <c r="AD68" s="1758"/>
      <c r="AE68" s="1789"/>
      <c r="AF68" s="1789"/>
      <c r="AI68" s="979"/>
    </row>
    <row r="69" spans="5:35" s="1207" customFormat="1" ht="14.65" customHeight="1">
      <c r="E69" s="632">
        <v>15</v>
      </c>
      <c r="AA69" s="1249"/>
      <c r="AB69" s="1790"/>
      <c r="AC69" s="1790"/>
      <c r="AD69" s="1790"/>
      <c r="AE69" s="1791"/>
      <c r="AF69" s="1791"/>
      <c r="AI69" s="979"/>
    </row>
    <row r="70" spans="5:35" s="1207" customFormat="1" ht="14.65" hidden="1" customHeight="1">
      <c r="E70" s="632">
        <v>15</v>
      </c>
      <c r="T70" s="381" t="b">
        <f>ROW(W70)&gt;ROW(W$70)</f>
        <v>0</v>
      </c>
      <c r="W70" s="471" t="s">
        <v>173</v>
      </c>
      <c r="X70" s="471"/>
      <c r="Y70" s="471"/>
      <c r="Z70" s="471"/>
      <c r="AA70" s="1202" t="s">
        <v>174</v>
      </c>
      <c r="AB70" s="1793"/>
      <c r="AC70" s="1794"/>
      <c r="AD70" s="1794"/>
      <c r="AE70" s="1794"/>
      <c r="AF70" s="1796"/>
      <c r="AI70" s="979"/>
    </row>
    <row r="71" spans="5:35" s="1207" customFormat="1" ht="14.65" customHeight="1">
      <c r="E71" s="632">
        <v>15</v>
      </c>
      <c r="W71" s="743" t="s">
        <v>395</v>
      </c>
      <c r="X71" s="471"/>
      <c r="Y71" s="471"/>
      <c r="Z71" s="471"/>
      <c r="AA71" s="471"/>
      <c r="AB71" s="1250"/>
      <c r="AC71" s="1251" t="s">
        <v>396</v>
      </c>
      <c r="AD71" s="1252"/>
      <c r="AE71" s="1253"/>
      <c r="AF71" s="1254"/>
      <c r="AI71" s="979"/>
    </row>
    <row r="72" spans="5:35" ht="10.9" customHeight="1">
      <c r="E72" s="566">
        <v>11.25</v>
      </c>
      <c r="AC72" s="454"/>
      <c r="AG72" s="404"/>
    </row>
  </sheetData>
  <sheetProtection formatColumns="0" formatRows="0" insertRows="0" deleteColumns="0" deleteRows="0" sort="0" autoFilter="0"/>
  <mergeCells count="14">
    <mergeCell ref="AB22:AF22"/>
    <mergeCell ref="AB23:AF23"/>
    <mergeCell ref="AB24:AB25"/>
    <mergeCell ref="AC24:AC25"/>
    <mergeCell ref="AD24:AD25"/>
    <mergeCell ref="AE24:AF24"/>
    <mergeCell ref="X27:X45"/>
    <mergeCell ref="Z27:Z45"/>
    <mergeCell ref="AB70:AF70"/>
    <mergeCell ref="AB68:AF68"/>
    <mergeCell ref="AB69:AF69"/>
    <mergeCell ref="AB66:AF66"/>
    <mergeCell ref="X46:X64"/>
    <mergeCell ref="Z46:Z64"/>
  </mergeCells>
  <dataValidations count="3">
    <dataValidation type="decimal" allowBlank="1" showErrorMessage="1" errorTitle="Ошибка" error="Допускается ввод только неотрицательных чисел!" sqref="AE34:AF34 AE38:AF38 AE30:AF31 AE49 AF49 AE50 AF50 AE53 AF53 AE57 AF57">
      <formula1>0</formula1>
      <formula2>9.99999999999999E+23</formula2>
    </dataValidation>
    <dataValidation type="decimal" allowBlank="1" showErrorMessage="1" errorTitle="Ошибка" error="Допускается ввод только действительных чисел!" sqref="AE43:AF44 AE62 AF62 AE63 AF63">
      <formula1>-9.99999999999999E+23</formula1>
      <formula2>9.99999999999999E+23</formula2>
    </dataValidation>
    <dataValidation type="decimal" allowBlank="1" showErrorMessage="1" errorTitle="Ошибка" error="Введите число от 0 до 100!" sqref="AE32:AF33 AE51 AF51 AE52 AF52">
      <formula1>0</formula1>
      <formula2>100</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4"/>
  <sheetViews>
    <sheetView showGridLines="0" topLeftCell="AA21" workbookViewId="0">
      <selection activeCell="AA21" sqref="AA21"/>
    </sheetView>
  </sheetViews>
  <sheetFormatPr defaultColWidth="9.140625" defaultRowHeight="11.25" customHeight="1"/>
  <cols>
    <col min="1" max="1" width="3.5703125" style="1121" hidden="1" customWidth="1"/>
    <col min="2" max="2" width="8.5703125" style="1104" hidden="1" customWidth="1"/>
    <col min="3" max="4" width="3.5703125" style="1121" hidden="1" customWidth="1"/>
    <col min="5" max="5" width="3.5703125" style="1074" hidden="1" customWidth="1"/>
    <col min="6" max="21" width="3.5703125" style="1121" hidden="1" customWidth="1"/>
    <col min="22" max="22" width="4.5703125" style="1121" hidden="1" customWidth="1"/>
    <col min="23" max="23" width="8.42578125" style="1121" hidden="1" customWidth="1"/>
    <col min="24" max="26" width="3.5703125" style="1121" hidden="1" customWidth="1"/>
    <col min="27" max="27" width="3" style="1121" customWidth="1"/>
    <col min="28" max="28" width="94.140625" style="1121" customWidth="1"/>
    <col min="29" max="29" width="9.140625" style="1121"/>
  </cols>
  <sheetData>
    <row r="1" spans="1:28" ht="11.25" hidden="1" customHeight="1">
      <c r="E1" s="23"/>
      <c r="W1" s="381" t="s">
        <v>92</v>
      </c>
      <c r="X1" s="381"/>
      <c r="Y1" s="381" t="s">
        <v>93</v>
      </c>
      <c r="Z1" s="381" t="s">
        <v>95</v>
      </c>
      <c r="AA1" s="381" t="s">
        <v>99</v>
      </c>
      <c r="AB1" s="381" t="s">
        <v>97</v>
      </c>
    </row>
    <row r="2" spans="1:28" s="1104" customFormat="1" ht="11.25" hidden="1" customHeight="1">
      <c r="B2" s="363" t="s">
        <v>18</v>
      </c>
    </row>
    <row r="3" spans="1:28" ht="11.25" hidden="1" customHeight="1">
      <c r="E3" s="23"/>
    </row>
    <row r="4" spans="1:28" ht="11.25" hidden="1" customHeight="1">
      <c r="E4" s="23"/>
    </row>
    <row r="5" spans="1:28" s="1074" customFormat="1" ht="11.25" hidden="1" customHeight="1">
      <c r="A5" s="23"/>
      <c r="B5" s="345"/>
      <c r="C5" s="23"/>
      <c r="D5" s="23"/>
      <c r="E5" s="620" t="s">
        <v>19</v>
      </c>
      <c r="AA5" s="545">
        <v>3</v>
      </c>
      <c r="AB5" s="545">
        <v>94.14</v>
      </c>
    </row>
    <row r="6" spans="1:28" ht="11.25" hidden="1" customHeight="1"/>
    <row r="7" spans="1:28" ht="11.25" hidden="1" customHeight="1"/>
    <row r="8" spans="1:28" ht="11.25" hidden="1" customHeight="1"/>
    <row r="9" spans="1:28" ht="11.25" hidden="1" customHeight="1"/>
    <row r="10" spans="1:28" ht="11.25" hidden="1" customHeight="1"/>
    <row r="11" spans="1:28" ht="11.25" hidden="1" customHeight="1"/>
    <row r="12" spans="1:28" ht="11.25" hidden="1" customHeight="1"/>
    <row r="13" spans="1:28" ht="11.25" hidden="1" customHeight="1"/>
    <row r="14" spans="1:28" ht="11.25" hidden="1" customHeight="1"/>
    <row r="15" spans="1:28" ht="11.25" hidden="1" customHeight="1"/>
    <row r="16" spans="1:28" ht="11.25" hidden="1" customHeight="1"/>
    <row r="17" spans="5:28" ht="11.25" hidden="1" customHeight="1"/>
    <row r="18" spans="5:28" ht="11.25" hidden="1" customHeight="1"/>
    <row r="19" spans="5:28" ht="11.25" hidden="1" customHeight="1"/>
    <row r="20" spans="5:28" ht="11.25" hidden="1" customHeight="1"/>
    <row r="21" spans="5:28" ht="14.65" customHeight="1">
      <c r="E21" s="545">
        <v>15</v>
      </c>
      <c r="AA21" s="342"/>
      <c r="AB21" s="24"/>
    </row>
    <row r="22" spans="5:28" ht="18.95" customHeight="1">
      <c r="E22" s="545">
        <v>19.5</v>
      </c>
      <c r="AA22" s="24"/>
      <c r="AB22" s="22" t="s">
        <v>361</v>
      </c>
    </row>
    <row r="23" spans="5:28" ht="10.9" customHeight="1">
      <c r="E23" s="545">
        <v>11.25</v>
      </c>
      <c r="AA23" s="24"/>
      <c r="AB23" s="24"/>
    </row>
    <row r="24" spans="5:28" ht="19.5" customHeight="1">
      <c r="E24" s="545">
        <v>20</v>
      </c>
      <c r="AA24" s="24"/>
      <c r="AB24" s="25"/>
    </row>
    <row r="25" spans="5:28" ht="19.5" customHeight="1">
      <c r="E25" s="545">
        <v>20</v>
      </c>
      <c r="AA25" s="24"/>
      <c r="AB25" s="25"/>
    </row>
    <row r="26" spans="5:28" ht="19.5" customHeight="1">
      <c r="E26" s="545">
        <v>20</v>
      </c>
      <c r="AA26" s="24"/>
      <c r="AB26" s="25"/>
    </row>
    <row r="27" spans="5:28" ht="19.5" customHeight="1">
      <c r="E27" s="545">
        <v>20</v>
      </c>
      <c r="AA27" s="24"/>
      <c r="AB27" s="25"/>
    </row>
    <row r="28" spans="5:28" ht="19.5" customHeight="1">
      <c r="E28" s="545">
        <v>20</v>
      </c>
      <c r="AA28" s="24"/>
      <c r="AB28" s="25"/>
    </row>
    <row r="29" spans="5:28" ht="19.5" customHeight="1">
      <c r="E29" s="545">
        <v>20</v>
      </c>
      <c r="AA29" s="24"/>
      <c r="AB29" s="25"/>
    </row>
    <row r="30" spans="5:28" ht="19.5" customHeight="1">
      <c r="E30" s="545">
        <v>20</v>
      </c>
      <c r="AA30" s="24"/>
      <c r="AB30" s="25"/>
    </row>
    <row r="31" spans="5:28" ht="19.5" customHeight="1">
      <c r="E31" s="545">
        <v>20</v>
      </c>
      <c r="AA31" s="24"/>
      <c r="AB31" s="25"/>
    </row>
    <row r="32" spans="5:28" ht="19.5" hidden="1" customHeight="1">
      <c r="E32" s="545">
        <v>20</v>
      </c>
      <c r="W32" s="471" t="b">
        <f>ROW(Z32)&gt;ROW(Z$32)</f>
        <v>0</v>
      </c>
      <c r="Y32" s="23" t="s">
        <v>270</v>
      </c>
      <c r="AA32" s="579" t="s">
        <v>174</v>
      </c>
      <c r="AB32" s="1660"/>
    </row>
    <row r="33" spans="5:29" ht="19.5" customHeight="1">
      <c r="E33" s="545">
        <v>20</v>
      </c>
      <c r="Y33" s="743" t="s">
        <v>395</v>
      </c>
      <c r="AA33" s="24"/>
      <c r="AB33" s="658" t="s">
        <v>396</v>
      </c>
    </row>
    <row r="34" spans="5:29" ht="11.25" customHeight="1">
      <c r="AA34" s="24"/>
      <c r="AB34" s="24"/>
      <c r="AC34" s="34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cols>
    <col min="1" max="2" width="36.5703125" style="1314" customWidth="1"/>
    <col min="3" max="3" width="12.5703125" style="1314" customWidth="1"/>
  </cols>
  <sheetData>
    <row r="1" spans="1:3" ht="11.25" customHeight="1">
      <c r="A1" s="1314" t="s">
        <v>2249</v>
      </c>
      <c r="B1" s="1314" t="s">
        <v>2250</v>
      </c>
      <c r="C1" s="1314" t="s">
        <v>2251</v>
      </c>
    </row>
    <row r="2" spans="1:3" ht="11.25" customHeight="1">
      <c r="A2" s="1314" t="s">
        <v>2252</v>
      </c>
      <c r="B2" s="1314" t="s">
        <v>2252</v>
      </c>
      <c r="C2" s="1314" t="s">
        <v>2253</v>
      </c>
    </row>
    <row r="3" spans="1:3" ht="11.25" customHeight="1">
      <c r="A3" s="1314" t="s">
        <v>2254</v>
      </c>
      <c r="B3" s="1314" t="s">
        <v>2254</v>
      </c>
      <c r="C3" s="1314" t="s">
        <v>2255</v>
      </c>
    </row>
    <row r="4" spans="1:3" ht="11.25" customHeight="1">
      <c r="A4" s="1314" t="s">
        <v>2256</v>
      </c>
      <c r="B4" s="1314" t="s">
        <v>2256</v>
      </c>
      <c r="C4" s="1314" t="s">
        <v>2257</v>
      </c>
    </row>
    <row r="5" spans="1:3" ht="11.25" customHeight="1">
      <c r="A5" s="1314" t="s">
        <v>2258</v>
      </c>
      <c r="B5" s="1314" t="s">
        <v>2258</v>
      </c>
      <c r="C5" s="1314" t="s">
        <v>2259</v>
      </c>
    </row>
    <row r="6" spans="1:3" ht="11.25" customHeight="1">
      <c r="A6" s="1314" t="s">
        <v>2260</v>
      </c>
      <c r="B6" s="1314" t="s">
        <v>2260</v>
      </c>
      <c r="C6" s="1314" t="s">
        <v>2261</v>
      </c>
    </row>
    <row r="7" spans="1:3" ht="11.25" customHeight="1">
      <c r="A7" s="1314" t="s">
        <v>2262</v>
      </c>
      <c r="B7" s="1314" t="s">
        <v>2262</v>
      </c>
      <c r="C7" s="1314" t="s">
        <v>2263</v>
      </c>
    </row>
    <row r="8" spans="1:3" ht="11.25" customHeight="1">
      <c r="A8" s="1314" t="s">
        <v>2262</v>
      </c>
      <c r="B8" s="1314" t="s">
        <v>2262</v>
      </c>
      <c r="C8" s="1314" t="s">
        <v>2264</v>
      </c>
    </row>
    <row r="9" spans="1:3" ht="11.25" customHeight="1">
      <c r="A9" s="1314" t="s">
        <v>2265</v>
      </c>
      <c r="B9" s="1314" t="s">
        <v>2265</v>
      </c>
      <c r="C9" s="1314" t="s">
        <v>2266</v>
      </c>
    </row>
    <row r="10" spans="1:3" ht="11.25" customHeight="1">
      <c r="A10" s="1314" t="s">
        <v>2267</v>
      </c>
      <c r="B10" s="1314" t="s">
        <v>2267</v>
      </c>
      <c r="C10" s="1314" t="s">
        <v>2268</v>
      </c>
    </row>
    <row r="11" spans="1:3" ht="11.25" customHeight="1">
      <c r="A11" s="1314" t="s">
        <v>2269</v>
      </c>
      <c r="B11" s="1314" t="s">
        <v>2269</v>
      </c>
      <c r="C11" s="1314" t="s">
        <v>2270</v>
      </c>
    </row>
    <row r="12" spans="1:3" ht="11.25" customHeight="1">
      <c r="A12" s="1314" t="s">
        <v>2271</v>
      </c>
      <c r="B12" s="1314" t="s">
        <v>2271</v>
      </c>
      <c r="C12" s="1314" t="s">
        <v>2272</v>
      </c>
    </row>
    <row r="13" spans="1:3" ht="11.25" customHeight="1">
      <c r="A13" s="1314" t="s">
        <v>2273</v>
      </c>
      <c r="B13" s="1314" t="s">
        <v>2273</v>
      </c>
      <c r="C13" s="1314" t="s">
        <v>2274</v>
      </c>
    </row>
    <row r="14" spans="1:3" ht="11.25" customHeight="1">
      <c r="A14" s="1314" t="s">
        <v>2275</v>
      </c>
      <c r="B14" s="1314" t="s">
        <v>2275</v>
      </c>
      <c r="C14" s="1314" t="s">
        <v>2276</v>
      </c>
    </row>
    <row r="15" spans="1:3" ht="11.25" customHeight="1">
      <c r="A15" s="1314" t="s">
        <v>2277</v>
      </c>
      <c r="B15" s="1314" t="s">
        <v>2277</v>
      </c>
      <c r="C15" s="1314" t="s">
        <v>2278</v>
      </c>
    </row>
    <row r="16" spans="1:3" ht="11.25" customHeight="1">
      <c r="A16" s="1314" t="s">
        <v>2279</v>
      </c>
      <c r="B16" s="1314" t="s">
        <v>2279</v>
      </c>
      <c r="C16" s="1314" t="s">
        <v>2280</v>
      </c>
    </row>
    <row r="17" spans="1:3" ht="11.25" customHeight="1">
      <c r="A17" s="1314" t="s">
        <v>2281</v>
      </c>
      <c r="B17" s="1314" t="s">
        <v>2281</v>
      </c>
      <c r="C17" s="1314" t="s">
        <v>2282</v>
      </c>
    </row>
    <row r="18" spans="1:3" ht="11.25" customHeight="1">
      <c r="A18" s="1314" t="s">
        <v>2283</v>
      </c>
      <c r="B18" s="1314" t="s">
        <v>2283</v>
      </c>
      <c r="C18" s="1314" t="s">
        <v>2284</v>
      </c>
    </row>
    <row r="19" spans="1:3" ht="11.25" customHeight="1">
      <c r="A19" s="1314" t="s">
        <v>2285</v>
      </c>
      <c r="B19" s="1314" t="s">
        <v>2285</v>
      </c>
      <c r="C19" s="1314" t="s">
        <v>2286</v>
      </c>
    </row>
    <row r="20" spans="1:3" ht="11.25" customHeight="1">
      <c r="A20" s="1314" t="s">
        <v>2287</v>
      </c>
      <c r="B20" s="1314" t="s">
        <v>2287</v>
      </c>
      <c r="C20" s="1314" t="s">
        <v>2288</v>
      </c>
    </row>
    <row r="21" spans="1:3" ht="11.25" customHeight="1">
      <c r="A21" s="1314" t="s">
        <v>2289</v>
      </c>
      <c r="B21" s="1314" t="s">
        <v>2289</v>
      </c>
      <c r="C21" s="1314" t="s">
        <v>2290</v>
      </c>
    </row>
    <row r="22" spans="1:3" ht="11.25" customHeight="1">
      <c r="A22" s="1314" t="s">
        <v>2291</v>
      </c>
      <c r="B22" s="1314" t="s">
        <v>2292</v>
      </c>
      <c r="C22" s="1314" t="s">
        <v>2293</v>
      </c>
    </row>
    <row r="23" spans="1:3" ht="11.25" customHeight="1">
      <c r="A23" s="1314" t="s">
        <v>2291</v>
      </c>
      <c r="B23" s="1314" t="s">
        <v>2294</v>
      </c>
      <c r="C23" s="1314" t="s">
        <v>2295</v>
      </c>
    </row>
    <row r="24" spans="1:3" ht="11.25" customHeight="1">
      <c r="A24" s="1314" t="s">
        <v>2291</v>
      </c>
      <c r="B24" s="1314" t="s">
        <v>2296</v>
      </c>
      <c r="C24" s="1314" t="s">
        <v>2297</v>
      </c>
    </row>
    <row r="25" spans="1:3" ht="11.25" customHeight="1">
      <c r="A25" s="1314" t="s">
        <v>2291</v>
      </c>
      <c r="B25" s="1314" t="s">
        <v>2298</v>
      </c>
      <c r="C25" s="1314" t="s">
        <v>2299</v>
      </c>
    </row>
    <row r="26" spans="1:3" ht="11.25" customHeight="1">
      <c r="A26" s="1314" t="s">
        <v>2291</v>
      </c>
      <c r="B26" s="1314" t="s">
        <v>2300</v>
      </c>
      <c r="C26" s="1314" t="s">
        <v>2301</v>
      </c>
    </row>
    <row r="27" spans="1:3" ht="11.25" customHeight="1">
      <c r="A27" s="1314" t="s">
        <v>2291</v>
      </c>
      <c r="B27" s="1314" t="s">
        <v>2302</v>
      </c>
      <c r="C27" s="1314" t="s">
        <v>2303</v>
      </c>
    </row>
    <row r="28" spans="1:3" ht="11.25" customHeight="1">
      <c r="A28" s="1314" t="s">
        <v>2291</v>
      </c>
      <c r="B28" s="1314" t="s">
        <v>2304</v>
      </c>
      <c r="C28" s="1314" t="s">
        <v>2305</v>
      </c>
    </row>
    <row r="29" spans="1:3" ht="11.25" customHeight="1">
      <c r="A29" s="1314" t="s">
        <v>2291</v>
      </c>
      <c r="B29" s="1314" t="s">
        <v>2306</v>
      </c>
      <c r="C29" s="1314" t="s">
        <v>2307</v>
      </c>
    </row>
    <row r="30" spans="1:3" ht="11.25" customHeight="1">
      <c r="A30" s="1314" t="s">
        <v>2308</v>
      </c>
      <c r="B30" s="1314" t="s">
        <v>2309</v>
      </c>
      <c r="C30" s="1314" t="s">
        <v>2310</v>
      </c>
    </row>
    <row r="31" spans="1:3" ht="11.25" customHeight="1">
      <c r="A31" s="1314" t="s">
        <v>2308</v>
      </c>
      <c r="B31" s="1314" t="s">
        <v>2311</v>
      </c>
      <c r="C31" s="1314" t="s">
        <v>2312</v>
      </c>
    </row>
    <row r="32" spans="1:3" ht="11.25" customHeight="1">
      <c r="A32" s="1314" t="s">
        <v>2308</v>
      </c>
      <c r="B32" s="1314" t="s">
        <v>2313</v>
      </c>
      <c r="C32" s="1314" t="s">
        <v>2314</v>
      </c>
    </row>
    <row r="33" spans="1:3" ht="11.25" customHeight="1">
      <c r="A33" s="1314" t="s">
        <v>2308</v>
      </c>
      <c r="B33" s="1314" t="s">
        <v>2315</v>
      </c>
      <c r="C33" s="1314" t="s">
        <v>2316</v>
      </c>
    </row>
    <row r="34" spans="1:3" ht="11.25" customHeight="1">
      <c r="A34" s="1314" t="s">
        <v>2308</v>
      </c>
      <c r="B34" s="1314" t="s">
        <v>2317</v>
      </c>
      <c r="C34" s="1314" t="s">
        <v>2318</v>
      </c>
    </row>
    <row r="35" spans="1:3" ht="11.25" customHeight="1">
      <c r="A35" s="1314" t="s">
        <v>2308</v>
      </c>
      <c r="B35" s="1314" t="s">
        <v>2319</v>
      </c>
      <c r="C35" s="1314" t="s">
        <v>2320</v>
      </c>
    </row>
    <row r="36" spans="1:3" ht="11.25" customHeight="1">
      <c r="A36" s="1314" t="s">
        <v>2308</v>
      </c>
      <c r="B36" s="1314" t="s">
        <v>2321</v>
      </c>
      <c r="C36" s="1314" t="s">
        <v>2322</v>
      </c>
    </row>
    <row r="37" spans="1:3" ht="11.25" customHeight="1">
      <c r="A37" s="1314" t="s">
        <v>2308</v>
      </c>
      <c r="B37" s="1314" t="s">
        <v>2323</v>
      </c>
      <c r="C37" s="1314" t="s">
        <v>2324</v>
      </c>
    </row>
    <row r="38" spans="1:3" ht="11.25" customHeight="1">
      <c r="A38" s="1314" t="s">
        <v>2308</v>
      </c>
      <c r="B38" s="1314" t="s">
        <v>2325</v>
      </c>
      <c r="C38" s="1314" t="s">
        <v>2326</v>
      </c>
    </row>
    <row r="39" spans="1:3" ht="11.25" customHeight="1">
      <c r="A39" s="1314" t="s">
        <v>2327</v>
      </c>
      <c r="B39" s="1314" t="s">
        <v>2328</v>
      </c>
      <c r="C39" s="1314" t="s">
        <v>2329</v>
      </c>
    </row>
    <row r="40" spans="1:3" ht="11.25" customHeight="1">
      <c r="A40" s="1314" t="s">
        <v>2327</v>
      </c>
      <c r="B40" s="1314" t="s">
        <v>2330</v>
      </c>
      <c r="C40" s="1314" t="s">
        <v>2331</v>
      </c>
    </row>
    <row r="41" spans="1:3" ht="11.25" customHeight="1">
      <c r="A41" s="1314" t="s">
        <v>2327</v>
      </c>
      <c r="B41" s="1314" t="s">
        <v>2332</v>
      </c>
      <c r="C41" s="1314" t="s">
        <v>2333</v>
      </c>
    </row>
    <row r="42" spans="1:3" ht="11.25" customHeight="1">
      <c r="A42" s="1314" t="s">
        <v>2327</v>
      </c>
      <c r="B42" s="1314" t="s">
        <v>2334</v>
      </c>
      <c r="C42" s="1314" t="s">
        <v>2335</v>
      </c>
    </row>
    <row r="43" spans="1:3" ht="11.25" customHeight="1">
      <c r="A43" s="1314" t="s">
        <v>2327</v>
      </c>
      <c r="B43" s="1314" t="s">
        <v>2336</v>
      </c>
      <c r="C43" s="1314" t="s">
        <v>2337</v>
      </c>
    </row>
    <row r="44" spans="1:3" ht="11.25" customHeight="1">
      <c r="A44" s="1314" t="s">
        <v>2327</v>
      </c>
      <c r="B44" s="1314" t="s">
        <v>2338</v>
      </c>
      <c r="C44" s="1314" t="s">
        <v>2339</v>
      </c>
    </row>
    <row r="45" spans="1:3" ht="11.25" customHeight="1">
      <c r="A45" s="1314" t="s">
        <v>2327</v>
      </c>
      <c r="B45" s="1314" t="s">
        <v>2340</v>
      </c>
      <c r="C45" s="1314" t="s">
        <v>2341</v>
      </c>
    </row>
    <row r="46" spans="1:3" ht="11.25" customHeight="1">
      <c r="A46" s="1314" t="s">
        <v>2342</v>
      </c>
      <c r="B46" s="1314" t="s">
        <v>2343</v>
      </c>
      <c r="C46" s="1314" t="s">
        <v>2344</v>
      </c>
    </row>
    <row r="47" spans="1:3" ht="11.25" customHeight="1">
      <c r="A47" s="1314" t="s">
        <v>2342</v>
      </c>
      <c r="B47" s="1314" t="s">
        <v>2345</v>
      </c>
      <c r="C47" s="1314" t="s">
        <v>2346</v>
      </c>
    </row>
    <row r="48" spans="1:3" ht="11.25" customHeight="1">
      <c r="A48" s="1314" t="s">
        <v>2342</v>
      </c>
      <c r="B48" s="1314" t="s">
        <v>2347</v>
      </c>
      <c r="C48" s="1314" t="s">
        <v>2348</v>
      </c>
    </row>
    <row r="49" spans="1:3" ht="11.25" customHeight="1">
      <c r="A49" s="1314" t="s">
        <v>2342</v>
      </c>
      <c r="B49" s="1314" t="s">
        <v>2349</v>
      </c>
      <c r="C49" s="1314" t="s">
        <v>2350</v>
      </c>
    </row>
    <row r="50" spans="1:3" ht="11.25" customHeight="1">
      <c r="A50" s="1314" t="s">
        <v>2342</v>
      </c>
      <c r="B50" s="1314" t="s">
        <v>2351</v>
      </c>
      <c r="C50" s="1314" t="s">
        <v>2352</v>
      </c>
    </row>
    <row r="51" spans="1:3" ht="11.25" customHeight="1">
      <c r="A51" s="1314" t="s">
        <v>2342</v>
      </c>
      <c r="B51" s="1314" t="s">
        <v>2353</v>
      </c>
      <c r="C51" s="1314" t="s">
        <v>2354</v>
      </c>
    </row>
    <row r="52" spans="1:3" ht="11.25" customHeight="1">
      <c r="A52" s="1314" t="s">
        <v>2342</v>
      </c>
      <c r="B52" s="1314" t="s">
        <v>2355</v>
      </c>
      <c r="C52" s="1314" t="s">
        <v>2356</v>
      </c>
    </row>
    <row r="53" spans="1:3" ht="11.25" customHeight="1">
      <c r="A53" s="1314" t="s">
        <v>2342</v>
      </c>
      <c r="B53" s="1314" t="s">
        <v>2357</v>
      </c>
      <c r="C53" s="1314" t="s">
        <v>2358</v>
      </c>
    </row>
    <row r="54" spans="1:3" ht="11.25" customHeight="1">
      <c r="A54" s="1314" t="s">
        <v>2342</v>
      </c>
      <c r="B54" s="1314" t="s">
        <v>2359</v>
      </c>
      <c r="C54" s="1314" t="s">
        <v>2360</v>
      </c>
    </row>
    <row r="55" spans="1:3" ht="11.25" customHeight="1">
      <c r="A55" s="1314" t="s">
        <v>2361</v>
      </c>
      <c r="B55" s="1314" t="s">
        <v>2361</v>
      </c>
      <c r="C55" s="1314" t="s">
        <v>2362</v>
      </c>
    </row>
    <row r="56" spans="1:3" ht="11.25" customHeight="1">
      <c r="A56" s="1314" t="s">
        <v>2361</v>
      </c>
      <c r="B56" s="1314" t="s">
        <v>2363</v>
      </c>
      <c r="C56" s="1314" t="s">
        <v>2364</v>
      </c>
    </row>
    <row r="57" spans="1:3" ht="11.25" customHeight="1">
      <c r="A57" s="1314" t="s">
        <v>2361</v>
      </c>
      <c r="B57" s="1314" t="s">
        <v>2365</v>
      </c>
      <c r="C57" s="1314" t="s">
        <v>2366</v>
      </c>
    </row>
    <row r="58" spans="1:3" ht="11.25" customHeight="1">
      <c r="A58" s="1314" t="s">
        <v>2361</v>
      </c>
      <c r="B58" s="1314" t="s">
        <v>2367</v>
      </c>
      <c r="C58" s="1314" t="s">
        <v>2368</v>
      </c>
    </row>
    <row r="59" spans="1:3" ht="11.25" customHeight="1">
      <c r="A59" s="1314" t="s">
        <v>2361</v>
      </c>
      <c r="B59" s="1314" t="s">
        <v>2369</v>
      </c>
      <c r="C59" s="1314" t="s">
        <v>2370</v>
      </c>
    </row>
    <row r="60" spans="1:3" ht="11.25" customHeight="1">
      <c r="A60" s="1314" t="s">
        <v>2361</v>
      </c>
      <c r="B60" s="1314" t="s">
        <v>2371</v>
      </c>
      <c r="C60" s="1314" t="s">
        <v>2372</v>
      </c>
    </row>
    <row r="61" spans="1:3" ht="11.25" customHeight="1">
      <c r="A61" s="1314" t="s">
        <v>2361</v>
      </c>
      <c r="B61" s="1314" t="s">
        <v>2373</v>
      </c>
      <c r="C61" s="1314" t="s">
        <v>2374</v>
      </c>
    </row>
    <row r="62" spans="1:3" ht="11.25" customHeight="1">
      <c r="A62" s="1314" t="s">
        <v>2361</v>
      </c>
      <c r="B62" s="1314" t="s">
        <v>2375</v>
      </c>
      <c r="C62" s="1314" t="s">
        <v>2376</v>
      </c>
    </row>
    <row r="63" spans="1:3" ht="11.25" customHeight="1">
      <c r="A63" s="1314" t="s">
        <v>2361</v>
      </c>
      <c r="B63" s="1314" t="s">
        <v>2377</v>
      </c>
      <c r="C63" s="1314" t="s">
        <v>2378</v>
      </c>
    </row>
    <row r="64" spans="1:3" ht="11.25" customHeight="1">
      <c r="A64" s="1314" t="s">
        <v>2361</v>
      </c>
      <c r="B64" s="1314" t="s">
        <v>2379</v>
      </c>
      <c r="C64" s="1314" t="s">
        <v>2380</v>
      </c>
    </row>
    <row r="65" spans="1:3" ht="11.25" customHeight="1">
      <c r="A65" s="1314" t="s">
        <v>2361</v>
      </c>
      <c r="B65" s="1314" t="s">
        <v>2381</v>
      </c>
      <c r="C65" s="1314" t="s">
        <v>2382</v>
      </c>
    </row>
    <row r="66" spans="1:3" ht="11.25" customHeight="1">
      <c r="A66" s="1314" t="s">
        <v>2361</v>
      </c>
      <c r="B66" s="1314" t="s">
        <v>2383</v>
      </c>
      <c r="C66" s="1314" t="s">
        <v>2384</v>
      </c>
    </row>
    <row r="67" spans="1:3" ht="11.25" customHeight="1">
      <c r="A67" s="1314" t="s">
        <v>2385</v>
      </c>
      <c r="B67" s="1314" t="s">
        <v>2385</v>
      </c>
      <c r="C67" s="1314" t="s">
        <v>2386</v>
      </c>
    </row>
    <row r="68" spans="1:3" ht="11.25" customHeight="1">
      <c r="A68" s="1314" t="s">
        <v>2385</v>
      </c>
      <c r="B68" s="1314" t="s">
        <v>2387</v>
      </c>
      <c r="C68" s="1314" t="s">
        <v>2388</v>
      </c>
    </row>
    <row r="69" spans="1:3" ht="11.25" customHeight="1">
      <c r="A69" s="1314" t="s">
        <v>2385</v>
      </c>
      <c r="B69" s="1314" t="s">
        <v>2389</v>
      </c>
      <c r="C69" s="1314" t="s">
        <v>2390</v>
      </c>
    </row>
    <row r="70" spans="1:3" ht="11.25" customHeight="1">
      <c r="A70" s="1314" t="s">
        <v>2385</v>
      </c>
      <c r="B70" s="1314" t="s">
        <v>2391</v>
      </c>
      <c r="C70" s="1314" t="s">
        <v>2392</v>
      </c>
    </row>
    <row r="71" spans="1:3" ht="11.25" customHeight="1">
      <c r="A71" s="1314" t="s">
        <v>2385</v>
      </c>
      <c r="B71" s="1314" t="s">
        <v>2393</v>
      </c>
      <c r="C71" s="1314" t="s">
        <v>2394</v>
      </c>
    </row>
    <row r="72" spans="1:3" ht="11.25" customHeight="1">
      <c r="A72" s="1314" t="s">
        <v>2385</v>
      </c>
      <c r="B72" s="1314" t="s">
        <v>2395</v>
      </c>
      <c r="C72" s="1314" t="s">
        <v>2396</v>
      </c>
    </row>
    <row r="73" spans="1:3" ht="11.25" customHeight="1">
      <c r="A73" s="1314" t="s">
        <v>2385</v>
      </c>
      <c r="B73" s="1314" t="s">
        <v>2397</v>
      </c>
      <c r="C73" s="1314" t="s">
        <v>2398</v>
      </c>
    </row>
    <row r="74" spans="1:3" ht="11.25" customHeight="1">
      <c r="A74" s="1314" t="s">
        <v>2385</v>
      </c>
      <c r="B74" s="1314" t="s">
        <v>2399</v>
      </c>
      <c r="C74" s="1314" t="s">
        <v>2400</v>
      </c>
    </row>
    <row r="75" spans="1:3" ht="11.25" customHeight="1">
      <c r="A75" s="1314" t="s">
        <v>2385</v>
      </c>
      <c r="B75" s="1314" t="s">
        <v>2401</v>
      </c>
      <c r="C75" s="1314" t="s">
        <v>2402</v>
      </c>
    </row>
    <row r="76" spans="1:3" ht="11.25" customHeight="1">
      <c r="A76" s="1314" t="s">
        <v>2403</v>
      </c>
      <c r="B76" s="1314" t="s">
        <v>2404</v>
      </c>
      <c r="C76" s="1314" t="s">
        <v>2405</v>
      </c>
    </row>
    <row r="77" spans="1:3" ht="11.25" customHeight="1">
      <c r="A77" s="1314" t="s">
        <v>2403</v>
      </c>
      <c r="B77" s="1314" t="s">
        <v>2406</v>
      </c>
      <c r="C77" s="1314" t="s">
        <v>2407</v>
      </c>
    </row>
    <row r="78" spans="1:3" ht="11.25" customHeight="1">
      <c r="A78" s="1314" t="s">
        <v>2403</v>
      </c>
      <c r="B78" s="1314" t="s">
        <v>2408</v>
      </c>
      <c r="C78" s="1314" t="s">
        <v>2409</v>
      </c>
    </row>
    <row r="79" spans="1:3" ht="11.25" customHeight="1">
      <c r="A79" s="1314" t="s">
        <v>2403</v>
      </c>
      <c r="B79" s="1314" t="s">
        <v>2410</v>
      </c>
      <c r="C79" s="1314" t="s">
        <v>2411</v>
      </c>
    </row>
    <row r="80" spans="1:3" ht="11.25" customHeight="1">
      <c r="A80" s="1314" t="s">
        <v>2403</v>
      </c>
      <c r="B80" s="1314" t="s">
        <v>2412</v>
      </c>
      <c r="C80" s="1314" t="s">
        <v>2413</v>
      </c>
    </row>
    <row r="81" spans="1:3" ht="11.25" customHeight="1">
      <c r="A81" s="1314" t="s">
        <v>2403</v>
      </c>
      <c r="B81" s="1314" t="s">
        <v>2414</v>
      </c>
      <c r="C81" s="1314" t="s">
        <v>2415</v>
      </c>
    </row>
    <row r="82" spans="1:3" ht="11.25" customHeight="1">
      <c r="A82" s="1314" t="s">
        <v>2403</v>
      </c>
      <c r="B82" s="1314" t="s">
        <v>2416</v>
      </c>
      <c r="C82" s="1314" t="s">
        <v>2417</v>
      </c>
    </row>
    <row r="83" spans="1:3" ht="11.25" customHeight="1">
      <c r="A83" s="1314" t="s">
        <v>2403</v>
      </c>
      <c r="B83" s="1314" t="s">
        <v>2418</v>
      </c>
      <c r="C83" s="1314" t="s">
        <v>2419</v>
      </c>
    </row>
    <row r="84" spans="1:3" ht="11.25" customHeight="1">
      <c r="A84" s="1314" t="s">
        <v>2403</v>
      </c>
      <c r="B84" s="1314" t="s">
        <v>2420</v>
      </c>
      <c r="C84" s="1314" t="s">
        <v>2421</v>
      </c>
    </row>
    <row r="85" spans="1:3" ht="11.25" customHeight="1">
      <c r="A85" s="1314" t="s">
        <v>2403</v>
      </c>
      <c r="B85" s="1314" t="s">
        <v>2422</v>
      </c>
      <c r="C85" s="1314" t="s">
        <v>2423</v>
      </c>
    </row>
    <row r="86" spans="1:3" ht="11.25" customHeight="1">
      <c r="A86" s="1314" t="s">
        <v>2403</v>
      </c>
      <c r="B86" s="1314" t="s">
        <v>2424</v>
      </c>
      <c r="C86" s="1314" t="s">
        <v>2425</v>
      </c>
    </row>
    <row r="87" spans="1:3" ht="11.25" customHeight="1">
      <c r="A87" s="1314" t="s">
        <v>2403</v>
      </c>
      <c r="B87" s="1314" t="s">
        <v>2426</v>
      </c>
      <c r="C87" s="1314" t="s">
        <v>2427</v>
      </c>
    </row>
    <row r="88" spans="1:3" ht="11.25" customHeight="1">
      <c r="A88" s="1314" t="s">
        <v>2403</v>
      </c>
      <c r="B88" s="1314" t="s">
        <v>2428</v>
      </c>
      <c r="C88" s="1314" t="s">
        <v>2429</v>
      </c>
    </row>
    <row r="89" spans="1:3" ht="11.25" customHeight="1">
      <c r="A89" s="1314" t="s">
        <v>2430</v>
      </c>
      <c r="B89" s="1314" t="s">
        <v>2430</v>
      </c>
      <c r="C89" s="1314" t="s">
        <v>2431</v>
      </c>
    </row>
    <row r="90" spans="1:3" ht="11.25" customHeight="1">
      <c r="A90" s="1314" t="s">
        <v>2430</v>
      </c>
      <c r="B90" s="1314" t="s">
        <v>2432</v>
      </c>
      <c r="C90" s="1314" t="s">
        <v>2433</v>
      </c>
    </row>
    <row r="91" spans="1:3" ht="11.25" customHeight="1">
      <c r="A91" s="1314" t="s">
        <v>2430</v>
      </c>
      <c r="B91" s="1314" t="s">
        <v>2434</v>
      </c>
      <c r="C91" s="1314" t="s">
        <v>2435</v>
      </c>
    </row>
    <row r="92" spans="1:3" ht="11.25" customHeight="1">
      <c r="A92" s="1314" t="s">
        <v>2430</v>
      </c>
      <c r="B92" s="1314" t="s">
        <v>2436</v>
      </c>
      <c r="C92" s="1314" t="s">
        <v>2437</v>
      </c>
    </row>
    <row r="93" spans="1:3" ht="11.25" customHeight="1">
      <c r="A93" s="1314" t="s">
        <v>2430</v>
      </c>
      <c r="B93" s="1314" t="s">
        <v>2438</v>
      </c>
      <c r="C93" s="1314" t="s">
        <v>2439</v>
      </c>
    </row>
    <row r="94" spans="1:3" ht="11.25" customHeight="1">
      <c r="A94" s="1314" t="s">
        <v>2430</v>
      </c>
      <c r="B94" s="1314" t="s">
        <v>2440</v>
      </c>
      <c r="C94" s="1314" t="s">
        <v>2441</v>
      </c>
    </row>
    <row r="95" spans="1:3" ht="11.25" customHeight="1">
      <c r="A95" s="1314" t="s">
        <v>2430</v>
      </c>
      <c r="B95" s="1314" t="s">
        <v>2442</v>
      </c>
      <c r="C95" s="1314" t="s">
        <v>2443</v>
      </c>
    </row>
    <row r="96" spans="1:3" ht="11.25" customHeight="1">
      <c r="A96" s="1314" t="s">
        <v>2430</v>
      </c>
      <c r="B96" s="1314" t="s">
        <v>2440</v>
      </c>
      <c r="C96" s="1314" t="s">
        <v>2444</v>
      </c>
    </row>
    <row r="97" spans="1:3" ht="11.25" customHeight="1">
      <c r="A97" s="1314" t="s">
        <v>2430</v>
      </c>
      <c r="B97" s="1314" t="s">
        <v>2445</v>
      </c>
      <c r="C97" s="1314" t="s">
        <v>2446</v>
      </c>
    </row>
    <row r="98" spans="1:3" ht="11.25" customHeight="1">
      <c r="A98" s="1314" t="s">
        <v>2430</v>
      </c>
      <c r="B98" s="1314" t="s">
        <v>2447</v>
      </c>
      <c r="C98" s="1314" t="s">
        <v>2448</v>
      </c>
    </row>
    <row r="99" spans="1:3" ht="11.25" customHeight="1">
      <c r="A99" s="1314" t="s">
        <v>2430</v>
      </c>
      <c r="B99" s="1314" t="s">
        <v>2449</v>
      </c>
      <c r="C99" s="1314" t="s">
        <v>2450</v>
      </c>
    </row>
    <row r="100" spans="1:3" ht="11.25" customHeight="1">
      <c r="A100" s="1314" t="s">
        <v>2430</v>
      </c>
      <c r="B100" s="1314" t="s">
        <v>2451</v>
      </c>
      <c r="C100" s="1314" t="s">
        <v>2452</v>
      </c>
    </row>
    <row r="101" spans="1:3" ht="11.25" customHeight="1">
      <c r="A101" s="1314" t="s">
        <v>2430</v>
      </c>
      <c r="B101" s="1314" t="s">
        <v>2453</v>
      </c>
      <c r="C101" s="1314" t="s">
        <v>2454</v>
      </c>
    </row>
    <row r="102" spans="1:3" ht="11.25" customHeight="1">
      <c r="A102" s="1314" t="s">
        <v>2430</v>
      </c>
      <c r="B102" s="1314" t="s">
        <v>2455</v>
      </c>
      <c r="C102" s="1314" t="s">
        <v>2456</v>
      </c>
    </row>
    <row r="103" spans="1:3" ht="11.25" customHeight="1">
      <c r="A103" s="1314" t="s">
        <v>2430</v>
      </c>
      <c r="B103" s="1314" t="s">
        <v>2457</v>
      </c>
      <c r="C103" s="1314" t="s">
        <v>2458</v>
      </c>
    </row>
    <row r="104" spans="1:3" ht="11.25" customHeight="1">
      <c r="A104" s="1314" t="s">
        <v>2430</v>
      </c>
      <c r="B104" s="1314" t="s">
        <v>2459</v>
      </c>
      <c r="C104" s="1314" t="s">
        <v>2460</v>
      </c>
    </row>
    <row r="105" spans="1:3" ht="11.25" customHeight="1">
      <c r="A105" s="1314" t="s">
        <v>2430</v>
      </c>
      <c r="B105" s="1314" t="s">
        <v>2461</v>
      </c>
      <c r="C105" s="1314" t="s">
        <v>2462</v>
      </c>
    </row>
    <row r="106" spans="1:3" ht="11.25" customHeight="1">
      <c r="A106" s="1314" t="s">
        <v>2430</v>
      </c>
      <c r="B106" s="1314" t="s">
        <v>2461</v>
      </c>
      <c r="C106" s="1314" t="s">
        <v>2463</v>
      </c>
    </row>
    <row r="107" spans="1:3" ht="11.25" customHeight="1">
      <c r="A107" s="1314" t="s">
        <v>2430</v>
      </c>
      <c r="B107" s="1314" t="s">
        <v>2432</v>
      </c>
      <c r="C107" s="1314" t="s">
        <v>2464</v>
      </c>
    </row>
    <row r="108" spans="1:3" ht="11.25" customHeight="1">
      <c r="A108" s="1314" t="s">
        <v>2465</v>
      </c>
      <c r="B108" s="1314" t="s">
        <v>2466</v>
      </c>
      <c r="C108" s="1314" t="s">
        <v>2467</v>
      </c>
    </row>
    <row r="109" spans="1:3" ht="11.25" customHeight="1">
      <c r="A109" s="1314" t="s">
        <v>2465</v>
      </c>
      <c r="B109" s="1314" t="s">
        <v>2468</v>
      </c>
      <c r="C109" s="1314" t="s">
        <v>2469</v>
      </c>
    </row>
    <row r="110" spans="1:3" ht="11.25" customHeight="1">
      <c r="A110" s="1314" t="s">
        <v>2465</v>
      </c>
      <c r="B110" s="1314" t="s">
        <v>2470</v>
      </c>
      <c r="C110" s="1314" t="s">
        <v>2471</v>
      </c>
    </row>
    <row r="111" spans="1:3" ht="11.25" customHeight="1">
      <c r="A111" s="1314" t="s">
        <v>2465</v>
      </c>
      <c r="B111" s="1314" t="s">
        <v>2472</v>
      </c>
      <c r="C111" s="1314" t="s">
        <v>2473</v>
      </c>
    </row>
    <row r="112" spans="1:3" ht="11.25" customHeight="1">
      <c r="A112" s="1314" t="s">
        <v>2465</v>
      </c>
      <c r="B112" s="1314" t="s">
        <v>2474</v>
      </c>
      <c r="C112" s="1314" t="s">
        <v>2475</v>
      </c>
    </row>
    <row r="113" spans="1:3" ht="11.25" customHeight="1">
      <c r="A113" s="1314" t="s">
        <v>2465</v>
      </c>
      <c r="B113" s="1314" t="s">
        <v>2476</v>
      </c>
      <c r="C113" s="1314" t="s">
        <v>2477</v>
      </c>
    </row>
    <row r="114" spans="1:3" ht="11.25" customHeight="1">
      <c r="A114" s="1314" t="s">
        <v>2465</v>
      </c>
      <c r="B114" s="1314" t="s">
        <v>2478</v>
      </c>
      <c r="C114" s="1314" t="s">
        <v>2479</v>
      </c>
    </row>
    <row r="115" spans="1:3" ht="11.25" customHeight="1">
      <c r="A115" s="1314" t="s">
        <v>2465</v>
      </c>
      <c r="B115" s="1314" t="s">
        <v>2480</v>
      </c>
      <c r="C115" s="1314" t="s">
        <v>2481</v>
      </c>
    </row>
    <row r="116" spans="1:3" ht="11.25" customHeight="1">
      <c r="A116" s="1314" t="s">
        <v>2465</v>
      </c>
      <c r="B116" s="1314" t="s">
        <v>2482</v>
      </c>
      <c r="C116" s="1314" t="s">
        <v>2483</v>
      </c>
    </row>
    <row r="117" spans="1:3" ht="11.25" customHeight="1">
      <c r="A117" s="1314" t="s">
        <v>2465</v>
      </c>
      <c r="B117" s="1314" t="s">
        <v>2484</v>
      </c>
      <c r="C117" s="1314" t="s">
        <v>2485</v>
      </c>
    </row>
    <row r="118" spans="1:3" ht="11.25" customHeight="1">
      <c r="A118" s="1314" t="s">
        <v>2486</v>
      </c>
      <c r="B118" s="1314" t="s">
        <v>2486</v>
      </c>
      <c r="C118" s="1314" t="s">
        <v>2487</v>
      </c>
    </row>
    <row r="119" spans="1:3" ht="11.25" customHeight="1">
      <c r="A119" s="1314" t="s">
        <v>2486</v>
      </c>
      <c r="B119" s="1314" t="s">
        <v>2488</v>
      </c>
      <c r="C119" s="1314" t="s">
        <v>2489</v>
      </c>
    </row>
    <row r="120" spans="1:3" ht="11.25" customHeight="1">
      <c r="A120" s="1314" t="s">
        <v>2486</v>
      </c>
      <c r="B120" s="1314" t="s">
        <v>2490</v>
      </c>
      <c r="C120" s="1314" t="s">
        <v>2491</v>
      </c>
    </row>
    <row r="121" spans="1:3" ht="11.25" customHeight="1">
      <c r="A121" s="1314" t="s">
        <v>2486</v>
      </c>
      <c r="B121" s="1314" t="s">
        <v>2492</v>
      </c>
      <c r="C121" s="1314" t="s">
        <v>2493</v>
      </c>
    </row>
    <row r="122" spans="1:3" ht="11.25" customHeight="1">
      <c r="A122" s="1314" t="s">
        <v>2486</v>
      </c>
      <c r="B122" s="1314" t="s">
        <v>2494</v>
      </c>
      <c r="C122" s="1314" t="s">
        <v>2495</v>
      </c>
    </row>
    <row r="123" spans="1:3" ht="11.25" customHeight="1">
      <c r="A123" s="1314" t="s">
        <v>2486</v>
      </c>
      <c r="B123" s="1314" t="s">
        <v>2496</v>
      </c>
      <c r="C123" s="1314" t="s">
        <v>2497</v>
      </c>
    </row>
    <row r="124" spans="1:3" ht="11.25" customHeight="1">
      <c r="A124" s="1314" t="s">
        <v>2486</v>
      </c>
      <c r="B124" s="1314" t="s">
        <v>2498</v>
      </c>
      <c r="C124" s="1314" t="s">
        <v>2499</v>
      </c>
    </row>
    <row r="125" spans="1:3" ht="11.25" customHeight="1">
      <c r="A125" s="1314" t="s">
        <v>2486</v>
      </c>
      <c r="B125" s="1314" t="s">
        <v>2500</v>
      </c>
      <c r="C125" s="1314" t="s">
        <v>2501</v>
      </c>
    </row>
    <row r="126" spans="1:3" ht="11.25" customHeight="1">
      <c r="A126" s="1314" t="s">
        <v>2486</v>
      </c>
      <c r="B126" s="1314" t="s">
        <v>2502</v>
      </c>
      <c r="C126" s="1314" t="s">
        <v>2503</v>
      </c>
    </row>
    <row r="127" spans="1:3" ht="11.25" customHeight="1">
      <c r="A127" s="1314" t="s">
        <v>2486</v>
      </c>
      <c r="B127" s="1314" t="s">
        <v>2504</v>
      </c>
      <c r="C127" s="1314" t="s">
        <v>2505</v>
      </c>
    </row>
    <row r="128" spans="1:3" ht="11.25" customHeight="1">
      <c r="A128" s="1314" t="s">
        <v>2486</v>
      </c>
      <c r="B128" s="1314" t="s">
        <v>2506</v>
      </c>
      <c r="C128" s="1314" t="s">
        <v>2507</v>
      </c>
    </row>
    <row r="129" spans="1:3" ht="11.25" customHeight="1">
      <c r="A129" s="1314" t="s">
        <v>2486</v>
      </c>
      <c r="B129" s="1314" t="s">
        <v>2508</v>
      </c>
      <c r="C129" s="1314" t="s">
        <v>2509</v>
      </c>
    </row>
    <row r="130" spans="1:3" ht="11.25" customHeight="1">
      <c r="A130" s="1314" t="s">
        <v>2510</v>
      </c>
      <c r="B130" s="1314" t="s">
        <v>2511</v>
      </c>
      <c r="C130" s="1314" t="s">
        <v>2512</v>
      </c>
    </row>
    <row r="131" spans="1:3" ht="11.25" customHeight="1">
      <c r="A131" s="1314" t="s">
        <v>2510</v>
      </c>
      <c r="B131" s="1314" t="s">
        <v>2513</v>
      </c>
      <c r="C131" s="1314" t="s">
        <v>2514</v>
      </c>
    </row>
    <row r="132" spans="1:3" ht="11.25" customHeight="1">
      <c r="A132" s="1314" t="s">
        <v>2510</v>
      </c>
      <c r="B132" s="1314" t="s">
        <v>2515</v>
      </c>
      <c r="C132" s="1314" t="s">
        <v>2516</v>
      </c>
    </row>
    <row r="133" spans="1:3" ht="11.25" customHeight="1">
      <c r="A133" s="1314" t="s">
        <v>2510</v>
      </c>
      <c r="B133" s="1314" t="s">
        <v>2517</v>
      </c>
      <c r="C133" s="1314" t="s">
        <v>2518</v>
      </c>
    </row>
    <row r="134" spans="1:3" ht="11.25" customHeight="1">
      <c r="A134" s="1314" t="s">
        <v>2510</v>
      </c>
      <c r="B134" s="1314" t="s">
        <v>2519</v>
      </c>
      <c r="C134" s="1314" t="s">
        <v>2520</v>
      </c>
    </row>
    <row r="135" spans="1:3" ht="11.25" customHeight="1">
      <c r="A135" s="1314" t="s">
        <v>2510</v>
      </c>
      <c r="B135" s="1314" t="s">
        <v>2521</v>
      </c>
      <c r="C135" s="1314" t="s">
        <v>2522</v>
      </c>
    </row>
    <row r="136" spans="1:3" ht="11.25" customHeight="1">
      <c r="A136" s="1314" t="s">
        <v>2510</v>
      </c>
      <c r="B136" s="1314" t="s">
        <v>2523</v>
      </c>
      <c r="C136" s="1314" t="s">
        <v>2524</v>
      </c>
    </row>
    <row r="137" spans="1:3" ht="11.25" customHeight="1">
      <c r="A137" s="1314" t="s">
        <v>2510</v>
      </c>
      <c r="B137" s="1314" t="s">
        <v>2525</v>
      </c>
      <c r="C137" s="1314" t="s">
        <v>2526</v>
      </c>
    </row>
    <row r="138" spans="1:3" ht="11.25" customHeight="1">
      <c r="A138" s="1314" t="s">
        <v>2510</v>
      </c>
      <c r="B138" s="1314" t="s">
        <v>2527</v>
      </c>
      <c r="C138" s="1314" t="s">
        <v>2528</v>
      </c>
    </row>
    <row r="139" spans="1:3" ht="11.25" customHeight="1">
      <c r="A139" s="1314" t="s">
        <v>2510</v>
      </c>
      <c r="B139" s="1314" t="s">
        <v>2529</v>
      </c>
      <c r="C139" s="1314" t="s">
        <v>2530</v>
      </c>
    </row>
    <row r="140" spans="1:3" ht="11.25" customHeight="1">
      <c r="A140" s="1314" t="s">
        <v>2531</v>
      </c>
      <c r="B140" s="1314" t="s">
        <v>2531</v>
      </c>
      <c r="C140" s="1314" t="s">
        <v>2532</v>
      </c>
    </row>
    <row r="141" spans="1:3" ht="11.25" customHeight="1">
      <c r="A141" s="1314" t="s">
        <v>2531</v>
      </c>
      <c r="B141" s="1314" t="s">
        <v>2533</v>
      </c>
      <c r="C141" s="1314" t="s">
        <v>2534</v>
      </c>
    </row>
    <row r="142" spans="1:3" ht="11.25" customHeight="1">
      <c r="A142" s="1314" t="s">
        <v>2531</v>
      </c>
      <c r="B142" s="1314" t="s">
        <v>2535</v>
      </c>
      <c r="C142" s="1314" t="s">
        <v>2536</v>
      </c>
    </row>
    <row r="143" spans="1:3" ht="11.25" customHeight="1">
      <c r="A143" s="1314" t="s">
        <v>2531</v>
      </c>
      <c r="B143" s="1314" t="s">
        <v>2537</v>
      </c>
      <c r="C143" s="1314" t="s">
        <v>2538</v>
      </c>
    </row>
    <row r="144" spans="1:3" ht="11.25" customHeight="1">
      <c r="A144" s="1314" t="s">
        <v>2531</v>
      </c>
      <c r="B144" s="1314" t="s">
        <v>2539</v>
      </c>
      <c r="C144" s="1314" t="s">
        <v>2540</v>
      </c>
    </row>
    <row r="145" spans="1:3" ht="11.25" customHeight="1">
      <c r="A145" s="1314" t="s">
        <v>2531</v>
      </c>
      <c r="B145" s="1314" t="s">
        <v>2541</v>
      </c>
      <c r="C145" s="1314" t="s">
        <v>2542</v>
      </c>
    </row>
    <row r="146" spans="1:3" ht="11.25" customHeight="1">
      <c r="A146" s="1314" t="s">
        <v>2531</v>
      </c>
      <c r="B146" s="1314" t="s">
        <v>2543</v>
      </c>
      <c r="C146" s="1314" t="s">
        <v>2544</v>
      </c>
    </row>
    <row r="147" spans="1:3" ht="11.25" customHeight="1">
      <c r="A147" s="1314" t="s">
        <v>2531</v>
      </c>
      <c r="B147" s="1314" t="s">
        <v>2545</v>
      </c>
      <c r="C147" s="1314" t="s">
        <v>2546</v>
      </c>
    </row>
    <row r="148" spans="1:3" ht="11.25" customHeight="1">
      <c r="A148" s="1314" t="s">
        <v>2531</v>
      </c>
      <c r="B148" s="1314" t="s">
        <v>2547</v>
      </c>
      <c r="C148" s="1314" t="s">
        <v>2548</v>
      </c>
    </row>
    <row r="149" spans="1:3" ht="11.25" customHeight="1">
      <c r="A149" s="1314" t="s">
        <v>2531</v>
      </c>
      <c r="B149" s="1314" t="s">
        <v>2549</v>
      </c>
      <c r="C149" s="1314" t="s">
        <v>2550</v>
      </c>
    </row>
    <row r="150" spans="1:3" ht="11.25" customHeight="1">
      <c r="A150" s="1314" t="s">
        <v>2531</v>
      </c>
      <c r="B150" s="1314" t="s">
        <v>2551</v>
      </c>
      <c r="C150" s="1314" t="s">
        <v>2552</v>
      </c>
    </row>
    <row r="151" spans="1:3" ht="11.25" customHeight="1">
      <c r="A151" s="1314" t="s">
        <v>2531</v>
      </c>
      <c r="B151" s="1314" t="s">
        <v>2553</v>
      </c>
      <c r="C151" s="1314" t="s">
        <v>2554</v>
      </c>
    </row>
    <row r="152" spans="1:3" ht="11.25" customHeight="1">
      <c r="A152" s="1314" t="s">
        <v>2531</v>
      </c>
      <c r="B152" s="1314" t="s">
        <v>2555</v>
      </c>
      <c r="C152" s="1314" t="s">
        <v>2556</v>
      </c>
    </row>
    <row r="153" spans="1:3" ht="11.25" customHeight="1">
      <c r="A153" s="1314" t="s">
        <v>2531</v>
      </c>
      <c r="B153" s="1314" t="s">
        <v>2557</v>
      </c>
      <c r="C153" s="1314" t="s">
        <v>2558</v>
      </c>
    </row>
    <row r="154" spans="1:3" ht="11.25" customHeight="1">
      <c r="A154" s="1314" t="s">
        <v>2559</v>
      </c>
      <c r="B154" s="1314" t="s">
        <v>2560</v>
      </c>
      <c r="C154" s="1314" t="s">
        <v>2561</v>
      </c>
    </row>
    <row r="155" spans="1:3" ht="11.25" customHeight="1">
      <c r="A155" s="1314" t="s">
        <v>2559</v>
      </c>
      <c r="B155" s="1314" t="s">
        <v>2562</v>
      </c>
      <c r="C155" s="1314" t="s">
        <v>2563</v>
      </c>
    </row>
    <row r="156" spans="1:3" ht="11.25" customHeight="1">
      <c r="A156" s="1314" t="s">
        <v>2559</v>
      </c>
      <c r="B156" s="1314" t="s">
        <v>2564</v>
      </c>
      <c r="C156" s="1314" t="s">
        <v>2565</v>
      </c>
    </row>
    <row r="157" spans="1:3" ht="11.25" customHeight="1">
      <c r="A157" s="1314" t="s">
        <v>2559</v>
      </c>
      <c r="B157" s="1314" t="s">
        <v>2566</v>
      </c>
      <c r="C157" s="1314" t="s">
        <v>2567</v>
      </c>
    </row>
    <row r="158" spans="1:3" ht="11.25" customHeight="1">
      <c r="A158" s="1314" t="s">
        <v>2559</v>
      </c>
      <c r="B158" s="1314" t="s">
        <v>2568</v>
      </c>
      <c r="C158" s="1314" t="s">
        <v>2569</v>
      </c>
    </row>
    <row r="159" spans="1:3" ht="11.25" customHeight="1">
      <c r="A159" s="1314" t="s">
        <v>2559</v>
      </c>
      <c r="B159" s="1314" t="s">
        <v>2570</v>
      </c>
      <c r="C159" s="1314" t="s">
        <v>2571</v>
      </c>
    </row>
    <row r="160" spans="1:3" ht="11.25" customHeight="1">
      <c r="A160" s="1314" t="s">
        <v>2559</v>
      </c>
      <c r="B160" s="1314" t="s">
        <v>2572</v>
      </c>
      <c r="C160" s="1314" t="s">
        <v>2573</v>
      </c>
    </row>
    <row r="161" spans="1:3" ht="11.25" customHeight="1">
      <c r="A161" s="1314" t="s">
        <v>2559</v>
      </c>
      <c r="B161" s="1314" t="s">
        <v>2574</v>
      </c>
      <c r="C161" s="1314" t="s">
        <v>2575</v>
      </c>
    </row>
    <row r="162" spans="1:3" ht="11.25" customHeight="1">
      <c r="A162" s="1314" t="s">
        <v>2559</v>
      </c>
      <c r="B162" s="1314" t="s">
        <v>2576</v>
      </c>
      <c r="C162" s="1314" t="s">
        <v>2577</v>
      </c>
    </row>
    <row r="163" spans="1:3" ht="11.25" customHeight="1">
      <c r="A163" s="1314" t="s">
        <v>2559</v>
      </c>
      <c r="B163" s="1314" t="s">
        <v>2578</v>
      </c>
      <c r="C163" s="1314" t="s">
        <v>2579</v>
      </c>
    </row>
    <row r="164" spans="1:3" ht="11.25" customHeight="1">
      <c r="A164" s="1314" t="s">
        <v>2559</v>
      </c>
      <c r="B164" s="1314" t="s">
        <v>2580</v>
      </c>
      <c r="C164" s="1314" t="s">
        <v>2581</v>
      </c>
    </row>
    <row r="165" spans="1:3" ht="11.25" customHeight="1">
      <c r="A165" s="1314" t="s">
        <v>2559</v>
      </c>
      <c r="B165" s="1314" t="s">
        <v>2582</v>
      </c>
      <c r="C165" s="1314" t="s">
        <v>2583</v>
      </c>
    </row>
    <row r="166" spans="1:3" ht="11.25" customHeight="1">
      <c r="A166" s="1314" t="s">
        <v>2584</v>
      </c>
      <c r="B166" s="1314" t="s">
        <v>2585</v>
      </c>
      <c r="C166" s="1314" t="s">
        <v>2586</v>
      </c>
    </row>
    <row r="167" spans="1:3" ht="11.25" customHeight="1">
      <c r="A167" s="1314" t="s">
        <v>2584</v>
      </c>
      <c r="B167" s="1314" t="s">
        <v>2587</v>
      </c>
      <c r="C167" s="1314" t="s">
        <v>2588</v>
      </c>
    </row>
    <row r="168" spans="1:3" ht="11.25" customHeight="1">
      <c r="A168" s="1314" t="s">
        <v>2584</v>
      </c>
      <c r="B168" s="1314" t="s">
        <v>2589</v>
      </c>
      <c r="C168" s="1314" t="s">
        <v>2590</v>
      </c>
    </row>
    <row r="169" spans="1:3" ht="11.25" customHeight="1">
      <c r="A169" s="1314" t="s">
        <v>2584</v>
      </c>
      <c r="B169" s="1314" t="s">
        <v>2591</v>
      </c>
      <c r="C169" s="1314" t="s">
        <v>2592</v>
      </c>
    </row>
    <row r="170" spans="1:3" ht="11.25" customHeight="1">
      <c r="A170" s="1314" t="s">
        <v>2584</v>
      </c>
      <c r="B170" s="1314" t="s">
        <v>2593</v>
      </c>
      <c r="C170" s="1314" t="s">
        <v>2594</v>
      </c>
    </row>
    <row r="171" spans="1:3" ht="11.25" customHeight="1">
      <c r="A171" s="1314" t="s">
        <v>2584</v>
      </c>
      <c r="B171" s="1314" t="s">
        <v>2595</v>
      </c>
      <c r="C171" s="1314" t="s">
        <v>2596</v>
      </c>
    </row>
    <row r="172" spans="1:3" ht="11.25" customHeight="1">
      <c r="A172" s="1314" t="s">
        <v>2584</v>
      </c>
      <c r="B172" s="1314" t="s">
        <v>2597</v>
      </c>
      <c r="C172" s="1314" t="s">
        <v>2598</v>
      </c>
    </row>
    <row r="173" spans="1:3" ht="11.25" customHeight="1">
      <c r="A173" s="1314" t="s">
        <v>2584</v>
      </c>
      <c r="B173" s="1314" t="s">
        <v>2599</v>
      </c>
      <c r="C173" s="1314" t="s">
        <v>2600</v>
      </c>
    </row>
    <row r="174" spans="1:3" ht="11.25" customHeight="1">
      <c r="A174" s="1314" t="s">
        <v>2584</v>
      </c>
      <c r="B174" s="1314" t="s">
        <v>2601</v>
      </c>
      <c r="C174" s="1314" t="s">
        <v>2602</v>
      </c>
    </row>
    <row r="175" spans="1:3" ht="11.25" customHeight="1">
      <c r="A175" s="1314" t="s">
        <v>2584</v>
      </c>
      <c r="B175" s="1314" t="s">
        <v>2603</v>
      </c>
      <c r="C175" s="1314" t="s">
        <v>2604</v>
      </c>
    </row>
    <row r="176" spans="1:3" ht="11.25" customHeight="1">
      <c r="A176" s="1314" t="s">
        <v>2584</v>
      </c>
      <c r="B176" s="1314" t="s">
        <v>2605</v>
      </c>
      <c r="C176" s="1314" t="s">
        <v>2606</v>
      </c>
    </row>
    <row r="177" spans="1:3" ht="11.25" customHeight="1">
      <c r="A177" s="1314" t="s">
        <v>2584</v>
      </c>
      <c r="B177" s="1314" t="s">
        <v>2607</v>
      </c>
      <c r="C177" s="1314" t="s">
        <v>2608</v>
      </c>
    </row>
    <row r="178" spans="1:3" ht="11.25" customHeight="1">
      <c r="A178" s="1314" t="s">
        <v>2609</v>
      </c>
      <c r="B178" s="1314" t="s">
        <v>2610</v>
      </c>
      <c r="C178" s="1314" t="s">
        <v>2611</v>
      </c>
    </row>
    <row r="179" spans="1:3" ht="11.25" customHeight="1">
      <c r="A179" s="1314" t="s">
        <v>2609</v>
      </c>
      <c r="B179" s="1314" t="s">
        <v>2612</v>
      </c>
      <c r="C179" s="1314" t="s">
        <v>2613</v>
      </c>
    </row>
    <row r="180" spans="1:3" ht="11.25" customHeight="1">
      <c r="A180" s="1314" t="s">
        <v>2609</v>
      </c>
      <c r="B180" s="1314" t="s">
        <v>2614</v>
      </c>
      <c r="C180" s="1314" t="s">
        <v>2615</v>
      </c>
    </row>
    <row r="181" spans="1:3" ht="11.25" customHeight="1">
      <c r="A181" s="1314" t="s">
        <v>2609</v>
      </c>
      <c r="B181" s="1314" t="s">
        <v>2616</v>
      </c>
      <c r="C181" s="1314" t="s">
        <v>2617</v>
      </c>
    </row>
    <row r="182" spans="1:3" ht="11.25" customHeight="1">
      <c r="A182" s="1314" t="s">
        <v>2609</v>
      </c>
      <c r="B182" s="1314" t="s">
        <v>2618</v>
      </c>
      <c r="C182" s="1314" t="s">
        <v>2619</v>
      </c>
    </row>
    <row r="183" spans="1:3" ht="11.25" customHeight="1">
      <c r="A183" s="1314" t="s">
        <v>2609</v>
      </c>
      <c r="B183" s="1314" t="s">
        <v>2620</v>
      </c>
      <c r="C183" s="1314" t="s">
        <v>2621</v>
      </c>
    </row>
    <row r="184" spans="1:3" ht="11.25" customHeight="1">
      <c r="A184" s="1314" t="s">
        <v>2609</v>
      </c>
      <c r="B184" s="1314" t="s">
        <v>2622</v>
      </c>
      <c r="C184" s="1314" t="s">
        <v>2623</v>
      </c>
    </row>
    <row r="185" spans="1:3" ht="11.25" customHeight="1">
      <c r="A185" s="1314" t="s">
        <v>2624</v>
      </c>
      <c r="B185" s="1314" t="s">
        <v>2625</v>
      </c>
      <c r="C185" s="1314" t="s">
        <v>2626</v>
      </c>
    </row>
    <row r="186" spans="1:3" ht="11.25" customHeight="1">
      <c r="A186" s="1314" t="s">
        <v>2624</v>
      </c>
      <c r="B186" s="1314" t="s">
        <v>2627</v>
      </c>
      <c r="C186" s="1314" t="s">
        <v>2628</v>
      </c>
    </row>
    <row r="187" spans="1:3" ht="11.25" customHeight="1">
      <c r="A187" s="1314" t="s">
        <v>2624</v>
      </c>
      <c r="B187" s="1314" t="s">
        <v>2629</v>
      </c>
      <c r="C187" s="1314" t="s">
        <v>2630</v>
      </c>
    </row>
    <row r="188" spans="1:3" ht="11.25" customHeight="1">
      <c r="A188" s="1314" t="s">
        <v>2624</v>
      </c>
      <c r="B188" s="1314" t="s">
        <v>2631</v>
      </c>
      <c r="C188" s="1314" t="s">
        <v>2632</v>
      </c>
    </row>
    <row r="189" spans="1:3" ht="11.25" customHeight="1">
      <c r="A189" s="1314" t="s">
        <v>2624</v>
      </c>
      <c r="B189" s="1314" t="s">
        <v>2633</v>
      </c>
      <c r="C189" s="1314" t="s">
        <v>2634</v>
      </c>
    </row>
    <row r="190" spans="1:3" ht="11.25" customHeight="1">
      <c r="A190" s="1314" t="s">
        <v>2624</v>
      </c>
      <c r="B190" s="1314" t="s">
        <v>2635</v>
      </c>
      <c r="C190" s="1314" t="s">
        <v>2636</v>
      </c>
    </row>
    <row r="191" spans="1:3" ht="11.25" customHeight="1">
      <c r="A191" s="1314" t="s">
        <v>2624</v>
      </c>
      <c r="B191" s="1314" t="s">
        <v>2637</v>
      </c>
      <c r="C191" s="1314" t="s">
        <v>2638</v>
      </c>
    </row>
    <row r="192" spans="1:3" ht="11.25" customHeight="1">
      <c r="A192" s="1314" t="s">
        <v>2624</v>
      </c>
      <c r="B192" s="1314" t="s">
        <v>2639</v>
      </c>
      <c r="C192" s="1314" t="s">
        <v>2640</v>
      </c>
    </row>
    <row r="193" spans="1:3" ht="11.25" customHeight="1">
      <c r="A193" s="1314" t="s">
        <v>2624</v>
      </c>
      <c r="B193" s="1314" t="s">
        <v>2641</v>
      </c>
      <c r="C193" s="1314" t="s">
        <v>2642</v>
      </c>
    </row>
    <row r="194" spans="1:3" ht="11.25" customHeight="1">
      <c r="A194" s="1314" t="s">
        <v>2643</v>
      </c>
      <c r="B194" s="1314" t="s">
        <v>2644</v>
      </c>
      <c r="C194" s="1314" t="s">
        <v>2645</v>
      </c>
    </row>
    <row r="195" spans="1:3" ht="11.25" customHeight="1">
      <c r="A195" s="1314" t="s">
        <v>2643</v>
      </c>
      <c r="B195" s="1314" t="s">
        <v>2646</v>
      </c>
      <c r="C195" s="1314" t="s">
        <v>2647</v>
      </c>
    </row>
    <row r="196" spans="1:3" ht="11.25" customHeight="1">
      <c r="A196" s="1314" t="s">
        <v>2643</v>
      </c>
      <c r="B196" s="1314" t="s">
        <v>2648</v>
      </c>
      <c r="C196" s="1314" t="s">
        <v>2649</v>
      </c>
    </row>
    <row r="197" spans="1:3" ht="11.25" customHeight="1">
      <c r="A197" s="1314" t="s">
        <v>2643</v>
      </c>
      <c r="B197" s="1314" t="s">
        <v>2650</v>
      </c>
      <c r="C197" s="1314" t="s">
        <v>2651</v>
      </c>
    </row>
    <row r="198" spans="1:3" ht="11.25" customHeight="1">
      <c r="A198" s="1314" t="s">
        <v>2643</v>
      </c>
      <c r="B198" s="1314" t="s">
        <v>2652</v>
      </c>
      <c r="C198" s="1314" t="s">
        <v>2653</v>
      </c>
    </row>
    <row r="199" spans="1:3" ht="11.25" customHeight="1">
      <c r="A199" s="1314" t="s">
        <v>2643</v>
      </c>
      <c r="B199" s="1314" t="s">
        <v>2654</v>
      </c>
      <c r="C199" s="1314" t="s">
        <v>2655</v>
      </c>
    </row>
    <row r="200" spans="1:3" ht="11.25" customHeight="1">
      <c r="A200" s="1314" t="s">
        <v>2643</v>
      </c>
      <c r="B200" s="1314" t="s">
        <v>2656</v>
      </c>
      <c r="C200" s="1314" t="s">
        <v>2657</v>
      </c>
    </row>
    <row r="201" spans="1:3" ht="11.25" customHeight="1">
      <c r="A201" s="1314" t="s">
        <v>2643</v>
      </c>
      <c r="B201" s="1314" t="s">
        <v>2658</v>
      </c>
      <c r="C201" s="1314" t="s">
        <v>2659</v>
      </c>
    </row>
    <row r="202" spans="1:3" ht="11.25" customHeight="1">
      <c r="A202" s="1314" t="s">
        <v>2643</v>
      </c>
      <c r="B202" s="1314" t="s">
        <v>2660</v>
      </c>
      <c r="C202" s="1314" t="s">
        <v>2661</v>
      </c>
    </row>
    <row r="203" spans="1:3" ht="11.25" customHeight="1">
      <c r="A203" s="1314" t="s">
        <v>2643</v>
      </c>
      <c r="B203" s="1314" t="s">
        <v>2662</v>
      </c>
      <c r="C203" s="1314" t="s">
        <v>2663</v>
      </c>
    </row>
    <row r="204" spans="1:3" ht="11.25" customHeight="1">
      <c r="A204" s="1314" t="s">
        <v>2664</v>
      </c>
      <c r="B204" s="1314" t="s">
        <v>2665</v>
      </c>
      <c r="C204" s="1314" t="s">
        <v>2666</v>
      </c>
    </row>
    <row r="205" spans="1:3" ht="11.25" customHeight="1">
      <c r="A205" s="1314" t="s">
        <v>2664</v>
      </c>
      <c r="B205" s="1314" t="s">
        <v>2667</v>
      </c>
      <c r="C205" s="1314" t="s">
        <v>2668</v>
      </c>
    </row>
    <row r="206" spans="1:3" ht="11.25" customHeight="1">
      <c r="A206" s="1314" t="s">
        <v>2664</v>
      </c>
      <c r="B206" s="1314" t="s">
        <v>2669</v>
      </c>
      <c r="C206" s="1314" t="s">
        <v>2670</v>
      </c>
    </row>
    <row r="207" spans="1:3" ht="11.25" customHeight="1">
      <c r="A207" s="1314" t="s">
        <v>2664</v>
      </c>
      <c r="B207" s="1314" t="s">
        <v>2671</v>
      </c>
      <c r="C207" s="1314" t="s">
        <v>2672</v>
      </c>
    </row>
    <row r="208" spans="1:3" ht="11.25" customHeight="1">
      <c r="A208" s="1314" t="s">
        <v>2664</v>
      </c>
      <c r="B208" s="1314" t="s">
        <v>2673</v>
      </c>
      <c r="C208" s="1314" t="s">
        <v>2674</v>
      </c>
    </row>
    <row r="209" spans="1:3" ht="11.25" customHeight="1">
      <c r="A209" s="1314" t="s">
        <v>2664</v>
      </c>
      <c r="B209" s="1314" t="s">
        <v>2675</v>
      </c>
      <c r="C209" s="1314" t="s">
        <v>2676</v>
      </c>
    </row>
    <row r="210" spans="1:3" ht="11.25" customHeight="1">
      <c r="A210" s="1314" t="s">
        <v>2664</v>
      </c>
      <c r="B210" s="1314" t="s">
        <v>2677</v>
      </c>
      <c r="C210" s="1314" t="s">
        <v>2678</v>
      </c>
    </row>
    <row r="211" spans="1:3" ht="11.25" customHeight="1">
      <c r="A211" s="1314" t="s">
        <v>2664</v>
      </c>
      <c r="B211" s="1314" t="s">
        <v>2679</v>
      </c>
      <c r="C211" s="1314" t="s">
        <v>2680</v>
      </c>
    </row>
    <row r="212" spans="1:3" ht="11.25" customHeight="1">
      <c r="A212" s="1314" t="s">
        <v>2664</v>
      </c>
      <c r="B212" s="1314" t="s">
        <v>2681</v>
      </c>
      <c r="C212" s="1314" t="s">
        <v>2682</v>
      </c>
    </row>
    <row r="213" spans="1:3" ht="11.25" customHeight="1">
      <c r="A213" s="1314" t="s">
        <v>2664</v>
      </c>
      <c r="B213" s="1314" t="s">
        <v>2683</v>
      </c>
      <c r="C213" s="1314" t="s">
        <v>2684</v>
      </c>
    </row>
    <row r="214" spans="1:3" ht="11.25" customHeight="1">
      <c r="A214" s="1314" t="s">
        <v>2664</v>
      </c>
      <c r="B214" s="1314" t="s">
        <v>2685</v>
      </c>
      <c r="C214" s="1314" t="s">
        <v>2686</v>
      </c>
    </row>
    <row r="215" spans="1:3" ht="11.25" customHeight="1">
      <c r="A215" s="1314" t="s">
        <v>343</v>
      </c>
      <c r="B215" s="1314" t="s">
        <v>343</v>
      </c>
      <c r="C215" s="1314" t="s">
        <v>344</v>
      </c>
    </row>
    <row r="216" spans="1:3" ht="11.25" customHeight="1">
      <c r="A216" s="1314" t="s">
        <v>2687</v>
      </c>
      <c r="B216" s="1314" t="s">
        <v>2687</v>
      </c>
      <c r="C216" s="1314" t="s">
        <v>2688</v>
      </c>
    </row>
    <row r="217" spans="1:3" ht="11.25" customHeight="1">
      <c r="A217" s="1314" t="s">
        <v>2689</v>
      </c>
      <c r="B217" s="1314" t="s">
        <v>2689</v>
      </c>
      <c r="C217" s="1314" t="s">
        <v>2690</v>
      </c>
    </row>
    <row r="218" spans="1:3" ht="11.25" customHeight="1">
      <c r="A218" s="1314" t="s">
        <v>2691</v>
      </c>
      <c r="B218" s="1314" t="s">
        <v>2691</v>
      </c>
      <c r="C218" s="1314" t="s">
        <v>2692</v>
      </c>
    </row>
    <row r="219" spans="1:3" ht="11.25" customHeight="1">
      <c r="A219" s="1314" t="s">
        <v>2693</v>
      </c>
      <c r="B219" s="1314" t="s">
        <v>2693</v>
      </c>
      <c r="C219" s="1314" t="s">
        <v>2694</v>
      </c>
    </row>
    <row r="220" spans="1:3" ht="11.25" customHeight="1">
      <c r="A220" s="1314" t="s">
        <v>2695</v>
      </c>
      <c r="B220" s="1314" t="s">
        <v>2695</v>
      </c>
      <c r="C220" s="1314" t="s">
        <v>2696</v>
      </c>
    </row>
    <row r="221" spans="1:3" ht="11.25" customHeight="1">
      <c r="A221" s="1314" t="s">
        <v>2697</v>
      </c>
      <c r="B221" s="1314" t="s">
        <v>2697</v>
      </c>
      <c r="C221" s="1314" t="s">
        <v>2698</v>
      </c>
    </row>
    <row r="222" spans="1:3" ht="11.25" customHeight="1">
      <c r="A222" s="1314" t="s">
        <v>2699</v>
      </c>
      <c r="B222" s="1314" t="s">
        <v>2699</v>
      </c>
      <c r="C222" s="1314" t="s">
        <v>2700</v>
      </c>
    </row>
    <row r="223" spans="1:3" ht="11.25" customHeight="1">
      <c r="A223" s="1314" t="s">
        <v>2701</v>
      </c>
      <c r="B223" s="1314" t="s">
        <v>2701</v>
      </c>
      <c r="C223" s="1314" t="s">
        <v>2702</v>
      </c>
    </row>
    <row r="224" spans="1:3" ht="11.25" customHeight="1">
      <c r="A224" s="1314" t="s">
        <v>2703</v>
      </c>
      <c r="B224" s="1314" t="s">
        <v>2703</v>
      </c>
      <c r="C224" s="1314" t="s">
        <v>2704</v>
      </c>
    </row>
    <row r="225" spans="1:3" ht="11.25" customHeight="1">
      <c r="A225" s="1314" t="s">
        <v>2705</v>
      </c>
      <c r="B225" s="1314" t="s">
        <v>2705</v>
      </c>
      <c r="C225" s="1314" t="s">
        <v>2706</v>
      </c>
    </row>
    <row r="226" spans="1:3" ht="11.25" customHeight="1">
      <c r="A226" s="1314" t="s">
        <v>2707</v>
      </c>
      <c r="B226" s="1314" t="s">
        <v>2707</v>
      </c>
      <c r="C226" s="1314" t="s">
        <v>2708</v>
      </c>
    </row>
    <row r="227" spans="1:3" ht="11.25" customHeight="1">
      <c r="A227" s="1314" t="s">
        <v>2709</v>
      </c>
      <c r="B227" s="1314" t="s">
        <v>2709</v>
      </c>
      <c r="C227" s="1314" t="s">
        <v>2710</v>
      </c>
    </row>
    <row r="228" spans="1:3" ht="11.25" customHeight="1">
      <c r="A228" s="1314" t="s">
        <v>2711</v>
      </c>
      <c r="B228" s="1314" t="s">
        <v>2711</v>
      </c>
      <c r="C228" s="1314" t="s">
        <v>2712</v>
      </c>
    </row>
    <row r="229" spans="1:3" ht="11.25" customHeight="1">
      <c r="A229" s="1314" t="s">
        <v>2713</v>
      </c>
      <c r="B229" s="1314" t="s">
        <v>2713</v>
      </c>
      <c r="C229" s="1314" t="s">
        <v>2714</v>
      </c>
    </row>
    <row r="230" spans="1:3" ht="11.25" customHeight="1">
      <c r="A230" s="1314" t="s">
        <v>2715</v>
      </c>
      <c r="B230" s="1314" t="s">
        <v>2715</v>
      </c>
      <c r="C230" s="1314" t="s">
        <v>2716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108"/>
  <sheetViews>
    <sheetView showGridLines="0" workbookViewId="0"/>
  </sheetViews>
  <sheetFormatPr defaultColWidth="9.140625" defaultRowHeight="11.25" customHeight="1"/>
  <sheetData>
    <row r="1" spans="1:19" ht="11.25" customHeight="1">
      <c r="A1" t="s">
        <v>2717</v>
      </c>
      <c r="B1" t="s">
        <v>2718</v>
      </c>
      <c r="C1" t="s">
        <v>2719</v>
      </c>
      <c r="D1" t="s">
        <v>2720</v>
      </c>
      <c r="E1" t="s">
        <v>2721</v>
      </c>
      <c r="F1" t="s">
        <v>2722</v>
      </c>
      <c r="G1" t="s">
        <v>2723</v>
      </c>
      <c r="H1" t="s">
        <v>2724</v>
      </c>
      <c r="I1" t="s">
        <v>2725</v>
      </c>
      <c r="J1" t="s">
        <v>2726</v>
      </c>
      <c r="K1" t="s">
        <v>2727</v>
      </c>
      <c r="L1" t="s">
        <v>2728</v>
      </c>
      <c r="M1" t="s">
        <v>2729</v>
      </c>
      <c r="N1" t="s">
        <v>2730</v>
      </c>
      <c r="O1" t="s">
        <v>2731</v>
      </c>
      <c r="P1" t="s">
        <v>2732</v>
      </c>
      <c r="Q1" t="s">
        <v>2733</v>
      </c>
      <c r="R1" t="s">
        <v>2734</v>
      </c>
      <c r="S1" t="s">
        <v>2735</v>
      </c>
    </row>
    <row r="2" spans="1:19" ht="11.25" customHeight="1">
      <c r="A2">
        <v>2655</v>
      </c>
      <c r="B2" t="s">
        <v>101</v>
      </c>
      <c r="C2">
        <v>28976938</v>
      </c>
      <c r="D2" t="s">
        <v>2736</v>
      </c>
      <c r="E2" t="s">
        <v>2737</v>
      </c>
      <c r="F2" t="s">
        <v>2738</v>
      </c>
      <c r="G2" t="s">
        <v>2739</v>
      </c>
      <c r="H2" t="s">
        <v>2740</v>
      </c>
      <c r="I2" t="s">
        <v>2741</v>
      </c>
      <c r="J2" t="s">
        <v>2742</v>
      </c>
      <c r="K2" t="s">
        <v>2743</v>
      </c>
      <c r="L2" t="s">
        <v>2744</v>
      </c>
      <c r="M2" t="s">
        <v>2745</v>
      </c>
      <c r="N2" t="s">
        <v>2746</v>
      </c>
      <c r="O2" t="s">
        <v>2747</v>
      </c>
      <c r="P2" t="s">
        <v>2748</v>
      </c>
      <c r="Q2" t="s">
        <v>2749</v>
      </c>
      <c r="R2" t="b">
        <v>0</v>
      </c>
      <c r="S2" t="s">
        <v>2750</v>
      </c>
    </row>
    <row r="3" spans="1:19" ht="11.25" customHeight="1">
      <c r="A3">
        <v>2655</v>
      </c>
      <c r="B3" t="s">
        <v>101</v>
      </c>
      <c r="C3">
        <v>27804990</v>
      </c>
      <c r="D3" t="s">
        <v>2751</v>
      </c>
      <c r="E3" t="s">
        <v>2752</v>
      </c>
      <c r="F3" t="s">
        <v>2753</v>
      </c>
      <c r="G3" t="s">
        <v>122</v>
      </c>
      <c r="H3" t="s">
        <v>2754</v>
      </c>
      <c r="I3" t="s">
        <v>2755</v>
      </c>
      <c r="J3" t="s">
        <v>2742</v>
      </c>
      <c r="K3" t="s">
        <v>2756</v>
      </c>
      <c r="L3" t="s">
        <v>2757</v>
      </c>
      <c r="M3" t="s">
        <v>2758</v>
      </c>
      <c r="N3" t="s">
        <v>2759</v>
      </c>
      <c r="O3" t="s">
        <v>2760</v>
      </c>
      <c r="P3" t="s">
        <v>2761</v>
      </c>
      <c r="Q3" t="s">
        <v>2762</v>
      </c>
      <c r="R3" t="b">
        <v>0</v>
      </c>
      <c r="S3" t="s">
        <v>2750</v>
      </c>
    </row>
    <row r="4" spans="1:19" ht="11.25" customHeight="1">
      <c r="A4">
        <v>2655</v>
      </c>
      <c r="B4" t="s">
        <v>101</v>
      </c>
      <c r="C4">
        <v>27804826</v>
      </c>
      <c r="D4" t="s">
        <v>2763</v>
      </c>
      <c r="E4" t="s">
        <v>2764</v>
      </c>
      <c r="F4" t="s">
        <v>2765</v>
      </c>
      <c r="G4" t="s">
        <v>2766</v>
      </c>
      <c r="H4" t="s">
        <v>2767</v>
      </c>
      <c r="I4" t="s">
        <v>2768</v>
      </c>
      <c r="J4" t="s">
        <v>2742</v>
      </c>
      <c r="K4" t="s">
        <v>2769</v>
      </c>
      <c r="L4" t="s">
        <v>2757</v>
      </c>
      <c r="M4" t="s">
        <v>231</v>
      </c>
      <c r="N4" t="s">
        <v>2770</v>
      </c>
      <c r="O4" t="s">
        <v>2771</v>
      </c>
      <c r="P4" t="s">
        <v>2761</v>
      </c>
      <c r="Q4" t="s">
        <v>2772</v>
      </c>
      <c r="R4" t="b">
        <v>0</v>
      </c>
      <c r="S4" t="s">
        <v>2750</v>
      </c>
    </row>
    <row r="5" spans="1:19" ht="11.25" customHeight="1">
      <c r="A5">
        <v>2655</v>
      </c>
      <c r="B5" t="s">
        <v>101</v>
      </c>
      <c r="C5">
        <v>26356963</v>
      </c>
      <c r="D5" t="s">
        <v>2773</v>
      </c>
      <c r="E5" t="s">
        <v>2774</v>
      </c>
      <c r="F5" t="s">
        <v>2775</v>
      </c>
      <c r="G5" t="s">
        <v>2776</v>
      </c>
      <c r="H5" t="s">
        <v>2777</v>
      </c>
      <c r="I5" t="s">
        <v>231</v>
      </c>
      <c r="J5" t="s">
        <v>2742</v>
      </c>
      <c r="K5" t="s">
        <v>2778</v>
      </c>
      <c r="L5" t="s">
        <v>2778</v>
      </c>
      <c r="M5" t="s">
        <v>2779</v>
      </c>
      <c r="N5" t="s">
        <v>2780</v>
      </c>
      <c r="O5" t="s">
        <v>2781</v>
      </c>
      <c r="P5" t="s">
        <v>2782</v>
      </c>
      <c r="Q5" t="s">
        <v>231</v>
      </c>
      <c r="R5" t="b">
        <v>0</v>
      </c>
      <c r="S5" t="s">
        <v>2750</v>
      </c>
    </row>
    <row r="6" spans="1:19" ht="11.25" customHeight="1">
      <c r="A6">
        <v>2655</v>
      </c>
      <c r="B6" t="s">
        <v>101</v>
      </c>
      <c r="C6">
        <v>26322889</v>
      </c>
      <c r="D6" t="s">
        <v>2783</v>
      </c>
      <c r="E6" t="s">
        <v>2784</v>
      </c>
      <c r="F6" t="s">
        <v>2785</v>
      </c>
      <c r="G6" t="s">
        <v>2786</v>
      </c>
      <c r="H6" t="s">
        <v>2787</v>
      </c>
      <c r="I6" t="s">
        <v>2788</v>
      </c>
      <c r="J6" t="s">
        <v>2742</v>
      </c>
      <c r="K6" t="s">
        <v>2789</v>
      </c>
      <c r="L6" t="s">
        <v>2790</v>
      </c>
      <c r="M6" t="s">
        <v>2791</v>
      </c>
      <c r="N6" t="s">
        <v>2792</v>
      </c>
      <c r="O6" t="s">
        <v>2793</v>
      </c>
      <c r="P6" t="s">
        <v>2794</v>
      </c>
      <c r="Q6" t="s">
        <v>2795</v>
      </c>
      <c r="R6" t="b">
        <v>0</v>
      </c>
      <c r="S6" t="s">
        <v>2750</v>
      </c>
    </row>
    <row r="7" spans="1:19" ht="11.25" customHeight="1">
      <c r="A7">
        <v>2655</v>
      </c>
      <c r="B7" t="s">
        <v>101</v>
      </c>
      <c r="C7">
        <v>26356905</v>
      </c>
      <c r="D7" t="s">
        <v>2796</v>
      </c>
      <c r="E7" t="s">
        <v>2797</v>
      </c>
      <c r="F7" t="s">
        <v>2798</v>
      </c>
      <c r="G7" t="s">
        <v>122</v>
      </c>
      <c r="H7" t="s">
        <v>2799</v>
      </c>
      <c r="I7" t="s">
        <v>2800</v>
      </c>
      <c r="J7" t="s">
        <v>2742</v>
      </c>
      <c r="K7" t="s">
        <v>2801</v>
      </c>
      <c r="L7" t="s">
        <v>2801</v>
      </c>
      <c r="M7" t="s">
        <v>2802</v>
      </c>
      <c r="N7" t="s">
        <v>2803</v>
      </c>
      <c r="O7" t="s">
        <v>2804</v>
      </c>
      <c r="P7" t="s">
        <v>2805</v>
      </c>
      <c r="Q7" t="s">
        <v>2806</v>
      </c>
      <c r="R7" t="b">
        <v>0</v>
      </c>
      <c r="S7" t="s">
        <v>2750</v>
      </c>
    </row>
    <row r="8" spans="1:19" ht="11.25" customHeight="1">
      <c r="A8">
        <v>2655</v>
      </c>
      <c r="B8" t="s">
        <v>101</v>
      </c>
      <c r="C8">
        <v>26427149</v>
      </c>
      <c r="D8" t="s">
        <v>2807</v>
      </c>
      <c r="E8" t="s">
        <v>2808</v>
      </c>
      <c r="F8" t="s">
        <v>2738</v>
      </c>
      <c r="G8" t="s">
        <v>2809</v>
      </c>
      <c r="H8" t="s">
        <v>2740</v>
      </c>
      <c r="I8" t="s">
        <v>2741</v>
      </c>
      <c r="J8" t="s">
        <v>2742</v>
      </c>
      <c r="K8" t="s">
        <v>2810</v>
      </c>
      <c r="L8" t="s">
        <v>2811</v>
      </c>
      <c r="M8" t="s">
        <v>2812</v>
      </c>
      <c r="N8" t="s">
        <v>2813</v>
      </c>
      <c r="O8" t="s">
        <v>2814</v>
      </c>
      <c r="P8" t="s">
        <v>2815</v>
      </c>
      <c r="Q8" t="s">
        <v>2816</v>
      </c>
      <c r="R8" t="b">
        <v>0</v>
      </c>
      <c r="S8" t="s">
        <v>2750</v>
      </c>
    </row>
    <row r="9" spans="1:19" ht="11.25" customHeight="1">
      <c r="A9">
        <v>2655</v>
      </c>
      <c r="B9" t="s">
        <v>101</v>
      </c>
      <c r="C9">
        <v>27295125</v>
      </c>
      <c r="D9" t="s">
        <v>2817</v>
      </c>
      <c r="E9" t="s">
        <v>2818</v>
      </c>
      <c r="F9" t="s">
        <v>2819</v>
      </c>
      <c r="G9" t="s">
        <v>2820</v>
      </c>
      <c r="H9" t="s">
        <v>2821</v>
      </c>
      <c r="I9" t="s">
        <v>2822</v>
      </c>
      <c r="J9" t="s">
        <v>127</v>
      </c>
      <c r="K9" t="s">
        <v>2823</v>
      </c>
      <c r="L9" t="s">
        <v>2823</v>
      </c>
      <c r="M9" t="s">
        <v>2824</v>
      </c>
      <c r="N9" t="s">
        <v>2825</v>
      </c>
      <c r="O9" t="s">
        <v>2826</v>
      </c>
      <c r="P9" t="s">
        <v>2827</v>
      </c>
      <c r="Q9" t="s">
        <v>231</v>
      </c>
      <c r="R9" t="b">
        <v>0</v>
      </c>
      <c r="S9" t="s">
        <v>2750</v>
      </c>
    </row>
    <row r="10" spans="1:19" ht="11.25" customHeight="1">
      <c r="A10">
        <v>2655</v>
      </c>
      <c r="B10" t="s">
        <v>101</v>
      </c>
      <c r="C10">
        <v>26824672</v>
      </c>
      <c r="D10" t="s">
        <v>2828</v>
      </c>
      <c r="E10" t="s">
        <v>2829</v>
      </c>
      <c r="F10" t="s">
        <v>2830</v>
      </c>
      <c r="G10" t="s">
        <v>2831</v>
      </c>
      <c r="H10" t="s">
        <v>2832</v>
      </c>
      <c r="I10" t="s">
        <v>231</v>
      </c>
      <c r="J10" t="s">
        <v>127</v>
      </c>
      <c r="K10" t="s">
        <v>2833</v>
      </c>
      <c r="L10" t="s">
        <v>2834</v>
      </c>
      <c r="M10" t="s">
        <v>2835</v>
      </c>
      <c r="N10" t="s">
        <v>2836</v>
      </c>
      <c r="O10" t="s">
        <v>231</v>
      </c>
      <c r="P10" t="s">
        <v>2837</v>
      </c>
      <c r="Q10" t="s">
        <v>231</v>
      </c>
      <c r="R10" t="b">
        <v>0</v>
      </c>
      <c r="S10" t="s">
        <v>2750</v>
      </c>
    </row>
    <row r="11" spans="1:19" ht="11.25" customHeight="1">
      <c r="A11">
        <v>2655</v>
      </c>
      <c r="B11" t="s">
        <v>101</v>
      </c>
      <c r="C11">
        <v>31826293</v>
      </c>
      <c r="D11" t="s">
        <v>2838</v>
      </c>
      <c r="E11" t="s">
        <v>2839</v>
      </c>
      <c r="F11" t="s">
        <v>2840</v>
      </c>
      <c r="G11" t="s">
        <v>2841</v>
      </c>
      <c r="H11" t="s">
        <v>2842</v>
      </c>
      <c r="I11" t="s">
        <v>2843</v>
      </c>
      <c r="K11" t="s">
        <v>2844</v>
      </c>
      <c r="L11" t="s">
        <v>2845</v>
      </c>
      <c r="M11" t="s">
        <v>231</v>
      </c>
      <c r="N11" t="s">
        <v>2846</v>
      </c>
      <c r="O11" t="s">
        <v>2847</v>
      </c>
      <c r="P11" t="s">
        <v>2848</v>
      </c>
      <c r="Q11" t="s">
        <v>231</v>
      </c>
      <c r="R11" t="b">
        <v>0</v>
      </c>
      <c r="S11" t="s">
        <v>2750</v>
      </c>
    </row>
    <row r="12" spans="1:19" ht="11.25" customHeight="1">
      <c r="A12">
        <v>2655</v>
      </c>
      <c r="B12" t="s">
        <v>101</v>
      </c>
      <c r="C12">
        <v>26322867</v>
      </c>
      <c r="D12" t="s">
        <v>2849</v>
      </c>
      <c r="E12" t="s">
        <v>2850</v>
      </c>
      <c r="F12" t="s">
        <v>2851</v>
      </c>
      <c r="G12" t="s">
        <v>2786</v>
      </c>
      <c r="H12" t="s">
        <v>2852</v>
      </c>
      <c r="I12" t="s">
        <v>2853</v>
      </c>
      <c r="J12" t="s">
        <v>2742</v>
      </c>
      <c r="K12" t="s">
        <v>2854</v>
      </c>
      <c r="L12" t="s">
        <v>2854</v>
      </c>
      <c r="M12" t="s">
        <v>2855</v>
      </c>
      <c r="N12" t="s">
        <v>2856</v>
      </c>
      <c r="O12" t="s">
        <v>2857</v>
      </c>
      <c r="P12" t="s">
        <v>2827</v>
      </c>
      <c r="Q12" t="s">
        <v>2858</v>
      </c>
      <c r="R12" t="b">
        <v>0</v>
      </c>
      <c r="S12" t="s">
        <v>2750</v>
      </c>
    </row>
    <row r="13" spans="1:19" ht="11.25" customHeight="1">
      <c r="A13">
        <v>2655</v>
      </c>
      <c r="B13" t="s">
        <v>101</v>
      </c>
      <c r="C13">
        <v>26824651</v>
      </c>
      <c r="D13" t="s">
        <v>2859</v>
      </c>
      <c r="E13" t="s">
        <v>2860</v>
      </c>
      <c r="F13" t="s">
        <v>2830</v>
      </c>
      <c r="G13" t="s">
        <v>2861</v>
      </c>
      <c r="H13" t="s">
        <v>2832</v>
      </c>
      <c r="I13" t="s">
        <v>231</v>
      </c>
      <c r="J13" t="s">
        <v>2742</v>
      </c>
      <c r="K13" t="s">
        <v>2862</v>
      </c>
      <c r="L13" t="s">
        <v>2863</v>
      </c>
      <c r="M13" t="s">
        <v>2864</v>
      </c>
      <c r="N13" t="s">
        <v>2865</v>
      </c>
      <c r="O13" t="s">
        <v>2866</v>
      </c>
      <c r="P13" t="s">
        <v>2867</v>
      </c>
      <c r="Q13" t="s">
        <v>231</v>
      </c>
      <c r="R13" t="b">
        <v>0</v>
      </c>
      <c r="S13" t="s">
        <v>2750</v>
      </c>
    </row>
    <row r="14" spans="1:19" ht="11.25" customHeight="1">
      <c r="A14">
        <v>2655</v>
      </c>
      <c r="B14" t="s">
        <v>101</v>
      </c>
      <c r="C14">
        <v>26824396</v>
      </c>
      <c r="D14" t="s">
        <v>2868</v>
      </c>
      <c r="E14" t="s">
        <v>2869</v>
      </c>
      <c r="F14" t="s">
        <v>2830</v>
      </c>
      <c r="G14" t="s">
        <v>2870</v>
      </c>
      <c r="H14" t="s">
        <v>2832</v>
      </c>
      <c r="I14" t="s">
        <v>231</v>
      </c>
      <c r="J14" t="s">
        <v>127</v>
      </c>
      <c r="K14" t="s">
        <v>2871</v>
      </c>
      <c r="L14" t="s">
        <v>2871</v>
      </c>
      <c r="M14" t="s">
        <v>2872</v>
      </c>
      <c r="N14" t="s">
        <v>231</v>
      </c>
      <c r="O14" t="s">
        <v>2873</v>
      </c>
      <c r="P14" t="s">
        <v>2867</v>
      </c>
      <c r="Q14" t="s">
        <v>231</v>
      </c>
      <c r="R14" t="b">
        <v>0</v>
      </c>
      <c r="S14" t="s">
        <v>2750</v>
      </c>
    </row>
    <row r="15" spans="1:19" ht="11.25" customHeight="1">
      <c r="A15">
        <v>2655</v>
      </c>
      <c r="B15" t="s">
        <v>101</v>
      </c>
      <c r="C15">
        <v>31232672</v>
      </c>
      <c r="D15" t="s">
        <v>2874</v>
      </c>
      <c r="E15" t="s">
        <v>2875</v>
      </c>
      <c r="F15" t="s">
        <v>2876</v>
      </c>
      <c r="G15" t="s">
        <v>2877</v>
      </c>
      <c r="H15" t="s">
        <v>2878</v>
      </c>
      <c r="I15" t="s">
        <v>2879</v>
      </c>
      <c r="J15" t="s">
        <v>2880</v>
      </c>
      <c r="K15" t="s">
        <v>2881</v>
      </c>
      <c r="L15" t="s">
        <v>2881</v>
      </c>
      <c r="M15" t="s">
        <v>2882</v>
      </c>
      <c r="N15" t="s">
        <v>2883</v>
      </c>
      <c r="O15" t="s">
        <v>2884</v>
      </c>
      <c r="P15" t="s">
        <v>2885</v>
      </c>
      <c r="Q15" t="s">
        <v>231</v>
      </c>
      <c r="R15" t="b">
        <v>0</v>
      </c>
      <c r="S15" t="s">
        <v>2750</v>
      </c>
    </row>
    <row r="16" spans="1:19" ht="11.25" customHeight="1">
      <c r="A16">
        <v>2655</v>
      </c>
      <c r="B16" t="s">
        <v>101</v>
      </c>
      <c r="C16">
        <v>31387447</v>
      </c>
      <c r="D16" t="s">
        <v>2886</v>
      </c>
      <c r="E16" t="s">
        <v>2887</v>
      </c>
      <c r="F16" t="s">
        <v>2888</v>
      </c>
      <c r="G16" t="s">
        <v>2889</v>
      </c>
      <c r="H16" t="s">
        <v>2890</v>
      </c>
      <c r="I16" t="s">
        <v>2891</v>
      </c>
      <c r="J16" t="s">
        <v>2892</v>
      </c>
      <c r="K16" t="s">
        <v>2893</v>
      </c>
      <c r="L16" t="s">
        <v>2893</v>
      </c>
      <c r="M16" t="s">
        <v>2894</v>
      </c>
      <c r="N16" t="s">
        <v>2895</v>
      </c>
      <c r="O16" t="s">
        <v>2896</v>
      </c>
      <c r="P16" t="s">
        <v>2885</v>
      </c>
      <c r="Q16" t="s">
        <v>231</v>
      </c>
      <c r="R16" t="b">
        <v>0</v>
      </c>
      <c r="S16" t="s">
        <v>2750</v>
      </c>
    </row>
    <row r="17" spans="1:19" ht="11.25" customHeight="1">
      <c r="A17">
        <v>2655</v>
      </c>
      <c r="B17" t="s">
        <v>101</v>
      </c>
      <c r="C17">
        <v>30808700</v>
      </c>
      <c r="D17" t="s">
        <v>2897</v>
      </c>
      <c r="E17" t="s">
        <v>2898</v>
      </c>
      <c r="F17" t="s">
        <v>2899</v>
      </c>
      <c r="G17" t="s">
        <v>2831</v>
      </c>
      <c r="H17" t="s">
        <v>2900</v>
      </c>
      <c r="I17" t="s">
        <v>2901</v>
      </c>
      <c r="J17" t="s">
        <v>2892</v>
      </c>
      <c r="K17" t="s">
        <v>2902</v>
      </c>
      <c r="L17" t="s">
        <v>2903</v>
      </c>
      <c r="M17" t="s">
        <v>2904</v>
      </c>
      <c r="N17" t="s">
        <v>2905</v>
      </c>
      <c r="O17" t="s">
        <v>2906</v>
      </c>
      <c r="P17" t="s">
        <v>2848</v>
      </c>
      <c r="Q17" t="s">
        <v>231</v>
      </c>
      <c r="R17" t="b">
        <v>1</v>
      </c>
      <c r="S17" t="s">
        <v>2750</v>
      </c>
    </row>
    <row r="18" spans="1:19" ht="11.25" customHeight="1">
      <c r="A18">
        <v>2655</v>
      </c>
      <c r="B18" t="s">
        <v>101</v>
      </c>
      <c r="C18">
        <v>31319221</v>
      </c>
      <c r="D18" t="s">
        <v>2907</v>
      </c>
      <c r="E18" t="s">
        <v>2908</v>
      </c>
      <c r="F18" t="s">
        <v>2909</v>
      </c>
      <c r="G18" t="s">
        <v>2889</v>
      </c>
      <c r="H18" t="s">
        <v>2910</v>
      </c>
      <c r="I18" t="s">
        <v>2911</v>
      </c>
      <c r="J18" t="s">
        <v>2880</v>
      </c>
      <c r="K18" t="s">
        <v>2912</v>
      </c>
      <c r="L18" t="s">
        <v>2913</v>
      </c>
      <c r="M18" t="s">
        <v>2914</v>
      </c>
      <c r="N18" t="s">
        <v>2915</v>
      </c>
      <c r="O18" t="s">
        <v>2916</v>
      </c>
      <c r="P18" t="s">
        <v>2885</v>
      </c>
      <c r="Q18" t="s">
        <v>231</v>
      </c>
      <c r="R18" t="b">
        <v>0</v>
      </c>
      <c r="S18" t="s">
        <v>2750</v>
      </c>
    </row>
    <row r="19" spans="1:19" ht="11.25" customHeight="1">
      <c r="A19">
        <v>2655</v>
      </c>
      <c r="B19" t="s">
        <v>101</v>
      </c>
      <c r="C19">
        <v>31419990</v>
      </c>
      <c r="D19" t="s">
        <v>2917</v>
      </c>
      <c r="E19" t="s">
        <v>2918</v>
      </c>
      <c r="F19" t="s">
        <v>2919</v>
      </c>
      <c r="G19" t="s">
        <v>2920</v>
      </c>
      <c r="H19" t="s">
        <v>2921</v>
      </c>
      <c r="I19" t="s">
        <v>2922</v>
      </c>
      <c r="J19" t="s">
        <v>2880</v>
      </c>
      <c r="K19" t="s">
        <v>2923</v>
      </c>
      <c r="L19" t="s">
        <v>2923</v>
      </c>
      <c r="M19" t="s">
        <v>2924</v>
      </c>
      <c r="N19" t="s">
        <v>2925</v>
      </c>
      <c r="O19" t="s">
        <v>2926</v>
      </c>
      <c r="P19" t="s">
        <v>2885</v>
      </c>
      <c r="Q19" t="s">
        <v>2927</v>
      </c>
      <c r="R19" t="b">
        <v>0</v>
      </c>
      <c r="S19" t="s">
        <v>2750</v>
      </c>
    </row>
    <row r="20" spans="1:19" ht="11.25" customHeight="1">
      <c r="A20">
        <v>2655</v>
      </c>
      <c r="B20" t="s">
        <v>101</v>
      </c>
      <c r="C20">
        <v>31343443</v>
      </c>
      <c r="D20" t="s">
        <v>2928</v>
      </c>
      <c r="E20" t="s">
        <v>2929</v>
      </c>
      <c r="F20" t="s">
        <v>2930</v>
      </c>
      <c r="G20" t="s">
        <v>2831</v>
      </c>
      <c r="H20" t="s">
        <v>2931</v>
      </c>
      <c r="I20" t="s">
        <v>2932</v>
      </c>
      <c r="J20" t="s">
        <v>2880</v>
      </c>
      <c r="K20" t="s">
        <v>2933</v>
      </c>
      <c r="L20" t="s">
        <v>2933</v>
      </c>
      <c r="N20" t="s">
        <v>2934</v>
      </c>
      <c r="O20" t="s">
        <v>2935</v>
      </c>
      <c r="P20" t="s">
        <v>2848</v>
      </c>
      <c r="R20" t="b">
        <v>0</v>
      </c>
      <c r="S20" t="s">
        <v>2750</v>
      </c>
    </row>
    <row r="21" spans="1:19" ht="11.25" customHeight="1">
      <c r="A21">
        <v>2655</v>
      </c>
      <c r="B21" t="s">
        <v>101</v>
      </c>
      <c r="C21">
        <v>31367841</v>
      </c>
      <c r="D21" t="s">
        <v>2936</v>
      </c>
      <c r="E21" t="s">
        <v>2937</v>
      </c>
      <c r="F21" t="s">
        <v>2938</v>
      </c>
      <c r="G21" t="s">
        <v>2939</v>
      </c>
      <c r="H21" t="s">
        <v>2940</v>
      </c>
      <c r="I21" t="s">
        <v>2941</v>
      </c>
      <c r="J21" t="s">
        <v>2892</v>
      </c>
      <c r="K21" t="s">
        <v>2942</v>
      </c>
      <c r="L21" t="s">
        <v>2942</v>
      </c>
      <c r="M21" t="s">
        <v>231</v>
      </c>
      <c r="N21" t="s">
        <v>2943</v>
      </c>
      <c r="O21" t="s">
        <v>2944</v>
      </c>
      <c r="P21" t="s">
        <v>2885</v>
      </c>
      <c r="Q21" t="s">
        <v>231</v>
      </c>
      <c r="R21" t="b">
        <v>0</v>
      </c>
      <c r="S21" t="s">
        <v>2750</v>
      </c>
    </row>
    <row r="22" spans="1:19" ht="11.25" customHeight="1">
      <c r="A22">
        <v>2655</v>
      </c>
      <c r="B22" t="s">
        <v>101</v>
      </c>
      <c r="C22">
        <v>31087651</v>
      </c>
      <c r="D22" t="s">
        <v>2945</v>
      </c>
      <c r="E22" t="s">
        <v>2946</v>
      </c>
      <c r="F22" t="s">
        <v>2947</v>
      </c>
      <c r="G22" t="s">
        <v>2948</v>
      </c>
      <c r="H22" t="s">
        <v>2949</v>
      </c>
      <c r="I22" t="s">
        <v>2950</v>
      </c>
      <c r="J22" t="s">
        <v>2880</v>
      </c>
      <c r="K22" t="s">
        <v>2951</v>
      </c>
      <c r="L22" t="s">
        <v>2951</v>
      </c>
      <c r="M22" t="s">
        <v>2952</v>
      </c>
      <c r="N22" t="s">
        <v>2953</v>
      </c>
      <c r="O22" t="s">
        <v>2954</v>
      </c>
      <c r="R22" t="b">
        <v>0</v>
      </c>
      <c r="S22" t="s">
        <v>2750</v>
      </c>
    </row>
    <row r="23" spans="1:19" ht="11.25" customHeight="1">
      <c r="A23">
        <v>2655</v>
      </c>
      <c r="B23" t="s">
        <v>101</v>
      </c>
      <c r="C23">
        <v>31367862</v>
      </c>
      <c r="D23" t="s">
        <v>2955</v>
      </c>
      <c r="E23" t="s">
        <v>2956</v>
      </c>
      <c r="F23" t="s">
        <v>2957</v>
      </c>
      <c r="G23" t="s">
        <v>2939</v>
      </c>
      <c r="H23" t="s">
        <v>2958</v>
      </c>
      <c r="I23" t="s">
        <v>2959</v>
      </c>
      <c r="J23" t="s">
        <v>2880</v>
      </c>
      <c r="K23" t="s">
        <v>2960</v>
      </c>
      <c r="L23" t="s">
        <v>2960</v>
      </c>
      <c r="M23" t="s">
        <v>231</v>
      </c>
      <c r="N23" t="s">
        <v>2961</v>
      </c>
      <c r="O23" t="s">
        <v>2962</v>
      </c>
      <c r="P23" t="s">
        <v>2885</v>
      </c>
      <c r="Q23" t="s">
        <v>231</v>
      </c>
      <c r="R23" t="b">
        <v>0</v>
      </c>
      <c r="S23" t="s">
        <v>2750</v>
      </c>
    </row>
    <row r="24" spans="1:19" ht="11.25" customHeight="1">
      <c r="A24">
        <v>2655</v>
      </c>
      <c r="B24" t="s">
        <v>101</v>
      </c>
      <c r="C24">
        <v>26486390</v>
      </c>
      <c r="D24" t="s">
        <v>2963</v>
      </c>
      <c r="E24" t="s">
        <v>2964</v>
      </c>
      <c r="F24" t="s">
        <v>2965</v>
      </c>
      <c r="G24" t="s">
        <v>2966</v>
      </c>
      <c r="H24" t="s">
        <v>2967</v>
      </c>
      <c r="I24" t="s">
        <v>2968</v>
      </c>
      <c r="J24" t="s">
        <v>2892</v>
      </c>
      <c r="K24" t="s">
        <v>2969</v>
      </c>
      <c r="L24" t="s">
        <v>2969</v>
      </c>
      <c r="M24" t="s">
        <v>2970</v>
      </c>
      <c r="N24" t="s">
        <v>2971</v>
      </c>
      <c r="O24" t="s">
        <v>2972</v>
      </c>
      <c r="P24" t="s">
        <v>2973</v>
      </c>
      <c r="Q24" t="s">
        <v>231</v>
      </c>
      <c r="R24" t="b">
        <v>0</v>
      </c>
      <c r="S24" t="s">
        <v>2750</v>
      </c>
    </row>
    <row r="25" spans="1:19" ht="11.25" customHeight="1">
      <c r="A25">
        <v>2655</v>
      </c>
      <c r="B25" t="s">
        <v>101</v>
      </c>
      <c r="C25">
        <v>27977465</v>
      </c>
      <c r="D25" t="s">
        <v>2974</v>
      </c>
      <c r="E25" t="s">
        <v>2975</v>
      </c>
      <c r="F25" t="s">
        <v>2976</v>
      </c>
      <c r="G25" t="s">
        <v>2977</v>
      </c>
      <c r="H25" t="s">
        <v>2978</v>
      </c>
      <c r="I25" t="s">
        <v>231</v>
      </c>
      <c r="K25" t="s">
        <v>2979</v>
      </c>
      <c r="L25" t="s">
        <v>2979</v>
      </c>
      <c r="M25" t="s">
        <v>2980</v>
      </c>
      <c r="N25" t="s">
        <v>2981</v>
      </c>
      <c r="O25" t="s">
        <v>2982</v>
      </c>
      <c r="P25" t="s">
        <v>2848</v>
      </c>
      <c r="Q25" t="s">
        <v>231</v>
      </c>
      <c r="R25" t="b">
        <v>0</v>
      </c>
      <c r="S25" t="s">
        <v>2750</v>
      </c>
    </row>
    <row r="26" spans="1:19" ht="11.25" customHeight="1">
      <c r="A26">
        <v>2655</v>
      </c>
      <c r="B26" t="s">
        <v>101</v>
      </c>
      <c r="C26">
        <v>31003143</v>
      </c>
      <c r="D26" t="s">
        <v>2983</v>
      </c>
      <c r="E26" t="s">
        <v>2984</v>
      </c>
      <c r="F26" t="s">
        <v>2985</v>
      </c>
      <c r="G26" t="s">
        <v>2977</v>
      </c>
      <c r="H26" t="s">
        <v>2986</v>
      </c>
      <c r="I26" t="s">
        <v>2987</v>
      </c>
      <c r="J26" t="s">
        <v>2892</v>
      </c>
      <c r="K26" t="s">
        <v>2988</v>
      </c>
      <c r="L26" t="s">
        <v>2989</v>
      </c>
      <c r="M26" t="s">
        <v>2990</v>
      </c>
      <c r="N26" t="s">
        <v>2991</v>
      </c>
      <c r="O26" t="s">
        <v>2992</v>
      </c>
      <c r="P26" t="s">
        <v>2885</v>
      </c>
      <c r="Q26" t="s">
        <v>231</v>
      </c>
      <c r="R26" t="b">
        <v>1</v>
      </c>
      <c r="S26" t="s">
        <v>2750</v>
      </c>
    </row>
    <row r="27" spans="1:19" ht="11.25" customHeight="1">
      <c r="A27">
        <v>2655</v>
      </c>
      <c r="B27" t="s">
        <v>101</v>
      </c>
      <c r="C27">
        <v>31308226</v>
      </c>
      <c r="D27" t="s">
        <v>2993</v>
      </c>
      <c r="E27" t="s">
        <v>2994</v>
      </c>
      <c r="F27" t="s">
        <v>2995</v>
      </c>
      <c r="G27" t="s">
        <v>2996</v>
      </c>
      <c r="H27" t="s">
        <v>2997</v>
      </c>
      <c r="I27" t="s">
        <v>2998</v>
      </c>
      <c r="J27" t="s">
        <v>2892</v>
      </c>
      <c r="K27" t="s">
        <v>2999</v>
      </c>
      <c r="L27" t="s">
        <v>2999</v>
      </c>
      <c r="M27" t="s">
        <v>3000</v>
      </c>
      <c r="N27" t="s">
        <v>3001</v>
      </c>
      <c r="O27" t="s">
        <v>3002</v>
      </c>
      <c r="P27" t="s">
        <v>2848</v>
      </c>
      <c r="Q27" t="s">
        <v>231</v>
      </c>
      <c r="R27" t="b">
        <v>1</v>
      </c>
      <c r="S27" t="s">
        <v>2750</v>
      </c>
    </row>
    <row r="28" spans="1:19" ht="11.25" customHeight="1">
      <c r="A28">
        <v>2655</v>
      </c>
      <c r="B28" t="s">
        <v>101</v>
      </c>
      <c r="C28">
        <v>31284269</v>
      </c>
      <c r="D28" t="s">
        <v>3003</v>
      </c>
      <c r="E28" t="s">
        <v>3004</v>
      </c>
      <c r="F28" t="s">
        <v>3005</v>
      </c>
      <c r="G28" t="s">
        <v>2948</v>
      </c>
      <c r="H28" t="s">
        <v>3006</v>
      </c>
      <c r="I28" t="s">
        <v>3007</v>
      </c>
      <c r="J28" t="s">
        <v>2892</v>
      </c>
      <c r="K28" t="s">
        <v>3008</v>
      </c>
      <c r="L28" t="s">
        <v>3009</v>
      </c>
      <c r="M28" t="s">
        <v>3010</v>
      </c>
      <c r="N28" t="s">
        <v>3011</v>
      </c>
      <c r="O28" t="s">
        <v>3012</v>
      </c>
      <c r="P28" t="s">
        <v>231</v>
      </c>
      <c r="Q28" t="s">
        <v>231</v>
      </c>
      <c r="R28" t="b">
        <v>0</v>
      </c>
      <c r="S28" t="s">
        <v>2750</v>
      </c>
    </row>
    <row r="29" spans="1:19" ht="11.25" customHeight="1">
      <c r="A29">
        <v>2655</v>
      </c>
      <c r="B29" t="s">
        <v>101</v>
      </c>
      <c r="C29">
        <v>31241680</v>
      </c>
      <c r="D29" t="s">
        <v>3013</v>
      </c>
      <c r="E29" t="s">
        <v>3014</v>
      </c>
      <c r="F29" t="s">
        <v>3015</v>
      </c>
      <c r="G29" t="s">
        <v>2920</v>
      </c>
      <c r="H29" t="s">
        <v>3016</v>
      </c>
      <c r="I29" t="s">
        <v>3017</v>
      </c>
      <c r="J29" t="s">
        <v>2892</v>
      </c>
      <c r="K29" t="s">
        <v>3018</v>
      </c>
      <c r="L29" t="s">
        <v>3018</v>
      </c>
      <c r="M29" t="s">
        <v>3019</v>
      </c>
      <c r="N29" t="s">
        <v>3020</v>
      </c>
      <c r="O29" t="s">
        <v>3021</v>
      </c>
      <c r="P29" t="s">
        <v>2848</v>
      </c>
      <c r="Q29" t="s">
        <v>3022</v>
      </c>
      <c r="R29" t="b">
        <v>0</v>
      </c>
      <c r="S29" t="s">
        <v>2750</v>
      </c>
    </row>
    <row r="30" spans="1:19" ht="11.25" customHeight="1">
      <c r="A30">
        <v>2655</v>
      </c>
      <c r="B30" t="s">
        <v>101</v>
      </c>
      <c r="C30">
        <v>31579664</v>
      </c>
      <c r="D30" t="s">
        <v>3023</v>
      </c>
      <c r="E30" t="s">
        <v>3024</v>
      </c>
      <c r="F30" t="s">
        <v>3025</v>
      </c>
      <c r="G30" t="s">
        <v>2831</v>
      </c>
      <c r="H30" t="s">
        <v>3026</v>
      </c>
      <c r="I30" t="s">
        <v>3027</v>
      </c>
      <c r="K30" t="s">
        <v>3028</v>
      </c>
      <c r="L30" t="s">
        <v>3029</v>
      </c>
      <c r="M30" t="s">
        <v>3030</v>
      </c>
      <c r="N30" t="s">
        <v>231</v>
      </c>
      <c r="O30" t="s">
        <v>3031</v>
      </c>
      <c r="P30" t="s">
        <v>2885</v>
      </c>
      <c r="Q30" t="s">
        <v>3032</v>
      </c>
      <c r="R30" t="b">
        <v>1</v>
      </c>
      <c r="S30" t="s">
        <v>2750</v>
      </c>
    </row>
    <row r="31" spans="1:19" ht="11.25" customHeight="1">
      <c r="A31">
        <v>2655</v>
      </c>
      <c r="B31" t="s">
        <v>101</v>
      </c>
      <c r="C31">
        <v>26322895</v>
      </c>
      <c r="D31" t="s">
        <v>111</v>
      </c>
      <c r="E31" t="s">
        <v>114</v>
      </c>
      <c r="F31" t="s">
        <v>120</v>
      </c>
      <c r="G31" t="s">
        <v>122</v>
      </c>
      <c r="H31" t="s">
        <v>118</v>
      </c>
      <c r="I31" t="s">
        <v>124</v>
      </c>
      <c r="J31" t="s">
        <v>127</v>
      </c>
      <c r="K31" t="s">
        <v>130</v>
      </c>
      <c r="L31" t="s">
        <v>130</v>
      </c>
      <c r="M31" t="s">
        <v>135</v>
      </c>
      <c r="N31" t="s">
        <v>138</v>
      </c>
      <c r="O31" t="s">
        <v>3033</v>
      </c>
      <c r="P31" t="s">
        <v>2827</v>
      </c>
      <c r="Q31" t="s">
        <v>147</v>
      </c>
      <c r="R31" t="b">
        <v>0</v>
      </c>
      <c r="S31" t="s">
        <v>2750</v>
      </c>
    </row>
    <row r="32" spans="1:19" ht="11.25" customHeight="1">
      <c r="A32">
        <v>2655</v>
      </c>
      <c r="B32" t="s">
        <v>101</v>
      </c>
      <c r="C32">
        <v>28119331</v>
      </c>
      <c r="D32" t="s">
        <v>3034</v>
      </c>
      <c r="E32" t="s">
        <v>3035</v>
      </c>
      <c r="F32" t="s">
        <v>3036</v>
      </c>
      <c r="G32" t="s">
        <v>122</v>
      </c>
      <c r="H32" t="s">
        <v>3037</v>
      </c>
      <c r="I32" t="s">
        <v>231</v>
      </c>
      <c r="J32" t="s">
        <v>3038</v>
      </c>
      <c r="K32" t="s">
        <v>3039</v>
      </c>
      <c r="L32" t="s">
        <v>3039</v>
      </c>
      <c r="M32" t="s">
        <v>3040</v>
      </c>
      <c r="N32" t="s">
        <v>231</v>
      </c>
      <c r="O32" t="s">
        <v>3041</v>
      </c>
      <c r="P32" t="s">
        <v>2848</v>
      </c>
      <c r="Q32" t="s">
        <v>231</v>
      </c>
      <c r="R32" t="b">
        <v>1</v>
      </c>
      <c r="S32" t="s">
        <v>2750</v>
      </c>
    </row>
    <row r="33" spans="1:19" ht="11.25" customHeight="1">
      <c r="A33">
        <v>2655</v>
      </c>
      <c r="B33" t="s">
        <v>101</v>
      </c>
      <c r="C33">
        <v>31775146</v>
      </c>
      <c r="D33" t="s">
        <v>3042</v>
      </c>
      <c r="E33" t="s">
        <v>3043</v>
      </c>
      <c r="F33" t="s">
        <v>3044</v>
      </c>
      <c r="G33" t="s">
        <v>3045</v>
      </c>
      <c r="H33" t="s">
        <v>3046</v>
      </c>
      <c r="I33" t="s">
        <v>3047</v>
      </c>
      <c r="K33" t="s">
        <v>3048</v>
      </c>
      <c r="L33" t="s">
        <v>3048</v>
      </c>
      <c r="M33" t="s">
        <v>3049</v>
      </c>
      <c r="N33" t="s">
        <v>3050</v>
      </c>
      <c r="O33" t="s">
        <v>3051</v>
      </c>
      <c r="P33" t="s">
        <v>2848</v>
      </c>
      <c r="Q33" t="s">
        <v>231</v>
      </c>
      <c r="R33" t="b">
        <v>1</v>
      </c>
      <c r="S33" t="s">
        <v>2750</v>
      </c>
    </row>
    <row r="34" spans="1:19" ht="11.25" customHeight="1">
      <c r="A34">
        <v>2655</v>
      </c>
      <c r="B34" t="s">
        <v>101</v>
      </c>
      <c r="C34">
        <v>28869965</v>
      </c>
      <c r="D34" t="s">
        <v>3052</v>
      </c>
      <c r="E34" t="s">
        <v>3053</v>
      </c>
      <c r="F34" t="s">
        <v>3054</v>
      </c>
      <c r="G34" t="s">
        <v>2877</v>
      </c>
      <c r="H34" t="s">
        <v>3055</v>
      </c>
      <c r="I34" t="s">
        <v>231</v>
      </c>
      <c r="J34" t="s">
        <v>3038</v>
      </c>
      <c r="K34" t="s">
        <v>3056</v>
      </c>
      <c r="L34" t="s">
        <v>3056</v>
      </c>
      <c r="M34" t="s">
        <v>3057</v>
      </c>
      <c r="N34" t="s">
        <v>3058</v>
      </c>
      <c r="O34" t="s">
        <v>3059</v>
      </c>
      <c r="P34" t="s">
        <v>2827</v>
      </c>
      <c r="Q34" t="s">
        <v>3060</v>
      </c>
      <c r="R34" t="b">
        <v>0</v>
      </c>
      <c r="S34" t="s">
        <v>2750</v>
      </c>
    </row>
    <row r="35" spans="1:19" ht="11.25" customHeight="1">
      <c r="A35">
        <v>2655</v>
      </c>
      <c r="B35" t="s">
        <v>101</v>
      </c>
      <c r="C35">
        <v>31356597</v>
      </c>
      <c r="D35" t="s">
        <v>3061</v>
      </c>
      <c r="E35" t="s">
        <v>3062</v>
      </c>
      <c r="F35" t="s">
        <v>3063</v>
      </c>
      <c r="G35" t="s">
        <v>2948</v>
      </c>
      <c r="H35" t="s">
        <v>3064</v>
      </c>
      <c r="I35" t="s">
        <v>3065</v>
      </c>
      <c r="J35" t="s">
        <v>3038</v>
      </c>
      <c r="K35" t="s">
        <v>3066</v>
      </c>
      <c r="L35" t="s">
        <v>3066</v>
      </c>
      <c r="M35" t="s">
        <v>3067</v>
      </c>
      <c r="N35" t="s">
        <v>3068</v>
      </c>
      <c r="O35" t="s">
        <v>3069</v>
      </c>
      <c r="P35" t="s">
        <v>2827</v>
      </c>
      <c r="Q35" t="s">
        <v>231</v>
      </c>
      <c r="R35" t="b">
        <v>0</v>
      </c>
      <c r="S35" t="s">
        <v>2750</v>
      </c>
    </row>
    <row r="36" spans="1:19" ht="11.25" customHeight="1">
      <c r="A36">
        <v>2655</v>
      </c>
      <c r="B36" t="s">
        <v>101</v>
      </c>
      <c r="C36">
        <v>28136671</v>
      </c>
      <c r="D36" t="s">
        <v>3070</v>
      </c>
      <c r="E36" t="s">
        <v>3071</v>
      </c>
      <c r="F36" t="s">
        <v>3072</v>
      </c>
      <c r="G36" t="s">
        <v>3073</v>
      </c>
      <c r="H36" t="s">
        <v>3074</v>
      </c>
      <c r="I36" t="s">
        <v>3075</v>
      </c>
      <c r="J36" t="s">
        <v>3038</v>
      </c>
      <c r="K36" t="s">
        <v>3076</v>
      </c>
      <c r="L36" t="s">
        <v>3077</v>
      </c>
      <c r="M36" t="s">
        <v>3078</v>
      </c>
      <c r="N36" t="s">
        <v>3079</v>
      </c>
      <c r="O36" t="s">
        <v>3080</v>
      </c>
      <c r="P36" t="s">
        <v>2761</v>
      </c>
      <c r="Q36" t="s">
        <v>231</v>
      </c>
      <c r="R36" t="b">
        <v>1</v>
      </c>
      <c r="S36" t="s">
        <v>2750</v>
      </c>
    </row>
    <row r="37" spans="1:19" ht="11.25" customHeight="1">
      <c r="A37">
        <v>2655</v>
      </c>
      <c r="B37" t="s">
        <v>101</v>
      </c>
      <c r="C37">
        <v>30854705</v>
      </c>
      <c r="D37" t="s">
        <v>3081</v>
      </c>
      <c r="E37" t="s">
        <v>3082</v>
      </c>
      <c r="F37" t="s">
        <v>3083</v>
      </c>
      <c r="G37" t="s">
        <v>2776</v>
      </c>
      <c r="H37" t="s">
        <v>3084</v>
      </c>
      <c r="I37" t="s">
        <v>3085</v>
      </c>
      <c r="J37" t="s">
        <v>3038</v>
      </c>
      <c r="K37" t="s">
        <v>3086</v>
      </c>
      <c r="L37" t="s">
        <v>3086</v>
      </c>
      <c r="M37" t="s">
        <v>3087</v>
      </c>
      <c r="N37" t="s">
        <v>3088</v>
      </c>
      <c r="O37" t="s">
        <v>3089</v>
      </c>
      <c r="P37" t="s">
        <v>2827</v>
      </c>
      <c r="Q37" t="s">
        <v>151</v>
      </c>
      <c r="R37" t="b">
        <v>0</v>
      </c>
      <c r="S37" t="s">
        <v>2750</v>
      </c>
    </row>
    <row r="38" spans="1:19" ht="11.25" customHeight="1">
      <c r="A38">
        <v>2655</v>
      </c>
      <c r="B38" t="s">
        <v>101</v>
      </c>
      <c r="C38">
        <v>31656254</v>
      </c>
      <c r="D38" t="s">
        <v>3090</v>
      </c>
      <c r="E38" t="s">
        <v>3091</v>
      </c>
      <c r="F38" t="s">
        <v>3092</v>
      </c>
      <c r="G38" t="s">
        <v>3093</v>
      </c>
      <c r="H38" t="s">
        <v>3094</v>
      </c>
      <c r="I38" t="s">
        <v>3095</v>
      </c>
      <c r="K38" t="s">
        <v>3096</v>
      </c>
      <c r="L38" t="s">
        <v>3097</v>
      </c>
      <c r="M38" t="s">
        <v>3098</v>
      </c>
      <c r="N38" t="s">
        <v>3099</v>
      </c>
      <c r="O38" t="s">
        <v>3100</v>
      </c>
      <c r="P38" t="s">
        <v>2885</v>
      </c>
      <c r="Q38" t="s">
        <v>3101</v>
      </c>
      <c r="R38" t="b">
        <v>0</v>
      </c>
      <c r="S38" t="s">
        <v>2750</v>
      </c>
    </row>
    <row r="39" spans="1:19" ht="11.25" customHeight="1">
      <c r="A39">
        <v>2655</v>
      </c>
      <c r="B39" t="s">
        <v>101</v>
      </c>
      <c r="C39">
        <v>31424033</v>
      </c>
      <c r="D39" t="s">
        <v>3102</v>
      </c>
      <c r="E39" t="s">
        <v>3103</v>
      </c>
      <c r="F39" t="s">
        <v>3104</v>
      </c>
      <c r="G39" t="s">
        <v>3105</v>
      </c>
      <c r="H39" t="s">
        <v>3106</v>
      </c>
      <c r="I39" t="s">
        <v>231</v>
      </c>
      <c r="J39" t="s">
        <v>3038</v>
      </c>
      <c r="K39" t="s">
        <v>231</v>
      </c>
      <c r="L39" t="s">
        <v>231</v>
      </c>
      <c r="M39" t="s">
        <v>231</v>
      </c>
      <c r="N39" t="s">
        <v>231</v>
      </c>
      <c r="O39" t="s">
        <v>231</v>
      </c>
      <c r="P39" t="s">
        <v>231</v>
      </c>
      <c r="Q39" t="s">
        <v>231</v>
      </c>
      <c r="R39" t="b">
        <v>0</v>
      </c>
      <c r="S39" t="s">
        <v>2750</v>
      </c>
    </row>
    <row r="40" spans="1:19" ht="11.25" customHeight="1">
      <c r="A40">
        <v>2655</v>
      </c>
      <c r="B40" t="s">
        <v>101</v>
      </c>
      <c r="C40">
        <v>26428026</v>
      </c>
      <c r="D40" t="s">
        <v>3107</v>
      </c>
      <c r="E40" t="s">
        <v>3108</v>
      </c>
      <c r="F40" t="s">
        <v>3109</v>
      </c>
      <c r="G40" t="s">
        <v>3110</v>
      </c>
      <c r="H40" t="s">
        <v>3111</v>
      </c>
      <c r="I40" t="s">
        <v>231</v>
      </c>
      <c r="K40" t="s">
        <v>3112</v>
      </c>
      <c r="L40" t="s">
        <v>3112</v>
      </c>
      <c r="M40" t="s">
        <v>3113</v>
      </c>
      <c r="N40" t="s">
        <v>3114</v>
      </c>
      <c r="O40" t="s">
        <v>3115</v>
      </c>
      <c r="P40" t="s">
        <v>2885</v>
      </c>
      <c r="Q40" t="s">
        <v>231</v>
      </c>
      <c r="R40" t="b">
        <v>1</v>
      </c>
      <c r="S40" t="s">
        <v>2750</v>
      </c>
    </row>
    <row r="41" spans="1:19" ht="11.25" customHeight="1">
      <c r="A41">
        <v>2655</v>
      </c>
      <c r="B41" t="s">
        <v>101</v>
      </c>
      <c r="C41">
        <v>28151808</v>
      </c>
      <c r="D41" t="s">
        <v>3116</v>
      </c>
      <c r="E41" t="s">
        <v>3117</v>
      </c>
      <c r="F41" t="s">
        <v>3118</v>
      </c>
      <c r="G41" t="s">
        <v>2831</v>
      </c>
      <c r="H41" t="s">
        <v>3119</v>
      </c>
      <c r="I41" t="s">
        <v>3120</v>
      </c>
      <c r="J41" t="s">
        <v>3038</v>
      </c>
      <c r="K41" t="s">
        <v>3121</v>
      </c>
      <c r="L41" t="s">
        <v>3122</v>
      </c>
      <c r="M41" t="s">
        <v>3123</v>
      </c>
      <c r="N41" t="s">
        <v>3124</v>
      </c>
      <c r="O41" t="s">
        <v>3125</v>
      </c>
      <c r="P41" t="s">
        <v>2827</v>
      </c>
      <c r="Q41" t="s">
        <v>231</v>
      </c>
      <c r="R41" t="b">
        <v>1</v>
      </c>
      <c r="S41" t="s">
        <v>2750</v>
      </c>
    </row>
    <row r="42" spans="1:19" ht="11.25" customHeight="1">
      <c r="A42">
        <v>2655</v>
      </c>
      <c r="B42" t="s">
        <v>101</v>
      </c>
      <c r="C42">
        <v>31739633</v>
      </c>
      <c r="D42" t="s">
        <v>3126</v>
      </c>
      <c r="E42" t="s">
        <v>3127</v>
      </c>
      <c r="F42" t="s">
        <v>3128</v>
      </c>
      <c r="G42" t="s">
        <v>3129</v>
      </c>
      <c r="H42" t="s">
        <v>3130</v>
      </c>
      <c r="I42" t="s">
        <v>3131</v>
      </c>
      <c r="K42" t="s">
        <v>3132</v>
      </c>
      <c r="L42" t="s">
        <v>3132</v>
      </c>
      <c r="M42" t="s">
        <v>3133</v>
      </c>
      <c r="N42" t="s">
        <v>3134</v>
      </c>
      <c r="O42" t="s">
        <v>3135</v>
      </c>
      <c r="P42" t="s">
        <v>2848</v>
      </c>
      <c r="Q42" t="s">
        <v>231</v>
      </c>
      <c r="R42" t="b">
        <v>0</v>
      </c>
      <c r="S42" t="s">
        <v>2750</v>
      </c>
    </row>
    <row r="43" spans="1:19" ht="11.25" customHeight="1">
      <c r="A43">
        <v>2655</v>
      </c>
      <c r="B43" t="s">
        <v>101</v>
      </c>
      <c r="C43">
        <v>31541617</v>
      </c>
      <c r="D43" t="s">
        <v>3136</v>
      </c>
      <c r="E43" t="s">
        <v>3137</v>
      </c>
      <c r="F43" t="s">
        <v>3138</v>
      </c>
      <c r="G43" t="s">
        <v>3139</v>
      </c>
      <c r="H43" t="s">
        <v>3140</v>
      </c>
      <c r="I43" t="s">
        <v>3141</v>
      </c>
      <c r="K43" t="s">
        <v>3142</v>
      </c>
      <c r="L43" t="s">
        <v>3142</v>
      </c>
      <c r="M43" t="s">
        <v>3143</v>
      </c>
      <c r="N43" t="s">
        <v>3144</v>
      </c>
      <c r="O43" t="s">
        <v>3145</v>
      </c>
      <c r="P43" t="s">
        <v>2848</v>
      </c>
      <c r="Q43" t="s">
        <v>231</v>
      </c>
      <c r="R43" t="b">
        <v>1</v>
      </c>
      <c r="S43" t="s">
        <v>2750</v>
      </c>
    </row>
    <row r="44" spans="1:19" ht="11.25" customHeight="1">
      <c r="A44">
        <v>2655</v>
      </c>
      <c r="B44" t="s">
        <v>101</v>
      </c>
      <c r="C44">
        <v>26356987</v>
      </c>
      <c r="D44" t="s">
        <v>3146</v>
      </c>
      <c r="E44" t="s">
        <v>3147</v>
      </c>
      <c r="F44" t="s">
        <v>3148</v>
      </c>
      <c r="G44" t="s">
        <v>3149</v>
      </c>
      <c r="H44" t="s">
        <v>3150</v>
      </c>
      <c r="I44" t="s">
        <v>3151</v>
      </c>
      <c r="J44" t="s">
        <v>3038</v>
      </c>
      <c r="K44" t="s">
        <v>3152</v>
      </c>
      <c r="L44" t="s">
        <v>3152</v>
      </c>
      <c r="M44" t="s">
        <v>3153</v>
      </c>
      <c r="N44" t="s">
        <v>3154</v>
      </c>
      <c r="O44" t="s">
        <v>3155</v>
      </c>
      <c r="P44" t="s">
        <v>2848</v>
      </c>
      <c r="Q44" t="s">
        <v>3156</v>
      </c>
      <c r="R44" t="b">
        <v>0</v>
      </c>
      <c r="S44" t="s">
        <v>2750</v>
      </c>
    </row>
    <row r="45" spans="1:19" ht="11.25" customHeight="1">
      <c r="A45">
        <v>2655</v>
      </c>
      <c r="B45" t="s">
        <v>101</v>
      </c>
      <c r="C45">
        <v>26356891</v>
      </c>
      <c r="D45" t="s">
        <v>3157</v>
      </c>
      <c r="E45" t="s">
        <v>3158</v>
      </c>
      <c r="F45" t="s">
        <v>3159</v>
      </c>
      <c r="G45" t="s">
        <v>2977</v>
      </c>
      <c r="H45" t="s">
        <v>3160</v>
      </c>
      <c r="I45" t="s">
        <v>3161</v>
      </c>
      <c r="J45" t="s">
        <v>3038</v>
      </c>
      <c r="K45" t="s">
        <v>3162</v>
      </c>
      <c r="L45" t="s">
        <v>3162</v>
      </c>
      <c r="M45" t="s">
        <v>3163</v>
      </c>
      <c r="N45" t="s">
        <v>3164</v>
      </c>
      <c r="O45" t="s">
        <v>3165</v>
      </c>
      <c r="P45" t="s">
        <v>2885</v>
      </c>
      <c r="Q45" t="s">
        <v>231</v>
      </c>
      <c r="R45" t="b">
        <v>0</v>
      </c>
      <c r="S45" t="s">
        <v>2750</v>
      </c>
    </row>
    <row r="46" spans="1:19" ht="11.25" customHeight="1">
      <c r="A46">
        <v>2655</v>
      </c>
      <c r="B46" t="s">
        <v>101</v>
      </c>
      <c r="C46">
        <v>31241637</v>
      </c>
      <c r="D46" t="s">
        <v>3166</v>
      </c>
      <c r="E46" t="s">
        <v>3167</v>
      </c>
      <c r="F46" t="s">
        <v>3168</v>
      </c>
      <c r="G46" t="s">
        <v>2996</v>
      </c>
      <c r="H46" t="s">
        <v>3169</v>
      </c>
      <c r="I46" t="s">
        <v>3170</v>
      </c>
      <c r="J46" t="s">
        <v>3038</v>
      </c>
      <c r="K46" t="s">
        <v>3171</v>
      </c>
      <c r="L46" t="s">
        <v>3171</v>
      </c>
      <c r="M46" t="s">
        <v>3172</v>
      </c>
      <c r="N46" t="s">
        <v>231</v>
      </c>
      <c r="O46" t="s">
        <v>3173</v>
      </c>
      <c r="P46" t="s">
        <v>2848</v>
      </c>
      <c r="Q46" t="s">
        <v>231</v>
      </c>
      <c r="R46" t="b">
        <v>0</v>
      </c>
      <c r="S46" t="s">
        <v>2750</v>
      </c>
    </row>
    <row r="47" spans="1:19" ht="11.25" customHeight="1">
      <c r="A47">
        <v>2655</v>
      </c>
      <c r="B47" t="s">
        <v>101</v>
      </c>
      <c r="C47">
        <v>26356937</v>
      </c>
      <c r="D47" t="s">
        <v>3174</v>
      </c>
      <c r="E47" t="s">
        <v>3175</v>
      </c>
      <c r="F47" t="s">
        <v>3176</v>
      </c>
      <c r="G47" t="s">
        <v>3045</v>
      </c>
      <c r="H47" t="s">
        <v>3177</v>
      </c>
      <c r="I47" t="s">
        <v>3178</v>
      </c>
      <c r="J47" t="s">
        <v>3038</v>
      </c>
      <c r="K47" t="s">
        <v>3179</v>
      </c>
      <c r="L47" t="s">
        <v>3179</v>
      </c>
      <c r="M47" t="s">
        <v>3180</v>
      </c>
      <c r="N47" t="s">
        <v>3181</v>
      </c>
      <c r="O47" t="s">
        <v>3182</v>
      </c>
      <c r="P47" t="s">
        <v>2848</v>
      </c>
      <c r="Q47" t="s">
        <v>3183</v>
      </c>
      <c r="R47" t="b">
        <v>0</v>
      </c>
      <c r="S47" t="s">
        <v>2750</v>
      </c>
    </row>
    <row r="48" spans="1:19" ht="11.25" customHeight="1">
      <c r="A48">
        <v>2655</v>
      </c>
      <c r="B48" t="s">
        <v>101</v>
      </c>
      <c r="C48">
        <v>31770754</v>
      </c>
      <c r="D48" t="s">
        <v>3184</v>
      </c>
      <c r="E48" t="s">
        <v>3185</v>
      </c>
      <c r="F48" t="s">
        <v>3186</v>
      </c>
      <c r="G48" t="s">
        <v>3129</v>
      </c>
      <c r="H48" t="s">
        <v>3187</v>
      </c>
      <c r="I48" t="s">
        <v>3188</v>
      </c>
      <c r="K48" t="s">
        <v>3189</v>
      </c>
      <c r="L48" t="s">
        <v>3190</v>
      </c>
      <c r="M48" t="s">
        <v>3191</v>
      </c>
      <c r="N48" t="s">
        <v>3192</v>
      </c>
      <c r="O48" t="s">
        <v>3193</v>
      </c>
      <c r="P48" t="s">
        <v>2885</v>
      </c>
      <c r="Q48" t="s">
        <v>231</v>
      </c>
      <c r="R48" t="b">
        <v>1</v>
      </c>
      <c r="S48" t="s">
        <v>2750</v>
      </c>
    </row>
    <row r="49" spans="1:19" ht="11.25" customHeight="1">
      <c r="A49">
        <v>2655</v>
      </c>
      <c r="B49" t="s">
        <v>101</v>
      </c>
      <c r="C49">
        <v>31528492</v>
      </c>
      <c r="D49" t="s">
        <v>3194</v>
      </c>
      <c r="E49" t="s">
        <v>3195</v>
      </c>
      <c r="F49" t="s">
        <v>3196</v>
      </c>
      <c r="G49" t="s">
        <v>2996</v>
      </c>
      <c r="H49" t="s">
        <v>3197</v>
      </c>
      <c r="I49" t="s">
        <v>3198</v>
      </c>
      <c r="K49" t="s">
        <v>3199</v>
      </c>
      <c r="L49" t="s">
        <v>3199</v>
      </c>
      <c r="M49" t="s">
        <v>3200</v>
      </c>
      <c r="N49" t="s">
        <v>3201</v>
      </c>
      <c r="O49" t="s">
        <v>3202</v>
      </c>
      <c r="P49" t="s">
        <v>2761</v>
      </c>
      <c r="Q49" t="s">
        <v>231</v>
      </c>
      <c r="R49" t="b">
        <v>0</v>
      </c>
      <c r="S49" t="s">
        <v>2750</v>
      </c>
    </row>
    <row r="50" spans="1:19" ht="11.25" customHeight="1">
      <c r="A50">
        <v>2655</v>
      </c>
      <c r="B50" t="s">
        <v>101</v>
      </c>
      <c r="C50">
        <v>28270293</v>
      </c>
      <c r="D50" t="s">
        <v>3203</v>
      </c>
      <c r="E50" t="s">
        <v>3204</v>
      </c>
      <c r="F50" t="s">
        <v>3205</v>
      </c>
      <c r="G50" t="s">
        <v>2977</v>
      </c>
      <c r="H50" t="s">
        <v>3206</v>
      </c>
      <c r="I50" t="s">
        <v>3207</v>
      </c>
      <c r="J50" t="s">
        <v>3038</v>
      </c>
      <c r="K50" t="s">
        <v>3208</v>
      </c>
      <c r="L50" t="s">
        <v>3208</v>
      </c>
      <c r="M50" t="s">
        <v>3209</v>
      </c>
      <c r="N50" t="s">
        <v>3210</v>
      </c>
      <c r="O50" t="s">
        <v>3211</v>
      </c>
      <c r="P50" t="s">
        <v>2827</v>
      </c>
      <c r="Q50" t="s">
        <v>231</v>
      </c>
      <c r="R50" t="b">
        <v>0</v>
      </c>
      <c r="S50" t="s">
        <v>2750</v>
      </c>
    </row>
    <row r="51" spans="1:19" ht="11.25" customHeight="1">
      <c r="A51">
        <v>2655</v>
      </c>
      <c r="B51" t="s">
        <v>101</v>
      </c>
      <c r="C51">
        <v>28873362</v>
      </c>
      <c r="D51" t="s">
        <v>3212</v>
      </c>
      <c r="E51" t="s">
        <v>3213</v>
      </c>
      <c r="F51" t="s">
        <v>3214</v>
      </c>
      <c r="G51" t="s">
        <v>122</v>
      </c>
      <c r="H51" t="s">
        <v>3215</v>
      </c>
      <c r="I51" t="s">
        <v>3216</v>
      </c>
      <c r="J51" t="s">
        <v>3038</v>
      </c>
      <c r="K51" t="s">
        <v>3217</v>
      </c>
      <c r="L51" t="s">
        <v>3217</v>
      </c>
      <c r="M51" t="s">
        <v>3218</v>
      </c>
      <c r="N51" t="s">
        <v>3219</v>
      </c>
      <c r="O51" t="s">
        <v>3220</v>
      </c>
      <c r="P51" t="s">
        <v>2885</v>
      </c>
      <c r="Q51" t="s">
        <v>3221</v>
      </c>
      <c r="R51" t="b">
        <v>0</v>
      </c>
      <c r="S51" t="s">
        <v>2750</v>
      </c>
    </row>
    <row r="52" spans="1:19" ht="11.25" customHeight="1">
      <c r="A52">
        <v>2655</v>
      </c>
      <c r="B52" t="s">
        <v>101</v>
      </c>
      <c r="C52">
        <v>28976681</v>
      </c>
      <c r="D52" t="s">
        <v>3222</v>
      </c>
      <c r="E52" t="s">
        <v>3223</v>
      </c>
      <c r="F52" t="s">
        <v>3224</v>
      </c>
      <c r="G52" t="s">
        <v>2977</v>
      </c>
      <c r="H52" t="s">
        <v>3225</v>
      </c>
      <c r="I52" t="s">
        <v>3226</v>
      </c>
      <c r="J52" t="s">
        <v>3038</v>
      </c>
      <c r="K52" t="s">
        <v>3227</v>
      </c>
      <c r="L52" t="s">
        <v>3227</v>
      </c>
      <c r="M52" t="s">
        <v>3228</v>
      </c>
      <c r="N52" t="s">
        <v>231</v>
      </c>
      <c r="O52" t="s">
        <v>3229</v>
      </c>
      <c r="P52" t="s">
        <v>2885</v>
      </c>
      <c r="Q52" t="s">
        <v>231</v>
      </c>
      <c r="R52" t="b">
        <v>1</v>
      </c>
      <c r="S52" t="s">
        <v>2750</v>
      </c>
    </row>
    <row r="53" spans="1:19" ht="11.25" customHeight="1">
      <c r="A53">
        <v>2655</v>
      </c>
      <c r="B53" t="s">
        <v>101</v>
      </c>
      <c r="C53">
        <v>30992391</v>
      </c>
      <c r="D53" t="s">
        <v>3230</v>
      </c>
      <c r="E53" t="s">
        <v>3231</v>
      </c>
      <c r="F53" t="s">
        <v>3232</v>
      </c>
      <c r="G53" t="s">
        <v>2877</v>
      </c>
      <c r="H53" t="s">
        <v>3233</v>
      </c>
      <c r="I53" t="s">
        <v>3234</v>
      </c>
      <c r="J53" t="s">
        <v>3038</v>
      </c>
      <c r="K53" t="s">
        <v>3235</v>
      </c>
      <c r="L53" t="s">
        <v>3236</v>
      </c>
      <c r="M53" t="s">
        <v>3237</v>
      </c>
      <c r="N53" t="s">
        <v>3238</v>
      </c>
      <c r="O53" t="s">
        <v>3239</v>
      </c>
      <c r="P53" t="s">
        <v>2885</v>
      </c>
      <c r="Q53" t="s">
        <v>3240</v>
      </c>
      <c r="R53" t="b">
        <v>0</v>
      </c>
      <c r="S53" t="s">
        <v>2750</v>
      </c>
    </row>
    <row r="54" spans="1:19" ht="11.25" customHeight="1">
      <c r="A54">
        <v>2655</v>
      </c>
      <c r="B54" t="s">
        <v>101</v>
      </c>
      <c r="C54">
        <v>30808511</v>
      </c>
      <c r="D54" t="s">
        <v>3241</v>
      </c>
      <c r="E54" t="s">
        <v>3241</v>
      </c>
      <c r="F54" t="s">
        <v>3242</v>
      </c>
      <c r="G54" t="s">
        <v>3243</v>
      </c>
      <c r="H54" t="s">
        <v>3244</v>
      </c>
      <c r="I54" t="s">
        <v>3245</v>
      </c>
      <c r="J54" t="s">
        <v>3246</v>
      </c>
      <c r="K54" t="s">
        <v>3247</v>
      </c>
      <c r="L54" t="s">
        <v>3248</v>
      </c>
      <c r="M54" t="s">
        <v>3249</v>
      </c>
      <c r="N54" t="s">
        <v>231</v>
      </c>
      <c r="O54" t="s">
        <v>3250</v>
      </c>
      <c r="P54" t="s">
        <v>2885</v>
      </c>
      <c r="Q54" t="s">
        <v>3251</v>
      </c>
      <c r="R54" t="b">
        <v>0</v>
      </c>
      <c r="S54" t="s">
        <v>2750</v>
      </c>
    </row>
    <row r="55" spans="1:19" ht="11.25" customHeight="1">
      <c r="A55">
        <v>2655</v>
      </c>
      <c r="B55" t="s">
        <v>101</v>
      </c>
      <c r="C55">
        <v>26987067</v>
      </c>
      <c r="D55" t="s">
        <v>3252</v>
      </c>
      <c r="E55" t="s">
        <v>231</v>
      </c>
      <c r="F55" t="s">
        <v>3242</v>
      </c>
      <c r="G55" t="s">
        <v>3253</v>
      </c>
      <c r="H55" t="s">
        <v>3244</v>
      </c>
      <c r="I55" t="s">
        <v>231</v>
      </c>
      <c r="J55" t="s">
        <v>127</v>
      </c>
      <c r="K55" t="s">
        <v>3254</v>
      </c>
      <c r="L55" t="s">
        <v>3255</v>
      </c>
      <c r="M55" t="s">
        <v>231</v>
      </c>
      <c r="N55" t="s">
        <v>231</v>
      </c>
      <c r="O55" t="s">
        <v>231</v>
      </c>
      <c r="P55" t="s">
        <v>231</v>
      </c>
      <c r="Q55" t="s">
        <v>231</v>
      </c>
      <c r="R55" t="b">
        <v>0</v>
      </c>
      <c r="S55" t="s">
        <v>2750</v>
      </c>
    </row>
    <row r="56" spans="1:19" ht="11.25" customHeight="1">
      <c r="A56">
        <v>2655</v>
      </c>
      <c r="B56" t="s">
        <v>101</v>
      </c>
      <c r="C56">
        <v>26520873</v>
      </c>
      <c r="D56" t="s">
        <v>3256</v>
      </c>
      <c r="E56" t="s">
        <v>3257</v>
      </c>
      <c r="F56" t="s">
        <v>3242</v>
      </c>
      <c r="G56" t="s">
        <v>3258</v>
      </c>
      <c r="H56" t="s">
        <v>3244</v>
      </c>
      <c r="I56" t="s">
        <v>3259</v>
      </c>
      <c r="J56" t="s">
        <v>3246</v>
      </c>
      <c r="K56" t="s">
        <v>3260</v>
      </c>
      <c r="L56" t="s">
        <v>3261</v>
      </c>
      <c r="M56" t="s">
        <v>3262</v>
      </c>
      <c r="N56" t="s">
        <v>3263</v>
      </c>
      <c r="O56" t="s">
        <v>3264</v>
      </c>
      <c r="P56" t="s">
        <v>2885</v>
      </c>
      <c r="Q56" t="s">
        <v>3265</v>
      </c>
      <c r="R56" t="b">
        <v>0</v>
      </c>
      <c r="S56" t="s">
        <v>2750</v>
      </c>
    </row>
    <row r="57" spans="1:19" ht="11.25" customHeight="1">
      <c r="A57">
        <v>2655</v>
      </c>
      <c r="B57" t="s">
        <v>101</v>
      </c>
      <c r="C57">
        <v>30984255</v>
      </c>
      <c r="D57" t="s">
        <v>3266</v>
      </c>
      <c r="E57" t="s">
        <v>3267</v>
      </c>
      <c r="F57" t="s">
        <v>3268</v>
      </c>
      <c r="G57" t="s">
        <v>2831</v>
      </c>
      <c r="H57" t="s">
        <v>3269</v>
      </c>
      <c r="I57" t="s">
        <v>3270</v>
      </c>
      <c r="J57" t="s">
        <v>3271</v>
      </c>
      <c r="K57" t="s">
        <v>3272</v>
      </c>
      <c r="L57" t="s">
        <v>3272</v>
      </c>
      <c r="M57" t="s">
        <v>3273</v>
      </c>
      <c r="N57" t="s">
        <v>3274</v>
      </c>
      <c r="O57" t="s">
        <v>3275</v>
      </c>
      <c r="P57" t="s">
        <v>3276</v>
      </c>
      <c r="Q57" t="s">
        <v>231</v>
      </c>
      <c r="R57" t="b">
        <v>0</v>
      </c>
      <c r="S57" t="s">
        <v>2750</v>
      </c>
    </row>
    <row r="58" spans="1:19" ht="11.25" customHeight="1">
      <c r="A58">
        <v>2655</v>
      </c>
      <c r="B58" t="s">
        <v>101</v>
      </c>
      <c r="C58">
        <v>28976938</v>
      </c>
      <c r="D58" t="s">
        <v>2736</v>
      </c>
      <c r="E58" t="s">
        <v>2737</v>
      </c>
      <c r="F58" t="s">
        <v>2738</v>
      </c>
      <c r="G58" t="s">
        <v>2739</v>
      </c>
      <c r="H58" t="s">
        <v>2740</v>
      </c>
      <c r="I58" t="s">
        <v>2741</v>
      </c>
      <c r="J58" t="s">
        <v>2742</v>
      </c>
      <c r="K58" t="s">
        <v>2743</v>
      </c>
      <c r="L58" t="s">
        <v>2744</v>
      </c>
      <c r="M58" t="s">
        <v>2745</v>
      </c>
      <c r="N58" t="s">
        <v>2746</v>
      </c>
      <c r="O58" t="s">
        <v>2747</v>
      </c>
      <c r="P58" t="s">
        <v>2748</v>
      </c>
      <c r="Q58" t="s">
        <v>2749</v>
      </c>
      <c r="R58" t="b">
        <v>0</v>
      </c>
      <c r="S58" t="s">
        <v>3277</v>
      </c>
    </row>
    <row r="59" spans="1:19" ht="11.25" customHeight="1">
      <c r="A59">
        <v>2655</v>
      </c>
      <c r="B59" t="s">
        <v>101</v>
      </c>
      <c r="C59">
        <v>26356915</v>
      </c>
      <c r="D59" t="s">
        <v>3278</v>
      </c>
      <c r="E59" t="s">
        <v>3279</v>
      </c>
      <c r="F59" t="s">
        <v>3280</v>
      </c>
      <c r="G59" t="s">
        <v>2966</v>
      </c>
      <c r="H59" t="s">
        <v>3281</v>
      </c>
      <c r="I59" t="s">
        <v>3282</v>
      </c>
      <c r="J59" t="s">
        <v>2742</v>
      </c>
      <c r="K59" t="s">
        <v>3283</v>
      </c>
      <c r="L59" t="s">
        <v>3283</v>
      </c>
      <c r="M59" t="s">
        <v>3284</v>
      </c>
      <c r="N59" t="s">
        <v>3285</v>
      </c>
      <c r="O59" t="s">
        <v>3286</v>
      </c>
      <c r="P59" t="s">
        <v>2827</v>
      </c>
      <c r="Q59" t="s">
        <v>151</v>
      </c>
      <c r="R59" t="b">
        <v>0</v>
      </c>
      <c r="S59" t="s">
        <v>3277</v>
      </c>
    </row>
    <row r="60" spans="1:19" ht="11.25" customHeight="1">
      <c r="A60">
        <v>2655</v>
      </c>
      <c r="B60" t="s">
        <v>101</v>
      </c>
      <c r="C60">
        <v>27857950</v>
      </c>
      <c r="D60" t="s">
        <v>3287</v>
      </c>
      <c r="E60" t="s">
        <v>3288</v>
      </c>
      <c r="F60" t="s">
        <v>3289</v>
      </c>
      <c r="G60" t="s">
        <v>3149</v>
      </c>
      <c r="H60" t="s">
        <v>3290</v>
      </c>
      <c r="I60" t="s">
        <v>231</v>
      </c>
      <c r="J60" t="s">
        <v>2742</v>
      </c>
      <c r="K60" t="s">
        <v>3291</v>
      </c>
      <c r="L60" t="s">
        <v>3291</v>
      </c>
      <c r="M60" t="s">
        <v>3292</v>
      </c>
      <c r="N60" t="s">
        <v>3293</v>
      </c>
      <c r="O60" t="s">
        <v>3294</v>
      </c>
      <c r="P60" t="s">
        <v>2848</v>
      </c>
      <c r="Q60" t="s">
        <v>231</v>
      </c>
      <c r="R60" t="b">
        <v>1</v>
      </c>
      <c r="S60" t="s">
        <v>3277</v>
      </c>
    </row>
    <row r="61" spans="1:19" ht="11.25" customHeight="1">
      <c r="A61">
        <v>2655</v>
      </c>
      <c r="B61" t="s">
        <v>101</v>
      </c>
      <c r="C61">
        <v>26356963</v>
      </c>
      <c r="D61" t="s">
        <v>2773</v>
      </c>
      <c r="E61" t="s">
        <v>2774</v>
      </c>
      <c r="F61" t="s">
        <v>2775</v>
      </c>
      <c r="G61" t="s">
        <v>2776</v>
      </c>
      <c r="H61" t="s">
        <v>2777</v>
      </c>
      <c r="I61" t="s">
        <v>231</v>
      </c>
      <c r="J61" t="s">
        <v>2742</v>
      </c>
      <c r="K61" t="s">
        <v>2778</v>
      </c>
      <c r="L61" t="s">
        <v>2778</v>
      </c>
      <c r="M61" t="s">
        <v>2779</v>
      </c>
      <c r="N61" t="s">
        <v>2780</v>
      </c>
      <c r="O61" t="s">
        <v>2781</v>
      </c>
      <c r="P61" t="s">
        <v>2782</v>
      </c>
      <c r="Q61" t="s">
        <v>231</v>
      </c>
      <c r="R61" t="b">
        <v>0</v>
      </c>
      <c r="S61" t="s">
        <v>3277</v>
      </c>
    </row>
    <row r="62" spans="1:19" ht="11.25" customHeight="1">
      <c r="A62">
        <v>2655</v>
      </c>
      <c r="B62" t="s">
        <v>101</v>
      </c>
      <c r="C62">
        <v>26322889</v>
      </c>
      <c r="D62" t="s">
        <v>2783</v>
      </c>
      <c r="E62" t="s">
        <v>2784</v>
      </c>
      <c r="F62" t="s">
        <v>2785</v>
      </c>
      <c r="G62" t="s">
        <v>2786</v>
      </c>
      <c r="H62" t="s">
        <v>2787</v>
      </c>
      <c r="I62" t="s">
        <v>2788</v>
      </c>
      <c r="J62" t="s">
        <v>2742</v>
      </c>
      <c r="K62" t="s">
        <v>2789</v>
      </c>
      <c r="L62" t="s">
        <v>2790</v>
      </c>
      <c r="M62" t="s">
        <v>2791</v>
      </c>
      <c r="N62" t="s">
        <v>2792</v>
      </c>
      <c r="O62" t="s">
        <v>2793</v>
      </c>
      <c r="P62" t="s">
        <v>2794</v>
      </c>
      <c r="Q62" t="s">
        <v>2795</v>
      </c>
      <c r="R62" t="b">
        <v>0</v>
      </c>
      <c r="S62" t="s">
        <v>3277</v>
      </c>
    </row>
    <row r="63" spans="1:19" ht="11.25" customHeight="1">
      <c r="A63">
        <v>2655</v>
      </c>
      <c r="B63" t="s">
        <v>101</v>
      </c>
      <c r="C63">
        <v>31833446</v>
      </c>
      <c r="D63" t="s">
        <v>3295</v>
      </c>
      <c r="E63" t="s">
        <v>3296</v>
      </c>
      <c r="F63" t="s">
        <v>3297</v>
      </c>
      <c r="G63" t="s">
        <v>122</v>
      </c>
      <c r="H63" t="s">
        <v>3298</v>
      </c>
      <c r="I63" t="s">
        <v>231</v>
      </c>
      <c r="K63" t="s">
        <v>231</v>
      </c>
      <c r="L63" t="s">
        <v>3299</v>
      </c>
      <c r="M63" t="s">
        <v>231</v>
      </c>
      <c r="N63" t="s">
        <v>231</v>
      </c>
      <c r="O63" t="s">
        <v>3300</v>
      </c>
      <c r="P63" t="s">
        <v>2761</v>
      </c>
      <c r="Q63" t="s">
        <v>231</v>
      </c>
      <c r="R63" t="b">
        <v>0</v>
      </c>
      <c r="S63" t="s">
        <v>3277</v>
      </c>
    </row>
    <row r="64" spans="1:19" ht="11.25" customHeight="1">
      <c r="A64">
        <v>2655</v>
      </c>
      <c r="B64" t="s">
        <v>101</v>
      </c>
      <c r="C64">
        <v>27820148</v>
      </c>
      <c r="D64" t="s">
        <v>3301</v>
      </c>
      <c r="E64" t="s">
        <v>3302</v>
      </c>
      <c r="F64" t="s">
        <v>3303</v>
      </c>
      <c r="G64" t="s">
        <v>3045</v>
      </c>
      <c r="H64" t="s">
        <v>3304</v>
      </c>
      <c r="I64" t="s">
        <v>3305</v>
      </c>
      <c r="J64" t="s">
        <v>2742</v>
      </c>
      <c r="K64" t="s">
        <v>3306</v>
      </c>
      <c r="L64" t="s">
        <v>3306</v>
      </c>
      <c r="M64" t="s">
        <v>3307</v>
      </c>
      <c r="N64" t="s">
        <v>3308</v>
      </c>
      <c r="O64" t="s">
        <v>3309</v>
      </c>
      <c r="P64" t="s">
        <v>3310</v>
      </c>
      <c r="Q64" t="s">
        <v>3311</v>
      </c>
      <c r="R64" t="b">
        <v>0</v>
      </c>
      <c r="S64" t="s">
        <v>3277</v>
      </c>
    </row>
    <row r="65" spans="1:19" ht="11.25" customHeight="1">
      <c r="A65">
        <v>2655</v>
      </c>
      <c r="B65" t="s">
        <v>101</v>
      </c>
      <c r="C65">
        <v>26322867</v>
      </c>
      <c r="D65" t="s">
        <v>2849</v>
      </c>
      <c r="E65" t="s">
        <v>2850</v>
      </c>
      <c r="F65" t="s">
        <v>2851</v>
      </c>
      <c r="G65" t="s">
        <v>2786</v>
      </c>
      <c r="H65" t="s">
        <v>2852</v>
      </c>
      <c r="I65" t="s">
        <v>2853</v>
      </c>
      <c r="J65" t="s">
        <v>2742</v>
      </c>
      <c r="K65" t="s">
        <v>2854</v>
      </c>
      <c r="L65" t="s">
        <v>2854</v>
      </c>
      <c r="M65" t="s">
        <v>2855</v>
      </c>
      <c r="N65" t="s">
        <v>2856</v>
      </c>
      <c r="O65" t="s">
        <v>2857</v>
      </c>
      <c r="P65" t="s">
        <v>2827</v>
      </c>
      <c r="Q65" t="s">
        <v>2858</v>
      </c>
      <c r="R65" t="b">
        <v>0</v>
      </c>
      <c r="S65" t="s">
        <v>3277</v>
      </c>
    </row>
    <row r="66" spans="1:19" ht="11.25" customHeight="1">
      <c r="A66">
        <v>2655</v>
      </c>
      <c r="B66" t="s">
        <v>101</v>
      </c>
      <c r="C66">
        <v>26824396</v>
      </c>
      <c r="D66" t="s">
        <v>2868</v>
      </c>
      <c r="E66" t="s">
        <v>2869</v>
      </c>
      <c r="F66" t="s">
        <v>2830</v>
      </c>
      <c r="G66" t="s">
        <v>2870</v>
      </c>
      <c r="H66" t="s">
        <v>2832</v>
      </c>
      <c r="I66" t="s">
        <v>231</v>
      </c>
      <c r="J66" t="s">
        <v>127</v>
      </c>
      <c r="K66" t="s">
        <v>2871</v>
      </c>
      <c r="L66" t="s">
        <v>2871</v>
      </c>
      <c r="M66" t="s">
        <v>2872</v>
      </c>
      <c r="N66" t="s">
        <v>231</v>
      </c>
      <c r="O66" t="s">
        <v>2873</v>
      </c>
      <c r="P66" t="s">
        <v>2867</v>
      </c>
      <c r="Q66" t="s">
        <v>231</v>
      </c>
      <c r="R66" t="b">
        <v>0</v>
      </c>
      <c r="S66" t="s">
        <v>3277</v>
      </c>
    </row>
    <row r="67" spans="1:19" ht="11.25" customHeight="1">
      <c r="A67">
        <v>2655</v>
      </c>
      <c r="B67" t="s">
        <v>101</v>
      </c>
      <c r="C67">
        <v>30365193</v>
      </c>
      <c r="D67" t="s">
        <v>3312</v>
      </c>
      <c r="E67" t="s">
        <v>3313</v>
      </c>
      <c r="F67" t="s">
        <v>3314</v>
      </c>
      <c r="G67" t="s">
        <v>122</v>
      </c>
      <c r="H67" t="s">
        <v>3315</v>
      </c>
      <c r="I67" t="s">
        <v>231</v>
      </c>
      <c r="J67" t="s">
        <v>3316</v>
      </c>
      <c r="K67" t="s">
        <v>3317</v>
      </c>
      <c r="L67" t="s">
        <v>3317</v>
      </c>
      <c r="M67" t="s">
        <v>231</v>
      </c>
      <c r="N67" t="s">
        <v>231</v>
      </c>
      <c r="O67" t="s">
        <v>3318</v>
      </c>
      <c r="P67" t="s">
        <v>3319</v>
      </c>
      <c r="Q67" t="s">
        <v>231</v>
      </c>
      <c r="R67" t="b">
        <v>0</v>
      </c>
      <c r="S67" t="s">
        <v>3277</v>
      </c>
    </row>
    <row r="68" spans="1:19" ht="11.25" customHeight="1">
      <c r="A68">
        <v>2655</v>
      </c>
      <c r="B68" t="s">
        <v>101</v>
      </c>
      <c r="C68">
        <v>31232672</v>
      </c>
      <c r="D68" t="s">
        <v>2874</v>
      </c>
      <c r="E68" t="s">
        <v>2875</v>
      </c>
      <c r="F68" t="s">
        <v>2876</v>
      </c>
      <c r="G68" t="s">
        <v>2877</v>
      </c>
      <c r="H68" t="s">
        <v>2878</v>
      </c>
      <c r="I68" t="s">
        <v>2879</v>
      </c>
      <c r="J68" t="s">
        <v>2880</v>
      </c>
      <c r="K68" t="s">
        <v>2881</v>
      </c>
      <c r="L68" t="s">
        <v>2881</v>
      </c>
      <c r="M68" t="s">
        <v>2882</v>
      </c>
      <c r="N68" t="s">
        <v>2883</v>
      </c>
      <c r="O68" t="s">
        <v>2884</v>
      </c>
      <c r="P68" t="s">
        <v>2885</v>
      </c>
      <c r="Q68" t="s">
        <v>231</v>
      </c>
      <c r="R68" t="b">
        <v>0</v>
      </c>
      <c r="S68" t="s">
        <v>3277</v>
      </c>
    </row>
    <row r="69" spans="1:19" ht="11.25" customHeight="1">
      <c r="A69">
        <v>2655</v>
      </c>
      <c r="B69" t="s">
        <v>101</v>
      </c>
      <c r="C69">
        <v>27978231</v>
      </c>
      <c r="D69" t="s">
        <v>3320</v>
      </c>
      <c r="E69" t="s">
        <v>3321</v>
      </c>
      <c r="F69" t="s">
        <v>3322</v>
      </c>
      <c r="G69" t="s">
        <v>2948</v>
      </c>
      <c r="H69" t="s">
        <v>3323</v>
      </c>
      <c r="I69" t="s">
        <v>3324</v>
      </c>
      <c r="J69" t="s">
        <v>2880</v>
      </c>
      <c r="K69" t="s">
        <v>3325</v>
      </c>
      <c r="L69" t="s">
        <v>3326</v>
      </c>
      <c r="M69" t="s">
        <v>3327</v>
      </c>
      <c r="N69" t="s">
        <v>231</v>
      </c>
      <c r="O69" t="s">
        <v>3328</v>
      </c>
      <c r="P69" t="s">
        <v>2885</v>
      </c>
      <c r="Q69" t="s">
        <v>231</v>
      </c>
      <c r="R69" t="b">
        <v>0</v>
      </c>
      <c r="S69" t="s">
        <v>3277</v>
      </c>
    </row>
    <row r="70" spans="1:19" ht="11.25" customHeight="1">
      <c r="A70">
        <v>2655</v>
      </c>
      <c r="B70" t="s">
        <v>101</v>
      </c>
      <c r="C70">
        <v>30808700</v>
      </c>
      <c r="D70" t="s">
        <v>2897</v>
      </c>
      <c r="E70" t="s">
        <v>2898</v>
      </c>
      <c r="F70" t="s">
        <v>2899</v>
      </c>
      <c r="G70" t="s">
        <v>2831</v>
      </c>
      <c r="H70" t="s">
        <v>2900</v>
      </c>
      <c r="I70" t="s">
        <v>2901</v>
      </c>
      <c r="J70" t="s">
        <v>2892</v>
      </c>
      <c r="K70" t="s">
        <v>2902</v>
      </c>
      <c r="L70" t="s">
        <v>2903</v>
      </c>
      <c r="M70" t="s">
        <v>2904</v>
      </c>
      <c r="N70" t="s">
        <v>2905</v>
      </c>
      <c r="O70" t="s">
        <v>2906</v>
      </c>
      <c r="P70" t="s">
        <v>2848</v>
      </c>
      <c r="Q70" t="s">
        <v>231</v>
      </c>
      <c r="R70" t="b">
        <v>1</v>
      </c>
      <c r="S70" t="s">
        <v>3277</v>
      </c>
    </row>
    <row r="71" spans="1:19" ht="11.25" customHeight="1">
      <c r="A71">
        <v>2655</v>
      </c>
      <c r="B71" t="s">
        <v>101</v>
      </c>
      <c r="C71">
        <v>31319221</v>
      </c>
      <c r="D71" t="s">
        <v>2907</v>
      </c>
      <c r="E71" t="s">
        <v>2908</v>
      </c>
      <c r="F71" t="s">
        <v>2909</v>
      </c>
      <c r="G71" t="s">
        <v>2889</v>
      </c>
      <c r="H71" t="s">
        <v>2910</v>
      </c>
      <c r="I71" t="s">
        <v>2911</v>
      </c>
      <c r="J71" t="s">
        <v>2880</v>
      </c>
      <c r="K71" t="s">
        <v>2912</v>
      </c>
      <c r="L71" t="s">
        <v>2913</v>
      </c>
      <c r="M71" t="s">
        <v>2914</v>
      </c>
      <c r="N71" t="s">
        <v>2915</v>
      </c>
      <c r="O71" t="s">
        <v>2916</v>
      </c>
      <c r="P71" t="s">
        <v>2885</v>
      </c>
      <c r="Q71" t="s">
        <v>231</v>
      </c>
      <c r="R71" t="b">
        <v>0</v>
      </c>
      <c r="S71" t="s">
        <v>3277</v>
      </c>
    </row>
    <row r="72" spans="1:19" ht="11.25" customHeight="1">
      <c r="A72">
        <v>2655</v>
      </c>
      <c r="B72" t="s">
        <v>101</v>
      </c>
      <c r="C72">
        <v>31419990</v>
      </c>
      <c r="D72" t="s">
        <v>2917</v>
      </c>
      <c r="E72" t="s">
        <v>2918</v>
      </c>
      <c r="F72" t="s">
        <v>2919</v>
      </c>
      <c r="G72" t="s">
        <v>2920</v>
      </c>
      <c r="H72" t="s">
        <v>2921</v>
      </c>
      <c r="I72" t="s">
        <v>2922</v>
      </c>
      <c r="J72" t="s">
        <v>2880</v>
      </c>
      <c r="K72" t="s">
        <v>2923</v>
      </c>
      <c r="L72" t="s">
        <v>2923</v>
      </c>
      <c r="M72" t="s">
        <v>2924</v>
      </c>
      <c r="N72" t="s">
        <v>2925</v>
      </c>
      <c r="O72" t="s">
        <v>2926</v>
      </c>
      <c r="P72" t="s">
        <v>2885</v>
      </c>
      <c r="Q72" t="s">
        <v>2927</v>
      </c>
      <c r="R72" t="b">
        <v>0</v>
      </c>
      <c r="S72" t="s">
        <v>3277</v>
      </c>
    </row>
    <row r="73" spans="1:19" ht="11.25" customHeight="1">
      <c r="A73">
        <v>2655</v>
      </c>
      <c r="B73" t="s">
        <v>101</v>
      </c>
      <c r="C73">
        <v>31343443</v>
      </c>
      <c r="D73" t="s">
        <v>2928</v>
      </c>
      <c r="E73" t="s">
        <v>2929</v>
      </c>
      <c r="F73" t="s">
        <v>2930</v>
      </c>
      <c r="G73" t="s">
        <v>2831</v>
      </c>
      <c r="H73" t="s">
        <v>2931</v>
      </c>
      <c r="I73" t="s">
        <v>2932</v>
      </c>
      <c r="J73" t="s">
        <v>2880</v>
      </c>
      <c r="K73" t="s">
        <v>2933</v>
      </c>
      <c r="L73" t="s">
        <v>2933</v>
      </c>
      <c r="N73" t="s">
        <v>2934</v>
      </c>
      <c r="O73" t="s">
        <v>2935</v>
      </c>
      <c r="P73" t="s">
        <v>2848</v>
      </c>
      <c r="R73" t="b">
        <v>0</v>
      </c>
      <c r="S73" t="s">
        <v>3277</v>
      </c>
    </row>
    <row r="74" spans="1:19" ht="11.25" customHeight="1">
      <c r="A74">
        <v>2655</v>
      </c>
      <c r="B74" t="s">
        <v>101</v>
      </c>
      <c r="C74">
        <v>31367841</v>
      </c>
      <c r="D74" t="s">
        <v>2936</v>
      </c>
      <c r="E74" t="s">
        <v>2937</v>
      </c>
      <c r="F74" t="s">
        <v>2938</v>
      </c>
      <c r="G74" t="s">
        <v>2939</v>
      </c>
      <c r="H74" t="s">
        <v>2940</v>
      </c>
      <c r="I74" t="s">
        <v>2941</v>
      </c>
      <c r="J74" t="s">
        <v>2892</v>
      </c>
      <c r="K74" t="s">
        <v>2942</v>
      </c>
      <c r="L74" t="s">
        <v>2942</v>
      </c>
      <c r="M74" t="s">
        <v>231</v>
      </c>
      <c r="N74" t="s">
        <v>2943</v>
      </c>
      <c r="O74" t="s">
        <v>2944</v>
      </c>
      <c r="P74" t="s">
        <v>2885</v>
      </c>
      <c r="Q74" t="s">
        <v>231</v>
      </c>
      <c r="R74" t="b">
        <v>0</v>
      </c>
      <c r="S74" t="s">
        <v>3277</v>
      </c>
    </row>
    <row r="75" spans="1:19" ht="11.25" customHeight="1">
      <c r="A75">
        <v>2655</v>
      </c>
      <c r="B75" t="s">
        <v>101</v>
      </c>
      <c r="C75">
        <v>31087651</v>
      </c>
      <c r="D75" t="s">
        <v>2945</v>
      </c>
      <c r="E75" t="s">
        <v>2946</v>
      </c>
      <c r="F75" t="s">
        <v>2947</v>
      </c>
      <c r="G75" t="s">
        <v>2948</v>
      </c>
      <c r="H75" t="s">
        <v>2949</v>
      </c>
      <c r="I75" t="s">
        <v>2950</v>
      </c>
      <c r="J75" t="s">
        <v>2880</v>
      </c>
      <c r="K75" t="s">
        <v>2951</v>
      </c>
      <c r="L75" t="s">
        <v>2951</v>
      </c>
      <c r="M75" t="s">
        <v>2952</v>
      </c>
      <c r="N75" t="s">
        <v>2953</v>
      </c>
      <c r="O75" t="s">
        <v>2954</v>
      </c>
      <c r="R75" t="b">
        <v>0</v>
      </c>
      <c r="S75" t="s">
        <v>3277</v>
      </c>
    </row>
    <row r="76" spans="1:19" ht="11.25" customHeight="1">
      <c r="A76">
        <v>2655</v>
      </c>
      <c r="B76" t="s">
        <v>101</v>
      </c>
      <c r="C76">
        <v>31367862</v>
      </c>
      <c r="D76" t="s">
        <v>2955</v>
      </c>
      <c r="E76" t="s">
        <v>2956</v>
      </c>
      <c r="F76" t="s">
        <v>2957</v>
      </c>
      <c r="G76" t="s">
        <v>2939</v>
      </c>
      <c r="H76" t="s">
        <v>2958</v>
      </c>
      <c r="I76" t="s">
        <v>2959</v>
      </c>
      <c r="J76" t="s">
        <v>2880</v>
      </c>
      <c r="K76" t="s">
        <v>2960</v>
      </c>
      <c r="L76" t="s">
        <v>2960</v>
      </c>
      <c r="M76" t="s">
        <v>231</v>
      </c>
      <c r="N76" t="s">
        <v>2961</v>
      </c>
      <c r="O76" t="s">
        <v>2962</v>
      </c>
      <c r="P76" t="s">
        <v>2885</v>
      </c>
      <c r="Q76" t="s">
        <v>231</v>
      </c>
      <c r="R76" t="b">
        <v>0</v>
      </c>
      <c r="S76" t="s">
        <v>3277</v>
      </c>
    </row>
    <row r="77" spans="1:19" ht="11.25" customHeight="1">
      <c r="A77">
        <v>2655</v>
      </c>
      <c r="B77" t="s">
        <v>101</v>
      </c>
      <c r="C77">
        <v>31329806</v>
      </c>
      <c r="D77" t="s">
        <v>3329</v>
      </c>
      <c r="E77" t="s">
        <v>3330</v>
      </c>
      <c r="F77" t="s">
        <v>3331</v>
      </c>
      <c r="G77" t="s">
        <v>2776</v>
      </c>
      <c r="H77" t="s">
        <v>3332</v>
      </c>
      <c r="I77" t="s">
        <v>3333</v>
      </c>
      <c r="J77" t="s">
        <v>2892</v>
      </c>
      <c r="K77" t="s">
        <v>3334</v>
      </c>
      <c r="L77" t="s">
        <v>3334</v>
      </c>
      <c r="M77" t="s">
        <v>3335</v>
      </c>
      <c r="N77" t="s">
        <v>3336</v>
      </c>
      <c r="O77" t="s">
        <v>3337</v>
      </c>
      <c r="P77" t="s">
        <v>2885</v>
      </c>
      <c r="Q77" t="s">
        <v>231</v>
      </c>
      <c r="R77" t="b">
        <v>0</v>
      </c>
      <c r="S77" t="s">
        <v>3277</v>
      </c>
    </row>
    <row r="78" spans="1:19" ht="11.25" customHeight="1">
      <c r="A78">
        <v>2655</v>
      </c>
      <c r="B78" t="s">
        <v>101</v>
      </c>
      <c r="C78">
        <v>31003143</v>
      </c>
      <c r="D78" t="s">
        <v>2983</v>
      </c>
      <c r="E78" t="s">
        <v>2984</v>
      </c>
      <c r="F78" t="s">
        <v>2985</v>
      </c>
      <c r="G78" t="s">
        <v>2977</v>
      </c>
      <c r="H78" t="s">
        <v>2986</v>
      </c>
      <c r="I78" t="s">
        <v>2987</v>
      </c>
      <c r="J78" t="s">
        <v>2892</v>
      </c>
      <c r="K78" t="s">
        <v>2988</v>
      </c>
      <c r="L78" t="s">
        <v>2989</v>
      </c>
      <c r="M78" t="s">
        <v>2990</v>
      </c>
      <c r="N78" t="s">
        <v>2991</v>
      </c>
      <c r="O78" t="s">
        <v>2992</v>
      </c>
      <c r="P78" t="s">
        <v>2885</v>
      </c>
      <c r="Q78" t="s">
        <v>231</v>
      </c>
      <c r="R78" t="b">
        <v>1</v>
      </c>
      <c r="S78" t="s">
        <v>3277</v>
      </c>
    </row>
    <row r="79" spans="1:19" ht="11.25" customHeight="1">
      <c r="A79">
        <v>2655</v>
      </c>
      <c r="B79" t="s">
        <v>101</v>
      </c>
      <c r="C79">
        <v>31308226</v>
      </c>
      <c r="D79" t="s">
        <v>2993</v>
      </c>
      <c r="E79" t="s">
        <v>2994</v>
      </c>
      <c r="F79" t="s">
        <v>2995</v>
      </c>
      <c r="G79" t="s">
        <v>2996</v>
      </c>
      <c r="H79" t="s">
        <v>2997</v>
      </c>
      <c r="I79" t="s">
        <v>2998</v>
      </c>
      <c r="J79" t="s">
        <v>2892</v>
      </c>
      <c r="K79" t="s">
        <v>2999</v>
      </c>
      <c r="L79" t="s">
        <v>2999</v>
      </c>
      <c r="M79" t="s">
        <v>3000</v>
      </c>
      <c r="N79" t="s">
        <v>3001</v>
      </c>
      <c r="O79" t="s">
        <v>3002</v>
      </c>
      <c r="P79" t="s">
        <v>2848</v>
      </c>
      <c r="Q79" t="s">
        <v>231</v>
      </c>
      <c r="R79" t="b">
        <v>1</v>
      </c>
      <c r="S79" t="s">
        <v>3277</v>
      </c>
    </row>
    <row r="80" spans="1:19" ht="11.25" customHeight="1">
      <c r="A80">
        <v>2655</v>
      </c>
      <c r="B80" t="s">
        <v>101</v>
      </c>
      <c r="C80">
        <v>31284269</v>
      </c>
      <c r="D80" t="s">
        <v>3003</v>
      </c>
      <c r="E80" t="s">
        <v>3004</v>
      </c>
      <c r="F80" t="s">
        <v>3005</v>
      </c>
      <c r="G80" t="s">
        <v>2948</v>
      </c>
      <c r="H80" t="s">
        <v>3006</v>
      </c>
      <c r="I80" t="s">
        <v>3007</v>
      </c>
      <c r="J80" t="s">
        <v>2892</v>
      </c>
      <c r="K80" t="s">
        <v>3008</v>
      </c>
      <c r="L80" t="s">
        <v>3009</v>
      </c>
      <c r="M80" t="s">
        <v>3010</v>
      </c>
      <c r="N80" t="s">
        <v>3011</v>
      </c>
      <c r="O80" t="s">
        <v>3012</v>
      </c>
      <c r="P80" t="s">
        <v>231</v>
      </c>
      <c r="Q80" t="s">
        <v>231</v>
      </c>
      <c r="R80" t="b">
        <v>0</v>
      </c>
      <c r="S80" t="s">
        <v>3277</v>
      </c>
    </row>
    <row r="81" spans="1:19" ht="11.25" customHeight="1">
      <c r="A81">
        <v>2655</v>
      </c>
      <c r="B81" t="s">
        <v>101</v>
      </c>
      <c r="C81">
        <v>31241680</v>
      </c>
      <c r="D81" t="s">
        <v>3013</v>
      </c>
      <c r="E81" t="s">
        <v>3014</v>
      </c>
      <c r="F81" t="s">
        <v>3015</v>
      </c>
      <c r="G81" t="s">
        <v>2920</v>
      </c>
      <c r="H81" t="s">
        <v>3016</v>
      </c>
      <c r="I81" t="s">
        <v>3017</v>
      </c>
      <c r="J81" t="s">
        <v>2892</v>
      </c>
      <c r="K81" t="s">
        <v>3018</v>
      </c>
      <c r="L81" t="s">
        <v>3018</v>
      </c>
      <c r="M81" t="s">
        <v>3019</v>
      </c>
      <c r="N81" t="s">
        <v>3020</v>
      </c>
      <c r="O81" t="s">
        <v>3021</v>
      </c>
      <c r="P81" t="s">
        <v>2848</v>
      </c>
      <c r="Q81" t="s">
        <v>3022</v>
      </c>
      <c r="R81" t="b">
        <v>0</v>
      </c>
      <c r="S81" t="s">
        <v>3277</v>
      </c>
    </row>
    <row r="82" spans="1:19" ht="11.25" customHeight="1">
      <c r="A82">
        <v>2655</v>
      </c>
      <c r="B82" t="s">
        <v>101</v>
      </c>
      <c r="C82">
        <v>31579664</v>
      </c>
      <c r="D82" t="s">
        <v>3023</v>
      </c>
      <c r="E82" t="s">
        <v>3024</v>
      </c>
      <c r="F82" t="s">
        <v>3025</v>
      </c>
      <c r="G82" t="s">
        <v>2831</v>
      </c>
      <c r="H82" t="s">
        <v>3026</v>
      </c>
      <c r="I82" t="s">
        <v>3027</v>
      </c>
      <c r="K82" t="s">
        <v>3028</v>
      </c>
      <c r="L82" t="s">
        <v>3029</v>
      </c>
      <c r="M82" t="s">
        <v>3030</v>
      </c>
      <c r="N82" t="s">
        <v>231</v>
      </c>
      <c r="O82" t="s">
        <v>3031</v>
      </c>
      <c r="P82" t="s">
        <v>2885</v>
      </c>
      <c r="Q82" t="s">
        <v>3032</v>
      </c>
      <c r="R82" t="b">
        <v>1</v>
      </c>
      <c r="S82" t="s">
        <v>3277</v>
      </c>
    </row>
    <row r="83" spans="1:19" ht="11.25" customHeight="1">
      <c r="A83">
        <v>2655</v>
      </c>
      <c r="B83" t="s">
        <v>101</v>
      </c>
      <c r="C83">
        <v>26322895</v>
      </c>
      <c r="D83" t="s">
        <v>111</v>
      </c>
      <c r="E83" t="s">
        <v>114</v>
      </c>
      <c r="F83" t="s">
        <v>120</v>
      </c>
      <c r="G83" t="s">
        <v>122</v>
      </c>
      <c r="H83" t="s">
        <v>118</v>
      </c>
      <c r="I83" t="s">
        <v>124</v>
      </c>
      <c r="J83" t="s">
        <v>127</v>
      </c>
      <c r="K83" t="s">
        <v>130</v>
      </c>
      <c r="L83" t="s">
        <v>130</v>
      </c>
      <c r="M83" t="s">
        <v>135</v>
      </c>
      <c r="N83" t="s">
        <v>138</v>
      </c>
      <c r="O83" t="s">
        <v>3033</v>
      </c>
      <c r="P83" t="s">
        <v>2827</v>
      </c>
      <c r="Q83" t="s">
        <v>147</v>
      </c>
      <c r="R83" t="b">
        <v>0</v>
      </c>
      <c r="S83" t="s">
        <v>3277</v>
      </c>
    </row>
    <row r="84" spans="1:19" ht="11.25" customHeight="1">
      <c r="A84">
        <v>2655</v>
      </c>
      <c r="B84" t="s">
        <v>101</v>
      </c>
      <c r="C84">
        <v>27784286</v>
      </c>
      <c r="D84" t="s">
        <v>3338</v>
      </c>
      <c r="E84" t="s">
        <v>3339</v>
      </c>
      <c r="F84" t="s">
        <v>3340</v>
      </c>
      <c r="G84" t="s">
        <v>2996</v>
      </c>
      <c r="H84" t="s">
        <v>3341</v>
      </c>
      <c r="I84" t="s">
        <v>3342</v>
      </c>
      <c r="K84" t="s">
        <v>3343</v>
      </c>
      <c r="L84" t="s">
        <v>3343</v>
      </c>
      <c r="M84" t="s">
        <v>3344</v>
      </c>
      <c r="N84" t="s">
        <v>3345</v>
      </c>
      <c r="O84" t="s">
        <v>3346</v>
      </c>
      <c r="P84" t="s">
        <v>2827</v>
      </c>
      <c r="Q84" t="s">
        <v>3347</v>
      </c>
      <c r="R84" t="b">
        <v>0</v>
      </c>
      <c r="S84" t="s">
        <v>3277</v>
      </c>
    </row>
    <row r="85" spans="1:19" ht="11.25" customHeight="1">
      <c r="A85">
        <v>2655</v>
      </c>
      <c r="B85" t="s">
        <v>101</v>
      </c>
      <c r="C85">
        <v>26428076</v>
      </c>
      <c r="D85" t="s">
        <v>3348</v>
      </c>
      <c r="E85" t="s">
        <v>3349</v>
      </c>
      <c r="F85" t="s">
        <v>3350</v>
      </c>
      <c r="G85" t="s">
        <v>2977</v>
      </c>
      <c r="H85" t="s">
        <v>3351</v>
      </c>
      <c r="I85" t="s">
        <v>231</v>
      </c>
      <c r="K85" t="s">
        <v>3352</v>
      </c>
      <c r="L85" t="s">
        <v>3352</v>
      </c>
      <c r="M85" t="s">
        <v>3353</v>
      </c>
      <c r="N85" t="s">
        <v>3354</v>
      </c>
      <c r="O85" t="s">
        <v>231</v>
      </c>
      <c r="P85" t="s">
        <v>231</v>
      </c>
      <c r="Q85" t="s">
        <v>231</v>
      </c>
      <c r="R85" t="b">
        <v>0</v>
      </c>
      <c r="S85" t="s">
        <v>3277</v>
      </c>
    </row>
    <row r="86" spans="1:19" ht="11.25" customHeight="1">
      <c r="A86">
        <v>2655</v>
      </c>
      <c r="B86" t="s">
        <v>101</v>
      </c>
      <c r="C86">
        <v>28954370</v>
      </c>
      <c r="D86" t="s">
        <v>3355</v>
      </c>
      <c r="E86" t="s">
        <v>3356</v>
      </c>
      <c r="F86" t="s">
        <v>3357</v>
      </c>
      <c r="G86" t="s">
        <v>2977</v>
      </c>
      <c r="H86" t="s">
        <v>3358</v>
      </c>
      <c r="I86" t="s">
        <v>3359</v>
      </c>
      <c r="J86" t="s">
        <v>3038</v>
      </c>
      <c r="K86" t="s">
        <v>3360</v>
      </c>
      <c r="L86" t="s">
        <v>3360</v>
      </c>
      <c r="M86" t="s">
        <v>3361</v>
      </c>
      <c r="N86" t="s">
        <v>3362</v>
      </c>
      <c r="O86" t="s">
        <v>3363</v>
      </c>
      <c r="P86" t="s">
        <v>2885</v>
      </c>
      <c r="Q86" t="s">
        <v>231</v>
      </c>
      <c r="R86" t="b">
        <v>1</v>
      </c>
      <c r="S86" t="s">
        <v>3277</v>
      </c>
    </row>
    <row r="87" spans="1:19" ht="11.25" customHeight="1">
      <c r="A87">
        <v>2655</v>
      </c>
      <c r="B87" t="s">
        <v>101</v>
      </c>
      <c r="C87">
        <v>31774016</v>
      </c>
      <c r="D87" t="s">
        <v>3364</v>
      </c>
      <c r="E87" t="s">
        <v>3365</v>
      </c>
      <c r="F87" t="s">
        <v>3366</v>
      </c>
      <c r="G87" t="s">
        <v>2996</v>
      </c>
      <c r="H87" t="s">
        <v>3367</v>
      </c>
      <c r="I87" t="s">
        <v>3368</v>
      </c>
      <c r="K87" t="s">
        <v>3369</v>
      </c>
      <c r="L87" t="s">
        <v>3370</v>
      </c>
      <c r="M87" t="s">
        <v>3371</v>
      </c>
      <c r="N87" t="s">
        <v>3372</v>
      </c>
      <c r="O87" t="s">
        <v>3373</v>
      </c>
      <c r="P87" t="s">
        <v>2761</v>
      </c>
      <c r="Q87" t="s">
        <v>231</v>
      </c>
      <c r="R87" t="b">
        <v>1</v>
      </c>
      <c r="S87" t="s">
        <v>3277</v>
      </c>
    </row>
    <row r="88" spans="1:19" ht="11.25" customHeight="1">
      <c r="A88">
        <v>2655</v>
      </c>
      <c r="B88" t="s">
        <v>101</v>
      </c>
      <c r="C88">
        <v>28869965</v>
      </c>
      <c r="D88" t="s">
        <v>3052</v>
      </c>
      <c r="E88" t="s">
        <v>3053</v>
      </c>
      <c r="F88" t="s">
        <v>3054</v>
      </c>
      <c r="G88" t="s">
        <v>2877</v>
      </c>
      <c r="H88" t="s">
        <v>3055</v>
      </c>
      <c r="I88" t="s">
        <v>231</v>
      </c>
      <c r="J88" t="s">
        <v>3038</v>
      </c>
      <c r="K88" t="s">
        <v>3056</v>
      </c>
      <c r="L88" t="s">
        <v>3056</v>
      </c>
      <c r="M88" t="s">
        <v>3057</v>
      </c>
      <c r="N88" t="s">
        <v>3058</v>
      </c>
      <c r="O88" t="s">
        <v>3059</v>
      </c>
      <c r="P88" t="s">
        <v>2827</v>
      </c>
      <c r="Q88" t="s">
        <v>3060</v>
      </c>
      <c r="R88" t="b">
        <v>0</v>
      </c>
      <c r="S88" t="s">
        <v>3277</v>
      </c>
    </row>
    <row r="89" spans="1:19" ht="11.25" customHeight="1">
      <c r="A89">
        <v>2655</v>
      </c>
      <c r="B89" t="s">
        <v>101</v>
      </c>
      <c r="C89">
        <v>28113313</v>
      </c>
      <c r="D89" t="s">
        <v>3374</v>
      </c>
      <c r="E89" t="s">
        <v>3375</v>
      </c>
      <c r="F89" t="s">
        <v>3376</v>
      </c>
      <c r="G89" t="s">
        <v>3073</v>
      </c>
      <c r="H89" t="s">
        <v>3377</v>
      </c>
      <c r="I89" t="s">
        <v>231</v>
      </c>
      <c r="J89" t="s">
        <v>3038</v>
      </c>
      <c r="K89" t="s">
        <v>3378</v>
      </c>
      <c r="L89" t="s">
        <v>3379</v>
      </c>
      <c r="M89" t="s">
        <v>231</v>
      </c>
      <c r="N89" t="s">
        <v>231</v>
      </c>
      <c r="O89" t="s">
        <v>3080</v>
      </c>
      <c r="P89" t="s">
        <v>2761</v>
      </c>
      <c r="Q89" t="s">
        <v>231</v>
      </c>
      <c r="R89" t="b">
        <v>1</v>
      </c>
      <c r="S89" t="s">
        <v>3277</v>
      </c>
    </row>
    <row r="90" spans="1:19" ht="11.25" customHeight="1">
      <c r="A90">
        <v>2655</v>
      </c>
      <c r="B90" t="s">
        <v>101</v>
      </c>
      <c r="C90">
        <v>26428030</v>
      </c>
      <c r="D90" t="s">
        <v>3380</v>
      </c>
      <c r="E90" t="s">
        <v>3381</v>
      </c>
      <c r="F90" t="s">
        <v>3382</v>
      </c>
      <c r="G90" t="s">
        <v>2977</v>
      </c>
      <c r="H90" t="s">
        <v>3383</v>
      </c>
      <c r="I90" t="s">
        <v>231</v>
      </c>
      <c r="K90" t="s">
        <v>3384</v>
      </c>
      <c r="L90" t="s">
        <v>3384</v>
      </c>
      <c r="M90" t="s">
        <v>3385</v>
      </c>
      <c r="N90" t="s">
        <v>3386</v>
      </c>
      <c r="O90" t="s">
        <v>231</v>
      </c>
      <c r="P90" t="s">
        <v>231</v>
      </c>
      <c r="Q90" t="s">
        <v>231</v>
      </c>
      <c r="R90" t="b">
        <v>0</v>
      </c>
      <c r="S90" t="s">
        <v>3277</v>
      </c>
    </row>
    <row r="91" spans="1:19" ht="11.25" customHeight="1">
      <c r="A91">
        <v>2655</v>
      </c>
      <c r="B91" t="s">
        <v>101</v>
      </c>
      <c r="C91">
        <v>31356597</v>
      </c>
      <c r="D91" t="s">
        <v>3061</v>
      </c>
      <c r="E91" t="s">
        <v>3062</v>
      </c>
      <c r="F91" t="s">
        <v>3063</v>
      </c>
      <c r="G91" t="s">
        <v>2948</v>
      </c>
      <c r="H91" t="s">
        <v>3064</v>
      </c>
      <c r="I91" t="s">
        <v>3065</v>
      </c>
      <c r="J91" t="s">
        <v>3038</v>
      </c>
      <c r="K91" t="s">
        <v>3066</v>
      </c>
      <c r="L91" t="s">
        <v>3066</v>
      </c>
      <c r="M91" t="s">
        <v>3067</v>
      </c>
      <c r="N91" t="s">
        <v>3068</v>
      </c>
      <c r="O91" t="s">
        <v>3069</v>
      </c>
      <c r="P91" t="s">
        <v>2827</v>
      </c>
      <c r="Q91" t="s">
        <v>231</v>
      </c>
      <c r="R91" t="b">
        <v>0</v>
      </c>
      <c r="S91" t="s">
        <v>3277</v>
      </c>
    </row>
    <row r="92" spans="1:19" ht="11.25" customHeight="1">
      <c r="A92">
        <v>2655</v>
      </c>
      <c r="B92" t="s">
        <v>101</v>
      </c>
      <c r="C92">
        <v>28136671</v>
      </c>
      <c r="D92" t="s">
        <v>3070</v>
      </c>
      <c r="E92" t="s">
        <v>3071</v>
      </c>
      <c r="F92" t="s">
        <v>3072</v>
      </c>
      <c r="G92" t="s">
        <v>3073</v>
      </c>
      <c r="H92" t="s">
        <v>3074</v>
      </c>
      <c r="I92" t="s">
        <v>3075</v>
      </c>
      <c r="J92" t="s">
        <v>3038</v>
      </c>
      <c r="K92" t="s">
        <v>3076</v>
      </c>
      <c r="L92" t="s">
        <v>3077</v>
      </c>
      <c r="M92" t="s">
        <v>3078</v>
      </c>
      <c r="N92" t="s">
        <v>3079</v>
      </c>
      <c r="O92" t="s">
        <v>3080</v>
      </c>
      <c r="P92" t="s">
        <v>2761</v>
      </c>
      <c r="Q92" t="s">
        <v>231</v>
      </c>
      <c r="R92" t="b">
        <v>1</v>
      </c>
      <c r="S92" t="s">
        <v>3277</v>
      </c>
    </row>
    <row r="93" spans="1:19" ht="11.25" customHeight="1">
      <c r="A93">
        <v>2655</v>
      </c>
      <c r="B93" t="s">
        <v>101</v>
      </c>
      <c r="C93">
        <v>27838991</v>
      </c>
      <c r="D93" t="s">
        <v>3387</v>
      </c>
      <c r="E93" t="s">
        <v>3388</v>
      </c>
      <c r="F93" t="s">
        <v>3389</v>
      </c>
      <c r="G93" t="s">
        <v>2776</v>
      </c>
      <c r="H93" t="s">
        <v>3390</v>
      </c>
      <c r="I93" t="s">
        <v>3391</v>
      </c>
      <c r="J93" t="s">
        <v>3038</v>
      </c>
      <c r="K93" t="s">
        <v>3392</v>
      </c>
      <c r="L93" t="s">
        <v>3393</v>
      </c>
      <c r="M93" t="s">
        <v>3394</v>
      </c>
      <c r="N93" t="s">
        <v>3395</v>
      </c>
      <c r="O93" t="s">
        <v>3396</v>
      </c>
      <c r="P93" t="s">
        <v>2827</v>
      </c>
      <c r="Q93" t="s">
        <v>231</v>
      </c>
      <c r="R93" t="b">
        <v>0</v>
      </c>
      <c r="S93" t="s">
        <v>3277</v>
      </c>
    </row>
    <row r="94" spans="1:19" ht="11.25" customHeight="1">
      <c r="A94">
        <v>2655</v>
      </c>
      <c r="B94" t="s">
        <v>101</v>
      </c>
      <c r="C94">
        <v>26428026</v>
      </c>
      <c r="D94" t="s">
        <v>3107</v>
      </c>
      <c r="E94" t="s">
        <v>3108</v>
      </c>
      <c r="F94" t="s">
        <v>3109</v>
      </c>
      <c r="G94" t="s">
        <v>3110</v>
      </c>
      <c r="H94" t="s">
        <v>3111</v>
      </c>
      <c r="I94" t="s">
        <v>231</v>
      </c>
      <c r="K94" t="s">
        <v>3112</v>
      </c>
      <c r="L94" t="s">
        <v>3112</v>
      </c>
      <c r="M94" t="s">
        <v>3113</v>
      </c>
      <c r="N94" t="s">
        <v>3114</v>
      </c>
      <c r="O94" t="s">
        <v>3115</v>
      </c>
      <c r="P94" t="s">
        <v>2885</v>
      </c>
      <c r="Q94" t="s">
        <v>231</v>
      </c>
      <c r="R94" t="b">
        <v>1</v>
      </c>
      <c r="S94" t="s">
        <v>3277</v>
      </c>
    </row>
    <row r="95" spans="1:19" ht="11.25" customHeight="1">
      <c r="A95">
        <v>2655</v>
      </c>
      <c r="B95" t="s">
        <v>101</v>
      </c>
      <c r="C95">
        <v>31739633</v>
      </c>
      <c r="D95" t="s">
        <v>3126</v>
      </c>
      <c r="E95" t="s">
        <v>3127</v>
      </c>
      <c r="F95" t="s">
        <v>3128</v>
      </c>
      <c r="G95" t="s">
        <v>3129</v>
      </c>
      <c r="H95" t="s">
        <v>3130</v>
      </c>
      <c r="I95" t="s">
        <v>3131</v>
      </c>
      <c r="K95" t="s">
        <v>3132</v>
      </c>
      <c r="L95" t="s">
        <v>3132</v>
      </c>
      <c r="M95" t="s">
        <v>3133</v>
      </c>
      <c r="N95" t="s">
        <v>3134</v>
      </c>
      <c r="O95" t="s">
        <v>3135</v>
      </c>
      <c r="P95" t="s">
        <v>2848</v>
      </c>
      <c r="Q95" t="s">
        <v>231</v>
      </c>
      <c r="R95" t="b">
        <v>0</v>
      </c>
      <c r="S95" t="s">
        <v>3277</v>
      </c>
    </row>
    <row r="96" spans="1:19" ht="11.25" customHeight="1">
      <c r="A96">
        <v>2655</v>
      </c>
      <c r="B96" t="s">
        <v>101</v>
      </c>
      <c r="C96">
        <v>31541617</v>
      </c>
      <c r="D96" t="s">
        <v>3136</v>
      </c>
      <c r="E96" t="s">
        <v>3137</v>
      </c>
      <c r="F96" t="s">
        <v>3138</v>
      </c>
      <c r="G96" t="s">
        <v>3139</v>
      </c>
      <c r="H96" t="s">
        <v>3140</v>
      </c>
      <c r="I96" t="s">
        <v>3141</v>
      </c>
      <c r="K96" t="s">
        <v>3142</v>
      </c>
      <c r="L96" t="s">
        <v>3142</v>
      </c>
      <c r="M96" t="s">
        <v>3143</v>
      </c>
      <c r="N96" t="s">
        <v>3144</v>
      </c>
      <c r="O96" t="s">
        <v>3145</v>
      </c>
      <c r="P96" t="s">
        <v>2848</v>
      </c>
      <c r="Q96" t="s">
        <v>231</v>
      </c>
      <c r="R96" t="b">
        <v>1</v>
      </c>
      <c r="S96" t="s">
        <v>3277</v>
      </c>
    </row>
    <row r="97" spans="1:19" ht="11.25" customHeight="1">
      <c r="A97">
        <v>2655</v>
      </c>
      <c r="B97" t="s">
        <v>101</v>
      </c>
      <c r="C97">
        <v>31834877</v>
      </c>
      <c r="D97" t="s">
        <v>3397</v>
      </c>
      <c r="E97" t="s">
        <v>3397</v>
      </c>
      <c r="F97" t="s">
        <v>3398</v>
      </c>
      <c r="G97" t="s">
        <v>2766</v>
      </c>
      <c r="H97" t="s">
        <v>3399</v>
      </c>
      <c r="I97" t="s">
        <v>3400</v>
      </c>
      <c r="K97" t="s">
        <v>3401</v>
      </c>
      <c r="L97" t="s">
        <v>3402</v>
      </c>
      <c r="M97" t="s">
        <v>231</v>
      </c>
      <c r="N97" t="s">
        <v>3403</v>
      </c>
      <c r="O97" t="s">
        <v>3404</v>
      </c>
      <c r="P97" t="s">
        <v>2761</v>
      </c>
      <c r="Q97" t="s">
        <v>3405</v>
      </c>
      <c r="R97" t="b">
        <v>0</v>
      </c>
      <c r="S97" t="s">
        <v>3277</v>
      </c>
    </row>
    <row r="98" spans="1:19" ht="11.25" customHeight="1">
      <c r="A98">
        <v>2655</v>
      </c>
      <c r="B98" t="s">
        <v>101</v>
      </c>
      <c r="C98">
        <v>26356891</v>
      </c>
      <c r="D98" t="s">
        <v>3157</v>
      </c>
      <c r="E98" t="s">
        <v>3158</v>
      </c>
      <c r="F98" t="s">
        <v>3159</v>
      </c>
      <c r="G98" t="s">
        <v>2977</v>
      </c>
      <c r="H98" t="s">
        <v>3160</v>
      </c>
      <c r="I98" t="s">
        <v>3161</v>
      </c>
      <c r="J98" t="s">
        <v>3038</v>
      </c>
      <c r="K98" t="s">
        <v>3162</v>
      </c>
      <c r="L98" t="s">
        <v>3162</v>
      </c>
      <c r="M98" t="s">
        <v>3163</v>
      </c>
      <c r="N98" t="s">
        <v>3164</v>
      </c>
      <c r="O98" t="s">
        <v>3165</v>
      </c>
      <c r="P98" t="s">
        <v>2885</v>
      </c>
      <c r="Q98" t="s">
        <v>231</v>
      </c>
      <c r="R98" t="b">
        <v>0</v>
      </c>
      <c r="S98" t="s">
        <v>3277</v>
      </c>
    </row>
    <row r="99" spans="1:19" ht="11.25" customHeight="1">
      <c r="A99">
        <v>2655</v>
      </c>
      <c r="B99" t="s">
        <v>101</v>
      </c>
      <c r="C99">
        <v>31241637</v>
      </c>
      <c r="D99" t="s">
        <v>3166</v>
      </c>
      <c r="E99" t="s">
        <v>3167</v>
      </c>
      <c r="F99" t="s">
        <v>3168</v>
      </c>
      <c r="G99" t="s">
        <v>2996</v>
      </c>
      <c r="H99" t="s">
        <v>3169</v>
      </c>
      <c r="I99" t="s">
        <v>3170</v>
      </c>
      <c r="J99" t="s">
        <v>3038</v>
      </c>
      <c r="K99" t="s">
        <v>3171</v>
      </c>
      <c r="L99" t="s">
        <v>3171</v>
      </c>
      <c r="M99" t="s">
        <v>3172</v>
      </c>
      <c r="N99" t="s">
        <v>231</v>
      </c>
      <c r="O99" t="s">
        <v>3173</v>
      </c>
      <c r="P99" t="s">
        <v>2848</v>
      </c>
      <c r="Q99" t="s">
        <v>231</v>
      </c>
      <c r="R99" t="b">
        <v>0</v>
      </c>
      <c r="S99" t="s">
        <v>3277</v>
      </c>
    </row>
    <row r="100" spans="1:19" ht="11.25" customHeight="1">
      <c r="A100">
        <v>2655</v>
      </c>
      <c r="B100" t="s">
        <v>101</v>
      </c>
      <c r="C100">
        <v>28819708</v>
      </c>
      <c r="D100" t="s">
        <v>3406</v>
      </c>
      <c r="E100" t="s">
        <v>3407</v>
      </c>
      <c r="F100" t="s">
        <v>3408</v>
      </c>
      <c r="G100" t="s">
        <v>2889</v>
      </c>
      <c r="H100" t="s">
        <v>3409</v>
      </c>
      <c r="I100" t="s">
        <v>3410</v>
      </c>
      <c r="J100" t="s">
        <v>3038</v>
      </c>
      <c r="K100" t="s">
        <v>3411</v>
      </c>
      <c r="L100" t="s">
        <v>3411</v>
      </c>
      <c r="M100" t="s">
        <v>231</v>
      </c>
      <c r="N100" t="s">
        <v>3412</v>
      </c>
      <c r="O100" t="s">
        <v>3413</v>
      </c>
      <c r="P100" t="s">
        <v>2885</v>
      </c>
      <c r="Q100" t="s">
        <v>231</v>
      </c>
      <c r="R100" t="b">
        <v>0</v>
      </c>
      <c r="S100" t="s">
        <v>3277</v>
      </c>
    </row>
    <row r="101" spans="1:19" ht="11.25" customHeight="1">
      <c r="A101">
        <v>2655</v>
      </c>
      <c r="B101" t="s">
        <v>101</v>
      </c>
      <c r="C101">
        <v>26356937</v>
      </c>
      <c r="D101" t="s">
        <v>3174</v>
      </c>
      <c r="E101" t="s">
        <v>3175</v>
      </c>
      <c r="F101" t="s">
        <v>3176</v>
      </c>
      <c r="G101" t="s">
        <v>3045</v>
      </c>
      <c r="H101" t="s">
        <v>3177</v>
      </c>
      <c r="I101" t="s">
        <v>3178</v>
      </c>
      <c r="J101" t="s">
        <v>3038</v>
      </c>
      <c r="K101" t="s">
        <v>3179</v>
      </c>
      <c r="L101" t="s">
        <v>3179</v>
      </c>
      <c r="M101" t="s">
        <v>3180</v>
      </c>
      <c r="N101" t="s">
        <v>3181</v>
      </c>
      <c r="O101" t="s">
        <v>3182</v>
      </c>
      <c r="P101" t="s">
        <v>2848</v>
      </c>
      <c r="Q101" t="s">
        <v>3183</v>
      </c>
      <c r="R101" t="b">
        <v>0</v>
      </c>
      <c r="S101" t="s">
        <v>3277</v>
      </c>
    </row>
    <row r="102" spans="1:19" ht="11.25" customHeight="1">
      <c r="A102">
        <v>2655</v>
      </c>
      <c r="B102" t="s">
        <v>101</v>
      </c>
      <c r="C102">
        <v>31770754</v>
      </c>
      <c r="D102" t="s">
        <v>3184</v>
      </c>
      <c r="E102" t="s">
        <v>3185</v>
      </c>
      <c r="F102" t="s">
        <v>3186</v>
      </c>
      <c r="G102" t="s">
        <v>3129</v>
      </c>
      <c r="H102" t="s">
        <v>3187</v>
      </c>
      <c r="I102" t="s">
        <v>3188</v>
      </c>
      <c r="K102" t="s">
        <v>3189</v>
      </c>
      <c r="L102" t="s">
        <v>3190</v>
      </c>
      <c r="M102" t="s">
        <v>3191</v>
      </c>
      <c r="N102" t="s">
        <v>3192</v>
      </c>
      <c r="O102" t="s">
        <v>3193</v>
      </c>
      <c r="P102" t="s">
        <v>2885</v>
      </c>
      <c r="Q102" t="s">
        <v>231</v>
      </c>
      <c r="R102" t="b">
        <v>1</v>
      </c>
      <c r="S102" t="s">
        <v>3277</v>
      </c>
    </row>
    <row r="103" spans="1:19" ht="11.25" customHeight="1">
      <c r="A103">
        <v>2655</v>
      </c>
      <c r="B103" t="s">
        <v>101</v>
      </c>
      <c r="C103">
        <v>31528492</v>
      </c>
      <c r="D103" t="s">
        <v>3194</v>
      </c>
      <c r="E103" t="s">
        <v>3195</v>
      </c>
      <c r="F103" t="s">
        <v>3196</v>
      </c>
      <c r="G103" t="s">
        <v>2996</v>
      </c>
      <c r="H103" t="s">
        <v>3197</v>
      </c>
      <c r="I103" t="s">
        <v>3198</v>
      </c>
      <c r="K103" t="s">
        <v>3199</v>
      </c>
      <c r="L103" t="s">
        <v>3199</v>
      </c>
      <c r="M103" t="s">
        <v>3200</v>
      </c>
      <c r="N103" t="s">
        <v>3201</v>
      </c>
      <c r="O103" t="s">
        <v>3202</v>
      </c>
      <c r="P103" t="s">
        <v>2761</v>
      </c>
      <c r="Q103" t="s">
        <v>231</v>
      </c>
      <c r="R103" t="b">
        <v>0</v>
      </c>
      <c r="S103" t="s">
        <v>3277</v>
      </c>
    </row>
    <row r="104" spans="1:19" ht="11.25" customHeight="1">
      <c r="A104">
        <v>2655</v>
      </c>
      <c r="B104" t="s">
        <v>101</v>
      </c>
      <c r="C104">
        <v>28270293</v>
      </c>
      <c r="D104" t="s">
        <v>3203</v>
      </c>
      <c r="E104" t="s">
        <v>3204</v>
      </c>
      <c r="F104" t="s">
        <v>3205</v>
      </c>
      <c r="G104" t="s">
        <v>2977</v>
      </c>
      <c r="H104" t="s">
        <v>3206</v>
      </c>
      <c r="I104" t="s">
        <v>3207</v>
      </c>
      <c r="J104" t="s">
        <v>3038</v>
      </c>
      <c r="K104" t="s">
        <v>3208</v>
      </c>
      <c r="L104" t="s">
        <v>3208</v>
      </c>
      <c r="M104" t="s">
        <v>3209</v>
      </c>
      <c r="N104" t="s">
        <v>3210</v>
      </c>
      <c r="O104" t="s">
        <v>3211</v>
      </c>
      <c r="P104" t="s">
        <v>2827</v>
      </c>
      <c r="Q104" t="s">
        <v>231</v>
      </c>
      <c r="R104" t="b">
        <v>0</v>
      </c>
      <c r="S104" t="s">
        <v>3277</v>
      </c>
    </row>
    <row r="105" spans="1:19" ht="11.25" customHeight="1">
      <c r="A105">
        <v>2655</v>
      </c>
      <c r="B105" t="s">
        <v>101</v>
      </c>
      <c r="C105">
        <v>28873362</v>
      </c>
      <c r="D105" t="s">
        <v>3212</v>
      </c>
      <c r="E105" t="s">
        <v>3213</v>
      </c>
      <c r="F105" t="s">
        <v>3214</v>
      </c>
      <c r="G105" t="s">
        <v>122</v>
      </c>
      <c r="H105" t="s">
        <v>3215</v>
      </c>
      <c r="I105" t="s">
        <v>3216</v>
      </c>
      <c r="J105" t="s">
        <v>3038</v>
      </c>
      <c r="K105" t="s">
        <v>3217</v>
      </c>
      <c r="L105" t="s">
        <v>3217</v>
      </c>
      <c r="M105" t="s">
        <v>3218</v>
      </c>
      <c r="N105" t="s">
        <v>3219</v>
      </c>
      <c r="O105" t="s">
        <v>3220</v>
      </c>
      <c r="P105" t="s">
        <v>2885</v>
      </c>
      <c r="Q105" t="s">
        <v>3221</v>
      </c>
      <c r="R105" t="b">
        <v>0</v>
      </c>
      <c r="S105" t="s">
        <v>3277</v>
      </c>
    </row>
    <row r="106" spans="1:19" ht="11.25" customHeight="1">
      <c r="A106">
        <v>2655</v>
      </c>
      <c r="B106" t="s">
        <v>101</v>
      </c>
      <c r="C106">
        <v>28976681</v>
      </c>
      <c r="D106" t="s">
        <v>3222</v>
      </c>
      <c r="E106" t="s">
        <v>3223</v>
      </c>
      <c r="F106" t="s">
        <v>3224</v>
      </c>
      <c r="G106" t="s">
        <v>2977</v>
      </c>
      <c r="H106" t="s">
        <v>3225</v>
      </c>
      <c r="I106" t="s">
        <v>3226</v>
      </c>
      <c r="J106" t="s">
        <v>3038</v>
      </c>
      <c r="K106" t="s">
        <v>3227</v>
      </c>
      <c r="L106" t="s">
        <v>3227</v>
      </c>
      <c r="M106" t="s">
        <v>3228</v>
      </c>
      <c r="N106" t="s">
        <v>231</v>
      </c>
      <c r="O106" t="s">
        <v>3229</v>
      </c>
      <c r="P106" t="s">
        <v>2885</v>
      </c>
      <c r="Q106" t="s">
        <v>231</v>
      </c>
      <c r="R106" t="b">
        <v>1</v>
      </c>
      <c r="S106" t="s">
        <v>3277</v>
      </c>
    </row>
    <row r="107" spans="1:19" ht="11.25" customHeight="1">
      <c r="A107">
        <v>2655</v>
      </c>
      <c r="B107" t="s">
        <v>101</v>
      </c>
      <c r="C107">
        <v>30808511</v>
      </c>
      <c r="D107" t="s">
        <v>3241</v>
      </c>
      <c r="E107" t="s">
        <v>3241</v>
      </c>
      <c r="F107" t="s">
        <v>3242</v>
      </c>
      <c r="G107" t="s">
        <v>3243</v>
      </c>
      <c r="H107" t="s">
        <v>3244</v>
      </c>
      <c r="I107" t="s">
        <v>3245</v>
      </c>
      <c r="J107" t="s">
        <v>3246</v>
      </c>
      <c r="K107" t="s">
        <v>3247</v>
      </c>
      <c r="L107" t="s">
        <v>3248</v>
      </c>
      <c r="M107" t="s">
        <v>3249</v>
      </c>
      <c r="N107" t="s">
        <v>231</v>
      </c>
      <c r="O107" t="s">
        <v>3250</v>
      </c>
      <c r="P107" t="s">
        <v>2885</v>
      </c>
      <c r="Q107" t="s">
        <v>3251</v>
      </c>
      <c r="R107" t="b">
        <v>0</v>
      </c>
      <c r="S107" t="s">
        <v>3277</v>
      </c>
    </row>
    <row r="108" spans="1:19" ht="11.25" customHeight="1">
      <c r="A108">
        <v>2655</v>
      </c>
      <c r="B108" t="s">
        <v>101</v>
      </c>
      <c r="C108">
        <v>26520873</v>
      </c>
      <c r="D108" t="s">
        <v>3256</v>
      </c>
      <c r="E108" t="s">
        <v>3257</v>
      </c>
      <c r="F108" t="s">
        <v>3242</v>
      </c>
      <c r="G108" t="s">
        <v>3258</v>
      </c>
      <c r="H108" t="s">
        <v>3244</v>
      </c>
      <c r="I108" t="s">
        <v>3259</v>
      </c>
      <c r="J108" t="s">
        <v>3246</v>
      </c>
      <c r="K108" t="s">
        <v>3260</v>
      </c>
      <c r="L108" t="s">
        <v>3261</v>
      </c>
      <c r="M108" t="s">
        <v>3262</v>
      </c>
      <c r="N108" t="s">
        <v>3263</v>
      </c>
      <c r="O108" t="s">
        <v>3264</v>
      </c>
      <c r="P108" t="s">
        <v>2885</v>
      </c>
      <c r="Q108" t="s">
        <v>3265</v>
      </c>
      <c r="R108" t="b">
        <v>0</v>
      </c>
      <c r="S108" t="s">
        <v>3277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E868"/>
  <sheetViews>
    <sheetView showGridLines="0" workbookViewId="0"/>
  </sheetViews>
  <sheetFormatPr defaultRowHeight="11.25" customHeight="1"/>
  <cols>
    <col min="1" max="1" width="23.140625" style="1314" customWidth="1"/>
  </cols>
  <sheetData>
    <row r="1" spans="1:109" ht="11.25" customHeight="1">
      <c r="A1" s="1314" t="s">
        <v>3414</v>
      </c>
      <c r="B1" t="s">
        <v>3415</v>
      </c>
      <c r="C1" t="s">
        <v>3416</v>
      </c>
      <c r="D1" t="s">
        <v>3417</v>
      </c>
      <c r="E1" t="s">
        <v>3418</v>
      </c>
      <c r="F1" t="s">
        <v>3419</v>
      </c>
      <c r="G1" t="s">
        <v>3420</v>
      </c>
      <c r="H1" t="s">
        <v>3421</v>
      </c>
      <c r="I1" t="s">
        <v>3422</v>
      </c>
      <c r="J1" t="s">
        <v>3423</v>
      </c>
      <c r="K1" t="s">
        <v>3424</v>
      </c>
      <c r="L1" t="s">
        <v>3425</v>
      </c>
      <c r="M1" t="s">
        <v>3426</v>
      </c>
      <c r="N1" t="s">
        <v>3427</v>
      </c>
      <c r="O1" t="s">
        <v>3428</v>
      </c>
      <c r="P1" t="s">
        <v>3429</v>
      </c>
      <c r="Q1" t="s">
        <v>3430</v>
      </c>
      <c r="R1" t="s">
        <v>3431</v>
      </c>
      <c r="S1" t="s">
        <v>3432</v>
      </c>
      <c r="T1" t="s">
        <v>3433</v>
      </c>
      <c r="U1" t="s">
        <v>3434</v>
      </c>
      <c r="V1" t="s">
        <v>3435</v>
      </c>
      <c r="W1" t="s">
        <v>3436</v>
      </c>
      <c r="X1" t="s">
        <v>347</v>
      </c>
      <c r="Y1" t="s">
        <v>3437</v>
      </c>
      <c r="Z1" t="s">
        <v>3438</v>
      </c>
      <c r="AA1" t="s">
        <v>3439</v>
      </c>
      <c r="AB1" t="s">
        <v>3440</v>
      </c>
      <c r="AC1" t="s">
        <v>3441</v>
      </c>
      <c r="AD1" t="s">
        <v>3442</v>
      </c>
      <c r="AE1" t="s">
        <v>3443</v>
      </c>
      <c r="AF1" t="s">
        <v>3444</v>
      </c>
      <c r="AG1" t="s">
        <v>3445</v>
      </c>
      <c r="AH1" t="s">
        <v>3446</v>
      </c>
      <c r="AI1" t="s">
        <v>3447</v>
      </c>
      <c r="AJ1" t="s">
        <v>3448</v>
      </c>
      <c r="AK1" t="s">
        <v>3449</v>
      </c>
      <c r="AL1" t="s">
        <v>3450</v>
      </c>
      <c r="AM1" t="s">
        <v>3451</v>
      </c>
      <c r="AN1" t="s">
        <v>3452</v>
      </c>
      <c r="AO1" t="s">
        <v>3453</v>
      </c>
      <c r="AP1" t="s">
        <v>3454</v>
      </c>
      <c r="AQ1" t="s">
        <v>3455</v>
      </c>
      <c r="AR1" t="s">
        <v>3456</v>
      </c>
      <c r="AS1" t="s">
        <v>3457</v>
      </c>
      <c r="AT1" t="s">
        <v>3458</v>
      </c>
      <c r="AU1" t="s">
        <v>3459</v>
      </c>
      <c r="AV1" t="s">
        <v>3460</v>
      </c>
      <c r="AW1" t="s">
        <v>3461</v>
      </c>
      <c r="AX1" t="s">
        <v>3462</v>
      </c>
      <c r="AY1" t="s">
        <v>3463</v>
      </c>
      <c r="AZ1" t="s">
        <v>3464</v>
      </c>
      <c r="BA1" t="s">
        <v>3465</v>
      </c>
      <c r="BB1" t="s">
        <v>3466</v>
      </c>
      <c r="BC1" t="s">
        <v>3467</v>
      </c>
      <c r="BD1" t="s">
        <v>3468</v>
      </c>
      <c r="BE1" t="s">
        <v>3469</v>
      </c>
      <c r="BF1" t="s">
        <v>3470</v>
      </c>
      <c r="BG1" t="s">
        <v>3471</v>
      </c>
      <c r="BH1" t="s">
        <v>3472</v>
      </c>
      <c r="BI1" t="s">
        <v>3473</v>
      </c>
      <c r="BJ1" t="s">
        <v>3474</v>
      </c>
      <c r="BK1" t="s">
        <v>3475</v>
      </c>
      <c r="BL1" t="s">
        <v>3476</v>
      </c>
      <c r="BM1" t="s">
        <v>3477</v>
      </c>
      <c r="BN1" t="s">
        <v>3478</v>
      </c>
      <c r="BO1" t="s">
        <v>3479</v>
      </c>
      <c r="BP1" t="s">
        <v>3480</v>
      </c>
      <c r="BQ1" t="s">
        <v>3481</v>
      </c>
      <c r="BR1" t="s">
        <v>3482</v>
      </c>
      <c r="BS1" t="s">
        <v>3483</v>
      </c>
      <c r="BT1" t="s">
        <v>3484</v>
      </c>
      <c r="BU1" t="s">
        <v>3485</v>
      </c>
      <c r="BV1" t="s">
        <v>3486</v>
      </c>
      <c r="BW1" t="s">
        <v>3487</v>
      </c>
      <c r="BX1" t="s">
        <v>3488</v>
      </c>
      <c r="BY1" t="s">
        <v>3489</v>
      </c>
      <c r="BZ1" t="s">
        <v>3490</v>
      </c>
      <c r="CA1" t="s">
        <v>3491</v>
      </c>
      <c r="CB1" t="s">
        <v>3492</v>
      </c>
      <c r="CC1" t="s">
        <v>3493</v>
      </c>
      <c r="CD1" t="s">
        <v>3494</v>
      </c>
      <c r="CE1" t="s">
        <v>3495</v>
      </c>
      <c r="CF1" t="s">
        <v>3496</v>
      </c>
      <c r="CG1" t="s">
        <v>3497</v>
      </c>
      <c r="CH1" t="s">
        <v>3498</v>
      </c>
      <c r="CI1" t="s">
        <v>3499</v>
      </c>
      <c r="CJ1" t="s">
        <v>3500</v>
      </c>
      <c r="CK1" t="s">
        <v>3501</v>
      </c>
      <c r="CL1" t="s">
        <v>3502</v>
      </c>
      <c r="CM1" t="s">
        <v>3503</v>
      </c>
      <c r="CN1" t="s">
        <v>3504</v>
      </c>
      <c r="CO1" t="s">
        <v>3505</v>
      </c>
      <c r="CP1" t="s">
        <v>3506</v>
      </c>
      <c r="CQ1" t="s">
        <v>3507</v>
      </c>
      <c r="CR1" t="s">
        <v>3508</v>
      </c>
      <c r="CS1" t="s">
        <v>3509</v>
      </c>
      <c r="CT1" t="s">
        <v>3510</v>
      </c>
      <c r="CU1" t="s">
        <v>3511</v>
      </c>
      <c r="CV1" t="s">
        <v>3512</v>
      </c>
      <c r="CW1" t="s">
        <v>3513</v>
      </c>
      <c r="CX1" t="s">
        <v>3514</v>
      </c>
      <c r="CY1" t="s">
        <v>3515</v>
      </c>
      <c r="CZ1" t="s">
        <v>3516</v>
      </c>
      <c r="DA1" t="s">
        <v>3517</v>
      </c>
      <c r="DB1" t="s">
        <v>3518</v>
      </c>
      <c r="DC1" t="s">
        <v>3519</v>
      </c>
      <c r="DD1" t="s">
        <v>1446</v>
      </c>
      <c r="DE1" t="s">
        <v>3520</v>
      </c>
    </row>
    <row r="2" spans="1:109" ht="11.25" customHeight="1">
      <c r="A2" s="1314" t="s">
        <v>231</v>
      </c>
      <c r="B2" t="s">
        <v>231</v>
      </c>
      <c r="C2" t="s">
        <v>231</v>
      </c>
      <c r="D2" t="s">
        <v>231</v>
      </c>
      <c r="E2" t="s">
        <v>231</v>
      </c>
      <c r="F2" t="s">
        <v>231</v>
      </c>
      <c r="G2" t="s">
        <v>231</v>
      </c>
      <c r="H2" t="s">
        <v>231</v>
      </c>
      <c r="I2" t="s">
        <v>3521</v>
      </c>
      <c r="J2" t="s">
        <v>231</v>
      </c>
      <c r="K2" t="s">
        <v>231</v>
      </c>
      <c r="L2" t="s">
        <v>231</v>
      </c>
      <c r="M2" t="s">
        <v>231</v>
      </c>
      <c r="N2" t="s">
        <v>231</v>
      </c>
      <c r="O2" t="s">
        <v>231</v>
      </c>
      <c r="P2" t="s">
        <v>231</v>
      </c>
      <c r="Q2" t="s">
        <v>231</v>
      </c>
      <c r="R2" t="s">
        <v>3522</v>
      </c>
      <c r="S2" t="s">
        <v>231</v>
      </c>
      <c r="T2" t="s">
        <v>231</v>
      </c>
      <c r="U2" t="s">
        <v>101</v>
      </c>
      <c r="V2" t="s">
        <v>231</v>
      </c>
      <c r="W2" t="s">
        <v>231</v>
      </c>
      <c r="X2" t="s">
        <v>3523</v>
      </c>
      <c r="Y2" t="s">
        <v>231</v>
      </c>
      <c r="Z2" t="s">
        <v>160</v>
      </c>
      <c r="AA2" t="s">
        <v>151</v>
      </c>
      <c r="AB2" t="s">
        <v>151</v>
      </c>
      <c r="AC2" t="s">
        <v>2262</v>
      </c>
      <c r="AD2" t="s">
        <v>2262</v>
      </c>
      <c r="AE2" t="s">
        <v>2264</v>
      </c>
      <c r="AF2" t="s">
        <v>3524</v>
      </c>
      <c r="AG2" t="s">
        <v>3525</v>
      </c>
      <c r="AH2" t="s">
        <v>3526</v>
      </c>
      <c r="AI2" t="s">
        <v>3527</v>
      </c>
      <c r="AJ2" t="s">
        <v>3528</v>
      </c>
      <c r="AK2" t="s">
        <v>3529</v>
      </c>
      <c r="AL2" t="s">
        <v>3530</v>
      </c>
      <c r="AM2" t="s">
        <v>3531</v>
      </c>
      <c r="AN2" t="s">
        <v>3532</v>
      </c>
      <c r="AO2" t="s">
        <v>3533</v>
      </c>
      <c r="AP2" t="s">
        <v>231</v>
      </c>
      <c r="AQ2" t="s">
        <v>231</v>
      </c>
      <c r="AR2" t="s">
        <v>231</v>
      </c>
      <c r="AS2" t="s">
        <v>231</v>
      </c>
      <c r="AT2" t="s">
        <v>231</v>
      </c>
      <c r="AU2" t="s">
        <v>231</v>
      </c>
      <c r="AV2" t="s">
        <v>231</v>
      </c>
      <c r="AW2" t="s">
        <v>231</v>
      </c>
      <c r="AX2" t="s">
        <v>231</v>
      </c>
      <c r="AY2" t="s">
        <v>231</v>
      </c>
      <c r="AZ2" t="s">
        <v>231</v>
      </c>
      <c r="BA2" t="s">
        <v>231</v>
      </c>
      <c r="BB2" t="s">
        <v>231</v>
      </c>
      <c r="BC2" t="s">
        <v>231</v>
      </c>
      <c r="BD2" t="s">
        <v>231</v>
      </c>
      <c r="BE2" t="s">
        <v>231</v>
      </c>
      <c r="BF2" t="s">
        <v>231</v>
      </c>
      <c r="BG2" t="s">
        <v>231</v>
      </c>
      <c r="BH2" t="s">
        <v>231</v>
      </c>
      <c r="BI2" t="s">
        <v>231</v>
      </c>
      <c r="BJ2" t="s">
        <v>231</v>
      </c>
      <c r="BK2" t="s">
        <v>231</v>
      </c>
      <c r="BL2" t="s">
        <v>231</v>
      </c>
      <c r="BM2" t="s">
        <v>231</v>
      </c>
      <c r="BN2" t="s">
        <v>231</v>
      </c>
      <c r="BO2" t="s">
        <v>231</v>
      </c>
      <c r="BP2" t="s">
        <v>231</v>
      </c>
      <c r="BQ2" t="s">
        <v>231</v>
      </c>
      <c r="BR2" t="s">
        <v>231</v>
      </c>
      <c r="BS2" t="s">
        <v>231</v>
      </c>
      <c r="BT2" t="s">
        <v>231</v>
      </c>
      <c r="BU2" t="s">
        <v>231</v>
      </c>
      <c r="BV2" t="s">
        <v>231</v>
      </c>
      <c r="BW2" t="s">
        <v>231</v>
      </c>
      <c r="BX2" t="s">
        <v>231</v>
      </c>
      <c r="BY2" t="s">
        <v>231</v>
      </c>
      <c r="BZ2" t="s">
        <v>231</v>
      </c>
      <c r="CA2" t="s">
        <v>231</v>
      </c>
      <c r="CB2" t="s">
        <v>231</v>
      </c>
      <c r="CC2" t="s">
        <v>231</v>
      </c>
      <c r="CD2" t="s">
        <v>231</v>
      </c>
      <c r="CE2" t="s">
        <v>231</v>
      </c>
      <c r="CF2" t="s">
        <v>231</v>
      </c>
      <c r="CG2" t="s">
        <v>231</v>
      </c>
      <c r="CH2" t="s">
        <v>231</v>
      </c>
      <c r="CI2" t="s">
        <v>231</v>
      </c>
      <c r="CJ2" t="s">
        <v>231</v>
      </c>
      <c r="CK2" t="s">
        <v>231</v>
      </c>
      <c r="CL2" t="s">
        <v>231</v>
      </c>
      <c r="CM2" t="s">
        <v>231</v>
      </c>
      <c r="CN2" t="s">
        <v>231</v>
      </c>
      <c r="CO2" t="s">
        <v>231</v>
      </c>
      <c r="CP2" t="s">
        <v>231</v>
      </c>
      <c r="CQ2" t="s">
        <v>231</v>
      </c>
      <c r="CR2" t="s">
        <v>231</v>
      </c>
      <c r="CS2" t="s">
        <v>231</v>
      </c>
      <c r="CT2" t="s">
        <v>3534</v>
      </c>
      <c r="CU2" t="s">
        <v>3535</v>
      </c>
      <c r="CV2" t="s">
        <v>3536</v>
      </c>
      <c r="CW2" t="s">
        <v>3537</v>
      </c>
      <c r="CX2" t="s">
        <v>223</v>
      </c>
      <c r="CY2" t="s">
        <v>3536</v>
      </c>
      <c r="CZ2" t="s">
        <v>3538</v>
      </c>
      <c r="DA2" t="s">
        <v>3539</v>
      </c>
      <c r="DB2" t="s">
        <v>3537</v>
      </c>
      <c r="DC2" t="s">
        <v>363</v>
      </c>
      <c r="DD2" t="s">
        <v>282</v>
      </c>
      <c r="DE2" t="s">
        <v>3540</v>
      </c>
    </row>
    <row r="3" spans="1:109" ht="11.25" customHeight="1">
      <c r="A3" s="1314" t="s">
        <v>231</v>
      </c>
      <c r="B3" t="s">
        <v>231</v>
      </c>
      <c r="C3" t="s">
        <v>231</v>
      </c>
      <c r="D3" t="s">
        <v>231</v>
      </c>
      <c r="E3" t="s">
        <v>231</v>
      </c>
      <c r="F3" t="s">
        <v>231</v>
      </c>
      <c r="G3" t="s">
        <v>231</v>
      </c>
      <c r="H3" t="s">
        <v>231</v>
      </c>
      <c r="I3" t="s">
        <v>3521</v>
      </c>
      <c r="J3" t="s">
        <v>231</v>
      </c>
      <c r="K3" t="s">
        <v>231</v>
      </c>
      <c r="L3" t="s">
        <v>231</v>
      </c>
      <c r="M3" t="s">
        <v>231</v>
      </c>
      <c r="N3" t="s">
        <v>231</v>
      </c>
      <c r="O3" t="s">
        <v>231</v>
      </c>
      <c r="P3" t="s">
        <v>231</v>
      </c>
      <c r="Q3" t="s">
        <v>231</v>
      </c>
      <c r="R3" t="s">
        <v>3541</v>
      </c>
      <c r="S3" t="s">
        <v>231</v>
      </c>
      <c r="T3" t="s">
        <v>231</v>
      </c>
      <c r="U3" t="s">
        <v>101</v>
      </c>
      <c r="V3" t="s">
        <v>231</v>
      </c>
      <c r="W3" t="s">
        <v>231</v>
      </c>
      <c r="X3" t="s">
        <v>3523</v>
      </c>
      <c r="Y3" t="s">
        <v>231</v>
      </c>
      <c r="Z3" t="s">
        <v>160</v>
      </c>
      <c r="AA3" t="s">
        <v>151</v>
      </c>
      <c r="AB3" t="s">
        <v>151</v>
      </c>
      <c r="AC3" t="s">
        <v>2283</v>
      </c>
      <c r="AD3" t="s">
        <v>2283</v>
      </c>
      <c r="AE3" t="s">
        <v>2284</v>
      </c>
      <c r="AF3" t="s">
        <v>3542</v>
      </c>
      <c r="AG3" t="s">
        <v>3543</v>
      </c>
      <c r="AH3" t="s">
        <v>3544</v>
      </c>
      <c r="AI3" t="s">
        <v>3545</v>
      </c>
      <c r="AJ3" t="s">
        <v>3546</v>
      </c>
      <c r="AK3" t="s">
        <v>3547</v>
      </c>
      <c r="AL3" t="s">
        <v>3548</v>
      </c>
      <c r="AM3" t="s">
        <v>3531</v>
      </c>
      <c r="AN3" t="s">
        <v>3549</v>
      </c>
      <c r="AO3" t="s">
        <v>3550</v>
      </c>
      <c r="AP3" t="s">
        <v>231</v>
      </c>
      <c r="AQ3" t="s">
        <v>231</v>
      </c>
      <c r="AR3" t="s">
        <v>231</v>
      </c>
      <c r="AS3" t="s">
        <v>231</v>
      </c>
      <c r="AT3" t="s">
        <v>231</v>
      </c>
      <c r="AU3" t="s">
        <v>231</v>
      </c>
      <c r="AV3" t="s">
        <v>231</v>
      </c>
      <c r="AW3" t="s">
        <v>231</v>
      </c>
      <c r="AX3" t="s">
        <v>231</v>
      </c>
      <c r="AY3" t="s">
        <v>231</v>
      </c>
      <c r="AZ3" t="s">
        <v>231</v>
      </c>
      <c r="BA3" t="s">
        <v>231</v>
      </c>
      <c r="BB3" t="s">
        <v>231</v>
      </c>
      <c r="BC3" t="s">
        <v>231</v>
      </c>
      <c r="BD3" t="s">
        <v>231</v>
      </c>
      <c r="BE3" t="s">
        <v>231</v>
      </c>
      <c r="BF3" t="s">
        <v>231</v>
      </c>
      <c r="BG3" t="s">
        <v>231</v>
      </c>
      <c r="BH3" t="s">
        <v>231</v>
      </c>
      <c r="BI3" t="s">
        <v>231</v>
      </c>
      <c r="BJ3" t="s">
        <v>231</v>
      </c>
      <c r="BK3" t="s">
        <v>231</v>
      </c>
      <c r="BL3" t="s">
        <v>231</v>
      </c>
      <c r="BM3" t="s">
        <v>231</v>
      </c>
      <c r="BN3" t="s">
        <v>231</v>
      </c>
      <c r="BO3" t="s">
        <v>231</v>
      </c>
      <c r="BP3" t="s">
        <v>231</v>
      </c>
      <c r="BQ3" t="s">
        <v>231</v>
      </c>
      <c r="BR3" t="s">
        <v>231</v>
      </c>
      <c r="BS3" t="s">
        <v>231</v>
      </c>
      <c r="BT3" t="s">
        <v>231</v>
      </c>
      <c r="BU3" t="s">
        <v>231</v>
      </c>
      <c r="BV3" t="s">
        <v>231</v>
      </c>
      <c r="BW3" t="s">
        <v>231</v>
      </c>
      <c r="BX3" t="s">
        <v>231</v>
      </c>
      <c r="BY3" t="s">
        <v>231</v>
      </c>
      <c r="BZ3" t="s">
        <v>231</v>
      </c>
      <c r="CA3" t="s">
        <v>231</v>
      </c>
      <c r="CB3" t="s">
        <v>231</v>
      </c>
      <c r="CC3" t="s">
        <v>231</v>
      </c>
      <c r="CD3" t="s">
        <v>231</v>
      </c>
      <c r="CE3" t="s">
        <v>231</v>
      </c>
      <c r="CF3" t="s">
        <v>231</v>
      </c>
      <c r="CG3" t="s">
        <v>231</v>
      </c>
      <c r="CH3" t="s">
        <v>231</v>
      </c>
      <c r="CI3" t="s">
        <v>231</v>
      </c>
      <c r="CJ3" t="s">
        <v>231</v>
      </c>
      <c r="CK3" t="s">
        <v>231</v>
      </c>
      <c r="CL3" t="s">
        <v>231</v>
      </c>
      <c r="CM3" t="s">
        <v>231</v>
      </c>
      <c r="CN3" t="s">
        <v>231</v>
      </c>
      <c r="CO3" t="s">
        <v>231</v>
      </c>
      <c r="CP3" t="s">
        <v>231</v>
      </c>
      <c r="CQ3" t="s">
        <v>231</v>
      </c>
      <c r="CR3" t="s">
        <v>231</v>
      </c>
      <c r="CS3" t="s">
        <v>231</v>
      </c>
      <c r="CT3" t="s">
        <v>3534</v>
      </c>
      <c r="CU3" t="s">
        <v>3535</v>
      </c>
      <c r="CV3" t="s">
        <v>3536</v>
      </c>
      <c r="CW3" t="s">
        <v>3551</v>
      </c>
      <c r="CX3" t="s">
        <v>223</v>
      </c>
      <c r="CY3" t="s">
        <v>3536</v>
      </c>
      <c r="CZ3" t="s">
        <v>3552</v>
      </c>
      <c r="DA3" t="s">
        <v>3553</v>
      </c>
      <c r="DB3" t="s">
        <v>3551</v>
      </c>
      <c r="DC3" t="s">
        <v>363</v>
      </c>
      <c r="DD3" t="s">
        <v>282</v>
      </c>
      <c r="DE3" t="s">
        <v>3554</v>
      </c>
    </row>
    <row r="4" spans="1:109" ht="11.25" customHeight="1">
      <c r="A4" s="1314" t="s">
        <v>231</v>
      </c>
      <c r="B4" t="s">
        <v>231</v>
      </c>
      <c r="C4" t="s">
        <v>231</v>
      </c>
      <c r="D4" t="s">
        <v>231</v>
      </c>
      <c r="E4" t="s">
        <v>231</v>
      </c>
      <c r="F4" t="s">
        <v>231</v>
      </c>
      <c r="G4" t="s">
        <v>231</v>
      </c>
      <c r="H4" t="s">
        <v>231</v>
      </c>
      <c r="I4" t="s">
        <v>3521</v>
      </c>
      <c r="J4" t="s">
        <v>231</v>
      </c>
      <c r="K4" t="s">
        <v>231</v>
      </c>
      <c r="L4" t="s">
        <v>231</v>
      </c>
      <c r="M4" t="s">
        <v>231</v>
      </c>
      <c r="N4" t="s">
        <v>231</v>
      </c>
      <c r="O4" t="s">
        <v>231</v>
      </c>
      <c r="P4" t="s">
        <v>231</v>
      </c>
      <c r="Q4" t="s">
        <v>231</v>
      </c>
      <c r="R4" t="s">
        <v>3555</v>
      </c>
      <c r="S4" t="s">
        <v>231</v>
      </c>
      <c r="T4" t="s">
        <v>231</v>
      </c>
      <c r="U4" t="s">
        <v>101</v>
      </c>
      <c r="V4" t="s">
        <v>231</v>
      </c>
      <c r="W4" t="s">
        <v>231</v>
      </c>
      <c r="X4" t="s">
        <v>3523</v>
      </c>
      <c r="Y4" t="s">
        <v>231</v>
      </c>
      <c r="Z4" t="s">
        <v>160</v>
      </c>
      <c r="AA4" t="s">
        <v>151</v>
      </c>
      <c r="AB4" t="s">
        <v>151</v>
      </c>
      <c r="AC4" t="s">
        <v>2283</v>
      </c>
      <c r="AD4" t="s">
        <v>2283</v>
      </c>
      <c r="AE4" t="s">
        <v>2284</v>
      </c>
      <c r="AF4" t="s">
        <v>3542</v>
      </c>
      <c r="AG4" t="s">
        <v>3543</v>
      </c>
      <c r="AH4" t="s">
        <v>3556</v>
      </c>
      <c r="AI4" t="s">
        <v>3557</v>
      </c>
      <c r="AJ4" t="s">
        <v>3546</v>
      </c>
      <c r="AK4" t="s">
        <v>3547</v>
      </c>
      <c r="AL4" t="s">
        <v>3548</v>
      </c>
      <c r="AM4" t="s">
        <v>3531</v>
      </c>
      <c r="AN4" t="s">
        <v>3549</v>
      </c>
      <c r="AO4" t="s">
        <v>3558</v>
      </c>
      <c r="AP4" t="s">
        <v>231</v>
      </c>
      <c r="AQ4" t="s">
        <v>231</v>
      </c>
      <c r="AR4" t="s">
        <v>231</v>
      </c>
      <c r="AS4" t="s">
        <v>231</v>
      </c>
      <c r="AT4" t="s">
        <v>231</v>
      </c>
      <c r="AU4" t="s">
        <v>231</v>
      </c>
      <c r="AV4" t="s">
        <v>231</v>
      </c>
      <c r="AW4" t="s">
        <v>231</v>
      </c>
      <c r="AX4" t="s">
        <v>231</v>
      </c>
      <c r="AY4" t="s">
        <v>231</v>
      </c>
      <c r="AZ4" t="s">
        <v>231</v>
      </c>
      <c r="BA4" t="s">
        <v>231</v>
      </c>
      <c r="BB4" t="s">
        <v>231</v>
      </c>
      <c r="BC4" t="s">
        <v>231</v>
      </c>
      <c r="BD4" t="s">
        <v>231</v>
      </c>
      <c r="BE4" t="s">
        <v>231</v>
      </c>
      <c r="BF4" t="s">
        <v>231</v>
      </c>
      <c r="BG4" t="s">
        <v>231</v>
      </c>
      <c r="BH4" t="s">
        <v>231</v>
      </c>
      <c r="BI4" t="s">
        <v>231</v>
      </c>
      <c r="BJ4" t="s">
        <v>231</v>
      </c>
      <c r="BK4" t="s">
        <v>231</v>
      </c>
      <c r="BL4" t="s">
        <v>231</v>
      </c>
      <c r="BM4" t="s">
        <v>231</v>
      </c>
      <c r="BN4" t="s">
        <v>231</v>
      </c>
      <c r="BO4" t="s">
        <v>231</v>
      </c>
      <c r="BP4" t="s">
        <v>231</v>
      </c>
      <c r="BQ4" t="s">
        <v>231</v>
      </c>
      <c r="BR4" t="s">
        <v>231</v>
      </c>
      <c r="BS4" t="s">
        <v>231</v>
      </c>
      <c r="BT4" t="s">
        <v>231</v>
      </c>
      <c r="BU4" t="s">
        <v>231</v>
      </c>
      <c r="BV4" t="s">
        <v>231</v>
      </c>
      <c r="BW4" t="s">
        <v>231</v>
      </c>
      <c r="BX4" t="s">
        <v>231</v>
      </c>
      <c r="BY4" t="s">
        <v>231</v>
      </c>
      <c r="BZ4" t="s">
        <v>231</v>
      </c>
      <c r="CA4" t="s">
        <v>231</v>
      </c>
      <c r="CB4" t="s">
        <v>231</v>
      </c>
      <c r="CC4" t="s">
        <v>231</v>
      </c>
      <c r="CD4" t="s">
        <v>231</v>
      </c>
      <c r="CE4" t="s">
        <v>231</v>
      </c>
      <c r="CF4" t="s">
        <v>231</v>
      </c>
      <c r="CG4" t="s">
        <v>231</v>
      </c>
      <c r="CH4" t="s">
        <v>231</v>
      </c>
      <c r="CI4" t="s">
        <v>231</v>
      </c>
      <c r="CJ4" t="s">
        <v>231</v>
      </c>
      <c r="CK4" t="s">
        <v>231</v>
      </c>
      <c r="CL4" t="s">
        <v>231</v>
      </c>
      <c r="CM4" t="s">
        <v>231</v>
      </c>
      <c r="CN4" t="s">
        <v>231</v>
      </c>
      <c r="CO4" t="s">
        <v>231</v>
      </c>
      <c r="CP4" t="s">
        <v>231</v>
      </c>
      <c r="CQ4" t="s">
        <v>231</v>
      </c>
      <c r="CR4" t="s">
        <v>231</v>
      </c>
      <c r="CS4" t="s">
        <v>231</v>
      </c>
      <c r="CT4" t="s">
        <v>3534</v>
      </c>
      <c r="CU4" t="s">
        <v>3535</v>
      </c>
      <c r="CV4" t="s">
        <v>3536</v>
      </c>
      <c r="CW4" t="s">
        <v>3551</v>
      </c>
      <c r="CX4" t="s">
        <v>223</v>
      </c>
      <c r="CY4" t="s">
        <v>3536</v>
      </c>
      <c r="CZ4" t="s">
        <v>3552</v>
      </c>
      <c r="DA4" t="s">
        <v>3553</v>
      </c>
      <c r="DB4" t="s">
        <v>3551</v>
      </c>
      <c r="DC4" t="s">
        <v>363</v>
      </c>
      <c r="DD4" t="s">
        <v>282</v>
      </c>
      <c r="DE4" t="s">
        <v>3559</v>
      </c>
    </row>
    <row r="5" spans="1:109" ht="11.25" customHeight="1">
      <c r="A5" s="1314" t="s">
        <v>231</v>
      </c>
      <c r="B5" t="s">
        <v>231</v>
      </c>
      <c r="C5" t="s">
        <v>231</v>
      </c>
      <c r="D5" t="s">
        <v>231</v>
      </c>
      <c r="E5" t="s">
        <v>231</v>
      </c>
      <c r="F5" t="s">
        <v>231</v>
      </c>
      <c r="G5" t="s">
        <v>231</v>
      </c>
      <c r="H5" t="s">
        <v>231</v>
      </c>
      <c r="I5" t="s">
        <v>3521</v>
      </c>
      <c r="J5" t="s">
        <v>231</v>
      </c>
      <c r="K5" t="s">
        <v>231</v>
      </c>
      <c r="L5" t="s">
        <v>231</v>
      </c>
      <c r="M5" t="s">
        <v>231</v>
      </c>
      <c r="N5" t="s">
        <v>231</v>
      </c>
      <c r="O5" t="s">
        <v>231</v>
      </c>
      <c r="P5" t="s">
        <v>231</v>
      </c>
      <c r="Q5" t="s">
        <v>231</v>
      </c>
      <c r="R5" t="s">
        <v>3560</v>
      </c>
      <c r="S5" t="s">
        <v>231</v>
      </c>
      <c r="T5" t="s">
        <v>231</v>
      </c>
      <c r="U5" t="s">
        <v>101</v>
      </c>
      <c r="V5" t="s">
        <v>231</v>
      </c>
      <c r="W5" t="s">
        <v>231</v>
      </c>
      <c r="X5" t="s">
        <v>3523</v>
      </c>
      <c r="Y5" t="s">
        <v>231</v>
      </c>
      <c r="Z5" t="s">
        <v>160</v>
      </c>
      <c r="AA5" t="s">
        <v>151</v>
      </c>
      <c r="AB5" t="s">
        <v>151</v>
      </c>
      <c r="AC5" t="s">
        <v>343</v>
      </c>
      <c r="AD5" t="s">
        <v>343</v>
      </c>
      <c r="AE5" t="s">
        <v>344</v>
      </c>
      <c r="AF5" t="s">
        <v>3561</v>
      </c>
      <c r="AG5" t="s">
        <v>3562</v>
      </c>
      <c r="AH5" t="s">
        <v>3563</v>
      </c>
      <c r="AI5" t="s">
        <v>1670</v>
      </c>
      <c r="AJ5" t="s">
        <v>3564</v>
      </c>
      <c r="AK5" t="s">
        <v>3565</v>
      </c>
      <c r="AL5" t="s">
        <v>3566</v>
      </c>
      <c r="AM5" t="s">
        <v>3531</v>
      </c>
      <c r="AN5" t="s">
        <v>3567</v>
      </c>
      <c r="AO5" t="s">
        <v>3568</v>
      </c>
      <c r="AP5" t="s">
        <v>231</v>
      </c>
      <c r="AQ5" t="s">
        <v>231</v>
      </c>
      <c r="AR5" t="s">
        <v>231</v>
      </c>
      <c r="AS5" t="s">
        <v>231</v>
      </c>
      <c r="AT5" t="s">
        <v>231</v>
      </c>
      <c r="AU5" t="s">
        <v>231</v>
      </c>
      <c r="AV5" t="s">
        <v>231</v>
      </c>
      <c r="AW5" t="s">
        <v>231</v>
      </c>
      <c r="AX5" t="s">
        <v>231</v>
      </c>
      <c r="AY5" t="s">
        <v>231</v>
      </c>
      <c r="AZ5" t="s">
        <v>231</v>
      </c>
      <c r="BA5" t="s">
        <v>231</v>
      </c>
      <c r="BB5" t="s">
        <v>231</v>
      </c>
      <c r="BC5" t="s">
        <v>231</v>
      </c>
      <c r="BD5" t="s">
        <v>231</v>
      </c>
      <c r="BE5" t="s">
        <v>231</v>
      </c>
      <c r="BF5" t="s">
        <v>231</v>
      </c>
      <c r="BG5" t="s">
        <v>231</v>
      </c>
      <c r="BH5" t="s">
        <v>231</v>
      </c>
      <c r="BI5" t="s">
        <v>231</v>
      </c>
      <c r="BJ5" t="s">
        <v>231</v>
      </c>
      <c r="BK5" t="s">
        <v>231</v>
      </c>
      <c r="BL5" t="s">
        <v>231</v>
      </c>
      <c r="BM5" t="s">
        <v>231</v>
      </c>
      <c r="BN5" t="s">
        <v>231</v>
      </c>
      <c r="BO5" t="s">
        <v>231</v>
      </c>
      <c r="BP5" t="s">
        <v>231</v>
      </c>
      <c r="BQ5" t="s">
        <v>231</v>
      </c>
      <c r="BR5" t="s">
        <v>231</v>
      </c>
      <c r="BS5" t="s">
        <v>231</v>
      </c>
      <c r="BT5" t="s">
        <v>231</v>
      </c>
      <c r="BU5" t="s">
        <v>231</v>
      </c>
      <c r="BV5" t="s">
        <v>231</v>
      </c>
      <c r="BW5" t="s">
        <v>231</v>
      </c>
      <c r="BX5" t="s">
        <v>231</v>
      </c>
      <c r="BY5" t="s">
        <v>231</v>
      </c>
      <c r="BZ5" t="s">
        <v>231</v>
      </c>
      <c r="CA5" t="s">
        <v>231</v>
      </c>
      <c r="CB5" t="s">
        <v>231</v>
      </c>
      <c r="CC5" t="s">
        <v>231</v>
      </c>
      <c r="CD5" t="s">
        <v>231</v>
      </c>
      <c r="CE5" t="s">
        <v>231</v>
      </c>
      <c r="CF5" t="s">
        <v>231</v>
      </c>
      <c r="CG5" t="s">
        <v>231</v>
      </c>
      <c r="CH5" t="s">
        <v>231</v>
      </c>
      <c r="CI5" t="s">
        <v>231</v>
      </c>
      <c r="CJ5" t="s">
        <v>231</v>
      </c>
      <c r="CK5" t="s">
        <v>231</v>
      </c>
      <c r="CL5" t="s">
        <v>231</v>
      </c>
      <c r="CM5" t="s">
        <v>231</v>
      </c>
      <c r="CN5" t="s">
        <v>231</v>
      </c>
      <c r="CO5" t="s">
        <v>231</v>
      </c>
      <c r="CP5" t="s">
        <v>231</v>
      </c>
      <c r="CQ5" t="s">
        <v>231</v>
      </c>
      <c r="CR5" t="s">
        <v>231</v>
      </c>
      <c r="CS5" t="s">
        <v>231</v>
      </c>
      <c r="CT5" t="s">
        <v>3534</v>
      </c>
      <c r="CU5" t="s">
        <v>3535</v>
      </c>
      <c r="CV5" t="s">
        <v>3536</v>
      </c>
      <c r="CW5" t="s">
        <v>3569</v>
      </c>
      <c r="CX5" t="s">
        <v>3570</v>
      </c>
      <c r="CY5" t="s">
        <v>3536</v>
      </c>
      <c r="CZ5" t="s">
        <v>224</v>
      </c>
      <c r="DA5" t="s">
        <v>3571</v>
      </c>
      <c r="DB5" t="s">
        <v>3569</v>
      </c>
      <c r="DC5" t="s">
        <v>363</v>
      </c>
      <c r="DD5" t="s">
        <v>282</v>
      </c>
      <c r="DE5" t="s">
        <v>3572</v>
      </c>
    </row>
    <row r="6" spans="1:109" ht="11.25" customHeight="1">
      <c r="A6" s="1314" t="s">
        <v>231</v>
      </c>
      <c r="B6" t="s">
        <v>231</v>
      </c>
      <c r="C6" t="s">
        <v>231</v>
      </c>
      <c r="D6" t="s">
        <v>231</v>
      </c>
      <c r="E6" t="s">
        <v>231</v>
      </c>
      <c r="F6" t="s">
        <v>231</v>
      </c>
      <c r="G6" t="s">
        <v>231</v>
      </c>
      <c r="H6" t="s">
        <v>231</v>
      </c>
      <c r="I6" t="s">
        <v>3521</v>
      </c>
      <c r="J6" t="s">
        <v>231</v>
      </c>
      <c r="K6" t="s">
        <v>231</v>
      </c>
      <c r="L6" t="s">
        <v>231</v>
      </c>
      <c r="M6" t="s">
        <v>231</v>
      </c>
      <c r="N6" t="s">
        <v>231</v>
      </c>
      <c r="O6" t="s">
        <v>231</v>
      </c>
      <c r="P6" t="s">
        <v>231</v>
      </c>
      <c r="Q6" t="s">
        <v>231</v>
      </c>
      <c r="R6" t="s">
        <v>3573</v>
      </c>
      <c r="S6" t="s">
        <v>231</v>
      </c>
      <c r="T6" t="s">
        <v>231</v>
      </c>
      <c r="U6" t="s">
        <v>101</v>
      </c>
      <c r="V6" t="s">
        <v>231</v>
      </c>
      <c r="W6" t="s">
        <v>231</v>
      </c>
      <c r="X6" t="s">
        <v>3523</v>
      </c>
      <c r="Y6" t="s">
        <v>231</v>
      </c>
      <c r="Z6" t="s">
        <v>160</v>
      </c>
      <c r="AA6" t="s">
        <v>151</v>
      </c>
      <c r="AB6" t="s">
        <v>151</v>
      </c>
      <c r="AC6" t="s">
        <v>343</v>
      </c>
      <c r="AD6" t="s">
        <v>343</v>
      </c>
      <c r="AE6" t="s">
        <v>344</v>
      </c>
      <c r="AF6" t="s">
        <v>3561</v>
      </c>
      <c r="AG6" t="s">
        <v>3562</v>
      </c>
      <c r="AH6" t="s">
        <v>3574</v>
      </c>
      <c r="AI6" t="s">
        <v>3575</v>
      </c>
      <c r="AJ6" t="s">
        <v>3576</v>
      </c>
      <c r="AK6" t="s">
        <v>3577</v>
      </c>
      <c r="AL6" t="s">
        <v>3530</v>
      </c>
      <c r="AM6" t="s">
        <v>3531</v>
      </c>
      <c r="AN6" t="s">
        <v>3578</v>
      </c>
      <c r="AO6" t="s">
        <v>3579</v>
      </c>
      <c r="AP6" t="s">
        <v>231</v>
      </c>
      <c r="AQ6" t="s">
        <v>231</v>
      </c>
      <c r="AR6" t="s">
        <v>231</v>
      </c>
      <c r="AS6" t="s">
        <v>231</v>
      </c>
      <c r="AT6" t="s">
        <v>231</v>
      </c>
      <c r="AU6" t="s">
        <v>231</v>
      </c>
      <c r="AV6" t="s">
        <v>231</v>
      </c>
      <c r="AW6" t="s">
        <v>231</v>
      </c>
      <c r="AX6" t="s">
        <v>231</v>
      </c>
      <c r="AY6" t="s">
        <v>231</v>
      </c>
      <c r="AZ6" t="s">
        <v>231</v>
      </c>
      <c r="BA6" t="s">
        <v>231</v>
      </c>
      <c r="BB6" t="s">
        <v>231</v>
      </c>
      <c r="BC6" t="s">
        <v>231</v>
      </c>
      <c r="BD6" t="s">
        <v>231</v>
      </c>
      <c r="BE6" t="s">
        <v>231</v>
      </c>
      <c r="BF6" t="s">
        <v>231</v>
      </c>
      <c r="BG6" t="s">
        <v>231</v>
      </c>
      <c r="BH6" t="s">
        <v>231</v>
      </c>
      <c r="BI6" t="s">
        <v>231</v>
      </c>
      <c r="BJ6" t="s">
        <v>231</v>
      </c>
      <c r="BK6" t="s">
        <v>231</v>
      </c>
      <c r="BL6" t="s">
        <v>231</v>
      </c>
      <c r="BM6" t="s">
        <v>231</v>
      </c>
      <c r="BN6" t="s">
        <v>231</v>
      </c>
      <c r="BO6" t="s">
        <v>231</v>
      </c>
      <c r="BP6" t="s">
        <v>231</v>
      </c>
      <c r="BQ6" t="s">
        <v>231</v>
      </c>
      <c r="BR6" t="s">
        <v>231</v>
      </c>
      <c r="BS6" t="s">
        <v>231</v>
      </c>
      <c r="BT6" t="s">
        <v>231</v>
      </c>
      <c r="BU6" t="s">
        <v>231</v>
      </c>
      <c r="BV6" t="s">
        <v>231</v>
      </c>
      <c r="BW6" t="s">
        <v>231</v>
      </c>
      <c r="BX6" t="s">
        <v>231</v>
      </c>
      <c r="BY6" t="s">
        <v>231</v>
      </c>
      <c r="BZ6" t="s">
        <v>231</v>
      </c>
      <c r="CA6" t="s">
        <v>231</v>
      </c>
      <c r="CB6" t="s">
        <v>231</v>
      </c>
      <c r="CC6" t="s">
        <v>231</v>
      </c>
      <c r="CD6" t="s">
        <v>231</v>
      </c>
      <c r="CE6" t="s">
        <v>231</v>
      </c>
      <c r="CF6" t="s">
        <v>231</v>
      </c>
      <c r="CG6" t="s">
        <v>231</v>
      </c>
      <c r="CH6" t="s">
        <v>231</v>
      </c>
      <c r="CI6" t="s">
        <v>231</v>
      </c>
      <c r="CJ6" t="s">
        <v>231</v>
      </c>
      <c r="CK6" t="s">
        <v>231</v>
      </c>
      <c r="CL6" t="s">
        <v>231</v>
      </c>
      <c r="CM6" t="s">
        <v>231</v>
      </c>
      <c r="CN6" t="s">
        <v>231</v>
      </c>
      <c r="CO6" t="s">
        <v>231</v>
      </c>
      <c r="CP6" t="s">
        <v>231</v>
      </c>
      <c r="CQ6" t="s">
        <v>231</v>
      </c>
      <c r="CR6" t="s">
        <v>231</v>
      </c>
      <c r="CS6" t="s">
        <v>231</v>
      </c>
      <c r="CT6" t="s">
        <v>3534</v>
      </c>
      <c r="CU6" t="s">
        <v>3535</v>
      </c>
      <c r="CV6" t="s">
        <v>3536</v>
      </c>
      <c r="CW6" t="s">
        <v>3569</v>
      </c>
      <c r="CX6" t="s">
        <v>3570</v>
      </c>
      <c r="CY6" t="s">
        <v>3536</v>
      </c>
      <c r="CZ6" t="s">
        <v>224</v>
      </c>
      <c r="DA6" t="s">
        <v>3571</v>
      </c>
      <c r="DB6" t="s">
        <v>3569</v>
      </c>
      <c r="DC6" t="s">
        <v>363</v>
      </c>
      <c r="DD6" t="s">
        <v>282</v>
      </c>
      <c r="DE6" t="s">
        <v>3580</v>
      </c>
    </row>
    <row r="7" spans="1:109" ht="11.25" customHeight="1">
      <c r="A7" s="1314" t="s">
        <v>231</v>
      </c>
      <c r="B7" t="s">
        <v>231</v>
      </c>
      <c r="C7" t="s">
        <v>231</v>
      </c>
      <c r="D7" t="s">
        <v>231</v>
      </c>
      <c r="E7" t="s">
        <v>231</v>
      </c>
      <c r="F7" t="s">
        <v>231</v>
      </c>
      <c r="G7" t="s">
        <v>231</v>
      </c>
      <c r="H7" t="s">
        <v>231</v>
      </c>
      <c r="I7" t="s">
        <v>3521</v>
      </c>
      <c r="J7" t="s">
        <v>231</v>
      </c>
      <c r="K7" t="s">
        <v>231</v>
      </c>
      <c r="L7" t="s">
        <v>231</v>
      </c>
      <c r="M7" t="s">
        <v>231</v>
      </c>
      <c r="N7" t="s">
        <v>231</v>
      </c>
      <c r="O7" t="s">
        <v>231</v>
      </c>
      <c r="P7" t="s">
        <v>231</v>
      </c>
      <c r="Q7" t="s">
        <v>231</v>
      </c>
      <c r="R7" t="s">
        <v>3581</v>
      </c>
      <c r="S7" t="s">
        <v>231</v>
      </c>
      <c r="T7" t="s">
        <v>231</v>
      </c>
      <c r="U7" t="s">
        <v>101</v>
      </c>
      <c r="V7" t="s">
        <v>231</v>
      </c>
      <c r="W7" t="s">
        <v>231</v>
      </c>
      <c r="X7" t="s">
        <v>3523</v>
      </c>
      <c r="Y7" t="s">
        <v>231</v>
      </c>
      <c r="Z7" t="s">
        <v>160</v>
      </c>
      <c r="AA7" t="s">
        <v>151</v>
      </c>
      <c r="AB7" t="s">
        <v>151</v>
      </c>
      <c r="AC7" t="s">
        <v>2289</v>
      </c>
      <c r="AD7" t="s">
        <v>2289</v>
      </c>
      <c r="AE7" t="s">
        <v>2290</v>
      </c>
      <c r="AF7" t="s">
        <v>3582</v>
      </c>
      <c r="AG7" t="s">
        <v>3583</v>
      </c>
      <c r="AH7" t="s">
        <v>3584</v>
      </c>
      <c r="AI7" t="s">
        <v>3585</v>
      </c>
      <c r="AJ7" t="s">
        <v>3546</v>
      </c>
      <c r="AK7" t="s">
        <v>3586</v>
      </c>
      <c r="AL7" t="s">
        <v>3548</v>
      </c>
      <c r="AM7" t="s">
        <v>3531</v>
      </c>
      <c r="AN7" t="s">
        <v>3587</v>
      </c>
      <c r="AO7" t="s">
        <v>3588</v>
      </c>
      <c r="AP7" t="s">
        <v>231</v>
      </c>
      <c r="AQ7" t="s">
        <v>231</v>
      </c>
      <c r="AR7" t="s">
        <v>231</v>
      </c>
      <c r="AS7" t="s">
        <v>231</v>
      </c>
      <c r="AT7" t="s">
        <v>231</v>
      </c>
      <c r="AU7" t="s">
        <v>231</v>
      </c>
      <c r="AV7" t="s">
        <v>231</v>
      </c>
      <c r="AW7" t="s">
        <v>231</v>
      </c>
      <c r="AX7" t="s">
        <v>231</v>
      </c>
      <c r="AY7" t="s">
        <v>231</v>
      </c>
      <c r="AZ7" t="s">
        <v>231</v>
      </c>
      <c r="BA7" t="s">
        <v>231</v>
      </c>
      <c r="BB7" t="s">
        <v>231</v>
      </c>
      <c r="BC7" t="s">
        <v>231</v>
      </c>
      <c r="BD7" t="s">
        <v>231</v>
      </c>
      <c r="BE7" t="s">
        <v>231</v>
      </c>
      <c r="BF7" t="s">
        <v>231</v>
      </c>
      <c r="BG7" t="s">
        <v>231</v>
      </c>
      <c r="BH7" t="s">
        <v>231</v>
      </c>
      <c r="BI7" t="s">
        <v>231</v>
      </c>
      <c r="BJ7" t="s">
        <v>231</v>
      </c>
      <c r="BK7" t="s">
        <v>231</v>
      </c>
      <c r="BL7" t="s">
        <v>231</v>
      </c>
      <c r="BM7" t="s">
        <v>231</v>
      </c>
      <c r="BN7" t="s">
        <v>231</v>
      </c>
      <c r="BO7" t="s">
        <v>231</v>
      </c>
      <c r="BP7" t="s">
        <v>231</v>
      </c>
      <c r="BQ7" t="s">
        <v>231</v>
      </c>
      <c r="BR7" t="s">
        <v>231</v>
      </c>
      <c r="BS7" t="s">
        <v>231</v>
      </c>
      <c r="BT7" t="s">
        <v>231</v>
      </c>
      <c r="BU7" t="s">
        <v>231</v>
      </c>
      <c r="BV7" t="s">
        <v>231</v>
      </c>
      <c r="BW7" t="s">
        <v>231</v>
      </c>
      <c r="BX7" t="s">
        <v>231</v>
      </c>
      <c r="BY7" t="s">
        <v>231</v>
      </c>
      <c r="BZ7" t="s">
        <v>231</v>
      </c>
      <c r="CA7" t="s">
        <v>231</v>
      </c>
      <c r="CB7" t="s">
        <v>231</v>
      </c>
      <c r="CC7" t="s">
        <v>231</v>
      </c>
      <c r="CD7" t="s">
        <v>231</v>
      </c>
      <c r="CE7" t="s">
        <v>231</v>
      </c>
      <c r="CF7" t="s">
        <v>231</v>
      </c>
      <c r="CG7" t="s">
        <v>231</v>
      </c>
      <c r="CH7" t="s">
        <v>231</v>
      </c>
      <c r="CI7" t="s">
        <v>231</v>
      </c>
      <c r="CJ7" t="s">
        <v>231</v>
      </c>
      <c r="CK7" t="s">
        <v>231</v>
      </c>
      <c r="CL7" t="s">
        <v>231</v>
      </c>
      <c r="CM7" t="s">
        <v>231</v>
      </c>
      <c r="CN7" t="s">
        <v>231</v>
      </c>
      <c r="CO7" t="s">
        <v>231</v>
      </c>
      <c r="CP7" t="s">
        <v>231</v>
      </c>
      <c r="CQ7" t="s">
        <v>231</v>
      </c>
      <c r="CR7" t="s">
        <v>231</v>
      </c>
      <c r="CS7" t="s">
        <v>231</v>
      </c>
      <c r="CT7" t="s">
        <v>3534</v>
      </c>
      <c r="CU7" t="s">
        <v>3535</v>
      </c>
      <c r="CV7" t="s">
        <v>3536</v>
      </c>
      <c r="CW7" t="s">
        <v>3589</v>
      </c>
      <c r="CX7" t="s">
        <v>223</v>
      </c>
      <c r="CY7" t="s">
        <v>3536</v>
      </c>
      <c r="CZ7" t="s">
        <v>3590</v>
      </c>
      <c r="DA7" t="s">
        <v>3591</v>
      </c>
      <c r="DB7" t="s">
        <v>3589</v>
      </c>
      <c r="DC7" t="s">
        <v>363</v>
      </c>
      <c r="DD7" t="s">
        <v>282</v>
      </c>
      <c r="DE7" t="s">
        <v>3592</v>
      </c>
    </row>
    <row r="8" spans="1:109" ht="11.25" customHeight="1">
      <c r="A8" s="1314" t="s">
        <v>231</v>
      </c>
      <c r="B8" t="s">
        <v>231</v>
      </c>
      <c r="C8" t="s">
        <v>231</v>
      </c>
      <c r="D8" t="s">
        <v>231</v>
      </c>
      <c r="E8" t="s">
        <v>231</v>
      </c>
      <c r="F8" t="s">
        <v>231</v>
      </c>
      <c r="G8" t="s">
        <v>231</v>
      </c>
      <c r="H8" t="s">
        <v>231</v>
      </c>
      <c r="I8" t="s">
        <v>3521</v>
      </c>
      <c r="J8" t="s">
        <v>231</v>
      </c>
      <c r="K8" t="s">
        <v>231</v>
      </c>
      <c r="L8" t="s">
        <v>231</v>
      </c>
      <c r="M8" t="s">
        <v>231</v>
      </c>
      <c r="N8" t="s">
        <v>231</v>
      </c>
      <c r="O8" t="s">
        <v>231</v>
      </c>
      <c r="P8" t="s">
        <v>231</v>
      </c>
      <c r="Q8" t="s">
        <v>231</v>
      </c>
      <c r="R8" t="s">
        <v>3541</v>
      </c>
      <c r="S8" t="s">
        <v>231</v>
      </c>
      <c r="T8" t="s">
        <v>231</v>
      </c>
      <c r="U8" t="s">
        <v>101</v>
      </c>
      <c r="V8" t="s">
        <v>231</v>
      </c>
      <c r="W8" t="s">
        <v>231</v>
      </c>
      <c r="X8" t="s">
        <v>3523</v>
      </c>
      <c r="Y8" t="s">
        <v>231</v>
      </c>
      <c r="Z8" t="s">
        <v>160</v>
      </c>
      <c r="AA8" t="s">
        <v>151</v>
      </c>
      <c r="AB8" t="s">
        <v>151</v>
      </c>
      <c r="AC8" t="s">
        <v>2289</v>
      </c>
      <c r="AD8" t="s">
        <v>2289</v>
      </c>
      <c r="AE8" t="s">
        <v>2290</v>
      </c>
      <c r="AF8" t="s">
        <v>3582</v>
      </c>
      <c r="AG8" t="s">
        <v>3583</v>
      </c>
      <c r="AH8" t="s">
        <v>3584</v>
      </c>
      <c r="AI8" t="s">
        <v>3593</v>
      </c>
      <c r="AJ8" t="s">
        <v>3594</v>
      </c>
      <c r="AK8" t="s">
        <v>3586</v>
      </c>
      <c r="AL8" t="s">
        <v>3548</v>
      </c>
      <c r="AM8" t="s">
        <v>3531</v>
      </c>
      <c r="AN8" t="s">
        <v>3595</v>
      </c>
      <c r="AO8" t="s">
        <v>3596</v>
      </c>
      <c r="AP8" t="s">
        <v>231</v>
      </c>
      <c r="AQ8" t="s">
        <v>231</v>
      </c>
      <c r="AR8" t="s">
        <v>231</v>
      </c>
      <c r="AS8" t="s">
        <v>231</v>
      </c>
      <c r="AT8" t="s">
        <v>231</v>
      </c>
      <c r="AU8" t="s">
        <v>231</v>
      </c>
      <c r="AV8" t="s">
        <v>231</v>
      </c>
      <c r="AW8" t="s">
        <v>231</v>
      </c>
      <c r="AX8" t="s">
        <v>231</v>
      </c>
      <c r="AY8" t="s">
        <v>231</v>
      </c>
      <c r="AZ8" t="s">
        <v>231</v>
      </c>
      <c r="BA8" t="s">
        <v>231</v>
      </c>
      <c r="BB8" t="s">
        <v>231</v>
      </c>
      <c r="BC8" t="s">
        <v>231</v>
      </c>
      <c r="BD8" t="s">
        <v>231</v>
      </c>
      <c r="BE8" t="s">
        <v>231</v>
      </c>
      <c r="BF8" t="s">
        <v>231</v>
      </c>
      <c r="BG8" t="s">
        <v>231</v>
      </c>
      <c r="BH8" t="s">
        <v>231</v>
      </c>
      <c r="BI8" t="s">
        <v>231</v>
      </c>
      <c r="BJ8" t="s">
        <v>231</v>
      </c>
      <c r="BK8" t="s">
        <v>231</v>
      </c>
      <c r="BL8" t="s">
        <v>231</v>
      </c>
      <c r="BM8" t="s">
        <v>231</v>
      </c>
      <c r="BN8" t="s">
        <v>231</v>
      </c>
      <c r="BO8" t="s">
        <v>231</v>
      </c>
      <c r="BP8" t="s">
        <v>231</v>
      </c>
      <c r="BQ8" t="s">
        <v>231</v>
      </c>
      <c r="BR8" t="s">
        <v>231</v>
      </c>
      <c r="BS8" t="s">
        <v>231</v>
      </c>
      <c r="BT8" t="s">
        <v>231</v>
      </c>
      <c r="BU8" t="s">
        <v>231</v>
      </c>
      <c r="BV8" t="s">
        <v>231</v>
      </c>
      <c r="BW8" t="s">
        <v>231</v>
      </c>
      <c r="BX8" t="s">
        <v>231</v>
      </c>
      <c r="BY8" t="s">
        <v>231</v>
      </c>
      <c r="BZ8" t="s">
        <v>231</v>
      </c>
      <c r="CA8" t="s">
        <v>231</v>
      </c>
      <c r="CB8" t="s">
        <v>231</v>
      </c>
      <c r="CC8" t="s">
        <v>231</v>
      </c>
      <c r="CD8" t="s">
        <v>231</v>
      </c>
      <c r="CE8" t="s">
        <v>231</v>
      </c>
      <c r="CF8" t="s">
        <v>231</v>
      </c>
      <c r="CG8" t="s">
        <v>231</v>
      </c>
      <c r="CH8" t="s">
        <v>231</v>
      </c>
      <c r="CI8" t="s">
        <v>231</v>
      </c>
      <c r="CJ8" t="s">
        <v>231</v>
      </c>
      <c r="CK8" t="s">
        <v>231</v>
      </c>
      <c r="CL8" t="s">
        <v>231</v>
      </c>
      <c r="CM8" t="s">
        <v>231</v>
      </c>
      <c r="CN8" t="s">
        <v>231</v>
      </c>
      <c r="CO8" t="s">
        <v>231</v>
      </c>
      <c r="CP8" t="s">
        <v>231</v>
      </c>
      <c r="CQ8" t="s">
        <v>231</v>
      </c>
      <c r="CR8" t="s">
        <v>231</v>
      </c>
      <c r="CS8" t="s">
        <v>231</v>
      </c>
      <c r="CT8" t="s">
        <v>3534</v>
      </c>
      <c r="CU8" t="s">
        <v>3535</v>
      </c>
      <c r="CV8" t="s">
        <v>3536</v>
      </c>
      <c r="CW8" t="s">
        <v>3589</v>
      </c>
      <c r="CX8" t="s">
        <v>223</v>
      </c>
      <c r="CY8" t="s">
        <v>3536</v>
      </c>
      <c r="CZ8" t="s">
        <v>3590</v>
      </c>
      <c r="DA8" t="s">
        <v>3591</v>
      </c>
      <c r="DB8" t="s">
        <v>3589</v>
      </c>
      <c r="DC8" t="s">
        <v>363</v>
      </c>
      <c r="DD8" t="s">
        <v>282</v>
      </c>
      <c r="DE8" t="s">
        <v>3597</v>
      </c>
    </row>
    <row r="9" spans="1:109" ht="11.25" customHeight="1">
      <c r="A9" s="1314" t="s">
        <v>231</v>
      </c>
      <c r="B9" t="s">
        <v>231</v>
      </c>
      <c r="C9" t="s">
        <v>231</v>
      </c>
      <c r="D9" t="s">
        <v>231</v>
      </c>
      <c r="E9" t="s">
        <v>231</v>
      </c>
      <c r="F9" t="s">
        <v>231</v>
      </c>
      <c r="G9" t="s">
        <v>231</v>
      </c>
      <c r="H9" t="s">
        <v>231</v>
      </c>
      <c r="I9" t="s">
        <v>3521</v>
      </c>
      <c r="J9" t="s">
        <v>231</v>
      </c>
      <c r="K9" t="s">
        <v>231</v>
      </c>
      <c r="L9" t="s">
        <v>231</v>
      </c>
      <c r="M9" t="s">
        <v>231</v>
      </c>
      <c r="N9" t="s">
        <v>231</v>
      </c>
      <c r="O9" t="s">
        <v>231</v>
      </c>
      <c r="P9" t="s">
        <v>231</v>
      </c>
      <c r="Q9" t="s">
        <v>231</v>
      </c>
      <c r="R9" t="s">
        <v>3598</v>
      </c>
      <c r="S9" t="s">
        <v>231</v>
      </c>
      <c r="T9" t="s">
        <v>231</v>
      </c>
      <c r="U9" t="s">
        <v>101</v>
      </c>
      <c r="V9" t="s">
        <v>231</v>
      </c>
      <c r="W9" t="s">
        <v>231</v>
      </c>
      <c r="X9" t="s">
        <v>3523</v>
      </c>
      <c r="Y9" t="s">
        <v>231</v>
      </c>
      <c r="Z9" t="s">
        <v>160</v>
      </c>
      <c r="AA9" t="s">
        <v>151</v>
      </c>
      <c r="AB9" t="s">
        <v>151</v>
      </c>
      <c r="AC9" t="s">
        <v>2289</v>
      </c>
      <c r="AD9" t="s">
        <v>2289</v>
      </c>
      <c r="AE9" t="s">
        <v>2290</v>
      </c>
      <c r="AF9" t="s">
        <v>3582</v>
      </c>
      <c r="AG9" t="s">
        <v>3583</v>
      </c>
      <c r="AH9" t="s">
        <v>3584</v>
      </c>
      <c r="AI9" t="s">
        <v>1743</v>
      </c>
      <c r="AJ9" t="s">
        <v>3546</v>
      </c>
      <c r="AK9" t="s">
        <v>3586</v>
      </c>
      <c r="AL9" t="s">
        <v>3548</v>
      </c>
      <c r="AM9" t="s">
        <v>3531</v>
      </c>
      <c r="AN9" t="s">
        <v>3595</v>
      </c>
      <c r="AO9" t="s">
        <v>3596</v>
      </c>
      <c r="AP9" t="s">
        <v>231</v>
      </c>
      <c r="AQ9" t="s">
        <v>231</v>
      </c>
      <c r="AR9" t="s">
        <v>231</v>
      </c>
      <c r="AS9" t="s">
        <v>231</v>
      </c>
      <c r="AT9" t="s">
        <v>231</v>
      </c>
      <c r="AU9" t="s">
        <v>231</v>
      </c>
      <c r="AV9" t="s">
        <v>231</v>
      </c>
      <c r="AW9" t="s">
        <v>231</v>
      </c>
      <c r="AX9" t="s">
        <v>231</v>
      </c>
      <c r="AY9" t="s">
        <v>231</v>
      </c>
      <c r="AZ9" t="s">
        <v>231</v>
      </c>
      <c r="BA9" t="s">
        <v>231</v>
      </c>
      <c r="BB9" t="s">
        <v>231</v>
      </c>
      <c r="BC9" t="s">
        <v>231</v>
      </c>
      <c r="BD9" t="s">
        <v>231</v>
      </c>
      <c r="BE9" t="s">
        <v>231</v>
      </c>
      <c r="BF9" t="s">
        <v>231</v>
      </c>
      <c r="BG9" t="s">
        <v>231</v>
      </c>
      <c r="BH9" t="s">
        <v>231</v>
      </c>
      <c r="BI9" t="s">
        <v>231</v>
      </c>
      <c r="BJ9" t="s">
        <v>231</v>
      </c>
      <c r="BK9" t="s">
        <v>231</v>
      </c>
      <c r="BL9" t="s">
        <v>231</v>
      </c>
      <c r="BM9" t="s">
        <v>231</v>
      </c>
      <c r="BN9" t="s">
        <v>231</v>
      </c>
      <c r="BO9" t="s">
        <v>231</v>
      </c>
      <c r="BP9" t="s">
        <v>231</v>
      </c>
      <c r="BQ9" t="s">
        <v>231</v>
      </c>
      <c r="BR9" t="s">
        <v>231</v>
      </c>
      <c r="BS9" t="s">
        <v>231</v>
      </c>
      <c r="BT9" t="s">
        <v>231</v>
      </c>
      <c r="BU9" t="s">
        <v>231</v>
      </c>
      <c r="BV9" t="s">
        <v>231</v>
      </c>
      <c r="BW9" t="s">
        <v>231</v>
      </c>
      <c r="BX9" t="s">
        <v>231</v>
      </c>
      <c r="BY9" t="s">
        <v>231</v>
      </c>
      <c r="BZ9" t="s">
        <v>231</v>
      </c>
      <c r="CA9" t="s">
        <v>231</v>
      </c>
      <c r="CB9" t="s">
        <v>231</v>
      </c>
      <c r="CC9" t="s">
        <v>231</v>
      </c>
      <c r="CD9" t="s">
        <v>231</v>
      </c>
      <c r="CE9" t="s">
        <v>231</v>
      </c>
      <c r="CF9" t="s">
        <v>231</v>
      </c>
      <c r="CG9" t="s">
        <v>231</v>
      </c>
      <c r="CH9" t="s">
        <v>231</v>
      </c>
      <c r="CI9" t="s">
        <v>231</v>
      </c>
      <c r="CJ9" t="s">
        <v>231</v>
      </c>
      <c r="CK9" t="s">
        <v>231</v>
      </c>
      <c r="CL9" t="s">
        <v>231</v>
      </c>
      <c r="CM9" t="s">
        <v>231</v>
      </c>
      <c r="CN9" t="s">
        <v>231</v>
      </c>
      <c r="CO9" t="s">
        <v>231</v>
      </c>
      <c r="CP9" t="s">
        <v>231</v>
      </c>
      <c r="CQ9" t="s">
        <v>231</v>
      </c>
      <c r="CR9" t="s">
        <v>231</v>
      </c>
      <c r="CS9" t="s">
        <v>231</v>
      </c>
      <c r="CT9" t="s">
        <v>3534</v>
      </c>
      <c r="CU9" t="s">
        <v>3535</v>
      </c>
      <c r="CV9" t="s">
        <v>3536</v>
      </c>
      <c r="CW9" t="s">
        <v>3589</v>
      </c>
      <c r="CX9" t="s">
        <v>223</v>
      </c>
      <c r="CY9" t="s">
        <v>3536</v>
      </c>
      <c r="CZ9" t="s">
        <v>3590</v>
      </c>
      <c r="DA9" t="s">
        <v>3591</v>
      </c>
      <c r="DB9" t="s">
        <v>3589</v>
      </c>
      <c r="DC9" t="s">
        <v>363</v>
      </c>
      <c r="DD9" t="s">
        <v>282</v>
      </c>
      <c r="DE9" t="s">
        <v>3599</v>
      </c>
    </row>
    <row r="10" spans="1:109" ht="11.25" customHeight="1">
      <c r="A10" s="1314" t="s">
        <v>231</v>
      </c>
      <c r="B10" t="s">
        <v>231</v>
      </c>
      <c r="C10" t="s">
        <v>231</v>
      </c>
      <c r="D10" t="s">
        <v>231</v>
      </c>
      <c r="E10" t="s">
        <v>231</v>
      </c>
      <c r="F10" t="s">
        <v>231</v>
      </c>
      <c r="G10" t="s">
        <v>231</v>
      </c>
      <c r="H10" t="s">
        <v>231</v>
      </c>
      <c r="I10" t="s">
        <v>3521</v>
      </c>
      <c r="J10" t="s">
        <v>231</v>
      </c>
      <c r="K10" t="s">
        <v>231</v>
      </c>
      <c r="L10" t="s">
        <v>231</v>
      </c>
      <c r="M10" t="s">
        <v>231</v>
      </c>
      <c r="N10" t="s">
        <v>231</v>
      </c>
      <c r="O10" t="s">
        <v>231</v>
      </c>
      <c r="P10" t="s">
        <v>231</v>
      </c>
      <c r="Q10" t="s">
        <v>231</v>
      </c>
      <c r="R10" t="s">
        <v>3600</v>
      </c>
      <c r="S10" t="s">
        <v>231</v>
      </c>
      <c r="T10" t="s">
        <v>231</v>
      </c>
      <c r="U10" t="s">
        <v>101</v>
      </c>
      <c r="V10" t="s">
        <v>231</v>
      </c>
      <c r="W10" t="s">
        <v>231</v>
      </c>
      <c r="X10" t="s">
        <v>3523</v>
      </c>
      <c r="Y10" t="s">
        <v>231</v>
      </c>
      <c r="Z10" t="s">
        <v>160</v>
      </c>
      <c r="AA10" t="s">
        <v>151</v>
      </c>
      <c r="AB10" t="s">
        <v>151</v>
      </c>
      <c r="AC10" t="s">
        <v>343</v>
      </c>
      <c r="AD10" t="s">
        <v>343</v>
      </c>
      <c r="AE10" t="s">
        <v>344</v>
      </c>
      <c r="AF10" t="s">
        <v>3561</v>
      </c>
      <c r="AG10" t="s">
        <v>3562</v>
      </c>
      <c r="AH10" t="s">
        <v>3601</v>
      </c>
      <c r="AI10" t="s">
        <v>3602</v>
      </c>
      <c r="AJ10" t="s">
        <v>3603</v>
      </c>
      <c r="AK10" t="s">
        <v>3604</v>
      </c>
      <c r="AL10" t="s">
        <v>3566</v>
      </c>
      <c r="AM10" t="s">
        <v>3531</v>
      </c>
      <c r="AN10" t="s">
        <v>3605</v>
      </c>
      <c r="AO10" t="s">
        <v>3606</v>
      </c>
      <c r="AP10" t="s">
        <v>231</v>
      </c>
      <c r="AQ10" t="s">
        <v>231</v>
      </c>
      <c r="AR10" t="s">
        <v>231</v>
      </c>
      <c r="AS10" t="s">
        <v>231</v>
      </c>
      <c r="AT10" t="s">
        <v>231</v>
      </c>
      <c r="AU10" t="s">
        <v>231</v>
      </c>
      <c r="AV10" t="s">
        <v>231</v>
      </c>
      <c r="AW10" t="s">
        <v>231</v>
      </c>
      <c r="AX10" t="s">
        <v>231</v>
      </c>
      <c r="AY10" t="s">
        <v>231</v>
      </c>
      <c r="AZ10" t="s">
        <v>231</v>
      </c>
      <c r="BA10" t="s">
        <v>231</v>
      </c>
      <c r="BB10" t="s">
        <v>231</v>
      </c>
      <c r="BC10" t="s">
        <v>231</v>
      </c>
      <c r="BD10" t="s">
        <v>231</v>
      </c>
      <c r="BE10" t="s">
        <v>231</v>
      </c>
      <c r="BF10" t="s">
        <v>231</v>
      </c>
      <c r="BG10" t="s">
        <v>231</v>
      </c>
      <c r="BH10" t="s">
        <v>231</v>
      </c>
      <c r="BI10" t="s">
        <v>231</v>
      </c>
      <c r="BJ10" t="s">
        <v>231</v>
      </c>
      <c r="BK10" t="s">
        <v>231</v>
      </c>
      <c r="BL10" t="s">
        <v>231</v>
      </c>
      <c r="BM10" t="s">
        <v>231</v>
      </c>
      <c r="BN10" t="s">
        <v>231</v>
      </c>
      <c r="BO10" t="s">
        <v>231</v>
      </c>
      <c r="BP10" t="s">
        <v>231</v>
      </c>
      <c r="BQ10" t="s">
        <v>231</v>
      </c>
      <c r="BR10" t="s">
        <v>231</v>
      </c>
      <c r="BS10" t="s">
        <v>231</v>
      </c>
      <c r="BT10" t="s">
        <v>231</v>
      </c>
      <c r="BU10" t="s">
        <v>231</v>
      </c>
      <c r="BV10" t="s">
        <v>231</v>
      </c>
      <c r="BW10" t="s">
        <v>231</v>
      </c>
      <c r="BX10" t="s">
        <v>231</v>
      </c>
      <c r="BY10" t="s">
        <v>231</v>
      </c>
      <c r="BZ10" t="s">
        <v>231</v>
      </c>
      <c r="CA10" t="s">
        <v>231</v>
      </c>
      <c r="CB10" t="s">
        <v>231</v>
      </c>
      <c r="CC10" t="s">
        <v>231</v>
      </c>
      <c r="CD10" t="s">
        <v>231</v>
      </c>
      <c r="CE10" t="s">
        <v>231</v>
      </c>
      <c r="CF10" t="s">
        <v>231</v>
      </c>
      <c r="CG10" t="s">
        <v>231</v>
      </c>
      <c r="CH10" t="s">
        <v>231</v>
      </c>
      <c r="CI10" t="s">
        <v>231</v>
      </c>
      <c r="CJ10" t="s">
        <v>231</v>
      </c>
      <c r="CK10" t="s">
        <v>231</v>
      </c>
      <c r="CL10" t="s">
        <v>231</v>
      </c>
      <c r="CM10" t="s">
        <v>231</v>
      </c>
      <c r="CN10" t="s">
        <v>231</v>
      </c>
      <c r="CO10" t="s">
        <v>231</v>
      </c>
      <c r="CP10" t="s">
        <v>231</v>
      </c>
      <c r="CQ10" t="s">
        <v>231</v>
      </c>
      <c r="CR10" t="s">
        <v>231</v>
      </c>
      <c r="CS10" t="s">
        <v>231</v>
      </c>
      <c r="CT10" t="s">
        <v>3534</v>
      </c>
      <c r="CU10" t="s">
        <v>3535</v>
      </c>
      <c r="CV10" t="s">
        <v>3536</v>
      </c>
      <c r="CW10" t="s">
        <v>3569</v>
      </c>
      <c r="CX10" t="s">
        <v>3570</v>
      </c>
      <c r="CY10" t="s">
        <v>3536</v>
      </c>
      <c r="CZ10" t="s">
        <v>224</v>
      </c>
      <c r="DA10" t="s">
        <v>3571</v>
      </c>
      <c r="DB10" t="s">
        <v>3569</v>
      </c>
      <c r="DC10" t="s">
        <v>363</v>
      </c>
      <c r="DD10" t="s">
        <v>282</v>
      </c>
      <c r="DE10" t="s">
        <v>3607</v>
      </c>
    </row>
    <row r="11" spans="1:109" ht="11.25" customHeight="1">
      <c r="A11" s="1314" t="s">
        <v>231</v>
      </c>
      <c r="B11" t="s">
        <v>231</v>
      </c>
      <c r="C11" t="s">
        <v>231</v>
      </c>
      <c r="D11" t="s">
        <v>231</v>
      </c>
      <c r="E11" t="s">
        <v>231</v>
      </c>
      <c r="F11" t="s">
        <v>231</v>
      </c>
      <c r="G11" t="s">
        <v>231</v>
      </c>
      <c r="H11" t="s">
        <v>231</v>
      </c>
      <c r="I11" t="s">
        <v>3521</v>
      </c>
      <c r="J11" t="s">
        <v>231</v>
      </c>
      <c r="K11" t="s">
        <v>231</v>
      </c>
      <c r="L11" t="s">
        <v>231</v>
      </c>
      <c r="M11" t="s">
        <v>231</v>
      </c>
      <c r="N11" t="s">
        <v>231</v>
      </c>
      <c r="O11" t="s">
        <v>231</v>
      </c>
      <c r="P11" t="s">
        <v>231</v>
      </c>
      <c r="Q11" t="s">
        <v>231</v>
      </c>
      <c r="R11" t="s">
        <v>3608</v>
      </c>
      <c r="S11" t="s">
        <v>231</v>
      </c>
      <c r="T11" t="s">
        <v>231</v>
      </c>
      <c r="U11" t="s">
        <v>101</v>
      </c>
      <c r="V11" t="s">
        <v>231</v>
      </c>
      <c r="W11" t="s">
        <v>231</v>
      </c>
      <c r="X11" t="s">
        <v>3523</v>
      </c>
      <c r="Y11" t="s">
        <v>231</v>
      </c>
      <c r="Z11" t="s">
        <v>160</v>
      </c>
      <c r="AA11" t="s">
        <v>151</v>
      </c>
      <c r="AB11" t="s">
        <v>151</v>
      </c>
      <c r="AC11" t="s">
        <v>343</v>
      </c>
      <c r="AD11" t="s">
        <v>343</v>
      </c>
      <c r="AE11" t="s">
        <v>344</v>
      </c>
      <c r="AF11" t="s">
        <v>3561</v>
      </c>
      <c r="AG11" t="s">
        <v>3562</v>
      </c>
      <c r="AH11" t="s">
        <v>3609</v>
      </c>
      <c r="AI11" t="s">
        <v>3610</v>
      </c>
      <c r="AJ11" t="s">
        <v>3611</v>
      </c>
      <c r="AK11" t="s">
        <v>3612</v>
      </c>
      <c r="AL11" t="s">
        <v>3613</v>
      </c>
      <c r="AM11" t="s">
        <v>3531</v>
      </c>
      <c r="AN11" t="s">
        <v>3567</v>
      </c>
      <c r="AO11" t="s">
        <v>3568</v>
      </c>
      <c r="AP11" t="s">
        <v>231</v>
      </c>
      <c r="AQ11" t="s">
        <v>231</v>
      </c>
      <c r="AR11" t="s">
        <v>231</v>
      </c>
      <c r="AS11" t="s">
        <v>231</v>
      </c>
      <c r="AT11" t="s">
        <v>231</v>
      </c>
      <c r="AU11" t="s">
        <v>231</v>
      </c>
      <c r="AV11" t="s">
        <v>231</v>
      </c>
      <c r="AW11" t="s">
        <v>231</v>
      </c>
      <c r="AX11" t="s">
        <v>231</v>
      </c>
      <c r="AY11" t="s">
        <v>231</v>
      </c>
      <c r="AZ11" t="s">
        <v>231</v>
      </c>
      <c r="BA11" t="s">
        <v>231</v>
      </c>
      <c r="BB11" t="s">
        <v>231</v>
      </c>
      <c r="BC11" t="s">
        <v>231</v>
      </c>
      <c r="BD11" t="s">
        <v>231</v>
      </c>
      <c r="BE11" t="s">
        <v>231</v>
      </c>
      <c r="BF11" t="s">
        <v>231</v>
      </c>
      <c r="BG11" t="s">
        <v>231</v>
      </c>
      <c r="BH11" t="s">
        <v>231</v>
      </c>
      <c r="BI11" t="s">
        <v>231</v>
      </c>
      <c r="BJ11" t="s">
        <v>231</v>
      </c>
      <c r="BK11" t="s">
        <v>231</v>
      </c>
      <c r="BL11" t="s">
        <v>231</v>
      </c>
      <c r="BM11" t="s">
        <v>231</v>
      </c>
      <c r="BN11" t="s">
        <v>231</v>
      </c>
      <c r="BO11" t="s">
        <v>231</v>
      </c>
      <c r="BP11" t="s">
        <v>231</v>
      </c>
      <c r="BQ11" t="s">
        <v>231</v>
      </c>
      <c r="BR11" t="s">
        <v>231</v>
      </c>
      <c r="BS11" t="s">
        <v>231</v>
      </c>
      <c r="BT11" t="s">
        <v>231</v>
      </c>
      <c r="BU11" t="s">
        <v>231</v>
      </c>
      <c r="BV11" t="s">
        <v>231</v>
      </c>
      <c r="BW11" t="s">
        <v>231</v>
      </c>
      <c r="BX11" t="s">
        <v>231</v>
      </c>
      <c r="BY11" t="s">
        <v>231</v>
      </c>
      <c r="BZ11" t="s">
        <v>231</v>
      </c>
      <c r="CA11" t="s">
        <v>231</v>
      </c>
      <c r="CB11" t="s">
        <v>231</v>
      </c>
      <c r="CC11" t="s">
        <v>231</v>
      </c>
      <c r="CD11" t="s">
        <v>231</v>
      </c>
      <c r="CE11" t="s">
        <v>231</v>
      </c>
      <c r="CF11" t="s">
        <v>231</v>
      </c>
      <c r="CG11" t="s">
        <v>231</v>
      </c>
      <c r="CH11" t="s">
        <v>231</v>
      </c>
      <c r="CI11" t="s">
        <v>231</v>
      </c>
      <c r="CJ11" t="s">
        <v>231</v>
      </c>
      <c r="CK11" t="s">
        <v>231</v>
      </c>
      <c r="CL11" t="s">
        <v>231</v>
      </c>
      <c r="CM11" t="s">
        <v>231</v>
      </c>
      <c r="CN11" t="s">
        <v>231</v>
      </c>
      <c r="CO11" t="s">
        <v>231</v>
      </c>
      <c r="CP11" t="s">
        <v>231</v>
      </c>
      <c r="CQ11" t="s">
        <v>231</v>
      </c>
      <c r="CR11" t="s">
        <v>231</v>
      </c>
      <c r="CS11" t="s">
        <v>231</v>
      </c>
      <c r="CT11" t="s">
        <v>3534</v>
      </c>
      <c r="CU11" t="s">
        <v>3535</v>
      </c>
      <c r="CV11" t="s">
        <v>3536</v>
      </c>
      <c r="CW11" t="s">
        <v>3569</v>
      </c>
      <c r="CX11" t="s">
        <v>3570</v>
      </c>
      <c r="CY11" t="s">
        <v>3536</v>
      </c>
      <c r="CZ11" t="s">
        <v>224</v>
      </c>
      <c r="DA11" t="s">
        <v>3571</v>
      </c>
      <c r="DB11" t="s">
        <v>3569</v>
      </c>
      <c r="DC11" t="s">
        <v>363</v>
      </c>
      <c r="DD11" t="s">
        <v>282</v>
      </c>
      <c r="DE11" t="s">
        <v>3614</v>
      </c>
    </row>
    <row r="12" spans="1:109" ht="11.25" customHeight="1">
      <c r="A12" s="1314" t="s">
        <v>231</v>
      </c>
      <c r="B12" t="s">
        <v>231</v>
      </c>
      <c r="C12" t="s">
        <v>231</v>
      </c>
      <c r="D12" t="s">
        <v>231</v>
      </c>
      <c r="E12" t="s">
        <v>231</v>
      </c>
      <c r="F12" t="s">
        <v>231</v>
      </c>
      <c r="G12" t="s">
        <v>231</v>
      </c>
      <c r="H12" t="s">
        <v>231</v>
      </c>
      <c r="I12" t="s">
        <v>3521</v>
      </c>
      <c r="J12" t="s">
        <v>231</v>
      </c>
      <c r="K12" t="s">
        <v>231</v>
      </c>
      <c r="L12" t="s">
        <v>231</v>
      </c>
      <c r="M12" t="s">
        <v>231</v>
      </c>
      <c r="N12" t="s">
        <v>231</v>
      </c>
      <c r="O12" t="s">
        <v>231</v>
      </c>
      <c r="P12" t="s">
        <v>231</v>
      </c>
      <c r="Q12" t="s">
        <v>231</v>
      </c>
      <c r="R12" t="s">
        <v>3615</v>
      </c>
      <c r="S12" t="s">
        <v>231</v>
      </c>
      <c r="T12" t="s">
        <v>231</v>
      </c>
      <c r="U12" t="s">
        <v>101</v>
      </c>
      <c r="V12" t="s">
        <v>231</v>
      </c>
      <c r="W12" t="s">
        <v>231</v>
      </c>
      <c r="X12" t="s">
        <v>3523</v>
      </c>
      <c r="Y12" t="s">
        <v>231</v>
      </c>
      <c r="Z12" t="s">
        <v>160</v>
      </c>
      <c r="AA12" t="s">
        <v>151</v>
      </c>
      <c r="AB12" t="s">
        <v>151</v>
      </c>
      <c r="AC12" t="s">
        <v>2287</v>
      </c>
      <c r="AD12" t="s">
        <v>2287</v>
      </c>
      <c r="AE12" t="s">
        <v>2288</v>
      </c>
      <c r="AF12" t="s">
        <v>3616</v>
      </c>
      <c r="AG12" t="s">
        <v>3617</v>
      </c>
      <c r="AH12" t="s">
        <v>3618</v>
      </c>
      <c r="AI12" t="s">
        <v>3618</v>
      </c>
      <c r="AJ12" t="s">
        <v>3619</v>
      </c>
      <c r="AK12" t="s">
        <v>3620</v>
      </c>
      <c r="AL12" t="s">
        <v>3548</v>
      </c>
      <c r="AM12" t="s">
        <v>3531</v>
      </c>
      <c r="AN12" t="s">
        <v>3621</v>
      </c>
      <c r="AO12" t="s">
        <v>3622</v>
      </c>
      <c r="AP12" t="s">
        <v>231</v>
      </c>
      <c r="AQ12" t="s">
        <v>231</v>
      </c>
      <c r="AR12" t="s">
        <v>231</v>
      </c>
      <c r="AS12" t="s">
        <v>231</v>
      </c>
      <c r="AT12" t="s">
        <v>231</v>
      </c>
      <c r="AU12" t="s">
        <v>231</v>
      </c>
      <c r="AV12" t="s">
        <v>231</v>
      </c>
      <c r="AW12" t="s">
        <v>231</v>
      </c>
      <c r="AX12" t="s">
        <v>231</v>
      </c>
      <c r="AY12" t="s">
        <v>231</v>
      </c>
      <c r="AZ12" t="s">
        <v>231</v>
      </c>
      <c r="BA12" t="s">
        <v>231</v>
      </c>
      <c r="BB12" t="s">
        <v>231</v>
      </c>
      <c r="BC12" t="s">
        <v>231</v>
      </c>
      <c r="BD12" t="s">
        <v>231</v>
      </c>
      <c r="BE12" t="s">
        <v>231</v>
      </c>
      <c r="BF12" t="s">
        <v>231</v>
      </c>
      <c r="BG12" t="s">
        <v>231</v>
      </c>
      <c r="BH12" t="s">
        <v>231</v>
      </c>
      <c r="BI12" t="s">
        <v>231</v>
      </c>
      <c r="BJ12" t="s">
        <v>231</v>
      </c>
      <c r="BK12" t="s">
        <v>231</v>
      </c>
      <c r="BL12" t="s">
        <v>231</v>
      </c>
      <c r="BM12" t="s">
        <v>231</v>
      </c>
      <c r="BN12" t="s">
        <v>231</v>
      </c>
      <c r="BO12" t="s">
        <v>231</v>
      </c>
      <c r="BP12" t="s">
        <v>231</v>
      </c>
      <c r="BQ12" t="s">
        <v>231</v>
      </c>
      <c r="BR12" t="s">
        <v>231</v>
      </c>
      <c r="BS12" t="s">
        <v>231</v>
      </c>
      <c r="BT12" t="s">
        <v>231</v>
      </c>
      <c r="BU12" t="s">
        <v>231</v>
      </c>
      <c r="BV12" t="s">
        <v>231</v>
      </c>
      <c r="BW12" t="s">
        <v>231</v>
      </c>
      <c r="BX12" t="s">
        <v>231</v>
      </c>
      <c r="BY12" t="s">
        <v>231</v>
      </c>
      <c r="BZ12" t="s">
        <v>231</v>
      </c>
      <c r="CA12" t="s">
        <v>231</v>
      </c>
      <c r="CB12" t="s">
        <v>231</v>
      </c>
      <c r="CC12" t="s">
        <v>231</v>
      </c>
      <c r="CD12" t="s">
        <v>231</v>
      </c>
      <c r="CE12" t="s">
        <v>231</v>
      </c>
      <c r="CF12" t="s">
        <v>231</v>
      </c>
      <c r="CG12" t="s">
        <v>231</v>
      </c>
      <c r="CH12" t="s">
        <v>231</v>
      </c>
      <c r="CI12" t="s">
        <v>231</v>
      </c>
      <c r="CJ12" t="s">
        <v>231</v>
      </c>
      <c r="CK12" t="s">
        <v>231</v>
      </c>
      <c r="CL12" t="s">
        <v>231</v>
      </c>
      <c r="CM12" t="s">
        <v>231</v>
      </c>
      <c r="CN12" t="s">
        <v>231</v>
      </c>
      <c r="CO12" t="s">
        <v>231</v>
      </c>
      <c r="CP12" t="s">
        <v>231</v>
      </c>
      <c r="CQ12" t="s">
        <v>231</v>
      </c>
      <c r="CR12" t="s">
        <v>231</v>
      </c>
      <c r="CS12" t="s">
        <v>231</v>
      </c>
      <c r="CT12" t="s">
        <v>3534</v>
      </c>
      <c r="CU12" t="s">
        <v>3535</v>
      </c>
      <c r="CV12" t="s">
        <v>3536</v>
      </c>
      <c r="CW12" t="s">
        <v>3623</v>
      </c>
      <c r="CX12" t="s">
        <v>223</v>
      </c>
      <c r="CY12" t="s">
        <v>3536</v>
      </c>
      <c r="CZ12" t="s">
        <v>3624</v>
      </c>
      <c r="DA12" t="s">
        <v>3625</v>
      </c>
      <c r="DB12" t="s">
        <v>3623</v>
      </c>
      <c r="DC12" t="s">
        <v>363</v>
      </c>
      <c r="DD12" t="s">
        <v>282</v>
      </c>
      <c r="DE12" t="s">
        <v>3626</v>
      </c>
    </row>
    <row r="13" spans="1:109" ht="11.25" customHeight="1">
      <c r="A13" s="1314" t="s">
        <v>231</v>
      </c>
      <c r="B13" t="s">
        <v>231</v>
      </c>
      <c r="C13" t="s">
        <v>231</v>
      </c>
      <c r="D13" t="s">
        <v>231</v>
      </c>
      <c r="E13" t="s">
        <v>231</v>
      </c>
      <c r="F13" t="s">
        <v>231</v>
      </c>
      <c r="G13" t="s">
        <v>231</v>
      </c>
      <c r="H13" t="s">
        <v>231</v>
      </c>
      <c r="I13" t="s">
        <v>3521</v>
      </c>
      <c r="J13" t="s">
        <v>231</v>
      </c>
      <c r="K13" t="s">
        <v>231</v>
      </c>
      <c r="L13" t="s">
        <v>231</v>
      </c>
      <c r="M13" t="s">
        <v>231</v>
      </c>
      <c r="N13" t="s">
        <v>231</v>
      </c>
      <c r="O13" t="s">
        <v>231</v>
      </c>
      <c r="P13" t="s">
        <v>231</v>
      </c>
      <c r="Q13" t="s">
        <v>231</v>
      </c>
      <c r="R13" t="s">
        <v>3627</v>
      </c>
      <c r="S13" t="s">
        <v>231</v>
      </c>
      <c r="T13" t="s">
        <v>231</v>
      </c>
      <c r="U13" t="s">
        <v>101</v>
      </c>
      <c r="V13" t="s">
        <v>231</v>
      </c>
      <c r="W13" t="s">
        <v>231</v>
      </c>
      <c r="X13" t="s">
        <v>3628</v>
      </c>
      <c r="Y13" t="s">
        <v>231</v>
      </c>
      <c r="Z13" t="s">
        <v>151</v>
      </c>
      <c r="AA13" t="s">
        <v>151</v>
      </c>
      <c r="AB13" t="s">
        <v>160</v>
      </c>
      <c r="AC13" t="s">
        <v>343</v>
      </c>
      <c r="AD13" t="s">
        <v>343</v>
      </c>
      <c r="AE13" t="s">
        <v>344</v>
      </c>
      <c r="AF13" t="s">
        <v>3561</v>
      </c>
      <c r="AG13" t="s">
        <v>3562</v>
      </c>
      <c r="AH13" t="s">
        <v>3629</v>
      </c>
      <c r="AI13" t="s">
        <v>3575</v>
      </c>
      <c r="AJ13" t="s">
        <v>231</v>
      </c>
      <c r="AK13" t="s">
        <v>231</v>
      </c>
      <c r="AL13" t="s">
        <v>231</v>
      </c>
      <c r="AM13" t="s">
        <v>231</v>
      </c>
      <c r="AN13" t="s">
        <v>231</v>
      </c>
      <c r="AO13" t="s">
        <v>231</v>
      </c>
      <c r="AP13" t="s">
        <v>231</v>
      </c>
      <c r="AQ13" t="s">
        <v>231</v>
      </c>
      <c r="AR13" t="s">
        <v>231</v>
      </c>
      <c r="AS13" t="s">
        <v>231</v>
      </c>
      <c r="AT13" t="s">
        <v>231</v>
      </c>
      <c r="AU13" t="s">
        <v>231</v>
      </c>
      <c r="AV13" t="s">
        <v>231</v>
      </c>
      <c r="AW13" t="s">
        <v>231</v>
      </c>
      <c r="AX13" t="s">
        <v>231</v>
      </c>
      <c r="AY13" t="s">
        <v>231</v>
      </c>
      <c r="AZ13" t="s">
        <v>231</v>
      </c>
      <c r="BA13" t="s">
        <v>231</v>
      </c>
      <c r="BB13" t="s">
        <v>231</v>
      </c>
      <c r="BC13" t="s">
        <v>231</v>
      </c>
      <c r="BD13" t="s">
        <v>231</v>
      </c>
      <c r="BE13" t="s">
        <v>3630</v>
      </c>
      <c r="BF13" t="s">
        <v>3631</v>
      </c>
      <c r="BG13" t="s">
        <v>111</v>
      </c>
      <c r="BH13" t="s">
        <v>3632</v>
      </c>
      <c r="BI13" t="s">
        <v>122</v>
      </c>
      <c r="BJ13" t="s">
        <v>231</v>
      </c>
      <c r="BK13" t="s">
        <v>3633</v>
      </c>
      <c r="BL13" t="s">
        <v>343</v>
      </c>
      <c r="BM13" t="s">
        <v>343</v>
      </c>
      <c r="BN13" t="s">
        <v>3634</v>
      </c>
      <c r="BO13" t="s">
        <v>3561</v>
      </c>
      <c r="BP13" t="s">
        <v>3635</v>
      </c>
      <c r="BQ13" t="s">
        <v>3636</v>
      </c>
      <c r="BR13" t="s">
        <v>3575</v>
      </c>
      <c r="BS13" t="s">
        <v>231</v>
      </c>
      <c r="BT13" t="s">
        <v>3637</v>
      </c>
      <c r="BU13" t="s">
        <v>3638</v>
      </c>
      <c r="BV13" t="s">
        <v>3639</v>
      </c>
      <c r="BW13" t="s">
        <v>3640</v>
      </c>
      <c r="BX13" t="s">
        <v>3641</v>
      </c>
      <c r="BY13" t="s">
        <v>3641</v>
      </c>
      <c r="BZ13" t="s">
        <v>3641</v>
      </c>
      <c r="CA13" t="s">
        <v>3641</v>
      </c>
      <c r="CB13" t="s">
        <v>3641</v>
      </c>
      <c r="CC13" t="s">
        <v>3641</v>
      </c>
      <c r="CD13" t="s">
        <v>3641</v>
      </c>
      <c r="CE13" t="s">
        <v>3641</v>
      </c>
      <c r="CF13" t="s">
        <v>3641</v>
      </c>
      <c r="CG13" t="s">
        <v>3641</v>
      </c>
      <c r="CH13" t="s">
        <v>3641</v>
      </c>
      <c r="CI13" t="s">
        <v>3641</v>
      </c>
      <c r="CJ13" t="s">
        <v>3641</v>
      </c>
      <c r="CK13" t="s">
        <v>3641</v>
      </c>
      <c r="CL13" t="s">
        <v>3641</v>
      </c>
      <c r="CM13" t="s">
        <v>3638</v>
      </c>
      <c r="CN13" t="s">
        <v>3639</v>
      </c>
      <c r="CO13" t="s">
        <v>3640</v>
      </c>
      <c r="CP13" t="s">
        <v>3641</v>
      </c>
      <c r="CQ13" t="s">
        <v>3641</v>
      </c>
      <c r="CR13" t="s">
        <v>3641</v>
      </c>
      <c r="CS13" t="s">
        <v>3642</v>
      </c>
      <c r="CT13" t="s">
        <v>3534</v>
      </c>
      <c r="CU13" t="s">
        <v>3535</v>
      </c>
      <c r="CV13" t="s">
        <v>3536</v>
      </c>
      <c r="CW13" t="s">
        <v>3643</v>
      </c>
      <c r="CX13" t="s">
        <v>3570</v>
      </c>
      <c r="CY13" t="s">
        <v>3536</v>
      </c>
      <c r="CZ13" t="s">
        <v>224</v>
      </c>
      <c r="DA13" t="s">
        <v>3571</v>
      </c>
      <c r="DB13" t="s">
        <v>3643</v>
      </c>
      <c r="DC13" t="s">
        <v>363</v>
      </c>
      <c r="DD13" t="s">
        <v>282</v>
      </c>
      <c r="DE13" t="s">
        <v>3644</v>
      </c>
    </row>
    <row r="14" spans="1:109" ht="11.25" customHeight="1">
      <c r="A14" s="1314" t="s">
        <v>231</v>
      </c>
      <c r="B14" t="s">
        <v>231</v>
      </c>
      <c r="C14" t="s">
        <v>231</v>
      </c>
      <c r="D14" t="s">
        <v>231</v>
      </c>
      <c r="E14" t="s">
        <v>231</v>
      </c>
      <c r="F14" t="s">
        <v>231</v>
      </c>
      <c r="G14" t="s">
        <v>231</v>
      </c>
      <c r="H14" t="s">
        <v>231</v>
      </c>
      <c r="I14" t="s">
        <v>3521</v>
      </c>
      <c r="J14" t="s">
        <v>231</v>
      </c>
      <c r="K14" t="s">
        <v>231</v>
      </c>
      <c r="L14" t="s">
        <v>231</v>
      </c>
      <c r="M14" t="s">
        <v>231</v>
      </c>
      <c r="N14" t="s">
        <v>231</v>
      </c>
      <c r="O14" t="s">
        <v>231</v>
      </c>
      <c r="P14" t="s">
        <v>231</v>
      </c>
      <c r="Q14" t="s">
        <v>231</v>
      </c>
      <c r="R14" t="s">
        <v>3645</v>
      </c>
      <c r="S14" t="s">
        <v>231</v>
      </c>
      <c r="T14" t="s">
        <v>231</v>
      </c>
      <c r="U14" t="s">
        <v>101</v>
      </c>
      <c r="V14" t="s">
        <v>231</v>
      </c>
      <c r="W14" t="s">
        <v>231</v>
      </c>
      <c r="X14" t="s">
        <v>3523</v>
      </c>
      <c r="Y14" t="s">
        <v>231</v>
      </c>
      <c r="Z14" t="s">
        <v>160</v>
      </c>
      <c r="AA14" t="s">
        <v>151</v>
      </c>
      <c r="AB14" t="s">
        <v>151</v>
      </c>
      <c r="AC14" t="s">
        <v>343</v>
      </c>
      <c r="AD14" t="s">
        <v>343</v>
      </c>
      <c r="AE14" t="s">
        <v>344</v>
      </c>
      <c r="AF14" t="s">
        <v>3561</v>
      </c>
      <c r="AG14" t="s">
        <v>3562</v>
      </c>
      <c r="AH14" t="s">
        <v>3636</v>
      </c>
      <c r="AI14" t="s">
        <v>3575</v>
      </c>
      <c r="AJ14" t="s">
        <v>3646</v>
      </c>
      <c r="AK14" t="s">
        <v>3647</v>
      </c>
      <c r="AL14" t="s">
        <v>3648</v>
      </c>
      <c r="AM14" t="s">
        <v>3531</v>
      </c>
      <c r="AN14" t="s">
        <v>3621</v>
      </c>
      <c r="AO14" t="s">
        <v>3649</v>
      </c>
      <c r="AP14" t="s">
        <v>231</v>
      </c>
      <c r="AQ14" t="s">
        <v>231</v>
      </c>
      <c r="AR14" t="s">
        <v>231</v>
      </c>
      <c r="AS14" t="s">
        <v>231</v>
      </c>
      <c r="AT14" t="s">
        <v>231</v>
      </c>
      <c r="AU14" t="s">
        <v>231</v>
      </c>
      <c r="AV14" t="s">
        <v>231</v>
      </c>
      <c r="AW14" t="s">
        <v>231</v>
      </c>
      <c r="AX14" t="s">
        <v>231</v>
      </c>
      <c r="AY14" t="s">
        <v>231</v>
      </c>
      <c r="AZ14" t="s">
        <v>231</v>
      </c>
      <c r="BA14" t="s">
        <v>231</v>
      </c>
      <c r="BB14" t="s">
        <v>231</v>
      </c>
      <c r="BC14" t="s">
        <v>231</v>
      </c>
      <c r="BD14" t="s">
        <v>231</v>
      </c>
      <c r="BE14" t="s">
        <v>231</v>
      </c>
      <c r="BF14" t="s">
        <v>231</v>
      </c>
      <c r="BG14" t="s">
        <v>231</v>
      </c>
      <c r="BH14" t="s">
        <v>231</v>
      </c>
      <c r="BI14" t="s">
        <v>231</v>
      </c>
      <c r="BJ14" t="s">
        <v>231</v>
      </c>
      <c r="BK14" t="s">
        <v>231</v>
      </c>
      <c r="BL14" t="s">
        <v>231</v>
      </c>
      <c r="BM14" t="s">
        <v>231</v>
      </c>
      <c r="BN14" t="s">
        <v>231</v>
      </c>
      <c r="BO14" t="s">
        <v>231</v>
      </c>
      <c r="BP14" t="s">
        <v>231</v>
      </c>
      <c r="BQ14" t="s">
        <v>231</v>
      </c>
      <c r="BR14" t="s">
        <v>231</v>
      </c>
      <c r="BS14" t="s">
        <v>231</v>
      </c>
      <c r="BT14" t="s">
        <v>231</v>
      </c>
      <c r="BU14" t="s">
        <v>231</v>
      </c>
      <c r="BV14" t="s">
        <v>231</v>
      </c>
      <c r="BW14" t="s">
        <v>231</v>
      </c>
      <c r="BX14" t="s">
        <v>231</v>
      </c>
      <c r="BY14" t="s">
        <v>231</v>
      </c>
      <c r="BZ14" t="s">
        <v>231</v>
      </c>
      <c r="CA14" t="s">
        <v>231</v>
      </c>
      <c r="CB14" t="s">
        <v>231</v>
      </c>
      <c r="CC14" t="s">
        <v>231</v>
      </c>
      <c r="CD14" t="s">
        <v>231</v>
      </c>
      <c r="CE14" t="s">
        <v>231</v>
      </c>
      <c r="CF14" t="s">
        <v>231</v>
      </c>
      <c r="CG14" t="s">
        <v>231</v>
      </c>
      <c r="CH14" t="s">
        <v>231</v>
      </c>
      <c r="CI14" t="s">
        <v>231</v>
      </c>
      <c r="CJ14" t="s">
        <v>231</v>
      </c>
      <c r="CK14" t="s">
        <v>231</v>
      </c>
      <c r="CL14" t="s">
        <v>231</v>
      </c>
      <c r="CM14" t="s">
        <v>231</v>
      </c>
      <c r="CN14" t="s">
        <v>231</v>
      </c>
      <c r="CO14" t="s">
        <v>231</v>
      </c>
      <c r="CP14" t="s">
        <v>231</v>
      </c>
      <c r="CQ14" t="s">
        <v>231</v>
      </c>
      <c r="CR14" t="s">
        <v>231</v>
      </c>
      <c r="CS14" t="s">
        <v>231</v>
      </c>
      <c r="CT14" t="s">
        <v>3534</v>
      </c>
      <c r="CU14" t="s">
        <v>3535</v>
      </c>
      <c r="CV14" t="s">
        <v>3536</v>
      </c>
      <c r="CW14" t="s">
        <v>3569</v>
      </c>
      <c r="CX14" t="s">
        <v>3570</v>
      </c>
      <c r="CY14" t="s">
        <v>3536</v>
      </c>
      <c r="CZ14" t="s">
        <v>224</v>
      </c>
      <c r="DA14" t="s">
        <v>3571</v>
      </c>
      <c r="DB14" t="s">
        <v>3569</v>
      </c>
      <c r="DC14" t="s">
        <v>363</v>
      </c>
      <c r="DD14" t="s">
        <v>282</v>
      </c>
      <c r="DE14" t="s">
        <v>3650</v>
      </c>
    </row>
    <row r="15" spans="1:109" ht="11.25" customHeight="1">
      <c r="A15" s="1314" t="s">
        <v>231</v>
      </c>
      <c r="B15" t="s">
        <v>231</v>
      </c>
      <c r="C15" t="s">
        <v>231</v>
      </c>
      <c r="D15" t="s">
        <v>231</v>
      </c>
      <c r="E15" t="s">
        <v>231</v>
      </c>
      <c r="F15" t="s">
        <v>231</v>
      </c>
      <c r="G15" t="s">
        <v>231</v>
      </c>
      <c r="H15" t="s">
        <v>231</v>
      </c>
      <c r="I15" t="s">
        <v>3521</v>
      </c>
      <c r="J15" t="s">
        <v>231</v>
      </c>
      <c r="K15" t="s">
        <v>231</v>
      </c>
      <c r="L15" t="s">
        <v>231</v>
      </c>
      <c r="M15" t="s">
        <v>231</v>
      </c>
      <c r="N15" t="s">
        <v>231</v>
      </c>
      <c r="O15" t="s">
        <v>231</v>
      </c>
      <c r="P15" t="s">
        <v>231</v>
      </c>
      <c r="Q15" t="s">
        <v>231</v>
      </c>
      <c r="R15" t="s">
        <v>3651</v>
      </c>
      <c r="S15" t="s">
        <v>231</v>
      </c>
      <c r="T15" t="s">
        <v>231</v>
      </c>
      <c r="U15" t="s">
        <v>101</v>
      </c>
      <c r="V15" t="s">
        <v>231</v>
      </c>
      <c r="W15" t="s">
        <v>231</v>
      </c>
      <c r="X15" t="s">
        <v>3523</v>
      </c>
      <c r="Y15" t="s">
        <v>231</v>
      </c>
      <c r="Z15" t="s">
        <v>160</v>
      </c>
      <c r="AA15" t="s">
        <v>151</v>
      </c>
      <c r="AB15" t="s">
        <v>151</v>
      </c>
      <c r="AC15" t="s">
        <v>2283</v>
      </c>
      <c r="AD15" t="s">
        <v>2283</v>
      </c>
      <c r="AE15" t="s">
        <v>2284</v>
      </c>
      <c r="AF15" t="s">
        <v>3652</v>
      </c>
      <c r="AG15" t="s">
        <v>3653</v>
      </c>
      <c r="AH15" t="s">
        <v>3654</v>
      </c>
      <c r="AI15" t="s">
        <v>3655</v>
      </c>
      <c r="AJ15" t="s">
        <v>3546</v>
      </c>
      <c r="AK15" t="s">
        <v>3547</v>
      </c>
      <c r="AL15" t="s">
        <v>3648</v>
      </c>
      <c r="AM15" t="s">
        <v>3531</v>
      </c>
      <c r="AN15" t="s">
        <v>3549</v>
      </c>
      <c r="AO15" t="s">
        <v>3656</v>
      </c>
      <c r="AP15" t="s">
        <v>231</v>
      </c>
      <c r="AQ15" t="s">
        <v>231</v>
      </c>
      <c r="AR15" t="s">
        <v>231</v>
      </c>
      <c r="AS15" t="s">
        <v>231</v>
      </c>
      <c r="AT15" t="s">
        <v>231</v>
      </c>
      <c r="AU15" t="s">
        <v>231</v>
      </c>
      <c r="AV15" t="s">
        <v>231</v>
      </c>
      <c r="AW15" t="s">
        <v>231</v>
      </c>
      <c r="AX15" t="s">
        <v>231</v>
      </c>
      <c r="AY15" t="s">
        <v>231</v>
      </c>
      <c r="AZ15" t="s">
        <v>231</v>
      </c>
      <c r="BA15" t="s">
        <v>231</v>
      </c>
      <c r="BB15" t="s">
        <v>231</v>
      </c>
      <c r="BC15" t="s">
        <v>231</v>
      </c>
      <c r="BD15" t="s">
        <v>231</v>
      </c>
      <c r="BE15" t="s">
        <v>231</v>
      </c>
      <c r="BF15" t="s">
        <v>231</v>
      </c>
      <c r="BG15" t="s">
        <v>231</v>
      </c>
      <c r="BH15" t="s">
        <v>231</v>
      </c>
      <c r="BI15" t="s">
        <v>231</v>
      </c>
      <c r="BJ15" t="s">
        <v>231</v>
      </c>
      <c r="BK15" t="s">
        <v>231</v>
      </c>
      <c r="BL15" t="s">
        <v>231</v>
      </c>
      <c r="BM15" t="s">
        <v>231</v>
      </c>
      <c r="BN15" t="s">
        <v>231</v>
      </c>
      <c r="BO15" t="s">
        <v>231</v>
      </c>
      <c r="BP15" t="s">
        <v>231</v>
      </c>
      <c r="BQ15" t="s">
        <v>231</v>
      </c>
      <c r="BR15" t="s">
        <v>231</v>
      </c>
      <c r="BS15" t="s">
        <v>231</v>
      </c>
      <c r="BT15" t="s">
        <v>231</v>
      </c>
      <c r="BU15" t="s">
        <v>231</v>
      </c>
      <c r="BV15" t="s">
        <v>231</v>
      </c>
      <c r="BW15" t="s">
        <v>231</v>
      </c>
      <c r="BX15" t="s">
        <v>231</v>
      </c>
      <c r="BY15" t="s">
        <v>231</v>
      </c>
      <c r="BZ15" t="s">
        <v>231</v>
      </c>
      <c r="CA15" t="s">
        <v>231</v>
      </c>
      <c r="CB15" t="s">
        <v>231</v>
      </c>
      <c r="CC15" t="s">
        <v>231</v>
      </c>
      <c r="CD15" t="s">
        <v>231</v>
      </c>
      <c r="CE15" t="s">
        <v>231</v>
      </c>
      <c r="CF15" t="s">
        <v>231</v>
      </c>
      <c r="CG15" t="s">
        <v>231</v>
      </c>
      <c r="CH15" t="s">
        <v>231</v>
      </c>
      <c r="CI15" t="s">
        <v>231</v>
      </c>
      <c r="CJ15" t="s">
        <v>231</v>
      </c>
      <c r="CK15" t="s">
        <v>231</v>
      </c>
      <c r="CL15" t="s">
        <v>231</v>
      </c>
      <c r="CM15" t="s">
        <v>231</v>
      </c>
      <c r="CN15" t="s">
        <v>231</v>
      </c>
      <c r="CO15" t="s">
        <v>231</v>
      </c>
      <c r="CP15" t="s">
        <v>231</v>
      </c>
      <c r="CQ15" t="s">
        <v>231</v>
      </c>
      <c r="CR15" t="s">
        <v>231</v>
      </c>
      <c r="CS15" t="s">
        <v>231</v>
      </c>
      <c r="CT15" t="s">
        <v>3534</v>
      </c>
      <c r="CU15" t="s">
        <v>3535</v>
      </c>
      <c r="CV15" t="s">
        <v>3536</v>
      </c>
      <c r="CW15" t="s">
        <v>3551</v>
      </c>
      <c r="CX15" t="s">
        <v>223</v>
      </c>
      <c r="CY15" t="s">
        <v>3536</v>
      </c>
      <c r="CZ15" t="s">
        <v>3552</v>
      </c>
      <c r="DA15" t="s">
        <v>3553</v>
      </c>
      <c r="DB15" t="s">
        <v>3551</v>
      </c>
      <c r="DC15" t="s">
        <v>363</v>
      </c>
      <c r="DD15" t="s">
        <v>282</v>
      </c>
      <c r="DE15" t="s">
        <v>3657</v>
      </c>
    </row>
    <row r="16" spans="1:109" ht="11.25" customHeight="1">
      <c r="A16" s="1314" t="s">
        <v>231</v>
      </c>
      <c r="B16" t="s">
        <v>231</v>
      </c>
      <c r="C16" t="s">
        <v>231</v>
      </c>
      <c r="D16" t="s">
        <v>231</v>
      </c>
      <c r="E16" t="s">
        <v>231</v>
      </c>
      <c r="F16" t="s">
        <v>231</v>
      </c>
      <c r="G16" t="s">
        <v>231</v>
      </c>
      <c r="H16" t="s">
        <v>231</v>
      </c>
      <c r="I16" t="s">
        <v>3521</v>
      </c>
      <c r="J16" t="s">
        <v>231</v>
      </c>
      <c r="K16" t="s">
        <v>231</v>
      </c>
      <c r="L16" t="s">
        <v>231</v>
      </c>
      <c r="M16" t="s">
        <v>231</v>
      </c>
      <c r="N16" t="s">
        <v>231</v>
      </c>
      <c r="O16" t="s">
        <v>231</v>
      </c>
      <c r="P16" t="s">
        <v>231</v>
      </c>
      <c r="Q16" t="s">
        <v>231</v>
      </c>
      <c r="R16" t="s">
        <v>3651</v>
      </c>
      <c r="S16" t="s">
        <v>231</v>
      </c>
      <c r="T16" t="s">
        <v>231</v>
      </c>
      <c r="U16" t="s">
        <v>101</v>
      </c>
      <c r="V16" t="s">
        <v>231</v>
      </c>
      <c r="W16" t="s">
        <v>231</v>
      </c>
      <c r="X16" t="s">
        <v>3523</v>
      </c>
      <c r="Y16" t="s">
        <v>231</v>
      </c>
      <c r="Z16" t="s">
        <v>160</v>
      </c>
      <c r="AA16" t="s">
        <v>151</v>
      </c>
      <c r="AB16" t="s">
        <v>151</v>
      </c>
      <c r="AC16" t="s">
        <v>2283</v>
      </c>
      <c r="AD16" t="s">
        <v>2283</v>
      </c>
      <c r="AE16" t="s">
        <v>2284</v>
      </c>
      <c r="AF16" t="s">
        <v>3658</v>
      </c>
      <c r="AG16" t="s">
        <v>3659</v>
      </c>
      <c r="AH16" t="s">
        <v>3660</v>
      </c>
      <c r="AI16" t="s">
        <v>3661</v>
      </c>
      <c r="AJ16" t="s">
        <v>3546</v>
      </c>
      <c r="AK16" t="s">
        <v>3594</v>
      </c>
      <c r="AL16" t="s">
        <v>3648</v>
      </c>
      <c r="AM16" t="s">
        <v>3531</v>
      </c>
      <c r="AN16" t="s">
        <v>3549</v>
      </c>
      <c r="AO16" t="s">
        <v>3662</v>
      </c>
      <c r="AP16" t="s">
        <v>231</v>
      </c>
      <c r="AQ16" t="s">
        <v>231</v>
      </c>
      <c r="AR16" t="s">
        <v>231</v>
      </c>
      <c r="AS16" t="s">
        <v>231</v>
      </c>
      <c r="AT16" t="s">
        <v>231</v>
      </c>
      <c r="AU16" t="s">
        <v>231</v>
      </c>
      <c r="AV16" t="s">
        <v>231</v>
      </c>
      <c r="AW16" t="s">
        <v>231</v>
      </c>
      <c r="AX16" t="s">
        <v>231</v>
      </c>
      <c r="AY16" t="s">
        <v>231</v>
      </c>
      <c r="AZ16" t="s">
        <v>231</v>
      </c>
      <c r="BA16" t="s">
        <v>231</v>
      </c>
      <c r="BB16" t="s">
        <v>231</v>
      </c>
      <c r="BC16" t="s">
        <v>231</v>
      </c>
      <c r="BD16" t="s">
        <v>231</v>
      </c>
      <c r="BE16" t="s">
        <v>231</v>
      </c>
      <c r="BF16" t="s">
        <v>231</v>
      </c>
      <c r="BG16" t="s">
        <v>231</v>
      </c>
      <c r="BH16" t="s">
        <v>231</v>
      </c>
      <c r="BI16" t="s">
        <v>231</v>
      </c>
      <c r="BJ16" t="s">
        <v>231</v>
      </c>
      <c r="BK16" t="s">
        <v>231</v>
      </c>
      <c r="BL16" t="s">
        <v>231</v>
      </c>
      <c r="BM16" t="s">
        <v>231</v>
      </c>
      <c r="BN16" t="s">
        <v>231</v>
      </c>
      <c r="BO16" t="s">
        <v>231</v>
      </c>
      <c r="BP16" t="s">
        <v>231</v>
      </c>
      <c r="BQ16" t="s">
        <v>231</v>
      </c>
      <c r="BR16" t="s">
        <v>231</v>
      </c>
      <c r="BS16" t="s">
        <v>231</v>
      </c>
      <c r="BT16" t="s">
        <v>231</v>
      </c>
      <c r="BU16" t="s">
        <v>231</v>
      </c>
      <c r="BV16" t="s">
        <v>231</v>
      </c>
      <c r="BW16" t="s">
        <v>231</v>
      </c>
      <c r="BX16" t="s">
        <v>231</v>
      </c>
      <c r="BY16" t="s">
        <v>231</v>
      </c>
      <c r="BZ16" t="s">
        <v>231</v>
      </c>
      <c r="CA16" t="s">
        <v>231</v>
      </c>
      <c r="CB16" t="s">
        <v>231</v>
      </c>
      <c r="CC16" t="s">
        <v>231</v>
      </c>
      <c r="CD16" t="s">
        <v>231</v>
      </c>
      <c r="CE16" t="s">
        <v>231</v>
      </c>
      <c r="CF16" t="s">
        <v>231</v>
      </c>
      <c r="CG16" t="s">
        <v>231</v>
      </c>
      <c r="CH16" t="s">
        <v>231</v>
      </c>
      <c r="CI16" t="s">
        <v>231</v>
      </c>
      <c r="CJ16" t="s">
        <v>231</v>
      </c>
      <c r="CK16" t="s">
        <v>231</v>
      </c>
      <c r="CL16" t="s">
        <v>231</v>
      </c>
      <c r="CM16" t="s">
        <v>231</v>
      </c>
      <c r="CN16" t="s">
        <v>231</v>
      </c>
      <c r="CO16" t="s">
        <v>231</v>
      </c>
      <c r="CP16" t="s">
        <v>231</v>
      </c>
      <c r="CQ16" t="s">
        <v>231</v>
      </c>
      <c r="CR16" t="s">
        <v>231</v>
      </c>
      <c r="CS16" t="s">
        <v>231</v>
      </c>
      <c r="CT16" t="s">
        <v>3534</v>
      </c>
      <c r="CU16" t="s">
        <v>3535</v>
      </c>
      <c r="CV16" t="s">
        <v>3536</v>
      </c>
      <c r="CW16" t="s">
        <v>3551</v>
      </c>
      <c r="CX16" t="s">
        <v>223</v>
      </c>
      <c r="CY16" t="s">
        <v>3536</v>
      </c>
      <c r="CZ16" t="s">
        <v>3552</v>
      </c>
      <c r="DA16" t="s">
        <v>3553</v>
      </c>
      <c r="DB16" t="s">
        <v>3551</v>
      </c>
      <c r="DC16" t="s">
        <v>363</v>
      </c>
      <c r="DD16" t="s">
        <v>282</v>
      </c>
      <c r="DE16" t="s">
        <v>3663</v>
      </c>
    </row>
    <row r="17" spans="1:109" ht="11.25" customHeight="1">
      <c r="A17" s="1314" t="s">
        <v>231</v>
      </c>
      <c r="B17" t="s">
        <v>231</v>
      </c>
      <c r="C17" t="s">
        <v>231</v>
      </c>
      <c r="D17" t="s">
        <v>231</v>
      </c>
      <c r="E17" t="s">
        <v>231</v>
      </c>
      <c r="F17" t="s">
        <v>231</v>
      </c>
      <c r="G17" t="s">
        <v>231</v>
      </c>
      <c r="H17" t="s">
        <v>231</v>
      </c>
      <c r="I17" t="s">
        <v>3521</v>
      </c>
      <c r="J17" t="s">
        <v>231</v>
      </c>
      <c r="K17" t="s">
        <v>231</v>
      </c>
      <c r="L17" t="s">
        <v>231</v>
      </c>
      <c r="M17" t="s">
        <v>231</v>
      </c>
      <c r="N17" t="s">
        <v>231</v>
      </c>
      <c r="O17" t="s">
        <v>231</v>
      </c>
      <c r="P17" t="s">
        <v>231</v>
      </c>
      <c r="Q17" t="s">
        <v>231</v>
      </c>
      <c r="R17" t="s">
        <v>3651</v>
      </c>
      <c r="S17" t="s">
        <v>231</v>
      </c>
      <c r="T17" t="s">
        <v>231</v>
      </c>
      <c r="U17" t="s">
        <v>101</v>
      </c>
      <c r="V17" t="s">
        <v>231</v>
      </c>
      <c r="W17" t="s">
        <v>231</v>
      </c>
      <c r="X17" t="s">
        <v>3523</v>
      </c>
      <c r="Y17" t="s">
        <v>231</v>
      </c>
      <c r="Z17" t="s">
        <v>160</v>
      </c>
      <c r="AA17" t="s">
        <v>151</v>
      </c>
      <c r="AB17" t="s">
        <v>151</v>
      </c>
      <c r="AC17" t="s">
        <v>2283</v>
      </c>
      <c r="AD17" t="s">
        <v>2283</v>
      </c>
      <c r="AE17" t="s">
        <v>2284</v>
      </c>
      <c r="AF17" t="s">
        <v>3664</v>
      </c>
      <c r="AG17" t="s">
        <v>3665</v>
      </c>
      <c r="AH17" t="s">
        <v>3666</v>
      </c>
      <c r="AI17" t="s">
        <v>3667</v>
      </c>
      <c r="AJ17" t="s">
        <v>3546</v>
      </c>
      <c r="AK17" t="s">
        <v>3547</v>
      </c>
      <c r="AL17" t="s">
        <v>3548</v>
      </c>
      <c r="AM17" t="s">
        <v>3531</v>
      </c>
      <c r="AN17" t="s">
        <v>3549</v>
      </c>
      <c r="AO17" t="s">
        <v>3668</v>
      </c>
      <c r="AP17" t="s">
        <v>231</v>
      </c>
      <c r="AQ17" t="s">
        <v>231</v>
      </c>
      <c r="AR17" t="s">
        <v>231</v>
      </c>
      <c r="AS17" t="s">
        <v>231</v>
      </c>
      <c r="AT17" t="s">
        <v>231</v>
      </c>
      <c r="AU17" t="s">
        <v>231</v>
      </c>
      <c r="AV17" t="s">
        <v>231</v>
      </c>
      <c r="AW17" t="s">
        <v>231</v>
      </c>
      <c r="AX17" t="s">
        <v>231</v>
      </c>
      <c r="AY17" t="s">
        <v>231</v>
      </c>
      <c r="AZ17" t="s">
        <v>231</v>
      </c>
      <c r="BA17" t="s">
        <v>231</v>
      </c>
      <c r="BB17" t="s">
        <v>231</v>
      </c>
      <c r="BC17" t="s">
        <v>231</v>
      </c>
      <c r="BD17" t="s">
        <v>231</v>
      </c>
      <c r="BE17" t="s">
        <v>231</v>
      </c>
      <c r="BF17" t="s">
        <v>231</v>
      </c>
      <c r="BG17" t="s">
        <v>231</v>
      </c>
      <c r="BH17" t="s">
        <v>231</v>
      </c>
      <c r="BI17" t="s">
        <v>231</v>
      </c>
      <c r="BJ17" t="s">
        <v>231</v>
      </c>
      <c r="BK17" t="s">
        <v>231</v>
      </c>
      <c r="BL17" t="s">
        <v>231</v>
      </c>
      <c r="BM17" t="s">
        <v>231</v>
      </c>
      <c r="BN17" t="s">
        <v>231</v>
      </c>
      <c r="BO17" t="s">
        <v>231</v>
      </c>
      <c r="BP17" t="s">
        <v>231</v>
      </c>
      <c r="BQ17" t="s">
        <v>231</v>
      </c>
      <c r="BR17" t="s">
        <v>231</v>
      </c>
      <c r="BS17" t="s">
        <v>231</v>
      </c>
      <c r="BT17" t="s">
        <v>231</v>
      </c>
      <c r="BU17" t="s">
        <v>231</v>
      </c>
      <c r="BV17" t="s">
        <v>231</v>
      </c>
      <c r="BW17" t="s">
        <v>231</v>
      </c>
      <c r="BX17" t="s">
        <v>231</v>
      </c>
      <c r="BY17" t="s">
        <v>231</v>
      </c>
      <c r="BZ17" t="s">
        <v>231</v>
      </c>
      <c r="CA17" t="s">
        <v>231</v>
      </c>
      <c r="CB17" t="s">
        <v>231</v>
      </c>
      <c r="CC17" t="s">
        <v>231</v>
      </c>
      <c r="CD17" t="s">
        <v>231</v>
      </c>
      <c r="CE17" t="s">
        <v>231</v>
      </c>
      <c r="CF17" t="s">
        <v>231</v>
      </c>
      <c r="CG17" t="s">
        <v>231</v>
      </c>
      <c r="CH17" t="s">
        <v>231</v>
      </c>
      <c r="CI17" t="s">
        <v>231</v>
      </c>
      <c r="CJ17" t="s">
        <v>231</v>
      </c>
      <c r="CK17" t="s">
        <v>231</v>
      </c>
      <c r="CL17" t="s">
        <v>231</v>
      </c>
      <c r="CM17" t="s">
        <v>231</v>
      </c>
      <c r="CN17" t="s">
        <v>231</v>
      </c>
      <c r="CO17" t="s">
        <v>231</v>
      </c>
      <c r="CP17" t="s">
        <v>231</v>
      </c>
      <c r="CQ17" t="s">
        <v>231</v>
      </c>
      <c r="CR17" t="s">
        <v>231</v>
      </c>
      <c r="CS17" t="s">
        <v>231</v>
      </c>
      <c r="CT17" t="s">
        <v>3534</v>
      </c>
      <c r="CU17" t="s">
        <v>3535</v>
      </c>
      <c r="CV17" t="s">
        <v>3536</v>
      </c>
      <c r="CW17" t="s">
        <v>3551</v>
      </c>
      <c r="CX17" t="s">
        <v>223</v>
      </c>
      <c r="CY17" t="s">
        <v>3536</v>
      </c>
      <c r="CZ17" t="s">
        <v>3552</v>
      </c>
      <c r="DA17" t="s">
        <v>3553</v>
      </c>
      <c r="DB17" t="s">
        <v>3551</v>
      </c>
      <c r="DC17" t="s">
        <v>363</v>
      </c>
      <c r="DD17" t="s">
        <v>282</v>
      </c>
      <c r="DE17" t="s">
        <v>3669</v>
      </c>
    </row>
    <row r="18" spans="1:109" ht="11.25" customHeight="1">
      <c r="A18" s="1314" t="s">
        <v>231</v>
      </c>
      <c r="B18" t="s">
        <v>231</v>
      </c>
      <c r="C18" t="s">
        <v>231</v>
      </c>
      <c r="D18" t="s">
        <v>231</v>
      </c>
      <c r="E18" t="s">
        <v>231</v>
      </c>
      <c r="F18" t="s">
        <v>231</v>
      </c>
      <c r="G18" t="s">
        <v>231</v>
      </c>
      <c r="H18" t="s">
        <v>231</v>
      </c>
      <c r="I18" t="s">
        <v>3521</v>
      </c>
      <c r="J18" t="s">
        <v>231</v>
      </c>
      <c r="K18" t="s">
        <v>231</v>
      </c>
      <c r="L18" t="s">
        <v>231</v>
      </c>
      <c r="M18" t="s">
        <v>231</v>
      </c>
      <c r="N18" t="s">
        <v>231</v>
      </c>
      <c r="O18" t="s">
        <v>231</v>
      </c>
      <c r="P18" t="s">
        <v>231</v>
      </c>
      <c r="Q18" t="s">
        <v>231</v>
      </c>
      <c r="R18" t="s">
        <v>3670</v>
      </c>
      <c r="S18" t="s">
        <v>231</v>
      </c>
      <c r="T18" t="s">
        <v>231</v>
      </c>
      <c r="U18" t="s">
        <v>101</v>
      </c>
      <c r="V18" t="s">
        <v>231</v>
      </c>
      <c r="W18" t="s">
        <v>231</v>
      </c>
      <c r="X18" t="s">
        <v>3523</v>
      </c>
      <c r="Y18" t="s">
        <v>231</v>
      </c>
      <c r="Z18" t="s">
        <v>160</v>
      </c>
      <c r="AA18" t="s">
        <v>151</v>
      </c>
      <c r="AB18" t="s">
        <v>151</v>
      </c>
      <c r="AC18" t="s">
        <v>343</v>
      </c>
      <c r="AD18" t="s">
        <v>343</v>
      </c>
      <c r="AE18" t="s">
        <v>344</v>
      </c>
      <c r="AF18" t="s">
        <v>3561</v>
      </c>
      <c r="AG18" t="s">
        <v>3562</v>
      </c>
      <c r="AH18" t="s">
        <v>3671</v>
      </c>
      <c r="AI18" t="s">
        <v>3575</v>
      </c>
      <c r="AJ18" t="s">
        <v>3646</v>
      </c>
      <c r="AK18" t="s">
        <v>3672</v>
      </c>
      <c r="AL18" t="s">
        <v>3566</v>
      </c>
      <c r="AM18" t="s">
        <v>3531</v>
      </c>
      <c r="AN18" t="s">
        <v>3673</v>
      </c>
      <c r="AO18" t="s">
        <v>3649</v>
      </c>
      <c r="AP18" t="s">
        <v>231</v>
      </c>
      <c r="AQ18" t="s">
        <v>231</v>
      </c>
      <c r="AR18" t="s">
        <v>231</v>
      </c>
      <c r="AS18" t="s">
        <v>231</v>
      </c>
      <c r="AT18" t="s">
        <v>231</v>
      </c>
      <c r="AU18" t="s">
        <v>231</v>
      </c>
      <c r="AV18" t="s">
        <v>231</v>
      </c>
      <c r="AW18" t="s">
        <v>231</v>
      </c>
      <c r="AX18" t="s">
        <v>231</v>
      </c>
      <c r="AY18" t="s">
        <v>231</v>
      </c>
      <c r="AZ18" t="s">
        <v>231</v>
      </c>
      <c r="BA18" t="s">
        <v>231</v>
      </c>
      <c r="BB18" t="s">
        <v>231</v>
      </c>
      <c r="BC18" t="s">
        <v>231</v>
      </c>
      <c r="BD18" t="s">
        <v>231</v>
      </c>
      <c r="BE18" t="s">
        <v>231</v>
      </c>
      <c r="BF18" t="s">
        <v>231</v>
      </c>
      <c r="BG18" t="s">
        <v>231</v>
      </c>
      <c r="BH18" t="s">
        <v>231</v>
      </c>
      <c r="BI18" t="s">
        <v>231</v>
      </c>
      <c r="BJ18" t="s">
        <v>231</v>
      </c>
      <c r="BK18" t="s">
        <v>231</v>
      </c>
      <c r="BL18" t="s">
        <v>231</v>
      </c>
      <c r="BM18" t="s">
        <v>231</v>
      </c>
      <c r="BN18" t="s">
        <v>231</v>
      </c>
      <c r="BO18" t="s">
        <v>231</v>
      </c>
      <c r="BP18" t="s">
        <v>231</v>
      </c>
      <c r="BQ18" t="s">
        <v>231</v>
      </c>
      <c r="BR18" t="s">
        <v>231</v>
      </c>
      <c r="BS18" t="s">
        <v>231</v>
      </c>
      <c r="BT18" t="s">
        <v>231</v>
      </c>
      <c r="BU18" t="s">
        <v>231</v>
      </c>
      <c r="BV18" t="s">
        <v>231</v>
      </c>
      <c r="BW18" t="s">
        <v>231</v>
      </c>
      <c r="BX18" t="s">
        <v>231</v>
      </c>
      <c r="BY18" t="s">
        <v>231</v>
      </c>
      <c r="BZ18" t="s">
        <v>231</v>
      </c>
      <c r="CA18" t="s">
        <v>231</v>
      </c>
      <c r="CB18" t="s">
        <v>231</v>
      </c>
      <c r="CC18" t="s">
        <v>231</v>
      </c>
      <c r="CD18" t="s">
        <v>231</v>
      </c>
      <c r="CE18" t="s">
        <v>231</v>
      </c>
      <c r="CF18" t="s">
        <v>231</v>
      </c>
      <c r="CG18" t="s">
        <v>231</v>
      </c>
      <c r="CH18" t="s">
        <v>231</v>
      </c>
      <c r="CI18" t="s">
        <v>231</v>
      </c>
      <c r="CJ18" t="s">
        <v>231</v>
      </c>
      <c r="CK18" t="s">
        <v>231</v>
      </c>
      <c r="CL18" t="s">
        <v>231</v>
      </c>
      <c r="CM18" t="s">
        <v>231</v>
      </c>
      <c r="CN18" t="s">
        <v>231</v>
      </c>
      <c r="CO18" t="s">
        <v>231</v>
      </c>
      <c r="CP18" t="s">
        <v>231</v>
      </c>
      <c r="CQ18" t="s">
        <v>231</v>
      </c>
      <c r="CR18" t="s">
        <v>231</v>
      </c>
      <c r="CS18" t="s">
        <v>231</v>
      </c>
      <c r="CT18" t="s">
        <v>3534</v>
      </c>
      <c r="CU18" t="s">
        <v>3535</v>
      </c>
      <c r="CV18" t="s">
        <v>3536</v>
      </c>
      <c r="CW18" t="s">
        <v>3569</v>
      </c>
      <c r="CX18" t="s">
        <v>3570</v>
      </c>
      <c r="CY18" t="s">
        <v>3536</v>
      </c>
      <c r="CZ18" t="s">
        <v>224</v>
      </c>
      <c r="DA18" t="s">
        <v>3571</v>
      </c>
      <c r="DB18" t="s">
        <v>3569</v>
      </c>
      <c r="DC18" t="s">
        <v>363</v>
      </c>
      <c r="DD18" t="s">
        <v>282</v>
      </c>
      <c r="DE18" t="s">
        <v>3674</v>
      </c>
    </row>
    <row r="19" spans="1:109" ht="11.25" customHeight="1">
      <c r="A19" s="1314" t="s">
        <v>231</v>
      </c>
      <c r="B19" t="s">
        <v>231</v>
      </c>
      <c r="C19" t="s">
        <v>231</v>
      </c>
      <c r="D19" t="s">
        <v>231</v>
      </c>
      <c r="E19" t="s">
        <v>231</v>
      </c>
      <c r="F19" t="s">
        <v>231</v>
      </c>
      <c r="G19" t="s">
        <v>231</v>
      </c>
      <c r="H19" t="s">
        <v>231</v>
      </c>
      <c r="I19" t="s">
        <v>3521</v>
      </c>
      <c r="J19" t="s">
        <v>231</v>
      </c>
      <c r="K19" t="s">
        <v>231</v>
      </c>
      <c r="L19" t="s">
        <v>231</v>
      </c>
      <c r="M19" t="s">
        <v>231</v>
      </c>
      <c r="N19" t="s">
        <v>231</v>
      </c>
      <c r="O19" t="s">
        <v>231</v>
      </c>
      <c r="P19" t="s">
        <v>231</v>
      </c>
      <c r="Q19" t="s">
        <v>231</v>
      </c>
      <c r="R19" t="s">
        <v>3651</v>
      </c>
      <c r="S19" t="s">
        <v>231</v>
      </c>
      <c r="T19" t="s">
        <v>231</v>
      </c>
      <c r="U19" t="s">
        <v>101</v>
      </c>
      <c r="V19" t="s">
        <v>231</v>
      </c>
      <c r="W19" t="s">
        <v>231</v>
      </c>
      <c r="X19" t="s">
        <v>3523</v>
      </c>
      <c r="Y19" t="s">
        <v>231</v>
      </c>
      <c r="Z19" t="s">
        <v>160</v>
      </c>
      <c r="AA19" t="s">
        <v>151</v>
      </c>
      <c r="AB19" t="s">
        <v>151</v>
      </c>
      <c r="AC19" t="s">
        <v>2283</v>
      </c>
      <c r="AD19" t="s">
        <v>2283</v>
      </c>
      <c r="AE19" t="s">
        <v>2284</v>
      </c>
      <c r="AF19" t="s">
        <v>3675</v>
      </c>
      <c r="AG19" t="s">
        <v>3676</v>
      </c>
      <c r="AH19" t="s">
        <v>3677</v>
      </c>
      <c r="AI19" t="s">
        <v>3678</v>
      </c>
      <c r="AJ19" t="s">
        <v>3546</v>
      </c>
      <c r="AK19" t="s">
        <v>3547</v>
      </c>
      <c r="AL19" t="s">
        <v>3648</v>
      </c>
      <c r="AM19" t="s">
        <v>3531</v>
      </c>
      <c r="AN19" t="s">
        <v>3549</v>
      </c>
      <c r="AO19" t="s">
        <v>3679</v>
      </c>
      <c r="AP19" t="s">
        <v>231</v>
      </c>
      <c r="AQ19" t="s">
        <v>231</v>
      </c>
      <c r="AR19" t="s">
        <v>231</v>
      </c>
      <c r="AS19" t="s">
        <v>231</v>
      </c>
      <c r="AT19" t="s">
        <v>231</v>
      </c>
      <c r="AU19" t="s">
        <v>231</v>
      </c>
      <c r="AV19" t="s">
        <v>231</v>
      </c>
      <c r="AW19" t="s">
        <v>231</v>
      </c>
      <c r="AX19" t="s">
        <v>231</v>
      </c>
      <c r="AY19" t="s">
        <v>231</v>
      </c>
      <c r="AZ19" t="s">
        <v>231</v>
      </c>
      <c r="BA19" t="s">
        <v>231</v>
      </c>
      <c r="BB19" t="s">
        <v>231</v>
      </c>
      <c r="BC19" t="s">
        <v>231</v>
      </c>
      <c r="BD19" t="s">
        <v>231</v>
      </c>
      <c r="BE19" t="s">
        <v>231</v>
      </c>
      <c r="BF19" t="s">
        <v>231</v>
      </c>
      <c r="BG19" t="s">
        <v>231</v>
      </c>
      <c r="BH19" t="s">
        <v>231</v>
      </c>
      <c r="BI19" t="s">
        <v>231</v>
      </c>
      <c r="BJ19" t="s">
        <v>231</v>
      </c>
      <c r="BK19" t="s">
        <v>231</v>
      </c>
      <c r="BL19" t="s">
        <v>231</v>
      </c>
      <c r="BM19" t="s">
        <v>231</v>
      </c>
      <c r="BN19" t="s">
        <v>231</v>
      </c>
      <c r="BO19" t="s">
        <v>231</v>
      </c>
      <c r="BP19" t="s">
        <v>231</v>
      </c>
      <c r="BQ19" t="s">
        <v>231</v>
      </c>
      <c r="BR19" t="s">
        <v>231</v>
      </c>
      <c r="BS19" t="s">
        <v>231</v>
      </c>
      <c r="BT19" t="s">
        <v>231</v>
      </c>
      <c r="BU19" t="s">
        <v>231</v>
      </c>
      <c r="BV19" t="s">
        <v>231</v>
      </c>
      <c r="BW19" t="s">
        <v>231</v>
      </c>
      <c r="BX19" t="s">
        <v>231</v>
      </c>
      <c r="BY19" t="s">
        <v>231</v>
      </c>
      <c r="BZ19" t="s">
        <v>231</v>
      </c>
      <c r="CA19" t="s">
        <v>231</v>
      </c>
      <c r="CB19" t="s">
        <v>231</v>
      </c>
      <c r="CC19" t="s">
        <v>231</v>
      </c>
      <c r="CD19" t="s">
        <v>231</v>
      </c>
      <c r="CE19" t="s">
        <v>231</v>
      </c>
      <c r="CF19" t="s">
        <v>231</v>
      </c>
      <c r="CG19" t="s">
        <v>231</v>
      </c>
      <c r="CH19" t="s">
        <v>231</v>
      </c>
      <c r="CI19" t="s">
        <v>231</v>
      </c>
      <c r="CJ19" t="s">
        <v>231</v>
      </c>
      <c r="CK19" t="s">
        <v>231</v>
      </c>
      <c r="CL19" t="s">
        <v>231</v>
      </c>
      <c r="CM19" t="s">
        <v>231</v>
      </c>
      <c r="CN19" t="s">
        <v>231</v>
      </c>
      <c r="CO19" t="s">
        <v>231</v>
      </c>
      <c r="CP19" t="s">
        <v>231</v>
      </c>
      <c r="CQ19" t="s">
        <v>231</v>
      </c>
      <c r="CR19" t="s">
        <v>231</v>
      </c>
      <c r="CS19" t="s">
        <v>231</v>
      </c>
      <c r="CT19" t="s">
        <v>3534</v>
      </c>
      <c r="CU19" t="s">
        <v>3535</v>
      </c>
      <c r="CV19" t="s">
        <v>3536</v>
      </c>
      <c r="CW19" t="s">
        <v>3551</v>
      </c>
      <c r="CX19" t="s">
        <v>223</v>
      </c>
      <c r="CY19" t="s">
        <v>3536</v>
      </c>
      <c r="CZ19" t="s">
        <v>3552</v>
      </c>
      <c r="DA19" t="s">
        <v>3553</v>
      </c>
      <c r="DB19" t="s">
        <v>3551</v>
      </c>
      <c r="DC19" t="s">
        <v>363</v>
      </c>
      <c r="DD19" t="s">
        <v>282</v>
      </c>
      <c r="DE19" t="s">
        <v>3680</v>
      </c>
    </row>
    <row r="20" spans="1:109" ht="11.25" customHeight="1">
      <c r="A20" s="1314" t="s">
        <v>231</v>
      </c>
      <c r="B20" t="s">
        <v>231</v>
      </c>
      <c r="C20" t="s">
        <v>231</v>
      </c>
      <c r="D20" t="s">
        <v>231</v>
      </c>
      <c r="E20" t="s">
        <v>231</v>
      </c>
      <c r="F20" t="s">
        <v>231</v>
      </c>
      <c r="G20" t="s">
        <v>231</v>
      </c>
      <c r="H20" t="s">
        <v>231</v>
      </c>
      <c r="I20" t="s">
        <v>3521</v>
      </c>
      <c r="J20" t="s">
        <v>231</v>
      </c>
      <c r="K20" t="s">
        <v>231</v>
      </c>
      <c r="L20" t="s">
        <v>231</v>
      </c>
      <c r="M20" t="s">
        <v>231</v>
      </c>
      <c r="N20" t="s">
        <v>231</v>
      </c>
      <c r="O20" t="s">
        <v>231</v>
      </c>
      <c r="P20" t="s">
        <v>231</v>
      </c>
      <c r="Q20" t="s">
        <v>231</v>
      </c>
      <c r="R20" t="s">
        <v>3681</v>
      </c>
      <c r="S20" t="s">
        <v>231</v>
      </c>
      <c r="T20" t="s">
        <v>231</v>
      </c>
      <c r="U20" t="s">
        <v>101</v>
      </c>
      <c r="V20" t="s">
        <v>231</v>
      </c>
      <c r="W20" t="s">
        <v>231</v>
      </c>
      <c r="X20" t="s">
        <v>3523</v>
      </c>
      <c r="Y20" t="s">
        <v>231</v>
      </c>
      <c r="Z20" t="s">
        <v>160</v>
      </c>
      <c r="AA20" t="s">
        <v>151</v>
      </c>
      <c r="AB20" t="s">
        <v>151</v>
      </c>
      <c r="AC20" t="s">
        <v>2283</v>
      </c>
      <c r="AD20" t="s">
        <v>2283</v>
      </c>
      <c r="AE20" t="s">
        <v>2284</v>
      </c>
      <c r="AF20" t="s">
        <v>3675</v>
      </c>
      <c r="AG20" t="s">
        <v>3676</v>
      </c>
      <c r="AH20" t="s">
        <v>3682</v>
      </c>
      <c r="AI20" t="s">
        <v>3683</v>
      </c>
      <c r="AJ20" t="s">
        <v>3546</v>
      </c>
      <c r="AK20" t="s">
        <v>3547</v>
      </c>
      <c r="AL20" t="s">
        <v>3648</v>
      </c>
      <c r="AM20" t="s">
        <v>3531</v>
      </c>
      <c r="AN20" t="s">
        <v>3549</v>
      </c>
      <c r="AO20" t="s">
        <v>3679</v>
      </c>
      <c r="AP20" t="s">
        <v>231</v>
      </c>
      <c r="AQ20" t="s">
        <v>231</v>
      </c>
      <c r="AR20" t="s">
        <v>231</v>
      </c>
      <c r="AS20" t="s">
        <v>231</v>
      </c>
      <c r="AT20" t="s">
        <v>231</v>
      </c>
      <c r="AU20" t="s">
        <v>231</v>
      </c>
      <c r="AV20" t="s">
        <v>231</v>
      </c>
      <c r="AW20" t="s">
        <v>231</v>
      </c>
      <c r="AX20" t="s">
        <v>231</v>
      </c>
      <c r="AY20" t="s">
        <v>231</v>
      </c>
      <c r="AZ20" t="s">
        <v>231</v>
      </c>
      <c r="BA20" t="s">
        <v>231</v>
      </c>
      <c r="BB20" t="s">
        <v>231</v>
      </c>
      <c r="BC20" t="s">
        <v>231</v>
      </c>
      <c r="BD20" t="s">
        <v>231</v>
      </c>
      <c r="BE20" t="s">
        <v>231</v>
      </c>
      <c r="BF20" t="s">
        <v>231</v>
      </c>
      <c r="BG20" t="s">
        <v>231</v>
      </c>
      <c r="BH20" t="s">
        <v>231</v>
      </c>
      <c r="BI20" t="s">
        <v>231</v>
      </c>
      <c r="BJ20" t="s">
        <v>231</v>
      </c>
      <c r="BK20" t="s">
        <v>231</v>
      </c>
      <c r="BL20" t="s">
        <v>231</v>
      </c>
      <c r="BM20" t="s">
        <v>231</v>
      </c>
      <c r="BN20" t="s">
        <v>231</v>
      </c>
      <c r="BO20" t="s">
        <v>231</v>
      </c>
      <c r="BP20" t="s">
        <v>231</v>
      </c>
      <c r="BQ20" t="s">
        <v>231</v>
      </c>
      <c r="BR20" t="s">
        <v>231</v>
      </c>
      <c r="BS20" t="s">
        <v>231</v>
      </c>
      <c r="BT20" t="s">
        <v>231</v>
      </c>
      <c r="BU20" t="s">
        <v>231</v>
      </c>
      <c r="BV20" t="s">
        <v>231</v>
      </c>
      <c r="BW20" t="s">
        <v>231</v>
      </c>
      <c r="BX20" t="s">
        <v>231</v>
      </c>
      <c r="BY20" t="s">
        <v>231</v>
      </c>
      <c r="BZ20" t="s">
        <v>231</v>
      </c>
      <c r="CA20" t="s">
        <v>231</v>
      </c>
      <c r="CB20" t="s">
        <v>231</v>
      </c>
      <c r="CC20" t="s">
        <v>231</v>
      </c>
      <c r="CD20" t="s">
        <v>231</v>
      </c>
      <c r="CE20" t="s">
        <v>231</v>
      </c>
      <c r="CF20" t="s">
        <v>231</v>
      </c>
      <c r="CG20" t="s">
        <v>231</v>
      </c>
      <c r="CH20" t="s">
        <v>231</v>
      </c>
      <c r="CI20" t="s">
        <v>231</v>
      </c>
      <c r="CJ20" t="s">
        <v>231</v>
      </c>
      <c r="CK20" t="s">
        <v>231</v>
      </c>
      <c r="CL20" t="s">
        <v>231</v>
      </c>
      <c r="CM20" t="s">
        <v>231</v>
      </c>
      <c r="CN20" t="s">
        <v>231</v>
      </c>
      <c r="CO20" t="s">
        <v>231</v>
      </c>
      <c r="CP20" t="s">
        <v>231</v>
      </c>
      <c r="CQ20" t="s">
        <v>231</v>
      </c>
      <c r="CR20" t="s">
        <v>231</v>
      </c>
      <c r="CS20" t="s">
        <v>231</v>
      </c>
      <c r="CT20" t="s">
        <v>3534</v>
      </c>
      <c r="CU20" t="s">
        <v>3535</v>
      </c>
      <c r="CV20" t="s">
        <v>3536</v>
      </c>
      <c r="CW20" t="s">
        <v>3551</v>
      </c>
      <c r="CX20" t="s">
        <v>223</v>
      </c>
      <c r="CY20" t="s">
        <v>3536</v>
      </c>
      <c r="CZ20" t="s">
        <v>3552</v>
      </c>
      <c r="DA20" t="s">
        <v>3553</v>
      </c>
      <c r="DB20" t="s">
        <v>3551</v>
      </c>
      <c r="DC20" t="s">
        <v>363</v>
      </c>
      <c r="DD20" t="s">
        <v>282</v>
      </c>
      <c r="DE20" t="s">
        <v>3684</v>
      </c>
    </row>
    <row r="21" spans="1:109" ht="11.25" customHeight="1">
      <c r="A21" s="1314" t="s">
        <v>231</v>
      </c>
      <c r="B21" t="s">
        <v>231</v>
      </c>
      <c r="C21" t="s">
        <v>231</v>
      </c>
      <c r="D21" t="s">
        <v>231</v>
      </c>
      <c r="E21" t="s">
        <v>231</v>
      </c>
      <c r="F21" t="s">
        <v>231</v>
      </c>
      <c r="G21" t="s">
        <v>231</v>
      </c>
      <c r="H21" t="s">
        <v>231</v>
      </c>
      <c r="I21" t="s">
        <v>3521</v>
      </c>
      <c r="J21" t="s">
        <v>231</v>
      </c>
      <c r="K21" t="s">
        <v>231</v>
      </c>
      <c r="L21" t="s">
        <v>231</v>
      </c>
      <c r="M21" t="s">
        <v>231</v>
      </c>
      <c r="N21" t="s">
        <v>231</v>
      </c>
      <c r="O21" t="s">
        <v>231</v>
      </c>
      <c r="P21" t="s">
        <v>231</v>
      </c>
      <c r="Q21" t="s">
        <v>231</v>
      </c>
      <c r="R21" t="s">
        <v>3685</v>
      </c>
      <c r="S21" t="s">
        <v>231</v>
      </c>
      <c r="T21" t="s">
        <v>231</v>
      </c>
      <c r="U21" t="s">
        <v>101</v>
      </c>
      <c r="V21" t="s">
        <v>231</v>
      </c>
      <c r="W21" t="s">
        <v>231</v>
      </c>
      <c r="X21" t="s">
        <v>3628</v>
      </c>
      <c r="Y21" t="s">
        <v>231</v>
      </c>
      <c r="Z21" t="s">
        <v>151</v>
      </c>
      <c r="AA21" t="s">
        <v>151</v>
      </c>
      <c r="AB21" t="s">
        <v>160</v>
      </c>
      <c r="AC21" t="s">
        <v>2283</v>
      </c>
      <c r="AD21" t="s">
        <v>2283</v>
      </c>
      <c r="AE21" t="s">
        <v>2284</v>
      </c>
      <c r="AF21" t="s">
        <v>3686</v>
      </c>
      <c r="AG21" t="s">
        <v>3687</v>
      </c>
      <c r="AH21" t="s">
        <v>3686</v>
      </c>
      <c r="AI21" t="s">
        <v>3688</v>
      </c>
      <c r="AJ21" t="s">
        <v>231</v>
      </c>
      <c r="AK21" t="s">
        <v>231</v>
      </c>
      <c r="AL21" t="s">
        <v>231</v>
      </c>
      <c r="AM21" t="s">
        <v>231</v>
      </c>
      <c r="AN21" t="s">
        <v>231</v>
      </c>
      <c r="AO21" t="s">
        <v>231</v>
      </c>
      <c r="AP21" t="s">
        <v>231</v>
      </c>
      <c r="AQ21" t="s">
        <v>231</v>
      </c>
      <c r="AR21" t="s">
        <v>231</v>
      </c>
      <c r="AS21" t="s">
        <v>231</v>
      </c>
      <c r="AT21" t="s">
        <v>231</v>
      </c>
      <c r="AU21" t="s">
        <v>231</v>
      </c>
      <c r="AV21" t="s">
        <v>231</v>
      </c>
      <c r="AW21" t="s">
        <v>231</v>
      </c>
      <c r="AX21" t="s">
        <v>231</v>
      </c>
      <c r="AY21" t="s">
        <v>231</v>
      </c>
      <c r="AZ21" t="s">
        <v>231</v>
      </c>
      <c r="BA21" t="s">
        <v>231</v>
      </c>
      <c r="BB21" t="s">
        <v>231</v>
      </c>
      <c r="BC21" t="s">
        <v>231</v>
      </c>
      <c r="BD21" t="s">
        <v>231</v>
      </c>
      <c r="BE21" t="s">
        <v>3689</v>
      </c>
      <c r="BF21" t="s">
        <v>3689</v>
      </c>
      <c r="BG21" t="s">
        <v>111</v>
      </c>
      <c r="BH21" t="s">
        <v>3632</v>
      </c>
      <c r="BI21" t="s">
        <v>122</v>
      </c>
      <c r="BJ21" t="s">
        <v>231</v>
      </c>
      <c r="BK21" t="s">
        <v>3651</v>
      </c>
      <c r="BL21" t="s">
        <v>2283</v>
      </c>
      <c r="BM21" t="s">
        <v>2283</v>
      </c>
      <c r="BN21" t="s">
        <v>3690</v>
      </c>
      <c r="BO21" t="s">
        <v>3686</v>
      </c>
      <c r="BP21" t="s">
        <v>3691</v>
      </c>
      <c r="BQ21" t="s">
        <v>3692</v>
      </c>
      <c r="BR21" t="s">
        <v>3693</v>
      </c>
      <c r="BS21" t="s">
        <v>231</v>
      </c>
      <c r="BT21" t="s">
        <v>3694</v>
      </c>
      <c r="BU21" t="s">
        <v>3695</v>
      </c>
      <c r="BV21" t="s">
        <v>3695</v>
      </c>
      <c r="BW21" t="s">
        <v>3641</v>
      </c>
      <c r="BX21" t="s">
        <v>3641</v>
      </c>
      <c r="BY21" t="s">
        <v>3641</v>
      </c>
      <c r="BZ21" t="s">
        <v>3641</v>
      </c>
      <c r="CA21" t="s">
        <v>3641</v>
      </c>
      <c r="CB21" t="s">
        <v>231</v>
      </c>
      <c r="CC21" t="s">
        <v>231</v>
      </c>
      <c r="CD21" t="s">
        <v>231</v>
      </c>
      <c r="CE21" t="s">
        <v>231</v>
      </c>
      <c r="CF21" t="s">
        <v>231</v>
      </c>
      <c r="CG21" t="s">
        <v>3641</v>
      </c>
      <c r="CH21" t="s">
        <v>231</v>
      </c>
      <c r="CI21" t="s">
        <v>231</v>
      </c>
      <c r="CJ21" t="s">
        <v>231</v>
      </c>
      <c r="CK21" t="s">
        <v>231</v>
      </c>
      <c r="CL21" t="s">
        <v>231</v>
      </c>
      <c r="CM21" t="s">
        <v>3695</v>
      </c>
      <c r="CN21" t="s">
        <v>3695</v>
      </c>
      <c r="CO21" t="s">
        <v>231</v>
      </c>
      <c r="CP21" t="s">
        <v>231</v>
      </c>
      <c r="CQ21" t="s">
        <v>231</v>
      </c>
      <c r="CR21" t="s">
        <v>231</v>
      </c>
      <c r="CS21" t="s">
        <v>3549</v>
      </c>
      <c r="CT21" t="s">
        <v>3534</v>
      </c>
      <c r="CU21" t="s">
        <v>3535</v>
      </c>
      <c r="CV21" t="s">
        <v>3536</v>
      </c>
      <c r="CW21" t="s">
        <v>3551</v>
      </c>
      <c r="CX21" t="s">
        <v>223</v>
      </c>
      <c r="CY21" t="s">
        <v>3536</v>
      </c>
      <c r="CZ21" t="s">
        <v>3552</v>
      </c>
      <c r="DA21" t="s">
        <v>3553</v>
      </c>
      <c r="DB21" t="s">
        <v>3551</v>
      </c>
      <c r="DC21" t="s">
        <v>363</v>
      </c>
      <c r="DD21" t="s">
        <v>282</v>
      </c>
      <c r="DE21" t="s">
        <v>3696</v>
      </c>
    </row>
    <row r="22" spans="1:109" ht="11.25" customHeight="1">
      <c r="A22" s="1314" t="s">
        <v>231</v>
      </c>
      <c r="B22" t="s">
        <v>231</v>
      </c>
      <c r="C22" t="s">
        <v>231</v>
      </c>
      <c r="D22" t="s">
        <v>231</v>
      </c>
      <c r="E22" t="s">
        <v>231</v>
      </c>
      <c r="F22" t="s">
        <v>231</v>
      </c>
      <c r="G22" t="s">
        <v>231</v>
      </c>
      <c r="H22" t="s">
        <v>231</v>
      </c>
      <c r="I22" t="s">
        <v>3521</v>
      </c>
      <c r="J22" t="s">
        <v>231</v>
      </c>
      <c r="K22" t="s">
        <v>231</v>
      </c>
      <c r="L22" t="s">
        <v>231</v>
      </c>
      <c r="M22" t="s">
        <v>231</v>
      </c>
      <c r="N22" t="s">
        <v>231</v>
      </c>
      <c r="O22" t="s">
        <v>231</v>
      </c>
      <c r="P22" t="s">
        <v>231</v>
      </c>
      <c r="Q22" t="s">
        <v>231</v>
      </c>
      <c r="R22" t="s">
        <v>3697</v>
      </c>
      <c r="S22" t="s">
        <v>231</v>
      </c>
      <c r="T22" t="s">
        <v>231</v>
      </c>
      <c r="U22" t="s">
        <v>101</v>
      </c>
      <c r="V22" t="s">
        <v>231</v>
      </c>
      <c r="W22" t="s">
        <v>231</v>
      </c>
      <c r="X22" t="s">
        <v>3523</v>
      </c>
      <c r="Y22" t="s">
        <v>231</v>
      </c>
      <c r="Z22" t="s">
        <v>160</v>
      </c>
      <c r="AA22" t="s">
        <v>151</v>
      </c>
      <c r="AB22" t="s">
        <v>151</v>
      </c>
      <c r="AC22" t="s">
        <v>343</v>
      </c>
      <c r="AD22" t="s">
        <v>343</v>
      </c>
      <c r="AE22" t="s">
        <v>344</v>
      </c>
      <c r="AF22" t="s">
        <v>3561</v>
      </c>
      <c r="AG22" t="s">
        <v>3562</v>
      </c>
      <c r="AH22" t="s">
        <v>3698</v>
      </c>
      <c r="AI22" t="s">
        <v>3699</v>
      </c>
      <c r="AJ22" t="s">
        <v>3603</v>
      </c>
      <c r="AK22" t="s">
        <v>3700</v>
      </c>
      <c r="AL22" t="s">
        <v>3566</v>
      </c>
      <c r="AM22" t="s">
        <v>3531</v>
      </c>
      <c r="AN22" t="s">
        <v>3701</v>
      </c>
      <c r="AO22" t="s">
        <v>3702</v>
      </c>
      <c r="AP22" t="s">
        <v>231</v>
      </c>
      <c r="AQ22" t="s">
        <v>231</v>
      </c>
      <c r="AR22" t="s">
        <v>231</v>
      </c>
      <c r="AS22" t="s">
        <v>231</v>
      </c>
      <c r="AT22" t="s">
        <v>231</v>
      </c>
      <c r="AU22" t="s">
        <v>231</v>
      </c>
      <c r="AV22" t="s">
        <v>231</v>
      </c>
      <c r="AW22" t="s">
        <v>231</v>
      </c>
      <c r="AX22" t="s">
        <v>231</v>
      </c>
      <c r="AY22" t="s">
        <v>231</v>
      </c>
      <c r="AZ22" t="s">
        <v>231</v>
      </c>
      <c r="BA22" t="s">
        <v>231</v>
      </c>
      <c r="BB22" t="s">
        <v>231</v>
      </c>
      <c r="BC22" t="s">
        <v>231</v>
      </c>
      <c r="BD22" t="s">
        <v>231</v>
      </c>
      <c r="BE22" t="s">
        <v>231</v>
      </c>
      <c r="BF22" t="s">
        <v>231</v>
      </c>
      <c r="BG22" t="s">
        <v>231</v>
      </c>
      <c r="BH22" t="s">
        <v>231</v>
      </c>
      <c r="BI22" t="s">
        <v>231</v>
      </c>
      <c r="BJ22" t="s">
        <v>231</v>
      </c>
      <c r="BK22" t="s">
        <v>231</v>
      </c>
      <c r="BL22" t="s">
        <v>231</v>
      </c>
      <c r="BM22" t="s">
        <v>231</v>
      </c>
      <c r="BN22" t="s">
        <v>231</v>
      </c>
      <c r="BO22" t="s">
        <v>231</v>
      </c>
      <c r="BP22" t="s">
        <v>231</v>
      </c>
      <c r="BQ22" t="s">
        <v>231</v>
      </c>
      <c r="BR22" t="s">
        <v>231</v>
      </c>
      <c r="BS22" t="s">
        <v>231</v>
      </c>
      <c r="BT22" t="s">
        <v>231</v>
      </c>
      <c r="BU22" t="s">
        <v>231</v>
      </c>
      <c r="BV22" t="s">
        <v>231</v>
      </c>
      <c r="BW22" t="s">
        <v>231</v>
      </c>
      <c r="BX22" t="s">
        <v>231</v>
      </c>
      <c r="BY22" t="s">
        <v>231</v>
      </c>
      <c r="BZ22" t="s">
        <v>231</v>
      </c>
      <c r="CA22" t="s">
        <v>231</v>
      </c>
      <c r="CB22" t="s">
        <v>231</v>
      </c>
      <c r="CC22" t="s">
        <v>231</v>
      </c>
      <c r="CD22" t="s">
        <v>231</v>
      </c>
      <c r="CE22" t="s">
        <v>231</v>
      </c>
      <c r="CF22" t="s">
        <v>231</v>
      </c>
      <c r="CG22" t="s">
        <v>231</v>
      </c>
      <c r="CH22" t="s">
        <v>231</v>
      </c>
      <c r="CI22" t="s">
        <v>231</v>
      </c>
      <c r="CJ22" t="s">
        <v>231</v>
      </c>
      <c r="CK22" t="s">
        <v>231</v>
      </c>
      <c r="CL22" t="s">
        <v>231</v>
      </c>
      <c r="CM22" t="s">
        <v>231</v>
      </c>
      <c r="CN22" t="s">
        <v>231</v>
      </c>
      <c r="CO22" t="s">
        <v>231</v>
      </c>
      <c r="CP22" t="s">
        <v>231</v>
      </c>
      <c r="CQ22" t="s">
        <v>231</v>
      </c>
      <c r="CR22" t="s">
        <v>231</v>
      </c>
      <c r="CS22" t="s">
        <v>231</v>
      </c>
      <c r="CT22" t="s">
        <v>3534</v>
      </c>
      <c r="CU22" t="s">
        <v>3535</v>
      </c>
      <c r="CV22" t="s">
        <v>3536</v>
      </c>
      <c r="CW22" t="s">
        <v>3569</v>
      </c>
      <c r="CX22" t="s">
        <v>3570</v>
      </c>
      <c r="CY22" t="s">
        <v>3536</v>
      </c>
      <c r="CZ22" t="s">
        <v>224</v>
      </c>
      <c r="DA22" t="s">
        <v>3571</v>
      </c>
      <c r="DB22" t="s">
        <v>3569</v>
      </c>
      <c r="DC22" t="s">
        <v>363</v>
      </c>
      <c r="DD22" t="s">
        <v>282</v>
      </c>
      <c r="DE22" t="s">
        <v>3703</v>
      </c>
    </row>
    <row r="23" spans="1:109" ht="11.25" customHeight="1">
      <c r="A23" s="1314" t="s">
        <v>231</v>
      </c>
      <c r="B23" t="s">
        <v>231</v>
      </c>
      <c r="C23" t="s">
        <v>231</v>
      </c>
      <c r="D23" t="s">
        <v>231</v>
      </c>
      <c r="E23" t="s">
        <v>231</v>
      </c>
      <c r="F23" t="s">
        <v>231</v>
      </c>
      <c r="G23" t="s">
        <v>231</v>
      </c>
      <c r="H23" t="s">
        <v>231</v>
      </c>
      <c r="I23" t="s">
        <v>3521</v>
      </c>
      <c r="J23" t="s">
        <v>231</v>
      </c>
      <c r="K23" t="s">
        <v>231</v>
      </c>
      <c r="L23" t="s">
        <v>231</v>
      </c>
      <c r="M23" t="s">
        <v>231</v>
      </c>
      <c r="N23" t="s">
        <v>231</v>
      </c>
      <c r="O23" t="s">
        <v>231</v>
      </c>
      <c r="P23" t="s">
        <v>231</v>
      </c>
      <c r="Q23" t="s">
        <v>231</v>
      </c>
      <c r="R23" t="s">
        <v>3704</v>
      </c>
      <c r="S23" t="s">
        <v>231</v>
      </c>
      <c r="T23" t="s">
        <v>231</v>
      </c>
      <c r="U23" t="s">
        <v>101</v>
      </c>
      <c r="V23" t="s">
        <v>231</v>
      </c>
      <c r="W23" t="s">
        <v>231</v>
      </c>
      <c r="X23" t="s">
        <v>3628</v>
      </c>
      <c r="Y23" t="s">
        <v>231</v>
      </c>
      <c r="Z23" t="s">
        <v>151</v>
      </c>
      <c r="AA23" t="s">
        <v>151</v>
      </c>
      <c r="AB23" t="s">
        <v>160</v>
      </c>
      <c r="AC23" t="s">
        <v>2289</v>
      </c>
      <c r="AD23" t="s">
        <v>2289</v>
      </c>
      <c r="AE23" t="s">
        <v>2290</v>
      </c>
      <c r="AF23" t="s">
        <v>3705</v>
      </c>
      <c r="AG23" t="s">
        <v>3706</v>
      </c>
      <c r="AH23" t="s">
        <v>3618</v>
      </c>
      <c r="AI23" t="s">
        <v>3618</v>
      </c>
      <c r="AJ23" t="s">
        <v>231</v>
      </c>
      <c r="AK23" t="s">
        <v>231</v>
      </c>
      <c r="AL23" t="s">
        <v>231</v>
      </c>
      <c r="AM23" t="s">
        <v>231</v>
      </c>
      <c r="AN23" t="s">
        <v>231</v>
      </c>
      <c r="AO23" t="s">
        <v>231</v>
      </c>
      <c r="AP23" t="s">
        <v>231</v>
      </c>
      <c r="AQ23" t="s">
        <v>231</v>
      </c>
      <c r="AR23" t="s">
        <v>231</v>
      </c>
      <c r="AS23" t="s">
        <v>231</v>
      </c>
      <c r="AT23" t="s">
        <v>231</v>
      </c>
      <c r="AU23" t="s">
        <v>231</v>
      </c>
      <c r="AV23" t="s">
        <v>231</v>
      </c>
      <c r="AW23" t="s">
        <v>231</v>
      </c>
      <c r="AX23" t="s">
        <v>231</v>
      </c>
      <c r="AY23" t="s">
        <v>231</v>
      </c>
      <c r="AZ23" t="s">
        <v>231</v>
      </c>
      <c r="BA23" t="s">
        <v>231</v>
      </c>
      <c r="BB23" t="s">
        <v>231</v>
      </c>
      <c r="BC23" t="s">
        <v>231</v>
      </c>
      <c r="BD23" t="s">
        <v>231</v>
      </c>
      <c r="BE23" t="s">
        <v>3619</v>
      </c>
      <c r="BF23" t="s">
        <v>3586</v>
      </c>
      <c r="BG23" t="s">
        <v>111</v>
      </c>
      <c r="BH23" t="s">
        <v>3632</v>
      </c>
      <c r="BI23" t="s">
        <v>122</v>
      </c>
      <c r="BJ23" t="s">
        <v>231</v>
      </c>
      <c r="BK23" t="s">
        <v>3651</v>
      </c>
      <c r="BL23" t="s">
        <v>2289</v>
      </c>
      <c r="BM23" t="s">
        <v>2289</v>
      </c>
      <c r="BN23" t="s">
        <v>3707</v>
      </c>
      <c r="BO23" t="s">
        <v>3705</v>
      </c>
      <c r="BP23" t="s">
        <v>3708</v>
      </c>
      <c r="BQ23" t="s">
        <v>3618</v>
      </c>
      <c r="BR23" t="s">
        <v>3618</v>
      </c>
      <c r="BS23" t="s">
        <v>231</v>
      </c>
      <c r="BT23" t="s">
        <v>3694</v>
      </c>
      <c r="BU23" t="s">
        <v>3709</v>
      </c>
      <c r="BV23" t="s">
        <v>3709</v>
      </c>
      <c r="BW23" t="s">
        <v>3641</v>
      </c>
      <c r="BX23" t="s">
        <v>3641</v>
      </c>
      <c r="BY23" t="s">
        <v>3641</v>
      </c>
      <c r="BZ23" t="s">
        <v>3641</v>
      </c>
      <c r="CA23" t="s">
        <v>3641</v>
      </c>
      <c r="CB23" t="s">
        <v>231</v>
      </c>
      <c r="CC23" t="s">
        <v>231</v>
      </c>
      <c r="CD23" t="s">
        <v>231</v>
      </c>
      <c r="CE23" t="s">
        <v>231</v>
      </c>
      <c r="CF23" t="s">
        <v>231</v>
      </c>
      <c r="CG23" t="s">
        <v>3641</v>
      </c>
      <c r="CH23" t="s">
        <v>231</v>
      </c>
      <c r="CI23" t="s">
        <v>231</v>
      </c>
      <c r="CJ23" t="s">
        <v>231</v>
      </c>
      <c r="CK23" t="s">
        <v>231</v>
      </c>
      <c r="CL23" t="s">
        <v>231</v>
      </c>
      <c r="CM23" t="s">
        <v>3709</v>
      </c>
      <c r="CN23" t="s">
        <v>3709</v>
      </c>
      <c r="CO23" t="s">
        <v>231</v>
      </c>
      <c r="CP23" t="s">
        <v>231</v>
      </c>
      <c r="CQ23" t="s">
        <v>231</v>
      </c>
      <c r="CR23" t="s">
        <v>231</v>
      </c>
      <c r="CS23" t="s">
        <v>3710</v>
      </c>
      <c r="CT23" t="s">
        <v>3534</v>
      </c>
      <c r="CU23" t="s">
        <v>3535</v>
      </c>
      <c r="CV23" t="s">
        <v>3536</v>
      </c>
      <c r="CW23" t="s">
        <v>3589</v>
      </c>
      <c r="CX23" t="s">
        <v>223</v>
      </c>
      <c r="CY23" t="s">
        <v>3536</v>
      </c>
      <c r="CZ23" t="s">
        <v>3590</v>
      </c>
      <c r="DA23" t="s">
        <v>3591</v>
      </c>
      <c r="DB23" t="s">
        <v>3589</v>
      </c>
      <c r="DC23" t="s">
        <v>363</v>
      </c>
      <c r="DD23" t="s">
        <v>282</v>
      </c>
      <c r="DE23" t="s">
        <v>3711</v>
      </c>
    </row>
    <row r="24" spans="1:109" ht="11.25" customHeight="1">
      <c r="A24" s="1314" t="s">
        <v>231</v>
      </c>
      <c r="B24" t="s">
        <v>231</v>
      </c>
      <c r="C24" t="s">
        <v>231</v>
      </c>
      <c r="D24" t="s">
        <v>231</v>
      </c>
      <c r="E24" t="s">
        <v>231</v>
      </c>
      <c r="F24" t="s">
        <v>231</v>
      </c>
      <c r="G24" t="s">
        <v>231</v>
      </c>
      <c r="H24" t="s">
        <v>231</v>
      </c>
      <c r="I24" t="s">
        <v>3521</v>
      </c>
      <c r="J24" t="s">
        <v>231</v>
      </c>
      <c r="K24" t="s">
        <v>231</v>
      </c>
      <c r="L24" t="s">
        <v>231</v>
      </c>
      <c r="M24" t="s">
        <v>231</v>
      </c>
      <c r="N24" t="s">
        <v>231</v>
      </c>
      <c r="O24" t="s">
        <v>231</v>
      </c>
      <c r="P24" t="s">
        <v>231</v>
      </c>
      <c r="Q24" t="s">
        <v>231</v>
      </c>
      <c r="R24" t="s">
        <v>3615</v>
      </c>
      <c r="S24" t="s">
        <v>231</v>
      </c>
      <c r="T24" t="s">
        <v>231</v>
      </c>
      <c r="U24" t="s">
        <v>101</v>
      </c>
      <c r="V24" t="s">
        <v>231</v>
      </c>
      <c r="W24" t="s">
        <v>231</v>
      </c>
      <c r="X24" t="s">
        <v>3523</v>
      </c>
      <c r="Y24" t="s">
        <v>231</v>
      </c>
      <c r="Z24" t="s">
        <v>160</v>
      </c>
      <c r="AA24" t="s">
        <v>151</v>
      </c>
      <c r="AB24" t="s">
        <v>151</v>
      </c>
      <c r="AC24" t="s">
        <v>2289</v>
      </c>
      <c r="AD24" t="s">
        <v>2289</v>
      </c>
      <c r="AE24" t="s">
        <v>2290</v>
      </c>
      <c r="AF24" t="s">
        <v>3712</v>
      </c>
      <c r="AG24" t="s">
        <v>3713</v>
      </c>
      <c r="AH24" t="s">
        <v>3714</v>
      </c>
      <c r="AI24" t="s">
        <v>3715</v>
      </c>
      <c r="AJ24" t="s">
        <v>3619</v>
      </c>
      <c r="AK24" t="s">
        <v>3716</v>
      </c>
      <c r="AL24" t="s">
        <v>3548</v>
      </c>
      <c r="AM24" t="s">
        <v>3531</v>
      </c>
      <c r="AN24" t="s">
        <v>3595</v>
      </c>
      <c r="AO24" t="s">
        <v>3668</v>
      </c>
      <c r="AP24" t="s">
        <v>231</v>
      </c>
      <c r="AQ24" t="s">
        <v>231</v>
      </c>
      <c r="AR24" t="s">
        <v>231</v>
      </c>
      <c r="AS24" t="s">
        <v>231</v>
      </c>
      <c r="AT24" t="s">
        <v>231</v>
      </c>
      <c r="AU24" t="s">
        <v>231</v>
      </c>
      <c r="AV24" t="s">
        <v>231</v>
      </c>
      <c r="AW24" t="s">
        <v>231</v>
      </c>
      <c r="AX24" t="s">
        <v>231</v>
      </c>
      <c r="AY24" t="s">
        <v>231</v>
      </c>
      <c r="AZ24" t="s">
        <v>231</v>
      </c>
      <c r="BA24" t="s">
        <v>231</v>
      </c>
      <c r="BB24" t="s">
        <v>231</v>
      </c>
      <c r="BC24" t="s">
        <v>231</v>
      </c>
      <c r="BD24" t="s">
        <v>231</v>
      </c>
      <c r="BE24" t="s">
        <v>231</v>
      </c>
      <c r="BF24" t="s">
        <v>231</v>
      </c>
      <c r="BG24" t="s">
        <v>231</v>
      </c>
      <c r="BH24" t="s">
        <v>231</v>
      </c>
      <c r="BI24" t="s">
        <v>231</v>
      </c>
      <c r="BJ24" t="s">
        <v>231</v>
      </c>
      <c r="BK24" t="s">
        <v>231</v>
      </c>
      <c r="BL24" t="s">
        <v>231</v>
      </c>
      <c r="BM24" t="s">
        <v>231</v>
      </c>
      <c r="BN24" t="s">
        <v>231</v>
      </c>
      <c r="BO24" t="s">
        <v>231</v>
      </c>
      <c r="BP24" t="s">
        <v>231</v>
      </c>
      <c r="BQ24" t="s">
        <v>231</v>
      </c>
      <c r="BR24" t="s">
        <v>231</v>
      </c>
      <c r="BS24" t="s">
        <v>231</v>
      </c>
      <c r="BT24" t="s">
        <v>231</v>
      </c>
      <c r="BU24" t="s">
        <v>231</v>
      </c>
      <c r="BV24" t="s">
        <v>231</v>
      </c>
      <c r="BW24" t="s">
        <v>231</v>
      </c>
      <c r="BX24" t="s">
        <v>231</v>
      </c>
      <c r="BY24" t="s">
        <v>231</v>
      </c>
      <c r="BZ24" t="s">
        <v>231</v>
      </c>
      <c r="CA24" t="s">
        <v>231</v>
      </c>
      <c r="CB24" t="s">
        <v>231</v>
      </c>
      <c r="CC24" t="s">
        <v>231</v>
      </c>
      <c r="CD24" t="s">
        <v>231</v>
      </c>
      <c r="CE24" t="s">
        <v>231</v>
      </c>
      <c r="CF24" t="s">
        <v>231</v>
      </c>
      <c r="CG24" t="s">
        <v>231</v>
      </c>
      <c r="CH24" t="s">
        <v>231</v>
      </c>
      <c r="CI24" t="s">
        <v>231</v>
      </c>
      <c r="CJ24" t="s">
        <v>231</v>
      </c>
      <c r="CK24" t="s">
        <v>231</v>
      </c>
      <c r="CL24" t="s">
        <v>231</v>
      </c>
      <c r="CM24" t="s">
        <v>231</v>
      </c>
      <c r="CN24" t="s">
        <v>231</v>
      </c>
      <c r="CO24" t="s">
        <v>231</v>
      </c>
      <c r="CP24" t="s">
        <v>231</v>
      </c>
      <c r="CQ24" t="s">
        <v>231</v>
      </c>
      <c r="CR24" t="s">
        <v>231</v>
      </c>
      <c r="CS24" t="s">
        <v>231</v>
      </c>
      <c r="CT24" t="s">
        <v>3534</v>
      </c>
      <c r="CU24" t="s">
        <v>3535</v>
      </c>
      <c r="CV24" t="s">
        <v>3536</v>
      </c>
      <c r="CW24" t="s">
        <v>3589</v>
      </c>
      <c r="CX24" t="s">
        <v>223</v>
      </c>
      <c r="CY24" t="s">
        <v>3536</v>
      </c>
      <c r="CZ24" t="s">
        <v>3590</v>
      </c>
      <c r="DA24" t="s">
        <v>3591</v>
      </c>
      <c r="DB24" t="s">
        <v>3589</v>
      </c>
      <c r="DC24" t="s">
        <v>363</v>
      </c>
      <c r="DD24" t="s">
        <v>282</v>
      </c>
      <c r="DE24" t="s">
        <v>3717</v>
      </c>
    </row>
    <row r="25" spans="1:109" ht="11.25" customHeight="1">
      <c r="A25" s="1314" t="s">
        <v>231</v>
      </c>
      <c r="B25" t="s">
        <v>231</v>
      </c>
      <c r="C25" t="s">
        <v>231</v>
      </c>
      <c r="D25" t="s">
        <v>231</v>
      </c>
      <c r="E25" t="s">
        <v>231</v>
      </c>
      <c r="F25" t="s">
        <v>231</v>
      </c>
      <c r="G25" t="s">
        <v>231</v>
      </c>
      <c r="H25" t="s">
        <v>231</v>
      </c>
      <c r="I25" t="s">
        <v>3521</v>
      </c>
      <c r="J25" t="s">
        <v>231</v>
      </c>
      <c r="K25" t="s">
        <v>231</v>
      </c>
      <c r="L25" t="s">
        <v>231</v>
      </c>
      <c r="M25" t="s">
        <v>231</v>
      </c>
      <c r="N25" t="s">
        <v>231</v>
      </c>
      <c r="O25" t="s">
        <v>231</v>
      </c>
      <c r="P25" t="s">
        <v>231</v>
      </c>
      <c r="Q25" t="s">
        <v>231</v>
      </c>
      <c r="R25" t="s">
        <v>3718</v>
      </c>
      <c r="S25" t="s">
        <v>231</v>
      </c>
      <c r="T25" t="s">
        <v>231</v>
      </c>
      <c r="U25" t="s">
        <v>101</v>
      </c>
      <c r="V25" t="s">
        <v>231</v>
      </c>
      <c r="W25" t="s">
        <v>231</v>
      </c>
      <c r="X25" t="s">
        <v>3628</v>
      </c>
      <c r="Y25" t="s">
        <v>231</v>
      </c>
      <c r="Z25" t="s">
        <v>151</v>
      </c>
      <c r="AA25" t="s">
        <v>151</v>
      </c>
      <c r="AB25" t="s">
        <v>160</v>
      </c>
      <c r="AC25" t="s">
        <v>2289</v>
      </c>
      <c r="AD25" t="s">
        <v>2289</v>
      </c>
      <c r="AE25" t="s">
        <v>2290</v>
      </c>
      <c r="AF25" t="s">
        <v>3712</v>
      </c>
      <c r="AG25" t="s">
        <v>3713</v>
      </c>
      <c r="AH25" t="s">
        <v>3618</v>
      </c>
      <c r="AI25" t="s">
        <v>3618</v>
      </c>
      <c r="AJ25" t="s">
        <v>231</v>
      </c>
      <c r="AK25" t="s">
        <v>231</v>
      </c>
      <c r="AL25" t="s">
        <v>231</v>
      </c>
      <c r="AM25" t="s">
        <v>231</v>
      </c>
      <c r="AN25" t="s">
        <v>231</v>
      </c>
      <c r="AO25" t="s">
        <v>231</v>
      </c>
      <c r="AP25" t="s">
        <v>231</v>
      </c>
      <c r="AQ25" t="s">
        <v>231</v>
      </c>
      <c r="AR25" t="s">
        <v>231</v>
      </c>
      <c r="AS25" t="s">
        <v>231</v>
      </c>
      <c r="AT25" t="s">
        <v>231</v>
      </c>
      <c r="AU25" t="s">
        <v>231</v>
      </c>
      <c r="AV25" t="s">
        <v>231</v>
      </c>
      <c r="AW25" t="s">
        <v>231</v>
      </c>
      <c r="AX25" t="s">
        <v>231</v>
      </c>
      <c r="AY25" t="s">
        <v>231</v>
      </c>
      <c r="AZ25" t="s">
        <v>231</v>
      </c>
      <c r="BA25" t="s">
        <v>231</v>
      </c>
      <c r="BB25" t="s">
        <v>231</v>
      </c>
      <c r="BC25" t="s">
        <v>231</v>
      </c>
      <c r="BD25" t="s">
        <v>231</v>
      </c>
      <c r="BE25" t="s">
        <v>3594</v>
      </c>
      <c r="BF25" t="s">
        <v>3586</v>
      </c>
      <c r="BG25" t="s">
        <v>111</v>
      </c>
      <c r="BH25" t="s">
        <v>3632</v>
      </c>
      <c r="BI25" t="s">
        <v>122</v>
      </c>
      <c r="BJ25" t="s">
        <v>231</v>
      </c>
      <c r="BK25" t="s">
        <v>3651</v>
      </c>
      <c r="BL25" t="s">
        <v>2289</v>
      </c>
      <c r="BM25" t="s">
        <v>2289</v>
      </c>
      <c r="BN25" t="s">
        <v>3707</v>
      </c>
      <c r="BO25" t="s">
        <v>3712</v>
      </c>
      <c r="BP25" t="s">
        <v>3719</v>
      </c>
      <c r="BQ25" t="s">
        <v>3618</v>
      </c>
      <c r="BR25" t="s">
        <v>3618</v>
      </c>
      <c r="BS25" t="s">
        <v>231</v>
      </c>
      <c r="BT25" t="s">
        <v>3694</v>
      </c>
      <c r="BU25" t="s">
        <v>3720</v>
      </c>
      <c r="BV25" t="s">
        <v>3720</v>
      </c>
      <c r="BW25" t="s">
        <v>3641</v>
      </c>
      <c r="BX25" t="s">
        <v>3641</v>
      </c>
      <c r="BY25" t="s">
        <v>3641</v>
      </c>
      <c r="BZ25" t="s">
        <v>3641</v>
      </c>
      <c r="CA25" t="s">
        <v>3641</v>
      </c>
      <c r="CB25" t="s">
        <v>231</v>
      </c>
      <c r="CC25" t="s">
        <v>231</v>
      </c>
      <c r="CD25" t="s">
        <v>231</v>
      </c>
      <c r="CE25" t="s">
        <v>231</v>
      </c>
      <c r="CF25" t="s">
        <v>231</v>
      </c>
      <c r="CG25" t="s">
        <v>3641</v>
      </c>
      <c r="CH25" t="s">
        <v>231</v>
      </c>
      <c r="CI25" t="s">
        <v>231</v>
      </c>
      <c r="CJ25" t="s">
        <v>231</v>
      </c>
      <c r="CK25" t="s">
        <v>231</v>
      </c>
      <c r="CL25" t="s">
        <v>231</v>
      </c>
      <c r="CM25" t="s">
        <v>3720</v>
      </c>
      <c r="CN25" t="s">
        <v>3720</v>
      </c>
      <c r="CO25" t="s">
        <v>231</v>
      </c>
      <c r="CP25" t="s">
        <v>231</v>
      </c>
      <c r="CQ25" t="s">
        <v>231</v>
      </c>
      <c r="CR25" t="s">
        <v>231</v>
      </c>
      <c r="CS25" t="s">
        <v>3710</v>
      </c>
      <c r="CT25" t="s">
        <v>3534</v>
      </c>
      <c r="CU25" t="s">
        <v>3535</v>
      </c>
      <c r="CV25" t="s">
        <v>3536</v>
      </c>
      <c r="CW25" t="s">
        <v>3589</v>
      </c>
      <c r="CX25" t="s">
        <v>223</v>
      </c>
      <c r="CY25" t="s">
        <v>3536</v>
      </c>
      <c r="CZ25" t="s">
        <v>3590</v>
      </c>
      <c r="DA25" t="s">
        <v>3591</v>
      </c>
      <c r="DB25" t="s">
        <v>3589</v>
      </c>
      <c r="DC25" t="s">
        <v>363</v>
      </c>
      <c r="DD25" t="s">
        <v>282</v>
      </c>
      <c r="DE25" t="s">
        <v>3721</v>
      </c>
    </row>
    <row r="26" spans="1:109" ht="11.25" customHeight="1">
      <c r="A26" s="1314" t="s">
        <v>231</v>
      </c>
      <c r="B26" t="s">
        <v>231</v>
      </c>
      <c r="C26" t="s">
        <v>231</v>
      </c>
      <c r="D26" t="s">
        <v>231</v>
      </c>
      <c r="E26" t="s">
        <v>231</v>
      </c>
      <c r="F26" t="s">
        <v>231</v>
      </c>
      <c r="G26" t="s">
        <v>231</v>
      </c>
      <c r="H26" t="s">
        <v>231</v>
      </c>
      <c r="I26" t="s">
        <v>3521</v>
      </c>
      <c r="J26" t="s">
        <v>231</v>
      </c>
      <c r="K26" t="s">
        <v>231</v>
      </c>
      <c r="L26" t="s">
        <v>231</v>
      </c>
      <c r="M26" t="s">
        <v>231</v>
      </c>
      <c r="N26" t="s">
        <v>231</v>
      </c>
      <c r="O26" t="s">
        <v>231</v>
      </c>
      <c r="P26" t="s">
        <v>231</v>
      </c>
      <c r="Q26" t="s">
        <v>231</v>
      </c>
      <c r="R26" t="s">
        <v>3615</v>
      </c>
      <c r="S26" t="s">
        <v>231</v>
      </c>
      <c r="T26" t="s">
        <v>231</v>
      </c>
      <c r="U26" t="s">
        <v>101</v>
      </c>
      <c r="V26" t="s">
        <v>231</v>
      </c>
      <c r="W26" t="s">
        <v>231</v>
      </c>
      <c r="X26" t="s">
        <v>3523</v>
      </c>
      <c r="Y26" t="s">
        <v>231</v>
      </c>
      <c r="Z26" t="s">
        <v>160</v>
      </c>
      <c r="AA26" t="s">
        <v>151</v>
      </c>
      <c r="AB26" t="s">
        <v>151</v>
      </c>
      <c r="AC26" t="s">
        <v>2289</v>
      </c>
      <c r="AD26" t="s">
        <v>2289</v>
      </c>
      <c r="AE26" t="s">
        <v>2290</v>
      </c>
      <c r="AF26" t="s">
        <v>3722</v>
      </c>
      <c r="AG26" t="s">
        <v>3723</v>
      </c>
      <c r="AH26" t="s">
        <v>3714</v>
      </c>
      <c r="AI26" t="s">
        <v>3655</v>
      </c>
      <c r="AJ26" t="s">
        <v>3546</v>
      </c>
      <c r="AK26" t="s">
        <v>3716</v>
      </c>
      <c r="AL26" t="s">
        <v>3548</v>
      </c>
      <c r="AM26" t="s">
        <v>3531</v>
      </c>
      <c r="AN26" t="s">
        <v>3587</v>
      </c>
      <c r="AO26" t="s">
        <v>3724</v>
      </c>
      <c r="AP26" t="s">
        <v>231</v>
      </c>
      <c r="AQ26" t="s">
        <v>231</v>
      </c>
      <c r="AR26" t="s">
        <v>231</v>
      </c>
      <c r="AS26" t="s">
        <v>231</v>
      </c>
      <c r="AT26" t="s">
        <v>231</v>
      </c>
      <c r="AU26" t="s">
        <v>231</v>
      </c>
      <c r="AV26" t="s">
        <v>231</v>
      </c>
      <c r="AW26" t="s">
        <v>231</v>
      </c>
      <c r="AX26" t="s">
        <v>231</v>
      </c>
      <c r="AY26" t="s">
        <v>231</v>
      </c>
      <c r="AZ26" t="s">
        <v>231</v>
      </c>
      <c r="BA26" t="s">
        <v>231</v>
      </c>
      <c r="BB26" t="s">
        <v>231</v>
      </c>
      <c r="BC26" t="s">
        <v>231</v>
      </c>
      <c r="BD26" t="s">
        <v>231</v>
      </c>
      <c r="BE26" t="s">
        <v>231</v>
      </c>
      <c r="BF26" t="s">
        <v>231</v>
      </c>
      <c r="BG26" t="s">
        <v>231</v>
      </c>
      <c r="BH26" t="s">
        <v>231</v>
      </c>
      <c r="BI26" t="s">
        <v>231</v>
      </c>
      <c r="BJ26" t="s">
        <v>231</v>
      </c>
      <c r="BK26" t="s">
        <v>231</v>
      </c>
      <c r="BL26" t="s">
        <v>231</v>
      </c>
      <c r="BM26" t="s">
        <v>231</v>
      </c>
      <c r="BN26" t="s">
        <v>231</v>
      </c>
      <c r="BO26" t="s">
        <v>231</v>
      </c>
      <c r="BP26" t="s">
        <v>231</v>
      </c>
      <c r="BQ26" t="s">
        <v>231</v>
      </c>
      <c r="BR26" t="s">
        <v>231</v>
      </c>
      <c r="BS26" t="s">
        <v>231</v>
      </c>
      <c r="BT26" t="s">
        <v>231</v>
      </c>
      <c r="BU26" t="s">
        <v>231</v>
      </c>
      <c r="BV26" t="s">
        <v>231</v>
      </c>
      <c r="BW26" t="s">
        <v>231</v>
      </c>
      <c r="BX26" t="s">
        <v>231</v>
      </c>
      <c r="BY26" t="s">
        <v>231</v>
      </c>
      <c r="BZ26" t="s">
        <v>231</v>
      </c>
      <c r="CA26" t="s">
        <v>231</v>
      </c>
      <c r="CB26" t="s">
        <v>231</v>
      </c>
      <c r="CC26" t="s">
        <v>231</v>
      </c>
      <c r="CD26" t="s">
        <v>231</v>
      </c>
      <c r="CE26" t="s">
        <v>231</v>
      </c>
      <c r="CF26" t="s">
        <v>231</v>
      </c>
      <c r="CG26" t="s">
        <v>231</v>
      </c>
      <c r="CH26" t="s">
        <v>231</v>
      </c>
      <c r="CI26" t="s">
        <v>231</v>
      </c>
      <c r="CJ26" t="s">
        <v>231</v>
      </c>
      <c r="CK26" t="s">
        <v>231</v>
      </c>
      <c r="CL26" t="s">
        <v>231</v>
      </c>
      <c r="CM26" t="s">
        <v>231</v>
      </c>
      <c r="CN26" t="s">
        <v>231</v>
      </c>
      <c r="CO26" t="s">
        <v>231</v>
      </c>
      <c r="CP26" t="s">
        <v>231</v>
      </c>
      <c r="CQ26" t="s">
        <v>231</v>
      </c>
      <c r="CR26" t="s">
        <v>231</v>
      </c>
      <c r="CS26" t="s">
        <v>231</v>
      </c>
      <c r="CT26" t="s">
        <v>3534</v>
      </c>
      <c r="CU26" t="s">
        <v>3535</v>
      </c>
      <c r="CV26" t="s">
        <v>3536</v>
      </c>
      <c r="CW26" t="s">
        <v>3589</v>
      </c>
      <c r="CX26" t="s">
        <v>223</v>
      </c>
      <c r="CY26" t="s">
        <v>3536</v>
      </c>
      <c r="CZ26" t="s">
        <v>3590</v>
      </c>
      <c r="DA26" t="s">
        <v>3591</v>
      </c>
      <c r="DB26" t="s">
        <v>3589</v>
      </c>
      <c r="DC26" t="s">
        <v>363</v>
      </c>
      <c r="DD26" t="s">
        <v>282</v>
      </c>
      <c r="DE26" t="s">
        <v>3725</v>
      </c>
    </row>
    <row r="27" spans="1:109" ht="11.25" customHeight="1">
      <c r="A27" s="1314" t="s">
        <v>231</v>
      </c>
      <c r="B27" t="s">
        <v>231</v>
      </c>
      <c r="C27" t="s">
        <v>231</v>
      </c>
      <c r="D27" t="s">
        <v>231</v>
      </c>
      <c r="E27" t="s">
        <v>231</v>
      </c>
      <c r="F27" t="s">
        <v>231</v>
      </c>
      <c r="G27" t="s">
        <v>231</v>
      </c>
      <c r="H27" t="s">
        <v>231</v>
      </c>
      <c r="I27" t="s">
        <v>3521</v>
      </c>
      <c r="J27" t="s">
        <v>231</v>
      </c>
      <c r="K27" t="s">
        <v>231</v>
      </c>
      <c r="L27" t="s">
        <v>231</v>
      </c>
      <c r="M27" t="s">
        <v>231</v>
      </c>
      <c r="N27" t="s">
        <v>231</v>
      </c>
      <c r="O27" t="s">
        <v>231</v>
      </c>
      <c r="P27" t="s">
        <v>231</v>
      </c>
      <c r="Q27" t="s">
        <v>231</v>
      </c>
      <c r="R27" t="s">
        <v>3615</v>
      </c>
      <c r="S27" t="s">
        <v>231</v>
      </c>
      <c r="T27" t="s">
        <v>231</v>
      </c>
      <c r="U27" t="s">
        <v>101</v>
      </c>
      <c r="V27" t="s">
        <v>231</v>
      </c>
      <c r="W27" t="s">
        <v>231</v>
      </c>
      <c r="X27" t="s">
        <v>3523</v>
      </c>
      <c r="Y27" t="s">
        <v>231</v>
      </c>
      <c r="Z27" t="s">
        <v>160</v>
      </c>
      <c r="AA27" t="s">
        <v>151</v>
      </c>
      <c r="AB27" t="s">
        <v>151</v>
      </c>
      <c r="AC27" t="s">
        <v>2289</v>
      </c>
      <c r="AD27" t="s">
        <v>2289</v>
      </c>
      <c r="AE27" t="s">
        <v>2290</v>
      </c>
      <c r="AF27" t="s">
        <v>3726</v>
      </c>
      <c r="AG27" t="s">
        <v>3727</v>
      </c>
      <c r="AH27" t="s">
        <v>3728</v>
      </c>
      <c r="AI27" t="s">
        <v>1666</v>
      </c>
      <c r="AJ27" t="s">
        <v>3594</v>
      </c>
      <c r="AK27" t="s">
        <v>3586</v>
      </c>
      <c r="AL27" t="s">
        <v>3548</v>
      </c>
      <c r="AM27" t="s">
        <v>3531</v>
      </c>
      <c r="AN27" t="s">
        <v>3595</v>
      </c>
      <c r="AO27" t="s">
        <v>3668</v>
      </c>
      <c r="AP27" t="s">
        <v>231</v>
      </c>
      <c r="AQ27" t="s">
        <v>231</v>
      </c>
      <c r="AR27" t="s">
        <v>231</v>
      </c>
      <c r="AS27" t="s">
        <v>231</v>
      </c>
      <c r="AT27" t="s">
        <v>231</v>
      </c>
      <c r="AU27" t="s">
        <v>231</v>
      </c>
      <c r="AV27" t="s">
        <v>231</v>
      </c>
      <c r="AW27" t="s">
        <v>231</v>
      </c>
      <c r="AX27" t="s">
        <v>231</v>
      </c>
      <c r="AY27" t="s">
        <v>231</v>
      </c>
      <c r="AZ27" t="s">
        <v>231</v>
      </c>
      <c r="BA27" t="s">
        <v>231</v>
      </c>
      <c r="BB27" t="s">
        <v>231</v>
      </c>
      <c r="BC27" t="s">
        <v>231</v>
      </c>
      <c r="BD27" t="s">
        <v>231</v>
      </c>
      <c r="BE27" t="s">
        <v>231</v>
      </c>
      <c r="BF27" t="s">
        <v>231</v>
      </c>
      <c r="BG27" t="s">
        <v>231</v>
      </c>
      <c r="BH27" t="s">
        <v>231</v>
      </c>
      <c r="BI27" t="s">
        <v>231</v>
      </c>
      <c r="BJ27" t="s">
        <v>231</v>
      </c>
      <c r="BK27" t="s">
        <v>231</v>
      </c>
      <c r="BL27" t="s">
        <v>231</v>
      </c>
      <c r="BM27" t="s">
        <v>231</v>
      </c>
      <c r="BN27" t="s">
        <v>231</v>
      </c>
      <c r="BO27" t="s">
        <v>231</v>
      </c>
      <c r="BP27" t="s">
        <v>231</v>
      </c>
      <c r="BQ27" t="s">
        <v>231</v>
      </c>
      <c r="BR27" t="s">
        <v>231</v>
      </c>
      <c r="BS27" t="s">
        <v>231</v>
      </c>
      <c r="BT27" t="s">
        <v>231</v>
      </c>
      <c r="BU27" t="s">
        <v>231</v>
      </c>
      <c r="BV27" t="s">
        <v>231</v>
      </c>
      <c r="BW27" t="s">
        <v>231</v>
      </c>
      <c r="BX27" t="s">
        <v>231</v>
      </c>
      <c r="BY27" t="s">
        <v>231</v>
      </c>
      <c r="BZ27" t="s">
        <v>231</v>
      </c>
      <c r="CA27" t="s">
        <v>231</v>
      </c>
      <c r="CB27" t="s">
        <v>231</v>
      </c>
      <c r="CC27" t="s">
        <v>231</v>
      </c>
      <c r="CD27" t="s">
        <v>231</v>
      </c>
      <c r="CE27" t="s">
        <v>231</v>
      </c>
      <c r="CF27" t="s">
        <v>231</v>
      </c>
      <c r="CG27" t="s">
        <v>231</v>
      </c>
      <c r="CH27" t="s">
        <v>231</v>
      </c>
      <c r="CI27" t="s">
        <v>231</v>
      </c>
      <c r="CJ27" t="s">
        <v>231</v>
      </c>
      <c r="CK27" t="s">
        <v>231</v>
      </c>
      <c r="CL27" t="s">
        <v>231</v>
      </c>
      <c r="CM27" t="s">
        <v>231</v>
      </c>
      <c r="CN27" t="s">
        <v>231</v>
      </c>
      <c r="CO27" t="s">
        <v>231</v>
      </c>
      <c r="CP27" t="s">
        <v>231</v>
      </c>
      <c r="CQ27" t="s">
        <v>231</v>
      </c>
      <c r="CR27" t="s">
        <v>231</v>
      </c>
      <c r="CS27" t="s">
        <v>231</v>
      </c>
      <c r="CT27" t="s">
        <v>3534</v>
      </c>
      <c r="CU27" t="s">
        <v>3535</v>
      </c>
      <c r="CV27" t="s">
        <v>3536</v>
      </c>
      <c r="CW27" t="s">
        <v>3589</v>
      </c>
      <c r="CX27" t="s">
        <v>223</v>
      </c>
      <c r="CY27" t="s">
        <v>3536</v>
      </c>
      <c r="CZ27" t="s">
        <v>3590</v>
      </c>
      <c r="DA27" t="s">
        <v>3591</v>
      </c>
      <c r="DB27" t="s">
        <v>3589</v>
      </c>
      <c r="DC27" t="s">
        <v>363</v>
      </c>
      <c r="DD27" t="s">
        <v>282</v>
      </c>
      <c r="DE27" t="s">
        <v>3729</v>
      </c>
    </row>
    <row r="28" spans="1:109" ht="11.25" customHeight="1">
      <c r="A28" s="1314" t="s">
        <v>231</v>
      </c>
      <c r="B28" t="s">
        <v>231</v>
      </c>
      <c r="C28" t="s">
        <v>231</v>
      </c>
      <c r="D28" t="s">
        <v>231</v>
      </c>
      <c r="E28" t="s">
        <v>231</v>
      </c>
      <c r="F28" t="s">
        <v>231</v>
      </c>
      <c r="G28" t="s">
        <v>231</v>
      </c>
      <c r="H28" t="s">
        <v>231</v>
      </c>
      <c r="I28" t="s">
        <v>3521</v>
      </c>
      <c r="J28" t="s">
        <v>231</v>
      </c>
      <c r="K28" t="s">
        <v>231</v>
      </c>
      <c r="L28" t="s">
        <v>231</v>
      </c>
      <c r="M28" t="s">
        <v>231</v>
      </c>
      <c r="N28" t="s">
        <v>231</v>
      </c>
      <c r="O28" t="s">
        <v>231</v>
      </c>
      <c r="P28" t="s">
        <v>231</v>
      </c>
      <c r="Q28" t="s">
        <v>231</v>
      </c>
      <c r="R28" t="s">
        <v>3615</v>
      </c>
      <c r="S28" t="s">
        <v>231</v>
      </c>
      <c r="T28" t="s">
        <v>231</v>
      </c>
      <c r="U28" t="s">
        <v>101</v>
      </c>
      <c r="V28" t="s">
        <v>231</v>
      </c>
      <c r="W28" t="s">
        <v>231</v>
      </c>
      <c r="X28" t="s">
        <v>3523</v>
      </c>
      <c r="Y28" t="s">
        <v>231</v>
      </c>
      <c r="Z28" t="s">
        <v>160</v>
      </c>
      <c r="AA28" t="s">
        <v>151</v>
      </c>
      <c r="AB28" t="s">
        <v>151</v>
      </c>
      <c r="AC28" t="s">
        <v>2289</v>
      </c>
      <c r="AD28" t="s">
        <v>2289</v>
      </c>
      <c r="AE28" t="s">
        <v>2290</v>
      </c>
      <c r="AF28" t="s">
        <v>3730</v>
      </c>
      <c r="AG28" t="s">
        <v>3731</v>
      </c>
      <c r="AH28" t="s">
        <v>3732</v>
      </c>
      <c r="AI28" t="s">
        <v>3655</v>
      </c>
      <c r="AJ28" t="s">
        <v>3594</v>
      </c>
      <c r="AK28" t="s">
        <v>3586</v>
      </c>
      <c r="AL28" t="s">
        <v>3548</v>
      </c>
      <c r="AM28" t="s">
        <v>3531</v>
      </c>
      <c r="AN28" t="s">
        <v>3587</v>
      </c>
      <c r="AO28" t="s">
        <v>3724</v>
      </c>
      <c r="AP28" t="s">
        <v>231</v>
      </c>
      <c r="AQ28" t="s">
        <v>231</v>
      </c>
      <c r="AR28" t="s">
        <v>231</v>
      </c>
      <c r="AS28" t="s">
        <v>231</v>
      </c>
      <c r="AT28" t="s">
        <v>231</v>
      </c>
      <c r="AU28" t="s">
        <v>231</v>
      </c>
      <c r="AV28" t="s">
        <v>231</v>
      </c>
      <c r="AW28" t="s">
        <v>231</v>
      </c>
      <c r="AX28" t="s">
        <v>231</v>
      </c>
      <c r="AY28" t="s">
        <v>231</v>
      </c>
      <c r="AZ28" t="s">
        <v>231</v>
      </c>
      <c r="BA28" t="s">
        <v>231</v>
      </c>
      <c r="BB28" t="s">
        <v>231</v>
      </c>
      <c r="BC28" t="s">
        <v>231</v>
      </c>
      <c r="BD28" t="s">
        <v>231</v>
      </c>
      <c r="BE28" t="s">
        <v>231</v>
      </c>
      <c r="BF28" t="s">
        <v>231</v>
      </c>
      <c r="BG28" t="s">
        <v>231</v>
      </c>
      <c r="BH28" t="s">
        <v>231</v>
      </c>
      <c r="BI28" t="s">
        <v>231</v>
      </c>
      <c r="BJ28" t="s">
        <v>231</v>
      </c>
      <c r="BK28" t="s">
        <v>231</v>
      </c>
      <c r="BL28" t="s">
        <v>231</v>
      </c>
      <c r="BM28" t="s">
        <v>231</v>
      </c>
      <c r="BN28" t="s">
        <v>231</v>
      </c>
      <c r="BO28" t="s">
        <v>231</v>
      </c>
      <c r="BP28" t="s">
        <v>231</v>
      </c>
      <c r="BQ28" t="s">
        <v>231</v>
      </c>
      <c r="BR28" t="s">
        <v>231</v>
      </c>
      <c r="BS28" t="s">
        <v>231</v>
      </c>
      <c r="BT28" t="s">
        <v>231</v>
      </c>
      <c r="BU28" t="s">
        <v>231</v>
      </c>
      <c r="BV28" t="s">
        <v>231</v>
      </c>
      <c r="BW28" t="s">
        <v>231</v>
      </c>
      <c r="BX28" t="s">
        <v>231</v>
      </c>
      <c r="BY28" t="s">
        <v>231</v>
      </c>
      <c r="BZ28" t="s">
        <v>231</v>
      </c>
      <c r="CA28" t="s">
        <v>231</v>
      </c>
      <c r="CB28" t="s">
        <v>231</v>
      </c>
      <c r="CC28" t="s">
        <v>231</v>
      </c>
      <c r="CD28" t="s">
        <v>231</v>
      </c>
      <c r="CE28" t="s">
        <v>231</v>
      </c>
      <c r="CF28" t="s">
        <v>231</v>
      </c>
      <c r="CG28" t="s">
        <v>231</v>
      </c>
      <c r="CH28" t="s">
        <v>231</v>
      </c>
      <c r="CI28" t="s">
        <v>231</v>
      </c>
      <c r="CJ28" t="s">
        <v>231</v>
      </c>
      <c r="CK28" t="s">
        <v>231</v>
      </c>
      <c r="CL28" t="s">
        <v>231</v>
      </c>
      <c r="CM28" t="s">
        <v>231</v>
      </c>
      <c r="CN28" t="s">
        <v>231</v>
      </c>
      <c r="CO28" t="s">
        <v>231</v>
      </c>
      <c r="CP28" t="s">
        <v>231</v>
      </c>
      <c r="CQ28" t="s">
        <v>231</v>
      </c>
      <c r="CR28" t="s">
        <v>231</v>
      </c>
      <c r="CS28" t="s">
        <v>231</v>
      </c>
      <c r="CT28" t="s">
        <v>3534</v>
      </c>
      <c r="CU28" t="s">
        <v>3535</v>
      </c>
      <c r="CV28" t="s">
        <v>3536</v>
      </c>
      <c r="CW28" t="s">
        <v>3589</v>
      </c>
      <c r="CX28" t="s">
        <v>223</v>
      </c>
      <c r="CY28" t="s">
        <v>3536</v>
      </c>
      <c r="CZ28" t="s">
        <v>3590</v>
      </c>
      <c r="DA28" t="s">
        <v>3591</v>
      </c>
      <c r="DB28" t="s">
        <v>3589</v>
      </c>
      <c r="DC28" t="s">
        <v>363</v>
      </c>
      <c r="DD28" t="s">
        <v>282</v>
      </c>
      <c r="DE28" t="s">
        <v>3733</v>
      </c>
    </row>
    <row r="29" spans="1:109" ht="11.25" customHeight="1">
      <c r="A29" s="1314" t="s">
        <v>231</v>
      </c>
      <c r="B29" t="s">
        <v>231</v>
      </c>
      <c r="C29" t="s">
        <v>231</v>
      </c>
      <c r="D29" t="s">
        <v>231</v>
      </c>
      <c r="E29" t="s">
        <v>231</v>
      </c>
      <c r="F29" t="s">
        <v>231</v>
      </c>
      <c r="G29" t="s">
        <v>231</v>
      </c>
      <c r="H29" t="s">
        <v>231</v>
      </c>
      <c r="I29" t="s">
        <v>3521</v>
      </c>
      <c r="J29" t="s">
        <v>231</v>
      </c>
      <c r="K29" t="s">
        <v>231</v>
      </c>
      <c r="L29" t="s">
        <v>231</v>
      </c>
      <c r="M29" t="s">
        <v>231</v>
      </c>
      <c r="N29" t="s">
        <v>231</v>
      </c>
      <c r="O29" t="s">
        <v>231</v>
      </c>
      <c r="P29" t="s">
        <v>231</v>
      </c>
      <c r="Q29" t="s">
        <v>231</v>
      </c>
      <c r="R29" t="s">
        <v>3734</v>
      </c>
      <c r="S29" t="s">
        <v>231</v>
      </c>
      <c r="T29" t="s">
        <v>231</v>
      </c>
      <c r="U29" t="s">
        <v>101</v>
      </c>
      <c r="V29" t="s">
        <v>231</v>
      </c>
      <c r="W29" t="s">
        <v>231</v>
      </c>
      <c r="X29" t="s">
        <v>3523</v>
      </c>
      <c r="Y29" t="s">
        <v>231</v>
      </c>
      <c r="Z29" t="s">
        <v>160</v>
      </c>
      <c r="AA29" t="s">
        <v>151</v>
      </c>
      <c r="AB29" t="s">
        <v>151</v>
      </c>
      <c r="AC29" t="s">
        <v>2289</v>
      </c>
      <c r="AD29" t="s">
        <v>2289</v>
      </c>
      <c r="AE29" t="s">
        <v>2290</v>
      </c>
      <c r="AF29" t="s">
        <v>3735</v>
      </c>
      <c r="AG29" t="s">
        <v>3736</v>
      </c>
      <c r="AH29" t="s">
        <v>3737</v>
      </c>
      <c r="AI29" t="s">
        <v>3738</v>
      </c>
      <c r="AJ29" t="s">
        <v>3546</v>
      </c>
      <c r="AK29" t="s">
        <v>3586</v>
      </c>
      <c r="AL29" t="s">
        <v>3548</v>
      </c>
      <c r="AM29" t="s">
        <v>3531</v>
      </c>
      <c r="AN29" t="s">
        <v>3587</v>
      </c>
      <c r="AO29" t="s">
        <v>3739</v>
      </c>
      <c r="AP29" t="s">
        <v>231</v>
      </c>
      <c r="AQ29" t="s">
        <v>231</v>
      </c>
      <c r="AR29" t="s">
        <v>231</v>
      </c>
      <c r="AS29" t="s">
        <v>231</v>
      </c>
      <c r="AT29" t="s">
        <v>231</v>
      </c>
      <c r="AU29" t="s">
        <v>231</v>
      </c>
      <c r="AV29" t="s">
        <v>231</v>
      </c>
      <c r="AW29" t="s">
        <v>231</v>
      </c>
      <c r="AX29" t="s">
        <v>231</v>
      </c>
      <c r="AY29" t="s">
        <v>231</v>
      </c>
      <c r="AZ29" t="s">
        <v>231</v>
      </c>
      <c r="BA29" t="s">
        <v>231</v>
      </c>
      <c r="BB29" t="s">
        <v>231</v>
      </c>
      <c r="BC29" t="s">
        <v>231</v>
      </c>
      <c r="BD29" t="s">
        <v>231</v>
      </c>
      <c r="BE29" t="s">
        <v>231</v>
      </c>
      <c r="BF29" t="s">
        <v>231</v>
      </c>
      <c r="BG29" t="s">
        <v>231</v>
      </c>
      <c r="BH29" t="s">
        <v>231</v>
      </c>
      <c r="BI29" t="s">
        <v>231</v>
      </c>
      <c r="BJ29" t="s">
        <v>231</v>
      </c>
      <c r="BK29" t="s">
        <v>231</v>
      </c>
      <c r="BL29" t="s">
        <v>231</v>
      </c>
      <c r="BM29" t="s">
        <v>231</v>
      </c>
      <c r="BN29" t="s">
        <v>231</v>
      </c>
      <c r="BO29" t="s">
        <v>231</v>
      </c>
      <c r="BP29" t="s">
        <v>231</v>
      </c>
      <c r="BQ29" t="s">
        <v>231</v>
      </c>
      <c r="BR29" t="s">
        <v>231</v>
      </c>
      <c r="BS29" t="s">
        <v>231</v>
      </c>
      <c r="BT29" t="s">
        <v>231</v>
      </c>
      <c r="BU29" t="s">
        <v>231</v>
      </c>
      <c r="BV29" t="s">
        <v>231</v>
      </c>
      <c r="BW29" t="s">
        <v>231</v>
      </c>
      <c r="BX29" t="s">
        <v>231</v>
      </c>
      <c r="BY29" t="s">
        <v>231</v>
      </c>
      <c r="BZ29" t="s">
        <v>231</v>
      </c>
      <c r="CA29" t="s">
        <v>231</v>
      </c>
      <c r="CB29" t="s">
        <v>231</v>
      </c>
      <c r="CC29" t="s">
        <v>231</v>
      </c>
      <c r="CD29" t="s">
        <v>231</v>
      </c>
      <c r="CE29" t="s">
        <v>231</v>
      </c>
      <c r="CF29" t="s">
        <v>231</v>
      </c>
      <c r="CG29" t="s">
        <v>231</v>
      </c>
      <c r="CH29" t="s">
        <v>231</v>
      </c>
      <c r="CI29" t="s">
        <v>231</v>
      </c>
      <c r="CJ29" t="s">
        <v>231</v>
      </c>
      <c r="CK29" t="s">
        <v>231</v>
      </c>
      <c r="CL29" t="s">
        <v>231</v>
      </c>
      <c r="CM29" t="s">
        <v>231</v>
      </c>
      <c r="CN29" t="s">
        <v>231</v>
      </c>
      <c r="CO29" t="s">
        <v>231</v>
      </c>
      <c r="CP29" t="s">
        <v>231</v>
      </c>
      <c r="CQ29" t="s">
        <v>231</v>
      </c>
      <c r="CR29" t="s">
        <v>231</v>
      </c>
      <c r="CS29" t="s">
        <v>231</v>
      </c>
      <c r="CT29" t="s">
        <v>3534</v>
      </c>
      <c r="CU29" t="s">
        <v>3535</v>
      </c>
      <c r="CV29" t="s">
        <v>3536</v>
      </c>
      <c r="CW29" t="s">
        <v>3589</v>
      </c>
      <c r="CX29" t="s">
        <v>223</v>
      </c>
      <c r="CY29" t="s">
        <v>3536</v>
      </c>
      <c r="CZ29" t="s">
        <v>3590</v>
      </c>
      <c r="DA29" t="s">
        <v>3591</v>
      </c>
      <c r="DB29" t="s">
        <v>3589</v>
      </c>
      <c r="DC29" t="s">
        <v>363</v>
      </c>
      <c r="DD29" t="s">
        <v>282</v>
      </c>
      <c r="DE29" t="s">
        <v>3740</v>
      </c>
    </row>
    <row r="30" spans="1:109" ht="11.25" customHeight="1">
      <c r="A30" s="1314" t="s">
        <v>231</v>
      </c>
      <c r="B30" t="s">
        <v>231</v>
      </c>
      <c r="C30" t="s">
        <v>231</v>
      </c>
      <c r="D30" t="s">
        <v>231</v>
      </c>
      <c r="E30" t="s">
        <v>231</v>
      </c>
      <c r="F30" t="s">
        <v>231</v>
      </c>
      <c r="G30" t="s">
        <v>231</v>
      </c>
      <c r="H30" t="s">
        <v>231</v>
      </c>
      <c r="I30" t="s">
        <v>3521</v>
      </c>
      <c r="J30" t="s">
        <v>231</v>
      </c>
      <c r="K30" t="s">
        <v>231</v>
      </c>
      <c r="L30" t="s">
        <v>231</v>
      </c>
      <c r="M30" t="s">
        <v>231</v>
      </c>
      <c r="N30" t="s">
        <v>231</v>
      </c>
      <c r="O30" t="s">
        <v>231</v>
      </c>
      <c r="P30" t="s">
        <v>231</v>
      </c>
      <c r="Q30" t="s">
        <v>231</v>
      </c>
      <c r="R30" t="s">
        <v>3651</v>
      </c>
      <c r="S30" t="s">
        <v>231</v>
      </c>
      <c r="T30" t="s">
        <v>231</v>
      </c>
      <c r="U30" t="s">
        <v>101</v>
      </c>
      <c r="V30" t="s">
        <v>231</v>
      </c>
      <c r="W30" t="s">
        <v>231</v>
      </c>
      <c r="X30" t="s">
        <v>3523</v>
      </c>
      <c r="Y30" t="s">
        <v>231</v>
      </c>
      <c r="Z30" t="s">
        <v>160</v>
      </c>
      <c r="AA30" t="s">
        <v>151</v>
      </c>
      <c r="AB30" t="s">
        <v>151</v>
      </c>
      <c r="AC30" t="s">
        <v>2283</v>
      </c>
      <c r="AD30" t="s">
        <v>2283</v>
      </c>
      <c r="AE30" t="s">
        <v>2284</v>
      </c>
      <c r="AF30" t="s">
        <v>3664</v>
      </c>
      <c r="AG30" t="s">
        <v>3665</v>
      </c>
      <c r="AH30" t="s">
        <v>3666</v>
      </c>
      <c r="AI30" t="s">
        <v>3683</v>
      </c>
      <c r="AJ30" t="s">
        <v>3546</v>
      </c>
      <c r="AK30" t="s">
        <v>3547</v>
      </c>
      <c r="AL30" t="s">
        <v>3548</v>
      </c>
      <c r="AM30" t="s">
        <v>3531</v>
      </c>
      <c r="AN30" t="s">
        <v>3549</v>
      </c>
      <c r="AO30" t="s">
        <v>3739</v>
      </c>
      <c r="AP30" t="s">
        <v>231</v>
      </c>
      <c r="AQ30" t="s">
        <v>231</v>
      </c>
      <c r="AR30" t="s">
        <v>231</v>
      </c>
      <c r="AS30" t="s">
        <v>231</v>
      </c>
      <c r="AT30" t="s">
        <v>231</v>
      </c>
      <c r="AU30" t="s">
        <v>231</v>
      </c>
      <c r="AV30" t="s">
        <v>231</v>
      </c>
      <c r="AW30" t="s">
        <v>231</v>
      </c>
      <c r="AX30" t="s">
        <v>231</v>
      </c>
      <c r="AY30" t="s">
        <v>231</v>
      </c>
      <c r="AZ30" t="s">
        <v>231</v>
      </c>
      <c r="BA30" t="s">
        <v>231</v>
      </c>
      <c r="BB30" t="s">
        <v>231</v>
      </c>
      <c r="BC30" t="s">
        <v>231</v>
      </c>
      <c r="BD30" t="s">
        <v>231</v>
      </c>
      <c r="BE30" t="s">
        <v>231</v>
      </c>
      <c r="BF30" t="s">
        <v>231</v>
      </c>
      <c r="BG30" t="s">
        <v>231</v>
      </c>
      <c r="BH30" t="s">
        <v>231</v>
      </c>
      <c r="BI30" t="s">
        <v>231</v>
      </c>
      <c r="BJ30" t="s">
        <v>231</v>
      </c>
      <c r="BK30" t="s">
        <v>231</v>
      </c>
      <c r="BL30" t="s">
        <v>231</v>
      </c>
      <c r="BM30" t="s">
        <v>231</v>
      </c>
      <c r="BN30" t="s">
        <v>231</v>
      </c>
      <c r="BO30" t="s">
        <v>231</v>
      </c>
      <c r="BP30" t="s">
        <v>231</v>
      </c>
      <c r="BQ30" t="s">
        <v>231</v>
      </c>
      <c r="BR30" t="s">
        <v>231</v>
      </c>
      <c r="BS30" t="s">
        <v>231</v>
      </c>
      <c r="BT30" t="s">
        <v>231</v>
      </c>
      <c r="BU30" t="s">
        <v>231</v>
      </c>
      <c r="BV30" t="s">
        <v>231</v>
      </c>
      <c r="BW30" t="s">
        <v>231</v>
      </c>
      <c r="BX30" t="s">
        <v>231</v>
      </c>
      <c r="BY30" t="s">
        <v>231</v>
      </c>
      <c r="BZ30" t="s">
        <v>231</v>
      </c>
      <c r="CA30" t="s">
        <v>231</v>
      </c>
      <c r="CB30" t="s">
        <v>231</v>
      </c>
      <c r="CC30" t="s">
        <v>231</v>
      </c>
      <c r="CD30" t="s">
        <v>231</v>
      </c>
      <c r="CE30" t="s">
        <v>231</v>
      </c>
      <c r="CF30" t="s">
        <v>231</v>
      </c>
      <c r="CG30" t="s">
        <v>231</v>
      </c>
      <c r="CH30" t="s">
        <v>231</v>
      </c>
      <c r="CI30" t="s">
        <v>231</v>
      </c>
      <c r="CJ30" t="s">
        <v>231</v>
      </c>
      <c r="CK30" t="s">
        <v>231</v>
      </c>
      <c r="CL30" t="s">
        <v>231</v>
      </c>
      <c r="CM30" t="s">
        <v>231</v>
      </c>
      <c r="CN30" t="s">
        <v>231</v>
      </c>
      <c r="CO30" t="s">
        <v>231</v>
      </c>
      <c r="CP30" t="s">
        <v>231</v>
      </c>
      <c r="CQ30" t="s">
        <v>231</v>
      </c>
      <c r="CR30" t="s">
        <v>231</v>
      </c>
      <c r="CS30" t="s">
        <v>231</v>
      </c>
      <c r="CT30" t="s">
        <v>3534</v>
      </c>
      <c r="CU30" t="s">
        <v>3535</v>
      </c>
      <c r="CV30" t="s">
        <v>3536</v>
      </c>
      <c r="CW30" t="s">
        <v>3551</v>
      </c>
      <c r="CX30" t="s">
        <v>223</v>
      </c>
      <c r="CY30" t="s">
        <v>3536</v>
      </c>
      <c r="CZ30" t="s">
        <v>3552</v>
      </c>
      <c r="DA30" t="s">
        <v>3553</v>
      </c>
      <c r="DB30" t="s">
        <v>3551</v>
      </c>
      <c r="DC30" t="s">
        <v>363</v>
      </c>
      <c r="DD30" t="s">
        <v>282</v>
      </c>
      <c r="DE30" t="s">
        <v>3741</v>
      </c>
    </row>
    <row r="31" spans="1:109" ht="11.25" customHeight="1">
      <c r="A31" s="1314" t="s">
        <v>231</v>
      </c>
      <c r="B31" t="s">
        <v>231</v>
      </c>
      <c r="C31" t="s">
        <v>231</v>
      </c>
      <c r="D31" t="s">
        <v>231</v>
      </c>
      <c r="E31" t="s">
        <v>231</v>
      </c>
      <c r="F31" t="s">
        <v>231</v>
      </c>
      <c r="G31" t="s">
        <v>231</v>
      </c>
      <c r="H31" t="s">
        <v>231</v>
      </c>
      <c r="I31" t="s">
        <v>3521</v>
      </c>
      <c r="J31" t="s">
        <v>231</v>
      </c>
      <c r="K31" t="s">
        <v>231</v>
      </c>
      <c r="L31" t="s">
        <v>231</v>
      </c>
      <c r="M31" t="s">
        <v>231</v>
      </c>
      <c r="N31" t="s">
        <v>231</v>
      </c>
      <c r="O31" t="s">
        <v>231</v>
      </c>
      <c r="P31" t="s">
        <v>231</v>
      </c>
      <c r="Q31" t="s">
        <v>231</v>
      </c>
      <c r="R31" t="s">
        <v>3742</v>
      </c>
      <c r="S31" t="s">
        <v>231</v>
      </c>
      <c r="T31" t="s">
        <v>231</v>
      </c>
      <c r="U31" t="s">
        <v>101</v>
      </c>
      <c r="V31" t="s">
        <v>231</v>
      </c>
      <c r="W31" t="s">
        <v>231</v>
      </c>
      <c r="X31" t="s">
        <v>3523</v>
      </c>
      <c r="Y31" t="s">
        <v>231</v>
      </c>
      <c r="Z31" t="s">
        <v>160</v>
      </c>
      <c r="AA31" t="s">
        <v>151</v>
      </c>
      <c r="AB31" t="s">
        <v>151</v>
      </c>
      <c r="AC31" t="s">
        <v>343</v>
      </c>
      <c r="AD31" t="s">
        <v>343</v>
      </c>
      <c r="AE31" t="s">
        <v>344</v>
      </c>
      <c r="AF31" t="s">
        <v>3561</v>
      </c>
      <c r="AG31" t="s">
        <v>3562</v>
      </c>
      <c r="AH31" t="s">
        <v>3563</v>
      </c>
      <c r="AI31" t="s">
        <v>3743</v>
      </c>
      <c r="AJ31" t="s">
        <v>3744</v>
      </c>
      <c r="AK31" t="s">
        <v>3745</v>
      </c>
      <c r="AL31" t="s">
        <v>3566</v>
      </c>
      <c r="AM31" t="s">
        <v>3531</v>
      </c>
      <c r="AN31" t="s">
        <v>3746</v>
      </c>
      <c r="AO31" t="s">
        <v>3747</v>
      </c>
      <c r="AP31" t="s">
        <v>231</v>
      </c>
      <c r="AQ31" t="s">
        <v>231</v>
      </c>
      <c r="AR31" t="s">
        <v>231</v>
      </c>
      <c r="AS31" t="s">
        <v>231</v>
      </c>
      <c r="AT31" t="s">
        <v>231</v>
      </c>
      <c r="AU31" t="s">
        <v>231</v>
      </c>
      <c r="AV31" t="s">
        <v>231</v>
      </c>
      <c r="AW31" t="s">
        <v>231</v>
      </c>
      <c r="AX31" t="s">
        <v>231</v>
      </c>
      <c r="AY31" t="s">
        <v>231</v>
      </c>
      <c r="AZ31" t="s">
        <v>231</v>
      </c>
      <c r="BA31" t="s">
        <v>231</v>
      </c>
      <c r="BB31" t="s">
        <v>231</v>
      </c>
      <c r="BC31" t="s">
        <v>231</v>
      </c>
      <c r="BD31" t="s">
        <v>231</v>
      </c>
      <c r="BE31" t="s">
        <v>231</v>
      </c>
      <c r="BF31" t="s">
        <v>231</v>
      </c>
      <c r="BG31" t="s">
        <v>231</v>
      </c>
      <c r="BH31" t="s">
        <v>231</v>
      </c>
      <c r="BI31" t="s">
        <v>231</v>
      </c>
      <c r="BJ31" t="s">
        <v>231</v>
      </c>
      <c r="BK31" t="s">
        <v>231</v>
      </c>
      <c r="BL31" t="s">
        <v>231</v>
      </c>
      <c r="BM31" t="s">
        <v>231</v>
      </c>
      <c r="BN31" t="s">
        <v>231</v>
      </c>
      <c r="BO31" t="s">
        <v>231</v>
      </c>
      <c r="BP31" t="s">
        <v>231</v>
      </c>
      <c r="BQ31" t="s">
        <v>231</v>
      </c>
      <c r="BR31" t="s">
        <v>231</v>
      </c>
      <c r="BS31" t="s">
        <v>231</v>
      </c>
      <c r="BT31" t="s">
        <v>231</v>
      </c>
      <c r="BU31" t="s">
        <v>231</v>
      </c>
      <c r="BV31" t="s">
        <v>231</v>
      </c>
      <c r="BW31" t="s">
        <v>231</v>
      </c>
      <c r="BX31" t="s">
        <v>231</v>
      </c>
      <c r="BY31" t="s">
        <v>231</v>
      </c>
      <c r="BZ31" t="s">
        <v>231</v>
      </c>
      <c r="CA31" t="s">
        <v>231</v>
      </c>
      <c r="CB31" t="s">
        <v>231</v>
      </c>
      <c r="CC31" t="s">
        <v>231</v>
      </c>
      <c r="CD31" t="s">
        <v>231</v>
      </c>
      <c r="CE31" t="s">
        <v>231</v>
      </c>
      <c r="CF31" t="s">
        <v>231</v>
      </c>
      <c r="CG31" t="s">
        <v>231</v>
      </c>
      <c r="CH31" t="s">
        <v>231</v>
      </c>
      <c r="CI31" t="s">
        <v>231</v>
      </c>
      <c r="CJ31" t="s">
        <v>231</v>
      </c>
      <c r="CK31" t="s">
        <v>231</v>
      </c>
      <c r="CL31" t="s">
        <v>231</v>
      </c>
      <c r="CM31" t="s">
        <v>231</v>
      </c>
      <c r="CN31" t="s">
        <v>231</v>
      </c>
      <c r="CO31" t="s">
        <v>231</v>
      </c>
      <c r="CP31" t="s">
        <v>231</v>
      </c>
      <c r="CQ31" t="s">
        <v>231</v>
      </c>
      <c r="CR31" t="s">
        <v>231</v>
      </c>
      <c r="CS31" t="s">
        <v>231</v>
      </c>
      <c r="CT31" t="s">
        <v>3534</v>
      </c>
      <c r="CU31" t="s">
        <v>3535</v>
      </c>
      <c r="CV31" t="s">
        <v>3536</v>
      </c>
      <c r="CW31" t="s">
        <v>3569</v>
      </c>
      <c r="CX31" t="s">
        <v>3570</v>
      </c>
      <c r="CY31" t="s">
        <v>3536</v>
      </c>
      <c r="CZ31" t="s">
        <v>224</v>
      </c>
      <c r="DA31" t="s">
        <v>3571</v>
      </c>
      <c r="DB31" t="s">
        <v>3569</v>
      </c>
      <c r="DC31" t="s">
        <v>363</v>
      </c>
      <c r="DD31" t="s">
        <v>282</v>
      </c>
      <c r="DE31" t="s">
        <v>3748</v>
      </c>
    </row>
    <row r="32" spans="1:109" ht="11.25" customHeight="1">
      <c r="A32" s="1314" t="s">
        <v>231</v>
      </c>
      <c r="B32" t="s">
        <v>231</v>
      </c>
      <c r="C32" t="s">
        <v>231</v>
      </c>
      <c r="D32" t="s">
        <v>231</v>
      </c>
      <c r="E32" t="s">
        <v>231</v>
      </c>
      <c r="F32" t="s">
        <v>231</v>
      </c>
      <c r="G32" t="s">
        <v>231</v>
      </c>
      <c r="H32" t="s">
        <v>231</v>
      </c>
      <c r="I32" t="s">
        <v>3521</v>
      </c>
      <c r="J32" t="s">
        <v>231</v>
      </c>
      <c r="K32" t="s">
        <v>231</v>
      </c>
      <c r="L32" t="s">
        <v>231</v>
      </c>
      <c r="M32" t="s">
        <v>231</v>
      </c>
      <c r="N32" t="s">
        <v>231</v>
      </c>
      <c r="O32" t="s">
        <v>231</v>
      </c>
      <c r="P32" t="s">
        <v>231</v>
      </c>
      <c r="Q32" t="s">
        <v>231</v>
      </c>
      <c r="R32" t="s">
        <v>3749</v>
      </c>
      <c r="S32" t="s">
        <v>231</v>
      </c>
      <c r="T32" t="s">
        <v>231</v>
      </c>
      <c r="U32" t="s">
        <v>101</v>
      </c>
      <c r="V32" t="s">
        <v>231</v>
      </c>
      <c r="W32" t="s">
        <v>231</v>
      </c>
      <c r="X32" t="s">
        <v>3628</v>
      </c>
      <c r="Y32" t="s">
        <v>231</v>
      </c>
      <c r="Z32" t="s">
        <v>151</v>
      </c>
      <c r="AA32" t="s">
        <v>151</v>
      </c>
      <c r="AB32" t="s">
        <v>160</v>
      </c>
      <c r="AC32" t="s">
        <v>2283</v>
      </c>
      <c r="AD32" t="s">
        <v>2283</v>
      </c>
      <c r="AE32" t="s">
        <v>2284</v>
      </c>
      <c r="AF32" t="s">
        <v>3750</v>
      </c>
      <c r="AG32" t="s">
        <v>3751</v>
      </c>
      <c r="AH32" t="s">
        <v>3544</v>
      </c>
      <c r="AI32" t="s">
        <v>3688</v>
      </c>
      <c r="AJ32" t="s">
        <v>231</v>
      </c>
      <c r="AK32" t="s">
        <v>231</v>
      </c>
      <c r="AL32" t="s">
        <v>231</v>
      </c>
      <c r="AM32" t="s">
        <v>231</v>
      </c>
      <c r="AN32" t="s">
        <v>231</v>
      </c>
      <c r="AO32" t="s">
        <v>231</v>
      </c>
      <c r="AP32" t="s">
        <v>231</v>
      </c>
      <c r="AQ32" t="s">
        <v>231</v>
      </c>
      <c r="AR32" t="s">
        <v>231</v>
      </c>
      <c r="AS32" t="s">
        <v>231</v>
      </c>
      <c r="AT32" t="s">
        <v>231</v>
      </c>
      <c r="AU32" t="s">
        <v>231</v>
      </c>
      <c r="AV32" t="s">
        <v>231</v>
      </c>
      <c r="AW32" t="s">
        <v>231</v>
      </c>
      <c r="AX32" t="s">
        <v>231</v>
      </c>
      <c r="AY32" t="s">
        <v>231</v>
      </c>
      <c r="AZ32" t="s">
        <v>231</v>
      </c>
      <c r="BA32" t="s">
        <v>231</v>
      </c>
      <c r="BB32" t="s">
        <v>231</v>
      </c>
      <c r="BC32" t="s">
        <v>231</v>
      </c>
      <c r="BD32" t="s">
        <v>231</v>
      </c>
      <c r="BE32" t="s">
        <v>3689</v>
      </c>
      <c r="BF32" t="s">
        <v>3689</v>
      </c>
      <c r="BG32" t="s">
        <v>111</v>
      </c>
      <c r="BH32" t="s">
        <v>3632</v>
      </c>
      <c r="BI32" t="s">
        <v>122</v>
      </c>
      <c r="BJ32" t="s">
        <v>231</v>
      </c>
      <c r="BK32" t="s">
        <v>3651</v>
      </c>
      <c r="BL32" t="s">
        <v>2283</v>
      </c>
      <c r="BM32" t="s">
        <v>2283</v>
      </c>
      <c r="BN32" t="s">
        <v>3690</v>
      </c>
      <c r="BO32" t="s">
        <v>3750</v>
      </c>
      <c r="BP32" t="s">
        <v>3752</v>
      </c>
      <c r="BQ32" t="s">
        <v>3753</v>
      </c>
      <c r="BR32" t="s">
        <v>3754</v>
      </c>
      <c r="BS32" t="s">
        <v>231</v>
      </c>
      <c r="BT32" t="s">
        <v>3694</v>
      </c>
      <c r="BU32" t="s">
        <v>3755</v>
      </c>
      <c r="BV32" t="s">
        <v>3755</v>
      </c>
      <c r="BW32" t="s">
        <v>3641</v>
      </c>
      <c r="BX32" t="s">
        <v>3641</v>
      </c>
      <c r="BY32" t="s">
        <v>3641</v>
      </c>
      <c r="BZ32" t="s">
        <v>3641</v>
      </c>
      <c r="CA32" t="s">
        <v>3641</v>
      </c>
      <c r="CB32" t="s">
        <v>231</v>
      </c>
      <c r="CC32" t="s">
        <v>231</v>
      </c>
      <c r="CD32" t="s">
        <v>231</v>
      </c>
      <c r="CE32" t="s">
        <v>231</v>
      </c>
      <c r="CF32" t="s">
        <v>231</v>
      </c>
      <c r="CG32" t="s">
        <v>3641</v>
      </c>
      <c r="CH32" t="s">
        <v>231</v>
      </c>
      <c r="CI32" t="s">
        <v>231</v>
      </c>
      <c r="CJ32" t="s">
        <v>231</v>
      </c>
      <c r="CK32" t="s">
        <v>231</v>
      </c>
      <c r="CL32" t="s">
        <v>231</v>
      </c>
      <c r="CM32" t="s">
        <v>3755</v>
      </c>
      <c r="CN32" t="s">
        <v>3755</v>
      </c>
      <c r="CO32" t="s">
        <v>231</v>
      </c>
      <c r="CP32" t="s">
        <v>231</v>
      </c>
      <c r="CQ32" t="s">
        <v>231</v>
      </c>
      <c r="CR32" t="s">
        <v>231</v>
      </c>
      <c r="CS32" t="s">
        <v>3549</v>
      </c>
      <c r="CT32" t="s">
        <v>3534</v>
      </c>
      <c r="CU32" t="s">
        <v>3535</v>
      </c>
      <c r="CV32" t="s">
        <v>3536</v>
      </c>
      <c r="CW32" t="s">
        <v>3551</v>
      </c>
      <c r="CX32" t="s">
        <v>223</v>
      </c>
      <c r="CY32" t="s">
        <v>3536</v>
      </c>
      <c r="CZ32" t="s">
        <v>3552</v>
      </c>
      <c r="DA32" t="s">
        <v>3553</v>
      </c>
      <c r="DB32" t="s">
        <v>3551</v>
      </c>
      <c r="DC32" t="s">
        <v>363</v>
      </c>
      <c r="DD32" t="s">
        <v>282</v>
      </c>
      <c r="DE32" t="s">
        <v>3756</v>
      </c>
    </row>
    <row r="33" spans="1:109" ht="11.25" customHeight="1">
      <c r="A33" s="1314" t="s">
        <v>231</v>
      </c>
      <c r="B33" t="s">
        <v>231</v>
      </c>
      <c r="C33" t="s">
        <v>231</v>
      </c>
      <c r="D33" t="s">
        <v>231</v>
      </c>
      <c r="E33" t="s">
        <v>231</v>
      </c>
      <c r="F33" t="s">
        <v>231</v>
      </c>
      <c r="G33" t="s">
        <v>231</v>
      </c>
      <c r="H33" t="s">
        <v>231</v>
      </c>
      <c r="I33" t="s">
        <v>3521</v>
      </c>
      <c r="J33" t="s">
        <v>231</v>
      </c>
      <c r="K33" t="s">
        <v>231</v>
      </c>
      <c r="L33" t="s">
        <v>231</v>
      </c>
      <c r="M33" t="s">
        <v>231</v>
      </c>
      <c r="N33" t="s">
        <v>231</v>
      </c>
      <c r="O33" t="s">
        <v>231</v>
      </c>
      <c r="P33" t="s">
        <v>231</v>
      </c>
      <c r="Q33" t="s">
        <v>231</v>
      </c>
      <c r="R33" t="s">
        <v>3757</v>
      </c>
      <c r="S33" t="s">
        <v>231</v>
      </c>
      <c r="T33" t="s">
        <v>231</v>
      </c>
      <c r="U33" t="s">
        <v>101</v>
      </c>
      <c r="V33" t="s">
        <v>231</v>
      </c>
      <c r="W33" t="s">
        <v>231</v>
      </c>
      <c r="X33" t="s">
        <v>3523</v>
      </c>
      <c r="Y33" t="s">
        <v>231</v>
      </c>
      <c r="Z33" t="s">
        <v>160</v>
      </c>
      <c r="AA33" t="s">
        <v>151</v>
      </c>
      <c r="AB33" t="s">
        <v>151</v>
      </c>
      <c r="AC33" t="s">
        <v>343</v>
      </c>
      <c r="AD33" t="s">
        <v>343</v>
      </c>
      <c r="AE33" t="s">
        <v>344</v>
      </c>
      <c r="AF33" t="s">
        <v>3561</v>
      </c>
      <c r="AG33" t="s">
        <v>3562</v>
      </c>
      <c r="AH33" t="s">
        <v>3758</v>
      </c>
      <c r="AI33" t="s">
        <v>3759</v>
      </c>
      <c r="AJ33" t="s">
        <v>3760</v>
      </c>
      <c r="AK33" t="s">
        <v>3761</v>
      </c>
      <c r="AL33" t="s">
        <v>3566</v>
      </c>
      <c r="AM33" t="s">
        <v>3531</v>
      </c>
      <c r="AN33" t="s">
        <v>3762</v>
      </c>
      <c r="AO33" t="s">
        <v>3763</v>
      </c>
      <c r="AP33" t="s">
        <v>231</v>
      </c>
      <c r="AQ33" t="s">
        <v>231</v>
      </c>
      <c r="AR33" t="s">
        <v>231</v>
      </c>
      <c r="AS33" t="s">
        <v>231</v>
      </c>
      <c r="AT33" t="s">
        <v>231</v>
      </c>
      <c r="AU33" t="s">
        <v>231</v>
      </c>
      <c r="AV33" t="s">
        <v>231</v>
      </c>
      <c r="AW33" t="s">
        <v>231</v>
      </c>
      <c r="AX33" t="s">
        <v>231</v>
      </c>
      <c r="AY33" t="s">
        <v>231</v>
      </c>
      <c r="AZ33" t="s">
        <v>231</v>
      </c>
      <c r="BA33" t="s">
        <v>231</v>
      </c>
      <c r="BB33" t="s">
        <v>231</v>
      </c>
      <c r="BC33" t="s">
        <v>231</v>
      </c>
      <c r="BD33" t="s">
        <v>231</v>
      </c>
      <c r="BE33" t="s">
        <v>231</v>
      </c>
      <c r="BF33" t="s">
        <v>231</v>
      </c>
      <c r="BG33" t="s">
        <v>231</v>
      </c>
      <c r="BH33" t="s">
        <v>231</v>
      </c>
      <c r="BI33" t="s">
        <v>231</v>
      </c>
      <c r="BJ33" t="s">
        <v>231</v>
      </c>
      <c r="BK33" t="s">
        <v>231</v>
      </c>
      <c r="BL33" t="s">
        <v>231</v>
      </c>
      <c r="BM33" t="s">
        <v>231</v>
      </c>
      <c r="BN33" t="s">
        <v>231</v>
      </c>
      <c r="BO33" t="s">
        <v>231</v>
      </c>
      <c r="BP33" t="s">
        <v>231</v>
      </c>
      <c r="BQ33" t="s">
        <v>231</v>
      </c>
      <c r="BR33" t="s">
        <v>231</v>
      </c>
      <c r="BS33" t="s">
        <v>231</v>
      </c>
      <c r="BT33" t="s">
        <v>231</v>
      </c>
      <c r="BU33" t="s">
        <v>231</v>
      </c>
      <c r="BV33" t="s">
        <v>231</v>
      </c>
      <c r="BW33" t="s">
        <v>231</v>
      </c>
      <c r="BX33" t="s">
        <v>231</v>
      </c>
      <c r="BY33" t="s">
        <v>231</v>
      </c>
      <c r="BZ33" t="s">
        <v>231</v>
      </c>
      <c r="CA33" t="s">
        <v>231</v>
      </c>
      <c r="CB33" t="s">
        <v>231</v>
      </c>
      <c r="CC33" t="s">
        <v>231</v>
      </c>
      <c r="CD33" t="s">
        <v>231</v>
      </c>
      <c r="CE33" t="s">
        <v>231</v>
      </c>
      <c r="CF33" t="s">
        <v>231</v>
      </c>
      <c r="CG33" t="s">
        <v>231</v>
      </c>
      <c r="CH33" t="s">
        <v>231</v>
      </c>
      <c r="CI33" t="s">
        <v>231</v>
      </c>
      <c r="CJ33" t="s">
        <v>231</v>
      </c>
      <c r="CK33" t="s">
        <v>231</v>
      </c>
      <c r="CL33" t="s">
        <v>231</v>
      </c>
      <c r="CM33" t="s">
        <v>231</v>
      </c>
      <c r="CN33" t="s">
        <v>231</v>
      </c>
      <c r="CO33" t="s">
        <v>231</v>
      </c>
      <c r="CP33" t="s">
        <v>231</v>
      </c>
      <c r="CQ33" t="s">
        <v>231</v>
      </c>
      <c r="CR33" t="s">
        <v>231</v>
      </c>
      <c r="CS33" t="s">
        <v>231</v>
      </c>
      <c r="CT33" t="s">
        <v>3534</v>
      </c>
      <c r="CU33" t="s">
        <v>3535</v>
      </c>
      <c r="CV33" t="s">
        <v>3536</v>
      </c>
      <c r="CW33" t="s">
        <v>3569</v>
      </c>
      <c r="CX33" t="s">
        <v>3570</v>
      </c>
      <c r="CY33" t="s">
        <v>3536</v>
      </c>
      <c r="CZ33" t="s">
        <v>224</v>
      </c>
      <c r="DA33" t="s">
        <v>3571</v>
      </c>
      <c r="DB33" t="s">
        <v>3569</v>
      </c>
      <c r="DC33" t="s">
        <v>363</v>
      </c>
      <c r="DD33" t="s">
        <v>282</v>
      </c>
      <c r="DE33" t="s">
        <v>3764</v>
      </c>
    </row>
    <row r="34" spans="1:109" ht="11.25" customHeight="1">
      <c r="A34" s="1314" t="s">
        <v>231</v>
      </c>
      <c r="B34" t="s">
        <v>231</v>
      </c>
      <c r="C34" t="s">
        <v>231</v>
      </c>
      <c r="D34" t="s">
        <v>231</v>
      </c>
      <c r="E34" t="s">
        <v>231</v>
      </c>
      <c r="F34" t="s">
        <v>231</v>
      </c>
      <c r="G34" t="s">
        <v>231</v>
      </c>
      <c r="H34" t="s">
        <v>231</v>
      </c>
      <c r="I34" t="s">
        <v>3521</v>
      </c>
      <c r="J34" t="s">
        <v>231</v>
      </c>
      <c r="K34" t="s">
        <v>231</v>
      </c>
      <c r="L34" t="s">
        <v>231</v>
      </c>
      <c r="M34" t="s">
        <v>231</v>
      </c>
      <c r="N34" t="s">
        <v>231</v>
      </c>
      <c r="O34" t="s">
        <v>231</v>
      </c>
      <c r="P34" t="s">
        <v>231</v>
      </c>
      <c r="Q34" t="s">
        <v>231</v>
      </c>
      <c r="R34" t="s">
        <v>3765</v>
      </c>
      <c r="S34" t="s">
        <v>231</v>
      </c>
      <c r="T34" t="s">
        <v>231</v>
      </c>
      <c r="U34" t="s">
        <v>101</v>
      </c>
      <c r="V34" t="s">
        <v>231</v>
      </c>
      <c r="W34" t="s">
        <v>231</v>
      </c>
      <c r="X34" t="s">
        <v>3628</v>
      </c>
      <c r="Y34" t="s">
        <v>231</v>
      </c>
      <c r="Z34" t="s">
        <v>151</v>
      </c>
      <c r="AA34" t="s">
        <v>151</v>
      </c>
      <c r="AB34" t="s">
        <v>160</v>
      </c>
      <c r="AC34" t="s">
        <v>2289</v>
      </c>
      <c r="AD34" t="s">
        <v>2289</v>
      </c>
      <c r="AE34" t="s">
        <v>2290</v>
      </c>
      <c r="AF34" t="s">
        <v>3766</v>
      </c>
      <c r="AG34" t="s">
        <v>3767</v>
      </c>
      <c r="AH34" t="s">
        <v>3618</v>
      </c>
      <c r="AI34" t="s">
        <v>3618</v>
      </c>
      <c r="AJ34" t="s">
        <v>231</v>
      </c>
      <c r="AK34" t="s">
        <v>231</v>
      </c>
      <c r="AL34" t="s">
        <v>231</v>
      </c>
      <c r="AM34" t="s">
        <v>231</v>
      </c>
      <c r="AN34" t="s">
        <v>231</v>
      </c>
      <c r="AO34" t="s">
        <v>231</v>
      </c>
      <c r="AP34" t="s">
        <v>231</v>
      </c>
      <c r="AQ34" t="s">
        <v>231</v>
      </c>
      <c r="AR34" t="s">
        <v>231</v>
      </c>
      <c r="AS34" t="s">
        <v>231</v>
      </c>
      <c r="AT34" t="s">
        <v>231</v>
      </c>
      <c r="AU34" t="s">
        <v>231</v>
      </c>
      <c r="AV34" t="s">
        <v>231</v>
      </c>
      <c r="AW34" t="s">
        <v>231</v>
      </c>
      <c r="AX34" t="s">
        <v>231</v>
      </c>
      <c r="AY34" t="s">
        <v>231</v>
      </c>
      <c r="AZ34" t="s">
        <v>231</v>
      </c>
      <c r="BA34" t="s">
        <v>231</v>
      </c>
      <c r="BB34" t="s">
        <v>231</v>
      </c>
      <c r="BC34" t="s">
        <v>231</v>
      </c>
      <c r="BD34" t="s">
        <v>231</v>
      </c>
      <c r="BE34" t="s">
        <v>3546</v>
      </c>
      <c r="BF34" t="s">
        <v>3586</v>
      </c>
      <c r="BG34" t="s">
        <v>111</v>
      </c>
      <c r="BH34" t="s">
        <v>3632</v>
      </c>
      <c r="BI34" t="s">
        <v>122</v>
      </c>
      <c r="BJ34" t="s">
        <v>231</v>
      </c>
      <c r="BK34" t="s">
        <v>3651</v>
      </c>
      <c r="BL34" t="s">
        <v>2289</v>
      </c>
      <c r="BM34" t="s">
        <v>2289</v>
      </c>
      <c r="BN34" t="s">
        <v>3707</v>
      </c>
      <c r="BO34" t="s">
        <v>3766</v>
      </c>
      <c r="BP34" t="s">
        <v>3768</v>
      </c>
      <c r="BQ34" t="s">
        <v>3618</v>
      </c>
      <c r="BR34" t="s">
        <v>3618</v>
      </c>
      <c r="BS34" t="s">
        <v>231</v>
      </c>
      <c r="BT34" t="s">
        <v>3694</v>
      </c>
      <c r="BU34" t="s">
        <v>3769</v>
      </c>
      <c r="BV34" t="s">
        <v>3769</v>
      </c>
      <c r="BW34" t="s">
        <v>3641</v>
      </c>
      <c r="BX34" t="s">
        <v>3641</v>
      </c>
      <c r="BY34" t="s">
        <v>3641</v>
      </c>
      <c r="BZ34" t="s">
        <v>3641</v>
      </c>
      <c r="CA34" t="s">
        <v>3641</v>
      </c>
      <c r="CB34" t="s">
        <v>231</v>
      </c>
      <c r="CC34" t="s">
        <v>231</v>
      </c>
      <c r="CD34" t="s">
        <v>231</v>
      </c>
      <c r="CE34" t="s">
        <v>231</v>
      </c>
      <c r="CF34" t="s">
        <v>231</v>
      </c>
      <c r="CG34" t="s">
        <v>3641</v>
      </c>
      <c r="CH34" t="s">
        <v>231</v>
      </c>
      <c r="CI34" t="s">
        <v>231</v>
      </c>
      <c r="CJ34" t="s">
        <v>231</v>
      </c>
      <c r="CK34" t="s">
        <v>231</v>
      </c>
      <c r="CL34" t="s">
        <v>231</v>
      </c>
      <c r="CM34" t="s">
        <v>3769</v>
      </c>
      <c r="CN34" t="s">
        <v>3769</v>
      </c>
      <c r="CO34" t="s">
        <v>231</v>
      </c>
      <c r="CP34" t="s">
        <v>231</v>
      </c>
      <c r="CQ34" t="s">
        <v>231</v>
      </c>
      <c r="CR34" t="s">
        <v>231</v>
      </c>
      <c r="CS34" t="s">
        <v>3710</v>
      </c>
      <c r="CT34" t="s">
        <v>3534</v>
      </c>
      <c r="CU34" t="s">
        <v>3535</v>
      </c>
      <c r="CV34" t="s">
        <v>3536</v>
      </c>
      <c r="CW34" t="s">
        <v>3589</v>
      </c>
      <c r="CX34" t="s">
        <v>223</v>
      </c>
      <c r="CY34" t="s">
        <v>3536</v>
      </c>
      <c r="CZ34" t="s">
        <v>3590</v>
      </c>
      <c r="DA34" t="s">
        <v>3591</v>
      </c>
      <c r="DB34" t="s">
        <v>3589</v>
      </c>
      <c r="DC34" t="s">
        <v>363</v>
      </c>
      <c r="DD34" t="s">
        <v>282</v>
      </c>
      <c r="DE34" t="s">
        <v>3770</v>
      </c>
    </row>
    <row r="35" spans="1:109" ht="11.25" customHeight="1">
      <c r="A35" s="1314" t="s">
        <v>231</v>
      </c>
      <c r="B35" t="s">
        <v>231</v>
      </c>
      <c r="C35" t="s">
        <v>231</v>
      </c>
      <c r="D35" t="s">
        <v>231</v>
      </c>
      <c r="E35" t="s">
        <v>231</v>
      </c>
      <c r="F35" t="s">
        <v>231</v>
      </c>
      <c r="G35" t="s">
        <v>231</v>
      </c>
      <c r="H35" t="s">
        <v>231</v>
      </c>
      <c r="I35" t="s">
        <v>3521</v>
      </c>
      <c r="J35" t="s">
        <v>231</v>
      </c>
      <c r="K35" t="s">
        <v>231</v>
      </c>
      <c r="L35" t="s">
        <v>231</v>
      </c>
      <c r="M35" t="s">
        <v>231</v>
      </c>
      <c r="N35" t="s">
        <v>231</v>
      </c>
      <c r="O35" t="s">
        <v>231</v>
      </c>
      <c r="P35" t="s">
        <v>231</v>
      </c>
      <c r="Q35" t="s">
        <v>231</v>
      </c>
      <c r="R35" t="s">
        <v>3615</v>
      </c>
      <c r="S35" t="s">
        <v>231</v>
      </c>
      <c r="T35" t="s">
        <v>231</v>
      </c>
      <c r="U35" t="s">
        <v>101</v>
      </c>
      <c r="V35" t="s">
        <v>231</v>
      </c>
      <c r="W35" t="s">
        <v>231</v>
      </c>
      <c r="X35" t="s">
        <v>3523</v>
      </c>
      <c r="Y35" t="s">
        <v>231</v>
      </c>
      <c r="Z35" t="s">
        <v>160</v>
      </c>
      <c r="AA35" t="s">
        <v>151</v>
      </c>
      <c r="AB35" t="s">
        <v>151</v>
      </c>
      <c r="AC35" t="s">
        <v>2289</v>
      </c>
      <c r="AD35" t="s">
        <v>2289</v>
      </c>
      <c r="AE35" t="s">
        <v>2290</v>
      </c>
      <c r="AF35" t="s">
        <v>3771</v>
      </c>
      <c r="AG35" t="s">
        <v>3772</v>
      </c>
      <c r="AH35" t="s">
        <v>3773</v>
      </c>
      <c r="AI35" t="s">
        <v>3774</v>
      </c>
      <c r="AJ35" t="s">
        <v>3619</v>
      </c>
      <c r="AK35" t="s">
        <v>3775</v>
      </c>
      <c r="AL35" t="s">
        <v>3548</v>
      </c>
      <c r="AM35" t="s">
        <v>3531</v>
      </c>
      <c r="AN35" t="s">
        <v>3529</v>
      </c>
      <c r="AO35" t="s">
        <v>3558</v>
      </c>
      <c r="AP35" t="s">
        <v>231</v>
      </c>
      <c r="AQ35" t="s">
        <v>231</v>
      </c>
      <c r="AR35" t="s">
        <v>231</v>
      </c>
      <c r="AS35" t="s">
        <v>231</v>
      </c>
      <c r="AT35" t="s">
        <v>231</v>
      </c>
      <c r="AU35" t="s">
        <v>231</v>
      </c>
      <c r="AV35" t="s">
        <v>231</v>
      </c>
      <c r="AW35" t="s">
        <v>231</v>
      </c>
      <c r="AX35" t="s">
        <v>231</v>
      </c>
      <c r="AY35" t="s">
        <v>231</v>
      </c>
      <c r="AZ35" t="s">
        <v>231</v>
      </c>
      <c r="BA35" t="s">
        <v>231</v>
      </c>
      <c r="BB35" t="s">
        <v>231</v>
      </c>
      <c r="BC35" t="s">
        <v>231</v>
      </c>
      <c r="BD35" t="s">
        <v>231</v>
      </c>
      <c r="BE35" t="s">
        <v>231</v>
      </c>
      <c r="BF35" t="s">
        <v>231</v>
      </c>
      <c r="BG35" t="s">
        <v>231</v>
      </c>
      <c r="BH35" t="s">
        <v>231</v>
      </c>
      <c r="BI35" t="s">
        <v>231</v>
      </c>
      <c r="BJ35" t="s">
        <v>231</v>
      </c>
      <c r="BK35" t="s">
        <v>231</v>
      </c>
      <c r="BL35" t="s">
        <v>231</v>
      </c>
      <c r="BM35" t="s">
        <v>231</v>
      </c>
      <c r="BN35" t="s">
        <v>231</v>
      </c>
      <c r="BO35" t="s">
        <v>231</v>
      </c>
      <c r="BP35" t="s">
        <v>231</v>
      </c>
      <c r="BQ35" t="s">
        <v>231</v>
      </c>
      <c r="BR35" t="s">
        <v>231</v>
      </c>
      <c r="BS35" t="s">
        <v>231</v>
      </c>
      <c r="BT35" t="s">
        <v>231</v>
      </c>
      <c r="BU35" t="s">
        <v>231</v>
      </c>
      <c r="BV35" t="s">
        <v>231</v>
      </c>
      <c r="BW35" t="s">
        <v>231</v>
      </c>
      <c r="BX35" t="s">
        <v>231</v>
      </c>
      <c r="BY35" t="s">
        <v>231</v>
      </c>
      <c r="BZ35" t="s">
        <v>231</v>
      </c>
      <c r="CA35" t="s">
        <v>231</v>
      </c>
      <c r="CB35" t="s">
        <v>231</v>
      </c>
      <c r="CC35" t="s">
        <v>231</v>
      </c>
      <c r="CD35" t="s">
        <v>231</v>
      </c>
      <c r="CE35" t="s">
        <v>231</v>
      </c>
      <c r="CF35" t="s">
        <v>231</v>
      </c>
      <c r="CG35" t="s">
        <v>231</v>
      </c>
      <c r="CH35" t="s">
        <v>231</v>
      </c>
      <c r="CI35" t="s">
        <v>231</v>
      </c>
      <c r="CJ35" t="s">
        <v>231</v>
      </c>
      <c r="CK35" t="s">
        <v>231</v>
      </c>
      <c r="CL35" t="s">
        <v>231</v>
      </c>
      <c r="CM35" t="s">
        <v>231</v>
      </c>
      <c r="CN35" t="s">
        <v>231</v>
      </c>
      <c r="CO35" t="s">
        <v>231</v>
      </c>
      <c r="CP35" t="s">
        <v>231</v>
      </c>
      <c r="CQ35" t="s">
        <v>231</v>
      </c>
      <c r="CR35" t="s">
        <v>231</v>
      </c>
      <c r="CS35" t="s">
        <v>231</v>
      </c>
      <c r="CT35" t="s">
        <v>3534</v>
      </c>
      <c r="CU35" t="s">
        <v>3535</v>
      </c>
      <c r="CV35" t="s">
        <v>3536</v>
      </c>
      <c r="CW35" t="s">
        <v>3589</v>
      </c>
      <c r="CX35" t="s">
        <v>223</v>
      </c>
      <c r="CY35" t="s">
        <v>3536</v>
      </c>
      <c r="CZ35" t="s">
        <v>3590</v>
      </c>
      <c r="DA35" t="s">
        <v>3591</v>
      </c>
      <c r="DB35" t="s">
        <v>3589</v>
      </c>
      <c r="DC35" t="s">
        <v>363</v>
      </c>
      <c r="DD35" t="s">
        <v>282</v>
      </c>
      <c r="DE35" t="s">
        <v>3776</v>
      </c>
    </row>
    <row r="36" spans="1:109" ht="11.25" customHeight="1">
      <c r="A36" s="1314" t="s">
        <v>231</v>
      </c>
      <c r="B36" t="s">
        <v>231</v>
      </c>
      <c r="C36" t="s">
        <v>231</v>
      </c>
      <c r="D36" t="s">
        <v>231</v>
      </c>
      <c r="E36" t="s">
        <v>231</v>
      </c>
      <c r="F36" t="s">
        <v>231</v>
      </c>
      <c r="G36" t="s">
        <v>231</v>
      </c>
      <c r="H36" t="s">
        <v>231</v>
      </c>
      <c r="I36" t="s">
        <v>3521</v>
      </c>
      <c r="J36" t="s">
        <v>231</v>
      </c>
      <c r="K36" t="s">
        <v>231</v>
      </c>
      <c r="L36" t="s">
        <v>231</v>
      </c>
      <c r="M36" t="s">
        <v>231</v>
      </c>
      <c r="N36" t="s">
        <v>231</v>
      </c>
      <c r="O36" t="s">
        <v>231</v>
      </c>
      <c r="P36" t="s">
        <v>231</v>
      </c>
      <c r="Q36" t="s">
        <v>231</v>
      </c>
      <c r="R36" t="s">
        <v>3615</v>
      </c>
      <c r="S36" t="s">
        <v>231</v>
      </c>
      <c r="T36" t="s">
        <v>231</v>
      </c>
      <c r="U36" t="s">
        <v>101</v>
      </c>
      <c r="V36" t="s">
        <v>231</v>
      </c>
      <c r="W36" t="s">
        <v>231</v>
      </c>
      <c r="X36" t="s">
        <v>3523</v>
      </c>
      <c r="Y36" t="s">
        <v>231</v>
      </c>
      <c r="Z36" t="s">
        <v>160</v>
      </c>
      <c r="AA36" t="s">
        <v>151</v>
      </c>
      <c r="AB36" t="s">
        <v>151</v>
      </c>
      <c r="AC36" t="s">
        <v>2289</v>
      </c>
      <c r="AD36" t="s">
        <v>2289</v>
      </c>
      <c r="AE36" t="s">
        <v>2290</v>
      </c>
      <c r="AF36" t="s">
        <v>3771</v>
      </c>
      <c r="AG36" t="s">
        <v>3772</v>
      </c>
      <c r="AH36" t="s">
        <v>3777</v>
      </c>
      <c r="AI36" t="s">
        <v>3778</v>
      </c>
      <c r="AJ36" t="s">
        <v>3594</v>
      </c>
      <c r="AK36" t="s">
        <v>3586</v>
      </c>
      <c r="AL36" t="s">
        <v>3548</v>
      </c>
      <c r="AM36" t="s">
        <v>3531</v>
      </c>
      <c r="AN36" t="s">
        <v>3529</v>
      </c>
      <c r="AO36" t="s">
        <v>3779</v>
      </c>
      <c r="AP36" t="s">
        <v>231</v>
      </c>
      <c r="AQ36" t="s">
        <v>231</v>
      </c>
      <c r="AR36" t="s">
        <v>231</v>
      </c>
      <c r="AS36" t="s">
        <v>231</v>
      </c>
      <c r="AT36" t="s">
        <v>231</v>
      </c>
      <c r="AU36" t="s">
        <v>231</v>
      </c>
      <c r="AV36" t="s">
        <v>231</v>
      </c>
      <c r="AW36" t="s">
        <v>231</v>
      </c>
      <c r="AX36" t="s">
        <v>231</v>
      </c>
      <c r="AY36" t="s">
        <v>231</v>
      </c>
      <c r="AZ36" t="s">
        <v>231</v>
      </c>
      <c r="BA36" t="s">
        <v>231</v>
      </c>
      <c r="BB36" t="s">
        <v>231</v>
      </c>
      <c r="BC36" t="s">
        <v>231</v>
      </c>
      <c r="BD36" t="s">
        <v>231</v>
      </c>
      <c r="BE36" t="s">
        <v>231</v>
      </c>
      <c r="BF36" t="s">
        <v>231</v>
      </c>
      <c r="BG36" t="s">
        <v>231</v>
      </c>
      <c r="BH36" t="s">
        <v>231</v>
      </c>
      <c r="BI36" t="s">
        <v>231</v>
      </c>
      <c r="BJ36" t="s">
        <v>231</v>
      </c>
      <c r="BK36" t="s">
        <v>231</v>
      </c>
      <c r="BL36" t="s">
        <v>231</v>
      </c>
      <c r="BM36" t="s">
        <v>231</v>
      </c>
      <c r="BN36" t="s">
        <v>231</v>
      </c>
      <c r="BO36" t="s">
        <v>231</v>
      </c>
      <c r="BP36" t="s">
        <v>231</v>
      </c>
      <c r="BQ36" t="s">
        <v>231</v>
      </c>
      <c r="BR36" t="s">
        <v>231</v>
      </c>
      <c r="BS36" t="s">
        <v>231</v>
      </c>
      <c r="BT36" t="s">
        <v>231</v>
      </c>
      <c r="BU36" t="s">
        <v>231</v>
      </c>
      <c r="BV36" t="s">
        <v>231</v>
      </c>
      <c r="BW36" t="s">
        <v>231</v>
      </c>
      <c r="BX36" t="s">
        <v>231</v>
      </c>
      <c r="BY36" t="s">
        <v>231</v>
      </c>
      <c r="BZ36" t="s">
        <v>231</v>
      </c>
      <c r="CA36" t="s">
        <v>231</v>
      </c>
      <c r="CB36" t="s">
        <v>231</v>
      </c>
      <c r="CC36" t="s">
        <v>231</v>
      </c>
      <c r="CD36" t="s">
        <v>231</v>
      </c>
      <c r="CE36" t="s">
        <v>231</v>
      </c>
      <c r="CF36" t="s">
        <v>231</v>
      </c>
      <c r="CG36" t="s">
        <v>231</v>
      </c>
      <c r="CH36" t="s">
        <v>231</v>
      </c>
      <c r="CI36" t="s">
        <v>231</v>
      </c>
      <c r="CJ36" t="s">
        <v>231</v>
      </c>
      <c r="CK36" t="s">
        <v>231</v>
      </c>
      <c r="CL36" t="s">
        <v>231</v>
      </c>
      <c r="CM36" t="s">
        <v>231</v>
      </c>
      <c r="CN36" t="s">
        <v>231</v>
      </c>
      <c r="CO36" t="s">
        <v>231</v>
      </c>
      <c r="CP36" t="s">
        <v>231</v>
      </c>
      <c r="CQ36" t="s">
        <v>231</v>
      </c>
      <c r="CR36" t="s">
        <v>231</v>
      </c>
      <c r="CS36" t="s">
        <v>231</v>
      </c>
      <c r="CT36" t="s">
        <v>3534</v>
      </c>
      <c r="CU36" t="s">
        <v>3535</v>
      </c>
      <c r="CV36" t="s">
        <v>3536</v>
      </c>
      <c r="CW36" t="s">
        <v>3589</v>
      </c>
      <c r="CX36" t="s">
        <v>223</v>
      </c>
      <c r="CY36" t="s">
        <v>3536</v>
      </c>
      <c r="CZ36" t="s">
        <v>3590</v>
      </c>
      <c r="DA36" t="s">
        <v>3591</v>
      </c>
      <c r="DB36" t="s">
        <v>3589</v>
      </c>
      <c r="DC36" t="s">
        <v>363</v>
      </c>
      <c r="DD36" t="s">
        <v>282</v>
      </c>
      <c r="DE36" t="s">
        <v>3780</v>
      </c>
    </row>
    <row r="37" spans="1:109" ht="11.25" customHeight="1">
      <c r="A37" s="1314" t="s">
        <v>231</v>
      </c>
      <c r="B37" t="s">
        <v>231</v>
      </c>
      <c r="C37" t="s">
        <v>231</v>
      </c>
      <c r="D37" t="s">
        <v>231</v>
      </c>
      <c r="E37" t="s">
        <v>231</v>
      </c>
      <c r="F37" t="s">
        <v>231</v>
      </c>
      <c r="G37" t="s">
        <v>231</v>
      </c>
      <c r="H37" t="s">
        <v>231</v>
      </c>
      <c r="I37" t="s">
        <v>3521</v>
      </c>
      <c r="J37" t="s">
        <v>231</v>
      </c>
      <c r="K37" t="s">
        <v>231</v>
      </c>
      <c r="L37" t="s">
        <v>231</v>
      </c>
      <c r="M37" t="s">
        <v>231</v>
      </c>
      <c r="N37" t="s">
        <v>231</v>
      </c>
      <c r="O37" t="s">
        <v>231</v>
      </c>
      <c r="P37" t="s">
        <v>231</v>
      </c>
      <c r="Q37" t="s">
        <v>231</v>
      </c>
      <c r="R37" t="s">
        <v>3781</v>
      </c>
      <c r="S37" t="s">
        <v>231</v>
      </c>
      <c r="T37" t="s">
        <v>231</v>
      </c>
      <c r="U37" t="s">
        <v>101</v>
      </c>
      <c r="V37" t="s">
        <v>231</v>
      </c>
      <c r="W37" t="s">
        <v>231</v>
      </c>
      <c r="X37" t="s">
        <v>3523</v>
      </c>
      <c r="Y37" t="s">
        <v>231</v>
      </c>
      <c r="Z37" t="s">
        <v>160</v>
      </c>
      <c r="AA37" t="s">
        <v>151</v>
      </c>
      <c r="AB37" t="s">
        <v>151</v>
      </c>
      <c r="AC37" t="s">
        <v>343</v>
      </c>
      <c r="AD37" t="s">
        <v>343</v>
      </c>
      <c r="AE37" t="s">
        <v>344</v>
      </c>
      <c r="AF37" t="s">
        <v>3561</v>
      </c>
      <c r="AG37" t="s">
        <v>3562</v>
      </c>
      <c r="AH37" t="s">
        <v>3782</v>
      </c>
      <c r="AI37" t="s">
        <v>3575</v>
      </c>
      <c r="AJ37" t="s">
        <v>3760</v>
      </c>
      <c r="AK37" t="s">
        <v>3783</v>
      </c>
      <c r="AL37" t="s">
        <v>3530</v>
      </c>
      <c r="AM37" t="s">
        <v>3531</v>
      </c>
      <c r="AN37" t="s">
        <v>3784</v>
      </c>
      <c r="AO37" t="s">
        <v>3785</v>
      </c>
      <c r="AP37" t="s">
        <v>231</v>
      </c>
      <c r="AQ37" t="s">
        <v>231</v>
      </c>
      <c r="AR37" t="s">
        <v>231</v>
      </c>
      <c r="AS37" t="s">
        <v>231</v>
      </c>
      <c r="AT37" t="s">
        <v>231</v>
      </c>
      <c r="AU37" t="s">
        <v>231</v>
      </c>
      <c r="AV37" t="s">
        <v>231</v>
      </c>
      <c r="AW37" t="s">
        <v>231</v>
      </c>
      <c r="AX37" t="s">
        <v>231</v>
      </c>
      <c r="AY37" t="s">
        <v>231</v>
      </c>
      <c r="AZ37" t="s">
        <v>231</v>
      </c>
      <c r="BA37" t="s">
        <v>231</v>
      </c>
      <c r="BB37" t="s">
        <v>231</v>
      </c>
      <c r="BC37" t="s">
        <v>231</v>
      </c>
      <c r="BD37" t="s">
        <v>231</v>
      </c>
      <c r="BE37" t="s">
        <v>231</v>
      </c>
      <c r="BF37" t="s">
        <v>231</v>
      </c>
      <c r="BG37" t="s">
        <v>231</v>
      </c>
      <c r="BH37" t="s">
        <v>231</v>
      </c>
      <c r="BI37" t="s">
        <v>231</v>
      </c>
      <c r="BJ37" t="s">
        <v>231</v>
      </c>
      <c r="BK37" t="s">
        <v>231</v>
      </c>
      <c r="BL37" t="s">
        <v>231</v>
      </c>
      <c r="BM37" t="s">
        <v>231</v>
      </c>
      <c r="BN37" t="s">
        <v>231</v>
      </c>
      <c r="BO37" t="s">
        <v>231</v>
      </c>
      <c r="BP37" t="s">
        <v>231</v>
      </c>
      <c r="BQ37" t="s">
        <v>231</v>
      </c>
      <c r="BR37" t="s">
        <v>231</v>
      </c>
      <c r="BS37" t="s">
        <v>231</v>
      </c>
      <c r="BT37" t="s">
        <v>231</v>
      </c>
      <c r="BU37" t="s">
        <v>231</v>
      </c>
      <c r="BV37" t="s">
        <v>231</v>
      </c>
      <c r="BW37" t="s">
        <v>231</v>
      </c>
      <c r="BX37" t="s">
        <v>231</v>
      </c>
      <c r="BY37" t="s">
        <v>231</v>
      </c>
      <c r="BZ37" t="s">
        <v>231</v>
      </c>
      <c r="CA37" t="s">
        <v>231</v>
      </c>
      <c r="CB37" t="s">
        <v>231</v>
      </c>
      <c r="CC37" t="s">
        <v>231</v>
      </c>
      <c r="CD37" t="s">
        <v>231</v>
      </c>
      <c r="CE37" t="s">
        <v>231</v>
      </c>
      <c r="CF37" t="s">
        <v>231</v>
      </c>
      <c r="CG37" t="s">
        <v>231</v>
      </c>
      <c r="CH37" t="s">
        <v>231</v>
      </c>
      <c r="CI37" t="s">
        <v>231</v>
      </c>
      <c r="CJ37" t="s">
        <v>231</v>
      </c>
      <c r="CK37" t="s">
        <v>231</v>
      </c>
      <c r="CL37" t="s">
        <v>231</v>
      </c>
      <c r="CM37" t="s">
        <v>231</v>
      </c>
      <c r="CN37" t="s">
        <v>231</v>
      </c>
      <c r="CO37" t="s">
        <v>231</v>
      </c>
      <c r="CP37" t="s">
        <v>231</v>
      </c>
      <c r="CQ37" t="s">
        <v>231</v>
      </c>
      <c r="CR37" t="s">
        <v>231</v>
      </c>
      <c r="CS37" t="s">
        <v>231</v>
      </c>
      <c r="CT37" t="s">
        <v>3534</v>
      </c>
      <c r="CU37" t="s">
        <v>3535</v>
      </c>
      <c r="CV37" t="s">
        <v>3536</v>
      </c>
      <c r="CW37" t="s">
        <v>3569</v>
      </c>
      <c r="CX37" t="s">
        <v>3570</v>
      </c>
      <c r="CY37" t="s">
        <v>3536</v>
      </c>
      <c r="CZ37" t="s">
        <v>224</v>
      </c>
      <c r="DA37" t="s">
        <v>3571</v>
      </c>
      <c r="DB37" t="s">
        <v>3569</v>
      </c>
      <c r="DC37" t="s">
        <v>363</v>
      </c>
      <c r="DD37" t="s">
        <v>282</v>
      </c>
      <c r="DE37" t="s">
        <v>3786</v>
      </c>
    </row>
    <row r="38" spans="1:109" ht="11.25" customHeight="1">
      <c r="A38" s="1314" t="s">
        <v>231</v>
      </c>
      <c r="B38" t="s">
        <v>231</v>
      </c>
      <c r="C38" t="s">
        <v>231</v>
      </c>
      <c r="D38" t="s">
        <v>231</v>
      </c>
      <c r="E38" t="s">
        <v>231</v>
      </c>
      <c r="F38" t="s">
        <v>231</v>
      </c>
      <c r="G38" t="s">
        <v>231</v>
      </c>
      <c r="H38" t="s">
        <v>231</v>
      </c>
      <c r="I38" t="s">
        <v>3521</v>
      </c>
      <c r="J38" t="s">
        <v>231</v>
      </c>
      <c r="K38" t="s">
        <v>231</v>
      </c>
      <c r="L38" t="s">
        <v>231</v>
      </c>
      <c r="M38" t="s">
        <v>231</v>
      </c>
      <c r="N38" t="s">
        <v>231</v>
      </c>
      <c r="O38" t="s">
        <v>231</v>
      </c>
      <c r="P38" t="s">
        <v>231</v>
      </c>
      <c r="Q38" t="s">
        <v>231</v>
      </c>
      <c r="R38" t="s">
        <v>3615</v>
      </c>
      <c r="S38" t="s">
        <v>231</v>
      </c>
      <c r="T38" t="s">
        <v>231</v>
      </c>
      <c r="U38" t="s">
        <v>101</v>
      </c>
      <c r="V38" t="s">
        <v>231</v>
      </c>
      <c r="W38" t="s">
        <v>231</v>
      </c>
      <c r="X38" t="s">
        <v>3523</v>
      </c>
      <c r="Y38" t="s">
        <v>231</v>
      </c>
      <c r="Z38" t="s">
        <v>160</v>
      </c>
      <c r="AA38" t="s">
        <v>151</v>
      </c>
      <c r="AB38" t="s">
        <v>151</v>
      </c>
      <c r="AC38" t="s">
        <v>2287</v>
      </c>
      <c r="AD38" t="s">
        <v>2287</v>
      </c>
      <c r="AE38" t="s">
        <v>2288</v>
      </c>
      <c r="AF38" t="s">
        <v>3787</v>
      </c>
      <c r="AG38" t="s">
        <v>3788</v>
      </c>
      <c r="AH38" t="s">
        <v>3618</v>
      </c>
      <c r="AI38" t="s">
        <v>3618</v>
      </c>
      <c r="AJ38" t="s">
        <v>3619</v>
      </c>
      <c r="AK38" t="s">
        <v>3789</v>
      </c>
      <c r="AL38" t="s">
        <v>3548</v>
      </c>
      <c r="AM38" t="s">
        <v>3531</v>
      </c>
      <c r="AN38" t="s">
        <v>3621</v>
      </c>
      <c r="AO38" t="s">
        <v>3790</v>
      </c>
      <c r="AP38" t="s">
        <v>231</v>
      </c>
      <c r="AQ38" t="s">
        <v>231</v>
      </c>
      <c r="AR38" t="s">
        <v>231</v>
      </c>
      <c r="AS38" t="s">
        <v>231</v>
      </c>
      <c r="AT38" t="s">
        <v>231</v>
      </c>
      <c r="AU38" t="s">
        <v>231</v>
      </c>
      <c r="AV38" t="s">
        <v>231</v>
      </c>
      <c r="AW38" t="s">
        <v>231</v>
      </c>
      <c r="AX38" t="s">
        <v>231</v>
      </c>
      <c r="AY38" t="s">
        <v>231</v>
      </c>
      <c r="AZ38" t="s">
        <v>231</v>
      </c>
      <c r="BA38" t="s">
        <v>231</v>
      </c>
      <c r="BB38" t="s">
        <v>231</v>
      </c>
      <c r="BC38" t="s">
        <v>231</v>
      </c>
      <c r="BD38" t="s">
        <v>231</v>
      </c>
      <c r="BE38" t="s">
        <v>231</v>
      </c>
      <c r="BF38" t="s">
        <v>231</v>
      </c>
      <c r="BG38" t="s">
        <v>231</v>
      </c>
      <c r="BH38" t="s">
        <v>231</v>
      </c>
      <c r="BI38" t="s">
        <v>231</v>
      </c>
      <c r="BJ38" t="s">
        <v>231</v>
      </c>
      <c r="BK38" t="s">
        <v>231</v>
      </c>
      <c r="BL38" t="s">
        <v>231</v>
      </c>
      <c r="BM38" t="s">
        <v>231</v>
      </c>
      <c r="BN38" t="s">
        <v>231</v>
      </c>
      <c r="BO38" t="s">
        <v>231</v>
      </c>
      <c r="BP38" t="s">
        <v>231</v>
      </c>
      <c r="BQ38" t="s">
        <v>231</v>
      </c>
      <c r="BR38" t="s">
        <v>231</v>
      </c>
      <c r="BS38" t="s">
        <v>231</v>
      </c>
      <c r="BT38" t="s">
        <v>231</v>
      </c>
      <c r="BU38" t="s">
        <v>231</v>
      </c>
      <c r="BV38" t="s">
        <v>231</v>
      </c>
      <c r="BW38" t="s">
        <v>231</v>
      </c>
      <c r="BX38" t="s">
        <v>231</v>
      </c>
      <c r="BY38" t="s">
        <v>231</v>
      </c>
      <c r="BZ38" t="s">
        <v>231</v>
      </c>
      <c r="CA38" t="s">
        <v>231</v>
      </c>
      <c r="CB38" t="s">
        <v>231</v>
      </c>
      <c r="CC38" t="s">
        <v>231</v>
      </c>
      <c r="CD38" t="s">
        <v>231</v>
      </c>
      <c r="CE38" t="s">
        <v>231</v>
      </c>
      <c r="CF38" t="s">
        <v>231</v>
      </c>
      <c r="CG38" t="s">
        <v>231</v>
      </c>
      <c r="CH38" t="s">
        <v>231</v>
      </c>
      <c r="CI38" t="s">
        <v>231</v>
      </c>
      <c r="CJ38" t="s">
        <v>231</v>
      </c>
      <c r="CK38" t="s">
        <v>231</v>
      </c>
      <c r="CL38" t="s">
        <v>231</v>
      </c>
      <c r="CM38" t="s">
        <v>231</v>
      </c>
      <c r="CN38" t="s">
        <v>231</v>
      </c>
      <c r="CO38" t="s">
        <v>231</v>
      </c>
      <c r="CP38" t="s">
        <v>231</v>
      </c>
      <c r="CQ38" t="s">
        <v>231</v>
      </c>
      <c r="CR38" t="s">
        <v>231</v>
      </c>
      <c r="CS38" t="s">
        <v>231</v>
      </c>
      <c r="CT38" t="s">
        <v>3534</v>
      </c>
      <c r="CU38" t="s">
        <v>3535</v>
      </c>
      <c r="CV38" t="s">
        <v>3536</v>
      </c>
      <c r="CW38" t="s">
        <v>3623</v>
      </c>
      <c r="CX38" t="s">
        <v>223</v>
      </c>
      <c r="CY38" t="s">
        <v>3536</v>
      </c>
      <c r="CZ38" t="s">
        <v>3624</v>
      </c>
      <c r="DA38" t="s">
        <v>3625</v>
      </c>
      <c r="DB38" t="s">
        <v>3623</v>
      </c>
      <c r="DC38" t="s">
        <v>363</v>
      </c>
      <c r="DD38" t="s">
        <v>282</v>
      </c>
      <c r="DE38" t="s">
        <v>3791</v>
      </c>
    </row>
    <row r="39" spans="1:109" ht="11.25" customHeight="1">
      <c r="A39" s="1314" t="s">
        <v>231</v>
      </c>
      <c r="B39" t="s">
        <v>231</v>
      </c>
      <c r="C39" t="s">
        <v>231</v>
      </c>
      <c r="D39" t="s">
        <v>231</v>
      </c>
      <c r="E39" t="s">
        <v>231</v>
      </c>
      <c r="F39" t="s">
        <v>231</v>
      </c>
      <c r="G39" t="s">
        <v>231</v>
      </c>
      <c r="H39" t="s">
        <v>231</v>
      </c>
      <c r="I39" t="s">
        <v>3521</v>
      </c>
      <c r="J39" t="s">
        <v>231</v>
      </c>
      <c r="K39" t="s">
        <v>231</v>
      </c>
      <c r="L39" t="s">
        <v>231</v>
      </c>
      <c r="M39" t="s">
        <v>231</v>
      </c>
      <c r="N39" t="s">
        <v>231</v>
      </c>
      <c r="O39" t="s">
        <v>231</v>
      </c>
      <c r="P39" t="s">
        <v>231</v>
      </c>
      <c r="Q39" t="s">
        <v>231</v>
      </c>
      <c r="R39" t="s">
        <v>3792</v>
      </c>
      <c r="S39" t="s">
        <v>231</v>
      </c>
      <c r="T39" t="s">
        <v>231</v>
      </c>
      <c r="U39" t="s">
        <v>101</v>
      </c>
      <c r="V39" t="s">
        <v>231</v>
      </c>
      <c r="W39" t="s">
        <v>231</v>
      </c>
      <c r="X39" t="s">
        <v>3523</v>
      </c>
      <c r="Y39" t="s">
        <v>231</v>
      </c>
      <c r="Z39" t="s">
        <v>160</v>
      </c>
      <c r="AA39" t="s">
        <v>151</v>
      </c>
      <c r="AB39" t="s">
        <v>151</v>
      </c>
      <c r="AC39" t="s">
        <v>2289</v>
      </c>
      <c r="AD39" t="s">
        <v>2289</v>
      </c>
      <c r="AE39" t="s">
        <v>2290</v>
      </c>
      <c r="AF39" t="s">
        <v>3793</v>
      </c>
      <c r="AG39" t="s">
        <v>3794</v>
      </c>
      <c r="AH39" t="s">
        <v>3795</v>
      </c>
      <c r="AI39" t="s">
        <v>3774</v>
      </c>
      <c r="AJ39" t="s">
        <v>3546</v>
      </c>
      <c r="AK39" t="s">
        <v>3594</v>
      </c>
      <c r="AL39" t="s">
        <v>3548</v>
      </c>
      <c r="AM39" t="s">
        <v>3531</v>
      </c>
      <c r="AN39" t="s">
        <v>3595</v>
      </c>
      <c r="AO39" t="s">
        <v>3796</v>
      </c>
      <c r="AP39" t="s">
        <v>231</v>
      </c>
      <c r="AQ39" t="s">
        <v>231</v>
      </c>
      <c r="AR39" t="s">
        <v>231</v>
      </c>
      <c r="AS39" t="s">
        <v>231</v>
      </c>
      <c r="AT39" t="s">
        <v>231</v>
      </c>
      <c r="AU39" t="s">
        <v>231</v>
      </c>
      <c r="AV39" t="s">
        <v>231</v>
      </c>
      <c r="AW39" t="s">
        <v>231</v>
      </c>
      <c r="AX39" t="s">
        <v>231</v>
      </c>
      <c r="AY39" t="s">
        <v>231</v>
      </c>
      <c r="AZ39" t="s">
        <v>231</v>
      </c>
      <c r="BA39" t="s">
        <v>231</v>
      </c>
      <c r="BB39" t="s">
        <v>231</v>
      </c>
      <c r="BC39" t="s">
        <v>231</v>
      </c>
      <c r="BD39" t="s">
        <v>231</v>
      </c>
      <c r="BE39" t="s">
        <v>231</v>
      </c>
      <c r="BF39" t="s">
        <v>231</v>
      </c>
      <c r="BG39" t="s">
        <v>231</v>
      </c>
      <c r="BH39" t="s">
        <v>231</v>
      </c>
      <c r="BI39" t="s">
        <v>231</v>
      </c>
      <c r="BJ39" t="s">
        <v>231</v>
      </c>
      <c r="BK39" t="s">
        <v>231</v>
      </c>
      <c r="BL39" t="s">
        <v>231</v>
      </c>
      <c r="BM39" t="s">
        <v>231</v>
      </c>
      <c r="BN39" t="s">
        <v>231</v>
      </c>
      <c r="BO39" t="s">
        <v>231</v>
      </c>
      <c r="BP39" t="s">
        <v>231</v>
      </c>
      <c r="BQ39" t="s">
        <v>231</v>
      </c>
      <c r="BR39" t="s">
        <v>231</v>
      </c>
      <c r="BS39" t="s">
        <v>231</v>
      </c>
      <c r="BT39" t="s">
        <v>231</v>
      </c>
      <c r="BU39" t="s">
        <v>231</v>
      </c>
      <c r="BV39" t="s">
        <v>231</v>
      </c>
      <c r="BW39" t="s">
        <v>231</v>
      </c>
      <c r="BX39" t="s">
        <v>231</v>
      </c>
      <c r="BY39" t="s">
        <v>231</v>
      </c>
      <c r="BZ39" t="s">
        <v>231</v>
      </c>
      <c r="CA39" t="s">
        <v>231</v>
      </c>
      <c r="CB39" t="s">
        <v>231</v>
      </c>
      <c r="CC39" t="s">
        <v>231</v>
      </c>
      <c r="CD39" t="s">
        <v>231</v>
      </c>
      <c r="CE39" t="s">
        <v>231</v>
      </c>
      <c r="CF39" t="s">
        <v>231</v>
      </c>
      <c r="CG39" t="s">
        <v>231</v>
      </c>
      <c r="CH39" t="s">
        <v>231</v>
      </c>
      <c r="CI39" t="s">
        <v>231</v>
      </c>
      <c r="CJ39" t="s">
        <v>231</v>
      </c>
      <c r="CK39" t="s">
        <v>231</v>
      </c>
      <c r="CL39" t="s">
        <v>231</v>
      </c>
      <c r="CM39" t="s">
        <v>231</v>
      </c>
      <c r="CN39" t="s">
        <v>231</v>
      </c>
      <c r="CO39" t="s">
        <v>231</v>
      </c>
      <c r="CP39" t="s">
        <v>231</v>
      </c>
      <c r="CQ39" t="s">
        <v>231</v>
      </c>
      <c r="CR39" t="s">
        <v>231</v>
      </c>
      <c r="CS39" t="s">
        <v>231</v>
      </c>
      <c r="CT39" t="s">
        <v>3534</v>
      </c>
      <c r="CU39" t="s">
        <v>3535</v>
      </c>
      <c r="CV39" t="s">
        <v>3536</v>
      </c>
      <c r="CW39" t="s">
        <v>3589</v>
      </c>
      <c r="CX39" t="s">
        <v>223</v>
      </c>
      <c r="CY39" t="s">
        <v>3536</v>
      </c>
      <c r="CZ39" t="s">
        <v>3590</v>
      </c>
      <c r="DA39" t="s">
        <v>3591</v>
      </c>
      <c r="DB39" t="s">
        <v>3589</v>
      </c>
      <c r="DC39" t="s">
        <v>363</v>
      </c>
      <c r="DD39" t="s">
        <v>282</v>
      </c>
      <c r="DE39" t="s">
        <v>3797</v>
      </c>
    </row>
    <row r="40" spans="1:109" ht="11.25" customHeight="1">
      <c r="A40" s="1314" t="s">
        <v>231</v>
      </c>
      <c r="B40" t="s">
        <v>231</v>
      </c>
      <c r="C40" t="s">
        <v>231</v>
      </c>
      <c r="D40" t="s">
        <v>231</v>
      </c>
      <c r="E40" t="s">
        <v>231</v>
      </c>
      <c r="F40" t="s">
        <v>231</v>
      </c>
      <c r="G40" t="s">
        <v>231</v>
      </c>
      <c r="H40" t="s">
        <v>231</v>
      </c>
      <c r="I40" t="s">
        <v>3521</v>
      </c>
      <c r="J40" t="s">
        <v>231</v>
      </c>
      <c r="K40" t="s">
        <v>231</v>
      </c>
      <c r="L40" t="s">
        <v>231</v>
      </c>
      <c r="M40" t="s">
        <v>231</v>
      </c>
      <c r="N40" t="s">
        <v>231</v>
      </c>
      <c r="O40" t="s">
        <v>231</v>
      </c>
      <c r="P40" t="s">
        <v>231</v>
      </c>
      <c r="Q40" t="s">
        <v>231</v>
      </c>
      <c r="R40" t="s">
        <v>3798</v>
      </c>
      <c r="S40" t="s">
        <v>231</v>
      </c>
      <c r="T40" t="s">
        <v>231</v>
      </c>
      <c r="U40" t="s">
        <v>101</v>
      </c>
      <c r="V40" t="s">
        <v>231</v>
      </c>
      <c r="W40" t="s">
        <v>231</v>
      </c>
      <c r="X40" t="s">
        <v>3523</v>
      </c>
      <c r="Y40" t="s">
        <v>231</v>
      </c>
      <c r="Z40" t="s">
        <v>160</v>
      </c>
      <c r="AA40" t="s">
        <v>151</v>
      </c>
      <c r="AB40" t="s">
        <v>151</v>
      </c>
      <c r="AC40" t="s">
        <v>2289</v>
      </c>
      <c r="AD40" t="s">
        <v>2289</v>
      </c>
      <c r="AE40" t="s">
        <v>2290</v>
      </c>
      <c r="AF40" t="s">
        <v>3793</v>
      </c>
      <c r="AG40" t="s">
        <v>3794</v>
      </c>
      <c r="AH40" t="s">
        <v>3799</v>
      </c>
      <c r="AI40" t="s">
        <v>3593</v>
      </c>
      <c r="AJ40" t="s">
        <v>3546</v>
      </c>
      <c r="AK40" t="s">
        <v>3800</v>
      </c>
      <c r="AL40" t="s">
        <v>3548</v>
      </c>
      <c r="AM40" t="s">
        <v>3531</v>
      </c>
      <c r="AN40" t="s">
        <v>3595</v>
      </c>
      <c r="AO40" t="s">
        <v>3801</v>
      </c>
      <c r="AP40" t="s">
        <v>231</v>
      </c>
      <c r="AQ40" t="s">
        <v>231</v>
      </c>
      <c r="AR40" t="s">
        <v>231</v>
      </c>
      <c r="AS40" t="s">
        <v>231</v>
      </c>
      <c r="AT40" t="s">
        <v>231</v>
      </c>
      <c r="AU40" t="s">
        <v>231</v>
      </c>
      <c r="AV40" t="s">
        <v>231</v>
      </c>
      <c r="AW40" t="s">
        <v>231</v>
      </c>
      <c r="AX40" t="s">
        <v>231</v>
      </c>
      <c r="AY40" t="s">
        <v>231</v>
      </c>
      <c r="AZ40" t="s">
        <v>231</v>
      </c>
      <c r="BA40" t="s">
        <v>231</v>
      </c>
      <c r="BB40" t="s">
        <v>231</v>
      </c>
      <c r="BC40" t="s">
        <v>231</v>
      </c>
      <c r="BD40" t="s">
        <v>231</v>
      </c>
      <c r="BE40" t="s">
        <v>231</v>
      </c>
      <c r="BF40" t="s">
        <v>231</v>
      </c>
      <c r="BG40" t="s">
        <v>231</v>
      </c>
      <c r="BH40" t="s">
        <v>231</v>
      </c>
      <c r="BI40" t="s">
        <v>231</v>
      </c>
      <c r="BJ40" t="s">
        <v>231</v>
      </c>
      <c r="BK40" t="s">
        <v>231</v>
      </c>
      <c r="BL40" t="s">
        <v>231</v>
      </c>
      <c r="BM40" t="s">
        <v>231</v>
      </c>
      <c r="BN40" t="s">
        <v>231</v>
      </c>
      <c r="BO40" t="s">
        <v>231</v>
      </c>
      <c r="BP40" t="s">
        <v>231</v>
      </c>
      <c r="BQ40" t="s">
        <v>231</v>
      </c>
      <c r="BR40" t="s">
        <v>231</v>
      </c>
      <c r="BS40" t="s">
        <v>231</v>
      </c>
      <c r="BT40" t="s">
        <v>231</v>
      </c>
      <c r="BU40" t="s">
        <v>231</v>
      </c>
      <c r="BV40" t="s">
        <v>231</v>
      </c>
      <c r="BW40" t="s">
        <v>231</v>
      </c>
      <c r="BX40" t="s">
        <v>231</v>
      </c>
      <c r="BY40" t="s">
        <v>231</v>
      </c>
      <c r="BZ40" t="s">
        <v>231</v>
      </c>
      <c r="CA40" t="s">
        <v>231</v>
      </c>
      <c r="CB40" t="s">
        <v>231</v>
      </c>
      <c r="CC40" t="s">
        <v>231</v>
      </c>
      <c r="CD40" t="s">
        <v>231</v>
      </c>
      <c r="CE40" t="s">
        <v>231</v>
      </c>
      <c r="CF40" t="s">
        <v>231</v>
      </c>
      <c r="CG40" t="s">
        <v>231</v>
      </c>
      <c r="CH40" t="s">
        <v>231</v>
      </c>
      <c r="CI40" t="s">
        <v>231</v>
      </c>
      <c r="CJ40" t="s">
        <v>231</v>
      </c>
      <c r="CK40" t="s">
        <v>231</v>
      </c>
      <c r="CL40" t="s">
        <v>231</v>
      </c>
      <c r="CM40" t="s">
        <v>231</v>
      </c>
      <c r="CN40" t="s">
        <v>231</v>
      </c>
      <c r="CO40" t="s">
        <v>231</v>
      </c>
      <c r="CP40" t="s">
        <v>231</v>
      </c>
      <c r="CQ40" t="s">
        <v>231</v>
      </c>
      <c r="CR40" t="s">
        <v>231</v>
      </c>
      <c r="CS40" t="s">
        <v>231</v>
      </c>
      <c r="CT40" t="s">
        <v>3534</v>
      </c>
      <c r="CU40" t="s">
        <v>3535</v>
      </c>
      <c r="CV40" t="s">
        <v>3536</v>
      </c>
      <c r="CW40" t="s">
        <v>3589</v>
      </c>
      <c r="CX40" t="s">
        <v>223</v>
      </c>
      <c r="CY40" t="s">
        <v>3536</v>
      </c>
      <c r="CZ40" t="s">
        <v>3590</v>
      </c>
      <c r="DA40" t="s">
        <v>3591</v>
      </c>
      <c r="DB40" t="s">
        <v>3589</v>
      </c>
      <c r="DC40" t="s">
        <v>363</v>
      </c>
      <c r="DD40" t="s">
        <v>282</v>
      </c>
      <c r="DE40" t="s">
        <v>3802</v>
      </c>
    </row>
    <row r="41" spans="1:109" ht="11.25" customHeight="1">
      <c r="A41" s="1314" t="s">
        <v>231</v>
      </c>
      <c r="B41" t="s">
        <v>231</v>
      </c>
      <c r="C41" t="s">
        <v>231</v>
      </c>
      <c r="D41" t="s">
        <v>231</v>
      </c>
      <c r="E41" t="s">
        <v>231</v>
      </c>
      <c r="F41" t="s">
        <v>231</v>
      </c>
      <c r="G41" t="s">
        <v>231</v>
      </c>
      <c r="H41" t="s">
        <v>231</v>
      </c>
      <c r="I41" t="s">
        <v>3521</v>
      </c>
      <c r="J41" t="s">
        <v>231</v>
      </c>
      <c r="K41" t="s">
        <v>231</v>
      </c>
      <c r="L41" t="s">
        <v>231</v>
      </c>
      <c r="M41" t="s">
        <v>231</v>
      </c>
      <c r="N41" t="s">
        <v>231</v>
      </c>
      <c r="O41" t="s">
        <v>231</v>
      </c>
      <c r="P41" t="s">
        <v>231</v>
      </c>
      <c r="Q41" t="s">
        <v>231</v>
      </c>
      <c r="R41" t="s">
        <v>3803</v>
      </c>
      <c r="S41" t="s">
        <v>231</v>
      </c>
      <c r="T41" t="s">
        <v>231</v>
      </c>
      <c r="U41" t="s">
        <v>101</v>
      </c>
      <c r="V41" t="s">
        <v>231</v>
      </c>
      <c r="W41" t="s">
        <v>231</v>
      </c>
      <c r="X41" t="s">
        <v>3523</v>
      </c>
      <c r="Y41" t="s">
        <v>231</v>
      </c>
      <c r="Z41" t="s">
        <v>160</v>
      </c>
      <c r="AA41" t="s">
        <v>151</v>
      </c>
      <c r="AB41" t="s">
        <v>151</v>
      </c>
      <c r="AC41" t="s">
        <v>343</v>
      </c>
      <c r="AD41" t="s">
        <v>343</v>
      </c>
      <c r="AE41" t="s">
        <v>344</v>
      </c>
      <c r="AF41" t="s">
        <v>3561</v>
      </c>
      <c r="AG41" t="s">
        <v>3562</v>
      </c>
      <c r="AH41" t="s">
        <v>3804</v>
      </c>
      <c r="AI41" t="s">
        <v>3575</v>
      </c>
      <c r="AJ41" t="s">
        <v>3805</v>
      </c>
      <c r="AK41" t="s">
        <v>3806</v>
      </c>
      <c r="AL41" t="s">
        <v>3566</v>
      </c>
      <c r="AM41" t="s">
        <v>3531</v>
      </c>
      <c r="AN41" t="s">
        <v>3807</v>
      </c>
      <c r="AO41" t="s">
        <v>3808</v>
      </c>
      <c r="AP41" t="s">
        <v>231</v>
      </c>
      <c r="AQ41" t="s">
        <v>231</v>
      </c>
      <c r="AR41" t="s">
        <v>231</v>
      </c>
      <c r="AS41" t="s">
        <v>231</v>
      </c>
      <c r="AT41" t="s">
        <v>231</v>
      </c>
      <c r="AU41" t="s">
        <v>231</v>
      </c>
      <c r="AV41" t="s">
        <v>231</v>
      </c>
      <c r="AW41" t="s">
        <v>231</v>
      </c>
      <c r="AX41" t="s">
        <v>231</v>
      </c>
      <c r="AY41" t="s">
        <v>231</v>
      </c>
      <c r="AZ41" t="s">
        <v>231</v>
      </c>
      <c r="BA41" t="s">
        <v>231</v>
      </c>
      <c r="BB41" t="s">
        <v>231</v>
      </c>
      <c r="BC41" t="s">
        <v>231</v>
      </c>
      <c r="BD41" t="s">
        <v>231</v>
      </c>
      <c r="BE41" t="s">
        <v>231</v>
      </c>
      <c r="BF41" t="s">
        <v>231</v>
      </c>
      <c r="BG41" t="s">
        <v>231</v>
      </c>
      <c r="BH41" t="s">
        <v>231</v>
      </c>
      <c r="BI41" t="s">
        <v>231</v>
      </c>
      <c r="BJ41" t="s">
        <v>231</v>
      </c>
      <c r="BK41" t="s">
        <v>231</v>
      </c>
      <c r="BL41" t="s">
        <v>231</v>
      </c>
      <c r="BM41" t="s">
        <v>231</v>
      </c>
      <c r="BN41" t="s">
        <v>231</v>
      </c>
      <c r="BO41" t="s">
        <v>231</v>
      </c>
      <c r="BP41" t="s">
        <v>231</v>
      </c>
      <c r="BQ41" t="s">
        <v>231</v>
      </c>
      <c r="BR41" t="s">
        <v>231</v>
      </c>
      <c r="BS41" t="s">
        <v>231</v>
      </c>
      <c r="BT41" t="s">
        <v>231</v>
      </c>
      <c r="BU41" t="s">
        <v>231</v>
      </c>
      <c r="BV41" t="s">
        <v>231</v>
      </c>
      <c r="BW41" t="s">
        <v>231</v>
      </c>
      <c r="BX41" t="s">
        <v>231</v>
      </c>
      <c r="BY41" t="s">
        <v>231</v>
      </c>
      <c r="BZ41" t="s">
        <v>231</v>
      </c>
      <c r="CA41" t="s">
        <v>231</v>
      </c>
      <c r="CB41" t="s">
        <v>231</v>
      </c>
      <c r="CC41" t="s">
        <v>231</v>
      </c>
      <c r="CD41" t="s">
        <v>231</v>
      </c>
      <c r="CE41" t="s">
        <v>231</v>
      </c>
      <c r="CF41" t="s">
        <v>231</v>
      </c>
      <c r="CG41" t="s">
        <v>231</v>
      </c>
      <c r="CH41" t="s">
        <v>231</v>
      </c>
      <c r="CI41" t="s">
        <v>231</v>
      </c>
      <c r="CJ41" t="s">
        <v>231</v>
      </c>
      <c r="CK41" t="s">
        <v>231</v>
      </c>
      <c r="CL41" t="s">
        <v>231</v>
      </c>
      <c r="CM41" t="s">
        <v>231</v>
      </c>
      <c r="CN41" t="s">
        <v>231</v>
      </c>
      <c r="CO41" t="s">
        <v>231</v>
      </c>
      <c r="CP41" t="s">
        <v>231</v>
      </c>
      <c r="CQ41" t="s">
        <v>231</v>
      </c>
      <c r="CR41" t="s">
        <v>231</v>
      </c>
      <c r="CS41" t="s">
        <v>231</v>
      </c>
      <c r="CT41" t="s">
        <v>3534</v>
      </c>
      <c r="CU41" t="s">
        <v>3535</v>
      </c>
      <c r="CV41" t="s">
        <v>3536</v>
      </c>
      <c r="CW41" t="s">
        <v>3569</v>
      </c>
      <c r="CX41" t="s">
        <v>3570</v>
      </c>
      <c r="CY41" t="s">
        <v>3536</v>
      </c>
      <c r="CZ41" t="s">
        <v>224</v>
      </c>
      <c r="DA41" t="s">
        <v>3571</v>
      </c>
      <c r="DB41" t="s">
        <v>3569</v>
      </c>
      <c r="DC41" t="s">
        <v>363</v>
      </c>
      <c r="DD41" t="s">
        <v>282</v>
      </c>
      <c r="DE41" t="s">
        <v>3809</v>
      </c>
    </row>
    <row r="42" spans="1:109" ht="11.25" customHeight="1">
      <c r="A42" s="1314" t="s">
        <v>231</v>
      </c>
      <c r="B42" t="s">
        <v>231</v>
      </c>
      <c r="C42" t="s">
        <v>231</v>
      </c>
      <c r="D42" t="s">
        <v>231</v>
      </c>
      <c r="E42" t="s">
        <v>231</v>
      </c>
      <c r="F42" t="s">
        <v>231</v>
      </c>
      <c r="G42" t="s">
        <v>231</v>
      </c>
      <c r="H42" t="s">
        <v>231</v>
      </c>
      <c r="I42" t="s">
        <v>3521</v>
      </c>
      <c r="J42" t="s">
        <v>231</v>
      </c>
      <c r="K42" t="s">
        <v>231</v>
      </c>
      <c r="L42" t="s">
        <v>231</v>
      </c>
      <c r="M42" t="s">
        <v>231</v>
      </c>
      <c r="N42" t="s">
        <v>231</v>
      </c>
      <c r="O42" t="s">
        <v>231</v>
      </c>
      <c r="P42" t="s">
        <v>231</v>
      </c>
      <c r="Q42" t="s">
        <v>231</v>
      </c>
      <c r="R42" t="s">
        <v>3810</v>
      </c>
      <c r="S42" t="s">
        <v>231</v>
      </c>
      <c r="T42" t="s">
        <v>231</v>
      </c>
      <c r="U42" t="s">
        <v>101</v>
      </c>
      <c r="V42" t="s">
        <v>231</v>
      </c>
      <c r="W42" t="s">
        <v>231</v>
      </c>
      <c r="X42" t="s">
        <v>3523</v>
      </c>
      <c r="Y42" t="s">
        <v>231</v>
      </c>
      <c r="Z42" t="s">
        <v>160</v>
      </c>
      <c r="AA42" t="s">
        <v>151</v>
      </c>
      <c r="AB42" t="s">
        <v>151</v>
      </c>
      <c r="AC42" t="s">
        <v>2289</v>
      </c>
      <c r="AD42" t="s">
        <v>2289</v>
      </c>
      <c r="AE42" t="s">
        <v>2290</v>
      </c>
      <c r="AF42" t="s">
        <v>3793</v>
      </c>
      <c r="AG42" t="s">
        <v>3794</v>
      </c>
      <c r="AH42" t="s">
        <v>3811</v>
      </c>
      <c r="AI42" t="s">
        <v>3618</v>
      </c>
      <c r="AJ42" t="s">
        <v>3621</v>
      </c>
      <c r="AK42" t="s">
        <v>3587</v>
      </c>
      <c r="AL42" t="s">
        <v>3548</v>
      </c>
      <c r="AM42" t="s">
        <v>3531</v>
      </c>
      <c r="AN42" t="s">
        <v>3595</v>
      </c>
      <c r="AO42" t="s">
        <v>3812</v>
      </c>
      <c r="AP42" t="s">
        <v>231</v>
      </c>
      <c r="AQ42" t="s">
        <v>231</v>
      </c>
      <c r="AR42" t="s">
        <v>231</v>
      </c>
      <c r="AS42" t="s">
        <v>231</v>
      </c>
      <c r="AT42" t="s">
        <v>231</v>
      </c>
      <c r="AU42" t="s">
        <v>231</v>
      </c>
      <c r="AV42" t="s">
        <v>231</v>
      </c>
      <c r="AW42" t="s">
        <v>231</v>
      </c>
      <c r="AX42" t="s">
        <v>231</v>
      </c>
      <c r="AY42" t="s">
        <v>231</v>
      </c>
      <c r="AZ42" t="s">
        <v>231</v>
      </c>
      <c r="BA42" t="s">
        <v>231</v>
      </c>
      <c r="BB42" t="s">
        <v>231</v>
      </c>
      <c r="BC42" t="s">
        <v>231</v>
      </c>
      <c r="BD42" t="s">
        <v>231</v>
      </c>
      <c r="BE42" t="s">
        <v>231</v>
      </c>
      <c r="BF42" t="s">
        <v>231</v>
      </c>
      <c r="BG42" t="s">
        <v>231</v>
      </c>
      <c r="BH42" t="s">
        <v>231</v>
      </c>
      <c r="BI42" t="s">
        <v>231</v>
      </c>
      <c r="BJ42" t="s">
        <v>231</v>
      </c>
      <c r="BK42" t="s">
        <v>231</v>
      </c>
      <c r="BL42" t="s">
        <v>231</v>
      </c>
      <c r="BM42" t="s">
        <v>231</v>
      </c>
      <c r="BN42" t="s">
        <v>231</v>
      </c>
      <c r="BO42" t="s">
        <v>231</v>
      </c>
      <c r="BP42" t="s">
        <v>231</v>
      </c>
      <c r="BQ42" t="s">
        <v>231</v>
      </c>
      <c r="BR42" t="s">
        <v>231</v>
      </c>
      <c r="BS42" t="s">
        <v>231</v>
      </c>
      <c r="BT42" t="s">
        <v>231</v>
      </c>
      <c r="BU42" t="s">
        <v>231</v>
      </c>
      <c r="BV42" t="s">
        <v>231</v>
      </c>
      <c r="BW42" t="s">
        <v>231</v>
      </c>
      <c r="BX42" t="s">
        <v>231</v>
      </c>
      <c r="BY42" t="s">
        <v>231</v>
      </c>
      <c r="BZ42" t="s">
        <v>231</v>
      </c>
      <c r="CA42" t="s">
        <v>231</v>
      </c>
      <c r="CB42" t="s">
        <v>231</v>
      </c>
      <c r="CC42" t="s">
        <v>231</v>
      </c>
      <c r="CD42" t="s">
        <v>231</v>
      </c>
      <c r="CE42" t="s">
        <v>231</v>
      </c>
      <c r="CF42" t="s">
        <v>231</v>
      </c>
      <c r="CG42" t="s">
        <v>231</v>
      </c>
      <c r="CH42" t="s">
        <v>231</v>
      </c>
      <c r="CI42" t="s">
        <v>231</v>
      </c>
      <c r="CJ42" t="s">
        <v>231</v>
      </c>
      <c r="CK42" t="s">
        <v>231</v>
      </c>
      <c r="CL42" t="s">
        <v>231</v>
      </c>
      <c r="CM42" t="s">
        <v>231</v>
      </c>
      <c r="CN42" t="s">
        <v>231</v>
      </c>
      <c r="CO42" t="s">
        <v>231</v>
      </c>
      <c r="CP42" t="s">
        <v>231</v>
      </c>
      <c r="CQ42" t="s">
        <v>231</v>
      </c>
      <c r="CR42" t="s">
        <v>231</v>
      </c>
      <c r="CS42" t="s">
        <v>231</v>
      </c>
      <c r="CT42" t="s">
        <v>3534</v>
      </c>
      <c r="CU42" t="s">
        <v>3535</v>
      </c>
      <c r="CV42" t="s">
        <v>3536</v>
      </c>
      <c r="CW42" t="s">
        <v>3589</v>
      </c>
      <c r="CX42" t="s">
        <v>223</v>
      </c>
      <c r="CY42" t="s">
        <v>3536</v>
      </c>
      <c r="CZ42" t="s">
        <v>3590</v>
      </c>
      <c r="DA42" t="s">
        <v>3591</v>
      </c>
      <c r="DB42" t="s">
        <v>3589</v>
      </c>
      <c r="DC42" t="s">
        <v>363</v>
      </c>
      <c r="DD42" t="s">
        <v>282</v>
      </c>
      <c r="DE42" t="s">
        <v>3813</v>
      </c>
    </row>
    <row r="43" spans="1:109" ht="11.25" customHeight="1">
      <c r="A43" s="1314" t="s">
        <v>231</v>
      </c>
      <c r="B43" t="s">
        <v>231</v>
      </c>
      <c r="C43" t="s">
        <v>231</v>
      </c>
      <c r="D43" t="s">
        <v>231</v>
      </c>
      <c r="E43" t="s">
        <v>231</v>
      </c>
      <c r="F43" t="s">
        <v>231</v>
      </c>
      <c r="G43" t="s">
        <v>231</v>
      </c>
      <c r="H43" t="s">
        <v>231</v>
      </c>
      <c r="I43" t="s">
        <v>3521</v>
      </c>
      <c r="J43" t="s">
        <v>231</v>
      </c>
      <c r="K43" t="s">
        <v>231</v>
      </c>
      <c r="L43" t="s">
        <v>231</v>
      </c>
      <c r="M43" t="s">
        <v>231</v>
      </c>
      <c r="N43" t="s">
        <v>231</v>
      </c>
      <c r="O43" t="s">
        <v>231</v>
      </c>
      <c r="P43" t="s">
        <v>231</v>
      </c>
      <c r="Q43" t="s">
        <v>231</v>
      </c>
      <c r="R43" t="s">
        <v>3814</v>
      </c>
      <c r="S43" t="s">
        <v>231</v>
      </c>
      <c r="T43" t="s">
        <v>231</v>
      </c>
      <c r="U43" t="s">
        <v>101</v>
      </c>
      <c r="V43" t="s">
        <v>231</v>
      </c>
      <c r="W43" t="s">
        <v>231</v>
      </c>
      <c r="X43" t="s">
        <v>3523</v>
      </c>
      <c r="Y43" t="s">
        <v>231</v>
      </c>
      <c r="Z43" t="s">
        <v>160</v>
      </c>
      <c r="AA43" t="s">
        <v>151</v>
      </c>
      <c r="AB43" t="s">
        <v>151</v>
      </c>
      <c r="AC43" t="s">
        <v>2289</v>
      </c>
      <c r="AD43" t="s">
        <v>2289</v>
      </c>
      <c r="AE43" t="s">
        <v>2290</v>
      </c>
      <c r="AF43" t="s">
        <v>3793</v>
      </c>
      <c r="AG43" t="s">
        <v>3794</v>
      </c>
      <c r="AH43" t="s">
        <v>3811</v>
      </c>
      <c r="AI43" t="s">
        <v>3618</v>
      </c>
      <c r="AJ43" t="s">
        <v>3621</v>
      </c>
      <c r="AK43" t="s">
        <v>3587</v>
      </c>
      <c r="AL43" t="s">
        <v>3548</v>
      </c>
      <c r="AM43" t="s">
        <v>3531</v>
      </c>
      <c r="AN43" t="s">
        <v>3587</v>
      </c>
      <c r="AO43" t="s">
        <v>3812</v>
      </c>
      <c r="AP43" t="s">
        <v>231</v>
      </c>
      <c r="AQ43" t="s">
        <v>231</v>
      </c>
      <c r="AR43" t="s">
        <v>231</v>
      </c>
      <c r="AS43" t="s">
        <v>231</v>
      </c>
      <c r="AT43" t="s">
        <v>231</v>
      </c>
      <c r="AU43" t="s">
        <v>231</v>
      </c>
      <c r="AV43" t="s">
        <v>231</v>
      </c>
      <c r="AW43" t="s">
        <v>231</v>
      </c>
      <c r="AX43" t="s">
        <v>231</v>
      </c>
      <c r="AY43" t="s">
        <v>231</v>
      </c>
      <c r="AZ43" t="s">
        <v>231</v>
      </c>
      <c r="BA43" t="s">
        <v>231</v>
      </c>
      <c r="BB43" t="s">
        <v>231</v>
      </c>
      <c r="BC43" t="s">
        <v>231</v>
      </c>
      <c r="BD43" t="s">
        <v>231</v>
      </c>
      <c r="BE43" t="s">
        <v>231</v>
      </c>
      <c r="BF43" t="s">
        <v>231</v>
      </c>
      <c r="BG43" t="s">
        <v>231</v>
      </c>
      <c r="BH43" t="s">
        <v>231</v>
      </c>
      <c r="BI43" t="s">
        <v>231</v>
      </c>
      <c r="BJ43" t="s">
        <v>231</v>
      </c>
      <c r="BK43" t="s">
        <v>231</v>
      </c>
      <c r="BL43" t="s">
        <v>231</v>
      </c>
      <c r="BM43" t="s">
        <v>231</v>
      </c>
      <c r="BN43" t="s">
        <v>231</v>
      </c>
      <c r="BO43" t="s">
        <v>231</v>
      </c>
      <c r="BP43" t="s">
        <v>231</v>
      </c>
      <c r="BQ43" t="s">
        <v>231</v>
      </c>
      <c r="BR43" t="s">
        <v>231</v>
      </c>
      <c r="BS43" t="s">
        <v>231</v>
      </c>
      <c r="BT43" t="s">
        <v>231</v>
      </c>
      <c r="BU43" t="s">
        <v>231</v>
      </c>
      <c r="BV43" t="s">
        <v>231</v>
      </c>
      <c r="BW43" t="s">
        <v>231</v>
      </c>
      <c r="BX43" t="s">
        <v>231</v>
      </c>
      <c r="BY43" t="s">
        <v>231</v>
      </c>
      <c r="BZ43" t="s">
        <v>231</v>
      </c>
      <c r="CA43" t="s">
        <v>231</v>
      </c>
      <c r="CB43" t="s">
        <v>231</v>
      </c>
      <c r="CC43" t="s">
        <v>231</v>
      </c>
      <c r="CD43" t="s">
        <v>231</v>
      </c>
      <c r="CE43" t="s">
        <v>231</v>
      </c>
      <c r="CF43" t="s">
        <v>231</v>
      </c>
      <c r="CG43" t="s">
        <v>231</v>
      </c>
      <c r="CH43" t="s">
        <v>231</v>
      </c>
      <c r="CI43" t="s">
        <v>231</v>
      </c>
      <c r="CJ43" t="s">
        <v>231</v>
      </c>
      <c r="CK43" t="s">
        <v>231</v>
      </c>
      <c r="CL43" t="s">
        <v>231</v>
      </c>
      <c r="CM43" t="s">
        <v>231</v>
      </c>
      <c r="CN43" t="s">
        <v>231</v>
      </c>
      <c r="CO43" t="s">
        <v>231</v>
      </c>
      <c r="CP43" t="s">
        <v>231</v>
      </c>
      <c r="CQ43" t="s">
        <v>231</v>
      </c>
      <c r="CR43" t="s">
        <v>231</v>
      </c>
      <c r="CS43" t="s">
        <v>231</v>
      </c>
      <c r="CT43" t="s">
        <v>3534</v>
      </c>
      <c r="CU43" t="s">
        <v>3535</v>
      </c>
      <c r="CV43" t="s">
        <v>3536</v>
      </c>
      <c r="CW43" t="s">
        <v>3589</v>
      </c>
      <c r="CX43" t="s">
        <v>223</v>
      </c>
      <c r="CY43" t="s">
        <v>3536</v>
      </c>
      <c r="CZ43" t="s">
        <v>3590</v>
      </c>
      <c r="DA43" t="s">
        <v>3591</v>
      </c>
      <c r="DB43" t="s">
        <v>3589</v>
      </c>
      <c r="DC43" t="s">
        <v>363</v>
      </c>
      <c r="DD43" t="s">
        <v>282</v>
      </c>
      <c r="DE43" t="s">
        <v>3813</v>
      </c>
    </row>
    <row r="44" spans="1:109" ht="11.25" customHeight="1">
      <c r="A44" s="1314" t="s">
        <v>231</v>
      </c>
      <c r="B44" t="s">
        <v>231</v>
      </c>
      <c r="C44" t="s">
        <v>231</v>
      </c>
      <c r="D44" t="s">
        <v>231</v>
      </c>
      <c r="E44" t="s">
        <v>231</v>
      </c>
      <c r="F44" t="s">
        <v>231</v>
      </c>
      <c r="G44" t="s">
        <v>231</v>
      </c>
      <c r="H44" t="s">
        <v>231</v>
      </c>
      <c r="I44" t="s">
        <v>3521</v>
      </c>
      <c r="J44" t="s">
        <v>231</v>
      </c>
      <c r="K44" t="s">
        <v>231</v>
      </c>
      <c r="L44" t="s">
        <v>231</v>
      </c>
      <c r="M44" t="s">
        <v>231</v>
      </c>
      <c r="N44" t="s">
        <v>231</v>
      </c>
      <c r="O44" t="s">
        <v>231</v>
      </c>
      <c r="P44" t="s">
        <v>231</v>
      </c>
      <c r="Q44" t="s">
        <v>231</v>
      </c>
      <c r="R44" t="s">
        <v>3815</v>
      </c>
      <c r="S44" t="s">
        <v>231</v>
      </c>
      <c r="T44" t="s">
        <v>231</v>
      </c>
      <c r="U44" t="s">
        <v>101</v>
      </c>
      <c r="V44" t="s">
        <v>231</v>
      </c>
      <c r="W44" t="s">
        <v>231</v>
      </c>
      <c r="X44" t="s">
        <v>3523</v>
      </c>
      <c r="Y44" t="s">
        <v>231</v>
      </c>
      <c r="Z44" t="s">
        <v>160</v>
      </c>
      <c r="AA44" t="s">
        <v>151</v>
      </c>
      <c r="AB44" t="s">
        <v>151</v>
      </c>
      <c r="AC44" t="s">
        <v>2289</v>
      </c>
      <c r="AD44" t="s">
        <v>2289</v>
      </c>
      <c r="AE44" t="s">
        <v>2290</v>
      </c>
      <c r="AF44" t="s">
        <v>3816</v>
      </c>
      <c r="AG44" t="s">
        <v>3817</v>
      </c>
      <c r="AH44" t="s">
        <v>3818</v>
      </c>
      <c r="AI44" t="s">
        <v>3819</v>
      </c>
      <c r="AJ44" t="s">
        <v>3546</v>
      </c>
      <c r="AK44" t="s">
        <v>3820</v>
      </c>
      <c r="AL44" t="s">
        <v>3548</v>
      </c>
      <c r="AM44" t="s">
        <v>3531</v>
      </c>
      <c r="AN44" t="s">
        <v>3587</v>
      </c>
      <c r="AO44" t="s">
        <v>3821</v>
      </c>
      <c r="AP44" t="s">
        <v>231</v>
      </c>
      <c r="AQ44" t="s">
        <v>231</v>
      </c>
      <c r="AR44" t="s">
        <v>231</v>
      </c>
      <c r="AS44" t="s">
        <v>231</v>
      </c>
      <c r="AT44" t="s">
        <v>231</v>
      </c>
      <c r="AU44" t="s">
        <v>231</v>
      </c>
      <c r="AV44" t="s">
        <v>231</v>
      </c>
      <c r="AW44" t="s">
        <v>231</v>
      </c>
      <c r="AX44" t="s">
        <v>231</v>
      </c>
      <c r="AY44" t="s">
        <v>231</v>
      </c>
      <c r="AZ44" t="s">
        <v>231</v>
      </c>
      <c r="BA44" t="s">
        <v>231</v>
      </c>
      <c r="BB44" t="s">
        <v>231</v>
      </c>
      <c r="BC44" t="s">
        <v>231</v>
      </c>
      <c r="BD44" t="s">
        <v>231</v>
      </c>
      <c r="BE44" t="s">
        <v>231</v>
      </c>
      <c r="BF44" t="s">
        <v>231</v>
      </c>
      <c r="BG44" t="s">
        <v>231</v>
      </c>
      <c r="BH44" t="s">
        <v>231</v>
      </c>
      <c r="BI44" t="s">
        <v>231</v>
      </c>
      <c r="BJ44" t="s">
        <v>231</v>
      </c>
      <c r="BK44" t="s">
        <v>231</v>
      </c>
      <c r="BL44" t="s">
        <v>231</v>
      </c>
      <c r="BM44" t="s">
        <v>231</v>
      </c>
      <c r="BN44" t="s">
        <v>231</v>
      </c>
      <c r="BO44" t="s">
        <v>231</v>
      </c>
      <c r="BP44" t="s">
        <v>231</v>
      </c>
      <c r="BQ44" t="s">
        <v>231</v>
      </c>
      <c r="BR44" t="s">
        <v>231</v>
      </c>
      <c r="BS44" t="s">
        <v>231</v>
      </c>
      <c r="BT44" t="s">
        <v>231</v>
      </c>
      <c r="BU44" t="s">
        <v>231</v>
      </c>
      <c r="BV44" t="s">
        <v>231</v>
      </c>
      <c r="BW44" t="s">
        <v>231</v>
      </c>
      <c r="BX44" t="s">
        <v>231</v>
      </c>
      <c r="BY44" t="s">
        <v>231</v>
      </c>
      <c r="BZ44" t="s">
        <v>231</v>
      </c>
      <c r="CA44" t="s">
        <v>231</v>
      </c>
      <c r="CB44" t="s">
        <v>231</v>
      </c>
      <c r="CC44" t="s">
        <v>231</v>
      </c>
      <c r="CD44" t="s">
        <v>231</v>
      </c>
      <c r="CE44" t="s">
        <v>231</v>
      </c>
      <c r="CF44" t="s">
        <v>231</v>
      </c>
      <c r="CG44" t="s">
        <v>231</v>
      </c>
      <c r="CH44" t="s">
        <v>231</v>
      </c>
      <c r="CI44" t="s">
        <v>231</v>
      </c>
      <c r="CJ44" t="s">
        <v>231</v>
      </c>
      <c r="CK44" t="s">
        <v>231</v>
      </c>
      <c r="CL44" t="s">
        <v>231</v>
      </c>
      <c r="CM44" t="s">
        <v>231</v>
      </c>
      <c r="CN44" t="s">
        <v>231</v>
      </c>
      <c r="CO44" t="s">
        <v>231</v>
      </c>
      <c r="CP44" t="s">
        <v>231</v>
      </c>
      <c r="CQ44" t="s">
        <v>231</v>
      </c>
      <c r="CR44" t="s">
        <v>231</v>
      </c>
      <c r="CS44" t="s">
        <v>231</v>
      </c>
      <c r="CT44" t="s">
        <v>3534</v>
      </c>
      <c r="CU44" t="s">
        <v>3535</v>
      </c>
      <c r="CV44" t="s">
        <v>3536</v>
      </c>
      <c r="CW44" t="s">
        <v>3589</v>
      </c>
      <c r="CX44" t="s">
        <v>223</v>
      </c>
      <c r="CY44" t="s">
        <v>3536</v>
      </c>
      <c r="CZ44" t="s">
        <v>3590</v>
      </c>
      <c r="DA44" t="s">
        <v>3591</v>
      </c>
      <c r="DB44" t="s">
        <v>3589</v>
      </c>
      <c r="DC44" t="s">
        <v>363</v>
      </c>
      <c r="DD44" t="s">
        <v>282</v>
      </c>
      <c r="DE44" t="s">
        <v>3822</v>
      </c>
    </row>
    <row r="45" spans="1:109" ht="11.25" customHeight="1">
      <c r="A45" s="1314" t="s">
        <v>231</v>
      </c>
      <c r="B45" t="s">
        <v>231</v>
      </c>
      <c r="C45" t="s">
        <v>231</v>
      </c>
      <c r="D45" t="s">
        <v>231</v>
      </c>
      <c r="E45" t="s">
        <v>231</v>
      </c>
      <c r="F45" t="s">
        <v>231</v>
      </c>
      <c r="G45" t="s">
        <v>231</v>
      </c>
      <c r="H45" t="s">
        <v>231</v>
      </c>
      <c r="I45" t="s">
        <v>3521</v>
      </c>
      <c r="J45" t="s">
        <v>231</v>
      </c>
      <c r="K45" t="s">
        <v>231</v>
      </c>
      <c r="L45" t="s">
        <v>231</v>
      </c>
      <c r="M45" t="s">
        <v>231</v>
      </c>
      <c r="N45" t="s">
        <v>231</v>
      </c>
      <c r="O45" t="s">
        <v>231</v>
      </c>
      <c r="P45" t="s">
        <v>231</v>
      </c>
      <c r="Q45" t="s">
        <v>231</v>
      </c>
      <c r="R45" t="s">
        <v>3823</v>
      </c>
      <c r="S45" t="s">
        <v>231</v>
      </c>
      <c r="T45" t="s">
        <v>231</v>
      </c>
      <c r="U45" t="s">
        <v>101</v>
      </c>
      <c r="V45" t="s">
        <v>231</v>
      </c>
      <c r="W45" t="s">
        <v>231</v>
      </c>
      <c r="X45" t="s">
        <v>3523</v>
      </c>
      <c r="Y45" t="s">
        <v>231</v>
      </c>
      <c r="Z45" t="s">
        <v>160</v>
      </c>
      <c r="AA45" t="s">
        <v>151</v>
      </c>
      <c r="AB45" t="s">
        <v>151</v>
      </c>
      <c r="AC45" t="s">
        <v>343</v>
      </c>
      <c r="AD45" t="s">
        <v>343</v>
      </c>
      <c r="AE45" t="s">
        <v>344</v>
      </c>
      <c r="AF45" t="s">
        <v>3561</v>
      </c>
      <c r="AG45" t="s">
        <v>3562</v>
      </c>
      <c r="AH45" t="s">
        <v>3824</v>
      </c>
      <c r="AI45" t="s">
        <v>3575</v>
      </c>
      <c r="AJ45" t="s">
        <v>3825</v>
      </c>
      <c r="AK45" t="s">
        <v>3826</v>
      </c>
      <c r="AL45" t="s">
        <v>3566</v>
      </c>
      <c r="AM45" t="s">
        <v>3531</v>
      </c>
      <c r="AN45" t="s">
        <v>3567</v>
      </c>
      <c r="AO45" t="s">
        <v>3568</v>
      </c>
      <c r="AP45" t="s">
        <v>231</v>
      </c>
      <c r="AQ45" t="s">
        <v>231</v>
      </c>
      <c r="AR45" t="s">
        <v>231</v>
      </c>
      <c r="AS45" t="s">
        <v>231</v>
      </c>
      <c r="AT45" t="s">
        <v>231</v>
      </c>
      <c r="AU45" t="s">
        <v>231</v>
      </c>
      <c r="AV45" t="s">
        <v>231</v>
      </c>
      <c r="AW45" t="s">
        <v>231</v>
      </c>
      <c r="AX45" t="s">
        <v>231</v>
      </c>
      <c r="AY45" t="s">
        <v>231</v>
      </c>
      <c r="AZ45" t="s">
        <v>231</v>
      </c>
      <c r="BA45" t="s">
        <v>231</v>
      </c>
      <c r="BB45" t="s">
        <v>231</v>
      </c>
      <c r="BC45" t="s">
        <v>231</v>
      </c>
      <c r="BD45" t="s">
        <v>231</v>
      </c>
      <c r="BE45" t="s">
        <v>231</v>
      </c>
      <c r="BF45" t="s">
        <v>231</v>
      </c>
      <c r="BG45" t="s">
        <v>231</v>
      </c>
      <c r="BH45" t="s">
        <v>231</v>
      </c>
      <c r="BI45" t="s">
        <v>231</v>
      </c>
      <c r="BJ45" t="s">
        <v>231</v>
      </c>
      <c r="BK45" t="s">
        <v>231</v>
      </c>
      <c r="BL45" t="s">
        <v>231</v>
      </c>
      <c r="BM45" t="s">
        <v>231</v>
      </c>
      <c r="BN45" t="s">
        <v>231</v>
      </c>
      <c r="BO45" t="s">
        <v>231</v>
      </c>
      <c r="BP45" t="s">
        <v>231</v>
      </c>
      <c r="BQ45" t="s">
        <v>231</v>
      </c>
      <c r="BR45" t="s">
        <v>231</v>
      </c>
      <c r="BS45" t="s">
        <v>231</v>
      </c>
      <c r="BT45" t="s">
        <v>231</v>
      </c>
      <c r="BU45" t="s">
        <v>231</v>
      </c>
      <c r="BV45" t="s">
        <v>231</v>
      </c>
      <c r="BW45" t="s">
        <v>231</v>
      </c>
      <c r="BX45" t="s">
        <v>231</v>
      </c>
      <c r="BY45" t="s">
        <v>231</v>
      </c>
      <c r="BZ45" t="s">
        <v>231</v>
      </c>
      <c r="CA45" t="s">
        <v>231</v>
      </c>
      <c r="CB45" t="s">
        <v>231</v>
      </c>
      <c r="CC45" t="s">
        <v>231</v>
      </c>
      <c r="CD45" t="s">
        <v>231</v>
      </c>
      <c r="CE45" t="s">
        <v>231</v>
      </c>
      <c r="CF45" t="s">
        <v>231</v>
      </c>
      <c r="CG45" t="s">
        <v>231</v>
      </c>
      <c r="CH45" t="s">
        <v>231</v>
      </c>
      <c r="CI45" t="s">
        <v>231</v>
      </c>
      <c r="CJ45" t="s">
        <v>231</v>
      </c>
      <c r="CK45" t="s">
        <v>231</v>
      </c>
      <c r="CL45" t="s">
        <v>231</v>
      </c>
      <c r="CM45" t="s">
        <v>231</v>
      </c>
      <c r="CN45" t="s">
        <v>231</v>
      </c>
      <c r="CO45" t="s">
        <v>231</v>
      </c>
      <c r="CP45" t="s">
        <v>231</v>
      </c>
      <c r="CQ45" t="s">
        <v>231</v>
      </c>
      <c r="CR45" t="s">
        <v>231</v>
      </c>
      <c r="CS45" t="s">
        <v>231</v>
      </c>
      <c r="CT45" t="s">
        <v>3534</v>
      </c>
      <c r="CU45" t="s">
        <v>3535</v>
      </c>
      <c r="CV45" t="s">
        <v>3536</v>
      </c>
      <c r="CW45" t="s">
        <v>3569</v>
      </c>
      <c r="CX45" t="s">
        <v>3570</v>
      </c>
      <c r="CY45" t="s">
        <v>3536</v>
      </c>
      <c r="CZ45" t="s">
        <v>224</v>
      </c>
      <c r="DA45" t="s">
        <v>3571</v>
      </c>
      <c r="DB45" t="s">
        <v>3569</v>
      </c>
      <c r="DC45" t="s">
        <v>363</v>
      </c>
      <c r="DD45" t="s">
        <v>282</v>
      </c>
      <c r="DE45" t="s">
        <v>3827</v>
      </c>
    </row>
    <row r="46" spans="1:109" ht="11.25" customHeight="1">
      <c r="A46" s="1314" t="s">
        <v>231</v>
      </c>
      <c r="B46" t="s">
        <v>231</v>
      </c>
      <c r="C46" t="s">
        <v>231</v>
      </c>
      <c r="D46" t="s">
        <v>231</v>
      </c>
      <c r="E46" t="s">
        <v>231</v>
      </c>
      <c r="F46" t="s">
        <v>231</v>
      </c>
      <c r="G46" t="s">
        <v>231</v>
      </c>
      <c r="H46" t="s">
        <v>231</v>
      </c>
      <c r="I46" t="s">
        <v>3521</v>
      </c>
      <c r="J46" t="s">
        <v>231</v>
      </c>
      <c r="K46" t="s">
        <v>231</v>
      </c>
      <c r="L46" t="s">
        <v>231</v>
      </c>
      <c r="M46" t="s">
        <v>231</v>
      </c>
      <c r="N46" t="s">
        <v>231</v>
      </c>
      <c r="O46" t="s">
        <v>231</v>
      </c>
      <c r="P46" t="s">
        <v>231</v>
      </c>
      <c r="Q46" t="s">
        <v>231</v>
      </c>
      <c r="R46" t="s">
        <v>3828</v>
      </c>
      <c r="S46" t="s">
        <v>231</v>
      </c>
      <c r="T46" t="s">
        <v>231</v>
      </c>
      <c r="U46" t="s">
        <v>101</v>
      </c>
      <c r="V46" t="s">
        <v>231</v>
      </c>
      <c r="W46" t="s">
        <v>231</v>
      </c>
      <c r="X46" t="s">
        <v>3523</v>
      </c>
      <c r="Y46" t="s">
        <v>231</v>
      </c>
      <c r="Z46" t="s">
        <v>160</v>
      </c>
      <c r="AA46" t="s">
        <v>151</v>
      </c>
      <c r="AB46" t="s">
        <v>151</v>
      </c>
      <c r="AC46" t="s">
        <v>2289</v>
      </c>
      <c r="AD46" t="s">
        <v>2289</v>
      </c>
      <c r="AE46" t="s">
        <v>2290</v>
      </c>
      <c r="AF46" t="s">
        <v>3816</v>
      </c>
      <c r="AG46" t="s">
        <v>3817</v>
      </c>
      <c r="AH46" t="s">
        <v>3818</v>
      </c>
      <c r="AI46" t="s">
        <v>3829</v>
      </c>
      <c r="AJ46" t="s">
        <v>3546</v>
      </c>
      <c r="AK46" t="s">
        <v>3820</v>
      </c>
      <c r="AL46" t="s">
        <v>3548</v>
      </c>
      <c r="AM46" t="s">
        <v>3531</v>
      </c>
      <c r="AN46" t="s">
        <v>3595</v>
      </c>
      <c r="AO46" t="s">
        <v>3830</v>
      </c>
      <c r="AP46" t="s">
        <v>231</v>
      </c>
      <c r="AQ46" t="s">
        <v>231</v>
      </c>
      <c r="AR46" t="s">
        <v>231</v>
      </c>
      <c r="AS46" t="s">
        <v>231</v>
      </c>
      <c r="AT46" t="s">
        <v>231</v>
      </c>
      <c r="AU46" t="s">
        <v>231</v>
      </c>
      <c r="AV46" t="s">
        <v>231</v>
      </c>
      <c r="AW46" t="s">
        <v>231</v>
      </c>
      <c r="AX46" t="s">
        <v>231</v>
      </c>
      <c r="AY46" t="s">
        <v>231</v>
      </c>
      <c r="AZ46" t="s">
        <v>231</v>
      </c>
      <c r="BA46" t="s">
        <v>231</v>
      </c>
      <c r="BB46" t="s">
        <v>231</v>
      </c>
      <c r="BC46" t="s">
        <v>231</v>
      </c>
      <c r="BD46" t="s">
        <v>231</v>
      </c>
      <c r="BE46" t="s">
        <v>231</v>
      </c>
      <c r="BF46" t="s">
        <v>231</v>
      </c>
      <c r="BG46" t="s">
        <v>231</v>
      </c>
      <c r="BH46" t="s">
        <v>231</v>
      </c>
      <c r="BI46" t="s">
        <v>231</v>
      </c>
      <c r="BJ46" t="s">
        <v>231</v>
      </c>
      <c r="BK46" t="s">
        <v>231</v>
      </c>
      <c r="BL46" t="s">
        <v>231</v>
      </c>
      <c r="BM46" t="s">
        <v>231</v>
      </c>
      <c r="BN46" t="s">
        <v>231</v>
      </c>
      <c r="BO46" t="s">
        <v>231</v>
      </c>
      <c r="BP46" t="s">
        <v>231</v>
      </c>
      <c r="BQ46" t="s">
        <v>231</v>
      </c>
      <c r="BR46" t="s">
        <v>231</v>
      </c>
      <c r="BS46" t="s">
        <v>231</v>
      </c>
      <c r="BT46" t="s">
        <v>231</v>
      </c>
      <c r="BU46" t="s">
        <v>231</v>
      </c>
      <c r="BV46" t="s">
        <v>231</v>
      </c>
      <c r="BW46" t="s">
        <v>231</v>
      </c>
      <c r="BX46" t="s">
        <v>231</v>
      </c>
      <c r="BY46" t="s">
        <v>231</v>
      </c>
      <c r="BZ46" t="s">
        <v>231</v>
      </c>
      <c r="CA46" t="s">
        <v>231</v>
      </c>
      <c r="CB46" t="s">
        <v>231</v>
      </c>
      <c r="CC46" t="s">
        <v>231</v>
      </c>
      <c r="CD46" t="s">
        <v>231</v>
      </c>
      <c r="CE46" t="s">
        <v>231</v>
      </c>
      <c r="CF46" t="s">
        <v>231</v>
      </c>
      <c r="CG46" t="s">
        <v>231</v>
      </c>
      <c r="CH46" t="s">
        <v>231</v>
      </c>
      <c r="CI46" t="s">
        <v>231</v>
      </c>
      <c r="CJ46" t="s">
        <v>231</v>
      </c>
      <c r="CK46" t="s">
        <v>231</v>
      </c>
      <c r="CL46" t="s">
        <v>231</v>
      </c>
      <c r="CM46" t="s">
        <v>231</v>
      </c>
      <c r="CN46" t="s">
        <v>231</v>
      </c>
      <c r="CO46" t="s">
        <v>231</v>
      </c>
      <c r="CP46" t="s">
        <v>231</v>
      </c>
      <c r="CQ46" t="s">
        <v>231</v>
      </c>
      <c r="CR46" t="s">
        <v>231</v>
      </c>
      <c r="CS46" t="s">
        <v>231</v>
      </c>
      <c r="CT46" t="s">
        <v>3534</v>
      </c>
      <c r="CU46" t="s">
        <v>3831</v>
      </c>
      <c r="CV46" t="s">
        <v>3536</v>
      </c>
      <c r="CW46" t="s">
        <v>3589</v>
      </c>
      <c r="CX46" t="s">
        <v>223</v>
      </c>
      <c r="CY46" t="s">
        <v>3536</v>
      </c>
      <c r="CZ46" t="s">
        <v>3590</v>
      </c>
      <c r="DA46" t="s">
        <v>3591</v>
      </c>
      <c r="DB46" t="s">
        <v>3589</v>
      </c>
      <c r="DC46" t="s">
        <v>363</v>
      </c>
      <c r="DD46" t="s">
        <v>282</v>
      </c>
      <c r="DE46" t="s">
        <v>3832</v>
      </c>
    </row>
    <row r="47" spans="1:109" ht="11.25" customHeight="1">
      <c r="A47" s="1314" t="s">
        <v>231</v>
      </c>
      <c r="B47" t="s">
        <v>231</v>
      </c>
      <c r="C47" t="s">
        <v>231</v>
      </c>
      <c r="D47" t="s">
        <v>231</v>
      </c>
      <c r="E47" t="s">
        <v>231</v>
      </c>
      <c r="F47" t="s">
        <v>231</v>
      </c>
      <c r="G47" t="s">
        <v>231</v>
      </c>
      <c r="H47" t="s">
        <v>231</v>
      </c>
      <c r="I47" t="s">
        <v>3521</v>
      </c>
      <c r="J47" t="s">
        <v>231</v>
      </c>
      <c r="K47" t="s">
        <v>231</v>
      </c>
      <c r="L47" t="s">
        <v>231</v>
      </c>
      <c r="M47" t="s">
        <v>231</v>
      </c>
      <c r="N47" t="s">
        <v>231</v>
      </c>
      <c r="O47" t="s">
        <v>231</v>
      </c>
      <c r="P47" t="s">
        <v>231</v>
      </c>
      <c r="Q47" t="s">
        <v>231</v>
      </c>
      <c r="R47" t="s">
        <v>3833</v>
      </c>
      <c r="S47" t="s">
        <v>231</v>
      </c>
      <c r="T47" t="s">
        <v>231</v>
      </c>
      <c r="U47" t="s">
        <v>101</v>
      </c>
      <c r="V47" t="s">
        <v>231</v>
      </c>
      <c r="W47" t="s">
        <v>231</v>
      </c>
      <c r="X47" t="s">
        <v>3523</v>
      </c>
      <c r="Y47" t="s">
        <v>231</v>
      </c>
      <c r="Z47" t="s">
        <v>160</v>
      </c>
      <c r="AA47" t="s">
        <v>151</v>
      </c>
      <c r="AB47" t="s">
        <v>151</v>
      </c>
      <c r="AC47" t="s">
        <v>2289</v>
      </c>
      <c r="AD47" t="s">
        <v>2289</v>
      </c>
      <c r="AE47" t="s">
        <v>2290</v>
      </c>
      <c r="AF47" t="s">
        <v>3735</v>
      </c>
      <c r="AG47" t="s">
        <v>3736</v>
      </c>
      <c r="AH47" t="s">
        <v>3834</v>
      </c>
      <c r="AI47" t="s">
        <v>3738</v>
      </c>
      <c r="AJ47" t="s">
        <v>3546</v>
      </c>
      <c r="AK47" t="s">
        <v>3775</v>
      </c>
      <c r="AL47" t="s">
        <v>3548</v>
      </c>
      <c r="AM47" t="s">
        <v>3531</v>
      </c>
      <c r="AN47" t="s">
        <v>3595</v>
      </c>
      <c r="AO47" t="s">
        <v>3835</v>
      </c>
      <c r="AP47" t="s">
        <v>231</v>
      </c>
      <c r="AQ47" t="s">
        <v>231</v>
      </c>
      <c r="AR47" t="s">
        <v>231</v>
      </c>
      <c r="AS47" t="s">
        <v>231</v>
      </c>
      <c r="AT47" t="s">
        <v>231</v>
      </c>
      <c r="AU47" t="s">
        <v>231</v>
      </c>
      <c r="AV47" t="s">
        <v>231</v>
      </c>
      <c r="AW47" t="s">
        <v>231</v>
      </c>
      <c r="AX47" t="s">
        <v>231</v>
      </c>
      <c r="AY47" t="s">
        <v>231</v>
      </c>
      <c r="AZ47" t="s">
        <v>231</v>
      </c>
      <c r="BA47" t="s">
        <v>231</v>
      </c>
      <c r="BB47" t="s">
        <v>231</v>
      </c>
      <c r="BC47" t="s">
        <v>231</v>
      </c>
      <c r="BD47" t="s">
        <v>231</v>
      </c>
      <c r="BE47" t="s">
        <v>231</v>
      </c>
      <c r="BF47" t="s">
        <v>231</v>
      </c>
      <c r="BG47" t="s">
        <v>231</v>
      </c>
      <c r="BH47" t="s">
        <v>231</v>
      </c>
      <c r="BI47" t="s">
        <v>231</v>
      </c>
      <c r="BJ47" t="s">
        <v>231</v>
      </c>
      <c r="BK47" t="s">
        <v>231</v>
      </c>
      <c r="BL47" t="s">
        <v>231</v>
      </c>
      <c r="BM47" t="s">
        <v>231</v>
      </c>
      <c r="BN47" t="s">
        <v>231</v>
      </c>
      <c r="BO47" t="s">
        <v>231</v>
      </c>
      <c r="BP47" t="s">
        <v>231</v>
      </c>
      <c r="BQ47" t="s">
        <v>231</v>
      </c>
      <c r="BR47" t="s">
        <v>231</v>
      </c>
      <c r="BS47" t="s">
        <v>231</v>
      </c>
      <c r="BT47" t="s">
        <v>231</v>
      </c>
      <c r="BU47" t="s">
        <v>231</v>
      </c>
      <c r="BV47" t="s">
        <v>231</v>
      </c>
      <c r="BW47" t="s">
        <v>231</v>
      </c>
      <c r="BX47" t="s">
        <v>231</v>
      </c>
      <c r="BY47" t="s">
        <v>231</v>
      </c>
      <c r="BZ47" t="s">
        <v>231</v>
      </c>
      <c r="CA47" t="s">
        <v>231</v>
      </c>
      <c r="CB47" t="s">
        <v>231</v>
      </c>
      <c r="CC47" t="s">
        <v>231</v>
      </c>
      <c r="CD47" t="s">
        <v>231</v>
      </c>
      <c r="CE47" t="s">
        <v>231</v>
      </c>
      <c r="CF47" t="s">
        <v>231</v>
      </c>
      <c r="CG47" t="s">
        <v>231</v>
      </c>
      <c r="CH47" t="s">
        <v>231</v>
      </c>
      <c r="CI47" t="s">
        <v>231</v>
      </c>
      <c r="CJ47" t="s">
        <v>231</v>
      </c>
      <c r="CK47" t="s">
        <v>231</v>
      </c>
      <c r="CL47" t="s">
        <v>231</v>
      </c>
      <c r="CM47" t="s">
        <v>231</v>
      </c>
      <c r="CN47" t="s">
        <v>231</v>
      </c>
      <c r="CO47" t="s">
        <v>231</v>
      </c>
      <c r="CP47" t="s">
        <v>231</v>
      </c>
      <c r="CQ47" t="s">
        <v>231</v>
      </c>
      <c r="CR47" t="s">
        <v>231</v>
      </c>
      <c r="CS47" t="s">
        <v>231</v>
      </c>
      <c r="CT47" t="s">
        <v>3534</v>
      </c>
      <c r="CU47" t="s">
        <v>3535</v>
      </c>
      <c r="CV47" t="s">
        <v>3536</v>
      </c>
      <c r="CW47" t="s">
        <v>3589</v>
      </c>
      <c r="CX47" t="s">
        <v>223</v>
      </c>
      <c r="CY47" t="s">
        <v>3536</v>
      </c>
      <c r="CZ47" t="s">
        <v>3590</v>
      </c>
      <c r="DA47" t="s">
        <v>3591</v>
      </c>
      <c r="DB47" t="s">
        <v>3589</v>
      </c>
      <c r="DC47" t="s">
        <v>363</v>
      </c>
      <c r="DD47" t="s">
        <v>282</v>
      </c>
      <c r="DE47" t="s">
        <v>3836</v>
      </c>
    </row>
    <row r="48" spans="1:109" ht="11.25" customHeight="1">
      <c r="A48" s="1314" t="s">
        <v>231</v>
      </c>
      <c r="B48" t="s">
        <v>231</v>
      </c>
      <c r="C48" t="s">
        <v>231</v>
      </c>
      <c r="D48" t="s">
        <v>231</v>
      </c>
      <c r="E48" t="s">
        <v>231</v>
      </c>
      <c r="F48" t="s">
        <v>231</v>
      </c>
      <c r="G48" t="s">
        <v>231</v>
      </c>
      <c r="H48" t="s">
        <v>231</v>
      </c>
      <c r="I48" t="s">
        <v>3521</v>
      </c>
      <c r="J48" t="s">
        <v>231</v>
      </c>
      <c r="K48" t="s">
        <v>231</v>
      </c>
      <c r="L48" t="s">
        <v>231</v>
      </c>
      <c r="M48" t="s">
        <v>231</v>
      </c>
      <c r="N48" t="s">
        <v>231</v>
      </c>
      <c r="O48" t="s">
        <v>231</v>
      </c>
      <c r="P48" t="s">
        <v>231</v>
      </c>
      <c r="Q48" t="s">
        <v>231</v>
      </c>
      <c r="R48" t="s">
        <v>3837</v>
      </c>
      <c r="S48" t="s">
        <v>231</v>
      </c>
      <c r="T48" t="s">
        <v>231</v>
      </c>
      <c r="U48" t="s">
        <v>101</v>
      </c>
      <c r="V48" t="s">
        <v>231</v>
      </c>
      <c r="W48" t="s">
        <v>231</v>
      </c>
      <c r="X48" t="s">
        <v>3628</v>
      </c>
      <c r="Y48" t="s">
        <v>231</v>
      </c>
      <c r="Z48" t="s">
        <v>151</v>
      </c>
      <c r="AA48" t="s">
        <v>151</v>
      </c>
      <c r="AB48" t="s">
        <v>160</v>
      </c>
      <c r="AC48" t="s">
        <v>2287</v>
      </c>
      <c r="AD48" t="s">
        <v>2287</v>
      </c>
      <c r="AE48" t="s">
        <v>2288</v>
      </c>
      <c r="AF48" t="s">
        <v>3838</v>
      </c>
      <c r="AG48" t="s">
        <v>3839</v>
      </c>
      <c r="AH48" t="s">
        <v>3618</v>
      </c>
      <c r="AI48" t="s">
        <v>3618</v>
      </c>
      <c r="AJ48" t="s">
        <v>231</v>
      </c>
      <c r="AK48" t="s">
        <v>231</v>
      </c>
      <c r="AL48" t="s">
        <v>231</v>
      </c>
      <c r="AM48" t="s">
        <v>231</v>
      </c>
      <c r="AN48" t="s">
        <v>231</v>
      </c>
      <c r="AO48" t="s">
        <v>231</v>
      </c>
      <c r="AP48" t="s">
        <v>231</v>
      </c>
      <c r="AQ48" t="s">
        <v>231</v>
      </c>
      <c r="AR48" t="s">
        <v>231</v>
      </c>
      <c r="AS48" t="s">
        <v>231</v>
      </c>
      <c r="AT48" t="s">
        <v>231</v>
      </c>
      <c r="AU48" t="s">
        <v>231</v>
      </c>
      <c r="AV48" t="s">
        <v>231</v>
      </c>
      <c r="AW48" t="s">
        <v>231</v>
      </c>
      <c r="AX48" t="s">
        <v>231</v>
      </c>
      <c r="AY48" t="s">
        <v>231</v>
      </c>
      <c r="AZ48" t="s">
        <v>231</v>
      </c>
      <c r="BA48" t="s">
        <v>231</v>
      </c>
      <c r="BB48" t="s">
        <v>231</v>
      </c>
      <c r="BC48" t="s">
        <v>231</v>
      </c>
      <c r="BD48" t="s">
        <v>231</v>
      </c>
      <c r="BE48" t="s">
        <v>3840</v>
      </c>
      <c r="BF48" t="s">
        <v>3841</v>
      </c>
      <c r="BG48" t="s">
        <v>111</v>
      </c>
      <c r="BH48" t="s">
        <v>3632</v>
      </c>
      <c r="BI48" t="s">
        <v>122</v>
      </c>
      <c r="BJ48" t="s">
        <v>231</v>
      </c>
      <c r="BK48" t="s">
        <v>3651</v>
      </c>
      <c r="BL48" t="s">
        <v>2287</v>
      </c>
      <c r="BM48" t="s">
        <v>2287</v>
      </c>
      <c r="BN48" t="s">
        <v>3842</v>
      </c>
      <c r="BO48" t="s">
        <v>3838</v>
      </c>
      <c r="BP48" t="s">
        <v>3843</v>
      </c>
      <c r="BQ48" t="s">
        <v>3618</v>
      </c>
      <c r="BR48" t="s">
        <v>3618</v>
      </c>
      <c r="BS48" t="s">
        <v>231</v>
      </c>
      <c r="BT48" t="s">
        <v>3694</v>
      </c>
      <c r="BU48" t="s">
        <v>3844</v>
      </c>
      <c r="BV48" t="s">
        <v>3844</v>
      </c>
      <c r="BW48" t="s">
        <v>3641</v>
      </c>
      <c r="BX48" t="s">
        <v>3641</v>
      </c>
      <c r="BY48" t="s">
        <v>3641</v>
      </c>
      <c r="BZ48" t="s">
        <v>3641</v>
      </c>
      <c r="CA48" t="s">
        <v>3641</v>
      </c>
      <c r="CB48" t="s">
        <v>231</v>
      </c>
      <c r="CC48" t="s">
        <v>231</v>
      </c>
      <c r="CD48" t="s">
        <v>231</v>
      </c>
      <c r="CE48" t="s">
        <v>231</v>
      </c>
      <c r="CF48" t="s">
        <v>231</v>
      </c>
      <c r="CG48" t="s">
        <v>3641</v>
      </c>
      <c r="CH48" t="s">
        <v>231</v>
      </c>
      <c r="CI48" t="s">
        <v>231</v>
      </c>
      <c r="CJ48" t="s">
        <v>231</v>
      </c>
      <c r="CK48" t="s">
        <v>231</v>
      </c>
      <c r="CL48" t="s">
        <v>231</v>
      </c>
      <c r="CM48" t="s">
        <v>3844</v>
      </c>
      <c r="CN48" t="s">
        <v>3844</v>
      </c>
      <c r="CO48" t="s">
        <v>231</v>
      </c>
      <c r="CP48" t="s">
        <v>231</v>
      </c>
      <c r="CQ48" t="s">
        <v>231</v>
      </c>
      <c r="CR48" t="s">
        <v>231</v>
      </c>
      <c r="CS48" t="s">
        <v>3621</v>
      </c>
      <c r="CT48" t="s">
        <v>3534</v>
      </c>
      <c r="CU48" t="s">
        <v>3535</v>
      </c>
      <c r="CV48" t="s">
        <v>3536</v>
      </c>
      <c r="CW48" t="s">
        <v>3623</v>
      </c>
      <c r="CX48" t="s">
        <v>223</v>
      </c>
      <c r="CY48" t="s">
        <v>3536</v>
      </c>
      <c r="CZ48" t="s">
        <v>3624</v>
      </c>
      <c r="DA48" t="s">
        <v>3625</v>
      </c>
      <c r="DB48" t="s">
        <v>3623</v>
      </c>
      <c r="DC48" t="s">
        <v>363</v>
      </c>
      <c r="DD48" t="s">
        <v>282</v>
      </c>
      <c r="DE48" t="s">
        <v>3845</v>
      </c>
    </row>
    <row r="49" spans="1:109" ht="11.25" customHeight="1">
      <c r="A49" s="1314" t="s">
        <v>231</v>
      </c>
      <c r="B49" t="s">
        <v>231</v>
      </c>
      <c r="C49" t="s">
        <v>231</v>
      </c>
      <c r="D49" t="s">
        <v>231</v>
      </c>
      <c r="E49" t="s">
        <v>231</v>
      </c>
      <c r="F49" t="s">
        <v>231</v>
      </c>
      <c r="G49" t="s">
        <v>231</v>
      </c>
      <c r="H49" t="s">
        <v>231</v>
      </c>
      <c r="I49" t="s">
        <v>3521</v>
      </c>
      <c r="J49" t="s">
        <v>231</v>
      </c>
      <c r="K49" t="s">
        <v>231</v>
      </c>
      <c r="L49" t="s">
        <v>231</v>
      </c>
      <c r="M49" t="s">
        <v>231</v>
      </c>
      <c r="N49" t="s">
        <v>231</v>
      </c>
      <c r="O49" t="s">
        <v>231</v>
      </c>
      <c r="P49" t="s">
        <v>231</v>
      </c>
      <c r="Q49" t="s">
        <v>231</v>
      </c>
      <c r="R49" t="s">
        <v>3846</v>
      </c>
      <c r="S49" t="s">
        <v>231</v>
      </c>
      <c r="T49" t="s">
        <v>231</v>
      </c>
      <c r="U49" t="s">
        <v>101</v>
      </c>
      <c r="V49" t="s">
        <v>231</v>
      </c>
      <c r="W49" t="s">
        <v>231</v>
      </c>
      <c r="X49" t="s">
        <v>3628</v>
      </c>
      <c r="Y49" t="s">
        <v>231</v>
      </c>
      <c r="Z49" t="s">
        <v>151</v>
      </c>
      <c r="AA49" t="s">
        <v>151</v>
      </c>
      <c r="AB49" t="s">
        <v>160</v>
      </c>
      <c r="AC49" t="s">
        <v>2287</v>
      </c>
      <c r="AD49" t="s">
        <v>2287</v>
      </c>
      <c r="AE49" t="s">
        <v>2288</v>
      </c>
      <c r="AF49" t="s">
        <v>3847</v>
      </c>
      <c r="AG49" t="s">
        <v>3848</v>
      </c>
      <c r="AH49" t="s">
        <v>3618</v>
      </c>
      <c r="AI49" t="s">
        <v>3618</v>
      </c>
      <c r="AJ49" t="s">
        <v>231</v>
      </c>
      <c r="AK49" t="s">
        <v>231</v>
      </c>
      <c r="AL49" t="s">
        <v>231</v>
      </c>
      <c r="AM49" t="s">
        <v>231</v>
      </c>
      <c r="AN49" t="s">
        <v>231</v>
      </c>
      <c r="AO49" t="s">
        <v>231</v>
      </c>
      <c r="AP49" t="s">
        <v>231</v>
      </c>
      <c r="AQ49" t="s">
        <v>231</v>
      </c>
      <c r="AR49" t="s">
        <v>231</v>
      </c>
      <c r="AS49" t="s">
        <v>231</v>
      </c>
      <c r="AT49" t="s">
        <v>231</v>
      </c>
      <c r="AU49" t="s">
        <v>231</v>
      </c>
      <c r="AV49" t="s">
        <v>231</v>
      </c>
      <c r="AW49" t="s">
        <v>231</v>
      </c>
      <c r="AX49" t="s">
        <v>231</v>
      </c>
      <c r="AY49" t="s">
        <v>231</v>
      </c>
      <c r="AZ49" t="s">
        <v>231</v>
      </c>
      <c r="BA49" t="s">
        <v>231</v>
      </c>
      <c r="BB49" t="s">
        <v>231</v>
      </c>
      <c r="BC49" t="s">
        <v>231</v>
      </c>
      <c r="BD49" t="s">
        <v>231</v>
      </c>
      <c r="BE49" t="s">
        <v>3849</v>
      </c>
      <c r="BF49" t="s">
        <v>3850</v>
      </c>
      <c r="BG49" t="s">
        <v>111</v>
      </c>
      <c r="BH49" t="s">
        <v>3632</v>
      </c>
      <c r="BI49" t="s">
        <v>122</v>
      </c>
      <c r="BJ49" t="s">
        <v>231</v>
      </c>
      <c r="BK49" t="s">
        <v>3651</v>
      </c>
      <c r="BL49" t="s">
        <v>2287</v>
      </c>
      <c r="BM49" t="s">
        <v>2287</v>
      </c>
      <c r="BN49" t="s">
        <v>3842</v>
      </c>
      <c r="BO49" t="s">
        <v>3847</v>
      </c>
      <c r="BP49" t="s">
        <v>3851</v>
      </c>
      <c r="BQ49" t="s">
        <v>3618</v>
      </c>
      <c r="BR49" t="s">
        <v>3618</v>
      </c>
      <c r="BS49" t="s">
        <v>231</v>
      </c>
      <c r="BT49" t="s">
        <v>3694</v>
      </c>
      <c r="BU49" t="s">
        <v>3852</v>
      </c>
      <c r="BV49" t="s">
        <v>3852</v>
      </c>
      <c r="BW49" t="s">
        <v>3641</v>
      </c>
      <c r="BX49" t="s">
        <v>3641</v>
      </c>
      <c r="BY49" t="s">
        <v>3641</v>
      </c>
      <c r="BZ49" t="s">
        <v>3641</v>
      </c>
      <c r="CA49" t="s">
        <v>3641</v>
      </c>
      <c r="CB49" t="s">
        <v>231</v>
      </c>
      <c r="CC49" t="s">
        <v>231</v>
      </c>
      <c r="CD49" t="s">
        <v>231</v>
      </c>
      <c r="CE49" t="s">
        <v>231</v>
      </c>
      <c r="CF49" t="s">
        <v>231</v>
      </c>
      <c r="CG49" t="s">
        <v>3641</v>
      </c>
      <c r="CH49" t="s">
        <v>231</v>
      </c>
      <c r="CI49" t="s">
        <v>231</v>
      </c>
      <c r="CJ49" t="s">
        <v>231</v>
      </c>
      <c r="CK49" t="s">
        <v>231</v>
      </c>
      <c r="CL49" t="s">
        <v>231</v>
      </c>
      <c r="CM49" t="s">
        <v>3852</v>
      </c>
      <c r="CN49" t="s">
        <v>3852</v>
      </c>
      <c r="CO49" t="s">
        <v>231</v>
      </c>
      <c r="CP49" t="s">
        <v>231</v>
      </c>
      <c r="CQ49" t="s">
        <v>231</v>
      </c>
      <c r="CR49" t="s">
        <v>231</v>
      </c>
      <c r="CS49" t="s">
        <v>3529</v>
      </c>
      <c r="CT49" t="s">
        <v>3534</v>
      </c>
      <c r="CU49" t="s">
        <v>3535</v>
      </c>
      <c r="CV49" t="s">
        <v>3536</v>
      </c>
      <c r="CW49" t="s">
        <v>3623</v>
      </c>
      <c r="CX49" t="s">
        <v>223</v>
      </c>
      <c r="CY49" t="s">
        <v>3536</v>
      </c>
      <c r="CZ49" t="s">
        <v>3624</v>
      </c>
      <c r="DA49" t="s">
        <v>3625</v>
      </c>
      <c r="DB49" t="s">
        <v>3623</v>
      </c>
      <c r="DC49" t="s">
        <v>363</v>
      </c>
      <c r="DD49" t="s">
        <v>282</v>
      </c>
      <c r="DE49" t="s">
        <v>3853</v>
      </c>
    </row>
    <row r="50" spans="1:109" ht="11.25" customHeight="1">
      <c r="A50" s="1314" t="s">
        <v>231</v>
      </c>
      <c r="B50" t="s">
        <v>231</v>
      </c>
      <c r="C50" t="s">
        <v>231</v>
      </c>
      <c r="D50" t="s">
        <v>231</v>
      </c>
      <c r="E50" t="s">
        <v>231</v>
      </c>
      <c r="F50" t="s">
        <v>231</v>
      </c>
      <c r="G50" t="s">
        <v>231</v>
      </c>
      <c r="H50" t="s">
        <v>231</v>
      </c>
      <c r="I50" t="s">
        <v>3521</v>
      </c>
      <c r="J50" t="s">
        <v>231</v>
      </c>
      <c r="K50" t="s">
        <v>231</v>
      </c>
      <c r="L50" t="s">
        <v>231</v>
      </c>
      <c r="M50" t="s">
        <v>231</v>
      </c>
      <c r="N50" t="s">
        <v>231</v>
      </c>
      <c r="O50" t="s">
        <v>231</v>
      </c>
      <c r="P50" t="s">
        <v>231</v>
      </c>
      <c r="Q50" t="s">
        <v>231</v>
      </c>
      <c r="R50" t="s">
        <v>3615</v>
      </c>
      <c r="S50" t="s">
        <v>231</v>
      </c>
      <c r="T50" t="s">
        <v>231</v>
      </c>
      <c r="U50" t="s">
        <v>101</v>
      </c>
      <c r="V50" t="s">
        <v>231</v>
      </c>
      <c r="W50" t="s">
        <v>231</v>
      </c>
      <c r="X50" t="s">
        <v>3523</v>
      </c>
      <c r="Y50" t="s">
        <v>231</v>
      </c>
      <c r="Z50" t="s">
        <v>160</v>
      </c>
      <c r="AA50" t="s">
        <v>151</v>
      </c>
      <c r="AB50" t="s">
        <v>151</v>
      </c>
      <c r="AC50" t="s">
        <v>2287</v>
      </c>
      <c r="AD50" t="s">
        <v>2287</v>
      </c>
      <c r="AE50" t="s">
        <v>2288</v>
      </c>
      <c r="AF50" t="s">
        <v>3854</v>
      </c>
      <c r="AG50" t="s">
        <v>3855</v>
      </c>
      <c r="AH50" t="s">
        <v>3856</v>
      </c>
      <c r="AI50" t="s">
        <v>3857</v>
      </c>
      <c r="AJ50" t="s">
        <v>3619</v>
      </c>
      <c r="AK50" t="s">
        <v>3858</v>
      </c>
      <c r="AL50" t="s">
        <v>3548</v>
      </c>
      <c r="AM50" t="s">
        <v>3531</v>
      </c>
      <c r="AN50" t="s">
        <v>3621</v>
      </c>
      <c r="AO50" t="s">
        <v>3596</v>
      </c>
      <c r="AP50" t="s">
        <v>231</v>
      </c>
      <c r="AQ50" t="s">
        <v>231</v>
      </c>
      <c r="AR50" t="s">
        <v>231</v>
      </c>
      <c r="AS50" t="s">
        <v>231</v>
      </c>
      <c r="AT50" t="s">
        <v>231</v>
      </c>
      <c r="AU50" t="s">
        <v>231</v>
      </c>
      <c r="AV50" t="s">
        <v>231</v>
      </c>
      <c r="AW50" t="s">
        <v>231</v>
      </c>
      <c r="AX50" t="s">
        <v>231</v>
      </c>
      <c r="AY50" t="s">
        <v>231</v>
      </c>
      <c r="AZ50" t="s">
        <v>231</v>
      </c>
      <c r="BA50" t="s">
        <v>231</v>
      </c>
      <c r="BB50" t="s">
        <v>231</v>
      </c>
      <c r="BC50" t="s">
        <v>231</v>
      </c>
      <c r="BD50" t="s">
        <v>231</v>
      </c>
      <c r="BE50" t="s">
        <v>231</v>
      </c>
      <c r="BF50" t="s">
        <v>231</v>
      </c>
      <c r="BG50" t="s">
        <v>231</v>
      </c>
      <c r="BH50" t="s">
        <v>231</v>
      </c>
      <c r="BI50" t="s">
        <v>231</v>
      </c>
      <c r="BJ50" t="s">
        <v>231</v>
      </c>
      <c r="BK50" t="s">
        <v>231</v>
      </c>
      <c r="BL50" t="s">
        <v>231</v>
      </c>
      <c r="BM50" t="s">
        <v>231</v>
      </c>
      <c r="BN50" t="s">
        <v>231</v>
      </c>
      <c r="BO50" t="s">
        <v>231</v>
      </c>
      <c r="BP50" t="s">
        <v>231</v>
      </c>
      <c r="BQ50" t="s">
        <v>231</v>
      </c>
      <c r="BR50" t="s">
        <v>231</v>
      </c>
      <c r="BS50" t="s">
        <v>231</v>
      </c>
      <c r="BT50" t="s">
        <v>231</v>
      </c>
      <c r="BU50" t="s">
        <v>231</v>
      </c>
      <c r="BV50" t="s">
        <v>231</v>
      </c>
      <c r="BW50" t="s">
        <v>231</v>
      </c>
      <c r="BX50" t="s">
        <v>231</v>
      </c>
      <c r="BY50" t="s">
        <v>231</v>
      </c>
      <c r="BZ50" t="s">
        <v>231</v>
      </c>
      <c r="CA50" t="s">
        <v>231</v>
      </c>
      <c r="CB50" t="s">
        <v>231</v>
      </c>
      <c r="CC50" t="s">
        <v>231</v>
      </c>
      <c r="CD50" t="s">
        <v>231</v>
      </c>
      <c r="CE50" t="s">
        <v>231</v>
      </c>
      <c r="CF50" t="s">
        <v>231</v>
      </c>
      <c r="CG50" t="s">
        <v>231</v>
      </c>
      <c r="CH50" t="s">
        <v>231</v>
      </c>
      <c r="CI50" t="s">
        <v>231</v>
      </c>
      <c r="CJ50" t="s">
        <v>231</v>
      </c>
      <c r="CK50" t="s">
        <v>231</v>
      </c>
      <c r="CL50" t="s">
        <v>231</v>
      </c>
      <c r="CM50" t="s">
        <v>231</v>
      </c>
      <c r="CN50" t="s">
        <v>231</v>
      </c>
      <c r="CO50" t="s">
        <v>231</v>
      </c>
      <c r="CP50" t="s">
        <v>231</v>
      </c>
      <c r="CQ50" t="s">
        <v>231</v>
      </c>
      <c r="CR50" t="s">
        <v>231</v>
      </c>
      <c r="CS50" t="s">
        <v>231</v>
      </c>
      <c r="CT50" t="s">
        <v>3534</v>
      </c>
      <c r="CU50" t="s">
        <v>3535</v>
      </c>
      <c r="CV50" t="s">
        <v>3536</v>
      </c>
      <c r="CW50" t="s">
        <v>3623</v>
      </c>
      <c r="CX50" t="s">
        <v>223</v>
      </c>
      <c r="CY50" t="s">
        <v>3536</v>
      </c>
      <c r="CZ50" t="s">
        <v>3624</v>
      </c>
      <c r="DA50" t="s">
        <v>3625</v>
      </c>
      <c r="DB50" t="s">
        <v>3623</v>
      </c>
      <c r="DC50" t="s">
        <v>363</v>
      </c>
      <c r="DD50" t="s">
        <v>282</v>
      </c>
      <c r="DE50" t="s">
        <v>3859</v>
      </c>
    </row>
    <row r="51" spans="1:109" ht="11.25" customHeight="1">
      <c r="A51" s="1314" t="s">
        <v>231</v>
      </c>
      <c r="B51" t="s">
        <v>231</v>
      </c>
      <c r="C51" t="s">
        <v>231</v>
      </c>
      <c r="D51" t="s">
        <v>231</v>
      </c>
      <c r="E51" t="s">
        <v>231</v>
      </c>
      <c r="F51" t="s">
        <v>231</v>
      </c>
      <c r="G51" t="s">
        <v>231</v>
      </c>
      <c r="H51" t="s">
        <v>231</v>
      </c>
      <c r="I51" t="s">
        <v>3521</v>
      </c>
      <c r="J51" t="s">
        <v>231</v>
      </c>
      <c r="K51" t="s">
        <v>231</v>
      </c>
      <c r="L51" t="s">
        <v>231</v>
      </c>
      <c r="M51" t="s">
        <v>231</v>
      </c>
      <c r="N51" t="s">
        <v>231</v>
      </c>
      <c r="O51" t="s">
        <v>231</v>
      </c>
      <c r="P51" t="s">
        <v>231</v>
      </c>
      <c r="Q51" t="s">
        <v>231</v>
      </c>
      <c r="R51" t="s">
        <v>3615</v>
      </c>
      <c r="S51" t="s">
        <v>231</v>
      </c>
      <c r="T51" t="s">
        <v>231</v>
      </c>
      <c r="U51" t="s">
        <v>101</v>
      </c>
      <c r="V51" t="s">
        <v>231</v>
      </c>
      <c r="W51" t="s">
        <v>231</v>
      </c>
      <c r="X51" t="s">
        <v>3523</v>
      </c>
      <c r="Y51" t="s">
        <v>231</v>
      </c>
      <c r="Z51" t="s">
        <v>160</v>
      </c>
      <c r="AA51" t="s">
        <v>151</v>
      </c>
      <c r="AB51" t="s">
        <v>151</v>
      </c>
      <c r="AC51" t="s">
        <v>2287</v>
      </c>
      <c r="AD51" t="s">
        <v>2287</v>
      </c>
      <c r="AE51" t="s">
        <v>2288</v>
      </c>
      <c r="AF51" t="s">
        <v>3854</v>
      </c>
      <c r="AG51" t="s">
        <v>3855</v>
      </c>
      <c r="AH51" t="s">
        <v>3609</v>
      </c>
      <c r="AI51" t="s">
        <v>3860</v>
      </c>
      <c r="AJ51" t="s">
        <v>3619</v>
      </c>
      <c r="AK51" t="s">
        <v>3861</v>
      </c>
      <c r="AL51" t="s">
        <v>3548</v>
      </c>
      <c r="AM51" t="s">
        <v>3531</v>
      </c>
      <c r="AN51" t="s">
        <v>3621</v>
      </c>
      <c r="AO51" t="s">
        <v>3679</v>
      </c>
      <c r="AP51" t="s">
        <v>231</v>
      </c>
      <c r="AQ51" t="s">
        <v>231</v>
      </c>
      <c r="AR51" t="s">
        <v>231</v>
      </c>
      <c r="AS51" t="s">
        <v>231</v>
      </c>
      <c r="AT51" t="s">
        <v>231</v>
      </c>
      <c r="AU51" t="s">
        <v>231</v>
      </c>
      <c r="AV51" t="s">
        <v>231</v>
      </c>
      <c r="AW51" t="s">
        <v>231</v>
      </c>
      <c r="AX51" t="s">
        <v>231</v>
      </c>
      <c r="AY51" t="s">
        <v>231</v>
      </c>
      <c r="AZ51" t="s">
        <v>231</v>
      </c>
      <c r="BA51" t="s">
        <v>231</v>
      </c>
      <c r="BB51" t="s">
        <v>231</v>
      </c>
      <c r="BC51" t="s">
        <v>231</v>
      </c>
      <c r="BD51" t="s">
        <v>231</v>
      </c>
      <c r="BE51" t="s">
        <v>231</v>
      </c>
      <c r="BF51" t="s">
        <v>231</v>
      </c>
      <c r="BG51" t="s">
        <v>231</v>
      </c>
      <c r="BH51" t="s">
        <v>231</v>
      </c>
      <c r="BI51" t="s">
        <v>231</v>
      </c>
      <c r="BJ51" t="s">
        <v>231</v>
      </c>
      <c r="BK51" t="s">
        <v>231</v>
      </c>
      <c r="BL51" t="s">
        <v>231</v>
      </c>
      <c r="BM51" t="s">
        <v>231</v>
      </c>
      <c r="BN51" t="s">
        <v>231</v>
      </c>
      <c r="BO51" t="s">
        <v>231</v>
      </c>
      <c r="BP51" t="s">
        <v>231</v>
      </c>
      <c r="BQ51" t="s">
        <v>231</v>
      </c>
      <c r="BR51" t="s">
        <v>231</v>
      </c>
      <c r="BS51" t="s">
        <v>231</v>
      </c>
      <c r="BT51" t="s">
        <v>231</v>
      </c>
      <c r="BU51" t="s">
        <v>231</v>
      </c>
      <c r="BV51" t="s">
        <v>231</v>
      </c>
      <c r="BW51" t="s">
        <v>231</v>
      </c>
      <c r="BX51" t="s">
        <v>231</v>
      </c>
      <c r="BY51" t="s">
        <v>231</v>
      </c>
      <c r="BZ51" t="s">
        <v>231</v>
      </c>
      <c r="CA51" t="s">
        <v>231</v>
      </c>
      <c r="CB51" t="s">
        <v>231</v>
      </c>
      <c r="CC51" t="s">
        <v>231</v>
      </c>
      <c r="CD51" t="s">
        <v>231</v>
      </c>
      <c r="CE51" t="s">
        <v>231</v>
      </c>
      <c r="CF51" t="s">
        <v>231</v>
      </c>
      <c r="CG51" t="s">
        <v>231</v>
      </c>
      <c r="CH51" t="s">
        <v>231</v>
      </c>
      <c r="CI51" t="s">
        <v>231</v>
      </c>
      <c r="CJ51" t="s">
        <v>231</v>
      </c>
      <c r="CK51" t="s">
        <v>231</v>
      </c>
      <c r="CL51" t="s">
        <v>231</v>
      </c>
      <c r="CM51" t="s">
        <v>231</v>
      </c>
      <c r="CN51" t="s">
        <v>231</v>
      </c>
      <c r="CO51" t="s">
        <v>231</v>
      </c>
      <c r="CP51" t="s">
        <v>231</v>
      </c>
      <c r="CQ51" t="s">
        <v>231</v>
      </c>
      <c r="CR51" t="s">
        <v>231</v>
      </c>
      <c r="CS51" t="s">
        <v>231</v>
      </c>
      <c r="CT51" t="s">
        <v>3534</v>
      </c>
      <c r="CU51" t="s">
        <v>3535</v>
      </c>
      <c r="CV51" t="s">
        <v>3536</v>
      </c>
      <c r="CW51" t="s">
        <v>3623</v>
      </c>
      <c r="CX51" t="s">
        <v>223</v>
      </c>
      <c r="CY51" t="s">
        <v>3536</v>
      </c>
      <c r="CZ51" t="s">
        <v>3624</v>
      </c>
      <c r="DA51" t="s">
        <v>3625</v>
      </c>
      <c r="DB51" t="s">
        <v>3623</v>
      </c>
      <c r="DC51" t="s">
        <v>363</v>
      </c>
      <c r="DD51" t="s">
        <v>282</v>
      </c>
      <c r="DE51" t="s">
        <v>3862</v>
      </c>
    </row>
    <row r="52" spans="1:109" ht="11.25" customHeight="1">
      <c r="A52" s="1314" t="s">
        <v>231</v>
      </c>
      <c r="B52" t="s">
        <v>231</v>
      </c>
      <c r="C52" t="s">
        <v>231</v>
      </c>
      <c r="D52" t="s">
        <v>231</v>
      </c>
      <c r="E52" t="s">
        <v>231</v>
      </c>
      <c r="F52" t="s">
        <v>231</v>
      </c>
      <c r="G52" t="s">
        <v>231</v>
      </c>
      <c r="H52" t="s">
        <v>231</v>
      </c>
      <c r="I52" t="s">
        <v>3521</v>
      </c>
      <c r="J52" t="s">
        <v>231</v>
      </c>
      <c r="K52" t="s">
        <v>231</v>
      </c>
      <c r="L52" t="s">
        <v>231</v>
      </c>
      <c r="M52" t="s">
        <v>231</v>
      </c>
      <c r="N52" t="s">
        <v>231</v>
      </c>
      <c r="O52" t="s">
        <v>231</v>
      </c>
      <c r="P52" t="s">
        <v>231</v>
      </c>
      <c r="Q52" t="s">
        <v>231</v>
      </c>
      <c r="R52" t="s">
        <v>3863</v>
      </c>
      <c r="S52" t="s">
        <v>231</v>
      </c>
      <c r="T52" t="s">
        <v>231</v>
      </c>
      <c r="U52" t="s">
        <v>101</v>
      </c>
      <c r="V52" t="s">
        <v>231</v>
      </c>
      <c r="W52" t="s">
        <v>231</v>
      </c>
      <c r="X52" t="s">
        <v>3523</v>
      </c>
      <c r="Y52" t="s">
        <v>231</v>
      </c>
      <c r="Z52" t="s">
        <v>160</v>
      </c>
      <c r="AA52" t="s">
        <v>151</v>
      </c>
      <c r="AB52" t="s">
        <v>151</v>
      </c>
      <c r="AC52" t="s">
        <v>2262</v>
      </c>
      <c r="AD52" t="s">
        <v>2262</v>
      </c>
      <c r="AE52" t="s">
        <v>2264</v>
      </c>
      <c r="AF52" t="s">
        <v>3524</v>
      </c>
      <c r="AG52" t="s">
        <v>3525</v>
      </c>
      <c r="AH52" t="s">
        <v>3864</v>
      </c>
      <c r="AI52" t="s">
        <v>3865</v>
      </c>
      <c r="AJ52" t="s">
        <v>3587</v>
      </c>
      <c r="AK52" t="s">
        <v>3866</v>
      </c>
      <c r="AL52" t="s">
        <v>3648</v>
      </c>
      <c r="AM52" t="s">
        <v>3531</v>
      </c>
      <c r="AN52" t="s">
        <v>3867</v>
      </c>
      <c r="AO52" t="s">
        <v>3868</v>
      </c>
      <c r="AP52" t="s">
        <v>231</v>
      </c>
      <c r="AQ52" t="s">
        <v>231</v>
      </c>
      <c r="AR52" t="s">
        <v>231</v>
      </c>
      <c r="AS52" t="s">
        <v>231</v>
      </c>
      <c r="AT52" t="s">
        <v>231</v>
      </c>
      <c r="AU52" t="s">
        <v>231</v>
      </c>
      <c r="AV52" t="s">
        <v>231</v>
      </c>
      <c r="AW52" t="s">
        <v>231</v>
      </c>
      <c r="AX52" t="s">
        <v>231</v>
      </c>
      <c r="AY52" t="s">
        <v>231</v>
      </c>
      <c r="AZ52" t="s">
        <v>231</v>
      </c>
      <c r="BA52" t="s">
        <v>231</v>
      </c>
      <c r="BB52" t="s">
        <v>231</v>
      </c>
      <c r="BC52" t="s">
        <v>231</v>
      </c>
      <c r="BD52" t="s">
        <v>231</v>
      </c>
      <c r="BE52" t="s">
        <v>231</v>
      </c>
      <c r="BF52" t="s">
        <v>231</v>
      </c>
      <c r="BG52" t="s">
        <v>231</v>
      </c>
      <c r="BH52" t="s">
        <v>231</v>
      </c>
      <c r="BI52" t="s">
        <v>231</v>
      </c>
      <c r="BJ52" t="s">
        <v>231</v>
      </c>
      <c r="BK52" t="s">
        <v>231</v>
      </c>
      <c r="BL52" t="s">
        <v>231</v>
      </c>
      <c r="BM52" t="s">
        <v>231</v>
      </c>
      <c r="BN52" t="s">
        <v>231</v>
      </c>
      <c r="BO52" t="s">
        <v>231</v>
      </c>
      <c r="BP52" t="s">
        <v>231</v>
      </c>
      <c r="BQ52" t="s">
        <v>231</v>
      </c>
      <c r="BR52" t="s">
        <v>231</v>
      </c>
      <c r="BS52" t="s">
        <v>231</v>
      </c>
      <c r="BT52" t="s">
        <v>231</v>
      </c>
      <c r="BU52" t="s">
        <v>231</v>
      </c>
      <c r="BV52" t="s">
        <v>231</v>
      </c>
      <c r="BW52" t="s">
        <v>231</v>
      </c>
      <c r="BX52" t="s">
        <v>231</v>
      </c>
      <c r="BY52" t="s">
        <v>231</v>
      </c>
      <c r="BZ52" t="s">
        <v>231</v>
      </c>
      <c r="CA52" t="s">
        <v>231</v>
      </c>
      <c r="CB52" t="s">
        <v>231</v>
      </c>
      <c r="CC52" t="s">
        <v>231</v>
      </c>
      <c r="CD52" t="s">
        <v>231</v>
      </c>
      <c r="CE52" t="s">
        <v>231</v>
      </c>
      <c r="CF52" t="s">
        <v>231</v>
      </c>
      <c r="CG52" t="s">
        <v>231</v>
      </c>
      <c r="CH52" t="s">
        <v>231</v>
      </c>
      <c r="CI52" t="s">
        <v>231</v>
      </c>
      <c r="CJ52" t="s">
        <v>231</v>
      </c>
      <c r="CK52" t="s">
        <v>231</v>
      </c>
      <c r="CL52" t="s">
        <v>231</v>
      </c>
      <c r="CM52" t="s">
        <v>231</v>
      </c>
      <c r="CN52" t="s">
        <v>231</v>
      </c>
      <c r="CO52" t="s">
        <v>231</v>
      </c>
      <c r="CP52" t="s">
        <v>231</v>
      </c>
      <c r="CQ52" t="s">
        <v>231</v>
      </c>
      <c r="CR52" t="s">
        <v>231</v>
      </c>
      <c r="CS52" t="s">
        <v>231</v>
      </c>
      <c r="CT52" t="s">
        <v>3534</v>
      </c>
      <c r="CU52" t="s">
        <v>3535</v>
      </c>
      <c r="CV52" t="s">
        <v>3536</v>
      </c>
      <c r="CW52" t="s">
        <v>3537</v>
      </c>
      <c r="CX52" t="s">
        <v>223</v>
      </c>
      <c r="CY52" t="s">
        <v>3536</v>
      </c>
      <c r="CZ52" t="s">
        <v>3538</v>
      </c>
      <c r="DA52" t="s">
        <v>3539</v>
      </c>
      <c r="DB52" t="s">
        <v>3537</v>
      </c>
      <c r="DC52" t="s">
        <v>363</v>
      </c>
      <c r="DD52" t="s">
        <v>282</v>
      </c>
      <c r="DE52" t="s">
        <v>3869</v>
      </c>
    </row>
    <row r="53" spans="1:109" ht="11.25" customHeight="1">
      <c r="A53" s="1314" t="s">
        <v>231</v>
      </c>
      <c r="B53" t="s">
        <v>231</v>
      </c>
      <c r="C53" t="s">
        <v>231</v>
      </c>
      <c r="D53" t="s">
        <v>231</v>
      </c>
      <c r="E53" t="s">
        <v>231</v>
      </c>
      <c r="F53" t="s">
        <v>231</v>
      </c>
      <c r="G53" t="s">
        <v>231</v>
      </c>
      <c r="H53" t="s">
        <v>231</v>
      </c>
      <c r="I53" t="s">
        <v>3521</v>
      </c>
      <c r="J53" t="s">
        <v>231</v>
      </c>
      <c r="K53" t="s">
        <v>231</v>
      </c>
      <c r="L53" t="s">
        <v>231</v>
      </c>
      <c r="M53" t="s">
        <v>231</v>
      </c>
      <c r="N53" t="s">
        <v>231</v>
      </c>
      <c r="O53" t="s">
        <v>231</v>
      </c>
      <c r="P53" t="s">
        <v>231</v>
      </c>
      <c r="Q53" t="s">
        <v>231</v>
      </c>
      <c r="R53" t="s">
        <v>3615</v>
      </c>
      <c r="S53" t="s">
        <v>231</v>
      </c>
      <c r="T53" t="s">
        <v>231</v>
      </c>
      <c r="U53" t="s">
        <v>101</v>
      </c>
      <c r="V53" t="s">
        <v>231</v>
      </c>
      <c r="W53" t="s">
        <v>231</v>
      </c>
      <c r="X53" t="s">
        <v>3523</v>
      </c>
      <c r="Y53" t="s">
        <v>231</v>
      </c>
      <c r="Z53" t="s">
        <v>160</v>
      </c>
      <c r="AA53" t="s">
        <v>151</v>
      </c>
      <c r="AB53" t="s">
        <v>151</v>
      </c>
      <c r="AC53" t="s">
        <v>2289</v>
      </c>
      <c r="AD53" t="s">
        <v>2289</v>
      </c>
      <c r="AE53" t="s">
        <v>2290</v>
      </c>
      <c r="AF53" t="s">
        <v>3771</v>
      </c>
      <c r="AG53" t="s">
        <v>3772</v>
      </c>
      <c r="AH53" t="s">
        <v>3870</v>
      </c>
      <c r="AI53" t="s">
        <v>3871</v>
      </c>
      <c r="AJ53" t="s">
        <v>3594</v>
      </c>
      <c r="AK53" t="s">
        <v>3586</v>
      </c>
      <c r="AL53" t="s">
        <v>3548</v>
      </c>
      <c r="AM53" t="s">
        <v>3531</v>
      </c>
      <c r="AN53" t="s">
        <v>3587</v>
      </c>
      <c r="AO53" t="s">
        <v>3550</v>
      </c>
      <c r="AP53" t="s">
        <v>231</v>
      </c>
      <c r="AQ53" t="s">
        <v>231</v>
      </c>
      <c r="AR53" t="s">
        <v>231</v>
      </c>
      <c r="AS53" t="s">
        <v>231</v>
      </c>
      <c r="AT53" t="s">
        <v>231</v>
      </c>
      <c r="AU53" t="s">
        <v>231</v>
      </c>
      <c r="AV53" t="s">
        <v>231</v>
      </c>
      <c r="AW53" t="s">
        <v>231</v>
      </c>
      <c r="AX53" t="s">
        <v>231</v>
      </c>
      <c r="AY53" t="s">
        <v>231</v>
      </c>
      <c r="AZ53" t="s">
        <v>231</v>
      </c>
      <c r="BA53" t="s">
        <v>231</v>
      </c>
      <c r="BB53" t="s">
        <v>231</v>
      </c>
      <c r="BC53" t="s">
        <v>231</v>
      </c>
      <c r="BD53" t="s">
        <v>231</v>
      </c>
      <c r="BE53" t="s">
        <v>231</v>
      </c>
      <c r="BF53" t="s">
        <v>231</v>
      </c>
      <c r="BG53" t="s">
        <v>231</v>
      </c>
      <c r="BH53" t="s">
        <v>231</v>
      </c>
      <c r="BI53" t="s">
        <v>231</v>
      </c>
      <c r="BJ53" t="s">
        <v>231</v>
      </c>
      <c r="BK53" t="s">
        <v>231</v>
      </c>
      <c r="BL53" t="s">
        <v>231</v>
      </c>
      <c r="BM53" t="s">
        <v>231</v>
      </c>
      <c r="BN53" t="s">
        <v>231</v>
      </c>
      <c r="BO53" t="s">
        <v>231</v>
      </c>
      <c r="BP53" t="s">
        <v>231</v>
      </c>
      <c r="BQ53" t="s">
        <v>231</v>
      </c>
      <c r="BR53" t="s">
        <v>231</v>
      </c>
      <c r="BS53" t="s">
        <v>231</v>
      </c>
      <c r="BT53" t="s">
        <v>231</v>
      </c>
      <c r="BU53" t="s">
        <v>231</v>
      </c>
      <c r="BV53" t="s">
        <v>231</v>
      </c>
      <c r="BW53" t="s">
        <v>231</v>
      </c>
      <c r="BX53" t="s">
        <v>231</v>
      </c>
      <c r="BY53" t="s">
        <v>231</v>
      </c>
      <c r="BZ53" t="s">
        <v>231</v>
      </c>
      <c r="CA53" t="s">
        <v>231</v>
      </c>
      <c r="CB53" t="s">
        <v>231</v>
      </c>
      <c r="CC53" t="s">
        <v>231</v>
      </c>
      <c r="CD53" t="s">
        <v>231</v>
      </c>
      <c r="CE53" t="s">
        <v>231</v>
      </c>
      <c r="CF53" t="s">
        <v>231</v>
      </c>
      <c r="CG53" t="s">
        <v>231</v>
      </c>
      <c r="CH53" t="s">
        <v>231</v>
      </c>
      <c r="CI53" t="s">
        <v>231</v>
      </c>
      <c r="CJ53" t="s">
        <v>231</v>
      </c>
      <c r="CK53" t="s">
        <v>231</v>
      </c>
      <c r="CL53" t="s">
        <v>231</v>
      </c>
      <c r="CM53" t="s">
        <v>231</v>
      </c>
      <c r="CN53" t="s">
        <v>231</v>
      </c>
      <c r="CO53" t="s">
        <v>231</v>
      </c>
      <c r="CP53" t="s">
        <v>231</v>
      </c>
      <c r="CQ53" t="s">
        <v>231</v>
      </c>
      <c r="CR53" t="s">
        <v>231</v>
      </c>
      <c r="CS53" t="s">
        <v>231</v>
      </c>
      <c r="CT53" t="s">
        <v>3534</v>
      </c>
      <c r="CU53" t="s">
        <v>3535</v>
      </c>
      <c r="CV53" t="s">
        <v>3536</v>
      </c>
      <c r="CW53" t="s">
        <v>3589</v>
      </c>
      <c r="CX53" t="s">
        <v>223</v>
      </c>
      <c r="CY53" t="s">
        <v>3536</v>
      </c>
      <c r="CZ53" t="s">
        <v>3590</v>
      </c>
      <c r="DA53" t="s">
        <v>3591</v>
      </c>
      <c r="DB53" t="s">
        <v>3589</v>
      </c>
      <c r="DC53" t="s">
        <v>363</v>
      </c>
      <c r="DD53" t="s">
        <v>282</v>
      </c>
      <c r="DE53" t="s">
        <v>3872</v>
      </c>
    </row>
    <row r="54" spans="1:109" ht="11.25" customHeight="1">
      <c r="A54" s="1314" t="s">
        <v>231</v>
      </c>
      <c r="B54" t="s">
        <v>231</v>
      </c>
      <c r="C54" t="s">
        <v>231</v>
      </c>
      <c r="D54" t="s">
        <v>231</v>
      </c>
      <c r="E54" t="s">
        <v>231</v>
      </c>
      <c r="F54" t="s">
        <v>231</v>
      </c>
      <c r="G54" t="s">
        <v>231</v>
      </c>
      <c r="H54" t="s">
        <v>231</v>
      </c>
      <c r="I54" t="s">
        <v>3521</v>
      </c>
      <c r="J54" t="s">
        <v>231</v>
      </c>
      <c r="K54" t="s">
        <v>231</v>
      </c>
      <c r="L54" t="s">
        <v>231</v>
      </c>
      <c r="M54" t="s">
        <v>231</v>
      </c>
      <c r="N54" t="s">
        <v>231</v>
      </c>
      <c r="O54" t="s">
        <v>231</v>
      </c>
      <c r="P54" t="s">
        <v>231</v>
      </c>
      <c r="Q54" t="s">
        <v>231</v>
      </c>
      <c r="R54" t="s">
        <v>3873</v>
      </c>
      <c r="S54" t="s">
        <v>231</v>
      </c>
      <c r="T54" t="s">
        <v>231</v>
      </c>
      <c r="U54" t="s">
        <v>101</v>
      </c>
      <c r="V54" t="s">
        <v>231</v>
      </c>
      <c r="W54" t="s">
        <v>231</v>
      </c>
      <c r="X54" t="s">
        <v>3628</v>
      </c>
      <c r="Y54" t="s">
        <v>231</v>
      </c>
      <c r="Z54" t="s">
        <v>151</v>
      </c>
      <c r="AA54" t="s">
        <v>151</v>
      </c>
      <c r="AB54" t="s">
        <v>160</v>
      </c>
      <c r="AC54" t="s">
        <v>2289</v>
      </c>
      <c r="AD54" t="s">
        <v>2289</v>
      </c>
      <c r="AE54" t="s">
        <v>2290</v>
      </c>
      <c r="AF54" t="s">
        <v>3874</v>
      </c>
      <c r="AG54" t="s">
        <v>3875</v>
      </c>
      <c r="AH54" t="s">
        <v>3618</v>
      </c>
      <c r="AI54" t="s">
        <v>3618</v>
      </c>
      <c r="AJ54" t="s">
        <v>231</v>
      </c>
      <c r="AK54" t="s">
        <v>231</v>
      </c>
      <c r="AL54" t="s">
        <v>231</v>
      </c>
      <c r="AM54" t="s">
        <v>231</v>
      </c>
      <c r="AN54" t="s">
        <v>231</v>
      </c>
      <c r="AO54" t="s">
        <v>231</v>
      </c>
      <c r="AP54" t="s">
        <v>231</v>
      </c>
      <c r="AQ54" t="s">
        <v>231</v>
      </c>
      <c r="AR54" t="s">
        <v>231</v>
      </c>
      <c r="AS54" t="s">
        <v>231</v>
      </c>
      <c r="AT54" t="s">
        <v>231</v>
      </c>
      <c r="AU54" t="s">
        <v>231</v>
      </c>
      <c r="AV54" t="s">
        <v>231</v>
      </c>
      <c r="AW54" t="s">
        <v>231</v>
      </c>
      <c r="AX54" t="s">
        <v>231</v>
      </c>
      <c r="AY54" t="s">
        <v>231</v>
      </c>
      <c r="AZ54" t="s">
        <v>231</v>
      </c>
      <c r="BA54" t="s">
        <v>231</v>
      </c>
      <c r="BB54" t="s">
        <v>231</v>
      </c>
      <c r="BC54" t="s">
        <v>231</v>
      </c>
      <c r="BD54" t="s">
        <v>231</v>
      </c>
      <c r="BE54" t="s">
        <v>3619</v>
      </c>
      <c r="BF54" t="s">
        <v>3876</v>
      </c>
      <c r="BG54" t="s">
        <v>111</v>
      </c>
      <c r="BH54" t="s">
        <v>3632</v>
      </c>
      <c r="BI54" t="s">
        <v>122</v>
      </c>
      <c r="BJ54" t="s">
        <v>231</v>
      </c>
      <c r="BK54" t="s">
        <v>3651</v>
      </c>
      <c r="BL54" t="s">
        <v>2289</v>
      </c>
      <c r="BM54" t="s">
        <v>2289</v>
      </c>
      <c r="BN54" t="s">
        <v>3707</v>
      </c>
      <c r="BO54" t="s">
        <v>3874</v>
      </c>
      <c r="BP54" t="s">
        <v>3877</v>
      </c>
      <c r="BQ54" t="s">
        <v>3618</v>
      </c>
      <c r="BR54" t="s">
        <v>3618</v>
      </c>
      <c r="BS54" t="s">
        <v>231</v>
      </c>
      <c r="BT54" t="s">
        <v>3694</v>
      </c>
      <c r="BU54" t="s">
        <v>3878</v>
      </c>
      <c r="BV54" t="s">
        <v>3878</v>
      </c>
      <c r="BW54" t="s">
        <v>3641</v>
      </c>
      <c r="BX54" t="s">
        <v>3641</v>
      </c>
      <c r="BY54" t="s">
        <v>3641</v>
      </c>
      <c r="BZ54" t="s">
        <v>3641</v>
      </c>
      <c r="CA54" t="s">
        <v>3641</v>
      </c>
      <c r="CB54" t="s">
        <v>231</v>
      </c>
      <c r="CC54" t="s">
        <v>231</v>
      </c>
      <c r="CD54" t="s">
        <v>231</v>
      </c>
      <c r="CE54" t="s">
        <v>231</v>
      </c>
      <c r="CF54" t="s">
        <v>231</v>
      </c>
      <c r="CG54" t="s">
        <v>3641</v>
      </c>
      <c r="CH54" t="s">
        <v>231</v>
      </c>
      <c r="CI54" t="s">
        <v>231</v>
      </c>
      <c r="CJ54" t="s">
        <v>231</v>
      </c>
      <c r="CK54" t="s">
        <v>231</v>
      </c>
      <c r="CL54" t="s">
        <v>231</v>
      </c>
      <c r="CM54" t="s">
        <v>3878</v>
      </c>
      <c r="CN54" t="s">
        <v>3878</v>
      </c>
      <c r="CO54" t="s">
        <v>231</v>
      </c>
      <c r="CP54" t="s">
        <v>231</v>
      </c>
      <c r="CQ54" t="s">
        <v>231</v>
      </c>
      <c r="CR54" t="s">
        <v>231</v>
      </c>
      <c r="CS54" t="s">
        <v>3710</v>
      </c>
      <c r="CT54" t="s">
        <v>3534</v>
      </c>
      <c r="CU54" t="s">
        <v>3535</v>
      </c>
      <c r="CV54" t="s">
        <v>3536</v>
      </c>
      <c r="CW54" t="s">
        <v>3589</v>
      </c>
      <c r="CX54" t="s">
        <v>223</v>
      </c>
      <c r="CY54" t="s">
        <v>3536</v>
      </c>
      <c r="CZ54" t="s">
        <v>3590</v>
      </c>
      <c r="DA54" t="s">
        <v>3591</v>
      </c>
      <c r="DB54" t="s">
        <v>3589</v>
      </c>
      <c r="DC54" t="s">
        <v>363</v>
      </c>
      <c r="DD54" t="s">
        <v>282</v>
      </c>
      <c r="DE54" t="s">
        <v>3879</v>
      </c>
    </row>
    <row r="55" spans="1:109" ht="11.25" customHeight="1">
      <c r="A55" s="1314" t="s">
        <v>231</v>
      </c>
      <c r="B55" t="s">
        <v>231</v>
      </c>
      <c r="C55" t="s">
        <v>231</v>
      </c>
      <c r="D55" t="s">
        <v>231</v>
      </c>
      <c r="E55" t="s">
        <v>231</v>
      </c>
      <c r="F55" t="s">
        <v>231</v>
      </c>
      <c r="G55" t="s">
        <v>231</v>
      </c>
      <c r="H55" t="s">
        <v>231</v>
      </c>
      <c r="I55" t="s">
        <v>3521</v>
      </c>
      <c r="J55" t="s">
        <v>231</v>
      </c>
      <c r="K55" t="s">
        <v>231</v>
      </c>
      <c r="L55" t="s">
        <v>231</v>
      </c>
      <c r="M55" t="s">
        <v>231</v>
      </c>
      <c r="N55" t="s">
        <v>231</v>
      </c>
      <c r="O55" t="s">
        <v>231</v>
      </c>
      <c r="P55" t="s">
        <v>231</v>
      </c>
      <c r="Q55" t="s">
        <v>231</v>
      </c>
      <c r="R55" t="s">
        <v>3615</v>
      </c>
      <c r="S55" t="s">
        <v>231</v>
      </c>
      <c r="T55" t="s">
        <v>231</v>
      </c>
      <c r="U55" t="s">
        <v>101</v>
      </c>
      <c r="V55" t="s">
        <v>231</v>
      </c>
      <c r="W55" t="s">
        <v>231</v>
      </c>
      <c r="X55" t="s">
        <v>3523</v>
      </c>
      <c r="Y55" t="s">
        <v>231</v>
      </c>
      <c r="Z55" t="s">
        <v>160</v>
      </c>
      <c r="AA55" t="s">
        <v>151</v>
      </c>
      <c r="AB55" t="s">
        <v>151</v>
      </c>
      <c r="AC55" t="s">
        <v>2289</v>
      </c>
      <c r="AD55" t="s">
        <v>2289</v>
      </c>
      <c r="AE55" t="s">
        <v>2290</v>
      </c>
      <c r="AF55" t="s">
        <v>3880</v>
      </c>
      <c r="AG55" t="s">
        <v>3881</v>
      </c>
      <c r="AH55" t="s">
        <v>3714</v>
      </c>
      <c r="AI55" t="s">
        <v>3593</v>
      </c>
      <c r="AJ55" t="s">
        <v>3546</v>
      </c>
      <c r="AK55" t="s">
        <v>3716</v>
      </c>
      <c r="AL55" t="s">
        <v>3548</v>
      </c>
      <c r="AM55" t="s">
        <v>3531</v>
      </c>
      <c r="AN55" t="s">
        <v>3587</v>
      </c>
      <c r="AO55" t="s">
        <v>3882</v>
      </c>
      <c r="AP55" t="s">
        <v>231</v>
      </c>
      <c r="AQ55" t="s">
        <v>231</v>
      </c>
      <c r="AR55" t="s">
        <v>231</v>
      </c>
      <c r="AS55" t="s">
        <v>231</v>
      </c>
      <c r="AT55" t="s">
        <v>231</v>
      </c>
      <c r="AU55" t="s">
        <v>231</v>
      </c>
      <c r="AV55" t="s">
        <v>231</v>
      </c>
      <c r="AW55" t="s">
        <v>231</v>
      </c>
      <c r="AX55" t="s">
        <v>231</v>
      </c>
      <c r="AY55" t="s">
        <v>231</v>
      </c>
      <c r="AZ55" t="s">
        <v>231</v>
      </c>
      <c r="BA55" t="s">
        <v>231</v>
      </c>
      <c r="BB55" t="s">
        <v>231</v>
      </c>
      <c r="BC55" t="s">
        <v>231</v>
      </c>
      <c r="BD55" t="s">
        <v>231</v>
      </c>
      <c r="BE55" t="s">
        <v>231</v>
      </c>
      <c r="BF55" t="s">
        <v>231</v>
      </c>
      <c r="BG55" t="s">
        <v>231</v>
      </c>
      <c r="BH55" t="s">
        <v>231</v>
      </c>
      <c r="BI55" t="s">
        <v>231</v>
      </c>
      <c r="BJ55" t="s">
        <v>231</v>
      </c>
      <c r="BK55" t="s">
        <v>231</v>
      </c>
      <c r="BL55" t="s">
        <v>231</v>
      </c>
      <c r="BM55" t="s">
        <v>231</v>
      </c>
      <c r="BN55" t="s">
        <v>231</v>
      </c>
      <c r="BO55" t="s">
        <v>231</v>
      </c>
      <c r="BP55" t="s">
        <v>231</v>
      </c>
      <c r="BQ55" t="s">
        <v>231</v>
      </c>
      <c r="BR55" t="s">
        <v>231</v>
      </c>
      <c r="BS55" t="s">
        <v>231</v>
      </c>
      <c r="BT55" t="s">
        <v>231</v>
      </c>
      <c r="BU55" t="s">
        <v>231</v>
      </c>
      <c r="BV55" t="s">
        <v>231</v>
      </c>
      <c r="BW55" t="s">
        <v>231</v>
      </c>
      <c r="BX55" t="s">
        <v>231</v>
      </c>
      <c r="BY55" t="s">
        <v>231</v>
      </c>
      <c r="BZ55" t="s">
        <v>231</v>
      </c>
      <c r="CA55" t="s">
        <v>231</v>
      </c>
      <c r="CB55" t="s">
        <v>231</v>
      </c>
      <c r="CC55" t="s">
        <v>231</v>
      </c>
      <c r="CD55" t="s">
        <v>231</v>
      </c>
      <c r="CE55" t="s">
        <v>231</v>
      </c>
      <c r="CF55" t="s">
        <v>231</v>
      </c>
      <c r="CG55" t="s">
        <v>231</v>
      </c>
      <c r="CH55" t="s">
        <v>231</v>
      </c>
      <c r="CI55" t="s">
        <v>231</v>
      </c>
      <c r="CJ55" t="s">
        <v>231</v>
      </c>
      <c r="CK55" t="s">
        <v>231</v>
      </c>
      <c r="CL55" t="s">
        <v>231</v>
      </c>
      <c r="CM55" t="s">
        <v>231</v>
      </c>
      <c r="CN55" t="s">
        <v>231</v>
      </c>
      <c r="CO55" t="s">
        <v>231</v>
      </c>
      <c r="CP55" t="s">
        <v>231</v>
      </c>
      <c r="CQ55" t="s">
        <v>231</v>
      </c>
      <c r="CR55" t="s">
        <v>231</v>
      </c>
      <c r="CS55" t="s">
        <v>231</v>
      </c>
      <c r="CT55" t="s">
        <v>3534</v>
      </c>
      <c r="CU55" t="s">
        <v>3535</v>
      </c>
      <c r="CV55" t="s">
        <v>3536</v>
      </c>
      <c r="CW55" t="s">
        <v>3589</v>
      </c>
      <c r="CX55" t="s">
        <v>223</v>
      </c>
      <c r="CY55" t="s">
        <v>3536</v>
      </c>
      <c r="CZ55" t="s">
        <v>3590</v>
      </c>
      <c r="DA55" t="s">
        <v>3591</v>
      </c>
      <c r="DB55" t="s">
        <v>3589</v>
      </c>
      <c r="DC55" t="s">
        <v>363</v>
      </c>
      <c r="DD55" t="s">
        <v>282</v>
      </c>
      <c r="DE55" t="s">
        <v>3883</v>
      </c>
    </row>
    <row r="56" spans="1:109" ht="11.25" customHeight="1">
      <c r="A56" s="1314" t="s">
        <v>231</v>
      </c>
      <c r="B56" t="s">
        <v>231</v>
      </c>
      <c r="C56" t="s">
        <v>231</v>
      </c>
      <c r="D56" t="s">
        <v>231</v>
      </c>
      <c r="E56" t="s">
        <v>231</v>
      </c>
      <c r="F56" t="s">
        <v>231</v>
      </c>
      <c r="G56" t="s">
        <v>231</v>
      </c>
      <c r="H56" t="s">
        <v>231</v>
      </c>
      <c r="I56" t="s">
        <v>3521</v>
      </c>
      <c r="J56" t="s">
        <v>231</v>
      </c>
      <c r="K56" t="s">
        <v>231</v>
      </c>
      <c r="L56" t="s">
        <v>231</v>
      </c>
      <c r="M56" t="s">
        <v>231</v>
      </c>
      <c r="N56" t="s">
        <v>231</v>
      </c>
      <c r="O56" t="s">
        <v>231</v>
      </c>
      <c r="P56" t="s">
        <v>231</v>
      </c>
      <c r="Q56" t="s">
        <v>231</v>
      </c>
      <c r="R56" t="s">
        <v>3884</v>
      </c>
      <c r="S56" t="s">
        <v>231</v>
      </c>
      <c r="T56" t="s">
        <v>231</v>
      </c>
      <c r="U56" t="s">
        <v>101</v>
      </c>
      <c r="V56" t="s">
        <v>231</v>
      </c>
      <c r="W56" t="s">
        <v>231</v>
      </c>
      <c r="X56" t="s">
        <v>3628</v>
      </c>
      <c r="Y56" t="s">
        <v>231</v>
      </c>
      <c r="Z56" t="s">
        <v>151</v>
      </c>
      <c r="AA56" t="s">
        <v>151</v>
      </c>
      <c r="AB56" t="s">
        <v>160</v>
      </c>
      <c r="AC56" t="s">
        <v>2289</v>
      </c>
      <c r="AD56" t="s">
        <v>2289</v>
      </c>
      <c r="AE56" t="s">
        <v>2290</v>
      </c>
      <c r="AF56" t="s">
        <v>3885</v>
      </c>
      <c r="AG56" t="s">
        <v>3886</v>
      </c>
      <c r="AH56" t="s">
        <v>3618</v>
      </c>
      <c r="AI56" t="s">
        <v>3618</v>
      </c>
      <c r="AJ56" t="s">
        <v>231</v>
      </c>
      <c r="AK56" t="s">
        <v>231</v>
      </c>
      <c r="AL56" t="s">
        <v>231</v>
      </c>
      <c r="AM56" t="s">
        <v>231</v>
      </c>
      <c r="AN56" t="s">
        <v>231</v>
      </c>
      <c r="AO56" t="s">
        <v>231</v>
      </c>
      <c r="AP56" t="s">
        <v>231</v>
      </c>
      <c r="AQ56" t="s">
        <v>231</v>
      </c>
      <c r="AR56" t="s">
        <v>231</v>
      </c>
      <c r="AS56" t="s">
        <v>231</v>
      </c>
      <c r="AT56" t="s">
        <v>231</v>
      </c>
      <c r="AU56" t="s">
        <v>231</v>
      </c>
      <c r="AV56" t="s">
        <v>231</v>
      </c>
      <c r="AW56" t="s">
        <v>231</v>
      </c>
      <c r="AX56" t="s">
        <v>231</v>
      </c>
      <c r="AY56" t="s">
        <v>231</v>
      </c>
      <c r="AZ56" t="s">
        <v>231</v>
      </c>
      <c r="BA56" t="s">
        <v>231</v>
      </c>
      <c r="BB56" t="s">
        <v>231</v>
      </c>
      <c r="BC56" t="s">
        <v>231</v>
      </c>
      <c r="BD56" t="s">
        <v>231</v>
      </c>
      <c r="BE56" t="s">
        <v>3594</v>
      </c>
      <c r="BF56" t="s">
        <v>3716</v>
      </c>
      <c r="BG56" t="s">
        <v>111</v>
      </c>
      <c r="BH56" t="s">
        <v>3632</v>
      </c>
      <c r="BI56" t="s">
        <v>122</v>
      </c>
      <c r="BJ56" t="s">
        <v>231</v>
      </c>
      <c r="BK56" t="s">
        <v>3651</v>
      </c>
      <c r="BL56" t="s">
        <v>2289</v>
      </c>
      <c r="BM56" t="s">
        <v>2289</v>
      </c>
      <c r="BN56" t="s">
        <v>3707</v>
      </c>
      <c r="BO56" t="s">
        <v>3885</v>
      </c>
      <c r="BP56" t="s">
        <v>3887</v>
      </c>
      <c r="BQ56" t="s">
        <v>3618</v>
      </c>
      <c r="BR56" t="s">
        <v>3618</v>
      </c>
      <c r="BS56" t="s">
        <v>231</v>
      </c>
      <c r="BT56" t="s">
        <v>3694</v>
      </c>
      <c r="BU56" t="s">
        <v>3888</v>
      </c>
      <c r="BV56" t="s">
        <v>3888</v>
      </c>
      <c r="BW56" t="s">
        <v>3641</v>
      </c>
      <c r="BX56" t="s">
        <v>3641</v>
      </c>
      <c r="BY56" t="s">
        <v>3641</v>
      </c>
      <c r="BZ56" t="s">
        <v>3641</v>
      </c>
      <c r="CA56" t="s">
        <v>3641</v>
      </c>
      <c r="CB56" t="s">
        <v>231</v>
      </c>
      <c r="CC56" t="s">
        <v>231</v>
      </c>
      <c r="CD56" t="s">
        <v>231</v>
      </c>
      <c r="CE56" t="s">
        <v>231</v>
      </c>
      <c r="CF56" t="s">
        <v>231</v>
      </c>
      <c r="CG56" t="s">
        <v>3641</v>
      </c>
      <c r="CH56" t="s">
        <v>231</v>
      </c>
      <c r="CI56" t="s">
        <v>231</v>
      </c>
      <c r="CJ56" t="s">
        <v>231</v>
      </c>
      <c r="CK56" t="s">
        <v>231</v>
      </c>
      <c r="CL56" t="s">
        <v>231</v>
      </c>
      <c r="CM56" t="s">
        <v>3888</v>
      </c>
      <c r="CN56" t="s">
        <v>3888</v>
      </c>
      <c r="CO56" t="s">
        <v>231</v>
      </c>
      <c r="CP56" t="s">
        <v>231</v>
      </c>
      <c r="CQ56" t="s">
        <v>231</v>
      </c>
      <c r="CR56" t="s">
        <v>231</v>
      </c>
      <c r="CS56" t="s">
        <v>3710</v>
      </c>
      <c r="CT56" t="s">
        <v>3534</v>
      </c>
      <c r="CU56" t="s">
        <v>3535</v>
      </c>
      <c r="CV56" t="s">
        <v>3536</v>
      </c>
      <c r="CW56" t="s">
        <v>3589</v>
      </c>
      <c r="CX56" t="s">
        <v>223</v>
      </c>
      <c r="CY56" t="s">
        <v>3536</v>
      </c>
      <c r="CZ56" t="s">
        <v>3590</v>
      </c>
      <c r="DA56" t="s">
        <v>3591</v>
      </c>
      <c r="DB56" t="s">
        <v>3589</v>
      </c>
      <c r="DC56" t="s">
        <v>363</v>
      </c>
      <c r="DD56" t="s">
        <v>282</v>
      </c>
      <c r="DE56" t="s">
        <v>3889</v>
      </c>
    </row>
    <row r="57" spans="1:109" ht="11.25" customHeight="1">
      <c r="A57" s="1314" t="s">
        <v>231</v>
      </c>
      <c r="B57" t="s">
        <v>231</v>
      </c>
      <c r="C57" t="s">
        <v>231</v>
      </c>
      <c r="D57" t="s">
        <v>231</v>
      </c>
      <c r="E57" t="s">
        <v>231</v>
      </c>
      <c r="F57" t="s">
        <v>231</v>
      </c>
      <c r="G57" t="s">
        <v>231</v>
      </c>
      <c r="H57" t="s">
        <v>231</v>
      </c>
      <c r="I57" t="s">
        <v>3521</v>
      </c>
      <c r="J57" t="s">
        <v>231</v>
      </c>
      <c r="K57" t="s">
        <v>231</v>
      </c>
      <c r="L57" t="s">
        <v>231</v>
      </c>
      <c r="M57" t="s">
        <v>231</v>
      </c>
      <c r="N57" t="s">
        <v>231</v>
      </c>
      <c r="O57" t="s">
        <v>231</v>
      </c>
      <c r="P57" t="s">
        <v>231</v>
      </c>
      <c r="Q57" t="s">
        <v>231</v>
      </c>
      <c r="R57" t="s">
        <v>3615</v>
      </c>
      <c r="S57" t="s">
        <v>231</v>
      </c>
      <c r="T57" t="s">
        <v>231</v>
      </c>
      <c r="U57" t="s">
        <v>101</v>
      </c>
      <c r="V57" t="s">
        <v>231</v>
      </c>
      <c r="W57" t="s">
        <v>231</v>
      </c>
      <c r="X57" t="s">
        <v>3523</v>
      </c>
      <c r="Y57" t="s">
        <v>231</v>
      </c>
      <c r="Z57" t="s">
        <v>160</v>
      </c>
      <c r="AA57" t="s">
        <v>151</v>
      </c>
      <c r="AB57" t="s">
        <v>151</v>
      </c>
      <c r="AC57" t="s">
        <v>2289</v>
      </c>
      <c r="AD57" t="s">
        <v>2289</v>
      </c>
      <c r="AE57" t="s">
        <v>2290</v>
      </c>
      <c r="AF57" t="s">
        <v>3890</v>
      </c>
      <c r="AG57" t="s">
        <v>3891</v>
      </c>
      <c r="AH57" t="s">
        <v>3892</v>
      </c>
      <c r="AI57" t="s">
        <v>3893</v>
      </c>
      <c r="AJ57" t="s">
        <v>3546</v>
      </c>
      <c r="AK57" t="s">
        <v>3586</v>
      </c>
      <c r="AL57" t="s">
        <v>3548</v>
      </c>
      <c r="AM57" t="s">
        <v>3531</v>
      </c>
      <c r="AN57" t="s">
        <v>3587</v>
      </c>
      <c r="AO57" t="s">
        <v>3550</v>
      </c>
      <c r="AP57" t="s">
        <v>231</v>
      </c>
      <c r="AQ57" t="s">
        <v>231</v>
      </c>
      <c r="AR57" t="s">
        <v>231</v>
      </c>
      <c r="AS57" t="s">
        <v>231</v>
      </c>
      <c r="AT57" t="s">
        <v>231</v>
      </c>
      <c r="AU57" t="s">
        <v>231</v>
      </c>
      <c r="AV57" t="s">
        <v>231</v>
      </c>
      <c r="AW57" t="s">
        <v>231</v>
      </c>
      <c r="AX57" t="s">
        <v>231</v>
      </c>
      <c r="AY57" t="s">
        <v>231</v>
      </c>
      <c r="AZ57" t="s">
        <v>231</v>
      </c>
      <c r="BA57" t="s">
        <v>231</v>
      </c>
      <c r="BB57" t="s">
        <v>231</v>
      </c>
      <c r="BC57" t="s">
        <v>231</v>
      </c>
      <c r="BD57" t="s">
        <v>231</v>
      </c>
      <c r="BE57" t="s">
        <v>231</v>
      </c>
      <c r="BF57" t="s">
        <v>231</v>
      </c>
      <c r="BG57" t="s">
        <v>231</v>
      </c>
      <c r="BH57" t="s">
        <v>231</v>
      </c>
      <c r="BI57" t="s">
        <v>231</v>
      </c>
      <c r="BJ57" t="s">
        <v>231</v>
      </c>
      <c r="BK57" t="s">
        <v>231</v>
      </c>
      <c r="BL57" t="s">
        <v>231</v>
      </c>
      <c r="BM57" t="s">
        <v>231</v>
      </c>
      <c r="BN57" t="s">
        <v>231</v>
      </c>
      <c r="BO57" t="s">
        <v>231</v>
      </c>
      <c r="BP57" t="s">
        <v>231</v>
      </c>
      <c r="BQ57" t="s">
        <v>231</v>
      </c>
      <c r="BR57" t="s">
        <v>231</v>
      </c>
      <c r="BS57" t="s">
        <v>231</v>
      </c>
      <c r="BT57" t="s">
        <v>231</v>
      </c>
      <c r="BU57" t="s">
        <v>231</v>
      </c>
      <c r="BV57" t="s">
        <v>231</v>
      </c>
      <c r="BW57" t="s">
        <v>231</v>
      </c>
      <c r="BX57" t="s">
        <v>231</v>
      </c>
      <c r="BY57" t="s">
        <v>231</v>
      </c>
      <c r="BZ57" t="s">
        <v>231</v>
      </c>
      <c r="CA57" t="s">
        <v>231</v>
      </c>
      <c r="CB57" t="s">
        <v>231</v>
      </c>
      <c r="CC57" t="s">
        <v>231</v>
      </c>
      <c r="CD57" t="s">
        <v>231</v>
      </c>
      <c r="CE57" t="s">
        <v>231</v>
      </c>
      <c r="CF57" t="s">
        <v>231</v>
      </c>
      <c r="CG57" t="s">
        <v>231</v>
      </c>
      <c r="CH57" t="s">
        <v>231</v>
      </c>
      <c r="CI57" t="s">
        <v>231</v>
      </c>
      <c r="CJ57" t="s">
        <v>231</v>
      </c>
      <c r="CK57" t="s">
        <v>231</v>
      </c>
      <c r="CL57" t="s">
        <v>231</v>
      </c>
      <c r="CM57" t="s">
        <v>231</v>
      </c>
      <c r="CN57" t="s">
        <v>231</v>
      </c>
      <c r="CO57" t="s">
        <v>231</v>
      </c>
      <c r="CP57" t="s">
        <v>231</v>
      </c>
      <c r="CQ57" t="s">
        <v>231</v>
      </c>
      <c r="CR57" t="s">
        <v>231</v>
      </c>
      <c r="CS57" t="s">
        <v>231</v>
      </c>
      <c r="CT57" t="s">
        <v>3534</v>
      </c>
      <c r="CU57" t="s">
        <v>3535</v>
      </c>
      <c r="CV57" t="s">
        <v>3536</v>
      </c>
      <c r="CW57" t="s">
        <v>3589</v>
      </c>
      <c r="CX57" t="s">
        <v>223</v>
      </c>
      <c r="CY57" t="s">
        <v>3536</v>
      </c>
      <c r="CZ57" t="s">
        <v>3590</v>
      </c>
      <c r="DA57" t="s">
        <v>3591</v>
      </c>
      <c r="DB57" t="s">
        <v>3589</v>
      </c>
      <c r="DC57" t="s">
        <v>363</v>
      </c>
      <c r="DD57" t="s">
        <v>282</v>
      </c>
      <c r="DE57" t="s">
        <v>3894</v>
      </c>
    </row>
    <row r="58" spans="1:109" ht="11.25" customHeight="1">
      <c r="A58" s="1314" t="s">
        <v>231</v>
      </c>
      <c r="B58" t="s">
        <v>231</v>
      </c>
      <c r="C58" t="s">
        <v>231</v>
      </c>
      <c r="D58" t="s">
        <v>231</v>
      </c>
      <c r="E58" t="s">
        <v>231</v>
      </c>
      <c r="F58" t="s">
        <v>231</v>
      </c>
      <c r="G58" t="s">
        <v>231</v>
      </c>
      <c r="H58" t="s">
        <v>231</v>
      </c>
      <c r="I58" t="s">
        <v>3521</v>
      </c>
      <c r="J58" t="s">
        <v>231</v>
      </c>
      <c r="K58" t="s">
        <v>231</v>
      </c>
      <c r="L58" t="s">
        <v>231</v>
      </c>
      <c r="M58" t="s">
        <v>231</v>
      </c>
      <c r="N58" t="s">
        <v>231</v>
      </c>
      <c r="O58" t="s">
        <v>231</v>
      </c>
      <c r="P58" t="s">
        <v>231</v>
      </c>
      <c r="Q58" t="s">
        <v>231</v>
      </c>
      <c r="R58" t="s">
        <v>3895</v>
      </c>
      <c r="S58" t="s">
        <v>231</v>
      </c>
      <c r="T58" t="s">
        <v>231</v>
      </c>
      <c r="U58" t="s">
        <v>101</v>
      </c>
      <c r="V58" t="s">
        <v>231</v>
      </c>
      <c r="W58" t="s">
        <v>231</v>
      </c>
      <c r="X58" t="s">
        <v>3628</v>
      </c>
      <c r="Y58" t="s">
        <v>231</v>
      </c>
      <c r="Z58" t="s">
        <v>151</v>
      </c>
      <c r="AA58" t="s">
        <v>151</v>
      </c>
      <c r="AB58" t="s">
        <v>160</v>
      </c>
      <c r="AC58" t="s">
        <v>2287</v>
      </c>
      <c r="AD58" t="s">
        <v>2287</v>
      </c>
      <c r="AE58" t="s">
        <v>2288</v>
      </c>
      <c r="AF58" t="s">
        <v>3616</v>
      </c>
      <c r="AG58" t="s">
        <v>3617</v>
      </c>
      <c r="AH58" t="s">
        <v>3618</v>
      </c>
      <c r="AI58" t="s">
        <v>3618</v>
      </c>
      <c r="AJ58" t="s">
        <v>231</v>
      </c>
      <c r="AK58" t="s">
        <v>231</v>
      </c>
      <c r="AL58" t="s">
        <v>231</v>
      </c>
      <c r="AM58" t="s">
        <v>231</v>
      </c>
      <c r="AN58" t="s">
        <v>231</v>
      </c>
      <c r="AO58" t="s">
        <v>231</v>
      </c>
      <c r="AP58" t="s">
        <v>231</v>
      </c>
      <c r="AQ58" t="s">
        <v>231</v>
      </c>
      <c r="AR58" t="s">
        <v>231</v>
      </c>
      <c r="AS58" t="s">
        <v>231</v>
      </c>
      <c r="AT58" t="s">
        <v>231</v>
      </c>
      <c r="AU58" t="s">
        <v>231</v>
      </c>
      <c r="AV58" t="s">
        <v>231</v>
      </c>
      <c r="AW58" t="s">
        <v>231</v>
      </c>
      <c r="AX58" t="s">
        <v>231</v>
      </c>
      <c r="AY58" t="s">
        <v>231</v>
      </c>
      <c r="AZ58" t="s">
        <v>231</v>
      </c>
      <c r="BA58" t="s">
        <v>231</v>
      </c>
      <c r="BB58" t="s">
        <v>231</v>
      </c>
      <c r="BC58" t="s">
        <v>231</v>
      </c>
      <c r="BD58" t="s">
        <v>231</v>
      </c>
      <c r="BE58" t="s">
        <v>3619</v>
      </c>
      <c r="BF58" t="s">
        <v>3620</v>
      </c>
      <c r="BG58" t="s">
        <v>111</v>
      </c>
      <c r="BH58" t="s">
        <v>3632</v>
      </c>
      <c r="BI58" t="s">
        <v>122</v>
      </c>
      <c r="BJ58" t="s">
        <v>231</v>
      </c>
      <c r="BK58" t="s">
        <v>3651</v>
      </c>
      <c r="BL58" t="s">
        <v>2287</v>
      </c>
      <c r="BM58" t="s">
        <v>2287</v>
      </c>
      <c r="BN58" t="s">
        <v>3842</v>
      </c>
      <c r="BO58" t="s">
        <v>3616</v>
      </c>
      <c r="BP58" t="s">
        <v>3896</v>
      </c>
      <c r="BQ58" t="s">
        <v>3618</v>
      </c>
      <c r="BR58" t="s">
        <v>3618</v>
      </c>
      <c r="BS58" t="s">
        <v>231</v>
      </c>
      <c r="BT58" t="s">
        <v>3694</v>
      </c>
      <c r="BU58" t="s">
        <v>3897</v>
      </c>
      <c r="BV58" t="s">
        <v>3897</v>
      </c>
      <c r="BW58" t="s">
        <v>3641</v>
      </c>
      <c r="BX58" t="s">
        <v>3641</v>
      </c>
      <c r="BY58" t="s">
        <v>3641</v>
      </c>
      <c r="BZ58" t="s">
        <v>3641</v>
      </c>
      <c r="CA58" t="s">
        <v>3641</v>
      </c>
      <c r="CB58" t="s">
        <v>231</v>
      </c>
      <c r="CC58" t="s">
        <v>231</v>
      </c>
      <c r="CD58" t="s">
        <v>231</v>
      </c>
      <c r="CE58" t="s">
        <v>231</v>
      </c>
      <c r="CF58" t="s">
        <v>231</v>
      </c>
      <c r="CG58" t="s">
        <v>3641</v>
      </c>
      <c r="CH58" t="s">
        <v>231</v>
      </c>
      <c r="CI58" t="s">
        <v>231</v>
      </c>
      <c r="CJ58" t="s">
        <v>231</v>
      </c>
      <c r="CK58" t="s">
        <v>231</v>
      </c>
      <c r="CL58" t="s">
        <v>231</v>
      </c>
      <c r="CM58" t="s">
        <v>3897</v>
      </c>
      <c r="CN58" t="s">
        <v>3897</v>
      </c>
      <c r="CO58" t="s">
        <v>231</v>
      </c>
      <c r="CP58" t="s">
        <v>231</v>
      </c>
      <c r="CQ58" t="s">
        <v>231</v>
      </c>
      <c r="CR58" t="s">
        <v>231</v>
      </c>
      <c r="CS58" t="s">
        <v>3595</v>
      </c>
      <c r="CT58" t="s">
        <v>3534</v>
      </c>
      <c r="CU58" t="s">
        <v>3535</v>
      </c>
      <c r="CV58" t="s">
        <v>3536</v>
      </c>
      <c r="CW58" t="s">
        <v>3623</v>
      </c>
      <c r="CX58" t="s">
        <v>223</v>
      </c>
      <c r="CY58" t="s">
        <v>3536</v>
      </c>
      <c r="CZ58" t="s">
        <v>3624</v>
      </c>
      <c r="DA58" t="s">
        <v>3625</v>
      </c>
      <c r="DB58" t="s">
        <v>3623</v>
      </c>
      <c r="DC58" t="s">
        <v>363</v>
      </c>
      <c r="DD58" t="s">
        <v>282</v>
      </c>
      <c r="DE58" t="s">
        <v>3626</v>
      </c>
    </row>
    <row r="59" spans="1:109" ht="11.25" customHeight="1">
      <c r="A59" s="1314" t="s">
        <v>231</v>
      </c>
      <c r="B59" t="s">
        <v>231</v>
      </c>
      <c r="C59" t="s">
        <v>231</v>
      </c>
      <c r="D59" t="s">
        <v>231</v>
      </c>
      <c r="E59" t="s">
        <v>231</v>
      </c>
      <c r="F59" t="s">
        <v>231</v>
      </c>
      <c r="G59" t="s">
        <v>231</v>
      </c>
      <c r="H59" t="s">
        <v>231</v>
      </c>
      <c r="I59" t="s">
        <v>3521</v>
      </c>
      <c r="J59" t="s">
        <v>231</v>
      </c>
      <c r="K59" t="s">
        <v>231</v>
      </c>
      <c r="L59" t="s">
        <v>231</v>
      </c>
      <c r="M59" t="s">
        <v>231</v>
      </c>
      <c r="N59" t="s">
        <v>231</v>
      </c>
      <c r="O59" t="s">
        <v>231</v>
      </c>
      <c r="P59" t="s">
        <v>231</v>
      </c>
      <c r="Q59" t="s">
        <v>231</v>
      </c>
      <c r="R59" t="s">
        <v>3615</v>
      </c>
      <c r="S59" t="s">
        <v>231</v>
      </c>
      <c r="T59" t="s">
        <v>231</v>
      </c>
      <c r="U59" t="s">
        <v>101</v>
      </c>
      <c r="V59" t="s">
        <v>231</v>
      </c>
      <c r="W59" t="s">
        <v>231</v>
      </c>
      <c r="X59" t="s">
        <v>3523</v>
      </c>
      <c r="Y59" t="s">
        <v>231</v>
      </c>
      <c r="Z59" t="s">
        <v>160</v>
      </c>
      <c r="AA59" t="s">
        <v>151</v>
      </c>
      <c r="AB59" t="s">
        <v>151</v>
      </c>
      <c r="AC59" t="s">
        <v>2287</v>
      </c>
      <c r="AD59" t="s">
        <v>2287</v>
      </c>
      <c r="AE59" t="s">
        <v>2288</v>
      </c>
      <c r="AF59" t="s">
        <v>3898</v>
      </c>
      <c r="AG59" t="s">
        <v>3899</v>
      </c>
      <c r="AH59" t="s">
        <v>3900</v>
      </c>
      <c r="AI59" t="s">
        <v>482</v>
      </c>
      <c r="AJ59" t="s">
        <v>3619</v>
      </c>
      <c r="AK59" t="s">
        <v>3858</v>
      </c>
      <c r="AL59" t="s">
        <v>3548</v>
      </c>
      <c r="AM59" t="s">
        <v>3531</v>
      </c>
      <c r="AN59" t="s">
        <v>3621</v>
      </c>
      <c r="AO59" t="s">
        <v>3901</v>
      </c>
      <c r="AP59" t="s">
        <v>231</v>
      </c>
      <c r="AQ59" t="s">
        <v>231</v>
      </c>
      <c r="AR59" t="s">
        <v>231</v>
      </c>
      <c r="AS59" t="s">
        <v>231</v>
      </c>
      <c r="AT59" t="s">
        <v>231</v>
      </c>
      <c r="AU59" t="s">
        <v>231</v>
      </c>
      <c r="AV59" t="s">
        <v>231</v>
      </c>
      <c r="AW59" t="s">
        <v>231</v>
      </c>
      <c r="AX59" t="s">
        <v>231</v>
      </c>
      <c r="AY59" t="s">
        <v>231</v>
      </c>
      <c r="AZ59" t="s">
        <v>231</v>
      </c>
      <c r="BA59" t="s">
        <v>231</v>
      </c>
      <c r="BB59" t="s">
        <v>231</v>
      </c>
      <c r="BC59" t="s">
        <v>231</v>
      </c>
      <c r="BD59" t="s">
        <v>231</v>
      </c>
      <c r="BE59" t="s">
        <v>231</v>
      </c>
      <c r="BF59" t="s">
        <v>231</v>
      </c>
      <c r="BG59" t="s">
        <v>231</v>
      </c>
      <c r="BH59" t="s">
        <v>231</v>
      </c>
      <c r="BI59" t="s">
        <v>231</v>
      </c>
      <c r="BJ59" t="s">
        <v>231</v>
      </c>
      <c r="BK59" t="s">
        <v>231</v>
      </c>
      <c r="BL59" t="s">
        <v>231</v>
      </c>
      <c r="BM59" t="s">
        <v>231</v>
      </c>
      <c r="BN59" t="s">
        <v>231</v>
      </c>
      <c r="BO59" t="s">
        <v>231</v>
      </c>
      <c r="BP59" t="s">
        <v>231</v>
      </c>
      <c r="BQ59" t="s">
        <v>231</v>
      </c>
      <c r="BR59" t="s">
        <v>231</v>
      </c>
      <c r="BS59" t="s">
        <v>231</v>
      </c>
      <c r="BT59" t="s">
        <v>231</v>
      </c>
      <c r="BU59" t="s">
        <v>231</v>
      </c>
      <c r="BV59" t="s">
        <v>231</v>
      </c>
      <c r="BW59" t="s">
        <v>231</v>
      </c>
      <c r="BX59" t="s">
        <v>231</v>
      </c>
      <c r="BY59" t="s">
        <v>231</v>
      </c>
      <c r="BZ59" t="s">
        <v>231</v>
      </c>
      <c r="CA59" t="s">
        <v>231</v>
      </c>
      <c r="CB59" t="s">
        <v>231</v>
      </c>
      <c r="CC59" t="s">
        <v>231</v>
      </c>
      <c r="CD59" t="s">
        <v>231</v>
      </c>
      <c r="CE59" t="s">
        <v>231</v>
      </c>
      <c r="CF59" t="s">
        <v>231</v>
      </c>
      <c r="CG59" t="s">
        <v>231</v>
      </c>
      <c r="CH59" t="s">
        <v>231</v>
      </c>
      <c r="CI59" t="s">
        <v>231</v>
      </c>
      <c r="CJ59" t="s">
        <v>231</v>
      </c>
      <c r="CK59" t="s">
        <v>231</v>
      </c>
      <c r="CL59" t="s">
        <v>231</v>
      </c>
      <c r="CM59" t="s">
        <v>231</v>
      </c>
      <c r="CN59" t="s">
        <v>231</v>
      </c>
      <c r="CO59" t="s">
        <v>231</v>
      </c>
      <c r="CP59" t="s">
        <v>231</v>
      </c>
      <c r="CQ59" t="s">
        <v>231</v>
      </c>
      <c r="CR59" t="s">
        <v>231</v>
      </c>
      <c r="CS59" t="s">
        <v>231</v>
      </c>
      <c r="CT59" t="s">
        <v>3534</v>
      </c>
      <c r="CU59" t="s">
        <v>3535</v>
      </c>
      <c r="CV59" t="s">
        <v>3536</v>
      </c>
      <c r="CW59" t="s">
        <v>3623</v>
      </c>
      <c r="CX59" t="s">
        <v>223</v>
      </c>
      <c r="CY59" t="s">
        <v>3536</v>
      </c>
      <c r="CZ59" t="s">
        <v>3624</v>
      </c>
      <c r="DA59" t="s">
        <v>3625</v>
      </c>
      <c r="DB59" t="s">
        <v>3623</v>
      </c>
      <c r="DC59" t="s">
        <v>363</v>
      </c>
      <c r="DD59" t="s">
        <v>282</v>
      </c>
      <c r="DE59" t="s">
        <v>3902</v>
      </c>
    </row>
    <row r="60" spans="1:109" ht="11.25" customHeight="1">
      <c r="A60" s="1314" t="s">
        <v>231</v>
      </c>
      <c r="B60" t="s">
        <v>231</v>
      </c>
      <c r="C60" t="s">
        <v>231</v>
      </c>
      <c r="D60" t="s">
        <v>231</v>
      </c>
      <c r="E60" t="s">
        <v>231</v>
      </c>
      <c r="F60" t="s">
        <v>231</v>
      </c>
      <c r="G60" t="s">
        <v>231</v>
      </c>
      <c r="H60" t="s">
        <v>231</v>
      </c>
      <c r="I60" t="s">
        <v>3521</v>
      </c>
      <c r="J60" t="s">
        <v>231</v>
      </c>
      <c r="K60" t="s">
        <v>231</v>
      </c>
      <c r="L60" t="s">
        <v>231</v>
      </c>
      <c r="M60" t="s">
        <v>231</v>
      </c>
      <c r="N60" t="s">
        <v>231</v>
      </c>
      <c r="O60" t="s">
        <v>231</v>
      </c>
      <c r="P60" t="s">
        <v>231</v>
      </c>
      <c r="Q60" t="s">
        <v>231</v>
      </c>
      <c r="R60" t="s">
        <v>3903</v>
      </c>
      <c r="S60" t="s">
        <v>231</v>
      </c>
      <c r="T60" t="s">
        <v>231</v>
      </c>
      <c r="U60" t="s">
        <v>101</v>
      </c>
      <c r="V60" t="s">
        <v>231</v>
      </c>
      <c r="W60" t="s">
        <v>231</v>
      </c>
      <c r="X60" t="s">
        <v>3523</v>
      </c>
      <c r="Y60" t="s">
        <v>231</v>
      </c>
      <c r="Z60" t="s">
        <v>160</v>
      </c>
      <c r="AA60" t="s">
        <v>151</v>
      </c>
      <c r="AB60" t="s">
        <v>151</v>
      </c>
      <c r="AC60" t="s">
        <v>343</v>
      </c>
      <c r="AD60" t="s">
        <v>343</v>
      </c>
      <c r="AE60" t="s">
        <v>344</v>
      </c>
      <c r="AF60" t="s">
        <v>3561</v>
      </c>
      <c r="AG60" t="s">
        <v>3562</v>
      </c>
      <c r="AH60" t="s">
        <v>3904</v>
      </c>
      <c r="AI60" t="s">
        <v>3905</v>
      </c>
      <c r="AJ60" t="s">
        <v>3906</v>
      </c>
      <c r="AK60" t="s">
        <v>3907</v>
      </c>
      <c r="AL60" t="s">
        <v>3648</v>
      </c>
      <c r="AM60" t="s">
        <v>3531</v>
      </c>
      <c r="AN60" t="s">
        <v>3621</v>
      </c>
      <c r="AO60" t="s">
        <v>3908</v>
      </c>
      <c r="AP60" t="s">
        <v>231</v>
      </c>
      <c r="AQ60" t="s">
        <v>231</v>
      </c>
      <c r="AR60" t="s">
        <v>231</v>
      </c>
      <c r="AS60" t="s">
        <v>231</v>
      </c>
      <c r="AT60" t="s">
        <v>231</v>
      </c>
      <c r="AU60" t="s">
        <v>231</v>
      </c>
      <c r="AV60" t="s">
        <v>231</v>
      </c>
      <c r="AW60" t="s">
        <v>231</v>
      </c>
      <c r="AX60" t="s">
        <v>231</v>
      </c>
      <c r="AY60" t="s">
        <v>231</v>
      </c>
      <c r="AZ60" t="s">
        <v>231</v>
      </c>
      <c r="BA60" t="s">
        <v>231</v>
      </c>
      <c r="BB60" t="s">
        <v>231</v>
      </c>
      <c r="BC60" t="s">
        <v>231</v>
      </c>
      <c r="BD60" t="s">
        <v>231</v>
      </c>
      <c r="BE60" t="s">
        <v>231</v>
      </c>
      <c r="BF60" t="s">
        <v>231</v>
      </c>
      <c r="BG60" t="s">
        <v>231</v>
      </c>
      <c r="BH60" t="s">
        <v>231</v>
      </c>
      <c r="BI60" t="s">
        <v>231</v>
      </c>
      <c r="BJ60" t="s">
        <v>231</v>
      </c>
      <c r="BK60" t="s">
        <v>231</v>
      </c>
      <c r="BL60" t="s">
        <v>231</v>
      </c>
      <c r="BM60" t="s">
        <v>231</v>
      </c>
      <c r="BN60" t="s">
        <v>231</v>
      </c>
      <c r="BO60" t="s">
        <v>231</v>
      </c>
      <c r="BP60" t="s">
        <v>231</v>
      </c>
      <c r="BQ60" t="s">
        <v>231</v>
      </c>
      <c r="BR60" t="s">
        <v>231</v>
      </c>
      <c r="BS60" t="s">
        <v>231</v>
      </c>
      <c r="BT60" t="s">
        <v>231</v>
      </c>
      <c r="BU60" t="s">
        <v>231</v>
      </c>
      <c r="BV60" t="s">
        <v>231</v>
      </c>
      <c r="BW60" t="s">
        <v>231</v>
      </c>
      <c r="BX60" t="s">
        <v>231</v>
      </c>
      <c r="BY60" t="s">
        <v>231</v>
      </c>
      <c r="BZ60" t="s">
        <v>231</v>
      </c>
      <c r="CA60" t="s">
        <v>231</v>
      </c>
      <c r="CB60" t="s">
        <v>231</v>
      </c>
      <c r="CC60" t="s">
        <v>231</v>
      </c>
      <c r="CD60" t="s">
        <v>231</v>
      </c>
      <c r="CE60" t="s">
        <v>231</v>
      </c>
      <c r="CF60" t="s">
        <v>231</v>
      </c>
      <c r="CG60" t="s">
        <v>231</v>
      </c>
      <c r="CH60" t="s">
        <v>231</v>
      </c>
      <c r="CI60" t="s">
        <v>231</v>
      </c>
      <c r="CJ60" t="s">
        <v>231</v>
      </c>
      <c r="CK60" t="s">
        <v>231</v>
      </c>
      <c r="CL60" t="s">
        <v>231</v>
      </c>
      <c r="CM60" t="s">
        <v>231</v>
      </c>
      <c r="CN60" t="s">
        <v>231</v>
      </c>
      <c r="CO60" t="s">
        <v>231</v>
      </c>
      <c r="CP60" t="s">
        <v>231</v>
      </c>
      <c r="CQ60" t="s">
        <v>231</v>
      </c>
      <c r="CR60" t="s">
        <v>231</v>
      </c>
      <c r="CS60" t="s">
        <v>231</v>
      </c>
      <c r="CT60" t="s">
        <v>3534</v>
      </c>
      <c r="CU60" t="s">
        <v>3535</v>
      </c>
      <c r="CV60" t="s">
        <v>3536</v>
      </c>
      <c r="CW60" t="s">
        <v>3569</v>
      </c>
      <c r="CX60" t="s">
        <v>3570</v>
      </c>
      <c r="CY60" t="s">
        <v>3536</v>
      </c>
      <c r="CZ60" t="s">
        <v>224</v>
      </c>
      <c r="DA60" t="s">
        <v>3571</v>
      </c>
      <c r="DB60" t="s">
        <v>3569</v>
      </c>
      <c r="DC60" t="s">
        <v>363</v>
      </c>
      <c r="DD60" t="s">
        <v>282</v>
      </c>
      <c r="DE60" t="s">
        <v>3909</v>
      </c>
    </row>
    <row r="61" spans="1:109" ht="11.25" customHeight="1">
      <c r="A61" s="1314" t="s">
        <v>231</v>
      </c>
      <c r="B61" t="s">
        <v>231</v>
      </c>
      <c r="C61" t="s">
        <v>231</v>
      </c>
      <c r="D61" t="s">
        <v>231</v>
      </c>
      <c r="E61" t="s">
        <v>231</v>
      </c>
      <c r="F61" t="s">
        <v>231</v>
      </c>
      <c r="G61" t="s">
        <v>231</v>
      </c>
      <c r="H61" t="s">
        <v>231</v>
      </c>
      <c r="I61" t="s">
        <v>3521</v>
      </c>
      <c r="J61" t="s">
        <v>231</v>
      </c>
      <c r="K61" t="s">
        <v>231</v>
      </c>
      <c r="L61" t="s">
        <v>231</v>
      </c>
      <c r="M61" t="s">
        <v>231</v>
      </c>
      <c r="N61" t="s">
        <v>231</v>
      </c>
      <c r="O61" t="s">
        <v>231</v>
      </c>
      <c r="P61" t="s">
        <v>231</v>
      </c>
      <c r="Q61" t="s">
        <v>231</v>
      </c>
      <c r="R61" t="s">
        <v>3615</v>
      </c>
      <c r="S61" t="s">
        <v>231</v>
      </c>
      <c r="T61" t="s">
        <v>231</v>
      </c>
      <c r="U61" t="s">
        <v>101</v>
      </c>
      <c r="V61" t="s">
        <v>231</v>
      </c>
      <c r="W61" t="s">
        <v>231</v>
      </c>
      <c r="X61" t="s">
        <v>3523</v>
      </c>
      <c r="Y61" t="s">
        <v>231</v>
      </c>
      <c r="Z61" t="s">
        <v>160</v>
      </c>
      <c r="AA61" t="s">
        <v>151</v>
      </c>
      <c r="AB61" t="s">
        <v>151</v>
      </c>
      <c r="AC61" t="s">
        <v>2289</v>
      </c>
      <c r="AD61" t="s">
        <v>2289</v>
      </c>
      <c r="AE61" t="s">
        <v>2290</v>
      </c>
      <c r="AF61" t="s">
        <v>3910</v>
      </c>
      <c r="AG61" t="s">
        <v>3911</v>
      </c>
      <c r="AH61" t="s">
        <v>3912</v>
      </c>
      <c r="AI61" t="s">
        <v>1666</v>
      </c>
      <c r="AJ61" t="s">
        <v>3619</v>
      </c>
      <c r="AK61" t="s">
        <v>3586</v>
      </c>
      <c r="AL61" t="s">
        <v>3548</v>
      </c>
      <c r="AM61" t="s">
        <v>3531</v>
      </c>
      <c r="AN61" t="s">
        <v>3595</v>
      </c>
      <c r="AO61" t="s">
        <v>3913</v>
      </c>
      <c r="AP61" t="s">
        <v>231</v>
      </c>
      <c r="AQ61" t="s">
        <v>231</v>
      </c>
      <c r="AR61" t="s">
        <v>231</v>
      </c>
      <c r="AS61" t="s">
        <v>231</v>
      </c>
      <c r="AT61" t="s">
        <v>231</v>
      </c>
      <c r="AU61" t="s">
        <v>231</v>
      </c>
      <c r="AV61" t="s">
        <v>231</v>
      </c>
      <c r="AW61" t="s">
        <v>231</v>
      </c>
      <c r="AX61" t="s">
        <v>231</v>
      </c>
      <c r="AY61" t="s">
        <v>231</v>
      </c>
      <c r="AZ61" t="s">
        <v>231</v>
      </c>
      <c r="BA61" t="s">
        <v>231</v>
      </c>
      <c r="BB61" t="s">
        <v>231</v>
      </c>
      <c r="BC61" t="s">
        <v>231</v>
      </c>
      <c r="BD61" t="s">
        <v>231</v>
      </c>
      <c r="BE61" t="s">
        <v>231</v>
      </c>
      <c r="BF61" t="s">
        <v>231</v>
      </c>
      <c r="BG61" t="s">
        <v>231</v>
      </c>
      <c r="BH61" t="s">
        <v>231</v>
      </c>
      <c r="BI61" t="s">
        <v>231</v>
      </c>
      <c r="BJ61" t="s">
        <v>231</v>
      </c>
      <c r="BK61" t="s">
        <v>231</v>
      </c>
      <c r="BL61" t="s">
        <v>231</v>
      </c>
      <c r="BM61" t="s">
        <v>231</v>
      </c>
      <c r="BN61" t="s">
        <v>231</v>
      </c>
      <c r="BO61" t="s">
        <v>231</v>
      </c>
      <c r="BP61" t="s">
        <v>231</v>
      </c>
      <c r="BQ61" t="s">
        <v>231</v>
      </c>
      <c r="BR61" t="s">
        <v>231</v>
      </c>
      <c r="BS61" t="s">
        <v>231</v>
      </c>
      <c r="BT61" t="s">
        <v>231</v>
      </c>
      <c r="BU61" t="s">
        <v>231</v>
      </c>
      <c r="BV61" t="s">
        <v>231</v>
      </c>
      <c r="BW61" t="s">
        <v>231</v>
      </c>
      <c r="BX61" t="s">
        <v>231</v>
      </c>
      <c r="BY61" t="s">
        <v>231</v>
      </c>
      <c r="BZ61" t="s">
        <v>231</v>
      </c>
      <c r="CA61" t="s">
        <v>231</v>
      </c>
      <c r="CB61" t="s">
        <v>231</v>
      </c>
      <c r="CC61" t="s">
        <v>231</v>
      </c>
      <c r="CD61" t="s">
        <v>231</v>
      </c>
      <c r="CE61" t="s">
        <v>231</v>
      </c>
      <c r="CF61" t="s">
        <v>231</v>
      </c>
      <c r="CG61" t="s">
        <v>231</v>
      </c>
      <c r="CH61" t="s">
        <v>231</v>
      </c>
      <c r="CI61" t="s">
        <v>231</v>
      </c>
      <c r="CJ61" t="s">
        <v>231</v>
      </c>
      <c r="CK61" t="s">
        <v>231</v>
      </c>
      <c r="CL61" t="s">
        <v>231</v>
      </c>
      <c r="CM61" t="s">
        <v>231</v>
      </c>
      <c r="CN61" t="s">
        <v>231</v>
      </c>
      <c r="CO61" t="s">
        <v>231</v>
      </c>
      <c r="CP61" t="s">
        <v>231</v>
      </c>
      <c r="CQ61" t="s">
        <v>231</v>
      </c>
      <c r="CR61" t="s">
        <v>231</v>
      </c>
      <c r="CS61" t="s">
        <v>231</v>
      </c>
      <c r="CT61" t="s">
        <v>3534</v>
      </c>
      <c r="CU61" t="s">
        <v>3535</v>
      </c>
      <c r="CV61" t="s">
        <v>3536</v>
      </c>
      <c r="CW61" t="s">
        <v>3589</v>
      </c>
      <c r="CX61" t="s">
        <v>223</v>
      </c>
      <c r="CY61" t="s">
        <v>3536</v>
      </c>
      <c r="CZ61" t="s">
        <v>3590</v>
      </c>
      <c r="DA61" t="s">
        <v>3591</v>
      </c>
      <c r="DB61" t="s">
        <v>3589</v>
      </c>
      <c r="DC61" t="s">
        <v>363</v>
      </c>
      <c r="DD61" t="s">
        <v>282</v>
      </c>
      <c r="DE61" t="s">
        <v>3914</v>
      </c>
    </row>
    <row r="62" spans="1:109" ht="11.25" customHeight="1">
      <c r="A62" s="1314" t="s">
        <v>231</v>
      </c>
      <c r="B62" t="s">
        <v>231</v>
      </c>
      <c r="C62" t="s">
        <v>231</v>
      </c>
      <c r="D62" t="s">
        <v>231</v>
      </c>
      <c r="E62" t="s">
        <v>231</v>
      </c>
      <c r="F62" t="s">
        <v>231</v>
      </c>
      <c r="G62" t="s">
        <v>231</v>
      </c>
      <c r="H62" t="s">
        <v>231</v>
      </c>
      <c r="I62" t="s">
        <v>3521</v>
      </c>
      <c r="J62" t="s">
        <v>231</v>
      </c>
      <c r="K62" t="s">
        <v>231</v>
      </c>
      <c r="L62" t="s">
        <v>231</v>
      </c>
      <c r="M62" t="s">
        <v>231</v>
      </c>
      <c r="N62" t="s">
        <v>231</v>
      </c>
      <c r="O62" t="s">
        <v>231</v>
      </c>
      <c r="P62" t="s">
        <v>231</v>
      </c>
      <c r="Q62" t="s">
        <v>231</v>
      </c>
      <c r="R62" t="s">
        <v>3915</v>
      </c>
      <c r="S62" t="s">
        <v>231</v>
      </c>
      <c r="T62" t="s">
        <v>231</v>
      </c>
      <c r="U62" t="s">
        <v>101</v>
      </c>
      <c r="V62" t="s">
        <v>231</v>
      </c>
      <c r="W62" t="s">
        <v>231</v>
      </c>
      <c r="X62" t="s">
        <v>3523</v>
      </c>
      <c r="Y62" t="s">
        <v>231</v>
      </c>
      <c r="Z62" t="s">
        <v>160</v>
      </c>
      <c r="AA62" t="s">
        <v>151</v>
      </c>
      <c r="AB62" t="s">
        <v>151</v>
      </c>
      <c r="AC62" t="s">
        <v>343</v>
      </c>
      <c r="AD62" t="s">
        <v>343</v>
      </c>
      <c r="AE62" t="s">
        <v>344</v>
      </c>
      <c r="AF62" t="s">
        <v>3561</v>
      </c>
      <c r="AG62" t="s">
        <v>3562</v>
      </c>
      <c r="AH62" t="s">
        <v>3916</v>
      </c>
      <c r="AI62" t="s">
        <v>3917</v>
      </c>
      <c r="AJ62" t="s">
        <v>3918</v>
      </c>
      <c r="AK62" t="s">
        <v>3919</v>
      </c>
      <c r="AL62" t="s">
        <v>3566</v>
      </c>
      <c r="AM62" t="s">
        <v>3531</v>
      </c>
      <c r="AN62" t="s">
        <v>3920</v>
      </c>
      <c r="AO62" t="s">
        <v>3921</v>
      </c>
      <c r="AP62" t="s">
        <v>231</v>
      </c>
      <c r="AQ62" t="s">
        <v>231</v>
      </c>
      <c r="AR62" t="s">
        <v>231</v>
      </c>
      <c r="AS62" t="s">
        <v>231</v>
      </c>
      <c r="AT62" t="s">
        <v>231</v>
      </c>
      <c r="AU62" t="s">
        <v>231</v>
      </c>
      <c r="AV62" t="s">
        <v>231</v>
      </c>
      <c r="AW62" t="s">
        <v>231</v>
      </c>
      <c r="AX62" t="s">
        <v>231</v>
      </c>
      <c r="AY62" t="s">
        <v>231</v>
      </c>
      <c r="AZ62" t="s">
        <v>231</v>
      </c>
      <c r="BA62" t="s">
        <v>231</v>
      </c>
      <c r="BB62" t="s">
        <v>231</v>
      </c>
      <c r="BC62" t="s">
        <v>231</v>
      </c>
      <c r="BD62" t="s">
        <v>231</v>
      </c>
      <c r="BE62" t="s">
        <v>231</v>
      </c>
      <c r="BF62" t="s">
        <v>231</v>
      </c>
      <c r="BG62" t="s">
        <v>231</v>
      </c>
      <c r="BH62" t="s">
        <v>231</v>
      </c>
      <c r="BI62" t="s">
        <v>231</v>
      </c>
      <c r="BJ62" t="s">
        <v>231</v>
      </c>
      <c r="BK62" t="s">
        <v>231</v>
      </c>
      <c r="BL62" t="s">
        <v>231</v>
      </c>
      <c r="BM62" t="s">
        <v>231</v>
      </c>
      <c r="BN62" t="s">
        <v>231</v>
      </c>
      <c r="BO62" t="s">
        <v>231</v>
      </c>
      <c r="BP62" t="s">
        <v>231</v>
      </c>
      <c r="BQ62" t="s">
        <v>231</v>
      </c>
      <c r="BR62" t="s">
        <v>231</v>
      </c>
      <c r="BS62" t="s">
        <v>231</v>
      </c>
      <c r="BT62" t="s">
        <v>231</v>
      </c>
      <c r="BU62" t="s">
        <v>231</v>
      </c>
      <c r="BV62" t="s">
        <v>231</v>
      </c>
      <c r="BW62" t="s">
        <v>231</v>
      </c>
      <c r="BX62" t="s">
        <v>231</v>
      </c>
      <c r="BY62" t="s">
        <v>231</v>
      </c>
      <c r="BZ62" t="s">
        <v>231</v>
      </c>
      <c r="CA62" t="s">
        <v>231</v>
      </c>
      <c r="CB62" t="s">
        <v>231</v>
      </c>
      <c r="CC62" t="s">
        <v>231</v>
      </c>
      <c r="CD62" t="s">
        <v>231</v>
      </c>
      <c r="CE62" t="s">
        <v>231</v>
      </c>
      <c r="CF62" t="s">
        <v>231</v>
      </c>
      <c r="CG62" t="s">
        <v>231</v>
      </c>
      <c r="CH62" t="s">
        <v>231</v>
      </c>
      <c r="CI62" t="s">
        <v>231</v>
      </c>
      <c r="CJ62" t="s">
        <v>231</v>
      </c>
      <c r="CK62" t="s">
        <v>231</v>
      </c>
      <c r="CL62" t="s">
        <v>231</v>
      </c>
      <c r="CM62" t="s">
        <v>231</v>
      </c>
      <c r="CN62" t="s">
        <v>231</v>
      </c>
      <c r="CO62" t="s">
        <v>231</v>
      </c>
      <c r="CP62" t="s">
        <v>231</v>
      </c>
      <c r="CQ62" t="s">
        <v>231</v>
      </c>
      <c r="CR62" t="s">
        <v>231</v>
      </c>
      <c r="CS62" t="s">
        <v>231</v>
      </c>
      <c r="CT62" t="s">
        <v>3534</v>
      </c>
      <c r="CU62" t="s">
        <v>3535</v>
      </c>
      <c r="CV62" t="s">
        <v>3536</v>
      </c>
      <c r="CW62" t="s">
        <v>3569</v>
      </c>
      <c r="CX62" t="s">
        <v>3570</v>
      </c>
      <c r="CY62" t="s">
        <v>3536</v>
      </c>
      <c r="CZ62" t="s">
        <v>224</v>
      </c>
      <c r="DA62" t="s">
        <v>3571</v>
      </c>
      <c r="DB62" t="s">
        <v>3569</v>
      </c>
      <c r="DC62" t="s">
        <v>363</v>
      </c>
      <c r="DD62" t="s">
        <v>282</v>
      </c>
      <c r="DE62" t="s">
        <v>3922</v>
      </c>
    </row>
    <row r="63" spans="1:109" ht="11.25" customHeight="1">
      <c r="A63" s="1314" t="s">
        <v>231</v>
      </c>
      <c r="B63" t="s">
        <v>231</v>
      </c>
      <c r="C63" t="s">
        <v>231</v>
      </c>
      <c r="D63" t="s">
        <v>231</v>
      </c>
      <c r="E63" t="s">
        <v>231</v>
      </c>
      <c r="F63" t="s">
        <v>231</v>
      </c>
      <c r="G63" t="s">
        <v>231</v>
      </c>
      <c r="H63" t="s">
        <v>231</v>
      </c>
      <c r="I63" t="s">
        <v>3521</v>
      </c>
      <c r="J63" t="s">
        <v>231</v>
      </c>
      <c r="K63" t="s">
        <v>231</v>
      </c>
      <c r="L63" t="s">
        <v>231</v>
      </c>
      <c r="M63" t="s">
        <v>231</v>
      </c>
      <c r="N63" t="s">
        <v>231</v>
      </c>
      <c r="O63" t="s">
        <v>231</v>
      </c>
      <c r="P63" t="s">
        <v>231</v>
      </c>
      <c r="Q63" t="s">
        <v>231</v>
      </c>
      <c r="R63" t="s">
        <v>3615</v>
      </c>
      <c r="S63" t="s">
        <v>231</v>
      </c>
      <c r="T63" t="s">
        <v>231</v>
      </c>
      <c r="U63" t="s">
        <v>101</v>
      </c>
      <c r="V63" t="s">
        <v>231</v>
      </c>
      <c r="W63" t="s">
        <v>231</v>
      </c>
      <c r="X63" t="s">
        <v>3523</v>
      </c>
      <c r="Y63" t="s">
        <v>231</v>
      </c>
      <c r="Z63" t="s">
        <v>160</v>
      </c>
      <c r="AA63" t="s">
        <v>151</v>
      </c>
      <c r="AB63" t="s">
        <v>151</v>
      </c>
      <c r="AC63" t="s">
        <v>2289</v>
      </c>
      <c r="AD63" t="s">
        <v>2289</v>
      </c>
      <c r="AE63" t="s">
        <v>2290</v>
      </c>
      <c r="AF63" t="s">
        <v>3910</v>
      </c>
      <c r="AG63" t="s">
        <v>3911</v>
      </c>
      <c r="AH63" t="s">
        <v>3618</v>
      </c>
      <c r="AI63" t="s">
        <v>3618</v>
      </c>
      <c r="AJ63" t="s">
        <v>3619</v>
      </c>
      <c r="AK63" t="s">
        <v>3586</v>
      </c>
      <c r="AL63" t="s">
        <v>3548</v>
      </c>
      <c r="AM63" t="s">
        <v>3531</v>
      </c>
      <c r="AN63" t="s">
        <v>3595</v>
      </c>
      <c r="AO63" t="s">
        <v>3923</v>
      </c>
      <c r="AP63" t="s">
        <v>231</v>
      </c>
      <c r="AQ63" t="s">
        <v>231</v>
      </c>
      <c r="AR63" t="s">
        <v>231</v>
      </c>
      <c r="AS63" t="s">
        <v>231</v>
      </c>
      <c r="AT63" t="s">
        <v>231</v>
      </c>
      <c r="AU63" t="s">
        <v>231</v>
      </c>
      <c r="AV63" t="s">
        <v>231</v>
      </c>
      <c r="AW63" t="s">
        <v>231</v>
      </c>
      <c r="AX63" t="s">
        <v>231</v>
      </c>
      <c r="AY63" t="s">
        <v>231</v>
      </c>
      <c r="AZ63" t="s">
        <v>231</v>
      </c>
      <c r="BA63" t="s">
        <v>231</v>
      </c>
      <c r="BB63" t="s">
        <v>231</v>
      </c>
      <c r="BC63" t="s">
        <v>231</v>
      </c>
      <c r="BD63" t="s">
        <v>231</v>
      </c>
      <c r="BE63" t="s">
        <v>231</v>
      </c>
      <c r="BF63" t="s">
        <v>231</v>
      </c>
      <c r="BG63" t="s">
        <v>231</v>
      </c>
      <c r="BH63" t="s">
        <v>231</v>
      </c>
      <c r="BI63" t="s">
        <v>231</v>
      </c>
      <c r="BJ63" t="s">
        <v>231</v>
      </c>
      <c r="BK63" t="s">
        <v>231</v>
      </c>
      <c r="BL63" t="s">
        <v>231</v>
      </c>
      <c r="BM63" t="s">
        <v>231</v>
      </c>
      <c r="BN63" t="s">
        <v>231</v>
      </c>
      <c r="BO63" t="s">
        <v>231</v>
      </c>
      <c r="BP63" t="s">
        <v>231</v>
      </c>
      <c r="BQ63" t="s">
        <v>231</v>
      </c>
      <c r="BR63" t="s">
        <v>231</v>
      </c>
      <c r="BS63" t="s">
        <v>231</v>
      </c>
      <c r="BT63" t="s">
        <v>231</v>
      </c>
      <c r="BU63" t="s">
        <v>231</v>
      </c>
      <c r="BV63" t="s">
        <v>231</v>
      </c>
      <c r="BW63" t="s">
        <v>231</v>
      </c>
      <c r="BX63" t="s">
        <v>231</v>
      </c>
      <c r="BY63" t="s">
        <v>231</v>
      </c>
      <c r="BZ63" t="s">
        <v>231</v>
      </c>
      <c r="CA63" t="s">
        <v>231</v>
      </c>
      <c r="CB63" t="s">
        <v>231</v>
      </c>
      <c r="CC63" t="s">
        <v>231</v>
      </c>
      <c r="CD63" t="s">
        <v>231</v>
      </c>
      <c r="CE63" t="s">
        <v>231</v>
      </c>
      <c r="CF63" t="s">
        <v>231</v>
      </c>
      <c r="CG63" t="s">
        <v>231</v>
      </c>
      <c r="CH63" t="s">
        <v>231</v>
      </c>
      <c r="CI63" t="s">
        <v>231</v>
      </c>
      <c r="CJ63" t="s">
        <v>231</v>
      </c>
      <c r="CK63" t="s">
        <v>231</v>
      </c>
      <c r="CL63" t="s">
        <v>231</v>
      </c>
      <c r="CM63" t="s">
        <v>231</v>
      </c>
      <c r="CN63" t="s">
        <v>231</v>
      </c>
      <c r="CO63" t="s">
        <v>231</v>
      </c>
      <c r="CP63" t="s">
        <v>231</v>
      </c>
      <c r="CQ63" t="s">
        <v>231</v>
      </c>
      <c r="CR63" t="s">
        <v>231</v>
      </c>
      <c r="CS63" t="s">
        <v>231</v>
      </c>
      <c r="CT63" t="s">
        <v>3534</v>
      </c>
      <c r="CU63" t="s">
        <v>3535</v>
      </c>
      <c r="CV63" t="s">
        <v>3536</v>
      </c>
      <c r="CW63" t="s">
        <v>3589</v>
      </c>
      <c r="CX63" t="s">
        <v>223</v>
      </c>
      <c r="CY63" t="s">
        <v>3536</v>
      </c>
      <c r="CZ63" t="s">
        <v>3590</v>
      </c>
      <c r="DA63" t="s">
        <v>3591</v>
      </c>
      <c r="DB63" t="s">
        <v>3589</v>
      </c>
      <c r="DC63" t="s">
        <v>363</v>
      </c>
      <c r="DD63" t="s">
        <v>282</v>
      </c>
      <c r="DE63" t="s">
        <v>3924</v>
      </c>
    </row>
    <row r="64" spans="1:109" ht="11.25" customHeight="1">
      <c r="A64" s="1314" t="s">
        <v>231</v>
      </c>
      <c r="B64" t="s">
        <v>231</v>
      </c>
      <c r="C64" t="s">
        <v>231</v>
      </c>
      <c r="D64" t="s">
        <v>231</v>
      </c>
      <c r="E64" t="s">
        <v>231</v>
      </c>
      <c r="F64" t="s">
        <v>231</v>
      </c>
      <c r="G64" t="s">
        <v>231</v>
      </c>
      <c r="H64" t="s">
        <v>231</v>
      </c>
      <c r="I64" t="s">
        <v>3521</v>
      </c>
      <c r="J64" t="s">
        <v>231</v>
      </c>
      <c r="K64" t="s">
        <v>231</v>
      </c>
      <c r="L64" t="s">
        <v>231</v>
      </c>
      <c r="M64" t="s">
        <v>231</v>
      </c>
      <c r="N64" t="s">
        <v>231</v>
      </c>
      <c r="O64" t="s">
        <v>231</v>
      </c>
      <c r="P64" t="s">
        <v>231</v>
      </c>
      <c r="Q64" t="s">
        <v>231</v>
      </c>
      <c r="R64" t="s">
        <v>3615</v>
      </c>
      <c r="S64" t="s">
        <v>231</v>
      </c>
      <c r="T64" t="s">
        <v>231</v>
      </c>
      <c r="U64" t="s">
        <v>101</v>
      </c>
      <c r="V64" t="s">
        <v>231</v>
      </c>
      <c r="W64" t="s">
        <v>231</v>
      </c>
      <c r="X64" t="s">
        <v>3523</v>
      </c>
      <c r="Y64" t="s">
        <v>231</v>
      </c>
      <c r="Z64" t="s">
        <v>160</v>
      </c>
      <c r="AA64" t="s">
        <v>151</v>
      </c>
      <c r="AB64" t="s">
        <v>151</v>
      </c>
      <c r="AC64" t="s">
        <v>2289</v>
      </c>
      <c r="AD64" t="s">
        <v>2289</v>
      </c>
      <c r="AE64" t="s">
        <v>2290</v>
      </c>
      <c r="AF64" t="s">
        <v>3910</v>
      </c>
      <c r="AG64" t="s">
        <v>3911</v>
      </c>
      <c r="AH64" t="s">
        <v>3925</v>
      </c>
      <c r="AI64" t="s">
        <v>3618</v>
      </c>
      <c r="AJ64" t="s">
        <v>3546</v>
      </c>
      <c r="AK64" t="s">
        <v>3820</v>
      </c>
      <c r="AL64" t="s">
        <v>3548</v>
      </c>
      <c r="AM64" t="s">
        <v>3531</v>
      </c>
      <c r="AN64" t="s">
        <v>3595</v>
      </c>
      <c r="AO64" t="s">
        <v>3656</v>
      </c>
      <c r="AP64" t="s">
        <v>231</v>
      </c>
      <c r="AQ64" t="s">
        <v>231</v>
      </c>
      <c r="AR64" t="s">
        <v>231</v>
      </c>
      <c r="AS64" t="s">
        <v>231</v>
      </c>
      <c r="AT64" t="s">
        <v>231</v>
      </c>
      <c r="AU64" t="s">
        <v>231</v>
      </c>
      <c r="AV64" t="s">
        <v>231</v>
      </c>
      <c r="AW64" t="s">
        <v>231</v>
      </c>
      <c r="AX64" t="s">
        <v>231</v>
      </c>
      <c r="AY64" t="s">
        <v>231</v>
      </c>
      <c r="AZ64" t="s">
        <v>231</v>
      </c>
      <c r="BA64" t="s">
        <v>231</v>
      </c>
      <c r="BB64" t="s">
        <v>231</v>
      </c>
      <c r="BC64" t="s">
        <v>231</v>
      </c>
      <c r="BD64" t="s">
        <v>231</v>
      </c>
      <c r="BE64" t="s">
        <v>231</v>
      </c>
      <c r="BF64" t="s">
        <v>231</v>
      </c>
      <c r="BG64" t="s">
        <v>231</v>
      </c>
      <c r="BH64" t="s">
        <v>231</v>
      </c>
      <c r="BI64" t="s">
        <v>231</v>
      </c>
      <c r="BJ64" t="s">
        <v>231</v>
      </c>
      <c r="BK64" t="s">
        <v>231</v>
      </c>
      <c r="BL64" t="s">
        <v>231</v>
      </c>
      <c r="BM64" t="s">
        <v>231</v>
      </c>
      <c r="BN64" t="s">
        <v>231</v>
      </c>
      <c r="BO64" t="s">
        <v>231</v>
      </c>
      <c r="BP64" t="s">
        <v>231</v>
      </c>
      <c r="BQ64" t="s">
        <v>231</v>
      </c>
      <c r="BR64" t="s">
        <v>231</v>
      </c>
      <c r="BS64" t="s">
        <v>231</v>
      </c>
      <c r="BT64" t="s">
        <v>231</v>
      </c>
      <c r="BU64" t="s">
        <v>231</v>
      </c>
      <c r="BV64" t="s">
        <v>231</v>
      </c>
      <c r="BW64" t="s">
        <v>231</v>
      </c>
      <c r="BX64" t="s">
        <v>231</v>
      </c>
      <c r="BY64" t="s">
        <v>231</v>
      </c>
      <c r="BZ64" t="s">
        <v>231</v>
      </c>
      <c r="CA64" t="s">
        <v>231</v>
      </c>
      <c r="CB64" t="s">
        <v>231</v>
      </c>
      <c r="CC64" t="s">
        <v>231</v>
      </c>
      <c r="CD64" t="s">
        <v>231</v>
      </c>
      <c r="CE64" t="s">
        <v>231</v>
      </c>
      <c r="CF64" t="s">
        <v>231</v>
      </c>
      <c r="CG64" t="s">
        <v>231</v>
      </c>
      <c r="CH64" t="s">
        <v>231</v>
      </c>
      <c r="CI64" t="s">
        <v>231</v>
      </c>
      <c r="CJ64" t="s">
        <v>231</v>
      </c>
      <c r="CK64" t="s">
        <v>231</v>
      </c>
      <c r="CL64" t="s">
        <v>231</v>
      </c>
      <c r="CM64" t="s">
        <v>231</v>
      </c>
      <c r="CN64" t="s">
        <v>231</v>
      </c>
      <c r="CO64" t="s">
        <v>231</v>
      </c>
      <c r="CP64" t="s">
        <v>231</v>
      </c>
      <c r="CQ64" t="s">
        <v>231</v>
      </c>
      <c r="CR64" t="s">
        <v>231</v>
      </c>
      <c r="CS64" t="s">
        <v>231</v>
      </c>
      <c r="CT64" t="s">
        <v>3534</v>
      </c>
      <c r="CU64" t="s">
        <v>3535</v>
      </c>
      <c r="CV64" t="s">
        <v>3536</v>
      </c>
      <c r="CW64" t="s">
        <v>3589</v>
      </c>
      <c r="CX64" t="s">
        <v>223</v>
      </c>
      <c r="CY64" t="s">
        <v>3536</v>
      </c>
      <c r="CZ64" t="s">
        <v>3590</v>
      </c>
      <c r="DA64" t="s">
        <v>3591</v>
      </c>
      <c r="DB64" t="s">
        <v>3589</v>
      </c>
      <c r="DC64" t="s">
        <v>363</v>
      </c>
      <c r="DD64" t="s">
        <v>282</v>
      </c>
      <c r="DE64" t="s">
        <v>3926</v>
      </c>
    </row>
    <row r="65" spans="1:109" ht="11.25" customHeight="1">
      <c r="A65" s="1314" t="s">
        <v>231</v>
      </c>
      <c r="B65" t="s">
        <v>231</v>
      </c>
      <c r="C65" t="s">
        <v>231</v>
      </c>
      <c r="D65" t="s">
        <v>231</v>
      </c>
      <c r="E65" t="s">
        <v>231</v>
      </c>
      <c r="F65" t="s">
        <v>231</v>
      </c>
      <c r="G65" t="s">
        <v>231</v>
      </c>
      <c r="H65" t="s">
        <v>231</v>
      </c>
      <c r="I65" t="s">
        <v>3521</v>
      </c>
      <c r="J65" t="s">
        <v>231</v>
      </c>
      <c r="K65" t="s">
        <v>231</v>
      </c>
      <c r="L65" t="s">
        <v>231</v>
      </c>
      <c r="M65" t="s">
        <v>231</v>
      </c>
      <c r="N65" t="s">
        <v>231</v>
      </c>
      <c r="O65" t="s">
        <v>231</v>
      </c>
      <c r="P65" t="s">
        <v>231</v>
      </c>
      <c r="Q65" t="s">
        <v>231</v>
      </c>
      <c r="R65" t="s">
        <v>3927</v>
      </c>
      <c r="S65" t="s">
        <v>231</v>
      </c>
      <c r="T65" t="s">
        <v>231</v>
      </c>
      <c r="U65" t="s">
        <v>101</v>
      </c>
      <c r="V65" t="s">
        <v>231</v>
      </c>
      <c r="W65" t="s">
        <v>231</v>
      </c>
      <c r="X65" t="s">
        <v>3628</v>
      </c>
      <c r="Y65" t="s">
        <v>231</v>
      </c>
      <c r="Z65" t="s">
        <v>151</v>
      </c>
      <c r="AA65" t="s">
        <v>151</v>
      </c>
      <c r="AB65" t="s">
        <v>160</v>
      </c>
      <c r="AC65" t="s">
        <v>2289</v>
      </c>
      <c r="AD65" t="s">
        <v>2289</v>
      </c>
      <c r="AE65" t="s">
        <v>2290</v>
      </c>
      <c r="AF65" t="s">
        <v>3910</v>
      </c>
      <c r="AG65" t="s">
        <v>3911</v>
      </c>
      <c r="AH65" t="s">
        <v>3618</v>
      </c>
      <c r="AI65" t="s">
        <v>3618</v>
      </c>
      <c r="AJ65" t="s">
        <v>231</v>
      </c>
      <c r="AK65" t="s">
        <v>231</v>
      </c>
      <c r="AL65" t="s">
        <v>231</v>
      </c>
      <c r="AM65" t="s">
        <v>231</v>
      </c>
      <c r="AN65" t="s">
        <v>231</v>
      </c>
      <c r="AO65" t="s">
        <v>231</v>
      </c>
      <c r="AP65" t="s">
        <v>231</v>
      </c>
      <c r="AQ65" t="s">
        <v>231</v>
      </c>
      <c r="AR65" t="s">
        <v>231</v>
      </c>
      <c r="AS65" t="s">
        <v>231</v>
      </c>
      <c r="AT65" t="s">
        <v>231</v>
      </c>
      <c r="AU65" t="s">
        <v>231</v>
      </c>
      <c r="AV65" t="s">
        <v>231</v>
      </c>
      <c r="AW65" t="s">
        <v>231</v>
      </c>
      <c r="AX65" t="s">
        <v>231</v>
      </c>
      <c r="AY65" t="s">
        <v>231</v>
      </c>
      <c r="AZ65" t="s">
        <v>231</v>
      </c>
      <c r="BA65" t="s">
        <v>231</v>
      </c>
      <c r="BB65" t="s">
        <v>231</v>
      </c>
      <c r="BC65" t="s">
        <v>231</v>
      </c>
      <c r="BD65" t="s">
        <v>231</v>
      </c>
      <c r="BE65" t="s">
        <v>3594</v>
      </c>
      <c r="BF65" t="s">
        <v>3586</v>
      </c>
      <c r="BG65" t="s">
        <v>111</v>
      </c>
      <c r="BH65" t="s">
        <v>3632</v>
      </c>
      <c r="BI65" t="s">
        <v>122</v>
      </c>
      <c r="BJ65" t="s">
        <v>231</v>
      </c>
      <c r="BK65" t="s">
        <v>3651</v>
      </c>
      <c r="BL65" t="s">
        <v>2289</v>
      </c>
      <c r="BM65" t="s">
        <v>2289</v>
      </c>
      <c r="BN65" t="s">
        <v>3707</v>
      </c>
      <c r="BO65" t="s">
        <v>3910</v>
      </c>
      <c r="BP65" t="s">
        <v>3928</v>
      </c>
      <c r="BQ65" t="s">
        <v>3618</v>
      </c>
      <c r="BR65" t="s">
        <v>3618</v>
      </c>
      <c r="BS65" t="s">
        <v>231</v>
      </c>
      <c r="BT65" t="s">
        <v>3694</v>
      </c>
      <c r="BU65" t="s">
        <v>3929</v>
      </c>
      <c r="BV65" t="s">
        <v>3929</v>
      </c>
      <c r="BW65" t="s">
        <v>3641</v>
      </c>
      <c r="BX65" t="s">
        <v>3641</v>
      </c>
      <c r="BY65" t="s">
        <v>3641</v>
      </c>
      <c r="BZ65" t="s">
        <v>3641</v>
      </c>
      <c r="CA65" t="s">
        <v>3641</v>
      </c>
      <c r="CB65" t="s">
        <v>231</v>
      </c>
      <c r="CC65" t="s">
        <v>231</v>
      </c>
      <c r="CD65" t="s">
        <v>231</v>
      </c>
      <c r="CE65" t="s">
        <v>231</v>
      </c>
      <c r="CF65" t="s">
        <v>231</v>
      </c>
      <c r="CG65" t="s">
        <v>3641</v>
      </c>
      <c r="CH65" t="s">
        <v>231</v>
      </c>
      <c r="CI65" t="s">
        <v>231</v>
      </c>
      <c r="CJ65" t="s">
        <v>231</v>
      </c>
      <c r="CK65" t="s">
        <v>231</v>
      </c>
      <c r="CL65" t="s">
        <v>231</v>
      </c>
      <c r="CM65" t="s">
        <v>3929</v>
      </c>
      <c r="CN65" t="s">
        <v>3929</v>
      </c>
      <c r="CO65" t="s">
        <v>231</v>
      </c>
      <c r="CP65" t="s">
        <v>231</v>
      </c>
      <c r="CQ65" t="s">
        <v>231</v>
      </c>
      <c r="CR65" t="s">
        <v>231</v>
      </c>
      <c r="CS65" t="s">
        <v>3710</v>
      </c>
      <c r="CT65" t="s">
        <v>3534</v>
      </c>
      <c r="CU65" t="s">
        <v>3535</v>
      </c>
      <c r="CV65" t="s">
        <v>3536</v>
      </c>
      <c r="CW65" t="s">
        <v>3589</v>
      </c>
      <c r="CX65" t="s">
        <v>223</v>
      </c>
      <c r="CY65" t="s">
        <v>3536</v>
      </c>
      <c r="CZ65" t="s">
        <v>3590</v>
      </c>
      <c r="DA65" t="s">
        <v>3591</v>
      </c>
      <c r="DB65" t="s">
        <v>3589</v>
      </c>
      <c r="DC65" t="s">
        <v>363</v>
      </c>
      <c r="DD65" t="s">
        <v>282</v>
      </c>
      <c r="DE65" t="s">
        <v>3924</v>
      </c>
    </row>
    <row r="66" spans="1:109" ht="11.25" customHeight="1">
      <c r="A66" s="1314" t="s">
        <v>231</v>
      </c>
      <c r="B66" t="s">
        <v>231</v>
      </c>
      <c r="C66" t="s">
        <v>231</v>
      </c>
      <c r="D66" t="s">
        <v>231</v>
      </c>
      <c r="E66" t="s">
        <v>231</v>
      </c>
      <c r="F66" t="s">
        <v>231</v>
      </c>
      <c r="G66" t="s">
        <v>231</v>
      </c>
      <c r="H66" t="s">
        <v>231</v>
      </c>
      <c r="I66" t="s">
        <v>3521</v>
      </c>
      <c r="J66" t="s">
        <v>231</v>
      </c>
      <c r="K66" t="s">
        <v>231</v>
      </c>
      <c r="L66" t="s">
        <v>231</v>
      </c>
      <c r="M66" t="s">
        <v>231</v>
      </c>
      <c r="N66" t="s">
        <v>231</v>
      </c>
      <c r="O66" t="s">
        <v>231</v>
      </c>
      <c r="P66" t="s">
        <v>231</v>
      </c>
      <c r="Q66" t="s">
        <v>231</v>
      </c>
      <c r="R66" t="s">
        <v>3615</v>
      </c>
      <c r="S66" t="s">
        <v>231</v>
      </c>
      <c r="T66" t="s">
        <v>231</v>
      </c>
      <c r="U66" t="s">
        <v>101</v>
      </c>
      <c r="V66" t="s">
        <v>231</v>
      </c>
      <c r="W66" t="s">
        <v>231</v>
      </c>
      <c r="X66" t="s">
        <v>3523</v>
      </c>
      <c r="Y66" t="s">
        <v>231</v>
      </c>
      <c r="Z66" t="s">
        <v>160</v>
      </c>
      <c r="AA66" t="s">
        <v>151</v>
      </c>
      <c r="AB66" t="s">
        <v>151</v>
      </c>
      <c r="AC66" t="s">
        <v>2289</v>
      </c>
      <c r="AD66" t="s">
        <v>2289</v>
      </c>
      <c r="AE66" t="s">
        <v>2290</v>
      </c>
      <c r="AF66" t="s">
        <v>3930</v>
      </c>
      <c r="AG66" t="s">
        <v>3931</v>
      </c>
      <c r="AH66" t="s">
        <v>3932</v>
      </c>
      <c r="AI66" t="s">
        <v>3754</v>
      </c>
      <c r="AJ66" t="s">
        <v>3594</v>
      </c>
      <c r="AK66" t="s">
        <v>3820</v>
      </c>
      <c r="AL66" t="s">
        <v>3548</v>
      </c>
      <c r="AM66" t="s">
        <v>3531</v>
      </c>
      <c r="AN66" t="s">
        <v>3595</v>
      </c>
      <c r="AO66" t="s">
        <v>3933</v>
      </c>
      <c r="AP66" t="s">
        <v>231</v>
      </c>
      <c r="AQ66" t="s">
        <v>231</v>
      </c>
      <c r="AR66" t="s">
        <v>231</v>
      </c>
      <c r="AS66" t="s">
        <v>231</v>
      </c>
      <c r="AT66" t="s">
        <v>231</v>
      </c>
      <c r="AU66" t="s">
        <v>231</v>
      </c>
      <c r="AV66" t="s">
        <v>231</v>
      </c>
      <c r="AW66" t="s">
        <v>231</v>
      </c>
      <c r="AX66" t="s">
        <v>231</v>
      </c>
      <c r="AY66" t="s">
        <v>231</v>
      </c>
      <c r="AZ66" t="s">
        <v>231</v>
      </c>
      <c r="BA66" t="s">
        <v>231</v>
      </c>
      <c r="BB66" t="s">
        <v>231</v>
      </c>
      <c r="BC66" t="s">
        <v>231</v>
      </c>
      <c r="BD66" t="s">
        <v>231</v>
      </c>
      <c r="BE66" t="s">
        <v>231</v>
      </c>
      <c r="BF66" t="s">
        <v>231</v>
      </c>
      <c r="BG66" t="s">
        <v>231</v>
      </c>
      <c r="BH66" t="s">
        <v>231</v>
      </c>
      <c r="BI66" t="s">
        <v>231</v>
      </c>
      <c r="BJ66" t="s">
        <v>231</v>
      </c>
      <c r="BK66" t="s">
        <v>231</v>
      </c>
      <c r="BL66" t="s">
        <v>231</v>
      </c>
      <c r="BM66" t="s">
        <v>231</v>
      </c>
      <c r="BN66" t="s">
        <v>231</v>
      </c>
      <c r="BO66" t="s">
        <v>231</v>
      </c>
      <c r="BP66" t="s">
        <v>231</v>
      </c>
      <c r="BQ66" t="s">
        <v>231</v>
      </c>
      <c r="BR66" t="s">
        <v>231</v>
      </c>
      <c r="BS66" t="s">
        <v>231</v>
      </c>
      <c r="BT66" t="s">
        <v>231</v>
      </c>
      <c r="BU66" t="s">
        <v>231</v>
      </c>
      <c r="BV66" t="s">
        <v>231</v>
      </c>
      <c r="BW66" t="s">
        <v>231</v>
      </c>
      <c r="BX66" t="s">
        <v>231</v>
      </c>
      <c r="BY66" t="s">
        <v>231</v>
      </c>
      <c r="BZ66" t="s">
        <v>231</v>
      </c>
      <c r="CA66" t="s">
        <v>231</v>
      </c>
      <c r="CB66" t="s">
        <v>231</v>
      </c>
      <c r="CC66" t="s">
        <v>231</v>
      </c>
      <c r="CD66" t="s">
        <v>231</v>
      </c>
      <c r="CE66" t="s">
        <v>231</v>
      </c>
      <c r="CF66" t="s">
        <v>231</v>
      </c>
      <c r="CG66" t="s">
        <v>231</v>
      </c>
      <c r="CH66" t="s">
        <v>231</v>
      </c>
      <c r="CI66" t="s">
        <v>231</v>
      </c>
      <c r="CJ66" t="s">
        <v>231</v>
      </c>
      <c r="CK66" t="s">
        <v>231</v>
      </c>
      <c r="CL66" t="s">
        <v>231</v>
      </c>
      <c r="CM66" t="s">
        <v>231</v>
      </c>
      <c r="CN66" t="s">
        <v>231</v>
      </c>
      <c r="CO66" t="s">
        <v>231</v>
      </c>
      <c r="CP66" t="s">
        <v>231</v>
      </c>
      <c r="CQ66" t="s">
        <v>231</v>
      </c>
      <c r="CR66" t="s">
        <v>231</v>
      </c>
      <c r="CS66" t="s">
        <v>231</v>
      </c>
      <c r="CT66" t="s">
        <v>3534</v>
      </c>
      <c r="CU66" t="s">
        <v>3535</v>
      </c>
      <c r="CV66" t="s">
        <v>3536</v>
      </c>
      <c r="CW66" t="s">
        <v>3589</v>
      </c>
      <c r="CX66" t="s">
        <v>223</v>
      </c>
      <c r="CY66" t="s">
        <v>3536</v>
      </c>
      <c r="CZ66" t="s">
        <v>3590</v>
      </c>
      <c r="DA66" t="s">
        <v>3591</v>
      </c>
      <c r="DB66" t="s">
        <v>3589</v>
      </c>
      <c r="DC66" t="s">
        <v>363</v>
      </c>
      <c r="DD66" t="s">
        <v>282</v>
      </c>
      <c r="DE66" t="s">
        <v>3934</v>
      </c>
    </row>
    <row r="67" spans="1:109" ht="11.25" customHeight="1">
      <c r="A67" s="1314" t="s">
        <v>231</v>
      </c>
      <c r="B67" t="s">
        <v>231</v>
      </c>
      <c r="C67" t="s">
        <v>231</v>
      </c>
      <c r="D67" t="s">
        <v>231</v>
      </c>
      <c r="E67" t="s">
        <v>231</v>
      </c>
      <c r="F67" t="s">
        <v>231</v>
      </c>
      <c r="G67" t="s">
        <v>231</v>
      </c>
      <c r="H67" t="s">
        <v>231</v>
      </c>
      <c r="I67" t="s">
        <v>3521</v>
      </c>
      <c r="J67" t="s">
        <v>231</v>
      </c>
      <c r="K67" t="s">
        <v>231</v>
      </c>
      <c r="L67" t="s">
        <v>231</v>
      </c>
      <c r="M67" t="s">
        <v>231</v>
      </c>
      <c r="N67" t="s">
        <v>231</v>
      </c>
      <c r="O67" t="s">
        <v>231</v>
      </c>
      <c r="P67" t="s">
        <v>231</v>
      </c>
      <c r="Q67" t="s">
        <v>231</v>
      </c>
      <c r="R67" t="s">
        <v>3935</v>
      </c>
      <c r="S67" t="s">
        <v>231</v>
      </c>
      <c r="T67" t="s">
        <v>231</v>
      </c>
      <c r="U67" t="s">
        <v>101</v>
      </c>
      <c r="V67" t="s">
        <v>231</v>
      </c>
      <c r="W67" t="s">
        <v>231</v>
      </c>
      <c r="X67" t="s">
        <v>3523</v>
      </c>
      <c r="Y67" t="s">
        <v>231</v>
      </c>
      <c r="Z67" t="s">
        <v>160</v>
      </c>
      <c r="AA67" t="s">
        <v>151</v>
      </c>
      <c r="AB67" t="s">
        <v>151</v>
      </c>
      <c r="AC67" t="s">
        <v>343</v>
      </c>
      <c r="AD67" t="s">
        <v>343</v>
      </c>
      <c r="AE67" t="s">
        <v>344</v>
      </c>
      <c r="AF67" t="s">
        <v>3561</v>
      </c>
      <c r="AG67" t="s">
        <v>3562</v>
      </c>
      <c r="AH67" t="s">
        <v>3936</v>
      </c>
      <c r="AI67" t="s">
        <v>3937</v>
      </c>
      <c r="AJ67" t="s">
        <v>3630</v>
      </c>
      <c r="AK67" t="s">
        <v>3938</v>
      </c>
      <c r="AL67" t="s">
        <v>3530</v>
      </c>
      <c r="AM67" t="s">
        <v>3531</v>
      </c>
      <c r="AN67" t="s">
        <v>3939</v>
      </c>
      <c r="AO67" t="s">
        <v>3940</v>
      </c>
      <c r="AP67" t="s">
        <v>231</v>
      </c>
      <c r="AQ67" t="s">
        <v>231</v>
      </c>
      <c r="AR67" t="s">
        <v>231</v>
      </c>
      <c r="AS67" t="s">
        <v>231</v>
      </c>
      <c r="AT67" t="s">
        <v>231</v>
      </c>
      <c r="AU67" t="s">
        <v>231</v>
      </c>
      <c r="AV67" t="s">
        <v>231</v>
      </c>
      <c r="AW67" t="s">
        <v>231</v>
      </c>
      <c r="AX67" t="s">
        <v>231</v>
      </c>
      <c r="AY67" t="s">
        <v>231</v>
      </c>
      <c r="AZ67" t="s">
        <v>231</v>
      </c>
      <c r="BA67" t="s">
        <v>231</v>
      </c>
      <c r="BB67" t="s">
        <v>231</v>
      </c>
      <c r="BC67" t="s">
        <v>231</v>
      </c>
      <c r="BD67" t="s">
        <v>231</v>
      </c>
      <c r="BE67" t="s">
        <v>231</v>
      </c>
      <c r="BF67" t="s">
        <v>231</v>
      </c>
      <c r="BG67" t="s">
        <v>231</v>
      </c>
      <c r="BH67" t="s">
        <v>231</v>
      </c>
      <c r="BI67" t="s">
        <v>231</v>
      </c>
      <c r="BJ67" t="s">
        <v>231</v>
      </c>
      <c r="BK67" t="s">
        <v>231</v>
      </c>
      <c r="BL67" t="s">
        <v>231</v>
      </c>
      <c r="BM67" t="s">
        <v>231</v>
      </c>
      <c r="BN67" t="s">
        <v>231</v>
      </c>
      <c r="BO67" t="s">
        <v>231</v>
      </c>
      <c r="BP67" t="s">
        <v>231</v>
      </c>
      <c r="BQ67" t="s">
        <v>231</v>
      </c>
      <c r="BR67" t="s">
        <v>231</v>
      </c>
      <c r="BS67" t="s">
        <v>231</v>
      </c>
      <c r="BT67" t="s">
        <v>231</v>
      </c>
      <c r="BU67" t="s">
        <v>231</v>
      </c>
      <c r="BV67" t="s">
        <v>231</v>
      </c>
      <c r="BW67" t="s">
        <v>231</v>
      </c>
      <c r="BX67" t="s">
        <v>231</v>
      </c>
      <c r="BY67" t="s">
        <v>231</v>
      </c>
      <c r="BZ67" t="s">
        <v>231</v>
      </c>
      <c r="CA67" t="s">
        <v>231</v>
      </c>
      <c r="CB67" t="s">
        <v>231</v>
      </c>
      <c r="CC67" t="s">
        <v>231</v>
      </c>
      <c r="CD67" t="s">
        <v>231</v>
      </c>
      <c r="CE67" t="s">
        <v>231</v>
      </c>
      <c r="CF67" t="s">
        <v>231</v>
      </c>
      <c r="CG67" t="s">
        <v>231</v>
      </c>
      <c r="CH67" t="s">
        <v>231</v>
      </c>
      <c r="CI67" t="s">
        <v>231</v>
      </c>
      <c r="CJ67" t="s">
        <v>231</v>
      </c>
      <c r="CK67" t="s">
        <v>231</v>
      </c>
      <c r="CL67" t="s">
        <v>231</v>
      </c>
      <c r="CM67" t="s">
        <v>231</v>
      </c>
      <c r="CN67" t="s">
        <v>231</v>
      </c>
      <c r="CO67" t="s">
        <v>231</v>
      </c>
      <c r="CP67" t="s">
        <v>231</v>
      </c>
      <c r="CQ67" t="s">
        <v>231</v>
      </c>
      <c r="CR67" t="s">
        <v>231</v>
      </c>
      <c r="CS67" t="s">
        <v>231</v>
      </c>
      <c r="CT67" t="s">
        <v>3534</v>
      </c>
      <c r="CU67" t="s">
        <v>3535</v>
      </c>
      <c r="CV67" t="s">
        <v>3536</v>
      </c>
      <c r="CW67" t="s">
        <v>3569</v>
      </c>
      <c r="CX67" t="s">
        <v>3570</v>
      </c>
      <c r="CY67" t="s">
        <v>3536</v>
      </c>
      <c r="CZ67" t="s">
        <v>224</v>
      </c>
      <c r="DA67" t="s">
        <v>3571</v>
      </c>
      <c r="DB67" t="s">
        <v>3569</v>
      </c>
      <c r="DC67" t="s">
        <v>363</v>
      </c>
      <c r="DD67" t="s">
        <v>282</v>
      </c>
      <c r="DE67" t="s">
        <v>3941</v>
      </c>
    </row>
    <row r="68" spans="1:109" ht="11.25" customHeight="1">
      <c r="A68" s="1314" t="s">
        <v>231</v>
      </c>
      <c r="B68" t="s">
        <v>231</v>
      </c>
      <c r="C68" t="s">
        <v>231</v>
      </c>
      <c r="D68" t="s">
        <v>231</v>
      </c>
      <c r="E68" t="s">
        <v>231</v>
      </c>
      <c r="F68" t="s">
        <v>231</v>
      </c>
      <c r="G68" t="s">
        <v>231</v>
      </c>
      <c r="H68" t="s">
        <v>231</v>
      </c>
      <c r="I68" t="s">
        <v>3521</v>
      </c>
      <c r="J68" t="s">
        <v>231</v>
      </c>
      <c r="K68" t="s">
        <v>231</v>
      </c>
      <c r="L68" t="s">
        <v>231</v>
      </c>
      <c r="M68" t="s">
        <v>231</v>
      </c>
      <c r="N68" t="s">
        <v>231</v>
      </c>
      <c r="O68" t="s">
        <v>231</v>
      </c>
      <c r="P68" t="s">
        <v>231</v>
      </c>
      <c r="Q68" t="s">
        <v>231</v>
      </c>
      <c r="R68" t="s">
        <v>3942</v>
      </c>
      <c r="S68" t="s">
        <v>231</v>
      </c>
      <c r="T68" t="s">
        <v>231</v>
      </c>
      <c r="U68" t="s">
        <v>101</v>
      </c>
      <c r="V68" t="s">
        <v>231</v>
      </c>
      <c r="W68" t="s">
        <v>231</v>
      </c>
      <c r="X68" t="s">
        <v>3523</v>
      </c>
      <c r="Y68" t="s">
        <v>231</v>
      </c>
      <c r="Z68" t="s">
        <v>160</v>
      </c>
      <c r="AA68" t="s">
        <v>151</v>
      </c>
      <c r="AB68" t="s">
        <v>151</v>
      </c>
      <c r="AC68" t="s">
        <v>2289</v>
      </c>
      <c r="AD68" t="s">
        <v>2289</v>
      </c>
      <c r="AE68" t="s">
        <v>2290</v>
      </c>
      <c r="AF68" t="s">
        <v>3816</v>
      </c>
      <c r="AG68" t="s">
        <v>3817</v>
      </c>
      <c r="AH68" t="s">
        <v>3795</v>
      </c>
      <c r="AI68" t="s">
        <v>3943</v>
      </c>
      <c r="AJ68" t="s">
        <v>3546</v>
      </c>
      <c r="AK68" t="s">
        <v>3775</v>
      </c>
      <c r="AL68" t="s">
        <v>3548</v>
      </c>
      <c r="AM68" t="s">
        <v>3531</v>
      </c>
      <c r="AN68" t="s">
        <v>3595</v>
      </c>
      <c r="AO68" t="s">
        <v>3656</v>
      </c>
      <c r="AP68" t="s">
        <v>231</v>
      </c>
      <c r="AQ68" t="s">
        <v>231</v>
      </c>
      <c r="AR68" t="s">
        <v>231</v>
      </c>
      <c r="AS68" t="s">
        <v>231</v>
      </c>
      <c r="AT68" t="s">
        <v>231</v>
      </c>
      <c r="AU68" t="s">
        <v>231</v>
      </c>
      <c r="AV68" t="s">
        <v>231</v>
      </c>
      <c r="AW68" t="s">
        <v>231</v>
      </c>
      <c r="AX68" t="s">
        <v>231</v>
      </c>
      <c r="AY68" t="s">
        <v>231</v>
      </c>
      <c r="AZ68" t="s">
        <v>231</v>
      </c>
      <c r="BA68" t="s">
        <v>231</v>
      </c>
      <c r="BB68" t="s">
        <v>231</v>
      </c>
      <c r="BC68" t="s">
        <v>231</v>
      </c>
      <c r="BD68" t="s">
        <v>231</v>
      </c>
      <c r="BE68" t="s">
        <v>231</v>
      </c>
      <c r="BF68" t="s">
        <v>231</v>
      </c>
      <c r="BG68" t="s">
        <v>231</v>
      </c>
      <c r="BH68" t="s">
        <v>231</v>
      </c>
      <c r="BI68" t="s">
        <v>231</v>
      </c>
      <c r="BJ68" t="s">
        <v>231</v>
      </c>
      <c r="BK68" t="s">
        <v>231</v>
      </c>
      <c r="BL68" t="s">
        <v>231</v>
      </c>
      <c r="BM68" t="s">
        <v>231</v>
      </c>
      <c r="BN68" t="s">
        <v>231</v>
      </c>
      <c r="BO68" t="s">
        <v>231</v>
      </c>
      <c r="BP68" t="s">
        <v>231</v>
      </c>
      <c r="BQ68" t="s">
        <v>231</v>
      </c>
      <c r="BR68" t="s">
        <v>231</v>
      </c>
      <c r="BS68" t="s">
        <v>231</v>
      </c>
      <c r="BT68" t="s">
        <v>231</v>
      </c>
      <c r="BU68" t="s">
        <v>231</v>
      </c>
      <c r="BV68" t="s">
        <v>231</v>
      </c>
      <c r="BW68" t="s">
        <v>231</v>
      </c>
      <c r="BX68" t="s">
        <v>231</v>
      </c>
      <c r="BY68" t="s">
        <v>231</v>
      </c>
      <c r="BZ68" t="s">
        <v>231</v>
      </c>
      <c r="CA68" t="s">
        <v>231</v>
      </c>
      <c r="CB68" t="s">
        <v>231</v>
      </c>
      <c r="CC68" t="s">
        <v>231</v>
      </c>
      <c r="CD68" t="s">
        <v>231</v>
      </c>
      <c r="CE68" t="s">
        <v>231</v>
      </c>
      <c r="CF68" t="s">
        <v>231</v>
      </c>
      <c r="CG68" t="s">
        <v>231</v>
      </c>
      <c r="CH68" t="s">
        <v>231</v>
      </c>
      <c r="CI68" t="s">
        <v>231</v>
      </c>
      <c r="CJ68" t="s">
        <v>231</v>
      </c>
      <c r="CK68" t="s">
        <v>231</v>
      </c>
      <c r="CL68" t="s">
        <v>231</v>
      </c>
      <c r="CM68" t="s">
        <v>231</v>
      </c>
      <c r="CN68" t="s">
        <v>231</v>
      </c>
      <c r="CO68" t="s">
        <v>231</v>
      </c>
      <c r="CP68" t="s">
        <v>231</v>
      </c>
      <c r="CQ68" t="s">
        <v>231</v>
      </c>
      <c r="CR68" t="s">
        <v>231</v>
      </c>
      <c r="CS68" t="s">
        <v>231</v>
      </c>
      <c r="CT68" t="s">
        <v>3534</v>
      </c>
      <c r="CU68" t="s">
        <v>3535</v>
      </c>
      <c r="CV68" t="s">
        <v>3536</v>
      </c>
      <c r="CW68" t="s">
        <v>3589</v>
      </c>
      <c r="CX68" t="s">
        <v>223</v>
      </c>
      <c r="CY68" t="s">
        <v>3536</v>
      </c>
      <c r="CZ68" t="s">
        <v>3590</v>
      </c>
      <c r="DA68" t="s">
        <v>3591</v>
      </c>
      <c r="DB68" t="s">
        <v>3589</v>
      </c>
      <c r="DC68" t="s">
        <v>363</v>
      </c>
      <c r="DD68" t="s">
        <v>282</v>
      </c>
      <c r="DE68" t="s">
        <v>3944</v>
      </c>
    </row>
    <row r="69" spans="1:109" ht="11.25" customHeight="1">
      <c r="A69" s="1314" t="s">
        <v>231</v>
      </c>
      <c r="B69" t="s">
        <v>231</v>
      </c>
      <c r="C69" t="s">
        <v>231</v>
      </c>
      <c r="D69" t="s">
        <v>231</v>
      </c>
      <c r="E69" t="s">
        <v>231</v>
      </c>
      <c r="F69" t="s">
        <v>231</v>
      </c>
      <c r="G69" t="s">
        <v>231</v>
      </c>
      <c r="H69" t="s">
        <v>231</v>
      </c>
      <c r="I69" t="s">
        <v>3521</v>
      </c>
      <c r="J69" t="s">
        <v>231</v>
      </c>
      <c r="K69" t="s">
        <v>231</v>
      </c>
      <c r="L69" t="s">
        <v>231</v>
      </c>
      <c r="M69" t="s">
        <v>231</v>
      </c>
      <c r="N69" t="s">
        <v>231</v>
      </c>
      <c r="O69" t="s">
        <v>231</v>
      </c>
      <c r="P69" t="s">
        <v>231</v>
      </c>
      <c r="Q69" t="s">
        <v>231</v>
      </c>
      <c r="R69" t="s">
        <v>3945</v>
      </c>
      <c r="S69" t="s">
        <v>231</v>
      </c>
      <c r="T69" t="s">
        <v>231</v>
      </c>
      <c r="U69" t="s">
        <v>101</v>
      </c>
      <c r="V69" t="s">
        <v>231</v>
      </c>
      <c r="W69" t="s">
        <v>231</v>
      </c>
      <c r="X69" t="s">
        <v>3523</v>
      </c>
      <c r="Y69" t="s">
        <v>231</v>
      </c>
      <c r="Z69" t="s">
        <v>160</v>
      </c>
      <c r="AA69" t="s">
        <v>151</v>
      </c>
      <c r="AB69" t="s">
        <v>151</v>
      </c>
      <c r="AC69" t="s">
        <v>2262</v>
      </c>
      <c r="AD69" t="s">
        <v>2262</v>
      </c>
      <c r="AE69" t="s">
        <v>2264</v>
      </c>
      <c r="AF69" t="s">
        <v>3524</v>
      </c>
      <c r="AG69" t="s">
        <v>3525</v>
      </c>
      <c r="AH69" t="s">
        <v>3864</v>
      </c>
      <c r="AI69" t="s">
        <v>3946</v>
      </c>
      <c r="AJ69" t="s">
        <v>3587</v>
      </c>
      <c r="AK69" t="s">
        <v>3641</v>
      </c>
      <c r="AL69" t="s">
        <v>3648</v>
      </c>
      <c r="AM69" t="s">
        <v>3531</v>
      </c>
      <c r="AN69" t="s">
        <v>3549</v>
      </c>
      <c r="AO69" t="s">
        <v>3868</v>
      </c>
      <c r="AP69" t="s">
        <v>231</v>
      </c>
      <c r="AQ69" t="s">
        <v>231</v>
      </c>
      <c r="AR69" t="s">
        <v>231</v>
      </c>
      <c r="AS69" t="s">
        <v>231</v>
      </c>
      <c r="AT69" t="s">
        <v>231</v>
      </c>
      <c r="AU69" t="s">
        <v>231</v>
      </c>
      <c r="AV69" t="s">
        <v>231</v>
      </c>
      <c r="AW69" t="s">
        <v>231</v>
      </c>
      <c r="AX69" t="s">
        <v>231</v>
      </c>
      <c r="AY69" t="s">
        <v>231</v>
      </c>
      <c r="AZ69" t="s">
        <v>231</v>
      </c>
      <c r="BA69" t="s">
        <v>231</v>
      </c>
      <c r="BB69" t="s">
        <v>231</v>
      </c>
      <c r="BC69" t="s">
        <v>231</v>
      </c>
      <c r="BD69" t="s">
        <v>231</v>
      </c>
      <c r="BE69" t="s">
        <v>231</v>
      </c>
      <c r="BF69" t="s">
        <v>231</v>
      </c>
      <c r="BG69" t="s">
        <v>231</v>
      </c>
      <c r="BH69" t="s">
        <v>231</v>
      </c>
      <c r="BI69" t="s">
        <v>231</v>
      </c>
      <c r="BJ69" t="s">
        <v>231</v>
      </c>
      <c r="BK69" t="s">
        <v>231</v>
      </c>
      <c r="BL69" t="s">
        <v>231</v>
      </c>
      <c r="BM69" t="s">
        <v>231</v>
      </c>
      <c r="BN69" t="s">
        <v>231</v>
      </c>
      <c r="BO69" t="s">
        <v>231</v>
      </c>
      <c r="BP69" t="s">
        <v>231</v>
      </c>
      <c r="BQ69" t="s">
        <v>231</v>
      </c>
      <c r="BR69" t="s">
        <v>231</v>
      </c>
      <c r="BS69" t="s">
        <v>231</v>
      </c>
      <c r="BT69" t="s">
        <v>231</v>
      </c>
      <c r="BU69" t="s">
        <v>231</v>
      </c>
      <c r="BV69" t="s">
        <v>231</v>
      </c>
      <c r="BW69" t="s">
        <v>231</v>
      </c>
      <c r="BX69" t="s">
        <v>231</v>
      </c>
      <c r="BY69" t="s">
        <v>231</v>
      </c>
      <c r="BZ69" t="s">
        <v>231</v>
      </c>
      <c r="CA69" t="s">
        <v>231</v>
      </c>
      <c r="CB69" t="s">
        <v>231</v>
      </c>
      <c r="CC69" t="s">
        <v>231</v>
      </c>
      <c r="CD69" t="s">
        <v>231</v>
      </c>
      <c r="CE69" t="s">
        <v>231</v>
      </c>
      <c r="CF69" t="s">
        <v>231</v>
      </c>
      <c r="CG69" t="s">
        <v>231</v>
      </c>
      <c r="CH69" t="s">
        <v>231</v>
      </c>
      <c r="CI69" t="s">
        <v>231</v>
      </c>
      <c r="CJ69" t="s">
        <v>231</v>
      </c>
      <c r="CK69" t="s">
        <v>231</v>
      </c>
      <c r="CL69" t="s">
        <v>231</v>
      </c>
      <c r="CM69" t="s">
        <v>231</v>
      </c>
      <c r="CN69" t="s">
        <v>231</v>
      </c>
      <c r="CO69" t="s">
        <v>231</v>
      </c>
      <c r="CP69" t="s">
        <v>231</v>
      </c>
      <c r="CQ69" t="s">
        <v>231</v>
      </c>
      <c r="CR69" t="s">
        <v>231</v>
      </c>
      <c r="CS69" t="s">
        <v>231</v>
      </c>
      <c r="CT69" t="s">
        <v>3534</v>
      </c>
      <c r="CU69" t="s">
        <v>3535</v>
      </c>
      <c r="CV69" t="s">
        <v>3536</v>
      </c>
      <c r="CW69" t="s">
        <v>3537</v>
      </c>
      <c r="CX69" t="s">
        <v>223</v>
      </c>
      <c r="CY69" t="s">
        <v>3536</v>
      </c>
      <c r="CZ69" t="s">
        <v>3538</v>
      </c>
      <c r="DA69" t="s">
        <v>3539</v>
      </c>
      <c r="DB69" t="s">
        <v>3537</v>
      </c>
      <c r="DC69" t="s">
        <v>363</v>
      </c>
      <c r="DD69" t="s">
        <v>282</v>
      </c>
      <c r="DE69" t="s">
        <v>3947</v>
      </c>
    </row>
    <row r="70" spans="1:109" ht="11.25" customHeight="1">
      <c r="A70" s="1314" t="s">
        <v>231</v>
      </c>
      <c r="B70" t="s">
        <v>231</v>
      </c>
      <c r="C70" t="s">
        <v>231</v>
      </c>
      <c r="D70" t="s">
        <v>231</v>
      </c>
      <c r="E70" t="s">
        <v>231</v>
      </c>
      <c r="F70" t="s">
        <v>231</v>
      </c>
      <c r="G70" t="s">
        <v>231</v>
      </c>
      <c r="H70" t="s">
        <v>231</v>
      </c>
      <c r="I70" t="s">
        <v>3521</v>
      </c>
      <c r="J70" t="s">
        <v>231</v>
      </c>
      <c r="K70" t="s">
        <v>231</v>
      </c>
      <c r="L70" t="s">
        <v>231</v>
      </c>
      <c r="M70" t="s">
        <v>231</v>
      </c>
      <c r="N70" t="s">
        <v>231</v>
      </c>
      <c r="O70" t="s">
        <v>231</v>
      </c>
      <c r="P70" t="s">
        <v>231</v>
      </c>
      <c r="Q70" t="s">
        <v>231</v>
      </c>
      <c r="R70" t="s">
        <v>3948</v>
      </c>
      <c r="S70" t="s">
        <v>231</v>
      </c>
      <c r="T70" t="s">
        <v>231</v>
      </c>
      <c r="U70" t="s">
        <v>101</v>
      </c>
      <c r="V70" t="s">
        <v>231</v>
      </c>
      <c r="W70" t="s">
        <v>231</v>
      </c>
      <c r="X70" t="s">
        <v>3523</v>
      </c>
      <c r="Y70" t="s">
        <v>231</v>
      </c>
      <c r="Z70" t="s">
        <v>160</v>
      </c>
      <c r="AA70" t="s">
        <v>151</v>
      </c>
      <c r="AB70" t="s">
        <v>151</v>
      </c>
      <c r="AC70" t="s">
        <v>2262</v>
      </c>
      <c r="AD70" t="s">
        <v>2262</v>
      </c>
      <c r="AE70" t="s">
        <v>2264</v>
      </c>
      <c r="AF70" t="s">
        <v>3524</v>
      </c>
      <c r="AG70" t="s">
        <v>3525</v>
      </c>
      <c r="AH70" t="s">
        <v>3949</v>
      </c>
      <c r="AI70" t="s">
        <v>3950</v>
      </c>
      <c r="AJ70" t="s">
        <v>3532</v>
      </c>
      <c r="AK70" t="s">
        <v>3951</v>
      </c>
      <c r="AL70" t="s">
        <v>3530</v>
      </c>
      <c r="AM70" t="s">
        <v>3531</v>
      </c>
      <c r="AN70" t="s">
        <v>3952</v>
      </c>
      <c r="AO70" t="s">
        <v>3662</v>
      </c>
      <c r="AP70" t="s">
        <v>231</v>
      </c>
      <c r="AQ70" t="s">
        <v>231</v>
      </c>
      <c r="AR70" t="s">
        <v>231</v>
      </c>
      <c r="AS70" t="s">
        <v>231</v>
      </c>
      <c r="AT70" t="s">
        <v>231</v>
      </c>
      <c r="AU70" t="s">
        <v>231</v>
      </c>
      <c r="AV70" t="s">
        <v>231</v>
      </c>
      <c r="AW70" t="s">
        <v>231</v>
      </c>
      <c r="AX70" t="s">
        <v>231</v>
      </c>
      <c r="AY70" t="s">
        <v>231</v>
      </c>
      <c r="AZ70" t="s">
        <v>231</v>
      </c>
      <c r="BA70" t="s">
        <v>231</v>
      </c>
      <c r="BB70" t="s">
        <v>231</v>
      </c>
      <c r="BC70" t="s">
        <v>231</v>
      </c>
      <c r="BD70" t="s">
        <v>231</v>
      </c>
      <c r="BE70" t="s">
        <v>231</v>
      </c>
      <c r="BF70" t="s">
        <v>231</v>
      </c>
      <c r="BG70" t="s">
        <v>231</v>
      </c>
      <c r="BH70" t="s">
        <v>231</v>
      </c>
      <c r="BI70" t="s">
        <v>231</v>
      </c>
      <c r="BJ70" t="s">
        <v>231</v>
      </c>
      <c r="BK70" t="s">
        <v>231</v>
      </c>
      <c r="BL70" t="s">
        <v>231</v>
      </c>
      <c r="BM70" t="s">
        <v>231</v>
      </c>
      <c r="BN70" t="s">
        <v>231</v>
      </c>
      <c r="BO70" t="s">
        <v>231</v>
      </c>
      <c r="BP70" t="s">
        <v>231</v>
      </c>
      <c r="BQ70" t="s">
        <v>231</v>
      </c>
      <c r="BR70" t="s">
        <v>231</v>
      </c>
      <c r="BS70" t="s">
        <v>231</v>
      </c>
      <c r="BT70" t="s">
        <v>231</v>
      </c>
      <c r="BU70" t="s">
        <v>231</v>
      </c>
      <c r="BV70" t="s">
        <v>231</v>
      </c>
      <c r="BW70" t="s">
        <v>231</v>
      </c>
      <c r="BX70" t="s">
        <v>231</v>
      </c>
      <c r="BY70" t="s">
        <v>231</v>
      </c>
      <c r="BZ70" t="s">
        <v>231</v>
      </c>
      <c r="CA70" t="s">
        <v>231</v>
      </c>
      <c r="CB70" t="s">
        <v>231</v>
      </c>
      <c r="CC70" t="s">
        <v>231</v>
      </c>
      <c r="CD70" t="s">
        <v>231</v>
      </c>
      <c r="CE70" t="s">
        <v>231</v>
      </c>
      <c r="CF70" t="s">
        <v>231</v>
      </c>
      <c r="CG70" t="s">
        <v>231</v>
      </c>
      <c r="CH70" t="s">
        <v>231</v>
      </c>
      <c r="CI70" t="s">
        <v>231</v>
      </c>
      <c r="CJ70" t="s">
        <v>231</v>
      </c>
      <c r="CK70" t="s">
        <v>231</v>
      </c>
      <c r="CL70" t="s">
        <v>231</v>
      </c>
      <c r="CM70" t="s">
        <v>231</v>
      </c>
      <c r="CN70" t="s">
        <v>231</v>
      </c>
      <c r="CO70" t="s">
        <v>231</v>
      </c>
      <c r="CP70" t="s">
        <v>231</v>
      </c>
      <c r="CQ70" t="s">
        <v>231</v>
      </c>
      <c r="CR70" t="s">
        <v>231</v>
      </c>
      <c r="CS70" t="s">
        <v>231</v>
      </c>
      <c r="CT70" t="s">
        <v>3534</v>
      </c>
      <c r="CU70" t="s">
        <v>3535</v>
      </c>
      <c r="CV70" t="s">
        <v>3536</v>
      </c>
      <c r="CW70" t="s">
        <v>3537</v>
      </c>
      <c r="CX70" t="s">
        <v>223</v>
      </c>
      <c r="CY70" t="s">
        <v>3536</v>
      </c>
      <c r="CZ70" t="s">
        <v>3538</v>
      </c>
      <c r="DA70" t="s">
        <v>3539</v>
      </c>
      <c r="DB70" t="s">
        <v>3537</v>
      </c>
      <c r="DC70" t="s">
        <v>363</v>
      </c>
      <c r="DD70" t="s">
        <v>282</v>
      </c>
      <c r="DE70" t="s">
        <v>3953</v>
      </c>
    </row>
    <row r="71" spans="1:109" ht="11.25" customHeight="1">
      <c r="A71" s="1314" t="s">
        <v>231</v>
      </c>
      <c r="B71" t="s">
        <v>231</v>
      </c>
      <c r="C71" t="s">
        <v>231</v>
      </c>
      <c r="D71" t="s">
        <v>231</v>
      </c>
      <c r="E71" t="s">
        <v>231</v>
      </c>
      <c r="F71" t="s">
        <v>231</v>
      </c>
      <c r="G71" t="s">
        <v>231</v>
      </c>
      <c r="H71" t="s">
        <v>231</v>
      </c>
      <c r="I71" t="s">
        <v>3521</v>
      </c>
      <c r="J71" t="s">
        <v>231</v>
      </c>
      <c r="K71" t="s">
        <v>231</v>
      </c>
      <c r="L71" t="s">
        <v>231</v>
      </c>
      <c r="M71" t="s">
        <v>231</v>
      </c>
      <c r="N71" t="s">
        <v>231</v>
      </c>
      <c r="O71" t="s">
        <v>231</v>
      </c>
      <c r="P71" t="s">
        <v>231</v>
      </c>
      <c r="Q71" t="s">
        <v>231</v>
      </c>
      <c r="R71" t="s">
        <v>3954</v>
      </c>
      <c r="S71" t="s">
        <v>231</v>
      </c>
      <c r="T71" t="s">
        <v>231</v>
      </c>
      <c r="U71" t="s">
        <v>101</v>
      </c>
      <c r="V71" t="s">
        <v>231</v>
      </c>
      <c r="W71" t="s">
        <v>231</v>
      </c>
      <c r="X71" t="s">
        <v>3955</v>
      </c>
      <c r="Y71" t="s">
        <v>231</v>
      </c>
      <c r="Z71" t="s">
        <v>151</v>
      </c>
      <c r="AA71" t="s">
        <v>160</v>
      </c>
      <c r="AB71" t="s">
        <v>151</v>
      </c>
      <c r="AC71" t="s">
        <v>343</v>
      </c>
      <c r="AD71" t="s">
        <v>343</v>
      </c>
      <c r="AE71" t="s">
        <v>344</v>
      </c>
      <c r="AF71" t="s">
        <v>3561</v>
      </c>
      <c r="AG71" t="s">
        <v>3562</v>
      </c>
      <c r="AH71" t="s">
        <v>3609</v>
      </c>
      <c r="AI71" t="s">
        <v>3610</v>
      </c>
      <c r="AJ71" t="s">
        <v>231</v>
      </c>
      <c r="AK71" t="s">
        <v>231</v>
      </c>
      <c r="AL71" t="s">
        <v>231</v>
      </c>
      <c r="AM71" t="s">
        <v>231</v>
      </c>
      <c r="AN71" t="s">
        <v>231</v>
      </c>
      <c r="AO71" t="s">
        <v>231</v>
      </c>
      <c r="AP71" t="s">
        <v>3956</v>
      </c>
      <c r="AQ71" t="s">
        <v>3957</v>
      </c>
      <c r="AR71" t="s">
        <v>111</v>
      </c>
      <c r="AS71" t="s">
        <v>3632</v>
      </c>
      <c r="AT71" t="s">
        <v>122</v>
      </c>
      <c r="AU71" t="s">
        <v>231</v>
      </c>
      <c r="AV71" t="s">
        <v>3958</v>
      </c>
      <c r="AW71" t="s">
        <v>2258</v>
      </c>
      <c r="AX71" t="s">
        <v>2258</v>
      </c>
      <c r="AY71" t="s">
        <v>3959</v>
      </c>
      <c r="AZ71" t="s">
        <v>3960</v>
      </c>
      <c r="BA71" t="s">
        <v>3961</v>
      </c>
      <c r="BB71" t="s">
        <v>3609</v>
      </c>
      <c r="BC71" t="s">
        <v>3610</v>
      </c>
      <c r="BD71" t="s">
        <v>3962</v>
      </c>
      <c r="BE71" t="s">
        <v>231</v>
      </c>
      <c r="BF71" t="s">
        <v>231</v>
      </c>
      <c r="BG71" t="s">
        <v>231</v>
      </c>
      <c r="BH71" t="s">
        <v>231</v>
      </c>
      <c r="BI71" t="s">
        <v>231</v>
      </c>
      <c r="BJ71" t="s">
        <v>231</v>
      </c>
      <c r="BK71" t="s">
        <v>231</v>
      </c>
      <c r="BL71" t="s">
        <v>231</v>
      </c>
      <c r="BM71" t="s">
        <v>231</v>
      </c>
      <c r="BN71" t="s">
        <v>231</v>
      </c>
      <c r="BO71" t="s">
        <v>231</v>
      </c>
      <c r="BP71" t="s">
        <v>231</v>
      </c>
      <c r="BQ71" t="s">
        <v>231</v>
      </c>
      <c r="BR71" t="s">
        <v>231</v>
      </c>
      <c r="BS71" t="s">
        <v>231</v>
      </c>
      <c r="BT71" t="s">
        <v>231</v>
      </c>
      <c r="BU71" t="s">
        <v>231</v>
      </c>
      <c r="BV71" t="s">
        <v>231</v>
      </c>
      <c r="BW71" t="s">
        <v>231</v>
      </c>
      <c r="BX71" t="s">
        <v>231</v>
      </c>
      <c r="BY71" t="s">
        <v>231</v>
      </c>
      <c r="BZ71" t="s">
        <v>231</v>
      </c>
      <c r="CA71" t="s">
        <v>231</v>
      </c>
      <c r="CB71" t="s">
        <v>231</v>
      </c>
      <c r="CC71" t="s">
        <v>231</v>
      </c>
      <c r="CD71" t="s">
        <v>231</v>
      </c>
      <c r="CE71" t="s">
        <v>231</v>
      </c>
      <c r="CF71" t="s">
        <v>231</v>
      </c>
      <c r="CG71" t="s">
        <v>231</v>
      </c>
      <c r="CH71" t="s">
        <v>231</v>
      </c>
      <c r="CI71" t="s">
        <v>231</v>
      </c>
      <c r="CJ71" t="s">
        <v>231</v>
      </c>
      <c r="CK71" t="s">
        <v>231</v>
      </c>
      <c r="CL71" t="s">
        <v>231</v>
      </c>
      <c r="CM71" t="s">
        <v>231</v>
      </c>
      <c r="CN71" t="s">
        <v>231</v>
      </c>
      <c r="CO71" t="s">
        <v>231</v>
      </c>
      <c r="CP71" t="s">
        <v>231</v>
      </c>
      <c r="CQ71" t="s">
        <v>231</v>
      </c>
      <c r="CR71" t="s">
        <v>231</v>
      </c>
      <c r="CS71" t="s">
        <v>231</v>
      </c>
      <c r="CT71" t="s">
        <v>3534</v>
      </c>
      <c r="CU71" t="s">
        <v>3535</v>
      </c>
      <c r="CV71" t="s">
        <v>3536</v>
      </c>
      <c r="CW71" t="s">
        <v>3569</v>
      </c>
      <c r="CX71" t="s">
        <v>3570</v>
      </c>
      <c r="CY71" t="s">
        <v>3536</v>
      </c>
      <c r="CZ71" t="s">
        <v>224</v>
      </c>
      <c r="DA71" t="s">
        <v>3571</v>
      </c>
      <c r="DB71" t="s">
        <v>3569</v>
      </c>
      <c r="DC71" t="s">
        <v>363</v>
      </c>
      <c r="DD71" t="s">
        <v>282</v>
      </c>
      <c r="DE71" t="s">
        <v>3614</v>
      </c>
    </row>
    <row r="72" spans="1:109" ht="11.25" customHeight="1">
      <c r="A72" s="1314" t="s">
        <v>231</v>
      </c>
      <c r="B72" t="s">
        <v>231</v>
      </c>
      <c r="C72" t="s">
        <v>231</v>
      </c>
      <c r="D72" t="s">
        <v>231</v>
      </c>
      <c r="E72" t="s">
        <v>231</v>
      </c>
      <c r="F72" t="s">
        <v>231</v>
      </c>
      <c r="G72" t="s">
        <v>231</v>
      </c>
      <c r="H72" t="s">
        <v>231</v>
      </c>
      <c r="I72" t="s">
        <v>3521</v>
      </c>
      <c r="J72" t="s">
        <v>231</v>
      </c>
      <c r="K72" t="s">
        <v>231</v>
      </c>
      <c r="L72" t="s">
        <v>231</v>
      </c>
      <c r="M72" t="s">
        <v>231</v>
      </c>
      <c r="N72" t="s">
        <v>231</v>
      </c>
      <c r="O72" t="s">
        <v>231</v>
      </c>
      <c r="P72" t="s">
        <v>231</v>
      </c>
      <c r="Q72" t="s">
        <v>231</v>
      </c>
      <c r="R72" t="s">
        <v>3685</v>
      </c>
      <c r="S72" t="s">
        <v>231</v>
      </c>
      <c r="T72" t="s">
        <v>231</v>
      </c>
      <c r="U72" t="s">
        <v>101</v>
      </c>
      <c r="V72" t="s">
        <v>231</v>
      </c>
      <c r="W72" t="s">
        <v>231</v>
      </c>
      <c r="X72" t="s">
        <v>3628</v>
      </c>
      <c r="Y72" t="s">
        <v>231</v>
      </c>
      <c r="Z72" t="s">
        <v>151</v>
      </c>
      <c r="AA72" t="s">
        <v>151</v>
      </c>
      <c r="AB72" t="s">
        <v>160</v>
      </c>
      <c r="AC72" t="s">
        <v>2283</v>
      </c>
      <c r="AD72" t="s">
        <v>2283</v>
      </c>
      <c r="AE72" t="s">
        <v>2284</v>
      </c>
      <c r="AF72" t="s">
        <v>3963</v>
      </c>
      <c r="AG72" t="s">
        <v>3964</v>
      </c>
      <c r="AH72" t="s">
        <v>3965</v>
      </c>
      <c r="AI72" t="s">
        <v>3688</v>
      </c>
      <c r="AJ72" t="s">
        <v>231</v>
      </c>
      <c r="AK72" t="s">
        <v>231</v>
      </c>
      <c r="AL72" t="s">
        <v>231</v>
      </c>
      <c r="AM72" t="s">
        <v>231</v>
      </c>
      <c r="AN72" t="s">
        <v>231</v>
      </c>
      <c r="AO72" t="s">
        <v>231</v>
      </c>
      <c r="AP72" t="s">
        <v>231</v>
      </c>
      <c r="AQ72" t="s">
        <v>231</v>
      </c>
      <c r="AR72" t="s">
        <v>231</v>
      </c>
      <c r="AS72" t="s">
        <v>231</v>
      </c>
      <c r="AT72" t="s">
        <v>231</v>
      </c>
      <c r="AU72" t="s">
        <v>231</v>
      </c>
      <c r="AV72" t="s">
        <v>231</v>
      </c>
      <c r="AW72" t="s">
        <v>231</v>
      </c>
      <c r="AX72" t="s">
        <v>231</v>
      </c>
      <c r="AY72" t="s">
        <v>231</v>
      </c>
      <c r="AZ72" t="s">
        <v>231</v>
      </c>
      <c r="BA72" t="s">
        <v>231</v>
      </c>
      <c r="BB72" t="s">
        <v>231</v>
      </c>
      <c r="BC72" t="s">
        <v>231</v>
      </c>
      <c r="BD72" t="s">
        <v>231</v>
      </c>
      <c r="BE72" t="s">
        <v>3689</v>
      </c>
      <c r="BF72" t="s">
        <v>3689</v>
      </c>
      <c r="BG72" t="s">
        <v>111</v>
      </c>
      <c r="BH72" t="s">
        <v>3632</v>
      </c>
      <c r="BI72" t="s">
        <v>122</v>
      </c>
      <c r="BJ72" t="s">
        <v>231</v>
      </c>
      <c r="BK72" t="s">
        <v>3651</v>
      </c>
      <c r="BL72" t="s">
        <v>2283</v>
      </c>
      <c r="BM72" t="s">
        <v>2283</v>
      </c>
      <c r="BN72" t="s">
        <v>3690</v>
      </c>
      <c r="BO72" t="s">
        <v>3963</v>
      </c>
      <c r="BP72" t="s">
        <v>3966</v>
      </c>
      <c r="BQ72" t="s">
        <v>3967</v>
      </c>
      <c r="BR72" t="s">
        <v>1679</v>
      </c>
      <c r="BS72" t="s">
        <v>231</v>
      </c>
      <c r="BT72" t="s">
        <v>3694</v>
      </c>
      <c r="BU72" t="s">
        <v>3968</v>
      </c>
      <c r="BV72" t="s">
        <v>3968</v>
      </c>
      <c r="BW72" t="s">
        <v>3641</v>
      </c>
      <c r="BX72" t="s">
        <v>3641</v>
      </c>
      <c r="BY72" t="s">
        <v>3641</v>
      </c>
      <c r="BZ72" t="s">
        <v>3641</v>
      </c>
      <c r="CA72" t="s">
        <v>3641</v>
      </c>
      <c r="CB72" t="s">
        <v>231</v>
      </c>
      <c r="CC72" t="s">
        <v>231</v>
      </c>
      <c r="CD72" t="s">
        <v>231</v>
      </c>
      <c r="CE72" t="s">
        <v>231</v>
      </c>
      <c r="CF72" t="s">
        <v>231</v>
      </c>
      <c r="CG72" t="s">
        <v>3641</v>
      </c>
      <c r="CH72" t="s">
        <v>231</v>
      </c>
      <c r="CI72" t="s">
        <v>231</v>
      </c>
      <c r="CJ72" t="s">
        <v>231</v>
      </c>
      <c r="CK72" t="s">
        <v>231</v>
      </c>
      <c r="CL72" t="s">
        <v>231</v>
      </c>
      <c r="CM72" t="s">
        <v>3968</v>
      </c>
      <c r="CN72" t="s">
        <v>3968</v>
      </c>
      <c r="CO72" t="s">
        <v>231</v>
      </c>
      <c r="CP72" t="s">
        <v>231</v>
      </c>
      <c r="CQ72" t="s">
        <v>231</v>
      </c>
      <c r="CR72" t="s">
        <v>231</v>
      </c>
      <c r="CS72" t="s">
        <v>3549</v>
      </c>
      <c r="CT72" t="s">
        <v>3534</v>
      </c>
      <c r="CU72" t="s">
        <v>3535</v>
      </c>
      <c r="CV72" t="s">
        <v>3536</v>
      </c>
      <c r="CW72" t="s">
        <v>3551</v>
      </c>
      <c r="CX72" t="s">
        <v>223</v>
      </c>
      <c r="CY72" t="s">
        <v>3536</v>
      </c>
      <c r="CZ72" t="s">
        <v>3552</v>
      </c>
      <c r="DA72" t="s">
        <v>3553</v>
      </c>
      <c r="DB72" t="s">
        <v>3551</v>
      </c>
      <c r="DC72" t="s">
        <v>363</v>
      </c>
      <c r="DD72" t="s">
        <v>282</v>
      </c>
      <c r="DE72" t="s">
        <v>3969</v>
      </c>
    </row>
    <row r="73" spans="1:109" ht="11.25" customHeight="1">
      <c r="A73" s="1314" t="s">
        <v>231</v>
      </c>
      <c r="B73" t="s">
        <v>231</v>
      </c>
      <c r="C73" t="s">
        <v>231</v>
      </c>
      <c r="D73" t="s">
        <v>231</v>
      </c>
      <c r="E73" t="s">
        <v>231</v>
      </c>
      <c r="F73" t="s">
        <v>231</v>
      </c>
      <c r="G73" t="s">
        <v>231</v>
      </c>
      <c r="H73" t="s">
        <v>231</v>
      </c>
      <c r="I73" t="s">
        <v>3521</v>
      </c>
      <c r="J73" t="s">
        <v>231</v>
      </c>
      <c r="K73" t="s">
        <v>231</v>
      </c>
      <c r="L73" t="s">
        <v>231</v>
      </c>
      <c r="M73" t="s">
        <v>231</v>
      </c>
      <c r="N73" t="s">
        <v>231</v>
      </c>
      <c r="O73" t="s">
        <v>231</v>
      </c>
      <c r="P73" t="s">
        <v>231</v>
      </c>
      <c r="Q73" t="s">
        <v>231</v>
      </c>
      <c r="R73" t="s">
        <v>3749</v>
      </c>
      <c r="S73" t="s">
        <v>231</v>
      </c>
      <c r="T73" t="s">
        <v>231</v>
      </c>
      <c r="U73" t="s">
        <v>101</v>
      </c>
      <c r="V73" t="s">
        <v>231</v>
      </c>
      <c r="W73" t="s">
        <v>231</v>
      </c>
      <c r="X73" t="s">
        <v>3628</v>
      </c>
      <c r="Y73" t="s">
        <v>231</v>
      </c>
      <c r="Z73" t="s">
        <v>151</v>
      </c>
      <c r="AA73" t="s">
        <v>151</v>
      </c>
      <c r="AB73" t="s">
        <v>160</v>
      </c>
      <c r="AC73" t="s">
        <v>2283</v>
      </c>
      <c r="AD73" t="s">
        <v>2283</v>
      </c>
      <c r="AE73" t="s">
        <v>2284</v>
      </c>
      <c r="AF73" t="s">
        <v>3963</v>
      </c>
      <c r="AG73" t="s">
        <v>3964</v>
      </c>
      <c r="AH73" t="s">
        <v>3970</v>
      </c>
      <c r="AI73" t="s">
        <v>3688</v>
      </c>
      <c r="AJ73" t="s">
        <v>231</v>
      </c>
      <c r="AK73" t="s">
        <v>231</v>
      </c>
      <c r="AL73" t="s">
        <v>231</v>
      </c>
      <c r="AM73" t="s">
        <v>231</v>
      </c>
      <c r="AN73" t="s">
        <v>231</v>
      </c>
      <c r="AO73" t="s">
        <v>231</v>
      </c>
      <c r="AP73" t="s">
        <v>231</v>
      </c>
      <c r="AQ73" t="s">
        <v>231</v>
      </c>
      <c r="AR73" t="s">
        <v>231</v>
      </c>
      <c r="AS73" t="s">
        <v>231</v>
      </c>
      <c r="AT73" t="s">
        <v>231</v>
      </c>
      <c r="AU73" t="s">
        <v>231</v>
      </c>
      <c r="AV73" t="s">
        <v>231</v>
      </c>
      <c r="AW73" t="s">
        <v>231</v>
      </c>
      <c r="AX73" t="s">
        <v>231</v>
      </c>
      <c r="AY73" t="s">
        <v>231</v>
      </c>
      <c r="AZ73" t="s">
        <v>231</v>
      </c>
      <c r="BA73" t="s">
        <v>231</v>
      </c>
      <c r="BB73" t="s">
        <v>231</v>
      </c>
      <c r="BC73" t="s">
        <v>231</v>
      </c>
      <c r="BD73" t="s">
        <v>231</v>
      </c>
      <c r="BE73" t="s">
        <v>3689</v>
      </c>
      <c r="BF73" t="s">
        <v>3689</v>
      </c>
      <c r="BG73" t="s">
        <v>111</v>
      </c>
      <c r="BH73" t="s">
        <v>3632</v>
      </c>
      <c r="BI73" t="s">
        <v>122</v>
      </c>
      <c r="BJ73" t="s">
        <v>231</v>
      </c>
      <c r="BK73" t="s">
        <v>3651</v>
      </c>
      <c r="BL73" t="s">
        <v>2283</v>
      </c>
      <c r="BM73" t="s">
        <v>2283</v>
      </c>
      <c r="BN73" t="s">
        <v>3690</v>
      </c>
      <c r="BO73" t="s">
        <v>3963</v>
      </c>
      <c r="BP73" t="s">
        <v>3966</v>
      </c>
      <c r="BQ73" t="s">
        <v>3971</v>
      </c>
      <c r="BR73" t="s">
        <v>1679</v>
      </c>
      <c r="BS73" t="s">
        <v>231</v>
      </c>
      <c r="BT73" t="s">
        <v>3694</v>
      </c>
      <c r="BU73" t="s">
        <v>3972</v>
      </c>
      <c r="BV73" t="s">
        <v>3972</v>
      </c>
      <c r="BW73" t="s">
        <v>3641</v>
      </c>
      <c r="BX73" t="s">
        <v>3641</v>
      </c>
      <c r="BY73" t="s">
        <v>3641</v>
      </c>
      <c r="BZ73" t="s">
        <v>3641</v>
      </c>
      <c r="CA73" t="s">
        <v>3641</v>
      </c>
      <c r="CB73" t="s">
        <v>231</v>
      </c>
      <c r="CC73" t="s">
        <v>231</v>
      </c>
      <c r="CD73" t="s">
        <v>231</v>
      </c>
      <c r="CE73" t="s">
        <v>231</v>
      </c>
      <c r="CF73" t="s">
        <v>231</v>
      </c>
      <c r="CG73" t="s">
        <v>3641</v>
      </c>
      <c r="CH73" t="s">
        <v>231</v>
      </c>
      <c r="CI73" t="s">
        <v>231</v>
      </c>
      <c r="CJ73" t="s">
        <v>231</v>
      </c>
      <c r="CK73" t="s">
        <v>231</v>
      </c>
      <c r="CL73" t="s">
        <v>231</v>
      </c>
      <c r="CM73" t="s">
        <v>3972</v>
      </c>
      <c r="CN73" t="s">
        <v>3972</v>
      </c>
      <c r="CO73" t="s">
        <v>231</v>
      </c>
      <c r="CP73" t="s">
        <v>231</v>
      </c>
      <c r="CQ73" t="s">
        <v>231</v>
      </c>
      <c r="CR73" t="s">
        <v>231</v>
      </c>
      <c r="CS73" t="s">
        <v>3549</v>
      </c>
      <c r="CT73" t="s">
        <v>3534</v>
      </c>
      <c r="CU73" t="s">
        <v>3535</v>
      </c>
      <c r="CV73" t="s">
        <v>3536</v>
      </c>
      <c r="CW73" t="s">
        <v>3551</v>
      </c>
      <c r="CX73" t="s">
        <v>223</v>
      </c>
      <c r="CY73" t="s">
        <v>3536</v>
      </c>
      <c r="CZ73" t="s">
        <v>3552</v>
      </c>
      <c r="DA73" t="s">
        <v>3553</v>
      </c>
      <c r="DB73" t="s">
        <v>3551</v>
      </c>
      <c r="DC73" t="s">
        <v>363</v>
      </c>
      <c r="DD73" t="s">
        <v>282</v>
      </c>
      <c r="DE73" t="s">
        <v>3973</v>
      </c>
    </row>
    <row r="74" spans="1:109" ht="11.25" customHeight="1">
      <c r="A74" s="1314" t="s">
        <v>231</v>
      </c>
      <c r="B74" t="s">
        <v>231</v>
      </c>
      <c r="C74" t="s">
        <v>231</v>
      </c>
      <c r="D74" t="s">
        <v>231</v>
      </c>
      <c r="E74" t="s">
        <v>231</v>
      </c>
      <c r="F74" t="s">
        <v>231</v>
      </c>
      <c r="G74" t="s">
        <v>231</v>
      </c>
      <c r="H74" t="s">
        <v>231</v>
      </c>
      <c r="I74" t="s">
        <v>3521</v>
      </c>
      <c r="J74" t="s">
        <v>231</v>
      </c>
      <c r="K74" t="s">
        <v>231</v>
      </c>
      <c r="L74" t="s">
        <v>231</v>
      </c>
      <c r="M74" t="s">
        <v>231</v>
      </c>
      <c r="N74" t="s">
        <v>231</v>
      </c>
      <c r="O74" t="s">
        <v>231</v>
      </c>
      <c r="P74" t="s">
        <v>231</v>
      </c>
      <c r="Q74" t="s">
        <v>231</v>
      </c>
      <c r="R74" t="s">
        <v>3974</v>
      </c>
      <c r="S74" t="s">
        <v>231</v>
      </c>
      <c r="T74" t="s">
        <v>231</v>
      </c>
      <c r="U74" t="s">
        <v>101</v>
      </c>
      <c r="V74" t="s">
        <v>231</v>
      </c>
      <c r="W74" t="s">
        <v>231</v>
      </c>
      <c r="X74" t="s">
        <v>3523</v>
      </c>
      <c r="Y74" t="s">
        <v>231</v>
      </c>
      <c r="Z74" t="s">
        <v>160</v>
      </c>
      <c r="AA74" t="s">
        <v>151</v>
      </c>
      <c r="AB74" t="s">
        <v>151</v>
      </c>
      <c r="AC74" t="s">
        <v>2289</v>
      </c>
      <c r="AD74" t="s">
        <v>2289</v>
      </c>
      <c r="AE74" t="s">
        <v>2290</v>
      </c>
      <c r="AF74" t="s">
        <v>3582</v>
      </c>
      <c r="AG74" t="s">
        <v>3583</v>
      </c>
      <c r="AH74" t="s">
        <v>3584</v>
      </c>
      <c r="AI74" t="s">
        <v>3975</v>
      </c>
      <c r="AJ74" t="s">
        <v>3546</v>
      </c>
      <c r="AK74" t="s">
        <v>3775</v>
      </c>
      <c r="AL74" t="s">
        <v>3548</v>
      </c>
      <c r="AM74" t="s">
        <v>3531</v>
      </c>
      <c r="AN74" t="s">
        <v>3529</v>
      </c>
      <c r="AO74" t="s">
        <v>3588</v>
      </c>
      <c r="AP74" t="s">
        <v>231</v>
      </c>
      <c r="AQ74" t="s">
        <v>231</v>
      </c>
      <c r="AR74" t="s">
        <v>231</v>
      </c>
      <c r="AS74" t="s">
        <v>231</v>
      </c>
      <c r="AT74" t="s">
        <v>231</v>
      </c>
      <c r="AU74" t="s">
        <v>231</v>
      </c>
      <c r="AV74" t="s">
        <v>231</v>
      </c>
      <c r="AW74" t="s">
        <v>231</v>
      </c>
      <c r="AX74" t="s">
        <v>231</v>
      </c>
      <c r="AY74" t="s">
        <v>231</v>
      </c>
      <c r="AZ74" t="s">
        <v>231</v>
      </c>
      <c r="BA74" t="s">
        <v>231</v>
      </c>
      <c r="BB74" t="s">
        <v>231</v>
      </c>
      <c r="BC74" t="s">
        <v>231</v>
      </c>
      <c r="BD74" t="s">
        <v>231</v>
      </c>
      <c r="BE74" t="s">
        <v>231</v>
      </c>
      <c r="BF74" t="s">
        <v>231</v>
      </c>
      <c r="BG74" t="s">
        <v>231</v>
      </c>
      <c r="BH74" t="s">
        <v>231</v>
      </c>
      <c r="BI74" t="s">
        <v>231</v>
      </c>
      <c r="BJ74" t="s">
        <v>231</v>
      </c>
      <c r="BK74" t="s">
        <v>231</v>
      </c>
      <c r="BL74" t="s">
        <v>231</v>
      </c>
      <c r="BM74" t="s">
        <v>231</v>
      </c>
      <c r="BN74" t="s">
        <v>231</v>
      </c>
      <c r="BO74" t="s">
        <v>231</v>
      </c>
      <c r="BP74" t="s">
        <v>231</v>
      </c>
      <c r="BQ74" t="s">
        <v>231</v>
      </c>
      <c r="BR74" t="s">
        <v>231</v>
      </c>
      <c r="BS74" t="s">
        <v>231</v>
      </c>
      <c r="BT74" t="s">
        <v>231</v>
      </c>
      <c r="BU74" t="s">
        <v>231</v>
      </c>
      <c r="BV74" t="s">
        <v>231</v>
      </c>
      <c r="BW74" t="s">
        <v>231</v>
      </c>
      <c r="BX74" t="s">
        <v>231</v>
      </c>
      <c r="BY74" t="s">
        <v>231</v>
      </c>
      <c r="BZ74" t="s">
        <v>231</v>
      </c>
      <c r="CA74" t="s">
        <v>231</v>
      </c>
      <c r="CB74" t="s">
        <v>231</v>
      </c>
      <c r="CC74" t="s">
        <v>231</v>
      </c>
      <c r="CD74" t="s">
        <v>231</v>
      </c>
      <c r="CE74" t="s">
        <v>231</v>
      </c>
      <c r="CF74" t="s">
        <v>231</v>
      </c>
      <c r="CG74" t="s">
        <v>231</v>
      </c>
      <c r="CH74" t="s">
        <v>231</v>
      </c>
      <c r="CI74" t="s">
        <v>231</v>
      </c>
      <c r="CJ74" t="s">
        <v>231</v>
      </c>
      <c r="CK74" t="s">
        <v>231</v>
      </c>
      <c r="CL74" t="s">
        <v>231</v>
      </c>
      <c r="CM74" t="s">
        <v>231</v>
      </c>
      <c r="CN74" t="s">
        <v>231</v>
      </c>
      <c r="CO74" t="s">
        <v>231</v>
      </c>
      <c r="CP74" t="s">
        <v>231</v>
      </c>
      <c r="CQ74" t="s">
        <v>231</v>
      </c>
      <c r="CR74" t="s">
        <v>231</v>
      </c>
      <c r="CS74" t="s">
        <v>231</v>
      </c>
      <c r="CT74" t="s">
        <v>3534</v>
      </c>
      <c r="CU74" t="s">
        <v>3535</v>
      </c>
      <c r="CV74" t="s">
        <v>3536</v>
      </c>
      <c r="CW74" t="s">
        <v>3589</v>
      </c>
      <c r="CX74" t="s">
        <v>223</v>
      </c>
      <c r="CY74" t="s">
        <v>3536</v>
      </c>
      <c r="CZ74" t="s">
        <v>3590</v>
      </c>
      <c r="DA74" t="s">
        <v>3591</v>
      </c>
      <c r="DB74" t="s">
        <v>3589</v>
      </c>
      <c r="DC74" t="s">
        <v>363</v>
      </c>
      <c r="DD74" t="s">
        <v>282</v>
      </c>
      <c r="DE74" t="s">
        <v>3976</v>
      </c>
    </row>
    <row r="75" spans="1:109" ht="11.25" customHeight="1">
      <c r="A75" s="1314" t="s">
        <v>231</v>
      </c>
      <c r="B75" t="s">
        <v>231</v>
      </c>
      <c r="C75" t="s">
        <v>231</v>
      </c>
      <c r="D75" t="s">
        <v>231</v>
      </c>
      <c r="E75" t="s">
        <v>231</v>
      </c>
      <c r="F75" t="s">
        <v>231</v>
      </c>
      <c r="G75" t="s">
        <v>231</v>
      </c>
      <c r="H75" t="s">
        <v>231</v>
      </c>
      <c r="I75" t="s">
        <v>3521</v>
      </c>
      <c r="J75" t="s">
        <v>231</v>
      </c>
      <c r="K75" t="s">
        <v>231</v>
      </c>
      <c r="L75" t="s">
        <v>231</v>
      </c>
      <c r="M75" t="s">
        <v>231</v>
      </c>
      <c r="N75" t="s">
        <v>231</v>
      </c>
      <c r="O75" t="s">
        <v>231</v>
      </c>
      <c r="P75" t="s">
        <v>231</v>
      </c>
      <c r="Q75" t="s">
        <v>231</v>
      </c>
      <c r="R75" t="s">
        <v>3977</v>
      </c>
      <c r="S75" t="s">
        <v>231</v>
      </c>
      <c r="T75" t="s">
        <v>231</v>
      </c>
      <c r="U75" t="s">
        <v>101</v>
      </c>
      <c r="V75" t="s">
        <v>231</v>
      </c>
      <c r="W75" t="s">
        <v>231</v>
      </c>
      <c r="X75" t="s">
        <v>3523</v>
      </c>
      <c r="Y75" t="s">
        <v>231</v>
      </c>
      <c r="Z75" t="s">
        <v>160</v>
      </c>
      <c r="AA75" t="s">
        <v>151</v>
      </c>
      <c r="AB75" t="s">
        <v>151</v>
      </c>
      <c r="AC75" t="s">
        <v>2289</v>
      </c>
      <c r="AD75" t="s">
        <v>2289</v>
      </c>
      <c r="AE75" t="s">
        <v>2290</v>
      </c>
      <c r="AF75" t="s">
        <v>3582</v>
      </c>
      <c r="AG75" t="s">
        <v>3583</v>
      </c>
      <c r="AH75" t="s">
        <v>3584</v>
      </c>
      <c r="AI75" t="s">
        <v>3978</v>
      </c>
      <c r="AJ75" t="s">
        <v>3546</v>
      </c>
      <c r="AK75" t="s">
        <v>3820</v>
      </c>
      <c r="AL75" t="s">
        <v>3548</v>
      </c>
      <c r="AM75" t="s">
        <v>3531</v>
      </c>
      <c r="AN75" t="s">
        <v>3529</v>
      </c>
      <c r="AO75" t="s">
        <v>3588</v>
      </c>
      <c r="AP75" t="s">
        <v>231</v>
      </c>
      <c r="AQ75" t="s">
        <v>231</v>
      </c>
      <c r="AR75" t="s">
        <v>231</v>
      </c>
      <c r="AS75" t="s">
        <v>231</v>
      </c>
      <c r="AT75" t="s">
        <v>231</v>
      </c>
      <c r="AU75" t="s">
        <v>231</v>
      </c>
      <c r="AV75" t="s">
        <v>231</v>
      </c>
      <c r="AW75" t="s">
        <v>231</v>
      </c>
      <c r="AX75" t="s">
        <v>231</v>
      </c>
      <c r="AY75" t="s">
        <v>231</v>
      </c>
      <c r="AZ75" t="s">
        <v>231</v>
      </c>
      <c r="BA75" t="s">
        <v>231</v>
      </c>
      <c r="BB75" t="s">
        <v>231</v>
      </c>
      <c r="BC75" t="s">
        <v>231</v>
      </c>
      <c r="BD75" t="s">
        <v>231</v>
      </c>
      <c r="BE75" t="s">
        <v>231</v>
      </c>
      <c r="BF75" t="s">
        <v>231</v>
      </c>
      <c r="BG75" t="s">
        <v>231</v>
      </c>
      <c r="BH75" t="s">
        <v>231</v>
      </c>
      <c r="BI75" t="s">
        <v>231</v>
      </c>
      <c r="BJ75" t="s">
        <v>231</v>
      </c>
      <c r="BK75" t="s">
        <v>231</v>
      </c>
      <c r="BL75" t="s">
        <v>231</v>
      </c>
      <c r="BM75" t="s">
        <v>231</v>
      </c>
      <c r="BN75" t="s">
        <v>231</v>
      </c>
      <c r="BO75" t="s">
        <v>231</v>
      </c>
      <c r="BP75" t="s">
        <v>231</v>
      </c>
      <c r="BQ75" t="s">
        <v>231</v>
      </c>
      <c r="BR75" t="s">
        <v>231</v>
      </c>
      <c r="BS75" t="s">
        <v>231</v>
      </c>
      <c r="BT75" t="s">
        <v>231</v>
      </c>
      <c r="BU75" t="s">
        <v>231</v>
      </c>
      <c r="BV75" t="s">
        <v>231</v>
      </c>
      <c r="BW75" t="s">
        <v>231</v>
      </c>
      <c r="BX75" t="s">
        <v>231</v>
      </c>
      <c r="BY75" t="s">
        <v>231</v>
      </c>
      <c r="BZ75" t="s">
        <v>231</v>
      </c>
      <c r="CA75" t="s">
        <v>231</v>
      </c>
      <c r="CB75" t="s">
        <v>231</v>
      </c>
      <c r="CC75" t="s">
        <v>231</v>
      </c>
      <c r="CD75" t="s">
        <v>231</v>
      </c>
      <c r="CE75" t="s">
        <v>231</v>
      </c>
      <c r="CF75" t="s">
        <v>231</v>
      </c>
      <c r="CG75" t="s">
        <v>231</v>
      </c>
      <c r="CH75" t="s">
        <v>231</v>
      </c>
      <c r="CI75" t="s">
        <v>231</v>
      </c>
      <c r="CJ75" t="s">
        <v>231</v>
      </c>
      <c r="CK75" t="s">
        <v>231</v>
      </c>
      <c r="CL75" t="s">
        <v>231</v>
      </c>
      <c r="CM75" t="s">
        <v>231</v>
      </c>
      <c r="CN75" t="s">
        <v>231</v>
      </c>
      <c r="CO75" t="s">
        <v>231</v>
      </c>
      <c r="CP75" t="s">
        <v>231</v>
      </c>
      <c r="CQ75" t="s">
        <v>231</v>
      </c>
      <c r="CR75" t="s">
        <v>231</v>
      </c>
      <c r="CS75" t="s">
        <v>231</v>
      </c>
      <c r="CT75" t="s">
        <v>3534</v>
      </c>
      <c r="CU75" t="s">
        <v>3535</v>
      </c>
      <c r="CV75" t="s">
        <v>3536</v>
      </c>
      <c r="CW75" t="s">
        <v>3589</v>
      </c>
      <c r="CX75" t="s">
        <v>223</v>
      </c>
      <c r="CY75" t="s">
        <v>3536</v>
      </c>
      <c r="CZ75" t="s">
        <v>3590</v>
      </c>
      <c r="DA75" t="s">
        <v>3591</v>
      </c>
      <c r="DB75" t="s">
        <v>3589</v>
      </c>
      <c r="DC75" t="s">
        <v>363</v>
      </c>
      <c r="DD75" t="s">
        <v>282</v>
      </c>
      <c r="DE75" t="s">
        <v>3979</v>
      </c>
    </row>
    <row r="76" spans="1:109" ht="11.25" customHeight="1">
      <c r="A76" s="1314" t="s">
        <v>231</v>
      </c>
      <c r="B76" t="s">
        <v>231</v>
      </c>
      <c r="C76" t="s">
        <v>231</v>
      </c>
      <c r="D76" t="s">
        <v>231</v>
      </c>
      <c r="E76" t="s">
        <v>231</v>
      </c>
      <c r="F76" t="s">
        <v>231</v>
      </c>
      <c r="G76" t="s">
        <v>231</v>
      </c>
      <c r="H76" t="s">
        <v>231</v>
      </c>
      <c r="I76" t="s">
        <v>3521</v>
      </c>
      <c r="J76" t="s">
        <v>231</v>
      </c>
      <c r="K76" t="s">
        <v>231</v>
      </c>
      <c r="L76" t="s">
        <v>231</v>
      </c>
      <c r="M76" t="s">
        <v>231</v>
      </c>
      <c r="N76" t="s">
        <v>231</v>
      </c>
      <c r="O76" t="s">
        <v>231</v>
      </c>
      <c r="P76" t="s">
        <v>231</v>
      </c>
      <c r="Q76" t="s">
        <v>231</v>
      </c>
      <c r="R76" t="s">
        <v>3980</v>
      </c>
      <c r="S76" t="s">
        <v>231</v>
      </c>
      <c r="T76" t="s">
        <v>231</v>
      </c>
      <c r="U76" t="s">
        <v>101</v>
      </c>
      <c r="V76" t="s">
        <v>231</v>
      </c>
      <c r="W76" t="s">
        <v>231</v>
      </c>
      <c r="X76" t="s">
        <v>3628</v>
      </c>
      <c r="Y76" t="s">
        <v>231</v>
      </c>
      <c r="Z76" t="s">
        <v>151</v>
      </c>
      <c r="AA76" t="s">
        <v>151</v>
      </c>
      <c r="AB76" t="s">
        <v>160</v>
      </c>
      <c r="AC76" t="s">
        <v>343</v>
      </c>
      <c r="AD76" t="s">
        <v>343</v>
      </c>
      <c r="AE76" t="s">
        <v>344</v>
      </c>
      <c r="AF76" t="s">
        <v>3561</v>
      </c>
      <c r="AG76" t="s">
        <v>3562</v>
      </c>
      <c r="AH76" t="s">
        <v>3609</v>
      </c>
      <c r="AI76" t="s">
        <v>3610</v>
      </c>
      <c r="AJ76" t="s">
        <v>231</v>
      </c>
      <c r="AK76" t="s">
        <v>231</v>
      </c>
      <c r="AL76" t="s">
        <v>231</v>
      </c>
      <c r="AM76" t="s">
        <v>231</v>
      </c>
      <c r="AN76" t="s">
        <v>231</v>
      </c>
      <c r="AO76" t="s">
        <v>231</v>
      </c>
      <c r="AP76" t="s">
        <v>231</v>
      </c>
      <c r="AQ76" t="s">
        <v>231</v>
      </c>
      <c r="AR76" t="s">
        <v>231</v>
      </c>
      <c r="AS76" t="s">
        <v>231</v>
      </c>
      <c r="AT76" t="s">
        <v>231</v>
      </c>
      <c r="AU76" t="s">
        <v>231</v>
      </c>
      <c r="AV76" t="s">
        <v>231</v>
      </c>
      <c r="AW76" t="s">
        <v>231</v>
      </c>
      <c r="AX76" t="s">
        <v>231</v>
      </c>
      <c r="AY76" t="s">
        <v>231</v>
      </c>
      <c r="AZ76" t="s">
        <v>231</v>
      </c>
      <c r="BA76" t="s">
        <v>231</v>
      </c>
      <c r="BB76" t="s">
        <v>231</v>
      </c>
      <c r="BC76" t="s">
        <v>231</v>
      </c>
      <c r="BD76" t="s">
        <v>231</v>
      </c>
      <c r="BE76" t="s">
        <v>3981</v>
      </c>
      <c r="BF76" t="s">
        <v>3565</v>
      </c>
      <c r="BG76" t="s">
        <v>111</v>
      </c>
      <c r="BH76" t="s">
        <v>3632</v>
      </c>
      <c r="BI76" t="s">
        <v>122</v>
      </c>
      <c r="BJ76" t="s">
        <v>231</v>
      </c>
      <c r="BK76" t="s">
        <v>3982</v>
      </c>
      <c r="BL76" t="s">
        <v>343</v>
      </c>
      <c r="BM76" t="s">
        <v>343</v>
      </c>
      <c r="BN76" t="s">
        <v>3634</v>
      </c>
      <c r="BO76" t="s">
        <v>3561</v>
      </c>
      <c r="BP76" t="s">
        <v>3635</v>
      </c>
      <c r="BQ76" t="s">
        <v>3983</v>
      </c>
      <c r="BR76" t="s">
        <v>3610</v>
      </c>
      <c r="BS76" t="s">
        <v>231</v>
      </c>
      <c r="BT76" t="s">
        <v>3637</v>
      </c>
      <c r="BU76" t="s">
        <v>3984</v>
      </c>
      <c r="BV76" t="s">
        <v>3985</v>
      </c>
      <c r="BW76" t="s">
        <v>3986</v>
      </c>
      <c r="BX76" t="s">
        <v>3987</v>
      </c>
      <c r="BY76" t="s">
        <v>3988</v>
      </c>
      <c r="BZ76" t="s">
        <v>3989</v>
      </c>
      <c r="CA76" t="s">
        <v>3641</v>
      </c>
      <c r="CB76" t="s">
        <v>3641</v>
      </c>
      <c r="CC76" t="s">
        <v>3641</v>
      </c>
      <c r="CD76" t="s">
        <v>3641</v>
      </c>
      <c r="CE76" t="s">
        <v>3641</v>
      </c>
      <c r="CF76" t="s">
        <v>3641</v>
      </c>
      <c r="CG76" t="s">
        <v>3641</v>
      </c>
      <c r="CH76" t="s">
        <v>3641</v>
      </c>
      <c r="CI76" t="s">
        <v>3641</v>
      </c>
      <c r="CJ76" t="s">
        <v>3641</v>
      </c>
      <c r="CK76" t="s">
        <v>3641</v>
      </c>
      <c r="CL76" t="s">
        <v>3641</v>
      </c>
      <c r="CM76" t="s">
        <v>3984</v>
      </c>
      <c r="CN76" t="s">
        <v>3985</v>
      </c>
      <c r="CO76" t="s">
        <v>3986</v>
      </c>
      <c r="CP76" t="s">
        <v>3987</v>
      </c>
      <c r="CQ76" t="s">
        <v>3988</v>
      </c>
      <c r="CR76" t="s">
        <v>3989</v>
      </c>
      <c r="CS76" t="s">
        <v>3642</v>
      </c>
      <c r="CT76" t="s">
        <v>3534</v>
      </c>
      <c r="CU76" t="s">
        <v>3535</v>
      </c>
      <c r="CV76" t="s">
        <v>3536</v>
      </c>
      <c r="CW76" t="s">
        <v>3643</v>
      </c>
      <c r="CX76" t="s">
        <v>3570</v>
      </c>
      <c r="CY76" t="s">
        <v>3536</v>
      </c>
      <c r="CZ76" t="s">
        <v>224</v>
      </c>
      <c r="DA76" t="s">
        <v>3571</v>
      </c>
      <c r="DB76" t="s">
        <v>3643</v>
      </c>
      <c r="DC76" t="s">
        <v>363</v>
      </c>
      <c r="DD76" t="s">
        <v>282</v>
      </c>
      <c r="DE76" t="s">
        <v>3614</v>
      </c>
    </row>
    <row r="77" spans="1:109" ht="11.25" customHeight="1">
      <c r="A77" s="1314" t="s">
        <v>231</v>
      </c>
      <c r="B77" t="s">
        <v>231</v>
      </c>
      <c r="C77" t="s">
        <v>231</v>
      </c>
      <c r="D77" t="s">
        <v>231</v>
      </c>
      <c r="E77" t="s">
        <v>231</v>
      </c>
      <c r="F77" t="s">
        <v>231</v>
      </c>
      <c r="G77" t="s">
        <v>231</v>
      </c>
      <c r="H77" t="s">
        <v>231</v>
      </c>
      <c r="I77" t="s">
        <v>3521</v>
      </c>
      <c r="J77" t="s">
        <v>231</v>
      </c>
      <c r="K77" t="s">
        <v>231</v>
      </c>
      <c r="L77" t="s">
        <v>231</v>
      </c>
      <c r="M77" t="s">
        <v>231</v>
      </c>
      <c r="N77" t="s">
        <v>231</v>
      </c>
      <c r="O77" t="s">
        <v>231</v>
      </c>
      <c r="P77" t="s">
        <v>231</v>
      </c>
      <c r="Q77" t="s">
        <v>231</v>
      </c>
      <c r="R77" t="s">
        <v>3990</v>
      </c>
      <c r="S77" t="s">
        <v>231</v>
      </c>
      <c r="T77" t="s">
        <v>231</v>
      </c>
      <c r="U77" t="s">
        <v>101</v>
      </c>
      <c r="V77" t="s">
        <v>231</v>
      </c>
      <c r="W77" t="s">
        <v>231</v>
      </c>
      <c r="X77" t="s">
        <v>3523</v>
      </c>
      <c r="Y77" t="s">
        <v>231</v>
      </c>
      <c r="Z77" t="s">
        <v>160</v>
      </c>
      <c r="AA77" t="s">
        <v>151</v>
      </c>
      <c r="AB77" t="s">
        <v>151</v>
      </c>
      <c r="AC77" t="s">
        <v>2691</v>
      </c>
      <c r="AD77" t="s">
        <v>2691</v>
      </c>
      <c r="AE77" t="s">
        <v>2692</v>
      </c>
      <c r="AF77" t="s">
        <v>3991</v>
      </c>
      <c r="AG77" t="s">
        <v>3992</v>
      </c>
      <c r="AH77" t="s">
        <v>3993</v>
      </c>
      <c r="AI77" t="s">
        <v>151</v>
      </c>
      <c r="AJ77" t="s">
        <v>3994</v>
      </c>
      <c r="AK77" t="s">
        <v>3995</v>
      </c>
      <c r="AL77" t="s">
        <v>3613</v>
      </c>
      <c r="AM77" t="s">
        <v>3531</v>
      </c>
      <c r="AN77" t="s">
        <v>3621</v>
      </c>
      <c r="AO77" t="s">
        <v>3996</v>
      </c>
      <c r="AP77" t="s">
        <v>231</v>
      </c>
      <c r="AQ77" t="s">
        <v>231</v>
      </c>
      <c r="AR77" t="s">
        <v>231</v>
      </c>
      <c r="AS77" t="s">
        <v>231</v>
      </c>
      <c r="AT77" t="s">
        <v>231</v>
      </c>
      <c r="AU77" t="s">
        <v>231</v>
      </c>
      <c r="AV77" t="s">
        <v>231</v>
      </c>
      <c r="AW77" t="s">
        <v>231</v>
      </c>
      <c r="AX77" t="s">
        <v>231</v>
      </c>
      <c r="AY77" t="s">
        <v>231</v>
      </c>
      <c r="AZ77" t="s">
        <v>231</v>
      </c>
      <c r="BA77" t="s">
        <v>231</v>
      </c>
      <c r="BB77" t="s">
        <v>231</v>
      </c>
      <c r="BC77" t="s">
        <v>231</v>
      </c>
      <c r="BD77" t="s">
        <v>231</v>
      </c>
      <c r="BE77" t="s">
        <v>231</v>
      </c>
      <c r="BF77" t="s">
        <v>231</v>
      </c>
      <c r="BG77" t="s">
        <v>231</v>
      </c>
      <c r="BH77" t="s">
        <v>231</v>
      </c>
      <c r="BI77" t="s">
        <v>231</v>
      </c>
      <c r="BJ77" t="s">
        <v>231</v>
      </c>
      <c r="BK77" t="s">
        <v>231</v>
      </c>
      <c r="BL77" t="s">
        <v>231</v>
      </c>
      <c r="BM77" t="s">
        <v>231</v>
      </c>
      <c r="BN77" t="s">
        <v>231</v>
      </c>
      <c r="BO77" t="s">
        <v>231</v>
      </c>
      <c r="BP77" t="s">
        <v>231</v>
      </c>
      <c r="BQ77" t="s">
        <v>231</v>
      </c>
      <c r="BR77" t="s">
        <v>231</v>
      </c>
      <c r="BS77" t="s">
        <v>231</v>
      </c>
      <c r="BT77" t="s">
        <v>231</v>
      </c>
      <c r="BU77" t="s">
        <v>231</v>
      </c>
      <c r="BV77" t="s">
        <v>231</v>
      </c>
      <c r="BW77" t="s">
        <v>231</v>
      </c>
      <c r="BX77" t="s">
        <v>231</v>
      </c>
      <c r="BY77" t="s">
        <v>231</v>
      </c>
      <c r="BZ77" t="s">
        <v>231</v>
      </c>
      <c r="CA77" t="s">
        <v>231</v>
      </c>
      <c r="CB77" t="s">
        <v>231</v>
      </c>
      <c r="CC77" t="s">
        <v>231</v>
      </c>
      <c r="CD77" t="s">
        <v>231</v>
      </c>
      <c r="CE77" t="s">
        <v>231</v>
      </c>
      <c r="CF77" t="s">
        <v>231</v>
      </c>
      <c r="CG77" t="s">
        <v>231</v>
      </c>
      <c r="CH77" t="s">
        <v>231</v>
      </c>
      <c r="CI77" t="s">
        <v>231</v>
      </c>
      <c r="CJ77" t="s">
        <v>231</v>
      </c>
      <c r="CK77" t="s">
        <v>231</v>
      </c>
      <c r="CL77" t="s">
        <v>231</v>
      </c>
      <c r="CM77" t="s">
        <v>231</v>
      </c>
      <c r="CN77" t="s">
        <v>231</v>
      </c>
      <c r="CO77" t="s">
        <v>231</v>
      </c>
      <c r="CP77" t="s">
        <v>231</v>
      </c>
      <c r="CQ77" t="s">
        <v>231</v>
      </c>
      <c r="CR77" t="s">
        <v>231</v>
      </c>
      <c r="CS77" t="s">
        <v>231</v>
      </c>
      <c r="CT77" t="s">
        <v>3534</v>
      </c>
      <c r="CU77" t="s">
        <v>3535</v>
      </c>
      <c r="CV77" t="s">
        <v>3997</v>
      </c>
      <c r="CW77" t="s">
        <v>3998</v>
      </c>
      <c r="CX77" t="s">
        <v>3570</v>
      </c>
      <c r="CY77" t="s">
        <v>3997</v>
      </c>
      <c r="CZ77" t="s">
        <v>3575</v>
      </c>
      <c r="DA77" t="s">
        <v>3999</v>
      </c>
      <c r="DB77" t="s">
        <v>3643</v>
      </c>
      <c r="DC77" t="s">
        <v>363</v>
      </c>
      <c r="DD77" t="s">
        <v>282</v>
      </c>
      <c r="DE77" t="s">
        <v>4000</v>
      </c>
    </row>
    <row r="78" spans="1:109" ht="11.25" customHeight="1">
      <c r="A78" s="1314" t="s">
        <v>231</v>
      </c>
      <c r="B78" t="s">
        <v>231</v>
      </c>
      <c r="C78" t="s">
        <v>231</v>
      </c>
      <c r="D78" t="s">
        <v>231</v>
      </c>
      <c r="E78" t="s">
        <v>231</v>
      </c>
      <c r="F78" t="s">
        <v>231</v>
      </c>
      <c r="G78" t="s">
        <v>231</v>
      </c>
      <c r="H78" t="s">
        <v>231</v>
      </c>
      <c r="I78" t="s">
        <v>3521</v>
      </c>
      <c r="J78" t="s">
        <v>231</v>
      </c>
      <c r="K78" t="s">
        <v>231</v>
      </c>
      <c r="L78" t="s">
        <v>231</v>
      </c>
      <c r="M78" t="s">
        <v>231</v>
      </c>
      <c r="N78" t="s">
        <v>231</v>
      </c>
      <c r="O78" t="s">
        <v>231</v>
      </c>
      <c r="P78" t="s">
        <v>231</v>
      </c>
      <c r="Q78" t="s">
        <v>231</v>
      </c>
      <c r="R78" t="s">
        <v>3685</v>
      </c>
      <c r="S78" t="s">
        <v>231</v>
      </c>
      <c r="T78" t="s">
        <v>231</v>
      </c>
      <c r="U78" t="s">
        <v>101</v>
      </c>
      <c r="V78" t="s">
        <v>231</v>
      </c>
      <c r="W78" t="s">
        <v>231</v>
      </c>
      <c r="X78" t="s">
        <v>3628</v>
      </c>
      <c r="Y78" t="s">
        <v>231</v>
      </c>
      <c r="Z78" t="s">
        <v>151</v>
      </c>
      <c r="AA78" t="s">
        <v>151</v>
      </c>
      <c r="AB78" t="s">
        <v>160</v>
      </c>
      <c r="AC78" t="s">
        <v>2283</v>
      </c>
      <c r="AD78" t="s">
        <v>2283</v>
      </c>
      <c r="AE78" t="s">
        <v>2284</v>
      </c>
      <c r="AF78" t="s">
        <v>4001</v>
      </c>
      <c r="AG78" t="s">
        <v>4002</v>
      </c>
      <c r="AH78" t="s">
        <v>4003</v>
      </c>
      <c r="AI78" t="s">
        <v>3688</v>
      </c>
      <c r="AJ78" t="s">
        <v>231</v>
      </c>
      <c r="AK78" t="s">
        <v>231</v>
      </c>
      <c r="AL78" t="s">
        <v>231</v>
      </c>
      <c r="AM78" t="s">
        <v>231</v>
      </c>
      <c r="AN78" t="s">
        <v>231</v>
      </c>
      <c r="AO78" t="s">
        <v>231</v>
      </c>
      <c r="AP78" t="s">
        <v>231</v>
      </c>
      <c r="AQ78" t="s">
        <v>231</v>
      </c>
      <c r="AR78" t="s">
        <v>231</v>
      </c>
      <c r="AS78" t="s">
        <v>231</v>
      </c>
      <c r="AT78" t="s">
        <v>231</v>
      </c>
      <c r="AU78" t="s">
        <v>231</v>
      </c>
      <c r="AV78" t="s">
        <v>231</v>
      </c>
      <c r="AW78" t="s">
        <v>231</v>
      </c>
      <c r="AX78" t="s">
        <v>231</v>
      </c>
      <c r="AY78" t="s">
        <v>231</v>
      </c>
      <c r="AZ78" t="s">
        <v>231</v>
      </c>
      <c r="BA78" t="s">
        <v>231</v>
      </c>
      <c r="BB78" t="s">
        <v>231</v>
      </c>
      <c r="BC78" t="s">
        <v>231</v>
      </c>
      <c r="BD78" t="s">
        <v>231</v>
      </c>
      <c r="BE78" t="s">
        <v>3689</v>
      </c>
      <c r="BF78" t="s">
        <v>3689</v>
      </c>
      <c r="BG78" t="s">
        <v>111</v>
      </c>
      <c r="BH78" t="s">
        <v>3632</v>
      </c>
      <c r="BI78" t="s">
        <v>122</v>
      </c>
      <c r="BJ78" t="s">
        <v>231</v>
      </c>
      <c r="BK78" t="s">
        <v>4004</v>
      </c>
      <c r="BL78" t="s">
        <v>2283</v>
      </c>
      <c r="BM78" t="s">
        <v>2283</v>
      </c>
      <c r="BN78" t="s">
        <v>3690</v>
      </c>
      <c r="BO78" t="s">
        <v>4001</v>
      </c>
      <c r="BP78" t="s">
        <v>4005</v>
      </c>
      <c r="BQ78" t="s">
        <v>4006</v>
      </c>
      <c r="BR78" t="s">
        <v>3593</v>
      </c>
      <c r="BS78" t="s">
        <v>231</v>
      </c>
      <c r="BT78" t="s">
        <v>3694</v>
      </c>
      <c r="BU78" t="s">
        <v>4007</v>
      </c>
      <c r="BV78" t="s">
        <v>4007</v>
      </c>
      <c r="BW78" t="s">
        <v>3641</v>
      </c>
      <c r="BX78" t="s">
        <v>3641</v>
      </c>
      <c r="BY78" t="s">
        <v>3641</v>
      </c>
      <c r="BZ78" t="s">
        <v>3641</v>
      </c>
      <c r="CA78" t="s">
        <v>3641</v>
      </c>
      <c r="CB78" t="s">
        <v>231</v>
      </c>
      <c r="CC78" t="s">
        <v>231</v>
      </c>
      <c r="CD78" t="s">
        <v>231</v>
      </c>
      <c r="CE78" t="s">
        <v>231</v>
      </c>
      <c r="CF78" t="s">
        <v>231</v>
      </c>
      <c r="CG78" t="s">
        <v>3641</v>
      </c>
      <c r="CH78" t="s">
        <v>231</v>
      </c>
      <c r="CI78" t="s">
        <v>231</v>
      </c>
      <c r="CJ78" t="s">
        <v>231</v>
      </c>
      <c r="CK78" t="s">
        <v>231</v>
      </c>
      <c r="CL78" t="s">
        <v>231</v>
      </c>
      <c r="CM78" t="s">
        <v>4007</v>
      </c>
      <c r="CN78" t="s">
        <v>4007</v>
      </c>
      <c r="CO78" t="s">
        <v>231</v>
      </c>
      <c r="CP78" t="s">
        <v>231</v>
      </c>
      <c r="CQ78" t="s">
        <v>231</v>
      </c>
      <c r="CR78" t="s">
        <v>231</v>
      </c>
      <c r="CS78" t="s">
        <v>3549</v>
      </c>
      <c r="CT78" t="s">
        <v>3534</v>
      </c>
      <c r="CU78" t="s">
        <v>3535</v>
      </c>
      <c r="CV78" t="s">
        <v>3536</v>
      </c>
      <c r="CW78" t="s">
        <v>3551</v>
      </c>
      <c r="CX78" t="s">
        <v>223</v>
      </c>
      <c r="CY78" t="s">
        <v>3536</v>
      </c>
      <c r="CZ78" t="s">
        <v>3552</v>
      </c>
      <c r="DA78" t="s">
        <v>3553</v>
      </c>
      <c r="DB78" t="s">
        <v>3551</v>
      </c>
      <c r="DC78" t="s">
        <v>363</v>
      </c>
      <c r="DD78" t="s">
        <v>282</v>
      </c>
      <c r="DE78" t="s">
        <v>4008</v>
      </c>
    </row>
    <row r="79" spans="1:109" ht="11.25" customHeight="1">
      <c r="A79" s="1314" t="s">
        <v>231</v>
      </c>
      <c r="B79" t="s">
        <v>231</v>
      </c>
      <c r="C79" t="s">
        <v>231</v>
      </c>
      <c r="D79" t="s">
        <v>231</v>
      </c>
      <c r="E79" t="s">
        <v>231</v>
      </c>
      <c r="F79" t="s">
        <v>231</v>
      </c>
      <c r="G79" t="s">
        <v>231</v>
      </c>
      <c r="H79" t="s">
        <v>231</v>
      </c>
      <c r="I79" t="s">
        <v>3521</v>
      </c>
      <c r="J79" t="s">
        <v>231</v>
      </c>
      <c r="K79" t="s">
        <v>231</v>
      </c>
      <c r="L79" t="s">
        <v>231</v>
      </c>
      <c r="M79" t="s">
        <v>231</v>
      </c>
      <c r="N79" t="s">
        <v>231</v>
      </c>
      <c r="O79" t="s">
        <v>231</v>
      </c>
      <c r="P79" t="s">
        <v>231</v>
      </c>
      <c r="Q79" t="s">
        <v>231</v>
      </c>
      <c r="R79" t="s">
        <v>3685</v>
      </c>
      <c r="S79" t="s">
        <v>231</v>
      </c>
      <c r="T79" t="s">
        <v>231</v>
      </c>
      <c r="U79" t="s">
        <v>101</v>
      </c>
      <c r="V79" t="s">
        <v>231</v>
      </c>
      <c r="W79" t="s">
        <v>231</v>
      </c>
      <c r="X79" t="s">
        <v>3628</v>
      </c>
      <c r="Y79" t="s">
        <v>231</v>
      </c>
      <c r="Z79" t="s">
        <v>151</v>
      </c>
      <c r="AA79" t="s">
        <v>151</v>
      </c>
      <c r="AB79" t="s">
        <v>160</v>
      </c>
      <c r="AC79" t="s">
        <v>2283</v>
      </c>
      <c r="AD79" t="s">
        <v>2283</v>
      </c>
      <c r="AE79" t="s">
        <v>2284</v>
      </c>
      <c r="AF79" t="s">
        <v>4001</v>
      </c>
      <c r="AG79" t="s">
        <v>4002</v>
      </c>
      <c r="AH79" t="s">
        <v>4001</v>
      </c>
      <c r="AI79" t="s">
        <v>3688</v>
      </c>
      <c r="AJ79" t="s">
        <v>231</v>
      </c>
      <c r="AK79" t="s">
        <v>231</v>
      </c>
      <c r="AL79" t="s">
        <v>231</v>
      </c>
      <c r="AM79" t="s">
        <v>231</v>
      </c>
      <c r="AN79" t="s">
        <v>231</v>
      </c>
      <c r="AO79" t="s">
        <v>231</v>
      </c>
      <c r="AP79" t="s">
        <v>231</v>
      </c>
      <c r="AQ79" t="s">
        <v>231</v>
      </c>
      <c r="AR79" t="s">
        <v>231</v>
      </c>
      <c r="AS79" t="s">
        <v>231</v>
      </c>
      <c r="AT79" t="s">
        <v>231</v>
      </c>
      <c r="AU79" t="s">
        <v>231</v>
      </c>
      <c r="AV79" t="s">
        <v>231</v>
      </c>
      <c r="AW79" t="s">
        <v>231</v>
      </c>
      <c r="AX79" t="s">
        <v>231</v>
      </c>
      <c r="AY79" t="s">
        <v>231</v>
      </c>
      <c r="AZ79" t="s">
        <v>231</v>
      </c>
      <c r="BA79" t="s">
        <v>231</v>
      </c>
      <c r="BB79" t="s">
        <v>231</v>
      </c>
      <c r="BC79" t="s">
        <v>231</v>
      </c>
      <c r="BD79" t="s">
        <v>231</v>
      </c>
      <c r="BE79" t="s">
        <v>3689</v>
      </c>
      <c r="BF79" t="s">
        <v>3689</v>
      </c>
      <c r="BG79" t="s">
        <v>111</v>
      </c>
      <c r="BH79" t="s">
        <v>3632</v>
      </c>
      <c r="BI79" t="s">
        <v>122</v>
      </c>
      <c r="BJ79" t="s">
        <v>231</v>
      </c>
      <c r="BK79" t="s">
        <v>3651</v>
      </c>
      <c r="BL79" t="s">
        <v>2283</v>
      </c>
      <c r="BM79" t="s">
        <v>2283</v>
      </c>
      <c r="BN79" t="s">
        <v>3690</v>
      </c>
      <c r="BO79" t="s">
        <v>4001</v>
      </c>
      <c r="BP79" t="s">
        <v>4005</v>
      </c>
      <c r="BQ79" t="s">
        <v>3609</v>
      </c>
      <c r="BR79" t="s">
        <v>3655</v>
      </c>
      <c r="BS79" t="s">
        <v>231</v>
      </c>
      <c r="BT79" t="s">
        <v>3694</v>
      </c>
      <c r="BU79" t="s">
        <v>4009</v>
      </c>
      <c r="BV79" t="s">
        <v>4009</v>
      </c>
      <c r="BW79" t="s">
        <v>3641</v>
      </c>
      <c r="BX79" t="s">
        <v>3641</v>
      </c>
      <c r="BY79" t="s">
        <v>3641</v>
      </c>
      <c r="BZ79" t="s">
        <v>3641</v>
      </c>
      <c r="CA79" t="s">
        <v>3641</v>
      </c>
      <c r="CB79" t="s">
        <v>231</v>
      </c>
      <c r="CC79" t="s">
        <v>231</v>
      </c>
      <c r="CD79" t="s">
        <v>231</v>
      </c>
      <c r="CE79" t="s">
        <v>231</v>
      </c>
      <c r="CF79" t="s">
        <v>231</v>
      </c>
      <c r="CG79" t="s">
        <v>3641</v>
      </c>
      <c r="CH79" t="s">
        <v>231</v>
      </c>
      <c r="CI79" t="s">
        <v>231</v>
      </c>
      <c r="CJ79" t="s">
        <v>231</v>
      </c>
      <c r="CK79" t="s">
        <v>231</v>
      </c>
      <c r="CL79" t="s">
        <v>231</v>
      </c>
      <c r="CM79" t="s">
        <v>4009</v>
      </c>
      <c r="CN79" t="s">
        <v>4009</v>
      </c>
      <c r="CO79" t="s">
        <v>231</v>
      </c>
      <c r="CP79" t="s">
        <v>231</v>
      </c>
      <c r="CQ79" t="s">
        <v>231</v>
      </c>
      <c r="CR79" t="s">
        <v>231</v>
      </c>
      <c r="CS79" t="s">
        <v>3549</v>
      </c>
      <c r="CT79" t="s">
        <v>3534</v>
      </c>
      <c r="CU79" t="s">
        <v>3535</v>
      </c>
      <c r="CV79" t="s">
        <v>3536</v>
      </c>
      <c r="CW79" t="s">
        <v>3551</v>
      </c>
      <c r="CX79" t="s">
        <v>223</v>
      </c>
      <c r="CY79" t="s">
        <v>3536</v>
      </c>
      <c r="CZ79" t="s">
        <v>3552</v>
      </c>
      <c r="DA79" t="s">
        <v>3553</v>
      </c>
      <c r="DB79" t="s">
        <v>3551</v>
      </c>
      <c r="DC79" t="s">
        <v>363</v>
      </c>
      <c r="DD79" t="s">
        <v>282</v>
      </c>
      <c r="DE79" t="s">
        <v>4010</v>
      </c>
    </row>
    <row r="80" spans="1:109" ht="11.25" customHeight="1">
      <c r="A80" s="1314" t="s">
        <v>231</v>
      </c>
      <c r="B80" t="s">
        <v>231</v>
      </c>
      <c r="C80" t="s">
        <v>231</v>
      </c>
      <c r="D80" t="s">
        <v>231</v>
      </c>
      <c r="E80" t="s">
        <v>231</v>
      </c>
      <c r="F80" t="s">
        <v>231</v>
      </c>
      <c r="G80" t="s">
        <v>231</v>
      </c>
      <c r="H80" t="s">
        <v>231</v>
      </c>
      <c r="I80" t="s">
        <v>3521</v>
      </c>
      <c r="J80" t="s">
        <v>231</v>
      </c>
      <c r="K80" t="s">
        <v>231</v>
      </c>
      <c r="L80" t="s">
        <v>231</v>
      </c>
      <c r="M80" t="s">
        <v>231</v>
      </c>
      <c r="N80" t="s">
        <v>231</v>
      </c>
      <c r="O80" t="s">
        <v>231</v>
      </c>
      <c r="P80" t="s">
        <v>231</v>
      </c>
      <c r="Q80" t="s">
        <v>231</v>
      </c>
      <c r="R80" t="s">
        <v>4011</v>
      </c>
      <c r="S80" t="s">
        <v>231</v>
      </c>
      <c r="T80" t="s">
        <v>231</v>
      </c>
      <c r="U80" t="s">
        <v>101</v>
      </c>
      <c r="V80" t="s">
        <v>231</v>
      </c>
      <c r="W80" t="s">
        <v>231</v>
      </c>
      <c r="X80" t="s">
        <v>3955</v>
      </c>
      <c r="Y80" t="s">
        <v>231</v>
      </c>
      <c r="Z80" t="s">
        <v>151</v>
      </c>
      <c r="AA80" t="s">
        <v>160</v>
      </c>
      <c r="AB80" t="s">
        <v>151</v>
      </c>
      <c r="AC80" t="s">
        <v>343</v>
      </c>
      <c r="AD80" t="s">
        <v>343</v>
      </c>
      <c r="AE80" t="s">
        <v>344</v>
      </c>
      <c r="AF80" t="s">
        <v>3561</v>
      </c>
      <c r="AG80" t="s">
        <v>3562</v>
      </c>
      <c r="AH80" t="s">
        <v>3671</v>
      </c>
      <c r="AI80" t="s">
        <v>3575</v>
      </c>
      <c r="AJ80" t="s">
        <v>231</v>
      </c>
      <c r="AK80" t="s">
        <v>231</v>
      </c>
      <c r="AL80" t="s">
        <v>231</v>
      </c>
      <c r="AM80" t="s">
        <v>231</v>
      </c>
      <c r="AN80" t="s">
        <v>231</v>
      </c>
      <c r="AO80" t="s">
        <v>231</v>
      </c>
      <c r="AP80" t="s">
        <v>3760</v>
      </c>
      <c r="AQ80" t="s">
        <v>4012</v>
      </c>
      <c r="AR80" t="s">
        <v>111</v>
      </c>
      <c r="AS80" t="s">
        <v>3632</v>
      </c>
      <c r="AT80" t="s">
        <v>122</v>
      </c>
      <c r="AU80" t="s">
        <v>231</v>
      </c>
      <c r="AV80" t="s">
        <v>4013</v>
      </c>
      <c r="AW80" t="s">
        <v>343</v>
      </c>
      <c r="AX80" t="s">
        <v>343</v>
      </c>
      <c r="AY80" t="s">
        <v>3634</v>
      </c>
      <c r="AZ80" t="s">
        <v>3561</v>
      </c>
      <c r="BA80" t="s">
        <v>3635</v>
      </c>
      <c r="BB80" t="s">
        <v>4014</v>
      </c>
      <c r="BC80" t="s">
        <v>3575</v>
      </c>
      <c r="BD80" t="s">
        <v>3673</v>
      </c>
      <c r="BE80" t="s">
        <v>231</v>
      </c>
      <c r="BF80" t="s">
        <v>231</v>
      </c>
      <c r="BG80" t="s">
        <v>231</v>
      </c>
      <c r="BH80" t="s">
        <v>231</v>
      </c>
      <c r="BI80" t="s">
        <v>231</v>
      </c>
      <c r="BJ80" t="s">
        <v>231</v>
      </c>
      <c r="BK80" t="s">
        <v>231</v>
      </c>
      <c r="BL80" t="s">
        <v>231</v>
      </c>
      <c r="BM80" t="s">
        <v>231</v>
      </c>
      <c r="BN80" t="s">
        <v>231</v>
      </c>
      <c r="BO80" t="s">
        <v>231</v>
      </c>
      <c r="BP80" t="s">
        <v>231</v>
      </c>
      <c r="BQ80" t="s">
        <v>231</v>
      </c>
      <c r="BR80" t="s">
        <v>231</v>
      </c>
      <c r="BS80" t="s">
        <v>231</v>
      </c>
      <c r="BT80" t="s">
        <v>231</v>
      </c>
      <c r="BU80" t="s">
        <v>231</v>
      </c>
      <c r="BV80" t="s">
        <v>231</v>
      </c>
      <c r="BW80" t="s">
        <v>231</v>
      </c>
      <c r="BX80" t="s">
        <v>231</v>
      </c>
      <c r="BY80" t="s">
        <v>231</v>
      </c>
      <c r="BZ80" t="s">
        <v>231</v>
      </c>
      <c r="CA80" t="s">
        <v>231</v>
      </c>
      <c r="CB80" t="s">
        <v>231</v>
      </c>
      <c r="CC80" t="s">
        <v>231</v>
      </c>
      <c r="CD80" t="s">
        <v>231</v>
      </c>
      <c r="CE80" t="s">
        <v>231</v>
      </c>
      <c r="CF80" t="s">
        <v>231</v>
      </c>
      <c r="CG80" t="s">
        <v>231</v>
      </c>
      <c r="CH80" t="s">
        <v>231</v>
      </c>
      <c r="CI80" t="s">
        <v>231</v>
      </c>
      <c r="CJ80" t="s">
        <v>231</v>
      </c>
      <c r="CK80" t="s">
        <v>231</v>
      </c>
      <c r="CL80" t="s">
        <v>231</v>
      </c>
      <c r="CM80" t="s">
        <v>231</v>
      </c>
      <c r="CN80" t="s">
        <v>231</v>
      </c>
      <c r="CO80" t="s">
        <v>231</v>
      </c>
      <c r="CP80" t="s">
        <v>231</v>
      </c>
      <c r="CQ80" t="s">
        <v>231</v>
      </c>
      <c r="CR80" t="s">
        <v>231</v>
      </c>
      <c r="CS80" t="s">
        <v>231</v>
      </c>
      <c r="CT80" t="s">
        <v>3534</v>
      </c>
      <c r="CU80" t="s">
        <v>3535</v>
      </c>
      <c r="CV80" t="s">
        <v>3536</v>
      </c>
      <c r="CW80" t="s">
        <v>3569</v>
      </c>
      <c r="CX80" t="s">
        <v>3570</v>
      </c>
      <c r="CY80" t="s">
        <v>3536</v>
      </c>
      <c r="CZ80" t="s">
        <v>224</v>
      </c>
      <c r="DA80" t="s">
        <v>3571</v>
      </c>
      <c r="DB80" t="s">
        <v>3569</v>
      </c>
      <c r="DC80" t="s">
        <v>363</v>
      </c>
      <c r="DD80" t="s">
        <v>282</v>
      </c>
      <c r="DE80" t="s">
        <v>3674</v>
      </c>
    </row>
    <row r="81" spans="1:109" ht="11.25" customHeight="1">
      <c r="A81" s="1314" t="s">
        <v>231</v>
      </c>
      <c r="B81" t="s">
        <v>231</v>
      </c>
      <c r="C81" t="s">
        <v>231</v>
      </c>
      <c r="D81" t="s">
        <v>231</v>
      </c>
      <c r="E81" t="s">
        <v>231</v>
      </c>
      <c r="F81" t="s">
        <v>231</v>
      </c>
      <c r="G81" t="s">
        <v>231</v>
      </c>
      <c r="H81" t="s">
        <v>231</v>
      </c>
      <c r="I81" t="s">
        <v>3521</v>
      </c>
      <c r="J81" t="s">
        <v>231</v>
      </c>
      <c r="K81" t="s">
        <v>231</v>
      </c>
      <c r="L81" t="s">
        <v>231</v>
      </c>
      <c r="M81" t="s">
        <v>231</v>
      </c>
      <c r="N81" t="s">
        <v>231</v>
      </c>
      <c r="O81" t="s">
        <v>231</v>
      </c>
      <c r="P81" t="s">
        <v>231</v>
      </c>
      <c r="Q81" t="s">
        <v>231</v>
      </c>
      <c r="R81" t="s">
        <v>3651</v>
      </c>
      <c r="S81" t="s">
        <v>231</v>
      </c>
      <c r="T81" t="s">
        <v>231</v>
      </c>
      <c r="U81" t="s">
        <v>101</v>
      </c>
      <c r="V81" t="s">
        <v>231</v>
      </c>
      <c r="W81" t="s">
        <v>231</v>
      </c>
      <c r="X81" t="s">
        <v>3523</v>
      </c>
      <c r="Y81" t="s">
        <v>231</v>
      </c>
      <c r="Z81" t="s">
        <v>160</v>
      </c>
      <c r="AA81" t="s">
        <v>151</v>
      </c>
      <c r="AB81" t="s">
        <v>151</v>
      </c>
      <c r="AC81" t="s">
        <v>2283</v>
      </c>
      <c r="AD81" t="s">
        <v>2283</v>
      </c>
      <c r="AE81" t="s">
        <v>2284</v>
      </c>
      <c r="AF81" t="s">
        <v>4001</v>
      </c>
      <c r="AG81" t="s">
        <v>4002</v>
      </c>
      <c r="AH81" t="s">
        <v>4015</v>
      </c>
      <c r="AI81" t="s">
        <v>4016</v>
      </c>
      <c r="AJ81" t="s">
        <v>3546</v>
      </c>
      <c r="AK81" t="s">
        <v>3546</v>
      </c>
      <c r="AL81" t="s">
        <v>3648</v>
      </c>
      <c r="AM81" t="s">
        <v>3531</v>
      </c>
      <c r="AN81" t="s">
        <v>3549</v>
      </c>
      <c r="AO81" t="s">
        <v>3550</v>
      </c>
      <c r="AP81" t="s">
        <v>231</v>
      </c>
      <c r="AQ81" t="s">
        <v>231</v>
      </c>
      <c r="AR81" t="s">
        <v>231</v>
      </c>
      <c r="AS81" t="s">
        <v>231</v>
      </c>
      <c r="AT81" t="s">
        <v>231</v>
      </c>
      <c r="AU81" t="s">
        <v>231</v>
      </c>
      <c r="AV81" t="s">
        <v>231</v>
      </c>
      <c r="AW81" t="s">
        <v>231</v>
      </c>
      <c r="AX81" t="s">
        <v>231</v>
      </c>
      <c r="AY81" t="s">
        <v>231</v>
      </c>
      <c r="AZ81" t="s">
        <v>231</v>
      </c>
      <c r="BA81" t="s">
        <v>231</v>
      </c>
      <c r="BB81" t="s">
        <v>231</v>
      </c>
      <c r="BC81" t="s">
        <v>231</v>
      </c>
      <c r="BD81" t="s">
        <v>231</v>
      </c>
      <c r="BE81" t="s">
        <v>231</v>
      </c>
      <c r="BF81" t="s">
        <v>231</v>
      </c>
      <c r="BG81" t="s">
        <v>231</v>
      </c>
      <c r="BH81" t="s">
        <v>231</v>
      </c>
      <c r="BI81" t="s">
        <v>231</v>
      </c>
      <c r="BJ81" t="s">
        <v>231</v>
      </c>
      <c r="BK81" t="s">
        <v>231</v>
      </c>
      <c r="BL81" t="s">
        <v>231</v>
      </c>
      <c r="BM81" t="s">
        <v>231</v>
      </c>
      <c r="BN81" t="s">
        <v>231</v>
      </c>
      <c r="BO81" t="s">
        <v>231</v>
      </c>
      <c r="BP81" t="s">
        <v>231</v>
      </c>
      <c r="BQ81" t="s">
        <v>231</v>
      </c>
      <c r="BR81" t="s">
        <v>231</v>
      </c>
      <c r="BS81" t="s">
        <v>231</v>
      </c>
      <c r="BT81" t="s">
        <v>231</v>
      </c>
      <c r="BU81" t="s">
        <v>231</v>
      </c>
      <c r="BV81" t="s">
        <v>231</v>
      </c>
      <c r="BW81" t="s">
        <v>231</v>
      </c>
      <c r="BX81" t="s">
        <v>231</v>
      </c>
      <c r="BY81" t="s">
        <v>231</v>
      </c>
      <c r="BZ81" t="s">
        <v>231</v>
      </c>
      <c r="CA81" t="s">
        <v>231</v>
      </c>
      <c r="CB81" t="s">
        <v>231</v>
      </c>
      <c r="CC81" t="s">
        <v>231</v>
      </c>
      <c r="CD81" t="s">
        <v>231</v>
      </c>
      <c r="CE81" t="s">
        <v>231</v>
      </c>
      <c r="CF81" t="s">
        <v>231</v>
      </c>
      <c r="CG81" t="s">
        <v>231</v>
      </c>
      <c r="CH81" t="s">
        <v>231</v>
      </c>
      <c r="CI81" t="s">
        <v>231</v>
      </c>
      <c r="CJ81" t="s">
        <v>231</v>
      </c>
      <c r="CK81" t="s">
        <v>231</v>
      </c>
      <c r="CL81" t="s">
        <v>231</v>
      </c>
      <c r="CM81" t="s">
        <v>231</v>
      </c>
      <c r="CN81" t="s">
        <v>231</v>
      </c>
      <c r="CO81" t="s">
        <v>231</v>
      </c>
      <c r="CP81" t="s">
        <v>231</v>
      </c>
      <c r="CQ81" t="s">
        <v>231</v>
      </c>
      <c r="CR81" t="s">
        <v>231</v>
      </c>
      <c r="CS81" t="s">
        <v>231</v>
      </c>
      <c r="CT81" t="s">
        <v>3534</v>
      </c>
      <c r="CU81" t="s">
        <v>3535</v>
      </c>
      <c r="CV81" t="s">
        <v>3536</v>
      </c>
      <c r="CW81" t="s">
        <v>3551</v>
      </c>
      <c r="CX81" t="s">
        <v>223</v>
      </c>
      <c r="CY81" t="s">
        <v>3536</v>
      </c>
      <c r="CZ81" t="s">
        <v>3552</v>
      </c>
      <c r="DA81" t="s">
        <v>3553</v>
      </c>
      <c r="DB81" t="s">
        <v>3551</v>
      </c>
      <c r="DC81" t="s">
        <v>363</v>
      </c>
      <c r="DD81" t="s">
        <v>282</v>
      </c>
      <c r="DE81" t="s">
        <v>4017</v>
      </c>
    </row>
    <row r="82" spans="1:109" ht="11.25" customHeight="1">
      <c r="A82" s="1314" t="s">
        <v>231</v>
      </c>
      <c r="B82" t="s">
        <v>231</v>
      </c>
      <c r="C82" t="s">
        <v>231</v>
      </c>
      <c r="D82" t="s">
        <v>231</v>
      </c>
      <c r="E82" t="s">
        <v>231</v>
      </c>
      <c r="F82" t="s">
        <v>231</v>
      </c>
      <c r="G82" t="s">
        <v>231</v>
      </c>
      <c r="H82" t="s">
        <v>231</v>
      </c>
      <c r="I82" t="s">
        <v>3521</v>
      </c>
      <c r="J82" t="s">
        <v>231</v>
      </c>
      <c r="K82" t="s">
        <v>231</v>
      </c>
      <c r="L82" t="s">
        <v>231</v>
      </c>
      <c r="M82" t="s">
        <v>231</v>
      </c>
      <c r="N82" t="s">
        <v>231</v>
      </c>
      <c r="O82" t="s">
        <v>231</v>
      </c>
      <c r="P82" t="s">
        <v>231</v>
      </c>
      <c r="Q82" t="s">
        <v>231</v>
      </c>
      <c r="R82" t="s">
        <v>3651</v>
      </c>
      <c r="S82" t="s">
        <v>231</v>
      </c>
      <c r="T82" t="s">
        <v>231</v>
      </c>
      <c r="U82" t="s">
        <v>101</v>
      </c>
      <c r="V82" t="s">
        <v>231</v>
      </c>
      <c r="W82" t="s">
        <v>231</v>
      </c>
      <c r="X82" t="s">
        <v>3523</v>
      </c>
      <c r="Y82" t="s">
        <v>231</v>
      </c>
      <c r="Z82" t="s">
        <v>160</v>
      </c>
      <c r="AA82" t="s">
        <v>151</v>
      </c>
      <c r="AB82" t="s">
        <v>151</v>
      </c>
      <c r="AC82" t="s">
        <v>2283</v>
      </c>
      <c r="AD82" t="s">
        <v>2283</v>
      </c>
      <c r="AE82" t="s">
        <v>2284</v>
      </c>
      <c r="AF82" t="s">
        <v>3750</v>
      </c>
      <c r="AG82" t="s">
        <v>3751</v>
      </c>
      <c r="AH82" t="s">
        <v>3753</v>
      </c>
      <c r="AI82" t="s">
        <v>4018</v>
      </c>
      <c r="AJ82" t="s">
        <v>3546</v>
      </c>
      <c r="AK82" t="s">
        <v>3547</v>
      </c>
      <c r="AL82" t="s">
        <v>3548</v>
      </c>
      <c r="AM82" t="s">
        <v>3531</v>
      </c>
      <c r="AN82" t="s">
        <v>3549</v>
      </c>
      <c r="AO82" t="s">
        <v>3812</v>
      </c>
      <c r="AP82" t="s">
        <v>231</v>
      </c>
      <c r="AQ82" t="s">
        <v>231</v>
      </c>
      <c r="AR82" t="s">
        <v>231</v>
      </c>
      <c r="AS82" t="s">
        <v>231</v>
      </c>
      <c r="AT82" t="s">
        <v>231</v>
      </c>
      <c r="AU82" t="s">
        <v>231</v>
      </c>
      <c r="AV82" t="s">
        <v>231</v>
      </c>
      <c r="AW82" t="s">
        <v>231</v>
      </c>
      <c r="AX82" t="s">
        <v>231</v>
      </c>
      <c r="AY82" t="s">
        <v>231</v>
      </c>
      <c r="AZ82" t="s">
        <v>231</v>
      </c>
      <c r="BA82" t="s">
        <v>231</v>
      </c>
      <c r="BB82" t="s">
        <v>231</v>
      </c>
      <c r="BC82" t="s">
        <v>231</v>
      </c>
      <c r="BD82" t="s">
        <v>231</v>
      </c>
      <c r="BE82" t="s">
        <v>231</v>
      </c>
      <c r="BF82" t="s">
        <v>231</v>
      </c>
      <c r="BG82" t="s">
        <v>231</v>
      </c>
      <c r="BH82" t="s">
        <v>231</v>
      </c>
      <c r="BI82" t="s">
        <v>231</v>
      </c>
      <c r="BJ82" t="s">
        <v>231</v>
      </c>
      <c r="BK82" t="s">
        <v>231</v>
      </c>
      <c r="BL82" t="s">
        <v>231</v>
      </c>
      <c r="BM82" t="s">
        <v>231</v>
      </c>
      <c r="BN82" t="s">
        <v>231</v>
      </c>
      <c r="BO82" t="s">
        <v>231</v>
      </c>
      <c r="BP82" t="s">
        <v>231</v>
      </c>
      <c r="BQ82" t="s">
        <v>231</v>
      </c>
      <c r="BR82" t="s">
        <v>231</v>
      </c>
      <c r="BS82" t="s">
        <v>231</v>
      </c>
      <c r="BT82" t="s">
        <v>231</v>
      </c>
      <c r="BU82" t="s">
        <v>231</v>
      </c>
      <c r="BV82" t="s">
        <v>231</v>
      </c>
      <c r="BW82" t="s">
        <v>231</v>
      </c>
      <c r="BX82" t="s">
        <v>231</v>
      </c>
      <c r="BY82" t="s">
        <v>231</v>
      </c>
      <c r="BZ82" t="s">
        <v>231</v>
      </c>
      <c r="CA82" t="s">
        <v>231</v>
      </c>
      <c r="CB82" t="s">
        <v>231</v>
      </c>
      <c r="CC82" t="s">
        <v>231</v>
      </c>
      <c r="CD82" t="s">
        <v>231</v>
      </c>
      <c r="CE82" t="s">
        <v>231</v>
      </c>
      <c r="CF82" t="s">
        <v>231</v>
      </c>
      <c r="CG82" t="s">
        <v>231</v>
      </c>
      <c r="CH82" t="s">
        <v>231</v>
      </c>
      <c r="CI82" t="s">
        <v>231</v>
      </c>
      <c r="CJ82" t="s">
        <v>231</v>
      </c>
      <c r="CK82" t="s">
        <v>231</v>
      </c>
      <c r="CL82" t="s">
        <v>231</v>
      </c>
      <c r="CM82" t="s">
        <v>231</v>
      </c>
      <c r="CN82" t="s">
        <v>231</v>
      </c>
      <c r="CO82" t="s">
        <v>231</v>
      </c>
      <c r="CP82" t="s">
        <v>231</v>
      </c>
      <c r="CQ82" t="s">
        <v>231</v>
      </c>
      <c r="CR82" t="s">
        <v>231</v>
      </c>
      <c r="CS82" t="s">
        <v>231</v>
      </c>
      <c r="CT82" t="s">
        <v>3534</v>
      </c>
      <c r="CU82" t="s">
        <v>3535</v>
      </c>
      <c r="CV82" t="s">
        <v>3536</v>
      </c>
      <c r="CW82" t="s">
        <v>3551</v>
      </c>
      <c r="CX82" t="s">
        <v>223</v>
      </c>
      <c r="CY82" t="s">
        <v>3536</v>
      </c>
      <c r="CZ82" t="s">
        <v>3552</v>
      </c>
      <c r="DA82" t="s">
        <v>3553</v>
      </c>
      <c r="DB82" t="s">
        <v>3551</v>
      </c>
      <c r="DC82" t="s">
        <v>363</v>
      </c>
      <c r="DD82" t="s">
        <v>282</v>
      </c>
      <c r="DE82" t="s">
        <v>4019</v>
      </c>
    </row>
    <row r="83" spans="1:109" ht="11.25" customHeight="1">
      <c r="A83" s="1314" t="s">
        <v>231</v>
      </c>
      <c r="B83" t="s">
        <v>231</v>
      </c>
      <c r="C83" t="s">
        <v>231</v>
      </c>
      <c r="D83" t="s">
        <v>231</v>
      </c>
      <c r="E83" t="s">
        <v>231</v>
      </c>
      <c r="F83" t="s">
        <v>231</v>
      </c>
      <c r="G83" t="s">
        <v>231</v>
      </c>
      <c r="H83" t="s">
        <v>231</v>
      </c>
      <c r="I83" t="s">
        <v>3521</v>
      </c>
      <c r="J83" t="s">
        <v>231</v>
      </c>
      <c r="K83" t="s">
        <v>231</v>
      </c>
      <c r="L83" t="s">
        <v>231</v>
      </c>
      <c r="M83" t="s">
        <v>231</v>
      </c>
      <c r="N83" t="s">
        <v>231</v>
      </c>
      <c r="O83" t="s">
        <v>231</v>
      </c>
      <c r="P83" t="s">
        <v>231</v>
      </c>
      <c r="Q83" t="s">
        <v>231</v>
      </c>
      <c r="R83" t="s">
        <v>3555</v>
      </c>
      <c r="S83" t="s">
        <v>231</v>
      </c>
      <c r="T83" t="s">
        <v>231</v>
      </c>
      <c r="U83" t="s">
        <v>101</v>
      </c>
      <c r="V83" t="s">
        <v>231</v>
      </c>
      <c r="W83" t="s">
        <v>231</v>
      </c>
      <c r="X83" t="s">
        <v>3523</v>
      </c>
      <c r="Y83" t="s">
        <v>231</v>
      </c>
      <c r="Z83" t="s">
        <v>160</v>
      </c>
      <c r="AA83" t="s">
        <v>151</v>
      </c>
      <c r="AB83" t="s">
        <v>151</v>
      </c>
      <c r="AC83" t="s">
        <v>2289</v>
      </c>
      <c r="AD83" t="s">
        <v>2289</v>
      </c>
      <c r="AE83" t="s">
        <v>2290</v>
      </c>
      <c r="AF83" t="s">
        <v>4020</v>
      </c>
      <c r="AG83" t="s">
        <v>4021</v>
      </c>
      <c r="AH83" t="s">
        <v>4022</v>
      </c>
      <c r="AI83" t="s">
        <v>3774</v>
      </c>
      <c r="AJ83" t="s">
        <v>3546</v>
      </c>
      <c r="AK83" t="s">
        <v>3775</v>
      </c>
      <c r="AL83" t="s">
        <v>3548</v>
      </c>
      <c r="AM83" t="s">
        <v>3531</v>
      </c>
      <c r="AN83" t="s">
        <v>3587</v>
      </c>
      <c r="AO83" t="s">
        <v>3679</v>
      </c>
      <c r="AP83" t="s">
        <v>231</v>
      </c>
      <c r="AQ83" t="s">
        <v>231</v>
      </c>
      <c r="AR83" t="s">
        <v>231</v>
      </c>
      <c r="AS83" t="s">
        <v>231</v>
      </c>
      <c r="AT83" t="s">
        <v>231</v>
      </c>
      <c r="AU83" t="s">
        <v>231</v>
      </c>
      <c r="AV83" t="s">
        <v>231</v>
      </c>
      <c r="AW83" t="s">
        <v>231</v>
      </c>
      <c r="AX83" t="s">
        <v>231</v>
      </c>
      <c r="AY83" t="s">
        <v>231</v>
      </c>
      <c r="AZ83" t="s">
        <v>231</v>
      </c>
      <c r="BA83" t="s">
        <v>231</v>
      </c>
      <c r="BB83" t="s">
        <v>231</v>
      </c>
      <c r="BC83" t="s">
        <v>231</v>
      </c>
      <c r="BD83" t="s">
        <v>231</v>
      </c>
      <c r="BE83" t="s">
        <v>231</v>
      </c>
      <c r="BF83" t="s">
        <v>231</v>
      </c>
      <c r="BG83" t="s">
        <v>231</v>
      </c>
      <c r="BH83" t="s">
        <v>231</v>
      </c>
      <c r="BI83" t="s">
        <v>231</v>
      </c>
      <c r="BJ83" t="s">
        <v>231</v>
      </c>
      <c r="BK83" t="s">
        <v>231</v>
      </c>
      <c r="BL83" t="s">
        <v>231</v>
      </c>
      <c r="BM83" t="s">
        <v>231</v>
      </c>
      <c r="BN83" t="s">
        <v>231</v>
      </c>
      <c r="BO83" t="s">
        <v>231</v>
      </c>
      <c r="BP83" t="s">
        <v>231</v>
      </c>
      <c r="BQ83" t="s">
        <v>231</v>
      </c>
      <c r="BR83" t="s">
        <v>231</v>
      </c>
      <c r="BS83" t="s">
        <v>231</v>
      </c>
      <c r="BT83" t="s">
        <v>231</v>
      </c>
      <c r="BU83" t="s">
        <v>231</v>
      </c>
      <c r="BV83" t="s">
        <v>231</v>
      </c>
      <c r="BW83" t="s">
        <v>231</v>
      </c>
      <c r="BX83" t="s">
        <v>231</v>
      </c>
      <c r="BY83" t="s">
        <v>231</v>
      </c>
      <c r="BZ83" t="s">
        <v>231</v>
      </c>
      <c r="CA83" t="s">
        <v>231</v>
      </c>
      <c r="CB83" t="s">
        <v>231</v>
      </c>
      <c r="CC83" t="s">
        <v>231</v>
      </c>
      <c r="CD83" t="s">
        <v>231</v>
      </c>
      <c r="CE83" t="s">
        <v>231</v>
      </c>
      <c r="CF83" t="s">
        <v>231</v>
      </c>
      <c r="CG83" t="s">
        <v>231</v>
      </c>
      <c r="CH83" t="s">
        <v>231</v>
      </c>
      <c r="CI83" t="s">
        <v>231</v>
      </c>
      <c r="CJ83" t="s">
        <v>231</v>
      </c>
      <c r="CK83" t="s">
        <v>231</v>
      </c>
      <c r="CL83" t="s">
        <v>231</v>
      </c>
      <c r="CM83" t="s">
        <v>231</v>
      </c>
      <c r="CN83" t="s">
        <v>231</v>
      </c>
      <c r="CO83" t="s">
        <v>231</v>
      </c>
      <c r="CP83" t="s">
        <v>231</v>
      </c>
      <c r="CQ83" t="s">
        <v>231</v>
      </c>
      <c r="CR83" t="s">
        <v>231</v>
      </c>
      <c r="CS83" t="s">
        <v>231</v>
      </c>
      <c r="CT83" t="s">
        <v>3534</v>
      </c>
      <c r="CU83" t="s">
        <v>3535</v>
      </c>
      <c r="CV83" t="s">
        <v>3536</v>
      </c>
      <c r="CW83" t="s">
        <v>3589</v>
      </c>
      <c r="CX83" t="s">
        <v>223</v>
      </c>
      <c r="CY83" t="s">
        <v>3536</v>
      </c>
      <c r="CZ83" t="s">
        <v>3590</v>
      </c>
      <c r="DA83" t="s">
        <v>3591</v>
      </c>
      <c r="DB83" t="s">
        <v>3589</v>
      </c>
      <c r="DC83" t="s">
        <v>363</v>
      </c>
      <c r="DD83" t="s">
        <v>282</v>
      </c>
      <c r="DE83" t="s">
        <v>4023</v>
      </c>
    </row>
    <row r="84" spans="1:109" ht="11.25" customHeight="1">
      <c r="A84" s="1314" t="s">
        <v>231</v>
      </c>
      <c r="B84" t="s">
        <v>231</v>
      </c>
      <c r="C84" t="s">
        <v>231</v>
      </c>
      <c r="D84" t="s">
        <v>231</v>
      </c>
      <c r="E84" t="s">
        <v>231</v>
      </c>
      <c r="F84" t="s">
        <v>231</v>
      </c>
      <c r="G84" t="s">
        <v>231</v>
      </c>
      <c r="H84" t="s">
        <v>231</v>
      </c>
      <c r="I84" t="s">
        <v>3521</v>
      </c>
      <c r="J84" t="s">
        <v>231</v>
      </c>
      <c r="K84" t="s">
        <v>231</v>
      </c>
      <c r="L84" t="s">
        <v>231</v>
      </c>
      <c r="M84" t="s">
        <v>231</v>
      </c>
      <c r="N84" t="s">
        <v>231</v>
      </c>
      <c r="O84" t="s">
        <v>231</v>
      </c>
      <c r="P84" t="s">
        <v>231</v>
      </c>
      <c r="Q84" t="s">
        <v>231</v>
      </c>
      <c r="R84" t="s">
        <v>4024</v>
      </c>
      <c r="S84" t="s">
        <v>231</v>
      </c>
      <c r="T84" t="s">
        <v>231</v>
      </c>
      <c r="U84" t="s">
        <v>101</v>
      </c>
      <c r="V84" t="s">
        <v>231</v>
      </c>
      <c r="W84" t="s">
        <v>231</v>
      </c>
      <c r="X84" t="s">
        <v>3523</v>
      </c>
      <c r="Y84" t="s">
        <v>231</v>
      </c>
      <c r="Z84" t="s">
        <v>160</v>
      </c>
      <c r="AA84" t="s">
        <v>151</v>
      </c>
      <c r="AB84" t="s">
        <v>151</v>
      </c>
      <c r="AC84" t="s">
        <v>2287</v>
      </c>
      <c r="AD84" t="s">
        <v>2287</v>
      </c>
      <c r="AE84" t="s">
        <v>2288</v>
      </c>
      <c r="AF84" t="s">
        <v>4025</v>
      </c>
      <c r="AG84" t="s">
        <v>4026</v>
      </c>
      <c r="AH84" t="s">
        <v>4022</v>
      </c>
      <c r="AI84" t="s">
        <v>281</v>
      </c>
      <c r="AJ84" t="s">
        <v>3528</v>
      </c>
      <c r="AK84" t="s">
        <v>3528</v>
      </c>
      <c r="AL84" t="s">
        <v>3648</v>
      </c>
      <c r="AM84" t="s">
        <v>3531</v>
      </c>
      <c r="AN84" t="s">
        <v>3549</v>
      </c>
      <c r="AO84" t="s">
        <v>4027</v>
      </c>
      <c r="AP84" t="s">
        <v>231</v>
      </c>
      <c r="AQ84" t="s">
        <v>231</v>
      </c>
      <c r="AR84" t="s">
        <v>231</v>
      </c>
      <c r="AS84" t="s">
        <v>231</v>
      </c>
      <c r="AT84" t="s">
        <v>231</v>
      </c>
      <c r="AU84" t="s">
        <v>231</v>
      </c>
      <c r="AV84" t="s">
        <v>231</v>
      </c>
      <c r="AW84" t="s">
        <v>231</v>
      </c>
      <c r="AX84" t="s">
        <v>231</v>
      </c>
      <c r="AY84" t="s">
        <v>231</v>
      </c>
      <c r="AZ84" t="s">
        <v>231</v>
      </c>
      <c r="BA84" t="s">
        <v>231</v>
      </c>
      <c r="BB84" t="s">
        <v>231</v>
      </c>
      <c r="BC84" t="s">
        <v>231</v>
      </c>
      <c r="BD84" t="s">
        <v>231</v>
      </c>
      <c r="BE84" t="s">
        <v>231</v>
      </c>
      <c r="BF84" t="s">
        <v>231</v>
      </c>
      <c r="BG84" t="s">
        <v>231</v>
      </c>
      <c r="BH84" t="s">
        <v>231</v>
      </c>
      <c r="BI84" t="s">
        <v>231</v>
      </c>
      <c r="BJ84" t="s">
        <v>231</v>
      </c>
      <c r="BK84" t="s">
        <v>231</v>
      </c>
      <c r="BL84" t="s">
        <v>231</v>
      </c>
      <c r="BM84" t="s">
        <v>231</v>
      </c>
      <c r="BN84" t="s">
        <v>231</v>
      </c>
      <c r="BO84" t="s">
        <v>231</v>
      </c>
      <c r="BP84" t="s">
        <v>231</v>
      </c>
      <c r="BQ84" t="s">
        <v>231</v>
      </c>
      <c r="BR84" t="s">
        <v>231</v>
      </c>
      <c r="BS84" t="s">
        <v>231</v>
      </c>
      <c r="BT84" t="s">
        <v>231</v>
      </c>
      <c r="BU84" t="s">
        <v>231</v>
      </c>
      <c r="BV84" t="s">
        <v>231</v>
      </c>
      <c r="BW84" t="s">
        <v>231</v>
      </c>
      <c r="BX84" t="s">
        <v>231</v>
      </c>
      <c r="BY84" t="s">
        <v>231</v>
      </c>
      <c r="BZ84" t="s">
        <v>231</v>
      </c>
      <c r="CA84" t="s">
        <v>231</v>
      </c>
      <c r="CB84" t="s">
        <v>231</v>
      </c>
      <c r="CC84" t="s">
        <v>231</v>
      </c>
      <c r="CD84" t="s">
        <v>231</v>
      </c>
      <c r="CE84" t="s">
        <v>231</v>
      </c>
      <c r="CF84" t="s">
        <v>231</v>
      </c>
      <c r="CG84" t="s">
        <v>231</v>
      </c>
      <c r="CH84" t="s">
        <v>231</v>
      </c>
      <c r="CI84" t="s">
        <v>231</v>
      </c>
      <c r="CJ84" t="s">
        <v>231</v>
      </c>
      <c r="CK84" t="s">
        <v>231</v>
      </c>
      <c r="CL84" t="s">
        <v>231</v>
      </c>
      <c r="CM84" t="s">
        <v>231</v>
      </c>
      <c r="CN84" t="s">
        <v>231</v>
      </c>
      <c r="CO84" t="s">
        <v>231</v>
      </c>
      <c r="CP84" t="s">
        <v>231</v>
      </c>
      <c r="CQ84" t="s">
        <v>231</v>
      </c>
      <c r="CR84" t="s">
        <v>231</v>
      </c>
      <c r="CS84" t="s">
        <v>231</v>
      </c>
      <c r="CT84" t="s">
        <v>3534</v>
      </c>
      <c r="CU84" t="s">
        <v>3535</v>
      </c>
      <c r="CV84" t="s">
        <v>3536</v>
      </c>
      <c r="CW84" t="s">
        <v>3623</v>
      </c>
      <c r="CX84" t="s">
        <v>223</v>
      </c>
      <c r="CY84" t="s">
        <v>3536</v>
      </c>
      <c r="CZ84" t="s">
        <v>3624</v>
      </c>
      <c r="DA84" t="s">
        <v>3625</v>
      </c>
      <c r="DB84" t="s">
        <v>3623</v>
      </c>
      <c r="DC84" t="s">
        <v>363</v>
      </c>
      <c r="DD84" t="s">
        <v>282</v>
      </c>
      <c r="DE84" t="s">
        <v>4028</v>
      </c>
    </row>
    <row r="85" spans="1:109" ht="11.25" customHeight="1">
      <c r="A85" s="1314" t="s">
        <v>231</v>
      </c>
      <c r="B85" t="s">
        <v>231</v>
      </c>
      <c r="C85" t="s">
        <v>231</v>
      </c>
      <c r="D85" t="s">
        <v>231</v>
      </c>
      <c r="E85" t="s">
        <v>231</v>
      </c>
      <c r="F85" t="s">
        <v>231</v>
      </c>
      <c r="G85" t="s">
        <v>231</v>
      </c>
      <c r="H85" t="s">
        <v>231</v>
      </c>
      <c r="I85" t="s">
        <v>3521</v>
      </c>
      <c r="J85" t="s">
        <v>231</v>
      </c>
      <c r="K85" t="s">
        <v>231</v>
      </c>
      <c r="L85" t="s">
        <v>231</v>
      </c>
      <c r="M85" t="s">
        <v>231</v>
      </c>
      <c r="N85" t="s">
        <v>231</v>
      </c>
      <c r="O85" t="s">
        <v>231</v>
      </c>
      <c r="P85" t="s">
        <v>231</v>
      </c>
      <c r="Q85" t="s">
        <v>231</v>
      </c>
      <c r="R85" t="s">
        <v>3615</v>
      </c>
      <c r="S85" t="s">
        <v>231</v>
      </c>
      <c r="T85" t="s">
        <v>231</v>
      </c>
      <c r="U85" t="s">
        <v>101</v>
      </c>
      <c r="V85" t="s">
        <v>231</v>
      </c>
      <c r="W85" t="s">
        <v>231</v>
      </c>
      <c r="X85" t="s">
        <v>3523</v>
      </c>
      <c r="Y85" t="s">
        <v>231</v>
      </c>
      <c r="Z85" t="s">
        <v>160</v>
      </c>
      <c r="AA85" t="s">
        <v>151</v>
      </c>
      <c r="AB85" t="s">
        <v>151</v>
      </c>
      <c r="AC85" t="s">
        <v>2287</v>
      </c>
      <c r="AD85" t="s">
        <v>2287</v>
      </c>
      <c r="AE85" t="s">
        <v>2288</v>
      </c>
      <c r="AF85" t="s">
        <v>4029</v>
      </c>
      <c r="AG85" t="s">
        <v>4030</v>
      </c>
      <c r="AH85" t="s">
        <v>4031</v>
      </c>
      <c r="AI85" t="s">
        <v>4032</v>
      </c>
      <c r="AJ85" t="s">
        <v>3619</v>
      </c>
      <c r="AK85" t="s">
        <v>3641</v>
      </c>
      <c r="AL85" t="s">
        <v>3548</v>
      </c>
      <c r="AM85" t="s">
        <v>3531</v>
      </c>
      <c r="AN85" t="s">
        <v>3621</v>
      </c>
      <c r="AO85" t="s">
        <v>3668</v>
      </c>
      <c r="AP85" t="s">
        <v>231</v>
      </c>
      <c r="AQ85" t="s">
        <v>231</v>
      </c>
      <c r="AR85" t="s">
        <v>231</v>
      </c>
      <c r="AS85" t="s">
        <v>231</v>
      </c>
      <c r="AT85" t="s">
        <v>231</v>
      </c>
      <c r="AU85" t="s">
        <v>231</v>
      </c>
      <c r="AV85" t="s">
        <v>231</v>
      </c>
      <c r="AW85" t="s">
        <v>231</v>
      </c>
      <c r="AX85" t="s">
        <v>231</v>
      </c>
      <c r="AY85" t="s">
        <v>231</v>
      </c>
      <c r="AZ85" t="s">
        <v>231</v>
      </c>
      <c r="BA85" t="s">
        <v>231</v>
      </c>
      <c r="BB85" t="s">
        <v>231</v>
      </c>
      <c r="BC85" t="s">
        <v>231</v>
      </c>
      <c r="BD85" t="s">
        <v>231</v>
      </c>
      <c r="BE85" t="s">
        <v>231</v>
      </c>
      <c r="BF85" t="s">
        <v>231</v>
      </c>
      <c r="BG85" t="s">
        <v>231</v>
      </c>
      <c r="BH85" t="s">
        <v>231</v>
      </c>
      <c r="BI85" t="s">
        <v>231</v>
      </c>
      <c r="BJ85" t="s">
        <v>231</v>
      </c>
      <c r="BK85" t="s">
        <v>231</v>
      </c>
      <c r="BL85" t="s">
        <v>231</v>
      </c>
      <c r="BM85" t="s">
        <v>231</v>
      </c>
      <c r="BN85" t="s">
        <v>231</v>
      </c>
      <c r="BO85" t="s">
        <v>231</v>
      </c>
      <c r="BP85" t="s">
        <v>231</v>
      </c>
      <c r="BQ85" t="s">
        <v>231</v>
      </c>
      <c r="BR85" t="s">
        <v>231</v>
      </c>
      <c r="BS85" t="s">
        <v>231</v>
      </c>
      <c r="BT85" t="s">
        <v>231</v>
      </c>
      <c r="BU85" t="s">
        <v>231</v>
      </c>
      <c r="BV85" t="s">
        <v>231</v>
      </c>
      <c r="BW85" t="s">
        <v>231</v>
      </c>
      <c r="BX85" t="s">
        <v>231</v>
      </c>
      <c r="BY85" t="s">
        <v>231</v>
      </c>
      <c r="BZ85" t="s">
        <v>231</v>
      </c>
      <c r="CA85" t="s">
        <v>231</v>
      </c>
      <c r="CB85" t="s">
        <v>231</v>
      </c>
      <c r="CC85" t="s">
        <v>231</v>
      </c>
      <c r="CD85" t="s">
        <v>231</v>
      </c>
      <c r="CE85" t="s">
        <v>231</v>
      </c>
      <c r="CF85" t="s">
        <v>231</v>
      </c>
      <c r="CG85" t="s">
        <v>231</v>
      </c>
      <c r="CH85" t="s">
        <v>231</v>
      </c>
      <c r="CI85" t="s">
        <v>231</v>
      </c>
      <c r="CJ85" t="s">
        <v>231</v>
      </c>
      <c r="CK85" t="s">
        <v>231</v>
      </c>
      <c r="CL85" t="s">
        <v>231</v>
      </c>
      <c r="CM85" t="s">
        <v>231</v>
      </c>
      <c r="CN85" t="s">
        <v>231</v>
      </c>
      <c r="CO85" t="s">
        <v>231</v>
      </c>
      <c r="CP85" t="s">
        <v>231</v>
      </c>
      <c r="CQ85" t="s">
        <v>231</v>
      </c>
      <c r="CR85" t="s">
        <v>231</v>
      </c>
      <c r="CS85" t="s">
        <v>231</v>
      </c>
      <c r="CT85" t="s">
        <v>3534</v>
      </c>
      <c r="CU85" t="s">
        <v>3535</v>
      </c>
      <c r="CV85" t="s">
        <v>3536</v>
      </c>
      <c r="CW85" t="s">
        <v>3623</v>
      </c>
      <c r="CX85" t="s">
        <v>223</v>
      </c>
      <c r="CY85" t="s">
        <v>3536</v>
      </c>
      <c r="CZ85" t="s">
        <v>3624</v>
      </c>
      <c r="DA85" t="s">
        <v>3625</v>
      </c>
      <c r="DB85" t="s">
        <v>3623</v>
      </c>
      <c r="DC85" t="s">
        <v>363</v>
      </c>
      <c r="DD85" t="s">
        <v>282</v>
      </c>
      <c r="DE85" t="s">
        <v>4033</v>
      </c>
    </row>
    <row r="86" spans="1:109" ht="11.25" customHeight="1">
      <c r="A86" s="1314" t="s">
        <v>231</v>
      </c>
      <c r="B86" t="s">
        <v>231</v>
      </c>
      <c r="C86" t="s">
        <v>231</v>
      </c>
      <c r="D86" t="s">
        <v>231</v>
      </c>
      <c r="E86" t="s">
        <v>231</v>
      </c>
      <c r="F86" t="s">
        <v>231</v>
      </c>
      <c r="G86" t="s">
        <v>231</v>
      </c>
      <c r="H86" t="s">
        <v>231</v>
      </c>
      <c r="I86" t="s">
        <v>3521</v>
      </c>
      <c r="J86" t="s">
        <v>231</v>
      </c>
      <c r="K86" t="s">
        <v>231</v>
      </c>
      <c r="L86" t="s">
        <v>231</v>
      </c>
      <c r="M86" t="s">
        <v>231</v>
      </c>
      <c r="N86" t="s">
        <v>231</v>
      </c>
      <c r="O86" t="s">
        <v>231</v>
      </c>
      <c r="P86" t="s">
        <v>231</v>
      </c>
      <c r="Q86" t="s">
        <v>231</v>
      </c>
      <c r="R86" t="s">
        <v>3615</v>
      </c>
      <c r="S86" t="s">
        <v>231</v>
      </c>
      <c r="T86" t="s">
        <v>231</v>
      </c>
      <c r="U86" t="s">
        <v>101</v>
      </c>
      <c r="V86" t="s">
        <v>231</v>
      </c>
      <c r="W86" t="s">
        <v>231</v>
      </c>
      <c r="X86" t="s">
        <v>3523</v>
      </c>
      <c r="Y86" t="s">
        <v>231</v>
      </c>
      <c r="Z86" t="s">
        <v>160</v>
      </c>
      <c r="AA86" t="s">
        <v>151</v>
      </c>
      <c r="AB86" t="s">
        <v>151</v>
      </c>
      <c r="AC86" t="s">
        <v>2287</v>
      </c>
      <c r="AD86" t="s">
        <v>2287</v>
      </c>
      <c r="AE86" t="s">
        <v>2288</v>
      </c>
      <c r="AF86" t="s">
        <v>4029</v>
      </c>
      <c r="AG86" t="s">
        <v>4030</v>
      </c>
      <c r="AH86" t="s">
        <v>4034</v>
      </c>
      <c r="AI86" t="s">
        <v>4035</v>
      </c>
      <c r="AJ86" t="s">
        <v>3619</v>
      </c>
      <c r="AK86" t="s">
        <v>4036</v>
      </c>
      <c r="AL86" t="s">
        <v>3548</v>
      </c>
      <c r="AM86" t="s">
        <v>3531</v>
      </c>
      <c r="AN86" t="s">
        <v>3621</v>
      </c>
      <c r="AO86" t="s">
        <v>3622</v>
      </c>
      <c r="AP86" t="s">
        <v>231</v>
      </c>
      <c r="AQ86" t="s">
        <v>231</v>
      </c>
      <c r="AR86" t="s">
        <v>231</v>
      </c>
      <c r="AS86" t="s">
        <v>231</v>
      </c>
      <c r="AT86" t="s">
        <v>231</v>
      </c>
      <c r="AU86" t="s">
        <v>231</v>
      </c>
      <c r="AV86" t="s">
        <v>231</v>
      </c>
      <c r="AW86" t="s">
        <v>231</v>
      </c>
      <c r="AX86" t="s">
        <v>231</v>
      </c>
      <c r="AY86" t="s">
        <v>231</v>
      </c>
      <c r="AZ86" t="s">
        <v>231</v>
      </c>
      <c r="BA86" t="s">
        <v>231</v>
      </c>
      <c r="BB86" t="s">
        <v>231</v>
      </c>
      <c r="BC86" t="s">
        <v>231</v>
      </c>
      <c r="BD86" t="s">
        <v>231</v>
      </c>
      <c r="BE86" t="s">
        <v>231</v>
      </c>
      <c r="BF86" t="s">
        <v>231</v>
      </c>
      <c r="BG86" t="s">
        <v>231</v>
      </c>
      <c r="BH86" t="s">
        <v>231</v>
      </c>
      <c r="BI86" t="s">
        <v>231</v>
      </c>
      <c r="BJ86" t="s">
        <v>231</v>
      </c>
      <c r="BK86" t="s">
        <v>231</v>
      </c>
      <c r="BL86" t="s">
        <v>231</v>
      </c>
      <c r="BM86" t="s">
        <v>231</v>
      </c>
      <c r="BN86" t="s">
        <v>231</v>
      </c>
      <c r="BO86" t="s">
        <v>231</v>
      </c>
      <c r="BP86" t="s">
        <v>231</v>
      </c>
      <c r="BQ86" t="s">
        <v>231</v>
      </c>
      <c r="BR86" t="s">
        <v>231</v>
      </c>
      <c r="BS86" t="s">
        <v>231</v>
      </c>
      <c r="BT86" t="s">
        <v>231</v>
      </c>
      <c r="BU86" t="s">
        <v>231</v>
      </c>
      <c r="BV86" t="s">
        <v>231</v>
      </c>
      <c r="BW86" t="s">
        <v>231</v>
      </c>
      <c r="BX86" t="s">
        <v>231</v>
      </c>
      <c r="BY86" t="s">
        <v>231</v>
      </c>
      <c r="BZ86" t="s">
        <v>231</v>
      </c>
      <c r="CA86" t="s">
        <v>231</v>
      </c>
      <c r="CB86" t="s">
        <v>231</v>
      </c>
      <c r="CC86" t="s">
        <v>231</v>
      </c>
      <c r="CD86" t="s">
        <v>231</v>
      </c>
      <c r="CE86" t="s">
        <v>231</v>
      </c>
      <c r="CF86" t="s">
        <v>231</v>
      </c>
      <c r="CG86" t="s">
        <v>231</v>
      </c>
      <c r="CH86" t="s">
        <v>231</v>
      </c>
      <c r="CI86" t="s">
        <v>231</v>
      </c>
      <c r="CJ86" t="s">
        <v>231</v>
      </c>
      <c r="CK86" t="s">
        <v>231</v>
      </c>
      <c r="CL86" t="s">
        <v>231</v>
      </c>
      <c r="CM86" t="s">
        <v>231</v>
      </c>
      <c r="CN86" t="s">
        <v>231</v>
      </c>
      <c r="CO86" t="s">
        <v>231</v>
      </c>
      <c r="CP86" t="s">
        <v>231</v>
      </c>
      <c r="CQ86" t="s">
        <v>231</v>
      </c>
      <c r="CR86" t="s">
        <v>231</v>
      </c>
      <c r="CS86" t="s">
        <v>231</v>
      </c>
      <c r="CT86" t="s">
        <v>3534</v>
      </c>
      <c r="CU86" t="s">
        <v>3535</v>
      </c>
      <c r="CV86" t="s">
        <v>3536</v>
      </c>
      <c r="CW86" t="s">
        <v>3623</v>
      </c>
      <c r="CX86" t="s">
        <v>223</v>
      </c>
      <c r="CY86" t="s">
        <v>3536</v>
      </c>
      <c r="CZ86" t="s">
        <v>3624</v>
      </c>
      <c r="DA86" t="s">
        <v>3625</v>
      </c>
      <c r="DB86" t="s">
        <v>3623</v>
      </c>
      <c r="DC86" t="s">
        <v>363</v>
      </c>
      <c r="DD86" t="s">
        <v>282</v>
      </c>
      <c r="DE86" t="s">
        <v>4037</v>
      </c>
    </row>
    <row r="87" spans="1:109" ht="11.25" customHeight="1">
      <c r="A87" s="1314" t="s">
        <v>231</v>
      </c>
      <c r="B87" t="s">
        <v>231</v>
      </c>
      <c r="C87" t="s">
        <v>231</v>
      </c>
      <c r="D87" t="s">
        <v>231</v>
      </c>
      <c r="E87" t="s">
        <v>231</v>
      </c>
      <c r="F87" t="s">
        <v>231</v>
      </c>
      <c r="G87" t="s">
        <v>231</v>
      </c>
      <c r="H87" t="s">
        <v>231</v>
      </c>
      <c r="I87" t="s">
        <v>3521</v>
      </c>
      <c r="J87" t="s">
        <v>231</v>
      </c>
      <c r="K87" t="s">
        <v>231</v>
      </c>
      <c r="L87" t="s">
        <v>231</v>
      </c>
      <c r="M87" t="s">
        <v>231</v>
      </c>
      <c r="N87" t="s">
        <v>231</v>
      </c>
      <c r="O87" t="s">
        <v>231</v>
      </c>
      <c r="P87" t="s">
        <v>231</v>
      </c>
      <c r="Q87" t="s">
        <v>231</v>
      </c>
      <c r="R87" t="s">
        <v>4038</v>
      </c>
      <c r="S87" t="s">
        <v>231</v>
      </c>
      <c r="T87" t="s">
        <v>231</v>
      </c>
      <c r="U87" t="s">
        <v>101</v>
      </c>
      <c r="V87" t="s">
        <v>231</v>
      </c>
      <c r="W87" t="s">
        <v>231</v>
      </c>
      <c r="X87" t="s">
        <v>3523</v>
      </c>
      <c r="Y87" t="s">
        <v>231</v>
      </c>
      <c r="Z87" t="s">
        <v>160</v>
      </c>
      <c r="AA87" t="s">
        <v>151</v>
      </c>
      <c r="AB87" t="s">
        <v>151</v>
      </c>
      <c r="AC87" t="s">
        <v>343</v>
      </c>
      <c r="AD87" t="s">
        <v>343</v>
      </c>
      <c r="AE87" t="s">
        <v>344</v>
      </c>
      <c r="AF87" t="s">
        <v>3561</v>
      </c>
      <c r="AG87" t="s">
        <v>3562</v>
      </c>
      <c r="AH87" t="s">
        <v>3629</v>
      </c>
      <c r="AI87" t="s">
        <v>3575</v>
      </c>
      <c r="AJ87" t="s">
        <v>3630</v>
      </c>
      <c r="AK87" t="s">
        <v>3631</v>
      </c>
      <c r="AL87" t="s">
        <v>3613</v>
      </c>
      <c r="AM87" t="s">
        <v>3531</v>
      </c>
      <c r="AN87" t="s">
        <v>4039</v>
      </c>
      <c r="AO87" t="s">
        <v>4040</v>
      </c>
      <c r="AP87" t="s">
        <v>231</v>
      </c>
      <c r="AQ87" t="s">
        <v>231</v>
      </c>
      <c r="AR87" t="s">
        <v>231</v>
      </c>
      <c r="AS87" t="s">
        <v>231</v>
      </c>
      <c r="AT87" t="s">
        <v>231</v>
      </c>
      <c r="AU87" t="s">
        <v>231</v>
      </c>
      <c r="AV87" t="s">
        <v>231</v>
      </c>
      <c r="AW87" t="s">
        <v>231</v>
      </c>
      <c r="AX87" t="s">
        <v>231</v>
      </c>
      <c r="AY87" t="s">
        <v>231</v>
      </c>
      <c r="AZ87" t="s">
        <v>231</v>
      </c>
      <c r="BA87" t="s">
        <v>231</v>
      </c>
      <c r="BB87" t="s">
        <v>231</v>
      </c>
      <c r="BC87" t="s">
        <v>231</v>
      </c>
      <c r="BD87" t="s">
        <v>231</v>
      </c>
      <c r="BE87" t="s">
        <v>231</v>
      </c>
      <c r="BF87" t="s">
        <v>231</v>
      </c>
      <c r="BG87" t="s">
        <v>231</v>
      </c>
      <c r="BH87" t="s">
        <v>231</v>
      </c>
      <c r="BI87" t="s">
        <v>231</v>
      </c>
      <c r="BJ87" t="s">
        <v>231</v>
      </c>
      <c r="BK87" t="s">
        <v>231</v>
      </c>
      <c r="BL87" t="s">
        <v>231</v>
      </c>
      <c r="BM87" t="s">
        <v>231</v>
      </c>
      <c r="BN87" t="s">
        <v>231</v>
      </c>
      <c r="BO87" t="s">
        <v>231</v>
      </c>
      <c r="BP87" t="s">
        <v>231</v>
      </c>
      <c r="BQ87" t="s">
        <v>231</v>
      </c>
      <c r="BR87" t="s">
        <v>231</v>
      </c>
      <c r="BS87" t="s">
        <v>231</v>
      </c>
      <c r="BT87" t="s">
        <v>231</v>
      </c>
      <c r="BU87" t="s">
        <v>231</v>
      </c>
      <c r="BV87" t="s">
        <v>231</v>
      </c>
      <c r="BW87" t="s">
        <v>231</v>
      </c>
      <c r="BX87" t="s">
        <v>231</v>
      </c>
      <c r="BY87" t="s">
        <v>231</v>
      </c>
      <c r="BZ87" t="s">
        <v>231</v>
      </c>
      <c r="CA87" t="s">
        <v>231</v>
      </c>
      <c r="CB87" t="s">
        <v>231</v>
      </c>
      <c r="CC87" t="s">
        <v>231</v>
      </c>
      <c r="CD87" t="s">
        <v>231</v>
      </c>
      <c r="CE87" t="s">
        <v>231</v>
      </c>
      <c r="CF87" t="s">
        <v>231</v>
      </c>
      <c r="CG87" t="s">
        <v>231</v>
      </c>
      <c r="CH87" t="s">
        <v>231</v>
      </c>
      <c r="CI87" t="s">
        <v>231</v>
      </c>
      <c r="CJ87" t="s">
        <v>231</v>
      </c>
      <c r="CK87" t="s">
        <v>231</v>
      </c>
      <c r="CL87" t="s">
        <v>231</v>
      </c>
      <c r="CM87" t="s">
        <v>231</v>
      </c>
      <c r="CN87" t="s">
        <v>231</v>
      </c>
      <c r="CO87" t="s">
        <v>231</v>
      </c>
      <c r="CP87" t="s">
        <v>231</v>
      </c>
      <c r="CQ87" t="s">
        <v>231</v>
      </c>
      <c r="CR87" t="s">
        <v>231</v>
      </c>
      <c r="CS87" t="s">
        <v>231</v>
      </c>
      <c r="CT87" t="s">
        <v>3534</v>
      </c>
      <c r="CU87" t="s">
        <v>3535</v>
      </c>
      <c r="CV87" t="s">
        <v>3536</v>
      </c>
      <c r="CW87" t="s">
        <v>3569</v>
      </c>
      <c r="CX87" t="s">
        <v>3570</v>
      </c>
      <c r="CY87" t="s">
        <v>3536</v>
      </c>
      <c r="CZ87" t="s">
        <v>224</v>
      </c>
      <c r="DA87" t="s">
        <v>3571</v>
      </c>
      <c r="DB87" t="s">
        <v>3569</v>
      </c>
      <c r="DC87" t="s">
        <v>363</v>
      </c>
      <c r="DD87" t="s">
        <v>282</v>
      </c>
      <c r="DE87" t="s">
        <v>3644</v>
      </c>
    </row>
    <row r="88" spans="1:109" ht="11.25" customHeight="1">
      <c r="A88" s="1314" t="s">
        <v>231</v>
      </c>
      <c r="B88" t="s">
        <v>231</v>
      </c>
      <c r="C88" t="s">
        <v>231</v>
      </c>
      <c r="D88" t="s">
        <v>231</v>
      </c>
      <c r="E88" t="s">
        <v>231</v>
      </c>
      <c r="F88" t="s">
        <v>231</v>
      </c>
      <c r="G88" t="s">
        <v>231</v>
      </c>
      <c r="H88" t="s">
        <v>231</v>
      </c>
      <c r="I88" t="s">
        <v>3521</v>
      </c>
      <c r="J88" t="s">
        <v>231</v>
      </c>
      <c r="K88" t="s">
        <v>231</v>
      </c>
      <c r="L88" t="s">
        <v>231</v>
      </c>
      <c r="M88" t="s">
        <v>231</v>
      </c>
      <c r="N88" t="s">
        <v>231</v>
      </c>
      <c r="O88" t="s">
        <v>231</v>
      </c>
      <c r="P88" t="s">
        <v>231</v>
      </c>
      <c r="Q88" t="s">
        <v>231</v>
      </c>
      <c r="R88" t="s">
        <v>4041</v>
      </c>
      <c r="S88" t="s">
        <v>231</v>
      </c>
      <c r="T88" t="s">
        <v>231</v>
      </c>
      <c r="U88" t="s">
        <v>101</v>
      </c>
      <c r="V88" t="s">
        <v>231</v>
      </c>
      <c r="W88" t="s">
        <v>231</v>
      </c>
      <c r="X88" t="s">
        <v>3628</v>
      </c>
      <c r="Y88" t="s">
        <v>231</v>
      </c>
      <c r="Z88" t="s">
        <v>151</v>
      </c>
      <c r="AA88" t="s">
        <v>151</v>
      </c>
      <c r="AB88" t="s">
        <v>160</v>
      </c>
      <c r="AC88" t="s">
        <v>2287</v>
      </c>
      <c r="AD88" t="s">
        <v>2287</v>
      </c>
      <c r="AE88" t="s">
        <v>2288</v>
      </c>
      <c r="AF88" t="s">
        <v>4029</v>
      </c>
      <c r="AG88" t="s">
        <v>4030</v>
      </c>
      <c r="AH88" t="s">
        <v>3618</v>
      </c>
      <c r="AI88" t="s">
        <v>3618</v>
      </c>
      <c r="AJ88" t="s">
        <v>231</v>
      </c>
      <c r="AK88" t="s">
        <v>231</v>
      </c>
      <c r="AL88" t="s">
        <v>231</v>
      </c>
      <c r="AM88" t="s">
        <v>231</v>
      </c>
      <c r="AN88" t="s">
        <v>231</v>
      </c>
      <c r="AO88" t="s">
        <v>231</v>
      </c>
      <c r="AP88" t="s">
        <v>231</v>
      </c>
      <c r="AQ88" t="s">
        <v>231</v>
      </c>
      <c r="AR88" t="s">
        <v>231</v>
      </c>
      <c r="AS88" t="s">
        <v>231</v>
      </c>
      <c r="AT88" t="s">
        <v>231</v>
      </c>
      <c r="AU88" t="s">
        <v>231</v>
      </c>
      <c r="AV88" t="s">
        <v>231</v>
      </c>
      <c r="AW88" t="s">
        <v>231</v>
      </c>
      <c r="AX88" t="s">
        <v>231</v>
      </c>
      <c r="AY88" t="s">
        <v>231</v>
      </c>
      <c r="AZ88" t="s">
        <v>231</v>
      </c>
      <c r="BA88" t="s">
        <v>231</v>
      </c>
      <c r="BB88" t="s">
        <v>231</v>
      </c>
      <c r="BC88" t="s">
        <v>231</v>
      </c>
      <c r="BD88" t="s">
        <v>231</v>
      </c>
      <c r="BE88" t="s">
        <v>4042</v>
      </c>
      <c r="BF88" t="s">
        <v>4036</v>
      </c>
      <c r="BG88" t="s">
        <v>111</v>
      </c>
      <c r="BH88" t="s">
        <v>3632</v>
      </c>
      <c r="BI88" t="s">
        <v>122</v>
      </c>
      <c r="BJ88" t="s">
        <v>231</v>
      </c>
      <c r="BK88" t="s">
        <v>3651</v>
      </c>
      <c r="BL88" t="s">
        <v>2287</v>
      </c>
      <c r="BM88" t="s">
        <v>2287</v>
      </c>
      <c r="BN88" t="s">
        <v>3842</v>
      </c>
      <c r="BO88" t="s">
        <v>4029</v>
      </c>
      <c r="BP88" t="s">
        <v>4043</v>
      </c>
      <c r="BQ88" t="s">
        <v>3618</v>
      </c>
      <c r="BR88" t="s">
        <v>3618</v>
      </c>
      <c r="BS88" t="s">
        <v>231</v>
      </c>
      <c r="BT88" t="s">
        <v>3694</v>
      </c>
      <c r="BU88" t="s">
        <v>4044</v>
      </c>
      <c r="BV88" t="s">
        <v>4044</v>
      </c>
      <c r="BW88" t="s">
        <v>3641</v>
      </c>
      <c r="BX88" t="s">
        <v>3641</v>
      </c>
      <c r="BY88" t="s">
        <v>3641</v>
      </c>
      <c r="BZ88" t="s">
        <v>3641</v>
      </c>
      <c r="CA88" t="s">
        <v>3641</v>
      </c>
      <c r="CB88" t="s">
        <v>231</v>
      </c>
      <c r="CC88" t="s">
        <v>231</v>
      </c>
      <c r="CD88" t="s">
        <v>231</v>
      </c>
      <c r="CE88" t="s">
        <v>231</v>
      </c>
      <c r="CF88" t="s">
        <v>231</v>
      </c>
      <c r="CG88" t="s">
        <v>3641</v>
      </c>
      <c r="CH88" t="s">
        <v>231</v>
      </c>
      <c r="CI88" t="s">
        <v>231</v>
      </c>
      <c r="CJ88" t="s">
        <v>231</v>
      </c>
      <c r="CK88" t="s">
        <v>231</v>
      </c>
      <c r="CL88" t="s">
        <v>231</v>
      </c>
      <c r="CM88" t="s">
        <v>4044</v>
      </c>
      <c r="CN88" t="s">
        <v>4044</v>
      </c>
      <c r="CO88" t="s">
        <v>231</v>
      </c>
      <c r="CP88" t="s">
        <v>231</v>
      </c>
      <c r="CQ88" t="s">
        <v>231</v>
      </c>
      <c r="CR88" t="s">
        <v>231</v>
      </c>
      <c r="CS88" t="s">
        <v>3595</v>
      </c>
      <c r="CT88" t="s">
        <v>3534</v>
      </c>
      <c r="CU88" t="s">
        <v>3535</v>
      </c>
      <c r="CV88" t="s">
        <v>3536</v>
      </c>
      <c r="CW88" t="s">
        <v>3623</v>
      </c>
      <c r="CX88" t="s">
        <v>223</v>
      </c>
      <c r="CY88" t="s">
        <v>3536</v>
      </c>
      <c r="CZ88" t="s">
        <v>3624</v>
      </c>
      <c r="DA88" t="s">
        <v>3625</v>
      </c>
      <c r="DB88" t="s">
        <v>3623</v>
      </c>
      <c r="DC88" t="s">
        <v>363</v>
      </c>
      <c r="DD88" t="s">
        <v>282</v>
      </c>
      <c r="DE88" t="s">
        <v>4045</v>
      </c>
    </row>
    <row r="89" spans="1:109" ht="11.25" customHeight="1">
      <c r="A89" s="1314" t="s">
        <v>231</v>
      </c>
      <c r="B89" t="s">
        <v>231</v>
      </c>
      <c r="C89" t="s">
        <v>231</v>
      </c>
      <c r="D89" t="s">
        <v>231</v>
      </c>
      <c r="E89" t="s">
        <v>231</v>
      </c>
      <c r="F89" t="s">
        <v>231</v>
      </c>
      <c r="G89" t="s">
        <v>231</v>
      </c>
      <c r="H89" t="s">
        <v>231</v>
      </c>
      <c r="I89" t="s">
        <v>3521</v>
      </c>
      <c r="J89" t="s">
        <v>231</v>
      </c>
      <c r="K89" t="s">
        <v>231</v>
      </c>
      <c r="L89" t="s">
        <v>231</v>
      </c>
      <c r="M89" t="s">
        <v>231</v>
      </c>
      <c r="N89" t="s">
        <v>231</v>
      </c>
      <c r="O89" t="s">
        <v>231</v>
      </c>
      <c r="P89" t="s">
        <v>231</v>
      </c>
      <c r="Q89" t="s">
        <v>231</v>
      </c>
      <c r="R89" t="s">
        <v>4046</v>
      </c>
      <c r="S89" t="s">
        <v>231</v>
      </c>
      <c r="T89" t="s">
        <v>231</v>
      </c>
      <c r="U89" t="s">
        <v>101</v>
      </c>
      <c r="V89" t="s">
        <v>231</v>
      </c>
      <c r="W89" t="s">
        <v>231</v>
      </c>
      <c r="X89" t="s">
        <v>3955</v>
      </c>
      <c r="Y89" t="s">
        <v>231</v>
      </c>
      <c r="Z89" t="s">
        <v>151</v>
      </c>
      <c r="AA89" t="s">
        <v>160</v>
      </c>
      <c r="AB89" t="s">
        <v>151</v>
      </c>
      <c r="AC89" t="s">
        <v>343</v>
      </c>
      <c r="AD89" t="s">
        <v>343</v>
      </c>
      <c r="AE89" t="s">
        <v>344</v>
      </c>
      <c r="AF89" t="s">
        <v>3561</v>
      </c>
      <c r="AG89" t="s">
        <v>3562</v>
      </c>
      <c r="AH89" t="s">
        <v>4047</v>
      </c>
      <c r="AI89" t="s">
        <v>3575</v>
      </c>
      <c r="AJ89" t="s">
        <v>231</v>
      </c>
      <c r="AK89" t="s">
        <v>231</v>
      </c>
      <c r="AL89" t="s">
        <v>231</v>
      </c>
      <c r="AM89" t="s">
        <v>231</v>
      </c>
      <c r="AN89" t="s">
        <v>231</v>
      </c>
      <c r="AO89" t="s">
        <v>231</v>
      </c>
      <c r="AP89" t="s">
        <v>3951</v>
      </c>
      <c r="AQ89" t="s">
        <v>4048</v>
      </c>
      <c r="AR89" t="s">
        <v>111</v>
      </c>
      <c r="AS89" t="s">
        <v>3632</v>
      </c>
      <c r="AT89" t="s">
        <v>122</v>
      </c>
      <c r="AU89" t="s">
        <v>231</v>
      </c>
      <c r="AV89" t="s">
        <v>4049</v>
      </c>
      <c r="AW89" t="s">
        <v>343</v>
      </c>
      <c r="AX89" t="s">
        <v>343</v>
      </c>
      <c r="AY89" t="s">
        <v>3634</v>
      </c>
      <c r="AZ89" t="s">
        <v>3561</v>
      </c>
      <c r="BA89" t="s">
        <v>3635</v>
      </c>
      <c r="BB89" t="s">
        <v>4047</v>
      </c>
      <c r="BC89" t="s">
        <v>3575</v>
      </c>
      <c r="BD89" t="s">
        <v>3641</v>
      </c>
      <c r="BE89" t="s">
        <v>231</v>
      </c>
      <c r="BF89" t="s">
        <v>231</v>
      </c>
      <c r="BG89" t="s">
        <v>231</v>
      </c>
      <c r="BH89" t="s">
        <v>231</v>
      </c>
      <c r="BI89" t="s">
        <v>231</v>
      </c>
      <c r="BJ89" t="s">
        <v>231</v>
      </c>
      <c r="BK89" t="s">
        <v>231</v>
      </c>
      <c r="BL89" t="s">
        <v>231</v>
      </c>
      <c r="BM89" t="s">
        <v>231</v>
      </c>
      <c r="BN89" t="s">
        <v>231</v>
      </c>
      <c r="BO89" t="s">
        <v>231</v>
      </c>
      <c r="BP89" t="s">
        <v>231</v>
      </c>
      <c r="BQ89" t="s">
        <v>231</v>
      </c>
      <c r="BR89" t="s">
        <v>231</v>
      </c>
      <c r="BS89" t="s">
        <v>231</v>
      </c>
      <c r="BT89" t="s">
        <v>231</v>
      </c>
      <c r="BU89" t="s">
        <v>231</v>
      </c>
      <c r="BV89" t="s">
        <v>231</v>
      </c>
      <c r="BW89" t="s">
        <v>231</v>
      </c>
      <c r="BX89" t="s">
        <v>231</v>
      </c>
      <c r="BY89" t="s">
        <v>231</v>
      </c>
      <c r="BZ89" t="s">
        <v>231</v>
      </c>
      <c r="CA89" t="s">
        <v>231</v>
      </c>
      <c r="CB89" t="s">
        <v>231</v>
      </c>
      <c r="CC89" t="s">
        <v>231</v>
      </c>
      <c r="CD89" t="s">
        <v>231</v>
      </c>
      <c r="CE89" t="s">
        <v>231</v>
      </c>
      <c r="CF89" t="s">
        <v>231</v>
      </c>
      <c r="CG89" t="s">
        <v>231</v>
      </c>
      <c r="CH89" t="s">
        <v>231</v>
      </c>
      <c r="CI89" t="s">
        <v>231</v>
      </c>
      <c r="CJ89" t="s">
        <v>231</v>
      </c>
      <c r="CK89" t="s">
        <v>231</v>
      </c>
      <c r="CL89" t="s">
        <v>231</v>
      </c>
      <c r="CM89" t="s">
        <v>231</v>
      </c>
      <c r="CN89" t="s">
        <v>231</v>
      </c>
      <c r="CO89" t="s">
        <v>231</v>
      </c>
      <c r="CP89" t="s">
        <v>231</v>
      </c>
      <c r="CQ89" t="s">
        <v>231</v>
      </c>
      <c r="CR89" t="s">
        <v>231</v>
      </c>
      <c r="CS89" t="s">
        <v>231</v>
      </c>
      <c r="CT89" t="s">
        <v>3534</v>
      </c>
      <c r="CU89" t="s">
        <v>3535</v>
      </c>
      <c r="CV89" t="s">
        <v>3536</v>
      </c>
      <c r="CW89" t="s">
        <v>3569</v>
      </c>
      <c r="CX89" t="s">
        <v>3570</v>
      </c>
      <c r="CY89" t="s">
        <v>3536</v>
      </c>
      <c r="CZ89" t="s">
        <v>224</v>
      </c>
      <c r="DA89" t="s">
        <v>3571</v>
      </c>
      <c r="DB89" t="s">
        <v>3569</v>
      </c>
      <c r="DC89" t="s">
        <v>363</v>
      </c>
      <c r="DD89" t="s">
        <v>282</v>
      </c>
      <c r="DE89" t="s">
        <v>4050</v>
      </c>
    </row>
    <row r="90" spans="1:109" ht="11.25" customHeight="1">
      <c r="A90" s="1314" t="s">
        <v>231</v>
      </c>
      <c r="B90" t="s">
        <v>231</v>
      </c>
      <c r="C90" t="s">
        <v>231</v>
      </c>
      <c r="D90" t="s">
        <v>231</v>
      </c>
      <c r="E90" t="s">
        <v>231</v>
      </c>
      <c r="F90" t="s">
        <v>231</v>
      </c>
      <c r="G90" t="s">
        <v>231</v>
      </c>
      <c r="H90" t="s">
        <v>231</v>
      </c>
      <c r="I90" t="s">
        <v>3521</v>
      </c>
      <c r="J90" t="s">
        <v>231</v>
      </c>
      <c r="K90" t="s">
        <v>231</v>
      </c>
      <c r="L90" t="s">
        <v>231</v>
      </c>
      <c r="M90" t="s">
        <v>231</v>
      </c>
      <c r="N90" t="s">
        <v>231</v>
      </c>
      <c r="O90" t="s">
        <v>231</v>
      </c>
      <c r="P90" t="s">
        <v>231</v>
      </c>
      <c r="Q90" t="s">
        <v>231</v>
      </c>
      <c r="R90" t="s">
        <v>4051</v>
      </c>
      <c r="S90" t="s">
        <v>231</v>
      </c>
      <c r="T90" t="s">
        <v>231</v>
      </c>
      <c r="U90" t="s">
        <v>101</v>
      </c>
      <c r="V90" t="s">
        <v>231</v>
      </c>
      <c r="W90" t="s">
        <v>231</v>
      </c>
      <c r="X90" t="s">
        <v>3628</v>
      </c>
      <c r="Y90" t="s">
        <v>231</v>
      </c>
      <c r="Z90" t="s">
        <v>151</v>
      </c>
      <c r="AA90" t="s">
        <v>151</v>
      </c>
      <c r="AB90" t="s">
        <v>160</v>
      </c>
      <c r="AC90" t="s">
        <v>2289</v>
      </c>
      <c r="AD90" t="s">
        <v>2289</v>
      </c>
      <c r="AE90" t="s">
        <v>2290</v>
      </c>
      <c r="AF90" t="s">
        <v>3722</v>
      </c>
      <c r="AG90" t="s">
        <v>3723</v>
      </c>
      <c r="AH90" t="s">
        <v>3618</v>
      </c>
      <c r="AI90" t="s">
        <v>3618</v>
      </c>
      <c r="AJ90" t="s">
        <v>231</v>
      </c>
      <c r="AK90" t="s">
        <v>231</v>
      </c>
      <c r="AL90" t="s">
        <v>231</v>
      </c>
      <c r="AM90" t="s">
        <v>231</v>
      </c>
      <c r="AN90" t="s">
        <v>231</v>
      </c>
      <c r="AO90" t="s">
        <v>231</v>
      </c>
      <c r="AP90" t="s">
        <v>231</v>
      </c>
      <c r="AQ90" t="s">
        <v>231</v>
      </c>
      <c r="AR90" t="s">
        <v>231</v>
      </c>
      <c r="AS90" t="s">
        <v>231</v>
      </c>
      <c r="AT90" t="s">
        <v>231</v>
      </c>
      <c r="AU90" t="s">
        <v>231</v>
      </c>
      <c r="AV90" t="s">
        <v>231</v>
      </c>
      <c r="AW90" t="s">
        <v>231</v>
      </c>
      <c r="AX90" t="s">
        <v>231</v>
      </c>
      <c r="AY90" t="s">
        <v>231</v>
      </c>
      <c r="AZ90" t="s">
        <v>231</v>
      </c>
      <c r="BA90" t="s">
        <v>231</v>
      </c>
      <c r="BB90" t="s">
        <v>231</v>
      </c>
      <c r="BC90" t="s">
        <v>231</v>
      </c>
      <c r="BD90" t="s">
        <v>231</v>
      </c>
      <c r="BE90" t="s">
        <v>3594</v>
      </c>
      <c r="BF90" t="s">
        <v>3586</v>
      </c>
      <c r="BG90" t="s">
        <v>111</v>
      </c>
      <c r="BH90" t="s">
        <v>3632</v>
      </c>
      <c r="BI90" t="s">
        <v>122</v>
      </c>
      <c r="BJ90" t="s">
        <v>231</v>
      </c>
      <c r="BK90" t="s">
        <v>3651</v>
      </c>
      <c r="BL90" t="s">
        <v>2289</v>
      </c>
      <c r="BM90" t="s">
        <v>2289</v>
      </c>
      <c r="BN90" t="s">
        <v>3707</v>
      </c>
      <c r="BO90" t="s">
        <v>3722</v>
      </c>
      <c r="BP90" t="s">
        <v>4052</v>
      </c>
      <c r="BQ90" t="s">
        <v>3618</v>
      </c>
      <c r="BR90" t="s">
        <v>3618</v>
      </c>
      <c r="BS90" t="s">
        <v>231</v>
      </c>
      <c r="BT90" t="s">
        <v>3694</v>
      </c>
      <c r="BU90" t="s">
        <v>4053</v>
      </c>
      <c r="BV90" t="s">
        <v>4053</v>
      </c>
      <c r="BW90" t="s">
        <v>3641</v>
      </c>
      <c r="BX90" t="s">
        <v>3641</v>
      </c>
      <c r="BY90" t="s">
        <v>3641</v>
      </c>
      <c r="BZ90" t="s">
        <v>3641</v>
      </c>
      <c r="CA90" t="s">
        <v>3641</v>
      </c>
      <c r="CB90" t="s">
        <v>231</v>
      </c>
      <c r="CC90" t="s">
        <v>231</v>
      </c>
      <c r="CD90" t="s">
        <v>231</v>
      </c>
      <c r="CE90" t="s">
        <v>231</v>
      </c>
      <c r="CF90" t="s">
        <v>231</v>
      </c>
      <c r="CG90" t="s">
        <v>3641</v>
      </c>
      <c r="CH90" t="s">
        <v>231</v>
      </c>
      <c r="CI90" t="s">
        <v>231</v>
      </c>
      <c r="CJ90" t="s">
        <v>231</v>
      </c>
      <c r="CK90" t="s">
        <v>231</v>
      </c>
      <c r="CL90" t="s">
        <v>231</v>
      </c>
      <c r="CM90" t="s">
        <v>4053</v>
      </c>
      <c r="CN90" t="s">
        <v>4053</v>
      </c>
      <c r="CO90" t="s">
        <v>231</v>
      </c>
      <c r="CP90" t="s">
        <v>231</v>
      </c>
      <c r="CQ90" t="s">
        <v>231</v>
      </c>
      <c r="CR90" t="s">
        <v>231</v>
      </c>
      <c r="CS90" t="s">
        <v>3710</v>
      </c>
      <c r="CT90" t="s">
        <v>3534</v>
      </c>
      <c r="CU90" t="s">
        <v>3535</v>
      </c>
      <c r="CV90" t="s">
        <v>3536</v>
      </c>
      <c r="CW90" t="s">
        <v>3589</v>
      </c>
      <c r="CX90" t="s">
        <v>223</v>
      </c>
      <c r="CY90" t="s">
        <v>3536</v>
      </c>
      <c r="CZ90" t="s">
        <v>3590</v>
      </c>
      <c r="DA90" t="s">
        <v>3591</v>
      </c>
      <c r="DB90" t="s">
        <v>3589</v>
      </c>
      <c r="DC90" t="s">
        <v>363</v>
      </c>
      <c r="DD90" t="s">
        <v>282</v>
      </c>
      <c r="DE90" t="s">
        <v>4054</v>
      </c>
    </row>
    <row r="91" spans="1:109" ht="11.25" customHeight="1">
      <c r="A91" s="1314" t="s">
        <v>231</v>
      </c>
      <c r="B91" t="s">
        <v>231</v>
      </c>
      <c r="C91" t="s">
        <v>231</v>
      </c>
      <c r="D91" t="s">
        <v>231</v>
      </c>
      <c r="E91" t="s">
        <v>231</v>
      </c>
      <c r="F91" t="s">
        <v>231</v>
      </c>
      <c r="G91" t="s">
        <v>231</v>
      </c>
      <c r="H91" t="s">
        <v>231</v>
      </c>
      <c r="I91" t="s">
        <v>3521</v>
      </c>
      <c r="J91" t="s">
        <v>231</v>
      </c>
      <c r="K91" t="s">
        <v>231</v>
      </c>
      <c r="L91" t="s">
        <v>231</v>
      </c>
      <c r="M91" t="s">
        <v>231</v>
      </c>
      <c r="N91" t="s">
        <v>231</v>
      </c>
      <c r="O91" t="s">
        <v>231</v>
      </c>
      <c r="P91" t="s">
        <v>231</v>
      </c>
      <c r="Q91" t="s">
        <v>231</v>
      </c>
      <c r="R91" t="s">
        <v>3615</v>
      </c>
      <c r="S91" t="s">
        <v>231</v>
      </c>
      <c r="T91" t="s">
        <v>231</v>
      </c>
      <c r="U91" t="s">
        <v>101</v>
      </c>
      <c r="V91" t="s">
        <v>231</v>
      </c>
      <c r="W91" t="s">
        <v>231</v>
      </c>
      <c r="X91" t="s">
        <v>3523</v>
      </c>
      <c r="Y91" t="s">
        <v>231</v>
      </c>
      <c r="Z91" t="s">
        <v>160</v>
      </c>
      <c r="AA91" t="s">
        <v>151</v>
      </c>
      <c r="AB91" t="s">
        <v>151</v>
      </c>
      <c r="AC91" t="s">
        <v>2289</v>
      </c>
      <c r="AD91" t="s">
        <v>2289</v>
      </c>
      <c r="AE91" t="s">
        <v>2290</v>
      </c>
      <c r="AF91" t="s">
        <v>4055</v>
      </c>
      <c r="AG91" t="s">
        <v>4056</v>
      </c>
      <c r="AH91" t="s">
        <v>4057</v>
      </c>
      <c r="AI91" t="s">
        <v>3593</v>
      </c>
      <c r="AJ91" t="s">
        <v>3546</v>
      </c>
      <c r="AK91" t="s">
        <v>3716</v>
      </c>
      <c r="AL91" t="s">
        <v>3548</v>
      </c>
      <c r="AM91" t="s">
        <v>3531</v>
      </c>
      <c r="AN91" t="s">
        <v>3587</v>
      </c>
      <c r="AO91" t="s">
        <v>3679</v>
      </c>
      <c r="AP91" t="s">
        <v>231</v>
      </c>
      <c r="AQ91" t="s">
        <v>231</v>
      </c>
      <c r="AR91" t="s">
        <v>231</v>
      </c>
      <c r="AS91" t="s">
        <v>231</v>
      </c>
      <c r="AT91" t="s">
        <v>231</v>
      </c>
      <c r="AU91" t="s">
        <v>231</v>
      </c>
      <c r="AV91" t="s">
        <v>231</v>
      </c>
      <c r="AW91" t="s">
        <v>231</v>
      </c>
      <c r="AX91" t="s">
        <v>231</v>
      </c>
      <c r="AY91" t="s">
        <v>231</v>
      </c>
      <c r="AZ91" t="s">
        <v>231</v>
      </c>
      <c r="BA91" t="s">
        <v>231</v>
      </c>
      <c r="BB91" t="s">
        <v>231</v>
      </c>
      <c r="BC91" t="s">
        <v>231</v>
      </c>
      <c r="BD91" t="s">
        <v>231</v>
      </c>
      <c r="BE91" t="s">
        <v>231</v>
      </c>
      <c r="BF91" t="s">
        <v>231</v>
      </c>
      <c r="BG91" t="s">
        <v>231</v>
      </c>
      <c r="BH91" t="s">
        <v>231</v>
      </c>
      <c r="BI91" t="s">
        <v>231</v>
      </c>
      <c r="BJ91" t="s">
        <v>231</v>
      </c>
      <c r="BK91" t="s">
        <v>231</v>
      </c>
      <c r="BL91" t="s">
        <v>231</v>
      </c>
      <c r="BM91" t="s">
        <v>231</v>
      </c>
      <c r="BN91" t="s">
        <v>231</v>
      </c>
      <c r="BO91" t="s">
        <v>231</v>
      </c>
      <c r="BP91" t="s">
        <v>231</v>
      </c>
      <c r="BQ91" t="s">
        <v>231</v>
      </c>
      <c r="BR91" t="s">
        <v>231</v>
      </c>
      <c r="BS91" t="s">
        <v>231</v>
      </c>
      <c r="BT91" t="s">
        <v>231</v>
      </c>
      <c r="BU91" t="s">
        <v>231</v>
      </c>
      <c r="BV91" t="s">
        <v>231</v>
      </c>
      <c r="BW91" t="s">
        <v>231</v>
      </c>
      <c r="BX91" t="s">
        <v>231</v>
      </c>
      <c r="BY91" t="s">
        <v>231</v>
      </c>
      <c r="BZ91" t="s">
        <v>231</v>
      </c>
      <c r="CA91" t="s">
        <v>231</v>
      </c>
      <c r="CB91" t="s">
        <v>231</v>
      </c>
      <c r="CC91" t="s">
        <v>231</v>
      </c>
      <c r="CD91" t="s">
        <v>231</v>
      </c>
      <c r="CE91" t="s">
        <v>231</v>
      </c>
      <c r="CF91" t="s">
        <v>231</v>
      </c>
      <c r="CG91" t="s">
        <v>231</v>
      </c>
      <c r="CH91" t="s">
        <v>231</v>
      </c>
      <c r="CI91" t="s">
        <v>231</v>
      </c>
      <c r="CJ91" t="s">
        <v>231</v>
      </c>
      <c r="CK91" t="s">
        <v>231</v>
      </c>
      <c r="CL91" t="s">
        <v>231</v>
      </c>
      <c r="CM91" t="s">
        <v>231</v>
      </c>
      <c r="CN91" t="s">
        <v>231</v>
      </c>
      <c r="CO91" t="s">
        <v>231</v>
      </c>
      <c r="CP91" t="s">
        <v>231</v>
      </c>
      <c r="CQ91" t="s">
        <v>231</v>
      </c>
      <c r="CR91" t="s">
        <v>231</v>
      </c>
      <c r="CS91" t="s">
        <v>231</v>
      </c>
      <c r="CT91" t="s">
        <v>3534</v>
      </c>
      <c r="CU91" t="s">
        <v>3535</v>
      </c>
      <c r="CV91" t="s">
        <v>3536</v>
      </c>
      <c r="CW91" t="s">
        <v>3589</v>
      </c>
      <c r="CX91" t="s">
        <v>223</v>
      </c>
      <c r="CY91" t="s">
        <v>3536</v>
      </c>
      <c r="CZ91" t="s">
        <v>3590</v>
      </c>
      <c r="DA91" t="s">
        <v>3591</v>
      </c>
      <c r="DB91" t="s">
        <v>3589</v>
      </c>
      <c r="DC91" t="s">
        <v>363</v>
      </c>
      <c r="DD91" t="s">
        <v>282</v>
      </c>
      <c r="DE91" t="s">
        <v>4058</v>
      </c>
    </row>
    <row r="92" spans="1:109" ht="11.25" customHeight="1">
      <c r="A92" s="1314" t="s">
        <v>231</v>
      </c>
      <c r="B92" t="s">
        <v>231</v>
      </c>
      <c r="C92" t="s">
        <v>231</v>
      </c>
      <c r="D92" t="s">
        <v>231</v>
      </c>
      <c r="E92" t="s">
        <v>231</v>
      </c>
      <c r="F92" t="s">
        <v>231</v>
      </c>
      <c r="G92" t="s">
        <v>231</v>
      </c>
      <c r="H92" t="s">
        <v>231</v>
      </c>
      <c r="I92" t="s">
        <v>3521</v>
      </c>
      <c r="J92" t="s">
        <v>231</v>
      </c>
      <c r="K92" t="s">
        <v>231</v>
      </c>
      <c r="L92" t="s">
        <v>231</v>
      </c>
      <c r="M92" t="s">
        <v>231</v>
      </c>
      <c r="N92" t="s">
        <v>231</v>
      </c>
      <c r="O92" t="s">
        <v>231</v>
      </c>
      <c r="P92" t="s">
        <v>231</v>
      </c>
      <c r="Q92" t="s">
        <v>231</v>
      </c>
      <c r="R92" t="s">
        <v>4059</v>
      </c>
      <c r="S92" t="s">
        <v>231</v>
      </c>
      <c r="T92" t="s">
        <v>231</v>
      </c>
      <c r="U92" t="s">
        <v>101</v>
      </c>
      <c r="V92" t="s">
        <v>231</v>
      </c>
      <c r="W92" t="s">
        <v>231</v>
      </c>
      <c r="X92" t="s">
        <v>3523</v>
      </c>
      <c r="Y92" t="s">
        <v>231</v>
      </c>
      <c r="Z92" t="s">
        <v>160</v>
      </c>
      <c r="AA92" t="s">
        <v>151</v>
      </c>
      <c r="AB92" t="s">
        <v>151</v>
      </c>
      <c r="AC92" t="s">
        <v>2289</v>
      </c>
      <c r="AD92" t="s">
        <v>2289</v>
      </c>
      <c r="AE92" t="s">
        <v>2290</v>
      </c>
      <c r="AF92" t="s">
        <v>3735</v>
      </c>
      <c r="AG92" t="s">
        <v>3736</v>
      </c>
      <c r="AH92" t="s">
        <v>4060</v>
      </c>
      <c r="AI92" t="s">
        <v>4061</v>
      </c>
      <c r="AJ92" t="s">
        <v>3619</v>
      </c>
      <c r="AK92" t="s">
        <v>3716</v>
      </c>
      <c r="AL92" t="s">
        <v>3548</v>
      </c>
      <c r="AM92" t="s">
        <v>3531</v>
      </c>
      <c r="AN92" t="s">
        <v>3587</v>
      </c>
      <c r="AO92" t="s">
        <v>3739</v>
      </c>
      <c r="AP92" t="s">
        <v>231</v>
      </c>
      <c r="AQ92" t="s">
        <v>231</v>
      </c>
      <c r="AR92" t="s">
        <v>231</v>
      </c>
      <c r="AS92" t="s">
        <v>231</v>
      </c>
      <c r="AT92" t="s">
        <v>231</v>
      </c>
      <c r="AU92" t="s">
        <v>231</v>
      </c>
      <c r="AV92" t="s">
        <v>231</v>
      </c>
      <c r="AW92" t="s">
        <v>231</v>
      </c>
      <c r="AX92" t="s">
        <v>231</v>
      </c>
      <c r="AY92" t="s">
        <v>231</v>
      </c>
      <c r="AZ92" t="s">
        <v>231</v>
      </c>
      <c r="BA92" t="s">
        <v>231</v>
      </c>
      <c r="BB92" t="s">
        <v>231</v>
      </c>
      <c r="BC92" t="s">
        <v>231</v>
      </c>
      <c r="BD92" t="s">
        <v>231</v>
      </c>
      <c r="BE92" t="s">
        <v>231</v>
      </c>
      <c r="BF92" t="s">
        <v>231</v>
      </c>
      <c r="BG92" t="s">
        <v>231</v>
      </c>
      <c r="BH92" t="s">
        <v>231</v>
      </c>
      <c r="BI92" t="s">
        <v>231</v>
      </c>
      <c r="BJ92" t="s">
        <v>231</v>
      </c>
      <c r="BK92" t="s">
        <v>231</v>
      </c>
      <c r="BL92" t="s">
        <v>231</v>
      </c>
      <c r="BM92" t="s">
        <v>231</v>
      </c>
      <c r="BN92" t="s">
        <v>231</v>
      </c>
      <c r="BO92" t="s">
        <v>231</v>
      </c>
      <c r="BP92" t="s">
        <v>231</v>
      </c>
      <c r="BQ92" t="s">
        <v>231</v>
      </c>
      <c r="BR92" t="s">
        <v>231</v>
      </c>
      <c r="BS92" t="s">
        <v>231</v>
      </c>
      <c r="BT92" t="s">
        <v>231</v>
      </c>
      <c r="BU92" t="s">
        <v>231</v>
      </c>
      <c r="BV92" t="s">
        <v>231</v>
      </c>
      <c r="BW92" t="s">
        <v>231</v>
      </c>
      <c r="BX92" t="s">
        <v>231</v>
      </c>
      <c r="BY92" t="s">
        <v>231</v>
      </c>
      <c r="BZ92" t="s">
        <v>231</v>
      </c>
      <c r="CA92" t="s">
        <v>231</v>
      </c>
      <c r="CB92" t="s">
        <v>231</v>
      </c>
      <c r="CC92" t="s">
        <v>231</v>
      </c>
      <c r="CD92" t="s">
        <v>231</v>
      </c>
      <c r="CE92" t="s">
        <v>231</v>
      </c>
      <c r="CF92" t="s">
        <v>231</v>
      </c>
      <c r="CG92" t="s">
        <v>231</v>
      </c>
      <c r="CH92" t="s">
        <v>231</v>
      </c>
      <c r="CI92" t="s">
        <v>231</v>
      </c>
      <c r="CJ92" t="s">
        <v>231</v>
      </c>
      <c r="CK92" t="s">
        <v>231</v>
      </c>
      <c r="CL92" t="s">
        <v>231</v>
      </c>
      <c r="CM92" t="s">
        <v>231</v>
      </c>
      <c r="CN92" t="s">
        <v>231</v>
      </c>
      <c r="CO92" t="s">
        <v>231</v>
      </c>
      <c r="CP92" t="s">
        <v>231</v>
      </c>
      <c r="CQ92" t="s">
        <v>231</v>
      </c>
      <c r="CR92" t="s">
        <v>231</v>
      </c>
      <c r="CS92" t="s">
        <v>231</v>
      </c>
      <c r="CT92" t="s">
        <v>3534</v>
      </c>
      <c r="CU92" t="s">
        <v>3535</v>
      </c>
      <c r="CV92" t="s">
        <v>3536</v>
      </c>
      <c r="CW92" t="s">
        <v>3589</v>
      </c>
      <c r="CX92" t="s">
        <v>223</v>
      </c>
      <c r="CY92" t="s">
        <v>3536</v>
      </c>
      <c r="CZ92" t="s">
        <v>3590</v>
      </c>
      <c r="DA92" t="s">
        <v>3591</v>
      </c>
      <c r="DB92" t="s">
        <v>3589</v>
      </c>
      <c r="DC92" t="s">
        <v>363</v>
      </c>
      <c r="DD92" t="s">
        <v>282</v>
      </c>
      <c r="DE92" t="s">
        <v>4062</v>
      </c>
    </row>
    <row r="93" spans="1:109" ht="11.25" customHeight="1">
      <c r="A93" s="1314" t="s">
        <v>231</v>
      </c>
      <c r="B93" t="s">
        <v>231</v>
      </c>
      <c r="C93" t="s">
        <v>231</v>
      </c>
      <c r="D93" t="s">
        <v>231</v>
      </c>
      <c r="E93" t="s">
        <v>231</v>
      </c>
      <c r="F93" t="s">
        <v>231</v>
      </c>
      <c r="G93" t="s">
        <v>231</v>
      </c>
      <c r="H93" t="s">
        <v>231</v>
      </c>
      <c r="I93" t="s">
        <v>3521</v>
      </c>
      <c r="J93" t="s">
        <v>231</v>
      </c>
      <c r="K93" t="s">
        <v>231</v>
      </c>
      <c r="L93" t="s">
        <v>231</v>
      </c>
      <c r="M93" t="s">
        <v>231</v>
      </c>
      <c r="N93" t="s">
        <v>231</v>
      </c>
      <c r="O93" t="s">
        <v>231</v>
      </c>
      <c r="P93" t="s">
        <v>231</v>
      </c>
      <c r="Q93" t="s">
        <v>231</v>
      </c>
      <c r="R93" t="s">
        <v>3615</v>
      </c>
      <c r="S93" t="s">
        <v>231</v>
      </c>
      <c r="T93" t="s">
        <v>231</v>
      </c>
      <c r="U93" t="s">
        <v>101</v>
      </c>
      <c r="V93" t="s">
        <v>231</v>
      </c>
      <c r="W93" t="s">
        <v>231</v>
      </c>
      <c r="X93" t="s">
        <v>3523</v>
      </c>
      <c r="Y93" t="s">
        <v>231</v>
      </c>
      <c r="Z93" t="s">
        <v>160</v>
      </c>
      <c r="AA93" t="s">
        <v>151</v>
      </c>
      <c r="AB93" t="s">
        <v>151</v>
      </c>
      <c r="AC93" t="s">
        <v>2289</v>
      </c>
      <c r="AD93" t="s">
        <v>2289</v>
      </c>
      <c r="AE93" t="s">
        <v>2290</v>
      </c>
      <c r="AF93" t="s">
        <v>3735</v>
      </c>
      <c r="AG93" t="s">
        <v>3736</v>
      </c>
      <c r="AH93" t="s">
        <v>3714</v>
      </c>
      <c r="AI93" t="s">
        <v>4063</v>
      </c>
      <c r="AJ93" t="s">
        <v>3619</v>
      </c>
      <c r="AK93" t="s">
        <v>3716</v>
      </c>
      <c r="AL93" t="s">
        <v>3548</v>
      </c>
      <c r="AM93" t="s">
        <v>3531</v>
      </c>
      <c r="AN93" t="s">
        <v>3587</v>
      </c>
      <c r="AO93" t="s">
        <v>3724</v>
      </c>
      <c r="AP93" t="s">
        <v>231</v>
      </c>
      <c r="AQ93" t="s">
        <v>231</v>
      </c>
      <c r="AR93" t="s">
        <v>231</v>
      </c>
      <c r="AS93" t="s">
        <v>231</v>
      </c>
      <c r="AT93" t="s">
        <v>231</v>
      </c>
      <c r="AU93" t="s">
        <v>231</v>
      </c>
      <c r="AV93" t="s">
        <v>231</v>
      </c>
      <c r="AW93" t="s">
        <v>231</v>
      </c>
      <c r="AX93" t="s">
        <v>231</v>
      </c>
      <c r="AY93" t="s">
        <v>231</v>
      </c>
      <c r="AZ93" t="s">
        <v>231</v>
      </c>
      <c r="BA93" t="s">
        <v>231</v>
      </c>
      <c r="BB93" t="s">
        <v>231</v>
      </c>
      <c r="BC93" t="s">
        <v>231</v>
      </c>
      <c r="BD93" t="s">
        <v>231</v>
      </c>
      <c r="BE93" t="s">
        <v>231</v>
      </c>
      <c r="BF93" t="s">
        <v>231</v>
      </c>
      <c r="BG93" t="s">
        <v>231</v>
      </c>
      <c r="BH93" t="s">
        <v>231</v>
      </c>
      <c r="BI93" t="s">
        <v>231</v>
      </c>
      <c r="BJ93" t="s">
        <v>231</v>
      </c>
      <c r="BK93" t="s">
        <v>231</v>
      </c>
      <c r="BL93" t="s">
        <v>231</v>
      </c>
      <c r="BM93" t="s">
        <v>231</v>
      </c>
      <c r="BN93" t="s">
        <v>231</v>
      </c>
      <c r="BO93" t="s">
        <v>231</v>
      </c>
      <c r="BP93" t="s">
        <v>231</v>
      </c>
      <c r="BQ93" t="s">
        <v>231</v>
      </c>
      <c r="BR93" t="s">
        <v>231</v>
      </c>
      <c r="BS93" t="s">
        <v>231</v>
      </c>
      <c r="BT93" t="s">
        <v>231</v>
      </c>
      <c r="BU93" t="s">
        <v>231</v>
      </c>
      <c r="BV93" t="s">
        <v>231</v>
      </c>
      <c r="BW93" t="s">
        <v>231</v>
      </c>
      <c r="BX93" t="s">
        <v>231</v>
      </c>
      <c r="BY93" t="s">
        <v>231</v>
      </c>
      <c r="BZ93" t="s">
        <v>231</v>
      </c>
      <c r="CA93" t="s">
        <v>231</v>
      </c>
      <c r="CB93" t="s">
        <v>231</v>
      </c>
      <c r="CC93" t="s">
        <v>231</v>
      </c>
      <c r="CD93" t="s">
        <v>231</v>
      </c>
      <c r="CE93" t="s">
        <v>231</v>
      </c>
      <c r="CF93" t="s">
        <v>231</v>
      </c>
      <c r="CG93" t="s">
        <v>231</v>
      </c>
      <c r="CH93" t="s">
        <v>231</v>
      </c>
      <c r="CI93" t="s">
        <v>231</v>
      </c>
      <c r="CJ93" t="s">
        <v>231</v>
      </c>
      <c r="CK93" t="s">
        <v>231</v>
      </c>
      <c r="CL93" t="s">
        <v>231</v>
      </c>
      <c r="CM93" t="s">
        <v>231</v>
      </c>
      <c r="CN93" t="s">
        <v>231</v>
      </c>
      <c r="CO93" t="s">
        <v>231</v>
      </c>
      <c r="CP93" t="s">
        <v>231</v>
      </c>
      <c r="CQ93" t="s">
        <v>231</v>
      </c>
      <c r="CR93" t="s">
        <v>231</v>
      </c>
      <c r="CS93" t="s">
        <v>231</v>
      </c>
      <c r="CT93" t="s">
        <v>3534</v>
      </c>
      <c r="CU93" t="s">
        <v>3535</v>
      </c>
      <c r="CV93" t="s">
        <v>3536</v>
      </c>
      <c r="CW93" t="s">
        <v>3589</v>
      </c>
      <c r="CX93" t="s">
        <v>223</v>
      </c>
      <c r="CY93" t="s">
        <v>3536</v>
      </c>
      <c r="CZ93" t="s">
        <v>3590</v>
      </c>
      <c r="DA93" t="s">
        <v>3591</v>
      </c>
      <c r="DB93" t="s">
        <v>3589</v>
      </c>
      <c r="DC93" t="s">
        <v>363</v>
      </c>
      <c r="DD93" t="s">
        <v>282</v>
      </c>
      <c r="DE93" t="s">
        <v>4064</v>
      </c>
    </row>
    <row r="94" spans="1:109" ht="11.25" customHeight="1">
      <c r="A94" s="1314" t="s">
        <v>231</v>
      </c>
      <c r="B94" t="s">
        <v>231</v>
      </c>
      <c r="C94" t="s">
        <v>231</v>
      </c>
      <c r="D94" t="s">
        <v>231</v>
      </c>
      <c r="E94" t="s">
        <v>231</v>
      </c>
      <c r="F94" t="s">
        <v>231</v>
      </c>
      <c r="G94" t="s">
        <v>231</v>
      </c>
      <c r="H94" t="s">
        <v>231</v>
      </c>
      <c r="I94" t="s">
        <v>3521</v>
      </c>
      <c r="J94" t="s">
        <v>231</v>
      </c>
      <c r="K94" t="s">
        <v>231</v>
      </c>
      <c r="L94" t="s">
        <v>231</v>
      </c>
      <c r="M94" t="s">
        <v>231</v>
      </c>
      <c r="N94" t="s">
        <v>231</v>
      </c>
      <c r="O94" t="s">
        <v>231</v>
      </c>
      <c r="P94" t="s">
        <v>231</v>
      </c>
      <c r="Q94" t="s">
        <v>231</v>
      </c>
      <c r="R94" t="s">
        <v>4065</v>
      </c>
      <c r="S94" t="s">
        <v>231</v>
      </c>
      <c r="T94" t="s">
        <v>231</v>
      </c>
      <c r="U94" t="s">
        <v>101</v>
      </c>
      <c r="V94" t="s">
        <v>231</v>
      </c>
      <c r="W94" t="s">
        <v>231</v>
      </c>
      <c r="X94" t="s">
        <v>3523</v>
      </c>
      <c r="Y94" t="s">
        <v>231</v>
      </c>
      <c r="Z94" t="s">
        <v>160</v>
      </c>
      <c r="AA94" t="s">
        <v>151</v>
      </c>
      <c r="AB94" t="s">
        <v>151</v>
      </c>
      <c r="AC94" t="s">
        <v>343</v>
      </c>
      <c r="AD94" t="s">
        <v>343</v>
      </c>
      <c r="AE94" t="s">
        <v>344</v>
      </c>
      <c r="AF94" t="s">
        <v>3561</v>
      </c>
      <c r="AG94" t="s">
        <v>3562</v>
      </c>
      <c r="AH94" t="s">
        <v>3609</v>
      </c>
      <c r="AI94" t="s">
        <v>3610</v>
      </c>
      <c r="AJ94" t="s">
        <v>4066</v>
      </c>
      <c r="AK94" t="s">
        <v>4067</v>
      </c>
      <c r="AL94" t="s">
        <v>3648</v>
      </c>
      <c r="AM94" t="s">
        <v>3531</v>
      </c>
      <c r="AN94" t="s">
        <v>3567</v>
      </c>
      <c r="AO94" t="s">
        <v>4068</v>
      </c>
      <c r="AP94" t="s">
        <v>231</v>
      </c>
      <c r="AQ94" t="s">
        <v>231</v>
      </c>
      <c r="AR94" t="s">
        <v>231</v>
      </c>
      <c r="AS94" t="s">
        <v>231</v>
      </c>
      <c r="AT94" t="s">
        <v>231</v>
      </c>
      <c r="AU94" t="s">
        <v>231</v>
      </c>
      <c r="AV94" t="s">
        <v>231</v>
      </c>
      <c r="AW94" t="s">
        <v>231</v>
      </c>
      <c r="AX94" t="s">
        <v>231</v>
      </c>
      <c r="AY94" t="s">
        <v>231</v>
      </c>
      <c r="AZ94" t="s">
        <v>231</v>
      </c>
      <c r="BA94" t="s">
        <v>231</v>
      </c>
      <c r="BB94" t="s">
        <v>231</v>
      </c>
      <c r="BC94" t="s">
        <v>231</v>
      </c>
      <c r="BD94" t="s">
        <v>231</v>
      </c>
      <c r="BE94" t="s">
        <v>231</v>
      </c>
      <c r="BF94" t="s">
        <v>231</v>
      </c>
      <c r="BG94" t="s">
        <v>231</v>
      </c>
      <c r="BH94" t="s">
        <v>231</v>
      </c>
      <c r="BI94" t="s">
        <v>231</v>
      </c>
      <c r="BJ94" t="s">
        <v>231</v>
      </c>
      <c r="BK94" t="s">
        <v>231</v>
      </c>
      <c r="BL94" t="s">
        <v>231</v>
      </c>
      <c r="BM94" t="s">
        <v>231</v>
      </c>
      <c r="BN94" t="s">
        <v>231</v>
      </c>
      <c r="BO94" t="s">
        <v>231</v>
      </c>
      <c r="BP94" t="s">
        <v>231</v>
      </c>
      <c r="BQ94" t="s">
        <v>231</v>
      </c>
      <c r="BR94" t="s">
        <v>231</v>
      </c>
      <c r="BS94" t="s">
        <v>231</v>
      </c>
      <c r="BT94" t="s">
        <v>231</v>
      </c>
      <c r="BU94" t="s">
        <v>231</v>
      </c>
      <c r="BV94" t="s">
        <v>231</v>
      </c>
      <c r="BW94" t="s">
        <v>231</v>
      </c>
      <c r="BX94" t="s">
        <v>231</v>
      </c>
      <c r="BY94" t="s">
        <v>231</v>
      </c>
      <c r="BZ94" t="s">
        <v>231</v>
      </c>
      <c r="CA94" t="s">
        <v>231</v>
      </c>
      <c r="CB94" t="s">
        <v>231</v>
      </c>
      <c r="CC94" t="s">
        <v>231</v>
      </c>
      <c r="CD94" t="s">
        <v>231</v>
      </c>
      <c r="CE94" t="s">
        <v>231</v>
      </c>
      <c r="CF94" t="s">
        <v>231</v>
      </c>
      <c r="CG94" t="s">
        <v>231</v>
      </c>
      <c r="CH94" t="s">
        <v>231</v>
      </c>
      <c r="CI94" t="s">
        <v>231</v>
      </c>
      <c r="CJ94" t="s">
        <v>231</v>
      </c>
      <c r="CK94" t="s">
        <v>231</v>
      </c>
      <c r="CL94" t="s">
        <v>231</v>
      </c>
      <c r="CM94" t="s">
        <v>231</v>
      </c>
      <c r="CN94" t="s">
        <v>231</v>
      </c>
      <c r="CO94" t="s">
        <v>231</v>
      </c>
      <c r="CP94" t="s">
        <v>231</v>
      </c>
      <c r="CQ94" t="s">
        <v>231</v>
      </c>
      <c r="CR94" t="s">
        <v>231</v>
      </c>
      <c r="CS94" t="s">
        <v>231</v>
      </c>
      <c r="CT94" t="s">
        <v>3534</v>
      </c>
      <c r="CU94" t="s">
        <v>3535</v>
      </c>
      <c r="CV94" t="s">
        <v>3536</v>
      </c>
      <c r="CW94" t="s">
        <v>3569</v>
      </c>
      <c r="CX94" t="s">
        <v>3570</v>
      </c>
      <c r="CY94" t="s">
        <v>3536</v>
      </c>
      <c r="CZ94" t="s">
        <v>224</v>
      </c>
      <c r="DA94" t="s">
        <v>3571</v>
      </c>
      <c r="DB94" t="s">
        <v>3569</v>
      </c>
      <c r="DC94" t="s">
        <v>363</v>
      </c>
      <c r="DD94" t="s">
        <v>282</v>
      </c>
      <c r="DE94" t="s">
        <v>3614</v>
      </c>
    </row>
    <row r="95" spans="1:109" ht="11.25" customHeight="1">
      <c r="A95" s="1314" t="s">
        <v>231</v>
      </c>
      <c r="B95" t="s">
        <v>231</v>
      </c>
      <c r="C95" t="s">
        <v>231</v>
      </c>
      <c r="D95" t="s">
        <v>231</v>
      </c>
      <c r="E95" t="s">
        <v>231</v>
      </c>
      <c r="F95" t="s">
        <v>231</v>
      </c>
      <c r="G95" t="s">
        <v>231</v>
      </c>
      <c r="H95" t="s">
        <v>231</v>
      </c>
      <c r="I95" t="s">
        <v>3521</v>
      </c>
      <c r="J95" t="s">
        <v>231</v>
      </c>
      <c r="K95" t="s">
        <v>231</v>
      </c>
      <c r="L95" t="s">
        <v>231</v>
      </c>
      <c r="M95" t="s">
        <v>231</v>
      </c>
      <c r="N95" t="s">
        <v>231</v>
      </c>
      <c r="O95" t="s">
        <v>231</v>
      </c>
      <c r="P95" t="s">
        <v>231</v>
      </c>
      <c r="Q95" t="s">
        <v>231</v>
      </c>
      <c r="R95" t="s">
        <v>4069</v>
      </c>
      <c r="S95" t="s">
        <v>231</v>
      </c>
      <c r="T95" t="s">
        <v>231</v>
      </c>
      <c r="U95" t="s">
        <v>101</v>
      </c>
      <c r="V95" t="s">
        <v>231</v>
      </c>
      <c r="W95" t="s">
        <v>231</v>
      </c>
      <c r="X95" t="s">
        <v>3628</v>
      </c>
      <c r="Y95" t="s">
        <v>231</v>
      </c>
      <c r="Z95" t="s">
        <v>151</v>
      </c>
      <c r="AA95" t="s">
        <v>151</v>
      </c>
      <c r="AB95" t="s">
        <v>160</v>
      </c>
      <c r="AC95" t="s">
        <v>2289</v>
      </c>
      <c r="AD95" t="s">
        <v>2289</v>
      </c>
      <c r="AE95" t="s">
        <v>2290</v>
      </c>
      <c r="AF95" t="s">
        <v>3735</v>
      </c>
      <c r="AG95" t="s">
        <v>3736</v>
      </c>
      <c r="AH95" t="s">
        <v>3618</v>
      </c>
      <c r="AI95" t="s">
        <v>3618</v>
      </c>
      <c r="AJ95" t="s">
        <v>231</v>
      </c>
      <c r="AK95" t="s">
        <v>231</v>
      </c>
      <c r="AL95" t="s">
        <v>231</v>
      </c>
      <c r="AM95" t="s">
        <v>231</v>
      </c>
      <c r="AN95" t="s">
        <v>231</v>
      </c>
      <c r="AO95" t="s">
        <v>231</v>
      </c>
      <c r="AP95" t="s">
        <v>231</v>
      </c>
      <c r="AQ95" t="s">
        <v>231</v>
      </c>
      <c r="AR95" t="s">
        <v>231</v>
      </c>
      <c r="AS95" t="s">
        <v>231</v>
      </c>
      <c r="AT95" t="s">
        <v>231</v>
      </c>
      <c r="AU95" t="s">
        <v>231</v>
      </c>
      <c r="AV95" t="s">
        <v>231</v>
      </c>
      <c r="AW95" t="s">
        <v>231</v>
      </c>
      <c r="AX95" t="s">
        <v>231</v>
      </c>
      <c r="AY95" t="s">
        <v>231</v>
      </c>
      <c r="AZ95" t="s">
        <v>231</v>
      </c>
      <c r="BA95" t="s">
        <v>231</v>
      </c>
      <c r="BB95" t="s">
        <v>231</v>
      </c>
      <c r="BC95" t="s">
        <v>231</v>
      </c>
      <c r="BD95" t="s">
        <v>231</v>
      </c>
      <c r="BE95" t="s">
        <v>3619</v>
      </c>
      <c r="BF95" t="s">
        <v>3716</v>
      </c>
      <c r="BG95" t="s">
        <v>111</v>
      </c>
      <c r="BH95" t="s">
        <v>3632</v>
      </c>
      <c r="BI95" t="s">
        <v>122</v>
      </c>
      <c r="BJ95" t="s">
        <v>231</v>
      </c>
      <c r="BK95" t="s">
        <v>3651</v>
      </c>
      <c r="BL95" t="s">
        <v>2289</v>
      </c>
      <c r="BM95" t="s">
        <v>2289</v>
      </c>
      <c r="BN95" t="s">
        <v>3707</v>
      </c>
      <c r="BO95" t="s">
        <v>3735</v>
      </c>
      <c r="BP95" t="s">
        <v>4070</v>
      </c>
      <c r="BQ95" t="s">
        <v>3618</v>
      </c>
      <c r="BR95" t="s">
        <v>3618</v>
      </c>
      <c r="BS95" t="s">
        <v>231</v>
      </c>
      <c r="BT95" t="s">
        <v>3694</v>
      </c>
      <c r="BU95" t="s">
        <v>4071</v>
      </c>
      <c r="BV95" t="s">
        <v>4071</v>
      </c>
      <c r="BW95" t="s">
        <v>3641</v>
      </c>
      <c r="BX95" t="s">
        <v>3641</v>
      </c>
      <c r="BY95" t="s">
        <v>3641</v>
      </c>
      <c r="BZ95" t="s">
        <v>3641</v>
      </c>
      <c r="CA95" t="s">
        <v>3641</v>
      </c>
      <c r="CB95" t="s">
        <v>231</v>
      </c>
      <c r="CC95" t="s">
        <v>231</v>
      </c>
      <c r="CD95" t="s">
        <v>231</v>
      </c>
      <c r="CE95" t="s">
        <v>231</v>
      </c>
      <c r="CF95" t="s">
        <v>231</v>
      </c>
      <c r="CG95" t="s">
        <v>3641</v>
      </c>
      <c r="CH95" t="s">
        <v>231</v>
      </c>
      <c r="CI95" t="s">
        <v>231</v>
      </c>
      <c r="CJ95" t="s">
        <v>231</v>
      </c>
      <c r="CK95" t="s">
        <v>231</v>
      </c>
      <c r="CL95" t="s">
        <v>231</v>
      </c>
      <c r="CM95" t="s">
        <v>4071</v>
      </c>
      <c r="CN95" t="s">
        <v>4071</v>
      </c>
      <c r="CO95" t="s">
        <v>231</v>
      </c>
      <c r="CP95" t="s">
        <v>231</v>
      </c>
      <c r="CQ95" t="s">
        <v>231</v>
      </c>
      <c r="CR95" t="s">
        <v>231</v>
      </c>
      <c r="CS95" t="s">
        <v>3710</v>
      </c>
      <c r="CT95" t="s">
        <v>3534</v>
      </c>
      <c r="CU95" t="s">
        <v>3535</v>
      </c>
      <c r="CV95" t="s">
        <v>3536</v>
      </c>
      <c r="CW95" t="s">
        <v>3589</v>
      </c>
      <c r="CX95" t="s">
        <v>223</v>
      </c>
      <c r="CY95" t="s">
        <v>3536</v>
      </c>
      <c r="CZ95" t="s">
        <v>3590</v>
      </c>
      <c r="DA95" t="s">
        <v>3591</v>
      </c>
      <c r="DB95" t="s">
        <v>3589</v>
      </c>
      <c r="DC95" t="s">
        <v>363</v>
      </c>
      <c r="DD95" t="s">
        <v>282</v>
      </c>
      <c r="DE95" t="s">
        <v>4072</v>
      </c>
    </row>
    <row r="96" spans="1:109" ht="11.25" customHeight="1">
      <c r="A96" s="1314" t="s">
        <v>231</v>
      </c>
      <c r="B96" t="s">
        <v>231</v>
      </c>
      <c r="C96" t="s">
        <v>231</v>
      </c>
      <c r="D96" t="s">
        <v>231</v>
      </c>
      <c r="E96" t="s">
        <v>231</v>
      </c>
      <c r="F96" t="s">
        <v>231</v>
      </c>
      <c r="G96" t="s">
        <v>231</v>
      </c>
      <c r="H96" t="s">
        <v>231</v>
      </c>
      <c r="I96" t="s">
        <v>3521</v>
      </c>
      <c r="J96" t="s">
        <v>231</v>
      </c>
      <c r="K96" t="s">
        <v>231</v>
      </c>
      <c r="L96" t="s">
        <v>231</v>
      </c>
      <c r="M96" t="s">
        <v>231</v>
      </c>
      <c r="N96" t="s">
        <v>231</v>
      </c>
      <c r="O96" t="s">
        <v>231</v>
      </c>
      <c r="P96" t="s">
        <v>231</v>
      </c>
      <c r="Q96" t="s">
        <v>231</v>
      </c>
      <c r="R96" t="s">
        <v>4073</v>
      </c>
      <c r="S96" t="s">
        <v>231</v>
      </c>
      <c r="T96" t="s">
        <v>231</v>
      </c>
      <c r="U96" t="s">
        <v>101</v>
      </c>
      <c r="V96" t="s">
        <v>231</v>
      </c>
      <c r="W96" t="s">
        <v>231</v>
      </c>
      <c r="X96" t="s">
        <v>3628</v>
      </c>
      <c r="Y96" t="s">
        <v>231</v>
      </c>
      <c r="Z96" t="s">
        <v>151</v>
      </c>
      <c r="AA96" t="s">
        <v>151</v>
      </c>
      <c r="AB96" t="s">
        <v>160</v>
      </c>
      <c r="AC96" t="s">
        <v>2287</v>
      </c>
      <c r="AD96" t="s">
        <v>2287</v>
      </c>
      <c r="AE96" t="s">
        <v>2288</v>
      </c>
      <c r="AF96" t="s">
        <v>3787</v>
      </c>
      <c r="AG96" t="s">
        <v>3788</v>
      </c>
      <c r="AH96" t="s">
        <v>3618</v>
      </c>
      <c r="AI96" t="s">
        <v>3618</v>
      </c>
      <c r="AJ96" t="s">
        <v>231</v>
      </c>
      <c r="AK96" t="s">
        <v>231</v>
      </c>
      <c r="AL96" t="s">
        <v>231</v>
      </c>
      <c r="AM96" t="s">
        <v>231</v>
      </c>
      <c r="AN96" t="s">
        <v>231</v>
      </c>
      <c r="AO96" t="s">
        <v>231</v>
      </c>
      <c r="AP96" t="s">
        <v>231</v>
      </c>
      <c r="AQ96" t="s">
        <v>231</v>
      </c>
      <c r="AR96" t="s">
        <v>231</v>
      </c>
      <c r="AS96" t="s">
        <v>231</v>
      </c>
      <c r="AT96" t="s">
        <v>231</v>
      </c>
      <c r="AU96" t="s">
        <v>231</v>
      </c>
      <c r="AV96" t="s">
        <v>231</v>
      </c>
      <c r="AW96" t="s">
        <v>231</v>
      </c>
      <c r="AX96" t="s">
        <v>231</v>
      </c>
      <c r="AY96" t="s">
        <v>231</v>
      </c>
      <c r="AZ96" t="s">
        <v>231</v>
      </c>
      <c r="BA96" t="s">
        <v>231</v>
      </c>
      <c r="BB96" t="s">
        <v>231</v>
      </c>
      <c r="BC96" t="s">
        <v>231</v>
      </c>
      <c r="BD96" t="s">
        <v>231</v>
      </c>
      <c r="BE96" t="s">
        <v>3619</v>
      </c>
      <c r="BF96" t="s">
        <v>3789</v>
      </c>
      <c r="BG96" t="s">
        <v>111</v>
      </c>
      <c r="BH96" t="s">
        <v>3632</v>
      </c>
      <c r="BI96" t="s">
        <v>122</v>
      </c>
      <c r="BJ96" t="s">
        <v>231</v>
      </c>
      <c r="BK96" t="s">
        <v>3651</v>
      </c>
      <c r="BL96" t="s">
        <v>2287</v>
      </c>
      <c r="BM96" t="s">
        <v>2287</v>
      </c>
      <c r="BN96" t="s">
        <v>3842</v>
      </c>
      <c r="BO96" t="s">
        <v>3787</v>
      </c>
      <c r="BP96" t="s">
        <v>4074</v>
      </c>
      <c r="BQ96" t="s">
        <v>3618</v>
      </c>
      <c r="BR96" t="s">
        <v>3618</v>
      </c>
      <c r="BS96" t="s">
        <v>231</v>
      </c>
      <c r="BT96" t="s">
        <v>3694</v>
      </c>
      <c r="BU96" t="s">
        <v>4075</v>
      </c>
      <c r="BV96" t="s">
        <v>4075</v>
      </c>
      <c r="BW96" t="s">
        <v>3641</v>
      </c>
      <c r="BX96" t="s">
        <v>3641</v>
      </c>
      <c r="BY96" t="s">
        <v>3641</v>
      </c>
      <c r="BZ96" t="s">
        <v>3641</v>
      </c>
      <c r="CA96" t="s">
        <v>3641</v>
      </c>
      <c r="CB96" t="s">
        <v>231</v>
      </c>
      <c r="CC96" t="s">
        <v>231</v>
      </c>
      <c r="CD96" t="s">
        <v>231</v>
      </c>
      <c r="CE96" t="s">
        <v>231</v>
      </c>
      <c r="CF96" t="s">
        <v>231</v>
      </c>
      <c r="CG96" t="s">
        <v>3641</v>
      </c>
      <c r="CH96" t="s">
        <v>231</v>
      </c>
      <c r="CI96" t="s">
        <v>231</v>
      </c>
      <c r="CJ96" t="s">
        <v>231</v>
      </c>
      <c r="CK96" t="s">
        <v>231</v>
      </c>
      <c r="CL96" t="s">
        <v>231</v>
      </c>
      <c r="CM96" t="s">
        <v>4075</v>
      </c>
      <c r="CN96" t="s">
        <v>4075</v>
      </c>
      <c r="CO96" t="s">
        <v>231</v>
      </c>
      <c r="CP96" t="s">
        <v>231</v>
      </c>
      <c r="CQ96" t="s">
        <v>231</v>
      </c>
      <c r="CR96" t="s">
        <v>231</v>
      </c>
      <c r="CS96" t="s">
        <v>3529</v>
      </c>
      <c r="CT96" t="s">
        <v>3534</v>
      </c>
      <c r="CU96" t="s">
        <v>3535</v>
      </c>
      <c r="CV96" t="s">
        <v>3536</v>
      </c>
      <c r="CW96" t="s">
        <v>3623</v>
      </c>
      <c r="CX96" t="s">
        <v>223</v>
      </c>
      <c r="CY96" t="s">
        <v>3536</v>
      </c>
      <c r="CZ96" t="s">
        <v>3624</v>
      </c>
      <c r="DA96" t="s">
        <v>3625</v>
      </c>
      <c r="DB96" t="s">
        <v>3623</v>
      </c>
      <c r="DC96" t="s">
        <v>363</v>
      </c>
      <c r="DD96" t="s">
        <v>282</v>
      </c>
      <c r="DE96" t="s">
        <v>3791</v>
      </c>
    </row>
    <row r="97" spans="1:109" ht="11.25" customHeight="1">
      <c r="A97" s="1314" t="s">
        <v>231</v>
      </c>
      <c r="B97" t="s">
        <v>231</v>
      </c>
      <c r="C97" t="s">
        <v>231</v>
      </c>
      <c r="D97" t="s">
        <v>231</v>
      </c>
      <c r="E97" t="s">
        <v>231</v>
      </c>
      <c r="F97" t="s">
        <v>231</v>
      </c>
      <c r="G97" t="s">
        <v>231</v>
      </c>
      <c r="H97" t="s">
        <v>231</v>
      </c>
      <c r="I97" t="s">
        <v>3521</v>
      </c>
      <c r="J97" t="s">
        <v>231</v>
      </c>
      <c r="K97" t="s">
        <v>231</v>
      </c>
      <c r="L97" t="s">
        <v>231</v>
      </c>
      <c r="M97" t="s">
        <v>231</v>
      </c>
      <c r="N97" t="s">
        <v>231</v>
      </c>
      <c r="O97" t="s">
        <v>231</v>
      </c>
      <c r="P97" t="s">
        <v>231</v>
      </c>
      <c r="Q97" t="s">
        <v>231</v>
      </c>
      <c r="R97" t="s">
        <v>3615</v>
      </c>
      <c r="S97" t="s">
        <v>231</v>
      </c>
      <c r="T97" t="s">
        <v>231</v>
      </c>
      <c r="U97" t="s">
        <v>101</v>
      </c>
      <c r="V97" t="s">
        <v>231</v>
      </c>
      <c r="W97" t="s">
        <v>231</v>
      </c>
      <c r="X97" t="s">
        <v>3523</v>
      </c>
      <c r="Y97" t="s">
        <v>231</v>
      </c>
      <c r="Z97" t="s">
        <v>160</v>
      </c>
      <c r="AA97" t="s">
        <v>151</v>
      </c>
      <c r="AB97" t="s">
        <v>151</v>
      </c>
      <c r="AC97" t="s">
        <v>2287</v>
      </c>
      <c r="AD97" t="s">
        <v>2287</v>
      </c>
      <c r="AE97" t="s">
        <v>2288</v>
      </c>
      <c r="AF97" t="s">
        <v>4076</v>
      </c>
      <c r="AG97" t="s">
        <v>4077</v>
      </c>
      <c r="AH97" t="s">
        <v>3618</v>
      </c>
      <c r="AI97" t="s">
        <v>3618</v>
      </c>
      <c r="AJ97" t="s">
        <v>3619</v>
      </c>
      <c r="AK97" t="s">
        <v>4078</v>
      </c>
      <c r="AL97" t="s">
        <v>3548</v>
      </c>
      <c r="AM97" t="s">
        <v>3531</v>
      </c>
      <c r="AN97" t="s">
        <v>3621</v>
      </c>
      <c r="AO97" t="s">
        <v>3668</v>
      </c>
      <c r="AP97" t="s">
        <v>231</v>
      </c>
      <c r="AQ97" t="s">
        <v>231</v>
      </c>
      <c r="AR97" t="s">
        <v>231</v>
      </c>
      <c r="AS97" t="s">
        <v>231</v>
      </c>
      <c r="AT97" t="s">
        <v>231</v>
      </c>
      <c r="AU97" t="s">
        <v>231</v>
      </c>
      <c r="AV97" t="s">
        <v>231</v>
      </c>
      <c r="AW97" t="s">
        <v>231</v>
      </c>
      <c r="AX97" t="s">
        <v>231</v>
      </c>
      <c r="AY97" t="s">
        <v>231</v>
      </c>
      <c r="AZ97" t="s">
        <v>231</v>
      </c>
      <c r="BA97" t="s">
        <v>231</v>
      </c>
      <c r="BB97" t="s">
        <v>231</v>
      </c>
      <c r="BC97" t="s">
        <v>231</v>
      </c>
      <c r="BD97" t="s">
        <v>231</v>
      </c>
      <c r="BE97" t="s">
        <v>231</v>
      </c>
      <c r="BF97" t="s">
        <v>231</v>
      </c>
      <c r="BG97" t="s">
        <v>231</v>
      </c>
      <c r="BH97" t="s">
        <v>231</v>
      </c>
      <c r="BI97" t="s">
        <v>231</v>
      </c>
      <c r="BJ97" t="s">
        <v>231</v>
      </c>
      <c r="BK97" t="s">
        <v>231</v>
      </c>
      <c r="BL97" t="s">
        <v>231</v>
      </c>
      <c r="BM97" t="s">
        <v>231</v>
      </c>
      <c r="BN97" t="s">
        <v>231</v>
      </c>
      <c r="BO97" t="s">
        <v>231</v>
      </c>
      <c r="BP97" t="s">
        <v>231</v>
      </c>
      <c r="BQ97" t="s">
        <v>231</v>
      </c>
      <c r="BR97" t="s">
        <v>231</v>
      </c>
      <c r="BS97" t="s">
        <v>231</v>
      </c>
      <c r="BT97" t="s">
        <v>231</v>
      </c>
      <c r="BU97" t="s">
        <v>231</v>
      </c>
      <c r="BV97" t="s">
        <v>231</v>
      </c>
      <c r="BW97" t="s">
        <v>231</v>
      </c>
      <c r="BX97" t="s">
        <v>231</v>
      </c>
      <c r="BY97" t="s">
        <v>231</v>
      </c>
      <c r="BZ97" t="s">
        <v>231</v>
      </c>
      <c r="CA97" t="s">
        <v>231</v>
      </c>
      <c r="CB97" t="s">
        <v>231</v>
      </c>
      <c r="CC97" t="s">
        <v>231</v>
      </c>
      <c r="CD97" t="s">
        <v>231</v>
      </c>
      <c r="CE97" t="s">
        <v>231</v>
      </c>
      <c r="CF97" t="s">
        <v>231</v>
      </c>
      <c r="CG97" t="s">
        <v>231</v>
      </c>
      <c r="CH97" t="s">
        <v>231</v>
      </c>
      <c r="CI97" t="s">
        <v>231</v>
      </c>
      <c r="CJ97" t="s">
        <v>231</v>
      </c>
      <c r="CK97" t="s">
        <v>231</v>
      </c>
      <c r="CL97" t="s">
        <v>231</v>
      </c>
      <c r="CM97" t="s">
        <v>231</v>
      </c>
      <c r="CN97" t="s">
        <v>231</v>
      </c>
      <c r="CO97" t="s">
        <v>231</v>
      </c>
      <c r="CP97" t="s">
        <v>231</v>
      </c>
      <c r="CQ97" t="s">
        <v>231</v>
      </c>
      <c r="CR97" t="s">
        <v>231</v>
      </c>
      <c r="CS97" t="s">
        <v>231</v>
      </c>
      <c r="CT97" t="s">
        <v>3534</v>
      </c>
      <c r="CU97" t="s">
        <v>3535</v>
      </c>
      <c r="CV97" t="s">
        <v>3536</v>
      </c>
      <c r="CW97" t="s">
        <v>3623</v>
      </c>
      <c r="CX97" t="s">
        <v>223</v>
      </c>
      <c r="CY97" t="s">
        <v>3536</v>
      </c>
      <c r="CZ97" t="s">
        <v>3624</v>
      </c>
      <c r="DA97" t="s">
        <v>3625</v>
      </c>
      <c r="DB97" t="s">
        <v>3623</v>
      </c>
      <c r="DC97" t="s">
        <v>363</v>
      </c>
      <c r="DD97" t="s">
        <v>282</v>
      </c>
      <c r="DE97" t="s">
        <v>4079</v>
      </c>
    </row>
    <row r="98" spans="1:109" ht="11.25" customHeight="1">
      <c r="A98" s="1314" t="s">
        <v>231</v>
      </c>
      <c r="B98" t="s">
        <v>231</v>
      </c>
      <c r="C98" t="s">
        <v>231</v>
      </c>
      <c r="D98" t="s">
        <v>231</v>
      </c>
      <c r="E98" t="s">
        <v>231</v>
      </c>
      <c r="F98" t="s">
        <v>231</v>
      </c>
      <c r="G98" t="s">
        <v>231</v>
      </c>
      <c r="H98" t="s">
        <v>231</v>
      </c>
      <c r="I98" t="s">
        <v>3521</v>
      </c>
      <c r="J98" t="s">
        <v>231</v>
      </c>
      <c r="K98" t="s">
        <v>231</v>
      </c>
      <c r="L98" t="s">
        <v>231</v>
      </c>
      <c r="M98" t="s">
        <v>231</v>
      </c>
      <c r="N98" t="s">
        <v>231</v>
      </c>
      <c r="O98" t="s">
        <v>231</v>
      </c>
      <c r="P98" t="s">
        <v>231</v>
      </c>
      <c r="Q98" t="s">
        <v>231</v>
      </c>
      <c r="R98" t="s">
        <v>3749</v>
      </c>
      <c r="S98" t="s">
        <v>231</v>
      </c>
      <c r="T98" t="s">
        <v>231</v>
      </c>
      <c r="U98" t="s">
        <v>101</v>
      </c>
      <c r="V98" t="s">
        <v>231</v>
      </c>
      <c r="W98" t="s">
        <v>231</v>
      </c>
      <c r="X98" t="s">
        <v>3628</v>
      </c>
      <c r="Y98" t="s">
        <v>231</v>
      </c>
      <c r="Z98" t="s">
        <v>151</v>
      </c>
      <c r="AA98" t="s">
        <v>151</v>
      </c>
      <c r="AB98" t="s">
        <v>160</v>
      </c>
      <c r="AC98" t="s">
        <v>2283</v>
      </c>
      <c r="AD98" t="s">
        <v>2283</v>
      </c>
      <c r="AE98" t="s">
        <v>2284</v>
      </c>
      <c r="AF98" t="s">
        <v>3658</v>
      </c>
      <c r="AG98" t="s">
        <v>3659</v>
      </c>
      <c r="AH98" t="s">
        <v>3658</v>
      </c>
      <c r="AI98" t="s">
        <v>3688</v>
      </c>
      <c r="AJ98" t="s">
        <v>231</v>
      </c>
      <c r="AK98" t="s">
        <v>231</v>
      </c>
      <c r="AL98" t="s">
        <v>231</v>
      </c>
      <c r="AM98" t="s">
        <v>231</v>
      </c>
      <c r="AN98" t="s">
        <v>231</v>
      </c>
      <c r="AO98" t="s">
        <v>231</v>
      </c>
      <c r="AP98" t="s">
        <v>231</v>
      </c>
      <c r="AQ98" t="s">
        <v>231</v>
      </c>
      <c r="AR98" t="s">
        <v>231</v>
      </c>
      <c r="AS98" t="s">
        <v>231</v>
      </c>
      <c r="AT98" t="s">
        <v>231</v>
      </c>
      <c r="AU98" t="s">
        <v>231</v>
      </c>
      <c r="AV98" t="s">
        <v>231</v>
      </c>
      <c r="AW98" t="s">
        <v>231</v>
      </c>
      <c r="AX98" t="s">
        <v>231</v>
      </c>
      <c r="AY98" t="s">
        <v>231</v>
      </c>
      <c r="AZ98" t="s">
        <v>231</v>
      </c>
      <c r="BA98" t="s">
        <v>231</v>
      </c>
      <c r="BB98" t="s">
        <v>231</v>
      </c>
      <c r="BC98" t="s">
        <v>231</v>
      </c>
      <c r="BD98" t="s">
        <v>231</v>
      </c>
      <c r="BE98" t="s">
        <v>3689</v>
      </c>
      <c r="BF98" t="s">
        <v>3689</v>
      </c>
      <c r="BG98" t="s">
        <v>111</v>
      </c>
      <c r="BH98" t="s">
        <v>3632</v>
      </c>
      <c r="BI98" t="s">
        <v>122</v>
      </c>
      <c r="BJ98" t="s">
        <v>231</v>
      </c>
      <c r="BK98" t="s">
        <v>3651</v>
      </c>
      <c r="BL98" t="s">
        <v>2283</v>
      </c>
      <c r="BM98" t="s">
        <v>2283</v>
      </c>
      <c r="BN98" t="s">
        <v>3690</v>
      </c>
      <c r="BO98" t="s">
        <v>3658</v>
      </c>
      <c r="BP98" t="s">
        <v>4080</v>
      </c>
      <c r="BQ98" t="s">
        <v>3544</v>
      </c>
      <c r="BR98" t="s">
        <v>3661</v>
      </c>
      <c r="BS98" t="s">
        <v>231</v>
      </c>
      <c r="BT98" t="s">
        <v>3694</v>
      </c>
      <c r="BU98" t="s">
        <v>4081</v>
      </c>
      <c r="BV98" t="s">
        <v>4081</v>
      </c>
      <c r="BW98" t="s">
        <v>3641</v>
      </c>
      <c r="BX98" t="s">
        <v>3641</v>
      </c>
      <c r="BY98" t="s">
        <v>3641</v>
      </c>
      <c r="BZ98" t="s">
        <v>3641</v>
      </c>
      <c r="CA98" t="s">
        <v>3641</v>
      </c>
      <c r="CB98" t="s">
        <v>231</v>
      </c>
      <c r="CC98" t="s">
        <v>231</v>
      </c>
      <c r="CD98" t="s">
        <v>231</v>
      </c>
      <c r="CE98" t="s">
        <v>231</v>
      </c>
      <c r="CF98" t="s">
        <v>231</v>
      </c>
      <c r="CG98" t="s">
        <v>3641</v>
      </c>
      <c r="CH98" t="s">
        <v>231</v>
      </c>
      <c r="CI98" t="s">
        <v>231</v>
      </c>
      <c r="CJ98" t="s">
        <v>231</v>
      </c>
      <c r="CK98" t="s">
        <v>231</v>
      </c>
      <c r="CL98" t="s">
        <v>231</v>
      </c>
      <c r="CM98" t="s">
        <v>4081</v>
      </c>
      <c r="CN98" t="s">
        <v>4081</v>
      </c>
      <c r="CO98" t="s">
        <v>231</v>
      </c>
      <c r="CP98" t="s">
        <v>231</v>
      </c>
      <c r="CQ98" t="s">
        <v>231</v>
      </c>
      <c r="CR98" t="s">
        <v>231</v>
      </c>
      <c r="CS98" t="s">
        <v>3549</v>
      </c>
      <c r="CT98" t="s">
        <v>3534</v>
      </c>
      <c r="CU98" t="s">
        <v>3535</v>
      </c>
      <c r="CV98" t="s">
        <v>3536</v>
      </c>
      <c r="CW98" t="s">
        <v>3551</v>
      </c>
      <c r="CX98" t="s">
        <v>223</v>
      </c>
      <c r="CY98" t="s">
        <v>3536</v>
      </c>
      <c r="CZ98" t="s">
        <v>3552</v>
      </c>
      <c r="DA98" t="s">
        <v>3553</v>
      </c>
      <c r="DB98" t="s">
        <v>3551</v>
      </c>
      <c r="DC98" t="s">
        <v>363</v>
      </c>
      <c r="DD98" t="s">
        <v>282</v>
      </c>
      <c r="DE98" t="s">
        <v>4082</v>
      </c>
    </row>
    <row r="99" spans="1:109" ht="11.25" customHeight="1">
      <c r="A99" s="1314" t="s">
        <v>231</v>
      </c>
      <c r="B99" t="s">
        <v>231</v>
      </c>
      <c r="C99" t="s">
        <v>231</v>
      </c>
      <c r="D99" t="s">
        <v>231</v>
      </c>
      <c r="E99" t="s">
        <v>231</v>
      </c>
      <c r="F99" t="s">
        <v>231</v>
      </c>
      <c r="G99" t="s">
        <v>231</v>
      </c>
      <c r="H99" t="s">
        <v>231</v>
      </c>
      <c r="I99" t="s">
        <v>3521</v>
      </c>
      <c r="J99" t="s">
        <v>231</v>
      </c>
      <c r="K99" t="s">
        <v>231</v>
      </c>
      <c r="L99" t="s">
        <v>231</v>
      </c>
      <c r="M99" t="s">
        <v>231</v>
      </c>
      <c r="N99" t="s">
        <v>231</v>
      </c>
      <c r="O99" t="s">
        <v>231</v>
      </c>
      <c r="P99" t="s">
        <v>231</v>
      </c>
      <c r="Q99" t="s">
        <v>231</v>
      </c>
      <c r="R99" t="s">
        <v>3749</v>
      </c>
      <c r="S99" t="s">
        <v>231</v>
      </c>
      <c r="T99" t="s">
        <v>231</v>
      </c>
      <c r="U99" t="s">
        <v>101</v>
      </c>
      <c r="V99" t="s">
        <v>231</v>
      </c>
      <c r="W99" t="s">
        <v>231</v>
      </c>
      <c r="X99" t="s">
        <v>3628</v>
      </c>
      <c r="Y99" t="s">
        <v>231</v>
      </c>
      <c r="Z99" t="s">
        <v>151</v>
      </c>
      <c r="AA99" t="s">
        <v>151</v>
      </c>
      <c r="AB99" t="s">
        <v>160</v>
      </c>
      <c r="AC99" t="s">
        <v>2283</v>
      </c>
      <c r="AD99" t="s">
        <v>2283</v>
      </c>
      <c r="AE99" t="s">
        <v>2284</v>
      </c>
      <c r="AF99" t="s">
        <v>4083</v>
      </c>
      <c r="AG99" t="s">
        <v>4084</v>
      </c>
      <c r="AH99" t="s">
        <v>4083</v>
      </c>
      <c r="AI99" t="s">
        <v>3688</v>
      </c>
      <c r="AJ99" t="s">
        <v>231</v>
      </c>
      <c r="AK99" t="s">
        <v>231</v>
      </c>
      <c r="AL99" t="s">
        <v>231</v>
      </c>
      <c r="AM99" t="s">
        <v>231</v>
      </c>
      <c r="AN99" t="s">
        <v>231</v>
      </c>
      <c r="AO99" t="s">
        <v>231</v>
      </c>
      <c r="AP99" t="s">
        <v>231</v>
      </c>
      <c r="AQ99" t="s">
        <v>231</v>
      </c>
      <c r="AR99" t="s">
        <v>231</v>
      </c>
      <c r="AS99" t="s">
        <v>231</v>
      </c>
      <c r="AT99" t="s">
        <v>231</v>
      </c>
      <c r="AU99" t="s">
        <v>231</v>
      </c>
      <c r="AV99" t="s">
        <v>231</v>
      </c>
      <c r="AW99" t="s">
        <v>231</v>
      </c>
      <c r="AX99" t="s">
        <v>231</v>
      </c>
      <c r="AY99" t="s">
        <v>231</v>
      </c>
      <c r="AZ99" t="s">
        <v>231</v>
      </c>
      <c r="BA99" t="s">
        <v>231</v>
      </c>
      <c r="BB99" t="s">
        <v>231</v>
      </c>
      <c r="BC99" t="s">
        <v>231</v>
      </c>
      <c r="BD99" t="s">
        <v>231</v>
      </c>
      <c r="BE99" t="s">
        <v>3689</v>
      </c>
      <c r="BF99" t="s">
        <v>3689</v>
      </c>
      <c r="BG99" t="s">
        <v>111</v>
      </c>
      <c r="BH99" t="s">
        <v>3632</v>
      </c>
      <c r="BI99" t="s">
        <v>122</v>
      </c>
      <c r="BJ99" t="s">
        <v>231</v>
      </c>
      <c r="BK99" t="s">
        <v>4085</v>
      </c>
      <c r="BL99" t="s">
        <v>2283</v>
      </c>
      <c r="BM99" t="s">
        <v>2283</v>
      </c>
      <c r="BN99" t="s">
        <v>3690</v>
      </c>
      <c r="BO99" t="s">
        <v>4083</v>
      </c>
      <c r="BP99" t="s">
        <v>4086</v>
      </c>
      <c r="BQ99" t="s">
        <v>4087</v>
      </c>
      <c r="BR99" t="s">
        <v>4088</v>
      </c>
      <c r="BS99" t="s">
        <v>231</v>
      </c>
      <c r="BT99" t="s">
        <v>3694</v>
      </c>
      <c r="BU99" t="s">
        <v>4089</v>
      </c>
      <c r="BV99" t="s">
        <v>4089</v>
      </c>
      <c r="BW99" t="s">
        <v>3641</v>
      </c>
      <c r="BX99" t="s">
        <v>3641</v>
      </c>
      <c r="BY99" t="s">
        <v>3641</v>
      </c>
      <c r="BZ99" t="s">
        <v>3641</v>
      </c>
      <c r="CA99" t="s">
        <v>3641</v>
      </c>
      <c r="CB99" t="s">
        <v>231</v>
      </c>
      <c r="CC99" t="s">
        <v>231</v>
      </c>
      <c r="CD99" t="s">
        <v>231</v>
      </c>
      <c r="CE99" t="s">
        <v>231</v>
      </c>
      <c r="CF99" t="s">
        <v>231</v>
      </c>
      <c r="CG99" t="s">
        <v>3641</v>
      </c>
      <c r="CH99" t="s">
        <v>231</v>
      </c>
      <c r="CI99" t="s">
        <v>231</v>
      </c>
      <c r="CJ99" t="s">
        <v>231</v>
      </c>
      <c r="CK99" t="s">
        <v>231</v>
      </c>
      <c r="CL99" t="s">
        <v>231</v>
      </c>
      <c r="CM99" t="s">
        <v>4089</v>
      </c>
      <c r="CN99" t="s">
        <v>4089</v>
      </c>
      <c r="CO99" t="s">
        <v>231</v>
      </c>
      <c r="CP99" t="s">
        <v>231</v>
      </c>
      <c r="CQ99" t="s">
        <v>231</v>
      </c>
      <c r="CR99" t="s">
        <v>231</v>
      </c>
      <c r="CS99" t="s">
        <v>3549</v>
      </c>
      <c r="CT99" t="s">
        <v>3534</v>
      </c>
      <c r="CU99" t="s">
        <v>3535</v>
      </c>
      <c r="CV99" t="s">
        <v>3536</v>
      </c>
      <c r="CW99" t="s">
        <v>3551</v>
      </c>
      <c r="CX99" t="s">
        <v>223</v>
      </c>
      <c r="CY99" t="s">
        <v>3536</v>
      </c>
      <c r="CZ99" t="s">
        <v>3552</v>
      </c>
      <c r="DA99" t="s">
        <v>3553</v>
      </c>
      <c r="DB99" t="s">
        <v>3551</v>
      </c>
      <c r="DC99" t="s">
        <v>363</v>
      </c>
      <c r="DD99" t="s">
        <v>282</v>
      </c>
      <c r="DE99" t="s">
        <v>4090</v>
      </c>
    </row>
    <row r="100" spans="1:109" ht="11.25" customHeight="1">
      <c r="A100" s="1314" t="s">
        <v>231</v>
      </c>
      <c r="B100" t="s">
        <v>231</v>
      </c>
      <c r="C100" t="s">
        <v>231</v>
      </c>
      <c r="D100" t="s">
        <v>231</v>
      </c>
      <c r="E100" t="s">
        <v>231</v>
      </c>
      <c r="F100" t="s">
        <v>231</v>
      </c>
      <c r="G100" t="s">
        <v>231</v>
      </c>
      <c r="H100" t="s">
        <v>231</v>
      </c>
      <c r="I100" t="s">
        <v>3521</v>
      </c>
      <c r="J100" t="s">
        <v>231</v>
      </c>
      <c r="K100" t="s">
        <v>231</v>
      </c>
      <c r="L100" t="s">
        <v>231</v>
      </c>
      <c r="M100" t="s">
        <v>231</v>
      </c>
      <c r="N100" t="s">
        <v>231</v>
      </c>
      <c r="O100" t="s">
        <v>231</v>
      </c>
      <c r="P100" t="s">
        <v>231</v>
      </c>
      <c r="Q100" t="s">
        <v>231</v>
      </c>
      <c r="R100" t="s">
        <v>4091</v>
      </c>
      <c r="S100" t="s">
        <v>231</v>
      </c>
      <c r="T100" t="s">
        <v>231</v>
      </c>
      <c r="U100" t="s">
        <v>101</v>
      </c>
      <c r="V100" t="s">
        <v>231</v>
      </c>
      <c r="W100" t="s">
        <v>231</v>
      </c>
      <c r="X100" t="s">
        <v>3628</v>
      </c>
      <c r="Y100" t="s">
        <v>231</v>
      </c>
      <c r="Z100" t="s">
        <v>151</v>
      </c>
      <c r="AA100" t="s">
        <v>151</v>
      </c>
      <c r="AB100" t="s">
        <v>160</v>
      </c>
      <c r="AC100" t="s">
        <v>2289</v>
      </c>
      <c r="AD100" t="s">
        <v>2289</v>
      </c>
      <c r="AE100" t="s">
        <v>2290</v>
      </c>
      <c r="AF100" t="s">
        <v>3771</v>
      </c>
      <c r="AG100" t="s">
        <v>3772</v>
      </c>
      <c r="AH100" t="s">
        <v>3618</v>
      </c>
      <c r="AI100" t="s">
        <v>3618</v>
      </c>
      <c r="AJ100" t="s">
        <v>231</v>
      </c>
      <c r="AK100" t="s">
        <v>231</v>
      </c>
      <c r="AL100" t="s">
        <v>231</v>
      </c>
      <c r="AM100" t="s">
        <v>231</v>
      </c>
      <c r="AN100" t="s">
        <v>231</v>
      </c>
      <c r="AO100" t="s">
        <v>231</v>
      </c>
      <c r="AP100" t="s">
        <v>231</v>
      </c>
      <c r="AQ100" t="s">
        <v>231</v>
      </c>
      <c r="AR100" t="s">
        <v>231</v>
      </c>
      <c r="AS100" t="s">
        <v>231</v>
      </c>
      <c r="AT100" t="s">
        <v>231</v>
      </c>
      <c r="AU100" t="s">
        <v>231</v>
      </c>
      <c r="AV100" t="s">
        <v>231</v>
      </c>
      <c r="AW100" t="s">
        <v>231</v>
      </c>
      <c r="AX100" t="s">
        <v>231</v>
      </c>
      <c r="AY100" t="s">
        <v>231</v>
      </c>
      <c r="AZ100" t="s">
        <v>231</v>
      </c>
      <c r="BA100" t="s">
        <v>231</v>
      </c>
      <c r="BB100" t="s">
        <v>231</v>
      </c>
      <c r="BC100" t="s">
        <v>231</v>
      </c>
      <c r="BD100" t="s">
        <v>231</v>
      </c>
      <c r="BE100" t="s">
        <v>3546</v>
      </c>
      <c r="BF100" t="s">
        <v>3586</v>
      </c>
      <c r="BG100" t="s">
        <v>111</v>
      </c>
      <c r="BH100" t="s">
        <v>3632</v>
      </c>
      <c r="BI100" t="s">
        <v>122</v>
      </c>
      <c r="BJ100" t="s">
        <v>231</v>
      </c>
      <c r="BK100" t="s">
        <v>3651</v>
      </c>
      <c r="BL100" t="s">
        <v>2289</v>
      </c>
      <c r="BM100" t="s">
        <v>2289</v>
      </c>
      <c r="BN100" t="s">
        <v>3707</v>
      </c>
      <c r="BO100" t="s">
        <v>3771</v>
      </c>
      <c r="BP100" t="s">
        <v>4092</v>
      </c>
      <c r="BQ100" t="s">
        <v>3618</v>
      </c>
      <c r="BR100" t="s">
        <v>3618</v>
      </c>
      <c r="BS100" t="s">
        <v>231</v>
      </c>
      <c r="BT100" t="s">
        <v>3694</v>
      </c>
      <c r="BU100" t="s">
        <v>4093</v>
      </c>
      <c r="BV100" t="s">
        <v>4093</v>
      </c>
      <c r="BW100" t="s">
        <v>3641</v>
      </c>
      <c r="BX100" t="s">
        <v>3641</v>
      </c>
      <c r="BY100" t="s">
        <v>3641</v>
      </c>
      <c r="BZ100" t="s">
        <v>3641</v>
      </c>
      <c r="CA100" t="s">
        <v>3641</v>
      </c>
      <c r="CB100" t="s">
        <v>231</v>
      </c>
      <c r="CC100" t="s">
        <v>231</v>
      </c>
      <c r="CD100" t="s">
        <v>231</v>
      </c>
      <c r="CE100" t="s">
        <v>231</v>
      </c>
      <c r="CF100" t="s">
        <v>231</v>
      </c>
      <c r="CG100" t="s">
        <v>3641</v>
      </c>
      <c r="CH100" t="s">
        <v>231</v>
      </c>
      <c r="CI100" t="s">
        <v>231</v>
      </c>
      <c r="CJ100" t="s">
        <v>231</v>
      </c>
      <c r="CK100" t="s">
        <v>231</v>
      </c>
      <c r="CL100" t="s">
        <v>231</v>
      </c>
      <c r="CM100" t="s">
        <v>4093</v>
      </c>
      <c r="CN100" t="s">
        <v>4093</v>
      </c>
      <c r="CO100" t="s">
        <v>231</v>
      </c>
      <c r="CP100" t="s">
        <v>231</v>
      </c>
      <c r="CQ100" t="s">
        <v>231</v>
      </c>
      <c r="CR100" t="s">
        <v>231</v>
      </c>
      <c r="CS100" t="s">
        <v>3710</v>
      </c>
      <c r="CT100" t="s">
        <v>3534</v>
      </c>
      <c r="CU100" t="s">
        <v>3535</v>
      </c>
      <c r="CV100" t="s">
        <v>3536</v>
      </c>
      <c r="CW100" t="s">
        <v>3589</v>
      </c>
      <c r="CX100" t="s">
        <v>223</v>
      </c>
      <c r="CY100" t="s">
        <v>3536</v>
      </c>
      <c r="CZ100" t="s">
        <v>3590</v>
      </c>
      <c r="DA100" t="s">
        <v>3591</v>
      </c>
      <c r="DB100" t="s">
        <v>3589</v>
      </c>
      <c r="DC100" t="s">
        <v>363</v>
      </c>
      <c r="DD100" t="s">
        <v>282</v>
      </c>
      <c r="DE100" t="s">
        <v>4094</v>
      </c>
    </row>
    <row r="101" spans="1:109" ht="11.25" customHeight="1">
      <c r="A101" s="1314" t="s">
        <v>231</v>
      </c>
      <c r="B101" t="s">
        <v>231</v>
      </c>
      <c r="C101" t="s">
        <v>231</v>
      </c>
      <c r="D101" t="s">
        <v>231</v>
      </c>
      <c r="E101" t="s">
        <v>231</v>
      </c>
      <c r="F101" t="s">
        <v>231</v>
      </c>
      <c r="G101" t="s">
        <v>231</v>
      </c>
      <c r="H101" t="s">
        <v>231</v>
      </c>
      <c r="I101" t="s">
        <v>3521</v>
      </c>
      <c r="J101" t="s">
        <v>231</v>
      </c>
      <c r="K101" t="s">
        <v>231</v>
      </c>
      <c r="L101" t="s">
        <v>231</v>
      </c>
      <c r="M101" t="s">
        <v>231</v>
      </c>
      <c r="N101" t="s">
        <v>231</v>
      </c>
      <c r="O101" t="s">
        <v>231</v>
      </c>
      <c r="P101" t="s">
        <v>231</v>
      </c>
      <c r="Q101" t="s">
        <v>231</v>
      </c>
      <c r="R101" t="s">
        <v>4095</v>
      </c>
      <c r="S101" t="s">
        <v>231</v>
      </c>
      <c r="T101" t="s">
        <v>231</v>
      </c>
      <c r="U101" t="s">
        <v>101</v>
      </c>
      <c r="V101" t="s">
        <v>231</v>
      </c>
      <c r="W101" t="s">
        <v>231</v>
      </c>
      <c r="X101" t="s">
        <v>3523</v>
      </c>
      <c r="Y101" t="s">
        <v>231</v>
      </c>
      <c r="Z101" t="s">
        <v>160</v>
      </c>
      <c r="AA101" t="s">
        <v>151</v>
      </c>
      <c r="AB101" t="s">
        <v>151</v>
      </c>
      <c r="AC101" t="s">
        <v>343</v>
      </c>
      <c r="AD101" t="s">
        <v>343</v>
      </c>
      <c r="AE101" t="s">
        <v>344</v>
      </c>
      <c r="AF101" t="s">
        <v>3561</v>
      </c>
      <c r="AG101" t="s">
        <v>3562</v>
      </c>
      <c r="AH101" t="s">
        <v>3609</v>
      </c>
      <c r="AI101" t="s">
        <v>3610</v>
      </c>
      <c r="AJ101" t="s">
        <v>4096</v>
      </c>
      <c r="AK101" t="s">
        <v>4097</v>
      </c>
      <c r="AL101" t="s">
        <v>3648</v>
      </c>
      <c r="AM101" t="s">
        <v>3531</v>
      </c>
      <c r="AN101" t="s">
        <v>4098</v>
      </c>
      <c r="AO101" t="s">
        <v>4099</v>
      </c>
      <c r="AP101" t="s">
        <v>231</v>
      </c>
      <c r="AQ101" t="s">
        <v>231</v>
      </c>
      <c r="AR101" t="s">
        <v>231</v>
      </c>
      <c r="AS101" t="s">
        <v>231</v>
      </c>
      <c r="AT101" t="s">
        <v>231</v>
      </c>
      <c r="AU101" t="s">
        <v>231</v>
      </c>
      <c r="AV101" t="s">
        <v>231</v>
      </c>
      <c r="AW101" t="s">
        <v>231</v>
      </c>
      <c r="AX101" t="s">
        <v>231</v>
      </c>
      <c r="AY101" t="s">
        <v>231</v>
      </c>
      <c r="AZ101" t="s">
        <v>231</v>
      </c>
      <c r="BA101" t="s">
        <v>231</v>
      </c>
      <c r="BB101" t="s">
        <v>231</v>
      </c>
      <c r="BC101" t="s">
        <v>231</v>
      </c>
      <c r="BD101" t="s">
        <v>231</v>
      </c>
      <c r="BE101" t="s">
        <v>231</v>
      </c>
      <c r="BF101" t="s">
        <v>231</v>
      </c>
      <c r="BG101" t="s">
        <v>231</v>
      </c>
      <c r="BH101" t="s">
        <v>231</v>
      </c>
      <c r="BI101" t="s">
        <v>231</v>
      </c>
      <c r="BJ101" t="s">
        <v>231</v>
      </c>
      <c r="BK101" t="s">
        <v>231</v>
      </c>
      <c r="BL101" t="s">
        <v>231</v>
      </c>
      <c r="BM101" t="s">
        <v>231</v>
      </c>
      <c r="BN101" t="s">
        <v>231</v>
      </c>
      <c r="BO101" t="s">
        <v>231</v>
      </c>
      <c r="BP101" t="s">
        <v>231</v>
      </c>
      <c r="BQ101" t="s">
        <v>231</v>
      </c>
      <c r="BR101" t="s">
        <v>231</v>
      </c>
      <c r="BS101" t="s">
        <v>231</v>
      </c>
      <c r="BT101" t="s">
        <v>231</v>
      </c>
      <c r="BU101" t="s">
        <v>231</v>
      </c>
      <c r="BV101" t="s">
        <v>231</v>
      </c>
      <c r="BW101" t="s">
        <v>231</v>
      </c>
      <c r="BX101" t="s">
        <v>231</v>
      </c>
      <c r="BY101" t="s">
        <v>231</v>
      </c>
      <c r="BZ101" t="s">
        <v>231</v>
      </c>
      <c r="CA101" t="s">
        <v>231</v>
      </c>
      <c r="CB101" t="s">
        <v>231</v>
      </c>
      <c r="CC101" t="s">
        <v>231</v>
      </c>
      <c r="CD101" t="s">
        <v>231</v>
      </c>
      <c r="CE101" t="s">
        <v>231</v>
      </c>
      <c r="CF101" t="s">
        <v>231</v>
      </c>
      <c r="CG101" t="s">
        <v>231</v>
      </c>
      <c r="CH101" t="s">
        <v>231</v>
      </c>
      <c r="CI101" t="s">
        <v>231</v>
      </c>
      <c r="CJ101" t="s">
        <v>231</v>
      </c>
      <c r="CK101" t="s">
        <v>231</v>
      </c>
      <c r="CL101" t="s">
        <v>231</v>
      </c>
      <c r="CM101" t="s">
        <v>231</v>
      </c>
      <c r="CN101" t="s">
        <v>231</v>
      </c>
      <c r="CO101" t="s">
        <v>231</v>
      </c>
      <c r="CP101" t="s">
        <v>231</v>
      </c>
      <c r="CQ101" t="s">
        <v>231</v>
      </c>
      <c r="CR101" t="s">
        <v>231</v>
      </c>
      <c r="CS101" t="s">
        <v>231</v>
      </c>
      <c r="CT101" t="s">
        <v>3534</v>
      </c>
      <c r="CU101" t="s">
        <v>3535</v>
      </c>
      <c r="CV101" t="s">
        <v>3536</v>
      </c>
      <c r="CW101" t="s">
        <v>3569</v>
      </c>
      <c r="CX101" t="s">
        <v>3570</v>
      </c>
      <c r="CY101" t="s">
        <v>3536</v>
      </c>
      <c r="CZ101" t="s">
        <v>224</v>
      </c>
      <c r="DA101" t="s">
        <v>3571</v>
      </c>
      <c r="DB101" t="s">
        <v>3569</v>
      </c>
      <c r="DC101" t="s">
        <v>363</v>
      </c>
      <c r="DD101" t="s">
        <v>282</v>
      </c>
      <c r="DE101" t="s">
        <v>3614</v>
      </c>
    </row>
    <row r="102" spans="1:109" ht="11.25" customHeight="1">
      <c r="A102" s="1314" t="s">
        <v>231</v>
      </c>
      <c r="B102" t="s">
        <v>231</v>
      </c>
      <c r="C102" t="s">
        <v>231</v>
      </c>
      <c r="D102" t="s">
        <v>231</v>
      </c>
      <c r="E102" t="s">
        <v>231</v>
      </c>
      <c r="F102" t="s">
        <v>231</v>
      </c>
      <c r="G102" t="s">
        <v>231</v>
      </c>
      <c r="H102" t="s">
        <v>231</v>
      </c>
      <c r="I102" t="s">
        <v>3521</v>
      </c>
      <c r="J102" t="s">
        <v>231</v>
      </c>
      <c r="K102" t="s">
        <v>231</v>
      </c>
      <c r="L102" t="s">
        <v>231</v>
      </c>
      <c r="M102" t="s">
        <v>231</v>
      </c>
      <c r="N102" t="s">
        <v>231</v>
      </c>
      <c r="O102" t="s">
        <v>231</v>
      </c>
      <c r="P102" t="s">
        <v>231</v>
      </c>
      <c r="Q102" t="s">
        <v>231</v>
      </c>
      <c r="R102" t="s">
        <v>3615</v>
      </c>
      <c r="S102" t="s">
        <v>231</v>
      </c>
      <c r="T102" t="s">
        <v>231</v>
      </c>
      <c r="U102" t="s">
        <v>101</v>
      </c>
      <c r="V102" t="s">
        <v>231</v>
      </c>
      <c r="W102" t="s">
        <v>231</v>
      </c>
      <c r="X102" t="s">
        <v>3523</v>
      </c>
      <c r="Y102" t="s">
        <v>231</v>
      </c>
      <c r="Z102" t="s">
        <v>160</v>
      </c>
      <c r="AA102" t="s">
        <v>151</v>
      </c>
      <c r="AB102" t="s">
        <v>151</v>
      </c>
      <c r="AC102" t="s">
        <v>2289</v>
      </c>
      <c r="AD102" t="s">
        <v>2289</v>
      </c>
      <c r="AE102" t="s">
        <v>2290</v>
      </c>
      <c r="AF102" t="s">
        <v>4100</v>
      </c>
      <c r="AG102" t="s">
        <v>4101</v>
      </c>
      <c r="AH102" t="s">
        <v>4102</v>
      </c>
      <c r="AI102" t="s">
        <v>4103</v>
      </c>
      <c r="AJ102" t="s">
        <v>3594</v>
      </c>
      <c r="AK102" t="s">
        <v>3716</v>
      </c>
      <c r="AL102" t="s">
        <v>3548</v>
      </c>
      <c r="AM102" t="s">
        <v>3531</v>
      </c>
      <c r="AN102" t="s">
        <v>3595</v>
      </c>
      <c r="AO102" t="s">
        <v>3796</v>
      </c>
      <c r="AP102" t="s">
        <v>231</v>
      </c>
      <c r="AQ102" t="s">
        <v>231</v>
      </c>
      <c r="AR102" t="s">
        <v>231</v>
      </c>
      <c r="AS102" t="s">
        <v>231</v>
      </c>
      <c r="AT102" t="s">
        <v>231</v>
      </c>
      <c r="AU102" t="s">
        <v>231</v>
      </c>
      <c r="AV102" t="s">
        <v>231</v>
      </c>
      <c r="AW102" t="s">
        <v>231</v>
      </c>
      <c r="AX102" t="s">
        <v>231</v>
      </c>
      <c r="AY102" t="s">
        <v>231</v>
      </c>
      <c r="AZ102" t="s">
        <v>231</v>
      </c>
      <c r="BA102" t="s">
        <v>231</v>
      </c>
      <c r="BB102" t="s">
        <v>231</v>
      </c>
      <c r="BC102" t="s">
        <v>231</v>
      </c>
      <c r="BD102" t="s">
        <v>231</v>
      </c>
      <c r="BE102" t="s">
        <v>231</v>
      </c>
      <c r="BF102" t="s">
        <v>231</v>
      </c>
      <c r="BG102" t="s">
        <v>231</v>
      </c>
      <c r="BH102" t="s">
        <v>231</v>
      </c>
      <c r="BI102" t="s">
        <v>231</v>
      </c>
      <c r="BJ102" t="s">
        <v>231</v>
      </c>
      <c r="BK102" t="s">
        <v>231</v>
      </c>
      <c r="BL102" t="s">
        <v>231</v>
      </c>
      <c r="BM102" t="s">
        <v>231</v>
      </c>
      <c r="BN102" t="s">
        <v>231</v>
      </c>
      <c r="BO102" t="s">
        <v>231</v>
      </c>
      <c r="BP102" t="s">
        <v>231</v>
      </c>
      <c r="BQ102" t="s">
        <v>231</v>
      </c>
      <c r="BR102" t="s">
        <v>231</v>
      </c>
      <c r="BS102" t="s">
        <v>231</v>
      </c>
      <c r="BT102" t="s">
        <v>231</v>
      </c>
      <c r="BU102" t="s">
        <v>231</v>
      </c>
      <c r="BV102" t="s">
        <v>231</v>
      </c>
      <c r="BW102" t="s">
        <v>231</v>
      </c>
      <c r="BX102" t="s">
        <v>231</v>
      </c>
      <c r="BY102" t="s">
        <v>231</v>
      </c>
      <c r="BZ102" t="s">
        <v>231</v>
      </c>
      <c r="CA102" t="s">
        <v>231</v>
      </c>
      <c r="CB102" t="s">
        <v>231</v>
      </c>
      <c r="CC102" t="s">
        <v>231</v>
      </c>
      <c r="CD102" t="s">
        <v>231</v>
      </c>
      <c r="CE102" t="s">
        <v>231</v>
      </c>
      <c r="CF102" t="s">
        <v>231</v>
      </c>
      <c r="CG102" t="s">
        <v>231</v>
      </c>
      <c r="CH102" t="s">
        <v>231</v>
      </c>
      <c r="CI102" t="s">
        <v>231</v>
      </c>
      <c r="CJ102" t="s">
        <v>231</v>
      </c>
      <c r="CK102" t="s">
        <v>231</v>
      </c>
      <c r="CL102" t="s">
        <v>231</v>
      </c>
      <c r="CM102" t="s">
        <v>231</v>
      </c>
      <c r="CN102" t="s">
        <v>231</v>
      </c>
      <c r="CO102" t="s">
        <v>231</v>
      </c>
      <c r="CP102" t="s">
        <v>231</v>
      </c>
      <c r="CQ102" t="s">
        <v>231</v>
      </c>
      <c r="CR102" t="s">
        <v>231</v>
      </c>
      <c r="CS102" t="s">
        <v>231</v>
      </c>
      <c r="CT102" t="s">
        <v>3534</v>
      </c>
      <c r="CU102" t="s">
        <v>3535</v>
      </c>
      <c r="CV102" t="s">
        <v>3536</v>
      </c>
      <c r="CW102" t="s">
        <v>3589</v>
      </c>
      <c r="CX102" t="s">
        <v>223</v>
      </c>
      <c r="CY102" t="s">
        <v>3536</v>
      </c>
      <c r="CZ102" t="s">
        <v>3590</v>
      </c>
      <c r="DA102" t="s">
        <v>3591</v>
      </c>
      <c r="DB102" t="s">
        <v>3589</v>
      </c>
      <c r="DC102" t="s">
        <v>363</v>
      </c>
      <c r="DD102" t="s">
        <v>282</v>
      </c>
      <c r="DE102" t="s">
        <v>4104</v>
      </c>
    </row>
    <row r="103" spans="1:109" ht="11.25" customHeight="1">
      <c r="A103" s="1314" t="s">
        <v>231</v>
      </c>
      <c r="B103" t="s">
        <v>231</v>
      </c>
      <c r="C103" t="s">
        <v>231</v>
      </c>
      <c r="D103" t="s">
        <v>231</v>
      </c>
      <c r="E103" t="s">
        <v>231</v>
      </c>
      <c r="F103" t="s">
        <v>231</v>
      </c>
      <c r="G103" t="s">
        <v>231</v>
      </c>
      <c r="H103" t="s">
        <v>231</v>
      </c>
      <c r="I103" t="s">
        <v>3521</v>
      </c>
      <c r="J103" t="s">
        <v>231</v>
      </c>
      <c r="K103" t="s">
        <v>231</v>
      </c>
      <c r="L103" t="s">
        <v>231</v>
      </c>
      <c r="M103" t="s">
        <v>231</v>
      </c>
      <c r="N103" t="s">
        <v>231</v>
      </c>
      <c r="O103" t="s">
        <v>231</v>
      </c>
      <c r="P103" t="s">
        <v>231</v>
      </c>
      <c r="Q103" t="s">
        <v>231</v>
      </c>
      <c r="R103" t="s">
        <v>4105</v>
      </c>
      <c r="S103" t="s">
        <v>231</v>
      </c>
      <c r="T103" t="s">
        <v>231</v>
      </c>
      <c r="U103" t="s">
        <v>101</v>
      </c>
      <c r="V103" t="s">
        <v>231</v>
      </c>
      <c r="W103" t="s">
        <v>231</v>
      </c>
      <c r="X103" t="s">
        <v>3628</v>
      </c>
      <c r="Y103" t="s">
        <v>231</v>
      </c>
      <c r="Z103" t="s">
        <v>151</v>
      </c>
      <c r="AA103" t="s">
        <v>151</v>
      </c>
      <c r="AB103" t="s">
        <v>160</v>
      </c>
      <c r="AC103" t="s">
        <v>2289</v>
      </c>
      <c r="AD103" t="s">
        <v>2289</v>
      </c>
      <c r="AE103" t="s">
        <v>2290</v>
      </c>
      <c r="AF103" t="s">
        <v>4100</v>
      </c>
      <c r="AG103" t="s">
        <v>4101</v>
      </c>
      <c r="AH103" t="s">
        <v>3618</v>
      </c>
      <c r="AI103" t="s">
        <v>3618</v>
      </c>
      <c r="AJ103" t="s">
        <v>231</v>
      </c>
      <c r="AK103" t="s">
        <v>231</v>
      </c>
      <c r="AL103" t="s">
        <v>231</v>
      </c>
      <c r="AM103" t="s">
        <v>231</v>
      </c>
      <c r="AN103" t="s">
        <v>231</v>
      </c>
      <c r="AO103" t="s">
        <v>231</v>
      </c>
      <c r="AP103" t="s">
        <v>231</v>
      </c>
      <c r="AQ103" t="s">
        <v>231</v>
      </c>
      <c r="AR103" t="s">
        <v>231</v>
      </c>
      <c r="AS103" t="s">
        <v>231</v>
      </c>
      <c r="AT103" t="s">
        <v>231</v>
      </c>
      <c r="AU103" t="s">
        <v>231</v>
      </c>
      <c r="AV103" t="s">
        <v>231</v>
      </c>
      <c r="AW103" t="s">
        <v>231</v>
      </c>
      <c r="AX103" t="s">
        <v>231</v>
      </c>
      <c r="AY103" t="s">
        <v>231</v>
      </c>
      <c r="AZ103" t="s">
        <v>231</v>
      </c>
      <c r="BA103" t="s">
        <v>231</v>
      </c>
      <c r="BB103" t="s">
        <v>231</v>
      </c>
      <c r="BC103" t="s">
        <v>231</v>
      </c>
      <c r="BD103" t="s">
        <v>231</v>
      </c>
      <c r="BE103" t="s">
        <v>3594</v>
      </c>
      <c r="BF103" t="s">
        <v>3716</v>
      </c>
      <c r="BG103" t="s">
        <v>111</v>
      </c>
      <c r="BH103" t="s">
        <v>3632</v>
      </c>
      <c r="BI103" t="s">
        <v>122</v>
      </c>
      <c r="BJ103" t="s">
        <v>231</v>
      </c>
      <c r="BK103" t="s">
        <v>3651</v>
      </c>
      <c r="BL103" t="s">
        <v>2289</v>
      </c>
      <c r="BM103" t="s">
        <v>2289</v>
      </c>
      <c r="BN103" t="s">
        <v>3707</v>
      </c>
      <c r="BO103" t="s">
        <v>4100</v>
      </c>
      <c r="BP103" t="s">
        <v>4106</v>
      </c>
      <c r="BQ103" t="s">
        <v>3618</v>
      </c>
      <c r="BR103" t="s">
        <v>3618</v>
      </c>
      <c r="BS103" t="s">
        <v>231</v>
      </c>
      <c r="BT103" t="s">
        <v>3694</v>
      </c>
      <c r="BU103" t="s">
        <v>4107</v>
      </c>
      <c r="BV103" t="s">
        <v>4107</v>
      </c>
      <c r="BW103" t="s">
        <v>3641</v>
      </c>
      <c r="BX103" t="s">
        <v>3641</v>
      </c>
      <c r="BY103" t="s">
        <v>3641</v>
      </c>
      <c r="BZ103" t="s">
        <v>3641</v>
      </c>
      <c r="CA103" t="s">
        <v>3641</v>
      </c>
      <c r="CB103" t="s">
        <v>231</v>
      </c>
      <c r="CC103" t="s">
        <v>231</v>
      </c>
      <c r="CD103" t="s">
        <v>231</v>
      </c>
      <c r="CE103" t="s">
        <v>231</v>
      </c>
      <c r="CF103" t="s">
        <v>231</v>
      </c>
      <c r="CG103" t="s">
        <v>3641</v>
      </c>
      <c r="CH103" t="s">
        <v>231</v>
      </c>
      <c r="CI103" t="s">
        <v>231</v>
      </c>
      <c r="CJ103" t="s">
        <v>231</v>
      </c>
      <c r="CK103" t="s">
        <v>231</v>
      </c>
      <c r="CL103" t="s">
        <v>231</v>
      </c>
      <c r="CM103" t="s">
        <v>4107</v>
      </c>
      <c r="CN103" t="s">
        <v>4107</v>
      </c>
      <c r="CO103" t="s">
        <v>231</v>
      </c>
      <c r="CP103" t="s">
        <v>231</v>
      </c>
      <c r="CQ103" t="s">
        <v>231</v>
      </c>
      <c r="CR103" t="s">
        <v>231</v>
      </c>
      <c r="CS103" t="s">
        <v>3710</v>
      </c>
      <c r="CT103" t="s">
        <v>3534</v>
      </c>
      <c r="CU103" t="s">
        <v>3535</v>
      </c>
      <c r="CV103" t="s">
        <v>3536</v>
      </c>
      <c r="CW103" t="s">
        <v>3589</v>
      </c>
      <c r="CX103" t="s">
        <v>223</v>
      </c>
      <c r="CY103" t="s">
        <v>3536</v>
      </c>
      <c r="CZ103" t="s">
        <v>3590</v>
      </c>
      <c r="DA103" t="s">
        <v>3591</v>
      </c>
      <c r="DB103" t="s">
        <v>3589</v>
      </c>
      <c r="DC103" t="s">
        <v>363</v>
      </c>
      <c r="DD103" t="s">
        <v>282</v>
      </c>
      <c r="DE103" t="s">
        <v>4108</v>
      </c>
    </row>
    <row r="104" spans="1:109" ht="11.25" customHeight="1">
      <c r="A104" s="1314" t="s">
        <v>231</v>
      </c>
      <c r="B104" t="s">
        <v>231</v>
      </c>
      <c r="C104" t="s">
        <v>231</v>
      </c>
      <c r="D104" t="s">
        <v>231</v>
      </c>
      <c r="E104" t="s">
        <v>231</v>
      </c>
      <c r="F104" t="s">
        <v>231</v>
      </c>
      <c r="G104" t="s">
        <v>231</v>
      </c>
      <c r="H104" t="s">
        <v>231</v>
      </c>
      <c r="I104" t="s">
        <v>3521</v>
      </c>
      <c r="J104" t="s">
        <v>231</v>
      </c>
      <c r="K104" t="s">
        <v>231</v>
      </c>
      <c r="L104" t="s">
        <v>231</v>
      </c>
      <c r="M104" t="s">
        <v>231</v>
      </c>
      <c r="N104" t="s">
        <v>231</v>
      </c>
      <c r="O104" t="s">
        <v>231</v>
      </c>
      <c r="P104" t="s">
        <v>231</v>
      </c>
      <c r="Q104" t="s">
        <v>231</v>
      </c>
      <c r="R104" t="s">
        <v>4109</v>
      </c>
      <c r="S104" t="s">
        <v>231</v>
      </c>
      <c r="T104" t="s">
        <v>231</v>
      </c>
      <c r="U104" t="s">
        <v>101</v>
      </c>
      <c r="V104" t="s">
        <v>231</v>
      </c>
      <c r="W104" t="s">
        <v>231</v>
      </c>
      <c r="X104" t="s">
        <v>3523</v>
      </c>
      <c r="Y104" t="s">
        <v>231</v>
      </c>
      <c r="Z104" t="s">
        <v>160</v>
      </c>
      <c r="AA104" t="s">
        <v>151</v>
      </c>
      <c r="AB104" t="s">
        <v>151</v>
      </c>
      <c r="AC104" t="s">
        <v>343</v>
      </c>
      <c r="AD104" t="s">
        <v>343</v>
      </c>
      <c r="AE104" t="s">
        <v>344</v>
      </c>
      <c r="AF104" t="s">
        <v>3561</v>
      </c>
      <c r="AG104" t="s">
        <v>3562</v>
      </c>
      <c r="AH104" t="s">
        <v>4047</v>
      </c>
      <c r="AI104" t="s">
        <v>3575</v>
      </c>
      <c r="AJ104" t="s">
        <v>4110</v>
      </c>
      <c r="AK104" t="s">
        <v>4048</v>
      </c>
      <c r="AL104" t="s">
        <v>3648</v>
      </c>
      <c r="AM104" t="s">
        <v>3531</v>
      </c>
      <c r="AN104" t="s">
        <v>3621</v>
      </c>
      <c r="AO104" t="s">
        <v>4111</v>
      </c>
      <c r="AP104" t="s">
        <v>231</v>
      </c>
      <c r="AQ104" t="s">
        <v>231</v>
      </c>
      <c r="AR104" t="s">
        <v>231</v>
      </c>
      <c r="AS104" t="s">
        <v>231</v>
      </c>
      <c r="AT104" t="s">
        <v>231</v>
      </c>
      <c r="AU104" t="s">
        <v>231</v>
      </c>
      <c r="AV104" t="s">
        <v>231</v>
      </c>
      <c r="AW104" t="s">
        <v>231</v>
      </c>
      <c r="AX104" t="s">
        <v>231</v>
      </c>
      <c r="AY104" t="s">
        <v>231</v>
      </c>
      <c r="AZ104" t="s">
        <v>231</v>
      </c>
      <c r="BA104" t="s">
        <v>231</v>
      </c>
      <c r="BB104" t="s">
        <v>231</v>
      </c>
      <c r="BC104" t="s">
        <v>231</v>
      </c>
      <c r="BD104" t="s">
        <v>231</v>
      </c>
      <c r="BE104" t="s">
        <v>231</v>
      </c>
      <c r="BF104" t="s">
        <v>231</v>
      </c>
      <c r="BG104" t="s">
        <v>231</v>
      </c>
      <c r="BH104" t="s">
        <v>231</v>
      </c>
      <c r="BI104" t="s">
        <v>231</v>
      </c>
      <c r="BJ104" t="s">
        <v>231</v>
      </c>
      <c r="BK104" t="s">
        <v>231</v>
      </c>
      <c r="BL104" t="s">
        <v>231</v>
      </c>
      <c r="BM104" t="s">
        <v>231</v>
      </c>
      <c r="BN104" t="s">
        <v>231</v>
      </c>
      <c r="BO104" t="s">
        <v>231</v>
      </c>
      <c r="BP104" t="s">
        <v>231</v>
      </c>
      <c r="BQ104" t="s">
        <v>231</v>
      </c>
      <c r="BR104" t="s">
        <v>231</v>
      </c>
      <c r="BS104" t="s">
        <v>231</v>
      </c>
      <c r="BT104" t="s">
        <v>231</v>
      </c>
      <c r="BU104" t="s">
        <v>231</v>
      </c>
      <c r="BV104" t="s">
        <v>231</v>
      </c>
      <c r="BW104" t="s">
        <v>231</v>
      </c>
      <c r="BX104" t="s">
        <v>231</v>
      </c>
      <c r="BY104" t="s">
        <v>231</v>
      </c>
      <c r="BZ104" t="s">
        <v>231</v>
      </c>
      <c r="CA104" t="s">
        <v>231</v>
      </c>
      <c r="CB104" t="s">
        <v>231</v>
      </c>
      <c r="CC104" t="s">
        <v>231</v>
      </c>
      <c r="CD104" t="s">
        <v>231</v>
      </c>
      <c r="CE104" t="s">
        <v>231</v>
      </c>
      <c r="CF104" t="s">
        <v>231</v>
      </c>
      <c r="CG104" t="s">
        <v>231</v>
      </c>
      <c r="CH104" t="s">
        <v>231</v>
      </c>
      <c r="CI104" t="s">
        <v>231</v>
      </c>
      <c r="CJ104" t="s">
        <v>231</v>
      </c>
      <c r="CK104" t="s">
        <v>231</v>
      </c>
      <c r="CL104" t="s">
        <v>231</v>
      </c>
      <c r="CM104" t="s">
        <v>231</v>
      </c>
      <c r="CN104" t="s">
        <v>231</v>
      </c>
      <c r="CO104" t="s">
        <v>231</v>
      </c>
      <c r="CP104" t="s">
        <v>231</v>
      </c>
      <c r="CQ104" t="s">
        <v>231</v>
      </c>
      <c r="CR104" t="s">
        <v>231</v>
      </c>
      <c r="CS104" t="s">
        <v>231</v>
      </c>
      <c r="CT104" t="s">
        <v>3534</v>
      </c>
      <c r="CU104" t="s">
        <v>3535</v>
      </c>
      <c r="CV104" t="s">
        <v>3536</v>
      </c>
      <c r="CW104" t="s">
        <v>3569</v>
      </c>
      <c r="CX104" t="s">
        <v>3570</v>
      </c>
      <c r="CY104" t="s">
        <v>3536</v>
      </c>
      <c r="CZ104" t="s">
        <v>224</v>
      </c>
      <c r="DA104" t="s">
        <v>3571</v>
      </c>
      <c r="DB104" t="s">
        <v>3569</v>
      </c>
      <c r="DC104" t="s">
        <v>363</v>
      </c>
      <c r="DD104" t="s">
        <v>282</v>
      </c>
      <c r="DE104" t="s">
        <v>4050</v>
      </c>
    </row>
    <row r="105" spans="1:109" ht="11.25" customHeight="1">
      <c r="A105" s="1314" t="s">
        <v>231</v>
      </c>
      <c r="B105" t="s">
        <v>231</v>
      </c>
      <c r="C105" t="s">
        <v>231</v>
      </c>
      <c r="D105" t="s">
        <v>231</v>
      </c>
      <c r="E105" t="s">
        <v>231</v>
      </c>
      <c r="F105" t="s">
        <v>231</v>
      </c>
      <c r="G105" t="s">
        <v>231</v>
      </c>
      <c r="H105" t="s">
        <v>231</v>
      </c>
      <c r="I105" t="s">
        <v>3521</v>
      </c>
      <c r="J105" t="s">
        <v>231</v>
      </c>
      <c r="K105" t="s">
        <v>231</v>
      </c>
      <c r="L105" t="s">
        <v>231</v>
      </c>
      <c r="M105" t="s">
        <v>231</v>
      </c>
      <c r="N105" t="s">
        <v>231</v>
      </c>
      <c r="O105" t="s">
        <v>231</v>
      </c>
      <c r="P105" t="s">
        <v>231</v>
      </c>
      <c r="Q105" t="s">
        <v>231</v>
      </c>
      <c r="R105" t="s">
        <v>4112</v>
      </c>
      <c r="S105" t="s">
        <v>231</v>
      </c>
      <c r="T105" t="s">
        <v>231</v>
      </c>
      <c r="U105" t="s">
        <v>101</v>
      </c>
      <c r="V105" t="s">
        <v>231</v>
      </c>
      <c r="W105" t="s">
        <v>231</v>
      </c>
      <c r="X105" t="s">
        <v>3628</v>
      </c>
      <c r="Y105" t="s">
        <v>231</v>
      </c>
      <c r="Z105" t="s">
        <v>151</v>
      </c>
      <c r="AA105" t="s">
        <v>151</v>
      </c>
      <c r="AB105" t="s">
        <v>160</v>
      </c>
      <c r="AC105" t="s">
        <v>2691</v>
      </c>
      <c r="AD105" t="s">
        <v>2691</v>
      </c>
      <c r="AE105" t="s">
        <v>2692</v>
      </c>
      <c r="AF105" t="s">
        <v>3991</v>
      </c>
      <c r="AG105" t="s">
        <v>3992</v>
      </c>
      <c r="AH105" t="s">
        <v>4113</v>
      </c>
      <c r="AI105" t="s">
        <v>151</v>
      </c>
      <c r="AJ105" t="s">
        <v>231</v>
      </c>
      <c r="AK105" t="s">
        <v>231</v>
      </c>
      <c r="AL105" t="s">
        <v>231</v>
      </c>
      <c r="AM105" t="s">
        <v>231</v>
      </c>
      <c r="AN105" t="s">
        <v>231</v>
      </c>
      <c r="AO105" t="s">
        <v>231</v>
      </c>
      <c r="AP105" t="s">
        <v>231</v>
      </c>
      <c r="AQ105" t="s">
        <v>231</v>
      </c>
      <c r="AR105" t="s">
        <v>231</v>
      </c>
      <c r="AS105" t="s">
        <v>231</v>
      </c>
      <c r="AT105" t="s">
        <v>231</v>
      </c>
      <c r="AU105" t="s">
        <v>231</v>
      </c>
      <c r="AV105" t="s">
        <v>231</v>
      </c>
      <c r="AW105" t="s">
        <v>231</v>
      </c>
      <c r="AX105" t="s">
        <v>231</v>
      </c>
      <c r="AY105" t="s">
        <v>231</v>
      </c>
      <c r="AZ105" t="s">
        <v>231</v>
      </c>
      <c r="BA105" t="s">
        <v>231</v>
      </c>
      <c r="BB105" t="s">
        <v>231</v>
      </c>
      <c r="BC105" t="s">
        <v>231</v>
      </c>
      <c r="BD105" t="s">
        <v>231</v>
      </c>
      <c r="BE105" t="s">
        <v>3994</v>
      </c>
      <c r="BF105" t="s">
        <v>4114</v>
      </c>
      <c r="BG105" t="s">
        <v>111</v>
      </c>
      <c r="BH105" t="s">
        <v>3632</v>
      </c>
      <c r="BI105" t="s">
        <v>122</v>
      </c>
      <c r="BJ105" t="s">
        <v>231</v>
      </c>
      <c r="BK105" t="s">
        <v>4115</v>
      </c>
      <c r="BL105" t="s">
        <v>2691</v>
      </c>
      <c r="BM105" t="s">
        <v>2691</v>
      </c>
      <c r="BN105" t="s">
        <v>4116</v>
      </c>
      <c r="BO105" t="s">
        <v>3991</v>
      </c>
      <c r="BP105" t="s">
        <v>4117</v>
      </c>
      <c r="BQ105" t="s">
        <v>4118</v>
      </c>
      <c r="BR105" t="s">
        <v>151</v>
      </c>
      <c r="BS105" t="s">
        <v>231</v>
      </c>
      <c r="BT105" t="s">
        <v>3637</v>
      </c>
      <c r="BU105" t="s">
        <v>4119</v>
      </c>
      <c r="BV105" t="s">
        <v>4120</v>
      </c>
      <c r="BW105" t="s">
        <v>4121</v>
      </c>
      <c r="BX105" t="s">
        <v>3641</v>
      </c>
      <c r="BY105" t="s">
        <v>3641</v>
      </c>
      <c r="BZ105" t="s">
        <v>3641</v>
      </c>
      <c r="CA105" t="s">
        <v>3641</v>
      </c>
      <c r="CB105" t="s">
        <v>3641</v>
      </c>
      <c r="CC105" t="s">
        <v>3641</v>
      </c>
      <c r="CD105" t="s">
        <v>3641</v>
      </c>
      <c r="CE105" t="s">
        <v>3641</v>
      </c>
      <c r="CF105" t="s">
        <v>3641</v>
      </c>
      <c r="CG105" t="s">
        <v>3641</v>
      </c>
      <c r="CH105" t="s">
        <v>3641</v>
      </c>
      <c r="CI105" t="s">
        <v>3641</v>
      </c>
      <c r="CJ105" t="s">
        <v>3641</v>
      </c>
      <c r="CK105" t="s">
        <v>3641</v>
      </c>
      <c r="CL105" t="s">
        <v>3641</v>
      </c>
      <c r="CM105" t="s">
        <v>4119</v>
      </c>
      <c r="CN105" t="s">
        <v>4120</v>
      </c>
      <c r="CO105" t="s">
        <v>4121</v>
      </c>
      <c r="CP105" t="s">
        <v>3641</v>
      </c>
      <c r="CQ105" t="s">
        <v>3641</v>
      </c>
      <c r="CR105" t="s">
        <v>3641</v>
      </c>
      <c r="CS105" t="s">
        <v>4122</v>
      </c>
      <c r="CT105" t="s">
        <v>3534</v>
      </c>
      <c r="CU105" t="s">
        <v>3535</v>
      </c>
      <c r="CV105" t="s">
        <v>3997</v>
      </c>
      <c r="CW105" t="s">
        <v>3998</v>
      </c>
      <c r="CX105" t="s">
        <v>3570</v>
      </c>
      <c r="CY105" t="s">
        <v>3997</v>
      </c>
      <c r="CZ105" t="s">
        <v>3575</v>
      </c>
      <c r="DA105" t="s">
        <v>3999</v>
      </c>
      <c r="DB105" t="s">
        <v>3643</v>
      </c>
      <c r="DC105" t="s">
        <v>363</v>
      </c>
      <c r="DD105" t="s">
        <v>282</v>
      </c>
      <c r="DE105" t="s">
        <v>4123</v>
      </c>
    </row>
    <row r="106" spans="1:109" ht="11.25" customHeight="1">
      <c r="A106" s="1314" t="s">
        <v>231</v>
      </c>
      <c r="B106" t="s">
        <v>231</v>
      </c>
      <c r="C106" t="s">
        <v>231</v>
      </c>
      <c r="D106" t="s">
        <v>231</v>
      </c>
      <c r="E106" t="s">
        <v>231</v>
      </c>
      <c r="F106" t="s">
        <v>231</v>
      </c>
      <c r="G106" t="s">
        <v>231</v>
      </c>
      <c r="H106" t="s">
        <v>231</v>
      </c>
      <c r="I106" t="s">
        <v>3521</v>
      </c>
      <c r="J106" t="s">
        <v>231</v>
      </c>
      <c r="K106" t="s">
        <v>231</v>
      </c>
      <c r="L106" t="s">
        <v>231</v>
      </c>
      <c r="M106" t="s">
        <v>231</v>
      </c>
      <c r="N106" t="s">
        <v>231</v>
      </c>
      <c r="O106" t="s">
        <v>231</v>
      </c>
      <c r="P106" t="s">
        <v>231</v>
      </c>
      <c r="Q106" t="s">
        <v>231</v>
      </c>
      <c r="R106" t="s">
        <v>3651</v>
      </c>
      <c r="S106" t="s">
        <v>231</v>
      </c>
      <c r="T106" t="s">
        <v>231</v>
      </c>
      <c r="U106" t="s">
        <v>101</v>
      </c>
      <c r="V106" t="s">
        <v>231</v>
      </c>
      <c r="W106" t="s">
        <v>231</v>
      </c>
      <c r="X106" t="s">
        <v>3523</v>
      </c>
      <c r="Y106" t="s">
        <v>231</v>
      </c>
      <c r="Z106" t="s">
        <v>160</v>
      </c>
      <c r="AA106" t="s">
        <v>151</v>
      </c>
      <c r="AB106" t="s">
        <v>151</v>
      </c>
      <c r="AC106" t="s">
        <v>2283</v>
      </c>
      <c r="AD106" t="s">
        <v>2283</v>
      </c>
      <c r="AE106" t="s">
        <v>2284</v>
      </c>
      <c r="AF106" t="s">
        <v>3686</v>
      </c>
      <c r="AG106" t="s">
        <v>3687</v>
      </c>
      <c r="AH106" t="s">
        <v>3692</v>
      </c>
      <c r="AI106" t="s">
        <v>3693</v>
      </c>
      <c r="AJ106" t="s">
        <v>3546</v>
      </c>
      <c r="AK106" t="s">
        <v>3547</v>
      </c>
      <c r="AL106" t="s">
        <v>3548</v>
      </c>
      <c r="AM106" t="s">
        <v>3531</v>
      </c>
      <c r="AN106" t="s">
        <v>3549</v>
      </c>
      <c r="AO106" t="s">
        <v>4124</v>
      </c>
      <c r="AP106" t="s">
        <v>231</v>
      </c>
      <c r="AQ106" t="s">
        <v>231</v>
      </c>
      <c r="AR106" t="s">
        <v>231</v>
      </c>
      <c r="AS106" t="s">
        <v>231</v>
      </c>
      <c r="AT106" t="s">
        <v>231</v>
      </c>
      <c r="AU106" t="s">
        <v>231</v>
      </c>
      <c r="AV106" t="s">
        <v>231</v>
      </c>
      <c r="AW106" t="s">
        <v>231</v>
      </c>
      <c r="AX106" t="s">
        <v>231</v>
      </c>
      <c r="AY106" t="s">
        <v>231</v>
      </c>
      <c r="AZ106" t="s">
        <v>231</v>
      </c>
      <c r="BA106" t="s">
        <v>231</v>
      </c>
      <c r="BB106" t="s">
        <v>231</v>
      </c>
      <c r="BC106" t="s">
        <v>231</v>
      </c>
      <c r="BD106" t="s">
        <v>231</v>
      </c>
      <c r="BE106" t="s">
        <v>231</v>
      </c>
      <c r="BF106" t="s">
        <v>231</v>
      </c>
      <c r="BG106" t="s">
        <v>231</v>
      </c>
      <c r="BH106" t="s">
        <v>231</v>
      </c>
      <c r="BI106" t="s">
        <v>231</v>
      </c>
      <c r="BJ106" t="s">
        <v>231</v>
      </c>
      <c r="BK106" t="s">
        <v>231</v>
      </c>
      <c r="BL106" t="s">
        <v>231</v>
      </c>
      <c r="BM106" t="s">
        <v>231</v>
      </c>
      <c r="BN106" t="s">
        <v>231</v>
      </c>
      <c r="BO106" t="s">
        <v>231</v>
      </c>
      <c r="BP106" t="s">
        <v>231</v>
      </c>
      <c r="BQ106" t="s">
        <v>231</v>
      </c>
      <c r="BR106" t="s">
        <v>231</v>
      </c>
      <c r="BS106" t="s">
        <v>231</v>
      </c>
      <c r="BT106" t="s">
        <v>231</v>
      </c>
      <c r="BU106" t="s">
        <v>231</v>
      </c>
      <c r="BV106" t="s">
        <v>231</v>
      </c>
      <c r="BW106" t="s">
        <v>231</v>
      </c>
      <c r="BX106" t="s">
        <v>231</v>
      </c>
      <c r="BY106" t="s">
        <v>231</v>
      </c>
      <c r="BZ106" t="s">
        <v>231</v>
      </c>
      <c r="CA106" t="s">
        <v>231</v>
      </c>
      <c r="CB106" t="s">
        <v>231</v>
      </c>
      <c r="CC106" t="s">
        <v>231</v>
      </c>
      <c r="CD106" t="s">
        <v>231</v>
      </c>
      <c r="CE106" t="s">
        <v>231</v>
      </c>
      <c r="CF106" t="s">
        <v>231</v>
      </c>
      <c r="CG106" t="s">
        <v>231</v>
      </c>
      <c r="CH106" t="s">
        <v>231</v>
      </c>
      <c r="CI106" t="s">
        <v>231</v>
      </c>
      <c r="CJ106" t="s">
        <v>231</v>
      </c>
      <c r="CK106" t="s">
        <v>231</v>
      </c>
      <c r="CL106" t="s">
        <v>231</v>
      </c>
      <c r="CM106" t="s">
        <v>231</v>
      </c>
      <c r="CN106" t="s">
        <v>231</v>
      </c>
      <c r="CO106" t="s">
        <v>231</v>
      </c>
      <c r="CP106" t="s">
        <v>231</v>
      </c>
      <c r="CQ106" t="s">
        <v>231</v>
      </c>
      <c r="CR106" t="s">
        <v>231</v>
      </c>
      <c r="CS106" t="s">
        <v>231</v>
      </c>
      <c r="CT106" t="s">
        <v>3534</v>
      </c>
      <c r="CU106" t="s">
        <v>3535</v>
      </c>
      <c r="CV106" t="s">
        <v>3536</v>
      </c>
      <c r="CW106" t="s">
        <v>3551</v>
      </c>
      <c r="CX106" t="s">
        <v>223</v>
      </c>
      <c r="CY106" t="s">
        <v>3536</v>
      </c>
      <c r="CZ106" t="s">
        <v>3552</v>
      </c>
      <c r="DA106" t="s">
        <v>3553</v>
      </c>
      <c r="DB106" t="s">
        <v>3551</v>
      </c>
      <c r="DC106" t="s">
        <v>363</v>
      </c>
      <c r="DD106" t="s">
        <v>282</v>
      </c>
      <c r="DE106" t="s">
        <v>4125</v>
      </c>
    </row>
    <row r="107" spans="1:109" ht="11.25" customHeight="1">
      <c r="A107" s="1314" t="s">
        <v>231</v>
      </c>
      <c r="B107" t="s">
        <v>231</v>
      </c>
      <c r="C107" t="s">
        <v>231</v>
      </c>
      <c r="D107" t="s">
        <v>231</v>
      </c>
      <c r="E107" t="s">
        <v>231</v>
      </c>
      <c r="F107" t="s">
        <v>231</v>
      </c>
      <c r="G107" t="s">
        <v>231</v>
      </c>
      <c r="H107" t="s">
        <v>231</v>
      </c>
      <c r="I107" t="s">
        <v>3521</v>
      </c>
      <c r="J107" t="s">
        <v>231</v>
      </c>
      <c r="K107" t="s">
        <v>231</v>
      </c>
      <c r="L107" t="s">
        <v>231</v>
      </c>
      <c r="M107" t="s">
        <v>231</v>
      </c>
      <c r="N107" t="s">
        <v>231</v>
      </c>
      <c r="O107" t="s">
        <v>231</v>
      </c>
      <c r="P107" t="s">
        <v>231</v>
      </c>
      <c r="Q107" t="s">
        <v>231</v>
      </c>
      <c r="R107" t="s">
        <v>3685</v>
      </c>
      <c r="S107" t="s">
        <v>231</v>
      </c>
      <c r="T107" t="s">
        <v>231</v>
      </c>
      <c r="U107" t="s">
        <v>101</v>
      </c>
      <c r="V107" t="s">
        <v>231</v>
      </c>
      <c r="W107" t="s">
        <v>231</v>
      </c>
      <c r="X107" t="s">
        <v>3628</v>
      </c>
      <c r="Y107" t="s">
        <v>231</v>
      </c>
      <c r="Z107" t="s">
        <v>151</v>
      </c>
      <c r="AA107" t="s">
        <v>151</v>
      </c>
      <c r="AB107" t="s">
        <v>160</v>
      </c>
      <c r="AC107" t="s">
        <v>2283</v>
      </c>
      <c r="AD107" t="s">
        <v>2283</v>
      </c>
      <c r="AE107" t="s">
        <v>2284</v>
      </c>
      <c r="AF107" t="s">
        <v>3652</v>
      </c>
      <c r="AG107" t="s">
        <v>3653</v>
      </c>
      <c r="AH107" t="s">
        <v>3652</v>
      </c>
      <c r="AI107" t="s">
        <v>3688</v>
      </c>
      <c r="AJ107" t="s">
        <v>231</v>
      </c>
      <c r="AK107" t="s">
        <v>231</v>
      </c>
      <c r="AL107" t="s">
        <v>231</v>
      </c>
      <c r="AM107" t="s">
        <v>231</v>
      </c>
      <c r="AN107" t="s">
        <v>231</v>
      </c>
      <c r="AO107" t="s">
        <v>231</v>
      </c>
      <c r="AP107" t="s">
        <v>231</v>
      </c>
      <c r="AQ107" t="s">
        <v>231</v>
      </c>
      <c r="AR107" t="s">
        <v>231</v>
      </c>
      <c r="AS107" t="s">
        <v>231</v>
      </c>
      <c r="AT107" t="s">
        <v>231</v>
      </c>
      <c r="AU107" t="s">
        <v>231</v>
      </c>
      <c r="AV107" t="s">
        <v>231</v>
      </c>
      <c r="AW107" t="s">
        <v>231</v>
      </c>
      <c r="AX107" t="s">
        <v>231</v>
      </c>
      <c r="AY107" t="s">
        <v>231</v>
      </c>
      <c r="AZ107" t="s">
        <v>231</v>
      </c>
      <c r="BA107" t="s">
        <v>231</v>
      </c>
      <c r="BB107" t="s">
        <v>231</v>
      </c>
      <c r="BC107" t="s">
        <v>231</v>
      </c>
      <c r="BD107" t="s">
        <v>231</v>
      </c>
      <c r="BE107" t="s">
        <v>3689</v>
      </c>
      <c r="BF107" t="s">
        <v>3689</v>
      </c>
      <c r="BG107" t="s">
        <v>111</v>
      </c>
      <c r="BH107" t="s">
        <v>3632</v>
      </c>
      <c r="BI107" t="s">
        <v>122</v>
      </c>
      <c r="BJ107" t="s">
        <v>231</v>
      </c>
      <c r="BK107" t="s">
        <v>3651</v>
      </c>
      <c r="BL107" t="s">
        <v>2283</v>
      </c>
      <c r="BM107" t="s">
        <v>2283</v>
      </c>
      <c r="BN107" t="s">
        <v>3690</v>
      </c>
      <c r="BO107" t="s">
        <v>3652</v>
      </c>
      <c r="BP107" t="s">
        <v>4126</v>
      </c>
      <c r="BQ107" t="s">
        <v>4127</v>
      </c>
      <c r="BR107" t="s">
        <v>3655</v>
      </c>
      <c r="BS107" t="s">
        <v>231</v>
      </c>
      <c r="BT107" t="s">
        <v>3694</v>
      </c>
      <c r="BU107" t="s">
        <v>4128</v>
      </c>
      <c r="BV107" t="s">
        <v>4128</v>
      </c>
      <c r="BW107" t="s">
        <v>3641</v>
      </c>
      <c r="BX107" t="s">
        <v>3641</v>
      </c>
      <c r="BY107" t="s">
        <v>3641</v>
      </c>
      <c r="BZ107" t="s">
        <v>3641</v>
      </c>
      <c r="CA107" t="s">
        <v>3641</v>
      </c>
      <c r="CB107" t="s">
        <v>231</v>
      </c>
      <c r="CC107" t="s">
        <v>231</v>
      </c>
      <c r="CD107" t="s">
        <v>231</v>
      </c>
      <c r="CE107" t="s">
        <v>231</v>
      </c>
      <c r="CF107" t="s">
        <v>231</v>
      </c>
      <c r="CG107" t="s">
        <v>3641</v>
      </c>
      <c r="CH107" t="s">
        <v>231</v>
      </c>
      <c r="CI107" t="s">
        <v>231</v>
      </c>
      <c r="CJ107" t="s">
        <v>231</v>
      </c>
      <c r="CK107" t="s">
        <v>231</v>
      </c>
      <c r="CL107" t="s">
        <v>231</v>
      </c>
      <c r="CM107" t="s">
        <v>4128</v>
      </c>
      <c r="CN107" t="s">
        <v>4128</v>
      </c>
      <c r="CO107" t="s">
        <v>231</v>
      </c>
      <c r="CP107" t="s">
        <v>231</v>
      </c>
      <c r="CQ107" t="s">
        <v>231</v>
      </c>
      <c r="CR107" t="s">
        <v>231</v>
      </c>
      <c r="CS107" t="s">
        <v>3549</v>
      </c>
      <c r="CT107" t="s">
        <v>3534</v>
      </c>
      <c r="CU107" t="s">
        <v>3535</v>
      </c>
      <c r="CV107" t="s">
        <v>3536</v>
      </c>
      <c r="CW107" t="s">
        <v>3551</v>
      </c>
      <c r="CX107" t="s">
        <v>223</v>
      </c>
      <c r="CY107" t="s">
        <v>3536</v>
      </c>
      <c r="CZ107" t="s">
        <v>3552</v>
      </c>
      <c r="DA107" t="s">
        <v>3553</v>
      </c>
      <c r="DB107" t="s">
        <v>3551</v>
      </c>
      <c r="DC107" t="s">
        <v>363</v>
      </c>
      <c r="DD107" t="s">
        <v>282</v>
      </c>
      <c r="DE107" t="s">
        <v>4129</v>
      </c>
    </row>
    <row r="108" spans="1:109" ht="11.25" customHeight="1">
      <c r="A108" s="1314" t="s">
        <v>231</v>
      </c>
      <c r="B108" t="s">
        <v>231</v>
      </c>
      <c r="C108" t="s">
        <v>231</v>
      </c>
      <c r="D108" t="s">
        <v>231</v>
      </c>
      <c r="E108" t="s">
        <v>231</v>
      </c>
      <c r="F108" t="s">
        <v>231</v>
      </c>
      <c r="G108" t="s">
        <v>231</v>
      </c>
      <c r="H108" t="s">
        <v>231</v>
      </c>
      <c r="I108" t="s">
        <v>3521</v>
      </c>
      <c r="J108" t="s">
        <v>231</v>
      </c>
      <c r="K108" t="s">
        <v>231</v>
      </c>
      <c r="L108" t="s">
        <v>231</v>
      </c>
      <c r="M108" t="s">
        <v>231</v>
      </c>
      <c r="N108" t="s">
        <v>231</v>
      </c>
      <c r="O108" t="s">
        <v>231</v>
      </c>
      <c r="P108" t="s">
        <v>231</v>
      </c>
      <c r="Q108" t="s">
        <v>231</v>
      </c>
      <c r="R108" t="s">
        <v>3615</v>
      </c>
      <c r="S108" t="s">
        <v>231</v>
      </c>
      <c r="T108" t="s">
        <v>231</v>
      </c>
      <c r="U108" t="s">
        <v>101</v>
      </c>
      <c r="V108" t="s">
        <v>231</v>
      </c>
      <c r="W108" t="s">
        <v>231</v>
      </c>
      <c r="X108" t="s">
        <v>3523</v>
      </c>
      <c r="Y108" t="s">
        <v>231</v>
      </c>
      <c r="Z108" t="s">
        <v>160</v>
      </c>
      <c r="AA108" t="s">
        <v>151</v>
      </c>
      <c r="AB108" t="s">
        <v>151</v>
      </c>
      <c r="AC108" t="s">
        <v>2289</v>
      </c>
      <c r="AD108" t="s">
        <v>2289</v>
      </c>
      <c r="AE108" t="s">
        <v>2290</v>
      </c>
      <c r="AF108" t="s">
        <v>3793</v>
      </c>
      <c r="AG108" t="s">
        <v>3794</v>
      </c>
      <c r="AH108" t="s">
        <v>4130</v>
      </c>
      <c r="AI108" t="s">
        <v>3693</v>
      </c>
      <c r="AJ108" t="s">
        <v>3619</v>
      </c>
      <c r="AK108" t="s">
        <v>3586</v>
      </c>
      <c r="AL108" t="s">
        <v>3548</v>
      </c>
      <c r="AM108" t="s">
        <v>3531</v>
      </c>
      <c r="AN108" t="s">
        <v>3587</v>
      </c>
      <c r="AO108" t="s">
        <v>3662</v>
      </c>
      <c r="AP108" t="s">
        <v>231</v>
      </c>
      <c r="AQ108" t="s">
        <v>231</v>
      </c>
      <c r="AR108" t="s">
        <v>231</v>
      </c>
      <c r="AS108" t="s">
        <v>231</v>
      </c>
      <c r="AT108" t="s">
        <v>231</v>
      </c>
      <c r="AU108" t="s">
        <v>231</v>
      </c>
      <c r="AV108" t="s">
        <v>231</v>
      </c>
      <c r="AW108" t="s">
        <v>231</v>
      </c>
      <c r="AX108" t="s">
        <v>231</v>
      </c>
      <c r="AY108" t="s">
        <v>231</v>
      </c>
      <c r="AZ108" t="s">
        <v>231</v>
      </c>
      <c r="BA108" t="s">
        <v>231</v>
      </c>
      <c r="BB108" t="s">
        <v>231</v>
      </c>
      <c r="BC108" t="s">
        <v>231</v>
      </c>
      <c r="BD108" t="s">
        <v>231</v>
      </c>
      <c r="BE108" t="s">
        <v>231</v>
      </c>
      <c r="BF108" t="s">
        <v>231</v>
      </c>
      <c r="BG108" t="s">
        <v>231</v>
      </c>
      <c r="BH108" t="s">
        <v>231</v>
      </c>
      <c r="BI108" t="s">
        <v>231</v>
      </c>
      <c r="BJ108" t="s">
        <v>231</v>
      </c>
      <c r="BK108" t="s">
        <v>231</v>
      </c>
      <c r="BL108" t="s">
        <v>231</v>
      </c>
      <c r="BM108" t="s">
        <v>231</v>
      </c>
      <c r="BN108" t="s">
        <v>231</v>
      </c>
      <c r="BO108" t="s">
        <v>231</v>
      </c>
      <c r="BP108" t="s">
        <v>231</v>
      </c>
      <c r="BQ108" t="s">
        <v>231</v>
      </c>
      <c r="BR108" t="s">
        <v>231</v>
      </c>
      <c r="BS108" t="s">
        <v>231</v>
      </c>
      <c r="BT108" t="s">
        <v>231</v>
      </c>
      <c r="BU108" t="s">
        <v>231</v>
      </c>
      <c r="BV108" t="s">
        <v>231</v>
      </c>
      <c r="BW108" t="s">
        <v>231</v>
      </c>
      <c r="BX108" t="s">
        <v>231</v>
      </c>
      <c r="BY108" t="s">
        <v>231</v>
      </c>
      <c r="BZ108" t="s">
        <v>231</v>
      </c>
      <c r="CA108" t="s">
        <v>231</v>
      </c>
      <c r="CB108" t="s">
        <v>231</v>
      </c>
      <c r="CC108" t="s">
        <v>231</v>
      </c>
      <c r="CD108" t="s">
        <v>231</v>
      </c>
      <c r="CE108" t="s">
        <v>231</v>
      </c>
      <c r="CF108" t="s">
        <v>231</v>
      </c>
      <c r="CG108" t="s">
        <v>231</v>
      </c>
      <c r="CH108" t="s">
        <v>231</v>
      </c>
      <c r="CI108" t="s">
        <v>231</v>
      </c>
      <c r="CJ108" t="s">
        <v>231</v>
      </c>
      <c r="CK108" t="s">
        <v>231</v>
      </c>
      <c r="CL108" t="s">
        <v>231</v>
      </c>
      <c r="CM108" t="s">
        <v>231</v>
      </c>
      <c r="CN108" t="s">
        <v>231</v>
      </c>
      <c r="CO108" t="s">
        <v>231</v>
      </c>
      <c r="CP108" t="s">
        <v>231</v>
      </c>
      <c r="CQ108" t="s">
        <v>231</v>
      </c>
      <c r="CR108" t="s">
        <v>231</v>
      </c>
      <c r="CS108" t="s">
        <v>231</v>
      </c>
      <c r="CT108" t="s">
        <v>3534</v>
      </c>
      <c r="CU108" t="s">
        <v>3535</v>
      </c>
      <c r="CV108" t="s">
        <v>3536</v>
      </c>
      <c r="CW108" t="s">
        <v>3589</v>
      </c>
      <c r="CX108" t="s">
        <v>223</v>
      </c>
      <c r="CY108" t="s">
        <v>3536</v>
      </c>
      <c r="CZ108" t="s">
        <v>3590</v>
      </c>
      <c r="DA108" t="s">
        <v>4131</v>
      </c>
      <c r="DB108" t="s">
        <v>3589</v>
      </c>
      <c r="DC108" t="s">
        <v>363</v>
      </c>
      <c r="DD108" t="s">
        <v>282</v>
      </c>
      <c r="DE108" t="s">
        <v>4132</v>
      </c>
    </row>
    <row r="109" spans="1:109" ht="11.25" customHeight="1">
      <c r="A109" s="1314" t="s">
        <v>231</v>
      </c>
      <c r="B109" t="s">
        <v>231</v>
      </c>
      <c r="C109" t="s">
        <v>231</v>
      </c>
      <c r="D109" t="s">
        <v>231</v>
      </c>
      <c r="E109" t="s">
        <v>231</v>
      </c>
      <c r="F109" t="s">
        <v>231</v>
      </c>
      <c r="G109" t="s">
        <v>231</v>
      </c>
      <c r="H109" t="s">
        <v>231</v>
      </c>
      <c r="I109" t="s">
        <v>3521</v>
      </c>
      <c r="J109" t="s">
        <v>231</v>
      </c>
      <c r="K109" t="s">
        <v>231</v>
      </c>
      <c r="L109" t="s">
        <v>231</v>
      </c>
      <c r="M109" t="s">
        <v>231</v>
      </c>
      <c r="N109" t="s">
        <v>231</v>
      </c>
      <c r="O109" t="s">
        <v>231</v>
      </c>
      <c r="P109" t="s">
        <v>231</v>
      </c>
      <c r="Q109" t="s">
        <v>231</v>
      </c>
      <c r="R109" t="s">
        <v>3555</v>
      </c>
      <c r="S109" t="s">
        <v>231</v>
      </c>
      <c r="T109" t="s">
        <v>231</v>
      </c>
      <c r="U109" t="s">
        <v>101</v>
      </c>
      <c r="V109" t="s">
        <v>231</v>
      </c>
      <c r="W109" t="s">
        <v>231</v>
      </c>
      <c r="X109" t="s">
        <v>3523</v>
      </c>
      <c r="Y109" t="s">
        <v>231</v>
      </c>
      <c r="Z109" t="s">
        <v>160</v>
      </c>
      <c r="AA109" t="s">
        <v>151</v>
      </c>
      <c r="AB109" t="s">
        <v>151</v>
      </c>
      <c r="AC109" t="s">
        <v>2289</v>
      </c>
      <c r="AD109" t="s">
        <v>2289</v>
      </c>
      <c r="AE109" t="s">
        <v>2290</v>
      </c>
      <c r="AF109" t="s">
        <v>3793</v>
      </c>
      <c r="AG109" t="s">
        <v>3794</v>
      </c>
      <c r="AH109" t="s">
        <v>4133</v>
      </c>
      <c r="AI109" t="s">
        <v>4134</v>
      </c>
      <c r="AJ109" t="s">
        <v>3619</v>
      </c>
      <c r="AK109" t="s">
        <v>3586</v>
      </c>
      <c r="AL109" t="s">
        <v>3548</v>
      </c>
      <c r="AM109" t="s">
        <v>3531</v>
      </c>
      <c r="AN109" t="s">
        <v>3529</v>
      </c>
      <c r="AO109" t="s">
        <v>4135</v>
      </c>
      <c r="AP109" t="s">
        <v>231</v>
      </c>
      <c r="AQ109" t="s">
        <v>231</v>
      </c>
      <c r="AR109" t="s">
        <v>231</v>
      </c>
      <c r="AS109" t="s">
        <v>231</v>
      </c>
      <c r="AT109" t="s">
        <v>231</v>
      </c>
      <c r="AU109" t="s">
        <v>231</v>
      </c>
      <c r="AV109" t="s">
        <v>231</v>
      </c>
      <c r="AW109" t="s">
        <v>231</v>
      </c>
      <c r="AX109" t="s">
        <v>231</v>
      </c>
      <c r="AY109" t="s">
        <v>231</v>
      </c>
      <c r="AZ109" t="s">
        <v>231</v>
      </c>
      <c r="BA109" t="s">
        <v>231</v>
      </c>
      <c r="BB109" t="s">
        <v>231</v>
      </c>
      <c r="BC109" t="s">
        <v>231</v>
      </c>
      <c r="BD109" t="s">
        <v>231</v>
      </c>
      <c r="BE109" t="s">
        <v>231</v>
      </c>
      <c r="BF109" t="s">
        <v>231</v>
      </c>
      <c r="BG109" t="s">
        <v>231</v>
      </c>
      <c r="BH109" t="s">
        <v>231</v>
      </c>
      <c r="BI109" t="s">
        <v>231</v>
      </c>
      <c r="BJ109" t="s">
        <v>231</v>
      </c>
      <c r="BK109" t="s">
        <v>231</v>
      </c>
      <c r="BL109" t="s">
        <v>231</v>
      </c>
      <c r="BM109" t="s">
        <v>231</v>
      </c>
      <c r="BN109" t="s">
        <v>231</v>
      </c>
      <c r="BO109" t="s">
        <v>231</v>
      </c>
      <c r="BP109" t="s">
        <v>231</v>
      </c>
      <c r="BQ109" t="s">
        <v>231</v>
      </c>
      <c r="BR109" t="s">
        <v>231</v>
      </c>
      <c r="BS109" t="s">
        <v>231</v>
      </c>
      <c r="BT109" t="s">
        <v>231</v>
      </c>
      <c r="BU109" t="s">
        <v>231</v>
      </c>
      <c r="BV109" t="s">
        <v>231</v>
      </c>
      <c r="BW109" t="s">
        <v>231</v>
      </c>
      <c r="BX109" t="s">
        <v>231</v>
      </c>
      <c r="BY109" t="s">
        <v>231</v>
      </c>
      <c r="BZ109" t="s">
        <v>231</v>
      </c>
      <c r="CA109" t="s">
        <v>231</v>
      </c>
      <c r="CB109" t="s">
        <v>231</v>
      </c>
      <c r="CC109" t="s">
        <v>231</v>
      </c>
      <c r="CD109" t="s">
        <v>231</v>
      </c>
      <c r="CE109" t="s">
        <v>231</v>
      </c>
      <c r="CF109" t="s">
        <v>231</v>
      </c>
      <c r="CG109" t="s">
        <v>231</v>
      </c>
      <c r="CH109" t="s">
        <v>231</v>
      </c>
      <c r="CI109" t="s">
        <v>231</v>
      </c>
      <c r="CJ109" t="s">
        <v>231</v>
      </c>
      <c r="CK109" t="s">
        <v>231</v>
      </c>
      <c r="CL109" t="s">
        <v>231</v>
      </c>
      <c r="CM109" t="s">
        <v>231</v>
      </c>
      <c r="CN109" t="s">
        <v>231</v>
      </c>
      <c r="CO109" t="s">
        <v>231</v>
      </c>
      <c r="CP109" t="s">
        <v>231</v>
      </c>
      <c r="CQ109" t="s">
        <v>231</v>
      </c>
      <c r="CR109" t="s">
        <v>231</v>
      </c>
      <c r="CS109" t="s">
        <v>231</v>
      </c>
      <c r="CT109" t="s">
        <v>3534</v>
      </c>
      <c r="CU109" t="s">
        <v>3535</v>
      </c>
      <c r="CV109" t="s">
        <v>3536</v>
      </c>
      <c r="CW109" t="s">
        <v>3589</v>
      </c>
      <c r="CX109" t="s">
        <v>223</v>
      </c>
      <c r="CY109" t="s">
        <v>3536</v>
      </c>
      <c r="CZ109" t="s">
        <v>3590</v>
      </c>
      <c r="DA109" t="s">
        <v>4131</v>
      </c>
      <c r="DB109" t="s">
        <v>3589</v>
      </c>
      <c r="DC109" t="s">
        <v>363</v>
      </c>
      <c r="DD109" t="s">
        <v>282</v>
      </c>
      <c r="DE109" t="s">
        <v>4136</v>
      </c>
    </row>
    <row r="110" spans="1:109" ht="11.25" customHeight="1">
      <c r="A110" s="1314" t="s">
        <v>231</v>
      </c>
      <c r="B110" t="s">
        <v>231</v>
      </c>
      <c r="C110" t="s">
        <v>231</v>
      </c>
      <c r="D110" t="s">
        <v>231</v>
      </c>
      <c r="E110" t="s">
        <v>231</v>
      </c>
      <c r="F110" t="s">
        <v>231</v>
      </c>
      <c r="G110" t="s">
        <v>231</v>
      </c>
      <c r="H110" t="s">
        <v>231</v>
      </c>
      <c r="I110" t="s">
        <v>3521</v>
      </c>
      <c r="J110" t="s">
        <v>231</v>
      </c>
      <c r="K110" t="s">
        <v>231</v>
      </c>
      <c r="L110" t="s">
        <v>231</v>
      </c>
      <c r="M110" t="s">
        <v>231</v>
      </c>
      <c r="N110" t="s">
        <v>231</v>
      </c>
      <c r="O110" t="s">
        <v>231</v>
      </c>
      <c r="P110" t="s">
        <v>231</v>
      </c>
      <c r="Q110" t="s">
        <v>231</v>
      </c>
      <c r="R110" t="s">
        <v>3615</v>
      </c>
      <c r="S110" t="s">
        <v>231</v>
      </c>
      <c r="T110" t="s">
        <v>231</v>
      </c>
      <c r="U110" t="s">
        <v>101</v>
      </c>
      <c r="V110" t="s">
        <v>231</v>
      </c>
      <c r="W110" t="s">
        <v>231</v>
      </c>
      <c r="X110" t="s">
        <v>3523</v>
      </c>
      <c r="Y110" t="s">
        <v>231</v>
      </c>
      <c r="Z110" t="s">
        <v>160</v>
      </c>
      <c r="AA110" t="s">
        <v>151</v>
      </c>
      <c r="AB110" t="s">
        <v>151</v>
      </c>
      <c r="AC110" t="s">
        <v>2289</v>
      </c>
      <c r="AD110" t="s">
        <v>2289</v>
      </c>
      <c r="AE110" t="s">
        <v>2290</v>
      </c>
      <c r="AF110" t="s">
        <v>3793</v>
      </c>
      <c r="AG110" t="s">
        <v>3794</v>
      </c>
      <c r="AH110" t="s">
        <v>4137</v>
      </c>
      <c r="AI110" t="s">
        <v>4138</v>
      </c>
      <c r="AJ110" t="s">
        <v>3619</v>
      </c>
      <c r="AK110" t="s">
        <v>3586</v>
      </c>
      <c r="AL110" t="s">
        <v>3548</v>
      </c>
      <c r="AM110" t="s">
        <v>3531</v>
      </c>
      <c r="AN110" t="s">
        <v>3595</v>
      </c>
      <c r="AO110" t="s">
        <v>3796</v>
      </c>
      <c r="AP110" t="s">
        <v>231</v>
      </c>
      <c r="AQ110" t="s">
        <v>231</v>
      </c>
      <c r="AR110" t="s">
        <v>231</v>
      </c>
      <c r="AS110" t="s">
        <v>231</v>
      </c>
      <c r="AT110" t="s">
        <v>231</v>
      </c>
      <c r="AU110" t="s">
        <v>231</v>
      </c>
      <c r="AV110" t="s">
        <v>231</v>
      </c>
      <c r="AW110" t="s">
        <v>231</v>
      </c>
      <c r="AX110" t="s">
        <v>231</v>
      </c>
      <c r="AY110" t="s">
        <v>231</v>
      </c>
      <c r="AZ110" t="s">
        <v>231</v>
      </c>
      <c r="BA110" t="s">
        <v>231</v>
      </c>
      <c r="BB110" t="s">
        <v>231</v>
      </c>
      <c r="BC110" t="s">
        <v>231</v>
      </c>
      <c r="BD110" t="s">
        <v>231</v>
      </c>
      <c r="BE110" t="s">
        <v>231</v>
      </c>
      <c r="BF110" t="s">
        <v>231</v>
      </c>
      <c r="BG110" t="s">
        <v>231</v>
      </c>
      <c r="BH110" t="s">
        <v>231</v>
      </c>
      <c r="BI110" t="s">
        <v>231</v>
      </c>
      <c r="BJ110" t="s">
        <v>231</v>
      </c>
      <c r="BK110" t="s">
        <v>231</v>
      </c>
      <c r="BL110" t="s">
        <v>231</v>
      </c>
      <c r="BM110" t="s">
        <v>231</v>
      </c>
      <c r="BN110" t="s">
        <v>231</v>
      </c>
      <c r="BO110" t="s">
        <v>231</v>
      </c>
      <c r="BP110" t="s">
        <v>231</v>
      </c>
      <c r="BQ110" t="s">
        <v>231</v>
      </c>
      <c r="BR110" t="s">
        <v>231</v>
      </c>
      <c r="BS110" t="s">
        <v>231</v>
      </c>
      <c r="BT110" t="s">
        <v>231</v>
      </c>
      <c r="BU110" t="s">
        <v>231</v>
      </c>
      <c r="BV110" t="s">
        <v>231</v>
      </c>
      <c r="BW110" t="s">
        <v>231</v>
      </c>
      <c r="BX110" t="s">
        <v>231</v>
      </c>
      <c r="BY110" t="s">
        <v>231</v>
      </c>
      <c r="BZ110" t="s">
        <v>231</v>
      </c>
      <c r="CA110" t="s">
        <v>231</v>
      </c>
      <c r="CB110" t="s">
        <v>231</v>
      </c>
      <c r="CC110" t="s">
        <v>231</v>
      </c>
      <c r="CD110" t="s">
        <v>231</v>
      </c>
      <c r="CE110" t="s">
        <v>231</v>
      </c>
      <c r="CF110" t="s">
        <v>231</v>
      </c>
      <c r="CG110" t="s">
        <v>231</v>
      </c>
      <c r="CH110" t="s">
        <v>231</v>
      </c>
      <c r="CI110" t="s">
        <v>231</v>
      </c>
      <c r="CJ110" t="s">
        <v>231</v>
      </c>
      <c r="CK110" t="s">
        <v>231</v>
      </c>
      <c r="CL110" t="s">
        <v>231</v>
      </c>
      <c r="CM110" t="s">
        <v>231</v>
      </c>
      <c r="CN110" t="s">
        <v>231</v>
      </c>
      <c r="CO110" t="s">
        <v>231</v>
      </c>
      <c r="CP110" t="s">
        <v>231</v>
      </c>
      <c r="CQ110" t="s">
        <v>231</v>
      </c>
      <c r="CR110" t="s">
        <v>231</v>
      </c>
      <c r="CS110" t="s">
        <v>231</v>
      </c>
      <c r="CT110" t="s">
        <v>3534</v>
      </c>
      <c r="CU110" t="s">
        <v>3535</v>
      </c>
      <c r="CV110" t="s">
        <v>3536</v>
      </c>
      <c r="CW110" t="s">
        <v>3589</v>
      </c>
      <c r="CX110" t="s">
        <v>223</v>
      </c>
      <c r="CY110" t="s">
        <v>3536</v>
      </c>
      <c r="CZ110" t="s">
        <v>3590</v>
      </c>
      <c r="DA110" t="s">
        <v>3591</v>
      </c>
      <c r="DB110" t="s">
        <v>3589</v>
      </c>
      <c r="DC110" t="s">
        <v>363</v>
      </c>
      <c r="DD110" t="s">
        <v>282</v>
      </c>
      <c r="DE110" t="s">
        <v>4139</v>
      </c>
    </row>
    <row r="111" spans="1:109" ht="11.25" customHeight="1">
      <c r="A111" s="1314" t="s">
        <v>231</v>
      </c>
      <c r="B111" t="s">
        <v>231</v>
      </c>
      <c r="C111" t="s">
        <v>231</v>
      </c>
      <c r="D111" t="s">
        <v>231</v>
      </c>
      <c r="E111" t="s">
        <v>231</v>
      </c>
      <c r="F111" t="s">
        <v>231</v>
      </c>
      <c r="G111" t="s">
        <v>231</v>
      </c>
      <c r="H111" t="s">
        <v>231</v>
      </c>
      <c r="I111" t="s">
        <v>3521</v>
      </c>
      <c r="J111" t="s">
        <v>231</v>
      </c>
      <c r="K111" t="s">
        <v>231</v>
      </c>
      <c r="L111" t="s">
        <v>231</v>
      </c>
      <c r="M111" t="s">
        <v>231</v>
      </c>
      <c r="N111" t="s">
        <v>231</v>
      </c>
      <c r="O111" t="s">
        <v>231</v>
      </c>
      <c r="P111" t="s">
        <v>231</v>
      </c>
      <c r="Q111" t="s">
        <v>231</v>
      </c>
      <c r="R111" t="s">
        <v>4140</v>
      </c>
      <c r="S111" t="s">
        <v>231</v>
      </c>
      <c r="T111" t="s">
        <v>231</v>
      </c>
      <c r="U111" t="s">
        <v>101</v>
      </c>
      <c r="V111" t="s">
        <v>231</v>
      </c>
      <c r="W111" t="s">
        <v>231</v>
      </c>
      <c r="X111" t="s">
        <v>3628</v>
      </c>
      <c r="Y111" t="s">
        <v>231</v>
      </c>
      <c r="Z111" t="s">
        <v>151</v>
      </c>
      <c r="AA111" t="s">
        <v>151</v>
      </c>
      <c r="AB111" t="s">
        <v>160</v>
      </c>
      <c r="AC111" t="s">
        <v>2287</v>
      </c>
      <c r="AD111" t="s">
        <v>2287</v>
      </c>
      <c r="AE111" t="s">
        <v>2288</v>
      </c>
      <c r="AF111" t="s">
        <v>3854</v>
      </c>
      <c r="AG111" t="s">
        <v>3855</v>
      </c>
      <c r="AH111" t="s">
        <v>3618</v>
      </c>
      <c r="AI111" t="s">
        <v>3618</v>
      </c>
      <c r="AJ111" t="s">
        <v>231</v>
      </c>
      <c r="AK111" t="s">
        <v>231</v>
      </c>
      <c r="AL111" t="s">
        <v>231</v>
      </c>
      <c r="AM111" t="s">
        <v>231</v>
      </c>
      <c r="AN111" t="s">
        <v>231</v>
      </c>
      <c r="AO111" t="s">
        <v>231</v>
      </c>
      <c r="AP111" t="s">
        <v>231</v>
      </c>
      <c r="AQ111" t="s">
        <v>231</v>
      </c>
      <c r="AR111" t="s">
        <v>231</v>
      </c>
      <c r="AS111" t="s">
        <v>231</v>
      </c>
      <c r="AT111" t="s">
        <v>231</v>
      </c>
      <c r="AU111" t="s">
        <v>231</v>
      </c>
      <c r="AV111" t="s">
        <v>231</v>
      </c>
      <c r="AW111" t="s">
        <v>231</v>
      </c>
      <c r="AX111" t="s">
        <v>231</v>
      </c>
      <c r="AY111" t="s">
        <v>231</v>
      </c>
      <c r="AZ111" t="s">
        <v>231</v>
      </c>
      <c r="BA111" t="s">
        <v>231</v>
      </c>
      <c r="BB111" t="s">
        <v>231</v>
      </c>
      <c r="BC111" t="s">
        <v>231</v>
      </c>
      <c r="BD111" t="s">
        <v>231</v>
      </c>
      <c r="BE111" t="s">
        <v>4042</v>
      </c>
      <c r="BF111" t="s">
        <v>4141</v>
      </c>
      <c r="BG111" t="s">
        <v>111</v>
      </c>
      <c r="BH111" t="s">
        <v>3632</v>
      </c>
      <c r="BI111" t="s">
        <v>122</v>
      </c>
      <c r="BJ111" t="s">
        <v>231</v>
      </c>
      <c r="BK111" t="s">
        <v>3651</v>
      </c>
      <c r="BL111" t="s">
        <v>2287</v>
      </c>
      <c r="BM111" t="s">
        <v>2287</v>
      </c>
      <c r="BN111" t="s">
        <v>3842</v>
      </c>
      <c r="BO111" t="s">
        <v>3854</v>
      </c>
      <c r="BP111" t="s">
        <v>4142</v>
      </c>
      <c r="BQ111" t="s">
        <v>3618</v>
      </c>
      <c r="BR111" t="s">
        <v>3618</v>
      </c>
      <c r="BS111" t="s">
        <v>231</v>
      </c>
      <c r="BT111" t="s">
        <v>3694</v>
      </c>
      <c r="BU111" t="s">
        <v>4143</v>
      </c>
      <c r="BV111" t="s">
        <v>4143</v>
      </c>
      <c r="BW111" t="s">
        <v>3641</v>
      </c>
      <c r="BX111" t="s">
        <v>3641</v>
      </c>
      <c r="BY111" t="s">
        <v>3641</v>
      </c>
      <c r="BZ111" t="s">
        <v>3641</v>
      </c>
      <c r="CA111" t="s">
        <v>3641</v>
      </c>
      <c r="CB111" t="s">
        <v>231</v>
      </c>
      <c r="CC111" t="s">
        <v>231</v>
      </c>
      <c r="CD111" t="s">
        <v>231</v>
      </c>
      <c r="CE111" t="s">
        <v>231</v>
      </c>
      <c r="CF111" t="s">
        <v>231</v>
      </c>
      <c r="CG111" t="s">
        <v>3641</v>
      </c>
      <c r="CH111" t="s">
        <v>231</v>
      </c>
      <c r="CI111" t="s">
        <v>231</v>
      </c>
      <c r="CJ111" t="s">
        <v>231</v>
      </c>
      <c r="CK111" t="s">
        <v>231</v>
      </c>
      <c r="CL111" t="s">
        <v>231</v>
      </c>
      <c r="CM111" t="s">
        <v>4143</v>
      </c>
      <c r="CN111" t="s">
        <v>4143</v>
      </c>
      <c r="CO111" t="s">
        <v>231</v>
      </c>
      <c r="CP111" t="s">
        <v>231</v>
      </c>
      <c r="CQ111" t="s">
        <v>231</v>
      </c>
      <c r="CR111" t="s">
        <v>231</v>
      </c>
      <c r="CS111" t="s">
        <v>3529</v>
      </c>
      <c r="CT111" t="s">
        <v>3534</v>
      </c>
      <c r="CU111" t="s">
        <v>3535</v>
      </c>
      <c r="CV111" t="s">
        <v>3536</v>
      </c>
      <c r="CW111" t="s">
        <v>3623</v>
      </c>
      <c r="CX111" t="s">
        <v>223</v>
      </c>
      <c r="CY111" t="s">
        <v>3536</v>
      </c>
      <c r="CZ111" t="s">
        <v>3624</v>
      </c>
      <c r="DA111" t="s">
        <v>3625</v>
      </c>
      <c r="DB111" t="s">
        <v>3623</v>
      </c>
      <c r="DC111" t="s">
        <v>363</v>
      </c>
      <c r="DD111" t="s">
        <v>282</v>
      </c>
      <c r="DE111" t="s">
        <v>4144</v>
      </c>
    </row>
    <row r="112" spans="1:109" ht="11.25" customHeight="1">
      <c r="A112" s="1314" t="s">
        <v>231</v>
      </c>
      <c r="B112" t="s">
        <v>231</v>
      </c>
      <c r="C112" t="s">
        <v>231</v>
      </c>
      <c r="D112" t="s">
        <v>231</v>
      </c>
      <c r="E112" t="s">
        <v>231</v>
      </c>
      <c r="F112" t="s">
        <v>231</v>
      </c>
      <c r="G112" t="s">
        <v>231</v>
      </c>
      <c r="H112" t="s">
        <v>231</v>
      </c>
      <c r="I112" t="s">
        <v>3521</v>
      </c>
      <c r="J112" t="s">
        <v>231</v>
      </c>
      <c r="K112" t="s">
        <v>231</v>
      </c>
      <c r="L112" t="s">
        <v>231</v>
      </c>
      <c r="M112" t="s">
        <v>231</v>
      </c>
      <c r="N112" t="s">
        <v>231</v>
      </c>
      <c r="O112" t="s">
        <v>231</v>
      </c>
      <c r="P112" t="s">
        <v>231</v>
      </c>
      <c r="Q112" t="s">
        <v>231</v>
      </c>
      <c r="R112" t="s">
        <v>3615</v>
      </c>
      <c r="S112" t="s">
        <v>231</v>
      </c>
      <c r="T112" t="s">
        <v>231</v>
      </c>
      <c r="U112" t="s">
        <v>101</v>
      </c>
      <c r="V112" t="s">
        <v>231</v>
      </c>
      <c r="W112" t="s">
        <v>231</v>
      </c>
      <c r="X112" t="s">
        <v>3523</v>
      </c>
      <c r="Y112" t="s">
        <v>231</v>
      </c>
      <c r="Z112" t="s">
        <v>160</v>
      </c>
      <c r="AA112" t="s">
        <v>151</v>
      </c>
      <c r="AB112" t="s">
        <v>151</v>
      </c>
      <c r="AC112" t="s">
        <v>2287</v>
      </c>
      <c r="AD112" t="s">
        <v>2287</v>
      </c>
      <c r="AE112" t="s">
        <v>2288</v>
      </c>
      <c r="AF112" t="s">
        <v>4145</v>
      </c>
      <c r="AG112" t="s">
        <v>4146</v>
      </c>
      <c r="AH112" t="s">
        <v>4147</v>
      </c>
      <c r="AI112" t="s">
        <v>3618</v>
      </c>
      <c r="AJ112" t="s">
        <v>3619</v>
      </c>
      <c r="AK112" t="s">
        <v>3858</v>
      </c>
      <c r="AL112" t="s">
        <v>3548</v>
      </c>
      <c r="AM112" t="s">
        <v>3531</v>
      </c>
      <c r="AN112" t="s">
        <v>3621</v>
      </c>
      <c r="AO112" t="s">
        <v>3790</v>
      </c>
      <c r="AP112" t="s">
        <v>231</v>
      </c>
      <c r="AQ112" t="s">
        <v>231</v>
      </c>
      <c r="AR112" t="s">
        <v>231</v>
      </c>
      <c r="AS112" t="s">
        <v>231</v>
      </c>
      <c r="AT112" t="s">
        <v>231</v>
      </c>
      <c r="AU112" t="s">
        <v>231</v>
      </c>
      <c r="AV112" t="s">
        <v>231</v>
      </c>
      <c r="AW112" t="s">
        <v>231</v>
      </c>
      <c r="AX112" t="s">
        <v>231</v>
      </c>
      <c r="AY112" t="s">
        <v>231</v>
      </c>
      <c r="AZ112" t="s">
        <v>231</v>
      </c>
      <c r="BA112" t="s">
        <v>231</v>
      </c>
      <c r="BB112" t="s">
        <v>231</v>
      </c>
      <c r="BC112" t="s">
        <v>231</v>
      </c>
      <c r="BD112" t="s">
        <v>231</v>
      </c>
      <c r="BE112" t="s">
        <v>231</v>
      </c>
      <c r="BF112" t="s">
        <v>231</v>
      </c>
      <c r="BG112" t="s">
        <v>231</v>
      </c>
      <c r="BH112" t="s">
        <v>231</v>
      </c>
      <c r="BI112" t="s">
        <v>231</v>
      </c>
      <c r="BJ112" t="s">
        <v>231</v>
      </c>
      <c r="BK112" t="s">
        <v>231</v>
      </c>
      <c r="BL112" t="s">
        <v>231</v>
      </c>
      <c r="BM112" t="s">
        <v>231</v>
      </c>
      <c r="BN112" t="s">
        <v>231</v>
      </c>
      <c r="BO112" t="s">
        <v>231</v>
      </c>
      <c r="BP112" t="s">
        <v>231</v>
      </c>
      <c r="BQ112" t="s">
        <v>231</v>
      </c>
      <c r="BR112" t="s">
        <v>231</v>
      </c>
      <c r="BS112" t="s">
        <v>231</v>
      </c>
      <c r="BT112" t="s">
        <v>231</v>
      </c>
      <c r="BU112" t="s">
        <v>231</v>
      </c>
      <c r="BV112" t="s">
        <v>231</v>
      </c>
      <c r="BW112" t="s">
        <v>231</v>
      </c>
      <c r="BX112" t="s">
        <v>231</v>
      </c>
      <c r="BY112" t="s">
        <v>231</v>
      </c>
      <c r="BZ112" t="s">
        <v>231</v>
      </c>
      <c r="CA112" t="s">
        <v>231</v>
      </c>
      <c r="CB112" t="s">
        <v>231</v>
      </c>
      <c r="CC112" t="s">
        <v>231</v>
      </c>
      <c r="CD112" t="s">
        <v>231</v>
      </c>
      <c r="CE112" t="s">
        <v>231</v>
      </c>
      <c r="CF112" t="s">
        <v>231</v>
      </c>
      <c r="CG112" t="s">
        <v>231</v>
      </c>
      <c r="CH112" t="s">
        <v>231</v>
      </c>
      <c r="CI112" t="s">
        <v>231</v>
      </c>
      <c r="CJ112" t="s">
        <v>231</v>
      </c>
      <c r="CK112" t="s">
        <v>231</v>
      </c>
      <c r="CL112" t="s">
        <v>231</v>
      </c>
      <c r="CM112" t="s">
        <v>231</v>
      </c>
      <c r="CN112" t="s">
        <v>231</v>
      </c>
      <c r="CO112" t="s">
        <v>231</v>
      </c>
      <c r="CP112" t="s">
        <v>231</v>
      </c>
      <c r="CQ112" t="s">
        <v>231</v>
      </c>
      <c r="CR112" t="s">
        <v>231</v>
      </c>
      <c r="CS112" t="s">
        <v>231</v>
      </c>
      <c r="CT112" t="s">
        <v>3534</v>
      </c>
      <c r="CU112" t="s">
        <v>3535</v>
      </c>
      <c r="CV112" t="s">
        <v>3536</v>
      </c>
      <c r="CW112" t="s">
        <v>3623</v>
      </c>
      <c r="CX112" t="s">
        <v>223</v>
      </c>
      <c r="CY112" t="s">
        <v>3536</v>
      </c>
      <c r="CZ112" t="s">
        <v>3624</v>
      </c>
      <c r="DA112" t="s">
        <v>3625</v>
      </c>
      <c r="DB112" t="s">
        <v>3623</v>
      </c>
      <c r="DC112" t="s">
        <v>363</v>
      </c>
      <c r="DD112" t="s">
        <v>282</v>
      </c>
      <c r="DE112" t="s">
        <v>4148</v>
      </c>
    </row>
    <row r="113" spans="1:109" ht="11.25" customHeight="1">
      <c r="A113" s="1314" t="s">
        <v>231</v>
      </c>
      <c r="B113" t="s">
        <v>231</v>
      </c>
      <c r="C113" t="s">
        <v>231</v>
      </c>
      <c r="D113" t="s">
        <v>231</v>
      </c>
      <c r="E113" t="s">
        <v>231</v>
      </c>
      <c r="F113" t="s">
        <v>231</v>
      </c>
      <c r="G113" t="s">
        <v>231</v>
      </c>
      <c r="H113" t="s">
        <v>231</v>
      </c>
      <c r="I113" t="s">
        <v>3521</v>
      </c>
      <c r="J113" t="s">
        <v>231</v>
      </c>
      <c r="K113" t="s">
        <v>231</v>
      </c>
      <c r="L113" t="s">
        <v>231</v>
      </c>
      <c r="M113" t="s">
        <v>231</v>
      </c>
      <c r="N113" t="s">
        <v>231</v>
      </c>
      <c r="O113" t="s">
        <v>231</v>
      </c>
      <c r="P113" t="s">
        <v>231</v>
      </c>
      <c r="Q113" t="s">
        <v>231</v>
      </c>
      <c r="R113" t="s">
        <v>3615</v>
      </c>
      <c r="S113" t="s">
        <v>231</v>
      </c>
      <c r="T113" t="s">
        <v>231</v>
      </c>
      <c r="U113" t="s">
        <v>101</v>
      </c>
      <c r="V113" t="s">
        <v>231</v>
      </c>
      <c r="W113" t="s">
        <v>231</v>
      </c>
      <c r="X113" t="s">
        <v>3523</v>
      </c>
      <c r="Y113" t="s">
        <v>231</v>
      </c>
      <c r="Z113" t="s">
        <v>160</v>
      </c>
      <c r="AA113" t="s">
        <v>151</v>
      </c>
      <c r="AB113" t="s">
        <v>151</v>
      </c>
      <c r="AC113" t="s">
        <v>2287</v>
      </c>
      <c r="AD113" t="s">
        <v>2287</v>
      </c>
      <c r="AE113" t="s">
        <v>2288</v>
      </c>
      <c r="AF113" t="s">
        <v>4145</v>
      </c>
      <c r="AG113" t="s">
        <v>4146</v>
      </c>
      <c r="AH113" t="s">
        <v>4149</v>
      </c>
      <c r="AI113" t="s">
        <v>3618</v>
      </c>
      <c r="AJ113" t="s">
        <v>3619</v>
      </c>
      <c r="AK113" t="s">
        <v>4150</v>
      </c>
      <c r="AL113" t="s">
        <v>3548</v>
      </c>
      <c r="AM113" t="s">
        <v>3531</v>
      </c>
      <c r="AN113" t="s">
        <v>3621</v>
      </c>
      <c r="AO113" t="s">
        <v>4151</v>
      </c>
      <c r="AP113" t="s">
        <v>231</v>
      </c>
      <c r="AQ113" t="s">
        <v>231</v>
      </c>
      <c r="AR113" t="s">
        <v>231</v>
      </c>
      <c r="AS113" t="s">
        <v>231</v>
      </c>
      <c r="AT113" t="s">
        <v>231</v>
      </c>
      <c r="AU113" t="s">
        <v>231</v>
      </c>
      <c r="AV113" t="s">
        <v>231</v>
      </c>
      <c r="AW113" t="s">
        <v>231</v>
      </c>
      <c r="AX113" t="s">
        <v>231</v>
      </c>
      <c r="AY113" t="s">
        <v>231</v>
      </c>
      <c r="AZ113" t="s">
        <v>231</v>
      </c>
      <c r="BA113" t="s">
        <v>231</v>
      </c>
      <c r="BB113" t="s">
        <v>231</v>
      </c>
      <c r="BC113" t="s">
        <v>231</v>
      </c>
      <c r="BD113" t="s">
        <v>231</v>
      </c>
      <c r="BE113" t="s">
        <v>231</v>
      </c>
      <c r="BF113" t="s">
        <v>231</v>
      </c>
      <c r="BG113" t="s">
        <v>231</v>
      </c>
      <c r="BH113" t="s">
        <v>231</v>
      </c>
      <c r="BI113" t="s">
        <v>231</v>
      </c>
      <c r="BJ113" t="s">
        <v>231</v>
      </c>
      <c r="BK113" t="s">
        <v>231</v>
      </c>
      <c r="BL113" t="s">
        <v>231</v>
      </c>
      <c r="BM113" t="s">
        <v>231</v>
      </c>
      <c r="BN113" t="s">
        <v>231</v>
      </c>
      <c r="BO113" t="s">
        <v>231</v>
      </c>
      <c r="BP113" t="s">
        <v>231</v>
      </c>
      <c r="BQ113" t="s">
        <v>231</v>
      </c>
      <c r="BR113" t="s">
        <v>231</v>
      </c>
      <c r="BS113" t="s">
        <v>231</v>
      </c>
      <c r="BT113" t="s">
        <v>231</v>
      </c>
      <c r="BU113" t="s">
        <v>231</v>
      </c>
      <c r="BV113" t="s">
        <v>231</v>
      </c>
      <c r="BW113" t="s">
        <v>231</v>
      </c>
      <c r="BX113" t="s">
        <v>231</v>
      </c>
      <c r="BY113" t="s">
        <v>231</v>
      </c>
      <c r="BZ113" t="s">
        <v>231</v>
      </c>
      <c r="CA113" t="s">
        <v>231</v>
      </c>
      <c r="CB113" t="s">
        <v>231</v>
      </c>
      <c r="CC113" t="s">
        <v>231</v>
      </c>
      <c r="CD113" t="s">
        <v>231</v>
      </c>
      <c r="CE113" t="s">
        <v>231</v>
      </c>
      <c r="CF113" t="s">
        <v>231</v>
      </c>
      <c r="CG113" t="s">
        <v>231</v>
      </c>
      <c r="CH113" t="s">
        <v>231</v>
      </c>
      <c r="CI113" t="s">
        <v>231</v>
      </c>
      <c r="CJ113" t="s">
        <v>231</v>
      </c>
      <c r="CK113" t="s">
        <v>231</v>
      </c>
      <c r="CL113" t="s">
        <v>231</v>
      </c>
      <c r="CM113" t="s">
        <v>231</v>
      </c>
      <c r="CN113" t="s">
        <v>231</v>
      </c>
      <c r="CO113" t="s">
        <v>231</v>
      </c>
      <c r="CP113" t="s">
        <v>231</v>
      </c>
      <c r="CQ113" t="s">
        <v>231</v>
      </c>
      <c r="CR113" t="s">
        <v>231</v>
      </c>
      <c r="CS113" t="s">
        <v>231</v>
      </c>
      <c r="CT113" t="s">
        <v>3534</v>
      </c>
      <c r="CU113" t="s">
        <v>3535</v>
      </c>
      <c r="CV113" t="s">
        <v>3536</v>
      </c>
      <c r="CW113" t="s">
        <v>3623</v>
      </c>
      <c r="CX113" t="s">
        <v>223</v>
      </c>
      <c r="CY113" t="s">
        <v>3536</v>
      </c>
      <c r="CZ113" t="s">
        <v>3624</v>
      </c>
      <c r="DA113" t="s">
        <v>3625</v>
      </c>
      <c r="DB113" t="s">
        <v>3623</v>
      </c>
      <c r="DC113" t="s">
        <v>363</v>
      </c>
      <c r="DD113" t="s">
        <v>282</v>
      </c>
      <c r="DE113" t="s">
        <v>4152</v>
      </c>
    </row>
    <row r="114" spans="1:109" ht="11.25" customHeight="1">
      <c r="A114" s="1314" t="s">
        <v>231</v>
      </c>
      <c r="B114" t="s">
        <v>231</v>
      </c>
      <c r="C114" t="s">
        <v>231</v>
      </c>
      <c r="D114" t="s">
        <v>231</v>
      </c>
      <c r="E114" t="s">
        <v>231</v>
      </c>
      <c r="F114" t="s">
        <v>231</v>
      </c>
      <c r="G114" t="s">
        <v>231</v>
      </c>
      <c r="H114" t="s">
        <v>231</v>
      </c>
      <c r="I114" t="s">
        <v>3521</v>
      </c>
      <c r="J114" t="s">
        <v>231</v>
      </c>
      <c r="K114" t="s">
        <v>231</v>
      </c>
      <c r="L114" t="s">
        <v>231</v>
      </c>
      <c r="M114" t="s">
        <v>231</v>
      </c>
      <c r="N114" t="s">
        <v>231</v>
      </c>
      <c r="O114" t="s">
        <v>231</v>
      </c>
      <c r="P114" t="s">
        <v>231</v>
      </c>
      <c r="Q114" t="s">
        <v>231</v>
      </c>
      <c r="R114" t="s">
        <v>4153</v>
      </c>
      <c r="S114" t="s">
        <v>231</v>
      </c>
      <c r="T114" t="s">
        <v>231</v>
      </c>
      <c r="U114" t="s">
        <v>101</v>
      </c>
      <c r="V114" t="s">
        <v>231</v>
      </c>
      <c r="W114" t="s">
        <v>231</v>
      </c>
      <c r="X114" t="s">
        <v>3523</v>
      </c>
      <c r="Y114" t="s">
        <v>231</v>
      </c>
      <c r="Z114" t="s">
        <v>160</v>
      </c>
      <c r="AA114" t="s">
        <v>151</v>
      </c>
      <c r="AB114" t="s">
        <v>151</v>
      </c>
      <c r="AC114" t="s">
        <v>2262</v>
      </c>
      <c r="AD114" t="s">
        <v>2262</v>
      </c>
      <c r="AE114" t="s">
        <v>2264</v>
      </c>
      <c r="AF114" t="s">
        <v>3524</v>
      </c>
      <c r="AG114" t="s">
        <v>3525</v>
      </c>
      <c r="AH114" t="s">
        <v>4154</v>
      </c>
      <c r="AI114" t="s">
        <v>3575</v>
      </c>
      <c r="AJ114" t="s">
        <v>4155</v>
      </c>
      <c r="AK114" t="s">
        <v>3641</v>
      </c>
      <c r="AL114" t="s">
        <v>3648</v>
      </c>
      <c r="AM114" t="s">
        <v>3531</v>
      </c>
      <c r="AN114" t="s">
        <v>4156</v>
      </c>
      <c r="AO114" t="s">
        <v>4157</v>
      </c>
      <c r="AP114" t="s">
        <v>231</v>
      </c>
      <c r="AQ114" t="s">
        <v>231</v>
      </c>
      <c r="AR114" t="s">
        <v>231</v>
      </c>
      <c r="AS114" t="s">
        <v>231</v>
      </c>
      <c r="AT114" t="s">
        <v>231</v>
      </c>
      <c r="AU114" t="s">
        <v>231</v>
      </c>
      <c r="AV114" t="s">
        <v>231</v>
      </c>
      <c r="AW114" t="s">
        <v>231</v>
      </c>
      <c r="AX114" t="s">
        <v>231</v>
      </c>
      <c r="AY114" t="s">
        <v>231</v>
      </c>
      <c r="AZ114" t="s">
        <v>231</v>
      </c>
      <c r="BA114" t="s">
        <v>231</v>
      </c>
      <c r="BB114" t="s">
        <v>231</v>
      </c>
      <c r="BC114" t="s">
        <v>231</v>
      </c>
      <c r="BD114" t="s">
        <v>231</v>
      </c>
      <c r="BE114" t="s">
        <v>231</v>
      </c>
      <c r="BF114" t="s">
        <v>231</v>
      </c>
      <c r="BG114" t="s">
        <v>231</v>
      </c>
      <c r="BH114" t="s">
        <v>231</v>
      </c>
      <c r="BI114" t="s">
        <v>231</v>
      </c>
      <c r="BJ114" t="s">
        <v>231</v>
      </c>
      <c r="BK114" t="s">
        <v>231</v>
      </c>
      <c r="BL114" t="s">
        <v>231</v>
      </c>
      <c r="BM114" t="s">
        <v>231</v>
      </c>
      <c r="BN114" t="s">
        <v>231</v>
      </c>
      <c r="BO114" t="s">
        <v>231</v>
      </c>
      <c r="BP114" t="s">
        <v>231</v>
      </c>
      <c r="BQ114" t="s">
        <v>231</v>
      </c>
      <c r="BR114" t="s">
        <v>231</v>
      </c>
      <c r="BS114" t="s">
        <v>231</v>
      </c>
      <c r="BT114" t="s">
        <v>231</v>
      </c>
      <c r="BU114" t="s">
        <v>231</v>
      </c>
      <c r="BV114" t="s">
        <v>231</v>
      </c>
      <c r="BW114" t="s">
        <v>231</v>
      </c>
      <c r="BX114" t="s">
        <v>231</v>
      </c>
      <c r="BY114" t="s">
        <v>231</v>
      </c>
      <c r="BZ114" t="s">
        <v>231</v>
      </c>
      <c r="CA114" t="s">
        <v>231</v>
      </c>
      <c r="CB114" t="s">
        <v>231</v>
      </c>
      <c r="CC114" t="s">
        <v>231</v>
      </c>
      <c r="CD114" t="s">
        <v>231</v>
      </c>
      <c r="CE114" t="s">
        <v>231</v>
      </c>
      <c r="CF114" t="s">
        <v>231</v>
      </c>
      <c r="CG114" t="s">
        <v>231</v>
      </c>
      <c r="CH114" t="s">
        <v>231</v>
      </c>
      <c r="CI114" t="s">
        <v>231</v>
      </c>
      <c r="CJ114" t="s">
        <v>231</v>
      </c>
      <c r="CK114" t="s">
        <v>231</v>
      </c>
      <c r="CL114" t="s">
        <v>231</v>
      </c>
      <c r="CM114" t="s">
        <v>231</v>
      </c>
      <c r="CN114" t="s">
        <v>231</v>
      </c>
      <c r="CO114" t="s">
        <v>231</v>
      </c>
      <c r="CP114" t="s">
        <v>231</v>
      </c>
      <c r="CQ114" t="s">
        <v>231</v>
      </c>
      <c r="CR114" t="s">
        <v>231</v>
      </c>
      <c r="CS114" t="s">
        <v>231</v>
      </c>
      <c r="CT114" t="s">
        <v>3534</v>
      </c>
      <c r="CU114" t="s">
        <v>3535</v>
      </c>
      <c r="CV114" t="s">
        <v>3536</v>
      </c>
      <c r="CW114" t="s">
        <v>3537</v>
      </c>
      <c r="CX114" t="s">
        <v>223</v>
      </c>
      <c r="CY114" t="s">
        <v>3536</v>
      </c>
      <c r="CZ114" t="s">
        <v>3538</v>
      </c>
      <c r="DA114" t="s">
        <v>3539</v>
      </c>
      <c r="DB114" t="s">
        <v>3537</v>
      </c>
      <c r="DC114" t="s">
        <v>363</v>
      </c>
      <c r="DD114" t="s">
        <v>282</v>
      </c>
      <c r="DE114" t="s">
        <v>4158</v>
      </c>
    </row>
    <row r="115" spans="1:109" ht="11.25" customHeight="1">
      <c r="A115" s="1314" t="s">
        <v>231</v>
      </c>
      <c r="B115" t="s">
        <v>231</v>
      </c>
      <c r="C115" t="s">
        <v>231</v>
      </c>
      <c r="D115" t="s">
        <v>231</v>
      </c>
      <c r="E115" t="s">
        <v>231</v>
      </c>
      <c r="F115" t="s">
        <v>231</v>
      </c>
      <c r="G115" t="s">
        <v>231</v>
      </c>
      <c r="H115" t="s">
        <v>231</v>
      </c>
      <c r="I115" t="s">
        <v>3521</v>
      </c>
      <c r="J115" t="s">
        <v>231</v>
      </c>
      <c r="K115" t="s">
        <v>231</v>
      </c>
      <c r="L115" t="s">
        <v>231</v>
      </c>
      <c r="M115" t="s">
        <v>231</v>
      </c>
      <c r="N115" t="s">
        <v>231</v>
      </c>
      <c r="O115" t="s">
        <v>231</v>
      </c>
      <c r="P115" t="s">
        <v>231</v>
      </c>
      <c r="Q115" t="s">
        <v>231</v>
      </c>
      <c r="R115" t="s">
        <v>4159</v>
      </c>
      <c r="S115" t="s">
        <v>231</v>
      </c>
      <c r="T115" t="s">
        <v>231</v>
      </c>
      <c r="U115" t="s">
        <v>101</v>
      </c>
      <c r="V115" t="s">
        <v>231</v>
      </c>
      <c r="W115" t="s">
        <v>231</v>
      </c>
      <c r="X115" t="s">
        <v>3523</v>
      </c>
      <c r="Y115" t="s">
        <v>231</v>
      </c>
      <c r="Z115" t="s">
        <v>160</v>
      </c>
      <c r="AA115" t="s">
        <v>151</v>
      </c>
      <c r="AB115" t="s">
        <v>151</v>
      </c>
      <c r="AC115" t="s">
        <v>2262</v>
      </c>
      <c r="AD115" t="s">
        <v>2262</v>
      </c>
      <c r="AE115" t="s">
        <v>2264</v>
      </c>
      <c r="AF115" t="s">
        <v>3524</v>
      </c>
      <c r="AG115" t="s">
        <v>3525</v>
      </c>
      <c r="AH115" t="s">
        <v>4160</v>
      </c>
      <c r="AI115" t="s">
        <v>3575</v>
      </c>
      <c r="AJ115" t="s">
        <v>4155</v>
      </c>
      <c r="AK115" t="s">
        <v>3641</v>
      </c>
      <c r="AL115" t="s">
        <v>3648</v>
      </c>
      <c r="AM115" t="s">
        <v>3531</v>
      </c>
      <c r="AN115" t="s">
        <v>4156</v>
      </c>
      <c r="AO115" t="s">
        <v>4161</v>
      </c>
      <c r="AP115" t="s">
        <v>231</v>
      </c>
      <c r="AQ115" t="s">
        <v>231</v>
      </c>
      <c r="AR115" t="s">
        <v>231</v>
      </c>
      <c r="AS115" t="s">
        <v>231</v>
      </c>
      <c r="AT115" t="s">
        <v>231</v>
      </c>
      <c r="AU115" t="s">
        <v>231</v>
      </c>
      <c r="AV115" t="s">
        <v>231</v>
      </c>
      <c r="AW115" t="s">
        <v>231</v>
      </c>
      <c r="AX115" t="s">
        <v>231</v>
      </c>
      <c r="AY115" t="s">
        <v>231</v>
      </c>
      <c r="AZ115" t="s">
        <v>231</v>
      </c>
      <c r="BA115" t="s">
        <v>231</v>
      </c>
      <c r="BB115" t="s">
        <v>231</v>
      </c>
      <c r="BC115" t="s">
        <v>231</v>
      </c>
      <c r="BD115" t="s">
        <v>231</v>
      </c>
      <c r="BE115" t="s">
        <v>231</v>
      </c>
      <c r="BF115" t="s">
        <v>231</v>
      </c>
      <c r="BG115" t="s">
        <v>231</v>
      </c>
      <c r="BH115" t="s">
        <v>231</v>
      </c>
      <c r="BI115" t="s">
        <v>231</v>
      </c>
      <c r="BJ115" t="s">
        <v>231</v>
      </c>
      <c r="BK115" t="s">
        <v>231</v>
      </c>
      <c r="BL115" t="s">
        <v>231</v>
      </c>
      <c r="BM115" t="s">
        <v>231</v>
      </c>
      <c r="BN115" t="s">
        <v>231</v>
      </c>
      <c r="BO115" t="s">
        <v>231</v>
      </c>
      <c r="BP115" t="s">
        <v>231</v>
      </c>
      <c r="BQ115" t="s">
        <v>231</v>
      </c>
      <c r="BR115" t="s">
        <v>231</v>
      </c>
      <c r="BS115" t="s">
        <v>231</v>
      </c>
      <c r="BT115" t="s">
        <v>231</v>
      </c>
      <c r="BU115" t="s">
        <v>231</v>
      </c>
      <c r="BV115" t="s">
        <v>231</v>
      </c>
      <c r="BW115" t="s">
        <v>231</v>
      </c>
      <c r="BX115" t="s">
        <v>231</v>
      </c>
      <c r="BY115" t="s">
        <v>231</v>
      </c>
      <c r="BZ115" t="s">
        <v>231</v>
      </c>
      <c r="CA115" t="s">
        <v>231</v>
      </c>
      <c r="CB115" t="s">
        <v>231</v>
      </c>
      <c r="CC115" t="s">
        <v>231</v>
      </c>
      <c r="CD115" t="s">
        <v>231</v>
      </c>
      <c r="CE115" t="s">
        <v>231</v>
      </c>
      <c r="CF115" t="s">
        <v>231</v>
      </c>
      <c r="CG115" t="s">
        <v>231</v>
      </c>
      <c r="CH115" t="s">
        <v>231</v>
      </c>
      <c r="CI115" t="s">
        <v>231</v>
      </c>
      <c r="CJ115" t="s">
        <v>231</v>
      </c>
      <c r="CK115" t="s">
        <v>231</v>
      </c>
      <c r="CL115" t="s">
        <v>231</v>
      </c>
      <c r="CM115" t="s">
        <v>231</v>
      </c>
      <c r="CN115" t="s">
        <v>231</v>
      </c>
      <c r="CO115" t="s">
        <v>231</v>
      </c>
      <c r="CP115" t="s">
        <v>231</v>
      </c>
      <c r="CQ115" t="s">
        <v>231</v>
      </c>
      <c r="CR115" t="s">
        <v>231</v>
      </c>
      <c r="CS115" t="s">
        <v>231</v>
      </c>
      <c r="CT115" t="s">
        <v>3534</v>
      </c>
      <c r="CU115" t="s">
        <v>3535</v>
      </c>
      <c r="CV115" t="s">
        <v>3536</v>
      </c>
      <c r="CW115" t="s">
        <v>3537</v>
      </c>
      <c r="CX115" t="s">
        <v>223</v>
      </c>
      <c r="CY115" t="s">
        <v>3536</v>
      </c>
      <c r="CZ115" t="s">
        <v>3538</v>
      </c>
      <c r="DA115" t="s">
        <v>3539</v>
      </c>
      <c r="DB115" t="s">
        <v>3537</v>
      </c>
      <c r="DC115" t="s">
        <v>363</v>
      </c>
      <c r="DD115" t="s">
        <v>282</v>
      </c>
      <c r="DE115" t="s">
        <v>4162</v>
      </c>
    </row>
    <row r="116" spans="1:109" ht="11.25" customHeight="1">
      <c r="A116" s="1314" t="s">
        <v>231</v>
      </c>
      <c r="B116" t="s">
        <v>231</v>
      </c>
      <c r="C116" t="s">
        <v>231</v>
      </c>
      <c r="D116" t="s">
        <v>231</v>
      </c>
      <c r="E116" t="s">
        <v>231</v>
      </c>
      <c r="F116" t="s">
        <v>231</v>
      </c>
      <c r="G116" t="s">
        <v>231</v>
      </c>
      <c r="H116" t="s">
        <v>231</v>
      </c>
      <c r="I116" t="s">
        <v>3521</v>
      </c>
      <c r="J116" t="s">
        <v>231</v>
      </c>
      <c r="K116" t="s">
        <v>231</v>
      </c>
      <c r="L116" t="s">
        <v>231</v>
      </c>
      <c r="M116" t="s">
        <v>231</v>
      </c>
      <c r="N116" t="s">
        <v>231</v>
      </c>
      <c r="O116" t="s">
        <v>231</v>
      </c>
      <c r="P116" t="s">
        <v>231</v>
      </c>
      <c r="Q116" t="s">
        <v>231</v>
      </c>
      <c r="R116" t="s">
        <v>3651</v>
      </c>
      <c r="S116" t="s">
        <v>231</v>
      </c>
      <c r="T116" t="s">
        <v>231</v>
      </c>
      <c r="U116" t="s">
        <v>101</v>
      </c>
      <c r="V116" t="s">
        <v>231</v>
      </c>
      <c r="W116" t="s">
        <v>231</v>
      </c>
      <c r="X116" t="s">
        <v>3523</v>
      </c>
      <c r="Y116" t="s">
        <v>231</v>
      </c>
      <c r="Z116" t="s">
        <v>160</v>
      </c>
      <c r="AA116" t="s">
        <v>151</v>
      </c>
      <c r="AB116" t="s">
        <v>151</v>
      </c>
      <c r="AC116" t="s">
        <v>2283</v>
      </c>
      <c r="AD116" t="s">
        <v>2283</v>
      </c>
      <c r="AE116" t="s">
        <v>2284</v>
      </c>
      <c r="AF116" t="s">
        <v>3963</v>
      </c>
      <c r="AG116" t="s">
        <v>3964</v>
      </c>
      <c r="AH116" t="s">
        <v>3556</v>
      </c>
      <c r="AI116" t="s">
        <v>1679</v>
      </c>
      <c r="AJ116" t="s">
        <v>3546</v>
      </c>
      <c r="AK116" t="s">
        <v>3547</v>
      </c>
      <c r="AL116" t="s">
        <v>4163</v>
      </c>
      <c r="AM116" t="s">
        <v>3531</v>
      </c>
      <c r="AN116" t="s">
        <v>3549</v>
      </c>
      <c r="AO116" t="s">
        <v>3812</v>
      </c>
      <c r="AP116" t="s">
        <v>231</v>
      </c>
      <c r="AQ116" t="s">
        <v>231</v>
      </c>
      <c r="AR116" t="s">
        <v>231</v>
      </c>
      <c r="AS116" t="s">
        <v>231</v>
      </c>
      <c r="AT116" t="s">
        <v>231</v>
      </c>
      <c r="AU116" t="s">
        <v>231</v>
      </c>
      <c r="AV116" t="s">
        <v>231</v>
      </c>
      <c r="AW116" t="s">
        <v>231</v>
      </c>
      <c r="AX116" t="s">
        <v>231</v>
      </c>
      <c r="AY116" t="s">
        <v>231</v>
      </c>
      <c r="AZ116" t="s">
        <v>231</v>
      </c>
      <c r="BA116" t="s">
        <v>231</v>
      </c>
      <c r="BB116" t="s">
        <v>231</v>
      </c>
      <c r="BC116" t="s">
        <v>231</v>
      </c>
      <c r="BD116" t="s">
        <v>231</v>
      </c>
      <c r="BE116" t="s">
        <v>231</v>
      </c>
      <c r="BF116" t="s">
        <v>231</v>
      </c>
      <c r="BG116" t="s">
        <v>231</v>
      </c>
      <c r="BH116" t="s">
        <v>231</v>
      </c>
      <c r="BI116" t="s">
        <v>231</v>
      </c>
      <c r="BJ116" t="s">
        <v>231</v>
      </c>
      <c r="BK116" t="s">
        <v>231</v>
      </c>
      <c r="BL116" t="s">
        <v>231</v>
      </c>
      <c r="BM116" t="s">
        <v>231</v>
      </c>
      <c r="BN116" t="s">
        <v>231</v>
      </c>
      <c r="BO116" t="s">
        <v>231</v>
      </c>
      <c r="BP116" t="s">
        <v>231</v>
      </c>
      <c r="BQ116" t="s">
        <v>231</v>
      </c>
      <c r="BR116" t="s">
        <v>231</v>
      </c>
      <c r="BS116" t="s">
        <v>231</v>
      </c>
      <c r="BT116" t="s">
        <v>231</v>
      </c>
      <c r="BU116" t="s">
        <v>231</v>
      </c>
      <c r="BV116" t="s">
        <v>231</v>
      </c>
      <c r="BW116" t="s">
        <v>231</v>
      </c>
      <c r="BX116" t="s">
        <v>231</v>
      </c>
      <c r="BY116" t="s">
        <v>231</v>
      </c>
      <c r="BZ116" t="s">
        <v>231</v>
      </c>
      <c r="CA116" t="s">
        <v>231</v>
      </c>
      <c r="CB116" t="s">
        <v>231</v>
      </c>
      <c r="CC116" t="s">
        <v>231</v>
      </c>
      <c r="CD116" t="s">
        <v>231</v>
      </c>
      <c r="CE116" t="s">
        <v>231</v>
      </c>
      <c r="CF116" t="s">
        <v>231</v>
      </c>
      <c r="CG116" t="s">
        <v>231</v>
      </c>
      <c r="CH116" t="s">
        <v>231</v>
      </c>
      <c r="CI116" t="s">
        <v>231</v>
      </c>
      <c r="CJ116" t="s">
        <v>231</v>
      </c>
      <c r="CK116" t="s">
        <v>231</v>
      </c>
      <c r="CL116" t="s">
        <v>231</v>
      </c>
      <c r="CM116" t="s">
        <v>231</v>
      </c>
      <c r="CN116" t="s">
        <v>231</v>
      </c>
      <c r="CO116" t="s">
        <v>231</v>
      </c>
      <c r="CP116" t="s">
        <v>231</v>
      </c>
      <c r="CQ116" t="s">
        <v>231</v>
      </c>
      <c r="CR116" t="s">
        <v>231</v>
      </c>
      <c r="CS116" t="s">
        <v>231</v>
      </c>
      <c r="CT116" t="s">
        <v>3534</v>
      </c>
      <c r="CU116" t="s">
        <v>3535</v>
      </c>
      <c r="CV116" t="s">
        <v>3536</v>
      </c>
      <c r="CW116" t="s">
        <v>3551</v>
      </c>
      <c r="CX116" t="s">
        <v>223</v>
      </c>
      <c r="CY116" t="s">
        <v>3536</v>
      </c>
      <c r="CZ116" t="s">
        <v>3552</v>
      </c>
      <c r="DA116" t="s">
        <v>3553</v>
      </c>
      <c r="DB116" t="s">
        <v>3551</v>
      </c>
      <c r="DC116" t="s">
        <v>363</v>
      </c>
      <c r="DD116" t="s">
        <v>282</v>
      </c>
      <c r="DE116" t="s">
        <v>4164</v>
      </c>
    </row>
    <row r="117" spans="1:109" ht="11.25" customHeight="1">
      <c r="A117" s="1314" t="s">
        <v>231</v>
      </c>
      <c r="B117" t="s">
        <v>231</v>
      </c>
      <c r="C117" t="s">
        <v>231</v>
      </c>
      <c r="D117" t="s">
        <v>231</v>
      </c>
      <c r="E117" t="s">
        <v>231</v>
      </c>
      <c r="F117" t="s">
        <v>231</v>
      </c>
      <c r="G117" t="s">
        <v>231</v>
      </c>
      <c r="H117" t="s">
        <v>231</v>
      </c>
      <c r="I117" t="s">
        <v>3521</v>
      </c>
      <c r="J117" t="s">
        <v>231</v>
      </c>
      <c r="K117" t="s">
        <v>231</v>
      </c>
      <c r="L117" t="s">
        <v>231</v>
      </c>
      <c r="M117" t="s">
        <v>231</v>
      </c>
      <c r="N117" t="s">
        <v>231</v>
      </c>
      <c r="O117" t="s">
        <v>231</v>
      </c>
      <c r="P117" t="s">
        <v>231</v>
      </c>
      <c r="Q117" t="s">
        <v>231</v>
      </c>
      <c r="R117" t="s">
        <v>3651</v>
      </c>
      <c r="S117" t="s">
        <v>231</v>
      </c>
      <c r="T117" t="s">
        <v>231</v>
      </c>
      <c r="U117" t="s">
        <v>101</v>
      </c>
      <c r="V117" t="s">
        <v>231</v>
      </c>
      <c r="W117" t="s">
        <v>231</v>
      </c>
      <c r="X117" t="s">
        <v>3523</v>
      </c>
      <c r="Y117" t="s">
        <v>231</v>
      </c>
      <c r="Z117" t="s">
        <v>160</v>
      </c>
      <c r="AA117" t="s">
        <v>151</v>
      </c>
      <c r="AB117" t="s">
        <v>151</v>
      </c>
      <c r="AC117" t="s">
        <v>2283</v>
      </c>
      <c r="AD117" t="s">
        <v>2283</v>
      </c>
      <c r="AE117" t="s">
        <v>2284</v>
      </c>
      <c r="AF117" t="s">
        <v>3963</v>
      </c>
      <c r="AG117" t="s">
        <v>3964</v>
      </c>
      <c r="AH117" t="s">
        <v>3556</v>
      </c>
      <c r="AI117" t="s">
        <v>4165</v>
      </c>
      <c r="AJ117" t="s">
        <v>3546</v>
      </c>
      <c r="AK117" t="s">
        <v>3547</v>
      </c>
      <c r="AL117" t="s">
        <v>4163</v>
      </c>
      <c r="AM117" t="s">
        <v>3531</v>
      </c>
      <c r="AN117" t="s">
        <v>3549</v>
      </c>
      <c r="AO117" t="s">
        <v>3812</v>
      </c>
      <c r="AP117" t="s">
        <v>231</v>
      </c>
      <c r="AQ117" t="s">
        <v>231</v>
      </c>
      <c r="AR117" t="s">
        <v>231</v>
      </c>
      <c r="AS117" t="s">
        <v>231</v>
      </c>
      <c r="AT117" t="s">
        <v>231</v>
      </c>
      <c r="AU117" t="s">
        <v>231</v>
      </c>
      <c r="AV117" t="s">
        <v>231</v>
      </c>
      <c r="AW117" t="s">
        <v>231</v>
      </c>
      <c r="AX117" t="s">
        <v>231</v>
      </c>
      <c r="AY117" t="s">
        <v>231</v>
      </c>
      <c r="AZ117" t="s">
        <v>231</v>
      </c>
      <c r="BA117" t="s">
        <v>231</v>
      </c>
      <c r="BB117" t="s">
        <v>231</v>
      </c>
      <c r="BC117" t="s">
        <v>231</v>
      </c>
      <c r="BD117" t="s">
        <v>231</v>
      </c>
      <c r="BE117" t="s">
        <v>231</v>
      </c>
      <c r="BF117" t="s">
        <v>231</v>
      </c>
      <c r="BG117" t="s">
        <v>231</v>
      </c>
      <c r="BH117" t="s">
        <v>231</v>
      </c>
      <c r="BI117" t="s">
        <v>231</v>
      </c>
      <c r="BJ117" t="s">
        <v>231</v>
      </c>
      <c r="BK117" t="s">
        <v>231</v>
      </c>
      <c r="BL117" t="s">
        <v>231</v>
      </c>
      <c r="BM117" t="s">
        <v>231</v>
      </c>
      <c r="BN117" t="s">
        <v>231</v>
      </c>
      <c r="BO117" t="s">
        <v>231</v>
      </c>
      <c r="BP117" t="s">
        <v>231</v>
      </c>
      <c r="BQ117" t="s">
        <v>231</v>
      </c>
      <c r="BR117" t="s">
        <v>231</v>
      </c>
      <c r="BS117" t="s">
        <v>231</v>
      </c>
      <c r="BT117" t="s">
        <v>231</v>
      </c>
      <c r="BU117" t="s">
        <v>231</v>
      </c>
      <c r="BV117" t="s">
        <v>231</v>
      </c>
      <c r="BW117" t="s">
        <v>231</v>
      </c>
      <c r="BX117" t="s">
        <v>231</v>
      </c>
      <c r="BY117" t="s">
        <v>231</v>
      </c>
      <c r="BZ117" t="s">
        <v>231</v>
      </c>
      <c r="CA117" t="s">
        <v>231</v>
      </c>
      <c r="CB117" t="s">
        <v>231</v>
      </c>
      <c r="CC117" t="s">
        <v>231</v>
      </c>
      <c r="CD117" t="s">
        <v>231</v>
      </c>
      <c r="CE117" t="s">
        <v>231</v>
      </c>
      <c r="CF117" t="s">
        <v>231</v>
      </c>
      <c r="CG117" t="s">
        <v>231</v>
      </c>
      <c r="CH117" t="s">
        <v>231</v>
      </c>
      <c r="CI117" t="s">
        <v>231</v>
      </c>
      <c r="CJ117" t="s">
        <v>231</v>
      </c>
      <c r="CK117" t="s">
        <v>231</v>
      </c>
      <c r="CL117" t="s">
        <v>231</v>
      </c>
      <c r="CM117" t="s">
        <v>231</v>
      </c>
      <c r="CN117" t="s">
        <v>231</v>
      </c>
      <c r="CO117" t="s">
        <v>231</v>
      </c>
      <c r="CP117" t="s">
        <v>231</v>
      </c>
      <c r="CQ117" t="s">
        <v>231</v>
      </c>
      <c r="CR117" t="s">
        <v>231</v>
      </c>
      <c r="CS117" t="s">
        <v>231</v>
      </c>
      <c r="CT117" t="s">
        <v>3534</v>
      </c>
      <c r="CU117" t="s">
        <v>3535</v>
      </c>
      <c r="CV117" t="s">
        <v>3536</v>
      </c>
      <c r="CW117" t="s">
        <v>3551</v>
      </c>
      <c r="CX117" t="s">
        <v>223</v>
      </c>
      <c r="CY117" t="s">
        <v>3536</v>
      </c>
      <c r="CZ117" t="s">
        <v>3552</v>
      </c>
      <c r="DA117" t="s">
        <v>3553</v>
      </c>
      <c r="DB117" t="s">
        <v>3551</v>
      </c>
      <c r="DC117" t="s">
        <v>363</v>
      </c>
      <c r="DD117" t="s">
        <v>282</v>
      </c>
      <c r="DE117" t="s">
        <v>4166</v>
      </c>
    </row>
    <row r="118" spans="1:109" ht="11.25" customHeight="1">
      <c r="A118" s="1314" t="s">
        <v>231</v>
      </c>
      <c r="B118" t="s">
        <v>231</v>
      </c>
      <c r="C118" t="s">
        <v>231</v>
      </c>
      <c r="D118" t="s">
        <v>231</v>
      </c>
      <c r="E118" t="s">
        <v>231</v>
      </c>
      <c r="F118" t="s">
        <v>231</v>
      </c>
      <c r="G118" t="s">
        <v>231</v>
      </c>
      <c r="H118" t="s">
        <v>231</v>
      </c>
      <c r="I118" t="s">
        <v>3521</v>
      </c>
      <c r="J118" t="s">
        <v>231</v>
      </c>
      <c r="K118" t="s">
        <v>231</v>
      </c>
      <c r="L118" t="s">
        <v>231</v>
      </c>
      <c r="M118" t="s">
        <v>231</v>
      </c>
      <c r="N118" t="s">
        <v>231</v>
      </c>
      <c r="O118" t="s">
        <v>231</v>
      </c>
      <c r="P118" t="s">
        <v>231</v>
      </c>
      <c r="Q118" t="s">
        <v>231</v>
      </c>
      <c r="R118" t="s">
        <v>3615</v>
      </c>
      <c r="S118" t="s">
        <v>231</v>
      </c>
      <c r="T118" t="s">
        <v>231</v>
      </c>
      <c r="U118" t="s">
        <v>101</v>
      </c>
      <c r="V118" t="s">
        <v>231</v>
      </c>
      <c r="W118" t="s">
        <v>231</v>
      </c>
      <c r="X118" t="s">
        <v>3523</v>
      </c>
      <c r="Y118" t="s">
        <v>231</v>
      </c>
      <c r="Z118" t="s">
        <v>160</v>
      </c>
      <c r="AA118" t="s">
        <v>151</v>
      </c>
      <c r="AB118" t="s">
        <v>151</v>
      </c>
      <c r="AC118" t="s">
        <v>2289</v>
      </c>
      <c r="AD118" t="s">
        <v>2289</v>
      </c>
      <c r="AE118" t="s">
        <v>2290</v>
      </c>
      <c r="AF118" t="s">
        <v>4167</v>
      </c>
      <c r="AG118" t="s">
        <v>4168</v>
      </c>
      <c r="AH118" t="s">
        <v>3818</v>
      </c>
      <c r="AI118" t="s">
        <v>3774</v>
      </c>
      <c r="AJ118" t="s">
        <v>3594</v>
      </c>
      <c r="AK118" t="s">
        <v>3716</v>
      </c>
      <c r="AL118" t="s">
        <v>3548</v>
      </c>
      <c r="AM118" t="s">
        <v>3531</v>
      </c>
      <c r="AN118" t="s">
        <v>3595</v>
      </c>
      <c r="AO118" t="s">
        <v>3796</v>
      </c>
      <c r="AP118" t="s">
        <v>231</v>
      </c>
      <c r="AQ118" t="s">
        <v>231</v>
      </c>
      <c r="AR118" t="s">
        <v>231</v>
      </c>
      <c r="AS118" t="s">
        <v>231</v>
      </c>
      <c r="AT118" t="s">
        <v>231</v>
      </c>
      <c r="AU118" t="s">
        <v>231</v>
      </c>
      <c r="AV118" t="s">
        <v>231</v>
      </c>
      <c r="AW118" t="s">
        <v>231</v>
      </c>
      <c r="AX118" t="s">
        <v>231</v>
      </c>
      <c r="AY118" t="s">
        <v>231</v>
      </c>
      <c r="AZ118" t="s">
        <v>231</v>
      </c>
      <c r="BA118" t="s">
        <v>231</v>
      </c>
      <c r="BB118" t="s">
        <v>231</v>
      </c>
      <c r="BC118" t="s">
        <v>231</v>
      </c>
      <c r="BD118" t="s">
        <v>231</v>
      </c>
      <c r="BE118" t="s">
        <v>231</v>
      </c>
      <c r="BF118" t="s">
        <v>231</v>
      </c>
      <c r="BG118" t="s">
        <v>231</v>
      </c>
      <c r="BH118" t="s">
        <v>231</v>
      </c>
      <c r="BI118" t="s">
        <v>231</v>
      </c>
      <c r="BJ118" t="s">
        <v>231</v>
      </c>
      <c r="BK118" t="s">
        <v>231</v>
      </c>
      <c r="BL118" t="s">
        <v>231</v>
      </c>
      <c r="BM118" t="s">
        <v>231</v>
      </c>
      <c r="BN118" t="s">
        <v>231</v>
      </c>
      <c r="BO118" t="s">
        <v>231</v>
      </c>
      <c r="BP118" t="s">
        <v>231</v>
      </c>
      <c r="BQ118" t="s">
        <v>231</v>
      </c>
      <c r="BR118" t="s">
        <v>231</v>
      </c>
      <c r="BS118" t="s">
        <v>231</v>
      </c>
      <c r="BT118" t="s">
        <v>231</v>
      </c>
      <c r="BU118" t="s">
        <v>231</v>
      </c>
      <c r="BV118" t="s">
        <v>231</v>
      </c>
      <c r="BW118" t="s">
        <v>231</v>
      </c>
      <c r="BX118" t="s">
        <v>231</v>
      </c>
      <c r="BY118" t="s">
        <v>231</v>
      </c>
      <c r="BZ118" t="s">
        <v>231</v>
      </c>
      <c r="CA118" t="s">
        <v>231</v>
      </c>
      <c r="CB118" t="s">
        <v>231</v>
      </c>
      <c r="CC118" t="s">
        <v>231</v>
      </c>
      <c r="CD118" t="s">
        <v>231</v>
      </c>
      <c r="CE118" t="s">
        <v>231</v>
      </c>
      <c r="CF118" t="s">
        <v>231</v>
      </c>
      <c r="CG118" t="s">
        <v>231</v>
      </c>
      <c r="CH118" t="s">
        <v>231</v>
      </c>
      <c r="CI118" t="s">
        <v>231</v>
      </c>
      <c r="CJ118" t="s">
        <v>231</v>
      </c>
      <c r="CK118" t="s">
        <v>231</v>
      </c>
      <c r="CL118" t="s">
        <v>231</v>
      </c>
      <c r="CM118" t="s">
        <v>231</v>
      </c>
      <c r="CN118" t="s">
        <v>231</v>
      </c>
      <c r="CO118" t="s">
        <v>231</v>
      </c>
      <c r="CP118" t="s">
        <v>231</v>
      </c>
      <c r="CQ118" t="s">
        <v>231</v>
      </c>
      <c r="CR118" t="s">
        <v>231</v>
      </c>
      <c r="CS118" t="s">
        <v>231</v>
      </c>
      <c r="CT118" t="s">
        <v>3534</v>
      </c>
      <c r="CU118" t="s">
        <v>3535</v>
      </c>
      <c r="CV118" t="s">
        <v>3536</v>
      </c>
      <c r="CW118" t="s">
        <v>3589</v>
      </c>
      <c r="CX118" t="s">
        <v>223</v>
      </c>
      <c r="CY118" t="s">
        <v>3536</v>
      </c>
      <c r="CZ118" t="s">
        <v>3590</v>
      </c>
      <c r="DA118" t="s">
        <v>3591</v>
      </c>
      <c r="DB118" t="s">
        <v>3589</v>
      </c>
      <c r="DC118" t="s">
        <v>363</v>
      </c>
      <c r="DD118" t="s">
        <v>282</v>
      </c>
      <c r="DE118" t="s">
        <v>4169</v>
      </c>
    </row>
    <row r="119" spans="1:109" ht="11.25" customHeight="1">
      <c r="A119" s="1314" t="s">
        <v>231</v>
      </c>
      <c r="B119" t="s">
        <v>231</v>
      </c>
      <c r="C119" t="s">
        <v>231</v>
      </c>
      <c r="D119" t="s">
        <v>231</v>
      </c>
      <c r="E119" t="s">
        <v>231</v>
      </c>
      <c r="F119" t="s">
        <v>231</v>
      </c>
      <c r="G119" t="s">
        <v>231</v>
      </c>
      <c r="H119" t="s">
        <v>231</v>
      </c>
      <c r="I119" t="s">
        <v>3521</v>
      </c>
      <c r="J119" t="s">
        <v>231</v>
      </c>
      <c r="K119" t="s">
        <v>231</v>
      </c>
      <c r="L119" t="s">
        <v>231</v>
      </c>
      <c r="M119" t="s">
        <v>231</v>
      </c>
      <c r="N119" t="s">
        <v>231</v>
      </c>
      <c r="O119" t="s">
        <v>231</v>
      </c>
      <c r="P119" t="s">
        <v>231</v>
      </c>
      <c r="Q119" t="s">
        <v>231</v>
      </c>
      <c r="R119" t="s">
        <v>3615</v>
      </c>
      <c r="S119" t="s">
        <v>231</v>
      </c>
      <c r="T119" t="s">
        <v>231</v>
      </c>
      <c r="U119" t="s">
        <v>101</v>
      </c>
      <c r="V119" t="s">
        <v>231</v>
      </c>
      <c r="W119" t="s">
        <v>231</v>
      </c>
      <c r="X119" t="s">
        <v>3523</v>
      </c>
      <c r="Y119" t="s">
        <v>231</v>
      </c>
      <c r="Z119" t="s">
        <v>160</v>
      </c>
      <c r="AA119" t="s">
        <v>151</v>
      </c>
      <c r="AB119" t="s">
        <v>151</v>
      </c>
      <c r="AC119" t="s">
        <v>2289</v>
      </c>
      <c r="AD119" t="s">
        <v>2289</v>
      </c>
      <c r="AE119" t="s">
        <v>2290</v>
      </c>
      <c r="AF119" t="s">
        <v>3890</v>
      </c>
      <c r="AG119" t="s">
        <v>3891</v>
      </c>
      <c r="AH119" t="s">
        <v>4170</v>
      </c>
      <c r="AI119" t="s">
        <v>3778</v>
      </c>
      <c r="AJ119" t="s">
        <v>3546</v>
      </c>
      <c r="AK119" t="s">
        <v>3586</v>
      </c>
      <c r="AL119" t="s">
        <v>3548</v>
      </c>
      <c r="AM119" t="s">
        <v>3531</v>
      </c>
      <c r="AN119" t="s">
        <v>3587</v>
      </c>
      <c r="AO119" t="s">
        <v>3550</v>
      </c>
      <c r="AP119" t="s">
        <v>231</v>
      </c>
      <c r="AQ119" t="s">
        <v>231</v>
      </c>
      <c r="AR119" t="s">
        <v>231</v>
      </c>
      <c r="AS119" t="s">
        <v>231</v>
      </c>
      <c r="AT119" t="s">
        <v>231</v>
      </c>
      <c r="AU119" t="s">
        <v>231</v>
      </c>
      <c r="AV119" t="s">
        <v>231</v>
      </c>
      <c r="AW119" t="s">
        <v>231</v>
      </c>
      <c r="AX119" t="s">
        <v>231</v>
      </c>
      <c r="AY119" t="s">
        <v>231</v>
      </c>
      <c r="AZ119" t="s">
        <v>231</v>
      </c>
      <c r="BA119" t="s">
        <v>231</v>
      </c>
      <c r="BB119" t="s">
        <v>231</v>
      </c>
      <c r="BC119" t="s">
        <v>231</v>
      </c>
      <c r="BD119" t="s">
        <v>231</v>
      </c>
      <c r="BE119" t="s">
        <v>231</v>
      </c>
      <c r="BF119" t="s">
        <v>231</v>
      </c>
      <c r="BG119" t="s">
        <v>231</v>
      </c>
      <c r="BH119" t="s">
        <v>231</v>
      </c>
      <c r="BI119" t="s">
        <v>231</v>
      </c>
      <c r="BJ119" t="s">
        <v>231</v>
      </c>
      <c r="BK119" t="s">
        <v>231</v>
      </c>
      <c r="BL119" t="s">
        <v>231</v>
      </c>
      <c r="BM119" t="s">
        <v>231</v>
      </c>
      <c r="BN119" t="s">
        <v>231</v>
      </c>
      <c r="BO119" t="s">
        <v>231</v>
      </c>
      <c r="BP119" t="s">
        <v>231</v>
      </c>
      <c r="BQ119" t="s">
        <v>231</v>
      </c>
      <c r="BR119" t="s">
        <v>231</v>
      </c>
      <c r="BS119" t="s">
        <v>231</v>
      </c>
      <c r="BT119" t="s">
        <v>231</v>
      </c>
      <c r="BU119" t="s">
        <v>231</v>
      </c>
      <c r="BV119" t="s">
        <v>231</v>
      </c>
      <c r="BW119" t="s">
        <v>231</v>
      </c>
      <c r="BX119" t="s">
        <v>231</v>
      </c>
      <c r="BY119" t="s">
        <v>231</v>
      </c>
      <c r="BZ119" t="s">
        <v>231</v>
      </c>
      <c r="CA119" t="s">
        <v>231</v>
      </c>
      <c r="CB119" t="s">
        <v>231</v>
      </c>
      <c r="CC119" t="s">
        <v>231</v>
      </c>
      <c r="CD119" t="s">
        <v>231</v>
      </c>
      <c r="CE119" t="s">
        <v>231</v>
      </c>
      <c r="CF119" t="s">
        <v>231</v>
      </c>
      <c r="CG119" t="s">
        <v>231</v>
      </c>
      <c r="CH119" t="s">
        <v>231</v>
      </c>
      <c r="CI119" t="s">
        <v>231</v>
      </c>
      <c r="CJ119" t="s">
        <v>231</v>
      </c>
      <c r="CK119" t="s">
        <v>231</v>
      </c>
      <c r="CL119" t="s">
        <v>231</v>
      </c>
      <c r="CM119" t="s">
        <v>231</v>
      </c>
      <c r="CN119" t="s">
        <v>231</v>
      </c>
      <c r="CO119" t="s">
        <v>231</v>
      </c>
      <c r="CP119" t="s">
        <v>231</v>
      </c>
      <c r="CQ119" t="s">
        <v>231</v>
      </c>
      <c r="CR119" t="s">
        <v>231</v>
      </c>
      <c r="CS119" t="s">
        <v>231</v>
      </c>
      <c r="CT119" t="s">
        <v>3534</v>
      </c>
      <c r="CU119" t="s">
        <v>3535</v>
      </c>
      <c r="CV119" t="s">
        <v>3536</v>
      </c>
      <c r="CW119" t="s">
        <v>3589</v>
      </c>
      <c r="CX119" t="s">
        <v>223</v>
      </c>
      <c r="CY119" t="s">
        <v>3536</v>
      </c>
      <c r="CZ119" t="s">
        <v>3590</v>
      </c>
      <c r="DA119" t="s">
        <v>3591</v>
      </c>
      <c r="DB119" t="s">
        <v>3589</v>
      </c>
      <c r="DC119" t="s">
        <v>363</v>
      </c>
      <c r="DD119" t="s">
        <v>282</v>
      </c>
      <c r="DE119" t="s">
        <v>4171</v>
      </c>
    </row>
    <row r="120" spans="1:109" ht="11.25" customHeight="1">
      <c r="A120" s="1314" t="s">
        <v>231</v>
      </c>
      <c r="B120" t="s">
        <v>231</v>
      </c>
      <c r="C120" t="s">
        <v>231</v>
      </c>
      <c r="D120" t="s">
        <v>231</v>
      </c>
      <c r="E120" t="s">
        <v>231</v>
      </c>
      <c r="F120" t="s">
        <v>231</v>
      </c>
      <c r="G120" t="s">
        <v>231</v>
      </c>
      <c r="H120" t="s">
        <v>231</v>
      </c>
      <c r="I120" t="s">
        <v>3521</v>
      </c>
      <c r="J120" t="s">
        <v>231</v>
      </c>
      <c r="K120" t="s">
        <v>231</v>
      </c>
      <c r="L120" t="s">
        <v>231</v>
      </c>
      <c r="M120" t="s">
        <v>231</v>
      </c>
      <c r="N120" t="s">
        <v>231</v>
      </c>
      <c r="O120" t="s">
        <v>231</v>
      </c>
      <c r="P120" t="s">
        <v>231</v>
      </c>
      <c r="Q120" t="s">
        <v>231</v>
      </c>
      <c r="R120" t="s">
        <v>3615</v>
      </c>
      <c r="S120" t="s">
        <v>231</v>
      </c>
      <c r="T120" t="s">
        <v>231</v>
      </c>
      <c r="U120" t="s">
        <v>101</v>
      </c>
      <c r="V120" t="s">
        <v>231</v>
      </c>
      <c r="W120" t="s">
        <v>231</v>
      </c>
      <c r="X120" t="s">
        <v>3523</v>
      </c>
      <c r="Y120" t="s">
        <v>231</v>
      </c>
      <c r="Z120" t="s">
        <v>160</v>
      </c>
      <c r="AA120" t="s">
        <v>151</v>
      </c>
      <c r="AB120" t="s">
        <v>151</v>
      </c>
      <c r="AC120" t="s">
        <v>2289</v>
      </c>
      <c r="AD120" t="s">
        <v>2289</v>
      </c>
      <c r="AE120" t="s">
        <v>2290</v>
      </c>
      <c r="AF120" t="s">
        <v>3705</v>
      </c>
      <c r="AG120" t="s">
        <v>3706</v>
      </c>
      <c r="AH120" t="s">
        <v>3584</v>
      </c>
      <c r="AI120" t="s">
        <v>4172</v>
      </c>
      <c r="AJ120" t="s">
        <v>3546</v>
      </c>
      <c r="AK120" t="s">
        <v>3716</v>
      </c>
      <c r="AL120" t="s">
        <v>3548</v>
      </c>
      <c r="AM120" t="s">
        <v>3531</v>
      </c>
      <c r="AN120" t="s">
        <v>3587</v>
      </c>
      <c r="AO120" t="s">
        <v>3558</v>
      </c>
      <c r="AP120" t="s">
        <v>231</v>
      </c>
      <c r="AQ120" t="s">
        <v>231</v>
      </c>
      <c r="AR120" t="s">
        <v>231</v>
      </c>
      <c r="AS120" t="s">
        <v>231</v>
      </c>
      <c r="AT120" t="s">
        <v>231</v>
      </c>
      <c r="AU120" t="s">
        <v>231</v>
      </c>
      <c r="AV120" t="s">
        <v>231</v>
      </c>
      <c r="AW120" t="s">
        <v>231</v>
      </c>
      <c r="AX120" t="s">
        <v>231</v>
      </c>
      <c r="AY120" t="s">
        <v>231</v>
      </c>
      <c r="AZ120" t="s">
        <v>231</v>
      </c>
      <c r="BA120" t="s">
        <v>231</v>
      </c>
      <c r="BB120" t="s">
        <v>231</v>
      </c>
      <c r="BC120" t="s">
        <v>231</v>
      </c>
      <c r="BD120" t="s">
        <v>231</v>
      </c>
      <c r="BE120" t="s">
        <v>231</v>
      </c>
      <c r="BF120" t="s">
        <v>231</v>
      </c>
      <c r="BG120" t="s">
        <v>231</v>
      </c>
      <c r="BH120" t="s">
        <v>231</v>
      </c>
      <c r="BI120" t="s">
        <v>231</v>
      </c>
      <c r="BJ120" t="s">
        <v>231</v>
      </c>
      <c r="BK120" t="s">
        <v>231</v>
      </c>
      <c r="BL120" t="s">
        <v>231</v>
      </c>
      <c r="BM120" t="s">
        <v>231</v>
      </c>
      <c r="BN120" t="s">
        <v>231</v>
      </c>
      <c r="BO120" t="s">
        <v>231</v>
      </c>
      <c r="BP120" t="s">
        <v>231</v>
      </c>
      <c r="BQ120" t="s">
        <v>231</v>
      </c>
      <c r="BR120" t="s">
        <v>231</v>
      </c>
      <c r="BS120" t="s">
        <v>231</v>
      </c>
      <c r="BT120" t="s">
        <v>231</v>
      </c>
      <c r="BU120" t="s">
        <v>231</v>
      </c>
      <c r="BV120" t="s">
        <v>231</v>
      </c>
      <c r="BW120" t="s">
        <v>231</v>
      </c>
      <c r="BX120" t="s">
        <v>231</v>
      </c>
      <c r="BY120" t="s">
        <v>231</v>
      </c>
      <c r="BZ120" t="s">
        <v>231</v>
      </c>
      <c r="CA120" t="s">
        <v>231</v>
      </c>
      <c r="CB120" t="s">
        <v>231</v>
      </c>
      <c r="CC120" t="s">
        <v>231</v>
      </c>
      <c r="CD120" t="s">
        <v>231</v>
      </c>
      <c r="CE120" t="s">
        <v>231</v>
      </c>
      <c r="CF120" t="s">
        <v>231</v>
      </c>
      <c r="CG120" t="s">
        <v>231</v>
      </c>
      <c r="CH120" t="s">
        <v>231</v>
      </c>
      <c r="CI120" t="s">
        <v>231</v>
      </c>
      <c r="CJ120" t="s">
        <v>231</v>
      </c>
      <c r="CK120" t="s">
        <v>231</v>
      </c>
      <c r="CL120" t="s">
        <v>231</v>
      </c>
      <c r="CM120" t="s">
        <v>231</v>
      </c>
      <c r="CN120" t="s">
        <v>231</v>
      </c>
      <c r="CO120" t="s">
        <v>231</v>
      </c>
      <c r="CP120" t="s">
        <v>231</v>
      </c>
      <c r="CQ120" t="s">
        <v>231</v>
      </c>
      <c r="CR120" t="s">
        <v>231</v>
      </c>
      <c r="CS120" t="s">
        <v>231</v>
      </c>
      <c r="CT120" t="s">
        <v>3534</v>
      </c>
      <c r="CU120" t="s">
        <v>3535</v>
      </c>
      <c r="CV120" t="s">
        <v>3536</v>
      </c>
      <c r="CW120" t="s">
        <v>3589</v>
      </c>
      <c r="CX120" t="s">
        <v>223</v>
      </c>
      <c r="CY120" t="s">
        <v>3536</v>
      </c>
      <c r="CZ120" t="s">
        <v>3590</v>
      </c>
      <c r="DA120" t="s">
        <v>3591</v>
      </c>
      <c r="DB120" t="s">
        <v>3589</v>
      </c>
      <c r="DC120" t="s">
        <v>363</v>
      </c>
      <c r="DD120" t="s">
        <v>282</v>
      </c>
      <c r="DE120" t="s">
        <v>4173</v>
      </c>
    </row>
    <row r="121" spans="1:109" ht="11.25" customHeight="1">
      <c r="A121" s="1314" t="s">
        <v>231</v>
      </c>
      <c r="B121" t="s">
        <v>231</v>
      </c>
      <c r="C121" t="s">
        <v>231</v>
      </c>
      <c r="D121" t="s">
        <v>231</v>
      </c>
      <c r="E121" t="s">
        <v>231</v>
      </c>
      <c r="F121" t="s">
        <v>231</v>
      </c>
      <c r="G121" t="s">
        <v>231</v>
      </c>
      <c r="H121" t="s">
        <v>231</v>
      </c>
      <c r="I121" t="s">
        <v>3521</v>
      </c>
      <c r="J121" t="s">
        <v>231</v>
      </c>
      <c r="K121" t="s">
        <v>231</v>
      </c>
      <c r="L121" t="s">
        <v>231</v>
      </c>
      <c r="M121" t="s">
        <v>231</v>
      </c>
      <c r="N121" t="s">
        <v>231</v>
      </c>
      <c r="O121" t="s">
        <v>231</v>
      </c>
      <c r="P121" t="s">
        <v>231</v>
      </c>
      <c r="Q121" t="s">
        <v>231</v>
      </c>
      <c r="R121" t="s">
        <v>3615</v>
      </c>
      <c r="S121" t="s">
        <v>231</v>
      </c>
      <c r="T121" t="s">
        <v>231</v>
      </c>
      <c r="U121" t="s">
        <v>101</v>
      </c>
      <c r="V121" t="s">
        <v>231</v>
      </c>
      <c r="W121" t="s">
        <v>231</v>
      </c>
      <c r="X121" t="s">
        <v>3523</v>
      </c>
      <c r="Y121" t="s">
        <v>231</v>
      </c>
      <c r="Z121" t="s">
        <v>160</v>
      </c>
      <c r="AA121" t="s">
        <v>151</v>
      </c>
      <c r="AB121" t="s">
        <v>151</v>
      </c>
      <c r="AC121" t="s">
        <v>2289</v>
      </c>
      <c r="AD121" t="s">
        <v>2289</v>
      </c>
      <c r="AE121" t="s">
        <v>2290</v>
      </c>
      <c r="AF121" t="s">
        <v>3874</v>
      </c>
      <c r="AG121" t="s">
        <v>3875</v>
      </c>
      <c r="AH121" t="s">
        <v>4174</v>
      </c>
      <c r="AI121" t="s">
        <v>3774</v>
      </c>
      <c r="AJ121" t="s">
        <v>3546</v>
      </c>
      <c r="AK121" t="s">
        <v>3789</v>
      </c>
      <c r="AL121" t="s">
        <v>3548</v>
      </c>
      <c r="AM121" t="s">
        <v>3531</v>
      </c>
      <c r="AN121" t="s">
        <v>3595</v>
      </c>
      <c r="AO121" t="s">
        <v>3923</v>
      </c>
      <c r="AP121" t="s">
        <v>231</v>
      </c>
      <c r="AQ121" t="s">
        <v>231</v>
      </c>
      <c r="AR121" t="s">
        <v>231</v>
      </c>
      <c r="AS121" t="s">
        <v>231</v>
      </c>
      <c r="AT121" t="s">
        <v>231</v>
      </c>
      <c r="AU121" t="s">
        <v>231</v>
      </c>
      <c r="AV121" t="s">
        <v>231</v>
      </c>
      <c r="AW121" t="s">
        <v>231</v>
      </c>
      <c r="AX121" t="s">
        <v>231</v>
      </c>
      <c r="AY121" t="s">
        <v>231</v>
      </c>
      <c r="AZ121" t="s">
        <v>231</v>
      </c>
      <c r="BA121" t="s">
        <v>231</v>
      </c>
      <c r="BB121" t="s">
        <v>231</v>
      </c>
      <c r="BC121" t="s">
        <v>231</v>
      </c>
      <c r="BD121" t="s">
        <v>231</v>
      </c>
      <c r="BE121" t="s">
        <v>231</v>
      </c>
      <c r="BF121" t="s">
        <v>231</v>
      </c>
      <c r="BG121" t="s">
        <v>231</v>
      </c>
      <c r="BH121" t="s">
        <v>231</v>
      </c>
      <c r="BI121" t="s">
        <v>231</v>
      </c>
      <c r="BJ121" t="s">
        <v>231</v>
      </c>
      <c r="BK121" t="s">
        <v>231</v>
      </c>
      <c r="BL121" t="s">
        <v>231</v>
      </c>
      <c r="BM121" t="s">
        <v>231</v>
      </c>
      <c r="BN121" t="s">
        <v>231</v>
      </c>
      <c r="BO121" t="s">
        <v>231</v>
      </c>
      <c r="BP121" t="s">
        <v>231</v>
      </c>
      <c r="BQ121" t="s">
        <v>231</v>
      </c>
      <c r="BR121" t="s">
        <v>231</v>
      </c>
      <c r="BS121" t="s">
        <v>231</v>
      </c>
      <c r="BT121" t="s">
        <v>231</v>
      </c>
      <c r="BU121" t="s">
        <v>231</v>
      </c>
      <c r="BV121" t="s">
        <v>231</v>
      </c>
      <c r="BW121" t="s">
        <v>231</v>
      </c>
      <c r="BX121" t="s">
        <v>231</v>
      </c>
      <c r="BY121" t="s">
        <v>231</v>
      </c>
      <c r="BZ121" t="s">
        <v>231</v>
      </c>
      <c r="CA121" t="s">
        <v>231</v>
      </c>
      <c r="CB121" t="s">
        <v>231</v>
      </c>
      <c r="CC121" t="s">
        <v>231</v>
      </c>
      <c r="CD121" t="s">
        <v>231</v>
      </c>
      <c r="CE121" t="s">
        <v>231</v>
      </c>
      <c r="CF121" t="s">
        <v>231</v>
      </c>
      <c r="CG121" t="s">
        <v>231</v>
      </c>
      <c r="CH121" t="s">
        <v>231</v>
      </c>
      <c r="CI121" t="s">
        <v>231</v>
      </c>
      <c r="CJ121" t="s">
        <v>231</v>
      </c>
      <c r="CK121" t="s">
        <v>231</v>
      </c>
      <c r="CL121" t="s">
        <v>231</v>
      </c>
      <c r="CM121" t="s">
        <v>231</v>
      </c>
      <c r="CN121" t="s">
        <v>231</v>
      </c>
      <c r="CO121" t="s">
        <v>231</v>
      </c>
      <c r="CP121" t="s">
        <v>231</v>
      </c>
      <c r="CQ121" t="s">
        <v>231</v>
      </c>
      <c r="CR121" t="s">
        <v>231</v>
      </c>
      <c r="CS121" t="s">
        <v>231</v>
      </c>
      <c r="CT121" t="s">
        <v>3534</v>
      </c>
      <c r="CU121" t="s">
        <v>3535</v>
      </c>
      <c r="CV121" t="s">
        <v>3536</v>
      </c>
      <c r="CW121" t="s">
        <v>3589</v>
      </c>
      <c r="CX121" t="s">
        <v>223</v>
      </c>
      <c r="CY121" t="s">
        <v>3536</v>
      </c>
      <c r="CZ121" t="s">
        <v>3590</v>
      </c>
      <c r="DA121" t="s">
        <v>3591</v>
      </c>
      <c r="DB121" t="s">
        <v>3589</v>
      </c>
      <c r="DC121" t="s">
        <v>363</v>
      </c>
      <c r="DD121" t="s">
        <v>282</v>
      </c>
      <c r="DE121" t="s">
        <v>4175</v>
      </c>
    </row>
    <row r="122" spans="1:109" ht="11.25" customHeight="1">
      <c r="A122" s="1314" t="s">
        <v>231</v>
      </c>
      <c r="B122" t="s">
        <v>231</v>
      </c>
      <c r="C122" t="s">
        <v>231</v>
      </c>
      <c r="D122" t="s">
        <v>231</v>
      </c>
      <c r="E122" t="s">
        <v>231</v>
      </c>
      <c r="F122" t="s">
        <v>231</v>
      </c>
      <c r="G122" t="s">
        <v>231</v>
      </c>
      <c r="H122" t="s">
        <v>231</v>
      </c>
      <c r="I122" t="s">
        <v>3521</v>
      </c>
      <c r="J122" t="s">
        <v>231</v>
      </c>
      <c r="K122" t="s">
        <v>231</v>
      </c>
      <c r="L122" t="s">
        <v>231</v>
      </c>
      <c r="M122" t="s">
        <v>231</v>
      </c>
      <c r="N122" t="s">
        <v>231</v>
      </c>
      <c r="O122" t="s">
        <v>231</v>
      </c>
      <c r="P122" t="s">
        <v>231</v>
      </c>
      <c r="Q122" t="s">
        <v>231</v>
      </c>
      <c r="R122" t="s">
        <v>4176</v>
      </c>
      <c r="S122" t="s">
        <v>231</v>
      </c>
      <c r="T122" t="s">
        <v>231</v>
      </c>
      <c r="U122" t="s">
        <v>101</v>
      </c>
      <c r="V122" t="s">
        <v>231</v>
      </c>
      <c r="W122" t="s">
        <v>231</v>
      </c>
      <c r="X122" t="s">
        <v>3523</v>
      </c>
      <c r="Y122" t="s">
        <v>231</v>
      </c>
      <c r="Z122" t="s">
        <v>160</v>
      </c>
      <c r="AA122" t="s">
        <v>151</v>
      </c>
      <c r="AB122" t="s">
        <v>151</v>
      </c>
      <c r="AC122" t="s">
        <v>343</v>
      </c>
      <c r="AD122" t="s">
        <v>343</v>
      </c>
      <c r="AE122" t="s">
        <v>344</v>
      </c>
      <c r="AF122" t="s">
        <v>3561</v>
      </c>
      <c r="AG122" t="s">
        <v>3562</v>
      </c>
      <c r="AH122" t="s">
        <v>4177</v>
      </c>
      <c r="AI122" t="s">
        <v>3575</v>
      </c>
      <c r="AJ122" t="s">
        <v>3630</v>
      </c>
      <c r="AK122" t="s">
        <v>4178</v>
      </c>
      <c r="AL122" t="s">
        <v>3530</v>
      </c>
      <c r="AM122" t="s">
        <v>3531</v>
      </c>
      <c r="AN122" t="s">
        <v>3939</v>
      </c>
      <c r="AO122" t="s">
        <v>4179</v>
      </c>
      <c r="AP122" t="s">
        <v>231</v>
      </c>
      <c r="AQ122" t="s">
        <v>231</v>
      </c>
      <c r="AR122" t="s">
        <v>231</v>
      </c>
      <c r="AS122" t="s">
        <v>231</v>
      </c>
      <c r="AT122" t="s">
        <v>231</v>
      </c>
      <c r="AU122" t="s">
        <v>231</v>
      </c>
      <c r="AV122" t="s">
        <v>231</v>
      </c>
      <c r="AW122" t="s">
        <v>231</v>
      </c>
      <c r="AX122" t="s">
        <v>231</v>
      </c>
      <c r="AY122" t="s">
        <v>231</v>
      </c>
      <c r="AZ122" t="s">
        <v>231</v>
      </c>
      <c r="BA122" t="s">
        <v>231</v>
      </c>
      <c r="BB122" t="s">
        <v>231</v>
      </c>
      <c r="BC122" t="s">
        <v>231</v>
      </c>
      <c r="BD122" t="s">
        <v>231</v>
      </c>
      <c r="BE122" t="s">
        <v>231</v>
      </c>
      <c r="BF122" t="s">
        <v>231</v>
      </c>
      <c r="BG122" t="s">
        <v>231</v>
      </c>
      <c r="BH122" t="s">
        <v>231</v>
      </c>
      <c r="BI122" t="s">
        <v>231</v>
      </c>
      <c r="BJ122" t="s">
        <v>231</v>
      </c>
      <c r="BK122" t="s">
        <v>231</v>
      </c>
      <c r="BL122" t="s">
        <v>231</v>
      </c>
      <c r="BM122" t="s">
        <v>231</v>
      </c>
      <c r="BN122" t="s">
        <v>231</v>
      </c>
      <c r="BO122" t="s">
        <v>231</v>
      </c>
      <c r="BP122" t="s">
        <v>231</v>
      </c>
      <c r="BQ122" t="s">
        <v>231</v>
      </c>
      <c r="BR122" t="s">
        <v>231</v>
      </c>
      <c r="BS122" t="s">
        <v>231</v>
      </c>
      <c r="BT122" t="s">
        <v>231</v>
      </c>
      <c r="BU122" t="s">
        <v>231</v>
      </c>
      <c r="BV122" t="s">
        <v>231</v>
      </c>
      <c r="BW122" t="s">
        <v>231</v>
      </c>
      <c r="BX122" t="s">
        <v>231</v>
      </c>
      <c r="BY122" t="s">
        <v>231</v>
      </c>
      <c r="BZ122" t="s">
        <v>231</v>
      </c>
      <c r="CA122" t="s">
        <v>231</v>
      </c>
      <c r="CB122" t="s">
        <v>231</v>
      </c>
      <c r="CC122" t="s">
        <v>231</v>
      </c>
      <c r="CD122" t="s">
        <v>231</v>
      </c>
      <c r="CE122" t="s">
        <v>231</v>
      </c>
      <c r="CF122" t="s">
        <v>231</v>
      </c>
      <c r="CG122" t="s">
        <v>231</v>
      </c>
      <c r="CH122" t="s">
        <v>231</v>
      </c>
      <c r="CI122" t="s">
        <v>231</v>
      </c>
      <c r="CJ122" t="s">
        <v>231</v>
      </c>
      <c r="CK122" t="s">
        <v>231</v>
      </c>
      <c r="CL122" t="s">
        <v>231</v>
      </c>
      <c r="CM122" t="s">
        <v>231</v>
      </c>
      <c r="CN122" t="s">
        <v>231</v>
      </c>
      <c r="CO122" t="s">
        <v>231</v>
      </c>
      <c r="CP122" t="s">
        <v>231</v>
      </c>
      <c r="CQ122" t="s">
        <v>231</v>
      </c>
      <c r="CR122" t="s">
        <v>231</v>
      </c>
      <c r="CS122" t="s">
        <v>231</v>
      </c>
      <c r="CT122" t="s">
        <v>3534</v>
      </c>
      <c r="CU122" t="s">
        <v>3535</v>
      </c>
      <c r="CV122" t="s">
        <v>3536</v>
      </c>
      <c r="CW122" t="s">
        <v>3569</v>
      </c>
      <c r="CX122" t="s">
        <v>3570</v>
      </c>
      <c r="CY122" t="s">
        <v>3536</v>
      </c>
      <c r="CZ122" t="s">
        <v>224</v>
      </c>
      <c r="DA122" t="s">
        <v>3571</v>
      </c>
      <c r="DB122" t="s">
        <v>3569</v>
      </c>
      <c r="DC122" t="s">
        <v>363</v>
      </c>
      <c r="DD122" t="s">
        <v>282</v>
      </c>
      <c r="DE122" t="s">
        <v>4180</v>
      </c>
    </row>
    <row r="123" spans="1:109" ht="11.25" customHeight="1">
      <c r="A123" s="1314" t="s">
        <v>231</v>
      </c>
      <c r="B123" t="s">
        <v>231</v>
      </c>
      <c r="C123" t="s">
        <v>231</v>
      </c>
      <c r="D123" t="s">
        <v>231</v>
      </c>
      <c r="E123" t="s">
        <v>231</v>
      </c>
      <c r="F123" t="s">
        <v>231</v>
      </c>
      <c r="G123" t="s">
        <v>231</v>
      </c>
      <c r="H123" t="s">
        <v>231</v>
      </c>
      <c r="I123" t="s">
        <v>3521</v>
      </c>
      <c r="J123" t="s">
        <v>231</v>
      </c>
      <c r="K123" t="s">
        <v>231</v>
      </c>
      <c r="L123" t="s">
        <v>231</v>
      </c>
      <c r="M123" t="s">
        <v>231</v>
      </c>
      <c r="N123" t="s">
        <v>231</v>
      </c>
      <c r="O123" t="s">
        <v>231</v>
      </c>
      <c r="P123" t="s">
        <v>231</v>
      </c>
      <c r="Q123" t="s">
        <v>231</v>
      </c>
      <c r="R123" t="s">
        <v>3615</v>
      </c>
      <c r="S123" t="s">
        <v>231</v>
      </c>
      <c r="T123" t="s">
        <v>231</v>
      </c>
      <c r="U123" t="s">
        <v>101</v>
      </c>
      <c r="V123" t="s">
        <v>231</v>
      </c>
      <c r="W123" t="s">
        <v>231</v>
      </c>
      <c r="X123" t="s">
        <v>3523</v>
      </c>
      <c r="Y123" t="s">
        <v>231</v>
      </c>
      <c r="Z123" t="s">
        <v>160</v>
      </c>
      <c r="AA123" t="s">
        <v>151</v>
      </c>
      <c r="AB123" t="s">
        <v>151</v>
      </c>
      <c r="AC123" t="s">
        <v>2287</v>
      </c>
      <c r="AD123" t="s">
        <v>2287</v>
      </c>
      <c r="AE123" t="s">
        <v>2288</v>
      </c>
      <c r="AF123" t="s">
        <v>3898</v>
      </c>
      <c r="AG123" t="s">
        <v>3899</v>
      </c>
      <c r="AH123" t="s">
        <v>4181</v>
      </c>
      <c r="AI123" t="s">
        <v>4182</v>
      </c>
      <c r="AJ123" t="s">
        <v>3619</v>
      </c>
      <c r="AK123" t="s">
        <v>3858</v>
      </c>
      <c r="AL123" t="s">
        <v>3548</v>
      </c>
      <c r="AM123" t="s">
        <v>3531</v>
      </c>
      <c r="AN123" t="s">
        <v>3621</v>
      </c>
      <c r="AO123" t="s">
        <v>3812</v>
      </c>
      <c r="AP123" t="s">
        <v>231</v>
      </c>
      <c r="AQ123" t="s">
        <v>231</v>
      </c>
      <c r="AR123" t="s">
        <v>231</v>
      </c>
      <c r="AS123" t="s">
        <v>231</v>
      </c>
      <c r="AT123" t="s">
        <v>231</v>
      </c>
      <c r="AU123" t="s">
        <v>231</v>
      </c>
      <c r="AV123" t="s">
        <v>231</v>
      </c>
      <c r="AW123" t="s">
        <v>231</v>
      </c>
      <c r="AX123" t="s">
        <v>231</v>
      </c>
      <c r="AY123" t="s">
        <v>231</v>
      </c>
      <c r="AZ123" t="s">
        <v>231</v>
      </c>
      <c r="BA123" t="s">
        <v>231</v>
      </c>
      <c r="BB123" t="s">
        <v>231</v>
      </c>
      <c r="BC123" t="s">
        <v>231</v>
      </c>
      <c r="BD123" t="s">
        <v>231</v>
      </c>
      <c r="BE123" t="s">
        <v>231</v>
      </c>
      <c r="BF123" t="s">
        <v>231</v>
      </c>
      <c r="BG123" t="s">
        <v>231</v>
      </c>
      <c r="BH123" t="s">
        <v>231</v>
      </c>
      <c r="BI123" t="s">
        <v>231</v>
      </c>
      <c r="BJ123" t="s">
        <v>231</v>
      </c>
      <c r="BK123" t="s">
        <v>231</v>
      </c>
      <c r="BL123" t="s">
        <v>231</v>
      </c>
      <c r="BM123" t="s">
        <v>231</v>
      </c>
      <c r="BN123" t="s">
        <v>231</v>
      </c>
      <c r="BO123" t="s">
        <v>231</v>
      </c>
      <c r="BP123" t="s">
        <v>231</v>
      </c>
      <c r="BQ123" t="s">
        <v>231</v>
      </c>
      <c r="BR123" t="s">
        <v>231</v>
      </c>
      <c r="BS123" t="s">
        <v>231</v>
      </c>
      <c r="BT123" t="s">
        <v>231</v>
      </c>
      <c r="BU123" t="s">
        <v>231</v>
      </c>
      <c r="BV123" t="s">
        <v>231</v>
      </c>
      <c r="BW123" t="s">
        <v>231</v>
      </c>
      <c r="BX123" t="s">
        <v>231</v>
      </c>
      <c r="BY123" t="s">
        <v>231</v>
      </c>
      <c r="BZ123" t="s">
        <v>231</v>
      </c>
      <c r="CA123" t="s">
        <v>231</v>
      </c>
      <c r="CB123" t="s">
        <v>231</v>
      </c>
      <c r="CC123" t="s">
        <v>231</v>
      </c>
      <c r="CD123" t="s">
        <v>231</v>
      </c>
      <c r="CE123" t="s">
        <v>231</v>
      </c>
      <c r="CF123" t="s">
        <v>231</v>
      </c>
      <c r="CG123" t="s">
        <v>231</v>
      </c>
      <c r="CH123" t="s">
        <v>231</v>
      </c>
      <c r="CI123" t="s">
        <v>231</v>
      </c>
      <c r="CJ123" t="s">
        <v>231</v>
      </c>
      <c r="CK123" t="s">
        <v>231</v>
      </c>
      <c r="CL123" t="s">
        <v>231</v>
      </c>
      <c r="CM123" t="s">
        <v>231</v>
      </c>
      <c r="CN123" t="s">
        <v>231</v>
      </c>
      <c r="CO123" t="s">
        <v>231</v>
      </c>
      <c r="CP123" t="s">
        <v>231</v>
      </c>
      <c r="CQ123" t="s">
        <v>231</v>
      </c>
      <c r="CR123" t="s">
        <v>231</v>
      </c>
      <c r="CS123" t="s">
        <v>231</v>
      </c>
      <c r="CT123" t="s">
        <v>3534</v>
      </c>
      <c r="CU123" t="s">
        <v>3535</v>
      </c>
      <c r="CV123" t="s">
        <v>3536</v>
      </c>
      <c r="CW123" t="s">
        <v>3623</v>
      </c>
      <c r="CX123" t="s">
        <v>223</v>
      </c>
      <c r="CY123" t="s">
        <v>3536</v>
      </c>
      <c r="CZ123" t="s">
        <v>3624</v>
      </c>
      <c r="DA123" t="s">
        <v>3625</v>
      </c>
      <c r="DB123" t="s">
        <v>3623</v>
      </c>
      <c r="DC123" t="s">
        <v>363</v>
      </c>
      <c r="DD123" t="s">
        <v>282</v>
      </c>
      <c r="DE123" t="s">
        <v>4183</v>
      </c>
    </row>
    <row r="124" spans="1:109" ht="11.25" customHeight="1">
      <c r="A124" s="1314" t="s">
        <v>231</v>
      </c>
      <c r="B124" t="s">
        <v>231</v>
      </c>
      <c r="C124" t="s">
        <v>231</v>
      </c>
      <c r="D124" t="s">
        <v>231</v>
      </c>
      <c r="E124" t="s">
        <v>231</v>
      </c>
      <c r="F124" t="s">
        <v>231</v>
      </c>
      <c r="G124" t="s">
        <v>231</v>
      </c>
      <c r="H124" t="s">
        <v>231</v>
      </c>
      <c r="I124" t="s">
        <v>3521</v>
      </c>
      <c r="J124" t="s">
        <v>231</v>
      </c>
      <c r="K124" t="s">
        <v>231</v>
      </c>
      <c r="L124" t="s">
        <v>231</v>
      </c>
      <c r="M124" t="s">
        <v>231</v>
      </c>
      <c r="N124" t="s">
        <v>231</v>
      </c>
      <c r="O124" t="s">
        <v>231</v>
      </c>
      <c r="P124" t="s">
        <v>231</v>
      </c>
      <c r="Q124" t="s">
        <v>231</v>
      </c>
      <c r="R124" t="s">
        <v>4184</v>
      </c>
      <c r="S124" t="s">
        <v>231</v>
      </c>
      <c r="T124" t="s">
        <v>231</v>
      </c>
      <c r="U124" t="s">
        <v>101</v>
      </c>
      <c r="V124" t="s">
        <v>231</v>
      </c>
      <c r="W124" t="s">
        <v>231</v>
      </c>
      <c r="X124" t="s">
        <v>3628</v>
      </c>
      <c r="Y124" t="s">
        <v>231</v>
      </c>
      <c r="Z124" t="s">
        <v>151</v>
      </c>
      <c r="AA124" t="s">
        <v>151</v>
      </c>
      <c r="AB124" t="s">
        <v>160</v>
      </c>
      <c r="AC124" t="s">
        <v>2287</v>
      </c>
      <c r="AD124" t="s">
        <v>2287</v>
      </c>
      <c r="AE124" t="s">
        <v>2288</v>
      </c>
      <c r="AF124" t="s">
        <v>3898</v>
      </c>
      <c r="AG124" t="s">
        <v>3899</v>
      </c>
      <c r="AH124" t="s">
        <v>3618</v>
      </c>
      <c r="AI124" t="s">
        <v>3618</v>
      </c>
      <c r="AJ124" t="s">
        <v>231</v>
      </c>
      <c r="AK124" t="s">
        <v>231</v>
      </c>
      <c r="AL124" t="s">
        <v>231</v>
      </c>
      <c r="AM124" t="s">
        <v>231</v>
      </c>
      <c r="AN124" t="s">
        <v>231</v>
      </c>
      <c r="AO124" t="s">
        <v>231</v>
      </c>
      <c r="AP124" t="s">
        <v>231</v>
      </c>
      <c r="AQ124" t="s">
        <v>231</v>
      </c>
      <c r="AR124" t="s">
        <v>231</v>
      </c>
      <c r="AS124" t="s">
        <v>231</v>
      </c>
      <c r="AT124" t="s">
        <v>231</v>
      </c>
      <c r="AU124" t="s">
        <v>231</v>
      </c>
      <c r="AV124" t="s">
        <v>231</v>
      </c>
      <c r="AW124" t="s">
        <v>231</v>
      </c>
      <c r="AX124" t="s">
        <v>231</v>
      </c>
      <c r="AY124" t="s">
        <v>231</v>
      </c>
      <c r="AZ124" t="s">
        <v>231</v>
      </c>
      <c r="BA124" t="s">
        <v>231</v>
      </c>
      <c r="BB124" t="s">
        <v>231</v>
      </c>
      <c r="BC124" t="s">
        <v>231</v>
      </c>
      <c r="BD124" t="s">
        <v>231</v>
      </c>
      <c r="BE124" t="s">
        <v>4042</v>
      </c>
      <c r="BF124" t="s">
        <v>4185</v>
      </c>
      <c r="BG124" t="s">
        <v>111</v>
      </c>
      <c r="BH124" t="s">
        <v>3632</v>
      </c>
      <c r="BI124" t="s">
        <v>122</v>
      </c>
      <c r="BJ124" t="s">
        <v>231</v>
      </c>
      <c r="BK124" t="s">
        <v>3651</v>
      </c>
      <c r="BL124" t="s">
        <v>2287</v>
      </c>
      <c r="BM124" t="s">
        <v>2287</v>
      </c>
      <c r="BN124" t="s">
        <v>3842</v>
      </c>
      <c r="BO124" t="s">
        <v>3898</v>
      </c>
      <c r="BP124" t="s">
        <v>4186</v>
      </c>
      <c r="BQ124" t="s">
        <v>3618</v>
      </c>
      <c r="BR124" t="s">
        <v>3618</v>
      </c>
      <c r="BS124" t="s">
        <v>231</v>
      </c>
      <c r="BT124" t="s">
        <v>3694</v>
      </c>
      <c r="BU124" t="s">
        <v>4187</v>
      </c>
      <c r="BV124" t="s">
        <v>4187</v>
      </c>
      <c r="BW124" t="s">
        <v>3641</v>
      </c>
      <c r="BX124" t="s">
        <v>3641</v>
      </c>
      <c r="BY124" t="s">
        <v>3641</v>
      </c>
      <c r="BZ124" t="s">
        <v>3641</v>
      </c>
      <c r="CA124" t="s">
        <v>3641</v>
      </c>
      <c r="CB124" t="s">
        <v>231</v>
      </c>
      <c r="CC124" t="s">
        <v>231</v>
      </c>
      <c r="CD124" t="s">
        <v>231</v>
      </c>
      <c r="CE124" t="s">
        <v>231</v>
      </c>
      <c r="CF124" t="s">
        <v>231</v>
      </c>
      <c r="CG124" t="s">
        <v>3641</v>
      </c>
      <c r="CH124" t="s">
        <v>231</v>
      </c>
      <c r="CI124" t="s">
        <v>231</v>
      </c>
      <c r="CJ124" t="s">
        <v>231</v>
      </c>
      <c r="CK124" t="s">
        <v>231</v>
      </c>
      <c r="CL124" t="s">
        <v>231</v>
      </c>
      <c r="CM124" t="s">
        <v>4187</v>
      </c>
      <c r="CN124" t="s">
        <v>4187</v>
      </c>
      <c r="CO124" t="s">
        <v>231</v>
      </c>
      <c r="CP124" t="s">
        <v>231</v>
      </c>
      <c r="CQ124" t="s">
        <v>231</v>
      </c>
      <c r="CR124" t="s">
        <v>231</v>
      </c>
      <c r="CS124" t="s">
        <v>3529</v>
      </c>
      <c r="CT124" t="s">
        <v>3534</v>
      </c>
      <c r="CU124" t="s">
        <v>3535</v>
      </c>
      <c r="CV124" t="s">
        <v>3536</v>
      </c>
      <c r="CW124" t="s">
        <v>3623</v>
      </c>
      <c r="CX124" t="s">
        <v>223</v>
      </c>
      <c r="CY124" t="s">
        <v>3536</v>
      </c>
      <c r="CZ124" t="s">
        <v>3624</v>
      </c>
      <c r="DA124" t="s">
        <v>3625</v>
      </c>
      <c r="DB124" t="s">
        <v>3623</v>
      </c>
      <c r="DC124" t="s">
        <v>363</v>
      </c>
      <c r="DD124" t="s">
        <v>282</v>
      </c>
      <c r="DE124" t="s">
        <v>4188</v>
      </c>
    </row>
    <row r="125" spans="1:109" ht="11.25" customHeight="1">
      <c r="A125" s="1314" t="s">
        <v>231</v>
      </c>
      <c r="B125" t="s">
        <v>231</v>
      </c>
      <c r="C125" t="s">
        <v>231</v>
      </c>
      <c r="D125" t="s">
        <v>231</v>
      </c>
      <c r="E125" t="s">
        <v>231</v>
      </c>
      <c r="F125" t="s">
        <v>231</v>
      </c>
      <c r="G125" t="s">
        <v>231</v>
      </c>
      <c r="H125" t="s">
        <v>231</v>
      </c>
      <c r="I125" t="s">
        <v>3521</v>
      </c>
      <c r="J125" t="s">
        <v>231</v>
      </c>
      <c r="K125" t="s">
        <v>231</v>
      </c>
      <c r="L125" t="s">
        <v>231</v>
      </c>
      <c r="M125" t="s">
        <v>231</v>
      </c>
      <c r="N125" t="s">
        <v>231</v>
      </c>
      <c r="O125" t="s">
        <v>231</v>
      </c>
      <c r="P125" t="s">
        <v>231</v>
      </c>
      <c r="Q125" t="s">
        <v>231</v>
      </c>
      <c r="R125" t="s">
        <v>3615</v>
      </c>
      <c r="S125" t="s">
        <v>231</v>
      </c>
      <c r="T125" t="s">
        <v>231</v>
      </c>
      <c r="U125" t="s">
        <v>101</v>
      </c>
      <c r="V125" t="s">
        <v>231</v>
      </c>
      <c r="W125" t="s">
        <v>231</v>
      </c>
      <c r="X125" t="s">
        <v>3523</v>
      </c>
      <c r="Y125" t="s">
        <v>231</v>
      </c>
      <c r="Z125" t="s">
        <v>160</v>
      </c>
      <c r="AA125" t="s">
        <v>151</v>
      </c>
      <c r="AB125" t="s">
        <v>151</v>
      </c>
      <c r="AC125" t="s">
        <v>2287</v>
      </c>
      <c r="AD125" t="s">
        <v>2287</v>
      </c>
      <c r="AE125" t="s">
        <v>2288</v>
      </c>
      <c r="AF125" t="s">
        <v>4189</v>
      </c>
      <c r="AG125" t="s">
        <v>4190</v>
      </c>
      <c r="AH125" t="s">
        <v>4191</v>
      </c>
      <c r="AI125" t="s">
        <v>478</v>
      </c>
      <c r="AJ125" t="s">
        <v>3619</v>
      </c>
      <c r="AK125" t="s">
        <v>4185</v>
      </c>
      <c r="AL125" t="s">
        <v>3548</v>
      </c>
      <c r="AM125" t="s">
        <v>3531</v>
      </c>
      <c r="AN125" t="s">
        <v>3621</v>
      </c>
      <c r="AO125" t="s">
        <v>3901</v>
      </c>
      <c r="AP125" t="s">
        <v>231</v>
      </c>
      <c r="AQ125" t="s">
        <v>231</v>
      </c>
      <c r="AR125" t="s">
        <v>231</v>
      </c>
      <c r="AS125" t="s">
        <v>231</v>
      </c>
      <c r="AT125" t="s">
        <v>231</v>
      </c>
      <c r="AU125" t="s">
        <v>231</v>
      </c>
      <c r="AV125" t="s">
        <v>231</v>
      </c>
      <c r="AW125" t="s">
        <v>231</v>
      </c>
      <c r="AX125" t="s">
        <v>231</v>
      </c>
      <c r="AY125" t="s">
        <v>231</v>
      </c>
      <c r="AZ125" t="s">
        <v>231</v>
      </c>
      <c r="BA125" t="s">
        <v>231</v>
      </c>
      <c r="BB125" t="s">
        <v>231</v>
      </c>
      <c r="BC125" t="s">
        <v>231</v>
      </c>
      <c r="BD125" t="s">
        <v>231</v>
      </c>
      <c r="BE125" t="s">
        <v>231</v>
      </c>
      <c r="BF125" t="s">
        <v>231</v>
      </c>
      <c r="BG125" t="s">
        <v>231</v>
      </c>
      <c r="BH125" t="s">
        <v>231</v>
      </c>
      <c r="BI125" t="s">
        <v>231</v>
      </c>
      <c r="BJ125" t="s">
        <v>231</v>
      </c>
      <c r="BK125" t="s">
        <v>231</v>
      </c>
      <c r="BL125" t="s">
        <v>231</v>
      </c>
      <c r="BM125" t="s">
        <v>231</v>
      </c>
      <c r="BN125" t="s">
        <v>231</v>
      </c>
      <c r="BO125" t="s">
        <v>231</v>
      </c>
      <c r="BP125" t="s">
        <v>231</v>
      </c>
      <c r="BQ125" t="s">
        <v>231</v>
      </c>
      <c r="BR125" t="s">
        <v>231</v>
      </c>
      <c r="BS125" t="s">
        <v>231</v>
      </c>
      <c r="BT125" t="s">
        <v>231</v>
      </c>
      <c r="BU125" t="s">
        <v>231</v>
      </c>
      <c r="BV125" t="s">
        <v>231</v>
      </c>
      <c r="BW125" t="s">
        <v>231</v>
      </c>
      <c r="BX125" t="s">
        <v>231</v>
      </c>
      <c r="BY125" t="s">
        <v>231</v>
      </c>
      <c r="BZ125" t="s">
        <v>231</v>
      </c>
      <c r="CA125" t="s">
        <v>231</v>
      </c>
      <c r="CB125" t="s">
        <v>231</v>
      </c>
      <c r="CC125" t="s">
        <v>231</v>
      </c>
      <c r="CD125" t="s">
        <v>231</v>
      </c>
      <c r="CE125" t="s">
        <v>231</v>
      </c>
      <c r="CF125" t="s">
        <v>231</v>
      </c>
      <c r="CG125" t="s">
        <v>231</v>
      </c>
      <c r="CH125" t="s">
        <v>231</v>
      </c>
      <c r="CI125" t="s">
        <v>231</v>
      </c>
      <c r="CJ125" t="s">
        <v>231</v>
      </c>
      <c r="CK125" t="s">
        <v>231</v>
      </c>
      <c r="CL125" t="s">
        <v>231</v>
      </c>
      <c r="CM125" t="s">
        <v>231</v>
      </c>
      <c r="CN125" t="s">
        <v>231</v>
      </c>
      <c r="CO125" t="s">
        <v>231</v>
      </c>
      <c r="CP125" t="s">
        <v>231</v>
      </c>
      <c r="CQ125" t="s">
        <v>231</v>
      </c>
      <c r="CR125" t="s">
        <v>231</v>
      </c>
      <c r="CS125" t="s">
        <v>231</v>
      </c>
      <c r="CT125" t="s">
        <v>3534</v>
      </c>
      <c r="CU125" t="s">
        <v>3535</v>
      </c>
      <c r="CV125" t="s">
        <v>3536</v>
      </c>
      <c r="CW125" t="s">
        <v>3623</v>
      </c>
      <c r="CX125" t="s">
        <v>223</v>
      </c>
      <c r="CY125" t="s">
        <v>3536</v>
      </c>
      <c r="CZ125" t="s">
        <v>3624</v>
      </c>
      <c r="DA125" t="s">
        <v>3625</v>
      </c>
      <c r="DB125" t="s">
        <v>3623</v>
      </c>
      <c r="DC125" t="s">
        <v>363</v>
      </c>
      <c r="DD125" t="s">
        <v>282</v>
      </c>
      <c r="DE125" t="s">
        <v>4192</v>
      </c>
    </row>
    <row r="126" spans="1:109" ht="11.25" customHeight="1">
      <c r="A126" s="1314" t="s">
        <v>231</v>
      </c>
      <c r="B126" t="s">
        <v>231</v>
      </c>
      <c r="C126" t="s">
        <v>231</v>
      </c>
      <c r="D126" t="s">
        <v>231</v>
      </c>
      <c r="E126" t="s">
        <v>231</v>
      </c>
      <c r="F126" t="s">
        <v>231</v>
      </c>
      <c r="G126" t="s">
        <v>231</v>
      </c>
      <c r="H126" t="s">
        <v>231</v>
      </c>
      <c r="I126" t="s">
        <v>3521</v>
      </c>
      <c r="J126" t="s">
        <v>231</v>
      </c>
      <c r="K126" t="s">
        <v>231</v>
      </c>
      <c r="L126" t="s">
        <v>231</v>
      </c>
      <c r="M126" t="s">
        <v>231</v>
      </c>
      <c r="N126" t="s">
        <v>231</v>
      </c>
      <c r="O126" t="s">
        <v>231</v>
      </c>
      <c r="P126" t="s">
        <v>231</v>
      </c>
      <c r="Q126" t="s">
        <v>231</v>
      </c>
      <c r="R126" t="s">
        <v>4193</v>
      </c>
      <c r="S126" t="s">
        <v>231</v>
      </c>
      <c r="T126" t="s">
        <v>231</v>
      </c>
      <c r="U126" t="s">
        <v>101</v>
      </c>
      <c r="V126" t="s">
        <v>231</v>
      </c>
      <c r="W126" t="s">
        <v>231</v>
      </c>
      <c r="X126" t="s">
        <v>3523</v>
      </c>
      <c r="Y126" t="s">
        <v>231</v>
      </c>
      <c r="Z126" t="s">
        <v>160</v>
      </c>
      <c r="AA126" t="s">
        <v>151</v>
      </c>
      <c r="AB126" t="s">
        <v>151</v>
      </c>
      <c r="AC126" t="s">
        <v>343</v>
      </c>
      <c r="AD126" t="s">
        <v>343</v>
      </c>
      <c r="AE126" t="s">
        <v>344</v>
      </c>
      <c r="AF126" t="s">
        <v>3561</v>
      </c>
      <c r="AG126" t="s">
        <v>3562</v>
      </c>
      <c r="AH126" t="s">
        <v>4194</v>
      </c>
      <c r="AI126" t="s">
        <v>4195</v>
      </c>
      <c r="AJ126" t="s">
        <v>3918</v>
      </c>
      <c r="AK126" t="s">
        <v>4196</v>
      </c>
      <c r="AL126" t="s">
        <v>3566</v>
      </c>
      <c r="AM126" t="s">
        <v>3531</v>
      </c>
      <c r="AN126" t="s">
        <v>4197</v>
      </c>
      <c r="AO126" t="s">
        <v>4198</v>
      </c>
      <c r="AP126" t="s">
        <v>231</v>
      </c>
      <c r="AQ126" t="s">
        <v>231</v>
      </c>
      <c r="AR126" t="s">
        <v>231</v>
      </c>
      <c r="AS126" t="s">
        <v>231</v>
      </c>
      <c r="AT126" t="s">
        <v>231</v>
      </c>
      <c r="AU126" t="s">
        <v>231</v>
      </c>
      <c r="AV126" t="s">
        <v>231</v>
      </c>
      <c r="AW126" t="s">
        <v>231</v>
      </c>
      <c r="AX126" t="s">
        <v>231</v>
      </c>
      <c r="AY126" t="s">
        <v>231</v>
      </c>
      <c r="AZ126" t="s">
        <v>231</v>
      </c>
      <c r="BA126" t="s">
        <v>231</v>
      </c>
      <c r="BB126" t="s">
        <v>231</v>
      </c>
      <c r="BC126" t="s">
        <v>231</v>
      </c>
      <c r="BD126" t="s">
        <v>231</v>
      </c>
      <c r="BE126" t="s">
        <v>231</v>
      </c>
      <c r="BF126" t="s">
        <v>231</v>
      </c>
      <c r="BG126" t="s">
        <v>231</v>
      </c>
      <c r="BH126" t="s">
        <v>231</v>
      </c>
      <c r="BI126" t="s">
        <v>231</v>
      </c>
      <c r="BJ126" t="s">
        <v>231</v>
      </c>
      <c r="BK126" t="s">
        <v>231</v>
      </c>
      <c r="BL126" t="s">
        <v>231</v>
      </c>
      <c r="BM126" t="s">
        <v>231</v>
      </c>
      <c r="BN126" t="s">
        <v>231</v>
      </c>
      <c r="BO126" t="s">
        <v>231</v>
      </c>
      <c r="BP126" t="s">
        <v>231</v>
      </c>
      <c r="BQ126" t="s">
        <v>231</v>
      </c>
      <c r="BR126" t="s">
        <v>231</v>
      </c>
      <c r="BS126" t="s">
        <v>231</v>
      </c>
      <c r="BT126" t="s">
        <v>231</v>
      </c>
      <c r="BU126" t="s">
        <v>231</v>
      </c>
      <c r="BV126" t="s">
        <v>231</v>
      </c>
      <c r="BW126" t="s">
        <v>231</v>
      </c>
      <c r="BX126" t="s">
        <v>231</v>
      </c>
      <c r="BY126" t="s">
        <v>231</v>
      </c>
      <c r="BZ126" t="s">
        <v>231</v>
      </c>
      <c r="CA126" t="s">
        <v>231</v>
      </c>
      <c r="CB126" t="s">
        <v>231</v>
      </c>
      <c r="CC126" t="s">
        <v>231</v>
      </c>
      <c r="CD126" t="s">
        <v>231</v>
      </c>
      <c r="CE126" t="s">
        <v>231</v>
      </c>
      <c r="CF126" t="s">
        <v>231</v>
      </c>
      <c r="CG126" t="s">
        <v>231</v>
      </c>
      <c r="CH126" t="s">
        <v>231</v>
      </c>
      <c r="CI126" t="s">
        <v>231</v>
      </c>
      <c r="CJ126" t="s">
        <v>231</v>
      </c>
      <c r="CK126" t="s">
        <v>231</v>
      </c>
      <c r="CL126" t="s">
        <v>231</v>
      </c>
      <c r="CM126" t="s">
        <v>231</v>
      </c>
      <c r="CN126" t="s">
        <v>231</v>
      </c>
      <c r="CO126" t="s">
        <v>231</v>
      </c>
      <c r="CP126" t="s">
        <v>231</v>
      </c>
      <c r="CQ126" t="s">
        <v>231</v>
      </c>
      <c r="CR126" t="s">
        <v>231</v>
      </c>
      <c r="CS126" t="s">
        <v>231</v>
      </c>
      <c r="CT126" t="s">
        <v>3534</v>
      </c>
      <c r="CU126" t="s">
        <v>3535</v>
      </c>
      <c r="CV126" t="s">
        <v>3536</v>
      </c>
      <c r="CW126" t="s">
        <v>3569</v>
      </c>
      <c r="CX126" t="s">
        <v>3570</v>
      </c>
      <c r="CY126" t="s">
        <v>3536</v>
      </c>
      <c r="CZ126" t="s">
        <v>224</v>
      </c>
      <c r="DA126" t="s">
        <v>3571</v>
      </c>
      <c r="DB126" t="s">
        <v>3569</v>
      </c>
      <c r="DC126" t="s">
        <v>363</v>
      </c>
      <c r="DD126" t="s">
        <v>282</v>
      </c>
      <c r="DE126" t="s">
        <v>4199</v>
      </c>
    </row>
    <row r="127" spans="1:109" ht="11.25" customHeight="1">
      <c r="A127" s="1314" t="s">
        <v>231</v>
      </c>
      <c r="B127" t="s">
        <v>231</v>
      </c>
      <c r="C127" t="s">
        <v>231</v>
      </c>
      <c r="D127" t="s">
        <v>231</v>
      </c>
      <c r="E127" t="s">
        <v>231</v>
      </c>
      <c r="F127" t="s">
        <v>231</v>
      </c>
      <c r="G127" t="s">
        <v>231</v>
      </c>
      <c r="H127" t="s">
        <v>231</v>
      </c>
      <c r="I127" t="s">
        <v>3521</v>
      </c>
      <c r="J127" t="s">
        <v>231</v>
      </c>
      <c r="K127" t="s">
        <v>231</v>
      </c>
      <c r="L127" t="s">
        <v>231</v>
      </c>
      <c r="M127" t="s">
        <v>231</v>
      </c>
      <c r="N127" t="s">
        <v>231</v>
      </c>
      <c r="O127" t="s">
        <v>231</v>
      </c>
      <c r="P127" t="s">
        <v>231</v>
      </c>
      <c r="Q127" t="s">
        <v>231</v>
      </c>
      <c r="R127" t="s">
        <v>4200</v>
      </c>
      <c r="S127" t="s">
        <v>231</v>
      </c>
      <c r="T127" t="s">
        <v>231</v>
      </c>
      <c r="U127" t="s">
        <v>101</v>
      </c>
      <c r="V127" t="s">
        <v>231</v>
      </c>
      <c r="W127" t="s">
        <v>231</v>
      </c>
      <c r="X127" t="s">
        <v>3628</v>
      </c>
      <c r="Y127" t="s">
        <v>231</v>
      </c>
      <c r="Z127" t="s">
        <v>151</v>
      </c>
      <c r="AA127" t="s">
        <v>151</v>
      </c>
      <c r="AB127" t="s">
        <v>160</v>
      </c>
      <c r="AC127" t="s">
        <v>2289</v>
      </c>
      <c r="AD127" t="s">
        <v>2289</v>
      </c>
      <c r="AE127" t="s">
        <v>2290</v>
      </c>
      <c r="AF127" t="s">
        <v>3816</v>
      </c>
      <c r="AG127" t="s">
        <v>3817</v>
      </c>
      <c r="AH127" t="s">
        <v>3618</v>
      </c>
      <c r="AI127" t="s">
        <v>3618</v>
      </c>
      <c r="AJ127" t="s">
        <v>231</v>
      </c>
      <c r="AK127" t="s">
        <v>231</v>
      </c>
      <c r="AL127" t="s">
        <v>231</v>
      </c>
      <c r="AM127" t="s">
        <v>231</v>
      </c>
      <c r="AN127" t="s">
        <v>231</v>
      </c>
      <c r="AO127" t="s">
        <v>231</v>
      </c>
      <c r="AP127" t="s">
        <v>231</v>
      </c>
      <c r="AQ127" t="s">
        <v>231</v>
      </c>
      <c r="AR127" t="s">
        <v>231</v>
      </c>
      <c r="AS127" t="s">
        <v>231</v>
      </c>
      <c r="AT127" t="s">
        <v>231</v>
      </c>
      <c r="AU127" t="s">
        <v>231</v>
      </c>
      <c r="AV127" t="s">
        <v>231</v>
      </c>
      <c r="AW127" t="s">
        <v>231</v>
      </c>
      <c r="AX127" t="s">
        <v>231</v>
      </c>
      <c r="AY127" t="s">
        <v>231</v>
      </c>
      <c r="AZ127" t="s">
        <v>231</v>
      </c>
      <c r="BA127" t="s">
        <v>231</v>
      </c>
      <c r="BB127" t="s">
        <v>231</v>
      </c>
      <c r="BC127" t="s">
        <v>231</v>
      </c>
      <c r="BD127" t="s">
        <v>231</v>
      </c>
      <c r="BE127" t="s">
        <v>3594</v>
      </c>
      <c r="BF127" t="s">
        <v>3586</v>
      </c>
      <c r="BG127" t="s">
        <v>111</v>
      </c>
      <c r="BH127" t="s">
        <v>3632</v>
      </c>
      <c r="BI127" t="s">
        <v>122</v>
      </c>
      <c r="BJ127" t="s">
        <v>231</v>
      </c>
      <c r="BK127" t="s">
        <v>3651</v>
      </c>
      <c r="BL127" t="s">
        <v>2289</v>
      </c>
      <c r="BM127" t="s">
        <v>2289</v>
      </c>
      <c r="BN127" t="s">
        <v>3707</v>
      </c>
      <c r="BO127" t="s">
        <v>3816</v>
      </c>
      <c r="BP127" t="s">
        <v>4201</v>
      </c>
      <c r="BQ127" t="s">
        <v>3618</v>
      </c>
      <c r="BR127" t="s">
        <v>3618</v>
      </c>
      <c r="BS127" t="s">
        <v>231</v>
      </c>
      <c r="BT127" t="s">
        <v>3694</v>
      </c>
      <c r="BU127" t="s">
        <v>4202</v>
      </c>
      <c r="BV127" t="s">
        <v>4202</v>
      </c>
      <c r="BW127" t="s">
        <v>3641</v>
      </c>
      <c r="BX127" t="s">
        <v>3641</v>
      </c>
      <c r="BY127" t="s">
        <v>3641</v>
      </c>
      <c r="BZ127" t="s">
        <v>3641</v>
      </c>
      <c r="CA127" t="s">
        <v>3641</v>
      </c>
      <c r="CB127" t="s">
        <v>231</v>
      </c>
      <c r="CC127" t="s">
        <v>231</v>
      </c>
      <c r="CD127" t="s">
        <v>231</v>
      </c>
      <c r="CE127" t="s">
        <v>231</v>
      </c>
      <c r="CF127" t="s">
        <v>231</v>
      </c>
      <c r="CG127" t="s">
        <v>3641</v>
      </c>
      <c r="CH127" t="s">
        <v>231</v>
      </c>
      <c r="CI127" t="s">
        <v>231</v>
      </c>
      <c r="CJ127" t="s">
        <v>231</v>
      </c>
      <c r="CK127" t="s">
        <v>231</v>
      </c>
      <c r="CL127" t="s">
        <v>231</v>
      </c>
      <c r="CM127" t="s">
        <v>4202</v>
      </c>
      <c r="CN127" t="s">
        <v>4202</v>
      </c>
      <c r="CO127" t="s">
        <v>231</v>
      </c>
      <c r="CP127" t="s">
        <v>231</v>
      </c>
      <c r="CQ127" t="s">
        <v>231</v>
      </c>
      <c r="CR127" t="s">
        <v>231</v>
      </c>
      <c r="CS127" t="s">
        <v>3710</v>
      </c>
      <c r="CT127" t="s">
        <v>3534</v>
      </c>
      <c r="CU127" t="s">
        <v>3535</v>
      </c>
      <c r="CV127" t="s">
        <v>3536</v>
      </c>
      <c r="CW127" t="s">
        <v>3589</v>
      </c>
      <c r="CX127" t="s">
        <v>223</v>
      </c>
      <c r="CY127" t="s">
        <v>3536</v>
      </c>
      <c r="CZ127" t="s">
        <v>3590</v>
      </c>
      <c r="DA127" t="s">
        <v>3591</v>
      </c>
      <c r="DB127" t="s">
        <v>3589</v>
      </c>
      <c r="DC127" t="s">
        <v>363</v>
      </c>
      <c r="DD127" t="s">
        <v>282</v>
      </c>
      <c r="DE127" t="s">
        <v>4203</v>
      </c>
    </row>
    <row r="128" spans="1:109" ht="11.25" customHeight="1">
      <c r="A128" s="1314" t="s">
        <v>231</v>
      </c>
      <c r="B128" t="s">
        <v>231</v>
      </c>
      <c r="C128" t="s">
        <v>231</v>
      </c>
      <c r="D128" t="s">
        <v>231</v>
      </c>
      <c r="E128" t="s">
        <v>231</v>
      </c>
      <c r="F128" t="s">
        <v>231</v>
      </c>
      <c r="G128" t="s">
        <v>231</v>
      </c>
      <c r="H128" t="s">
        <v>231</v>
      </c>
      <c r="I128" t="s">
        <v>3521</v>
      </c>
      <c r="J128" t="s">
        <v>231</v>
      </c>
      <c r="K128" t="s">
        <v>231</v>
      </c>
      <c r="L128" t="s">
        <v>231</v>
      </c>
      <c r="M128" t="s">
        <v>231</v>
      </c>
      <c r="N128" t="s">
        <v>231</v>
      </c>
      <c r="O128" t="s">
        <v>231</v>
      </c>
      <c r="P128" t="s">
        <v>231</v>
      </c>
      <c r="Q128" t="s">
        <v>231</v>
      </c>
      <c r="R128" t="s">
        <v>4204</v>
      </c>
      <c r="S128" t="s">
        <v>231</v>
      </c>
      <c r="T128" t="s">
        <v>231</v>
      </c>
      <c r="U128" t="s">
        <v>101</v>
      </c>
      <c r="V128" t="s">
        <v>231</v>
      </c>
      <c r="W128" t="s">
        <v>231</v>
      </c>
      <c r="X128" t="s">
        <v>3628</v>
      </c>
      <c r="Y128" t="s">
        <v>231</v>
      </c>
      <c r="Z128" t="s">
        <v>151</v>
      </c>
      <c r="AA128" t="s">
        <v>151</v>
      </c>
      <c r="AB128" t="s">
        <v>160</v>
      </c>
      <c r="AC128" t="s">
        <v>2289</v>
      </c>
      <c r="AD128" t="s">
        <v>2289</v>
      </c>
      <c r="AE128" t="s">
        <v>2290</v>
      </c>
      <c r="AF128" t="s">
        <v>3816</v>
      </c>
      <c r="AG128" t="s">
        <v>3817</v>
      </c>
      <c r="AH128" t="s">
        <v>3618</v>
      </c>
      <c r="AI128" t="s">
        <v>3618</v>
      </c>
      <c r="AJ128" t="s">
        <v>231</v>
      </c>
      <c r="AK128" t="s">
        <v>231</v>
      </c>
      <c r="AL128" t="s">
        <v>231</v>
      </c>
      <c r="AM128" t="s">
        <v>231</v>
      </c>
      <c r="AN128" t="s">
        <v>231</v>
      </c>
      <c r="AO128" t="s">
        <v>231</v>
      </c>
      <c r="AP128" t="s">
        <v>231</v>
      </c>
      <c r="AQ128" t="s">
        <v>231</v>
      </c>
      <c r="AR128" t="s">
        <v>231</v>
      </c>
      <c r="AS128" t="s">
        <v>231</v>
      </c>
      <c r="AT128" t="s">
        <v>231</v>
      </c>
      <c r="AU128" t="s">
        <v>231</v>
      </c>
      <c r="AV128" t="s">
        <v>231</v>
      </c>
      <c r="AW128" t="s">
        <v>231</v>
      </c>
      <c r="AX128" t="s">
        <v>231</v>
      </c>
      <c r="AY128" t="s">
        <v>231</v>
      </c>
      <c r="AZ128" t="s">
        <v>231</v>
      </c>
      <c r="BA128" t="s">
        <v>231</v>
      </c>
      <c r="BB128" t="s">
        <v>231</v>
      </c>
      <c r="BC128" t="s">
        <v>231</v>
      </c>
      <c r="BD128" t="s">
        <v>231</v>
      </c>
      <c r="BE128" t="s">
        <v>3594</v>
      </c>
      <c r="BF128" t="s">
        <v>3586</v>
      </c>
      <c r="BG128" t="s">
        <v>111</v>
      </c>
      <c r="BH128" t="s">
        <v>3632</v>
      </c>
      <c r="BI128" t="s">
        <v>122</v>
      </c>
      <c r="BJ128" t="s">
        <v>231</v>
      </c>
      <c r="BK128" t="s">
        <v>3651</v>
      </c>
      <c r="BL128" t="s">
        <v>2289</v>
      </c>
      <c r="BM128" t="s">
        <v>2289</v>
      </c>
      <c r="BN128" t="s">
        <v>3707</v>
      </c>
      <c r="BO128" t="s">
        <v>3816</v>
      </c>
      <c r="BP128" t="s">
        <v>4201</v>
      </c>
      <c r="BQ128" t="s">
        <v>3618</v>
      </c>
      <c r="BR128" t="s">
        <v>3618</v>
      </c>
      <c r="BS128" t="s">
        <v>231</v>
      </c>
      <c r="BT128" t="s">
        <v>4205</v>
      </c>
      <c r="BU128" t="s">
        <v>4206</v>
      </c>
      <c r="BV128" t="s">
        <v>4206</v>
      </c>
      <c r="BW128" t="s">
        <v>3641</v>
      </c>
      <c r="BX128" t="s">
        <v>3641</v>
      </c>
      <c r="BY128" t="s">
        <v>3641</v>
      </c>
      <c r="BZ128" t="s">
        <v>3641</v>
      </c>
      <c r="CA128" t="s">
        <v>3641</v>
      </c>
      <c r="CB128" t="s">
        <v>231</v>
      </c>
      <c r="CC128" t="s">
        <v>231</v>
      </c>
      <c r="CD128" t="s">
        <v>231</v>
      </c>
      <c r="CE128" t="s">
        <v>231</v>
      </c>
      <c r="CF128" t="s">
        <v>231</v>
      </c>
      <c r="CG128" t="s">
        <v>3641</v>
      </c>
      <c r="CH128" t="s">
        <v>231</v>
      </c>
      <c r="CI128" t="s">
        <v>231</v>
      </c>
      <c r="CJ128" t="s">
        <v>231</v>
      </c>
      <c r="CK128" t="s">
        <v>231</v>
      </c>
      <c r="CL128" t="s">
        <v>231</v>
      </c>
      <c r="CM128" t="s">
        <v>4206</v>
      </c>
      <c r="CN128" t="s">
        <v>4206</v>
      </c>
      <c r="CO128" t="s">
        <v>231</v>
      </c>
      <c r="CP128" t="s">
        <v>231</v>
      </c>
      <c r="CQ128" t="s">
        <v>231</v>
      </c>
      <c r="CR128" t="s">
        <v>231</v>
      </c>
      <c r="CS128" t="s">
        <v>3710</v>
      </c>
      <c r="CT128" t="s">
        <v>3534</v>
      </c>
      <c r="CU128" t="s">
        <v>3535</v>
      </c>
      <c r="CV128" t="s">
        <v>3536</v>
      </c>
      <c r="CW128" t="s">
        <v>3589</v>
      </c>
      <c r="CX128" t="s">
        <v>223</v>
      </c>
      <c r="CY128" t="s">
        <v>3536</v>
      </c>
      <c r="CZ128" t="s">
        <v>3590</v>
      </c>
      <c r="DA128" t="s">
        <v>3591</v>
      </c>
      <c r="DB128" t="s">
        <v>3589</v>
      </c>
      <c r="DC128" t="s">
        <v>363</v>
      </c>
      <c r="DD128" t="s">
        <v>282</v>
      </c>
      <c r="DE128" t="s">
        <v>4203</v>
      </c>
    </row>
    <row r="129" spans="1:109" ht="11.25" customHeight="1">
      <c r="A129" s="1314" t="s">
        <v>231</v>
      </c>
      <c r="B129" t="s">
        <v>231</v>
      </c>
      <c r="C129" t="s">
        <v>231</v>
      </c>
      <c r="D129" t="s">
        <v>231</v>
      </c>
      <c r="E129" t="s">
        <v>231</v>
      </c>
      <c r="F129" t="s">
        <v>231</v>
      </c>
      <c r="G129" t="s">
        <v>231</v>
      </c>
      <c r="H129" t="s">
        <v>231</v>
      </c>
      <c r="I129" t="s">
        <v>3521</v>
      </c>
      <c r="J129" t="s">
        <v>231</v>
      </c>
      <c r="K129" t="s">
        <v>231</v>
      </c>
      <c r="L129" t="s">
        <v>231</v>
      </c>
      <c r="M129" t="s">
        <v>231</v>
      </c>
      <c r="N129" t="s">
        <v>231</v>
      </c>
      <c r="O129" t="s">
        <v>231</v>
      </c>
      <c r="P129" t="s">
        <v>231</v>
      </c>
      <c r="Q129" t="s">
        <v>231</v>
      </c>
      <c r="R129" t="s">
        <v>4207</v>
      </c>
      <c r="S129" t="s">
        <v>231</v>
      </c>
      <c r="T129" t="s">
        <v>231</v>
      </c>
      <c r="U129" t="s">
        <v>101</v>
      </c>
      <c r="V129" t="s">
        <v>231</v>
      </c>
      <c r="W129" t="s">
        <v>231</v>
      </c>
      <c r="X129" t="s">
        <v>3628</v>
      </c>
      <c r="Y129" t="s">
        <v>231</v>
      </c>
      <c r="Z129" t="s">
        <v>151</v>
      </c>
      <c r="AA129" t="s">
        <v>151</v>
      </c>
      <c r="AB129" t="s">
        <v>160</v>
      </c>
      <c r="AC129" t="s">
        <v>2289</v>
      </c>
      <c r="AD129" t="s">
        <v>2289</v>
      </c>
      <c r="AE129" t="s">
        <v>2290</v>
      </c>
      <c r="AF129" t="s">
        <v>3816</v>
      </c>
      <c r="AG129" t="s">
        <v>3817</v>
      </c>
      <c r="AH129" t="s">
        <v>4208</v>
      </c>
      <c r="AI129" t="s">
        <v>4209</v>
      </c>
      <c r="AJ129" t="s">
        <v>231</v>
      </c>
      <c r="AK129" t="s">
        <v>231</v>
      </c>
      <c r="AL129" t="s">
        <v>231</v>
      </c>
      <c r="AM129" t="s">
        <v>231</v>
      </c>
      <c r="AN129" t="s">
        <v>231</v>
      </c>
      <c r="AO129" t="s">
        <v>231</v>
      </c>
      <c r="AP129" t="s">
        <v>231</v>
      </c>
      <c r="AQ129" t="s">
        <v>231</v>
      </c>
      <c r="AR129" t="s">
        <v>231</v>
      </c>
      <c r="AS129" t="s">
        <v>231</v>
      </c>
      <c r="AT129" t="s">
        <v>231</v>
      </c>
      <c r="AU129" t="s">
        <v>231</v>
      </c>
      <c r="AV129" t="s">
        <v>231</v>
      </c>
      <c r="AW129" t="s">
        <v>231</v>
      </c>
      <c r="AX129" t="s">
        <v>231</v>
      </c>
      <c r="AY129" t="s">
        <v>231</v>
      </c>
      <c r="AZ129" t="s">
        <v>231</v>
      </c>
      <c r="BA129" t="s">
        <v>231</v>
      </c>
      <c r="BB129" t="s">
        <v>231</v>
      </c>
      <c r="BC129" t="s">
        <v>231</v>
      </c>
      <c r="BD129" t="s">
        <v>231</v>
      </c>
      <c r="BE129" t="s">
        <v>3594</v>
      </c>
      <c r="BF129" t="s">
        <v>3586</v>
      </c>
      <c r="BG129" t="s">
        <v>111</v>
      </c>
      <c r="BH129" t="s">
        <v>3632</v>
      </c>
      <c r="BI129" t="s">
        <v>122</v>
      </c>
      <c r="BJ129" t="s">
        <v>231</v>
      </c>
      <c r="BK129" t="s">
        <v>3651</v>
      </c>
      <c r="BL129" t="s">
        <v>2289</v>
      </c>
      <c r="BM129" t="s">
        <v>2289</v>
      </c>
      <c r="BN129" t="s">
        <v>3707</v>
      </c>
      <c r="BO129" t="s">
        <v>3816</v>
      </c>
      <c r="BP129" t="s">
        <v>4201</v>
      </c>
      <c r="BQ129" t="s">
        <v>4208</v>
      </c>
      <c r="BR129" t="s">
        <v>4209</v>
      </c>
      <c r="BS129" t="s">
        <v>231</v>
      </c>
      <c r="BT129" t="s">
        <v>4205</v>
      </c>
      <c r="BU129" t="s">
        <v>4210</v>
      </c>
      <c r="BV129" t="s">
        <v>4210</v>
      </c>
      <c r="BW129" t="s">
        <v>3641</v>
      </c>
      <c r="BX129" t="s">
        <v>3641</v>
      </c>
      <c r="BY129" t="s">
        <v>3641</v>
      </c>
      <c r="BZ129" t="s">
        <v>3641</v>
      </c>
      <c r="CA129" t="s">
        <v>3641</v>
      </c>
      <c r="CB129" t="s">
        <v>231</v>
      </c>
      <c r="CC129" t="s">
        <v>231</v>
      </c>
      <c r="CD129" t="s">
        <v>231</v>
      </c>
      <c r="CE129" t="s">
        <v>231</v>
      </c>
      <c r="CF129" t="s">
        <v>231</v>
      </c>
      <c r="CG129" t="s">
        <v>3641</v>
      </c>
      <c r="CH129" t="s">
        <v>231</v>
      </c>
      <c r="CI129" t="s">
        <v>231</v>
      </c>
      <c r="CJ129" t="s">
        <v>231</v>
      </c>
      <c r="CK129" t="s">
        <v>231</v>
      </c>
      <c r="CL129" t="s">
        <v>231</v>
      </c>
      <c r="CM129" t="s">
        <v>4210</v>
      </c>
      <c r="CN129" t="s">
        <v>4210</v>
      </c>
      <c r="CO129" t="s">
        <v>231</v>
      </c>
      <c r="CP129" t="s">
        <v>231</v>
      </c>
      <c r="CQ129" t="s">
        <v>231</v>
      </c>
      <c r="CR129" t="s">
        <v>231</v>
      </c>
      <c r="CS129" t="s">
        <v>3710</v>
      </c>
      <c r="CT129" t="s">
        <v>3534</v>
      </c>
      <c r="CU129" t="s">
        <v>3535</v>
      </c>
      <c r="CV129" t="s">
        <v>3536</v>
      </c>
      <c r="CW129" t="s">
        <v>3589</v>
      </c>
      <c r="CX129" t="s">
        <v>223</v>
      </c>
      <c r="CY129" t="s">
        <v>3536</v>
      </c>
      <c r="CZ129" t="s">
        <v>3590</v>
      </c>
      <c r="DA129" t="s">
        <v>3591</v>
      </c>
      <c r="DB129" t="s">
        <v>3589</v>
      </c>
      <c r="DC129" t="s">
        <v>363</v>
      </c>
      <c r="DD129" t="s">
        <v>282</v>
      </c>
      <c r="DE129" t="s">
        <v>4211</v>
      </c>
    </row>
    <row r="130" spans="1:109" ht="11.25" customHeight="1">
      <c r="A130" s="1314" t="s">
        <v>231</v>
      </c>
      <c r="B130" t="s">
        <v>231</v>
      </c>
      <c r="C130" t="s">
        <v>231</v>
      </c>
      <c r="D130" t="s">
        <v>231</v>
      </c>
      <c r="E130" t="s">
        <v>231</v>
      </c>
      <c r="F130" t="s">
        <v>231</v>
      </c>
      <c r="G130" t="s">
        <v>231</v>
      </c>
      <c r="H130" t="s">
        <v>231</v>
      </c>
      <c r="I130" t="s">
        <v>3521</v>
      </c>
      <c r="J130" t="s">
        <v>231</v>
      </c>
      <c r="K130" t="s">
        <v>231</v>
      </c>
      <c r="L130" t="s">
        <v>231</v>
      </c>
      <c r="M130" t="s">
        <v>231</v>
      </c>
      <c r="N130" t="s">
        <v>231</v>
      </c>
      <c r="O130" t="s">
        <v>231</v>
      </c>
      <c r="P130" t="s">
        <v>231</v>
      </c>
      <c r="Q130" t="s">
        <v>231</v>
      </c>
      <c r="R130" t="s">
        <v>3615</v>
      </c>
      <c r="S130" t="s">
        <v>231</v>
      </c>
      <c r="T130" t="s">
        <v>231</v>
      </c>
      <c r="U130" t="s">
        <v>101</v>
      </c>
      <c r="V130" t="s">
        <v>231</v>
      </c>
      <c r="W130" t="s">
        <v>231</v>
      </c>
      <c r="X130" t="s">
        <v>3523</v>
      </c>
      <c r="Y130" t="s">
        <v>231</v>
      </c>
      <c r="Z130" t="s">
        <v>160</v>
      </c>
      <c r="AA130" t="s">
        <v>151</v>
      </c>
      <c r="AB130" t="s">
        <v>151</v>
      </c>
      <c r="AC130" t="s">
        <v>2289</v>
      </c>
      <c r="AD130" t="s">
        <v>2289</v>
      </c>
      <c r="AE130" t="s">
        <v>2290</v>
      </c>
      <c r="AF130" t="s">
        <v>4212</v>
      </c>
      <c r="AG130" t="s">
        <v>4213</v>
      </c>
      <c r="AH130" t="s">
        <v>3728</v>
      </c>
      <c r="AI130" t="s">
        <v>3593</v>
      </c>
      <c r="AJ130" t="s">
        <v>3546</v>
      </c>
      <c r="AK130" t="s">
        <v>3586</v>
      </c>
      <c r="AL130" t="s">
        <v>3548</v>
      </c>
      <c r="AM130" t="s">
        <v>3531</v>
      </c>
      <c r="AN130" t="s">
        <v>3595</v>
      </c>
      <c r="AO130" t="s">
        <v>3830</v>
      </c>
      <c r="AP130" t="s">
        <v>231</v>
      </c>
      <c r="AQ130" t="s">
        <v>231</v>
      </c>
      <c r="AR130" t="s">
        <v>231</v>
      </c>
      <c r="AS130" t="s">
        <v>231</v>
      </c>
      <c r="AT130" t="s">
        <v>231</v>
      </c>
      <c r="AU130" t="s">
        <v>231</v>
      </c>
      <c r="AV130" t="s">
        <v>231</v>
      </c>
      <c r="AW130" t="s">
        <v>231</v>
      </c>
      <c r="AX130" t="s">
        <v>231</v>
      </c>
      <c r="AY130" t="s">
        <v>231</v>
      </c>
      <c r="AZ130" t="s">
        <v>231</v>
      </c>
      <c r="BA130" t="s">
        <v>231</v>
      </c>
      <c r="BB130" t="s">
        <v>231</v>
      </c>
      <c r="BC130" t="s">
        <v>231</v>
      </c>
      <c r="BD130" t="s">
        <v>231</v>
      </c>
      <c r="BE130" t="s">
        <v>231</v>
      </c>
      <c r="BF130" t="s">
        <v>231</v>
      </c>
      <c r="BG130" t="s">
        <v>231</v>
      </c>
      <c r="BH130" t="s">
        <v>231</v>
      </c>
      <c r="BI130" t="s">
        <v>231</v>
      </c>
      <c r="BJ130" t="s">
        <v>231</v>
      </c>
      <c r="BK130" t="s">
        <v>231</v>
      </c>
      <c r="BL130" t="s">
        <v>231</v>
      </c>
      <c r="BM130" t="s">
        <v>231</v>
      </c>
      <c r="BN130" t="s">
        <v>231</v>
      </c>
      <c r="BO130" t="s">
        <v>231</v>
      </c>
      <c r="BP130" t="s">
        <v>231</v>
      </c>
      <c r="BQ130" t="s">
        <v>231</v>
      </c>
      <c r="BR130" t="s">
        <v>231</v>
      </c>
      <c r="BS130" t="s">
        <v>231</v>
      </c>
      <c r="BT130" t="s">
        <v>231</v>
      </c>
      <c r="BU130" t="s">
        <v>231</v>
      </c>
      <c r="BV130" t="s">
        <v>231</v>
      </c>
      <c r="BW130" t="s">
        <v>231</v>
      </c>
      <c r="BX130" t="s">
        <v>231</v>
      </c>
      <c r="BY130" t="s">
        <v>231</v>
      </c>
      <c r="BZ130" t="s">
        <v>231</v>
      </c>
      <c r="CA130" t="s">
        <v>231</v>
      </c>
      <c r="CB130" t="s">
        <v>231</v>
      </c>
      <c r="CC130" t="s">
        <v>231</v>
      </c>
      <c r="CD130" t="s">
        <v>231</v>
      </c>
      <c r="CE130" t="s">
        <v>231</v>
      </c>
      <c r="CF130" t="s">
        <v>231</v>
      </c>
      <c r="CG130" t="s">
        <v>231</v>
      </c>
      <c r="CH130" t="s">
        <v>231</v>
      </c>
      <c r="CI130" t="s">
        <v>231</v>
      </c>
      <c r="CJ130" t="s">
        <v>231</v>
      </c>
      <c r="CK130" t="s">
        <v>231</v>
      </c>
      <c r="CL130" t="s">
        <v>231</v>
      </c>
      <c r="CM130" t="s">
        <v>231</v>
      </c>
      <c r="CN130" t="s">
        <v>231</v>
      </c>
      <c r="CO130" t="s">
        <v>231</v>
      </c>
      <c r="CP130" t="s">
        <v>231</v>
      </c>
      <c r="CQ130" t="s">
        <v>231</v>
      </c>
      <c r="CR130" t="s">
        <v>231</v>
      </c>
      <c r="CS130" t="s">
        <v>231</v>
      </c>
      <c r="CT130" t="s">
        <v>3534</v>
      </c>
      <c r="CU130" t="s">
        <v>3535</v>
      </c>
      <c r="CV130" t="s">
        <v>3536</v>
      </c>
      <c r="CW130" t="s">
        <v>3589</v>
      </c>
      <c r="CX130" t="s">
        <v>223</v>
      </c>
      <c r="CY130" t="s">
        <v>3536</v>
      </c>
      <c r="CZ130" t="s">
        <v>3590</v>
      </c>
      <c r="DA130" t="s">
        <v>3591</v>
      </c>
      <c r="DB130" t="s">
        <v>3589</v>
      </c>
      <c r="DC130" t="s">
        <v>363</v>
      </c>
      <c r="DD130" t="s">
        <v>282</v>
      </c>
      <c r="DE130" t="s">
        <v>4214</v>
      </c>
    </row>
    <row r="131" spans="1:109" ht="11.25" customHeight="1">
      <c r="A131" s="1314" t="s">
        <v>231</v>
      </c>
      <c r="B131" t="s">
        <v>231</v>
      </c>
      <c r="C131" t="s">
        <v>231</v>
      </c>
      <c r="D131" t="s">
        <v>231</v>
      </c>
      <c r="E131" t="s">
        <v>231</v>
      </c>
      <c r="F131" t="s">
        <v>231</v>
      </c>
      <c r="G131" t="s">
        <v>231</v>
      </c>
      <c r="H131" t="s">
        <v>231</v>
      </c>
      <c r="I131" t="s">
        <v>3521</v>
      </c>
      <c r="J131" t="s">
        <v>231</v>
      </c>
      <c r="K131" t="s">
        <v>231</v>
      </c>
      <c r="L131" t="s">
        <v>231</v>
      </c>
      <c r="M131" t="s">
        <v>231</v>
      </c>
      <c r="N131" t="s">
        <v>231</v>
      </c>
      <c r="O131" t="s">
        <v>231</v>
      </c>
      <c r="P131" t="s">
        <v>231</v>
      </c>
      <c r="Q131" t="s">
        <v>231</v>
      </c>
      <c r="R131" t="s">
        <v>4215</v>
      </c>
      <c r="S131" t="s">
        <v>231</v>
      </c>
      <c r="T131" t="s">
        <v>231</v>
      </c>
      <c r="U131" t="s">
        <v>101</v>
      </c>
      <c r="V131" t="s">
        <v>231</v>
      </c>
      <c r="W131" t="s">
        <v>231</v>
      </c>
      <c r="X131" t="s">
        <v>3955</v>
      </c>
      <c r="Y131" t="s">
        <v>231</v>
      </c>
      <c r="Z131" t="s">
        <v>151</v>
      </c>
      <c r="AA131" t="s">
        <v>160</v>
      </c>
      <c r="AB131" t="s">
        <v>151</v>
      </c>
      <c r="AC131" t="s">
        <v>2287</v>
      </c>
      <c r="AD131" t="s">
        <v>2287</v>
      </c>
      <c r="AE131" t="s">
        <v>2288</v>
      </c>
      <c r="AF131" t="s">
        <v>4025</v>
      </c>
      <c r="AG131" t="s">
        <v>4026</v>
      </c>
      <c r="AH131" t="s">
        <v>4022</v>
      </c>
      <c r="AI131" t="s">
        <v>281</v>
      </c>
      <c r="AJ131" t="s">
        <v>231</v>
      </c>
      <c r="AK131" t="s">
        <v>231</v>
      </c>
      <c r="AL131" t="s">
        <v>231</v>
      </c>
      <c r="AM131" t="s">
        <v>231</v>
      </c>
      <c r="AN131" t="s">
        <v>231</v>
      </c>
      <c r="AO131" t="s">
        <v>231</v>
      </c>
      <c r="AP131" t="s">
        <v>3528</v>
      </c>
      <c r="AQ131" t="s">
        <v>3528</v>
      </c>
      <c r="AR131" t="s">
        <v>111</v>
      </c>
      <c r="AS131" t="s">
        <v>3632</v>
      </c>
      <c r="AT131" t="s">
        <v>122</v>
      </c>
      <c r="AU131" t="s">
        <v>231</v>
      </c>
      <c r="AV131" t="s">
        <v>4215</v>
      </c>
      <c r="AW131" t="s">
        <v>2287</v>
      </c>
      <c r="AX131" t="s">
        <v>2287</v>
      </c>
      <c r="AY131" t="s">
        <v>3842</v>
      </c>
      <c r="AZ131" t="s">
        <v>4025</v>
      </c>
      <c r="BA131" t="s">
        <v>4216</v>
      </c>
      <c r="BB131" t="s">
        <v>3618</v>
      </c>
      <c r="BC131" t="s">
        <v>3618</v>
      </c>
      <c r="BD131" t="s">
        <v>3549</v>
      </c>
      <c r="BE131" t="s">
        <v>231</v>
      </c>
      <c r="BF131" t="s">
        <v>231</v>
      </c>
      <c r="BG131" t="s">
        <v>231</v>
      </c>
      <c r="BH131" t="s">
        <v>231</v>
      </c>
      <c r="BI131" t="s">
        <v>231</v>
      </c>
      <c r="BJ131" t="s">
        <v>231</v>
      </c>
      <c r="BK131" t="s">
        <v>231</v>
      </c>
      <c r="BL131" t="s">
        <v>231</v>
      </c>
      <c r="BM131" t="s">
        <v>231</v>
      </c>
      <c r="BN131" t="s">
        <v>231</v>
      </c>
      <c r="BO131" t="s">
        <v>231</v>
      </c>
      <c r="BP131" t="s">
        <v>231</v>
      </c>
      <c r="BQ131" t="s">
        <v>231</v>
      </c>
      <c r="BR131" t="s">
        <v>231</v>
      </c>
      <c r="BS131" t="s">
        <v>231</v>
      </c>
      <c r="BT131" t="s">
        <v>231</v>
      </c>
      <c r="BU131" t="s">
        <v>231</v>
      </c>
      <c r="BV131" t="s">
        <v>231</v>
      </c>
      <c r="BW131" t="s">
        <v>231</v>
      </c>
      <c r="BX131" t="s">
        <v>231</v>
      </c>
      <c r="BY131" t="s">
        <v>231</v>
      </c>
      <c r="BZ131" t="s">
        <v>231</v>
      </c>
      <c r="CA131" t="s">
        <v>231</v>
      </c>
      <c r="CB131" t="s">
        <v>231</v>
      </c>
      <c r="CC131" t="s">
        <v>231</v>
      </c>
      <c r="CD131" t="s">
        <v>231</v>
      </c>
      <c r="CE131" t="s">
        <v>231</v>
      </c>
      <c r="CF131" t="s">
        <v>231</v>
      </c>
      <c r="CG131" t="s">
        <v>231</v>
      </c>
      <c r="CH131" t="s">
        <v>231</v>
      </c>
      <c r="CI131" t="s">
        <v>231</v>
      </c>
      <c r="CJ131" t="s">
        <v>231</v>
      </c>
      <c r="CK131" t="s">
        <v>231</v>
      </c>
      <c r="CL131" t="s">
        <v>231</v>
      </c>
      <c r="CM131" t="s">
        <v>231</v>
      </c>
      <c r="CN131" t="s">
        <v>231</v>
      </c>
      <c r="CO131" t="s">
        <v>231</v>
      </c>
      <c r="CP131" t="s">
        <v>231</v>
      </c>
      <c r="CQ131" t="s">
        <v>231</v>
      </c>
      <c r="CR131" t="s">
        <v>231</v>
      </c>
      <c r="CS131" t="s">
        <v>231</v>
      </c>
      <c r="CT131" t="s">
        <v>3534</v>
      </c>
      <c r="CU131" t="s">
        <v>3535</v>
      </c>
      <c r="CV131" t="s">
        <v>3536</v>
      </c>
      <c r="CW131" t="s">
        <v>3623</v>
      </c>
      <c r="CX131" t="s">
        <v>223</v>
      </c>
      <c r="CY131" t="s">
        <v>3536</v>
      </c>
      <c r="CZ131" t="s">
        <v>3624</v>
      </c>
      <c r="DA131" t="s">
        <v>3625</v>
      </c>
      <c r="DB131" t="s">
        <v>3623</v>
      </c>
      <c r="DC131" t="s">
        <v>363</v>
      </c>
      <c r="DD131" t="s">
        <v>282</v>
      </c>
      <c r="DE131" t="s">
        <v>4028</v>
      </c>
    </row>
    <row r="132" spans="1:109" ht="11.25" customHeight="1">
      <c r="A132" s="1314" t="s">
        <v>231</v>
      </c>
      <c r="B132" t="s">
        <v>231</v>
      </c>
      <c r="C132" t="s">
        <v>231</v>
      </c>
      <c r="D132" t="s">
        <v>231</v>
      </c>
      <c r="E132" t="s">
        <v>231</v>
      </c>
      <c r="F132" t="s">
        <v>231</v>
      </c>
      <c r="G132" t="s">
        <v>231</v>
      </c>
      <c r="H132" t="s">
        <v>231</v>
      </c>
      <c r="I132" t="s">
        <v>3521</v>
      </c>
      <c r="J132" t="s">
        <v>231</v>
      </c>
      <c r="K132" t="s">
        <v>231</v>
      </c>
      <c r="L132" t="s">
        <v>231</v>
      </c>
      <c r="M132" t="s">
        <v>231</v>
      </c>
      <c r="N132" t="s">
        <v>231</v>
      </c>
      <c r="O132" t="s">
        <v>231</v>
      </c>
      <c r="P132" t="s">
        <v>231</v>
      </c>
      <c r="Q132" t="s">
        <v>231</v>
      </c>
      <c r="R132" t="s">
        <v>4217</v>
      </c>
      <c r="S132" t="s">
        <v>231</v>
      </c>
      <c r="T132" t="s">
        <v>231</v>
      </c>
      <c r="U132" t="s">
        <v>101</v>
      </c>
      <c r="V132" t="s">
        <v>231</v>
      </c>
      <c r="W132" t="s">
        <v>231</v>
      </c>
      <c r="X132" t="s">
        <v>3523</v>
      </c>
      <c r="Y132" t="s">
        <v>231</v>
      </c>
      <c r="Z132" t="s">
        <v>160</v>
      </c>
      <c r="AA132" t="s">
        <v>151</v>
      </c>
      <c r="AB132" t="s">
        <v>151</v>
      </c>
      <c r="AC132" t="s">
        <v>343</v>
      </c>
      <c r="AD132" t="s">
        <v>343</v>
      </c>
      <c r="AE132" t="s">
        <v>344</v>
      </c>
      <c r="AF132" t="s">
        <v>3561</v>
      </c>
      <c r="AG132" t="s">
        <v>3562</v>
      </c>
      <c r="AH132" t="s">
        <v>4218</v>
      </c>
      <c r="AI132" t="s">
        <v>4219</v>
      </c>
      <c r="AJ132" t="s">
        <v>3952</v>
      </c>
      <c r="AK132" t="s">
        <v>4220</v>
      </c>
      <c r="AL132" t="s">
        <v>3530</v>
      </c>
      <c r="AM132" t="s">
        <v>3531</v>
      </c>
      <c r="AN132" t="s">
        <v>4221</v>
      </c>
      <c r="AO132" t="s">
        <v>4222</v>
      </c>
      <c r="AP132" t="s">
        <v>231</v>
      </c>
      <c r="AQ132" t="s">
        <v>231</v>
      </c>
      <c r="AR132" t="s">
        <v>231</v>
      </c>
      <c r="AS132" t="s">
        <v>231</v>
      </c>
      <c r="AT132" t="s">
        <v>231</v>
      </c>
      <c r="AU132" t="s">
        <v>231</v>
      </c>
      <c r="AV132" t="s">
        <v>231</v>
      </c>
      <c r="AW132" t="s">
        <v>231</v>
      </c>
      <c r="AX132" t="s">
        <v>231</v>
      </c>
      <c r="AY132" t="s">
        <v>231</v>
      </c>
      <c r="AZ132" t="s">
        <v>231</v>
      </c>
      <c r="BA132" t="s">
        <v>231</v>
      </c>
      <c r="BB132" t="s">
        <v>231</v>
      </c>
      <c r="BC132" t="s">
        <v>231</v>
      </c>
      <c r="BD132" t="s">
        <v>231</v>
      </c>
      <c r="BE132" t="s">
        <v>231</v>
      </c>
      <c r="BF132" t="s">
        <v>231</v>
      </c>
      <c r="BG132" t="s">
        <v>231</v>
      </c>
      <c r="BH132" t="s">
        <v>231</v>
      </c>
      <c r="BI132" t="s">
        <v>231</v>
      </c>
      <c r="BJ132" t="s">
        <v>231</v>
      </c>
      <c r="BK132" t="s">
        <v>231</v>
      </c>
      <c r="BL132" t="s">
        <v>231</v>
      </c>
      <c r="BM132" t="s">
        <v>231</v>
      </c>
      <c r="BN132" t="s">
        <v>231</v>
      </c>
      <c r="BO132" t="s">
        <v>231</v>
      </c>
      <c r="BP132" t="s">
        <v>231</v>
      </c>
      <c r="BQ132" t="s">
        <v>231</v>
      </c>
      <c r="BR132" t="s">
        <v>231</v>
      </c>
      <c r="BS132" t="s">
        <v>231</v>
      </c>
      <c r="BT132" t="s">
        <v>231</v>
      </c>
      <c r="BU132" t="s">
        <v>231</v>
      </c>
      <c r="BV132" t="s">
        <v>231</v>
      </c>
      <c r="BW132" t="s">
        <v>231</v>
      </c>
      <c r="BX132" t="s">
        <v>231</v>
      </c>
      <c r="BY132" t="s">
        <v>231</v>
      </c>
      <c r="BZ132" t="s">
        <v>231</v>
      </c>
      <c r="CA132" t="s">
        <v>231</v>
      </c>
      <c r="CB132" t="s">
        <v>231</v>
      </c>
      <c r="CC132" t="s">
        <v>231</v>
      </c>
      <c r="CD132" t="s">
        <v>231</v>
      </c>
      <c r="CE132" t="s">
        <v>231</v>
      </c>
      <c r="CF132" t="s">
        <v>231</v>
      </c>
      <c r="CG132" t="s">
        <v>231</v>
      </c>
      <c r="CH132" t="s">
        <v>231</v>
      </c>
      <c r="CI132" t="s">
        <v>231</v>
      </c>
      <c r="CJ132" t="s">
        <v>231</v>
      </c>
      <c r="CK132" t="s">
        <v>231</v>
      </c>
      <c r="CL132" t="s">
        <v>231</v>
      </c>
      <c r="CM132" t="s">
        <v>231</v>
      </c>
      <c r="CN132" t="s">
        <v>231</v>
      </c>
      <c r="CO132" t="s">
        <v>231</v>
      </c>
      <c r="CP132" t="s">
        <v>231</v>
      </c>
      <c r="CQ132" t="s">
        <v>231</v>
      </c>
      <c r="CR132" t="s">
        <v>231</v>
      </c>
      <c r="CS132" t="s">
        <v>231</v>
      </c>
      <c r="CT132" t="s">
        <v>3534</v>
      </c>
      <c r="CU132" t="s">
        <v>3535</v>
      </c>
      <c r="CV132" t="s">
        <v>3536</v>
      </c>
      <c r="CW132" t="s">
        <v>3569</v>
      </c>
      <c r="CX132" t="s">
        <v>3570</v>
      </c>
      <c r="CY132" t="s">
        <v>3536</v>
      </c>
      <c r="CZ132" t="s">
        <v>224</v>
      </c>
      <c r="DA132" t="s">
        <v>3571</v>
      </c>
      <c r="DB132" t="s">
        <v>3569</v>
      </c>
      <c r="DC132" t="s">
        <v>363</v>
      </c>
      <c r="DD132" t="s">
        <v>282</v>
      </c>
      <c r="DE132" t="s">
        <v>4223</v>
      </c>
    </row>
    <row r="133" spans="1:109" ht="11.25" customHeight="1">
      <c r="A133" s="1314" t="s">
        <v>231</v>
      </c>
      <c r="B133" t="s">
        <v>231</v>
      </c>
      <c r="C133" t="s">
        <v>231</v>
      </c>
      <c r="D133" t="s">
        <v>231</v>
      </c>
      <c r="E133" t="s">
        <v>231</v>
      </c>
      <c r="F133" t="s">
        <v>231</v>
      </c>
      <c r="G133" t="s">
        <v>231</v>
      </c>
      <c r="H133" t="s">
        <v>231</v>
      </c>
      <c r="I133" t="s">
        <v>3521</v>
      </c>
      <c r="J133" t="s">
        <v>231</v>
      </c>
      <c r="K133" t="s">
        <v>231</v>
      </c>
      <c r="L133" t="s">
        <v>231</v>
      </c>
      <c r="M133" t="s">
        <v>231</v>
      </c>
      <c r="N133" t="s">
        <v>231</v>
      </c>
      <c r="O133" t="s">
        <v>231</v>
      </c>
      <c r="P133" t="s">
        <v>231</v>
      </c>
      <c r="Q133" t="s">
        <v>231</v>
      </c>
      <c r="R133" t="s">
        <v>3651</v>
      </c>
      <c r="S133" t="s">
        <v>231</v>
      </c>
      <c r="T133" t="s">
        <v>231</v>
      </c>
      <c r="U133" t="s">
        <v>101</v>
      </c>
      <c r="V133" t="s">
        <v>231</v>
      </c>
      <c r="W133" t="s">
        <v>231</v>
      </c>
      <c r="X133" t="s">
        <v>3523</v>
      </c>
      <c r="Y133" t="s">
        <v>231</v>
      </c>
      <c r="Z133" t="s">
        <v>160</v>
      </c>
      <c r="AA133" t="s">
        <v>151</v>
      </c>
      <c r="AB133" t="s">
        <v>151</v>
      </c>
      <c r="AC133" t="s">
        <v>2283</v>
      </c>
      <c r="AD133" t="s">
        <v>2283</v>
      </c>
      <c r="AE133" t="s">
        <v>2284</v>
      </c>
      <c r="AF133" t="s">
        <v>3963</v>
      </c>
      <c r="AG133" t="s">
        <v>3964</v>
      </c>
      <c r="AH133" t="s">
        <v>3556</v>
      </c>
      <c r="AI133" t="s">
        <v>4224</v>
      </c>
      <c r="AJ133" t="s">
        <v>3546</v>
      </c>
      <c r="AK133" t="s">
        <v>3547</v>
      </c>
      <c r="AL133" t="s">
        <v>4163</v>
      </c>
      <c r="AM133" t="s">
        <v>3531</v>
      </c>
      <c r="AN133" t="s">
        <v>3549</v>
      </c>
      <c r="AO133" t="s">
        <v>3812</v>
      </c>
      <c r="AP133" t="s">
        <v>231</v>
      </c>
      <c r="AQ133" t="s">
        <v>231</v>
      </c>
      <c r="AR133" t="s">
        <v>231</v>
      </c>
      <c r="AS133" t="s">
        <v>231</v>
      </c>
      <c r="AT133" t="s">
        <v>231</v>
      </c>
      <c r="AU133" t="s">
        <v>231</v>
      </c>
      <c r="AV133" t="s">
        <v>231</v>
      </c>
      <c r="AW133" t="s">
        <v>231</v>
      </c>
      <c r="AX133" t="s">
        <v>231</v>
      </c>
      <c r="AY133" t="s">
        <v>231</v>
      </c>
      <c r="AZ133" t="s">
        <v>231</v>
      </c>
      <c r="BA133" t="s">
        <v>231</v>
      </c>
      <c r="BB133" t="s">
        <v>231</v>
      </c>
      <c r="BC133" t="s">
        <v>231</v>
      </c>
      <c r="BD133" t="s">
        <v>231</v>
      </c>
      <c r="BE133" t="s">
        <v>231</v>
      </c>
      <c r="BF133" t="s">
        <v>231</v>
      </c>
      <c r="BG133" t="s">
        <v>231</v>
      </c>
      <c r="BH133" t="s">
        <v>231</v>
      </c>
      <c r="BI133" t="s">
        <v>231</v>
      </c>
      <c r="BJ133" t="s">
        <v>231</v>
      </c>
      <c r="BK133" t="s">
        <v>231</v>
      </c>
      <c r="BL133" t="s">
        <v>231</v>
      </c>
      <c r="BM133" t="s">
        <v>231</v>
      </c>
      <c r="BN133" t="s">
        <v>231</v>
      </c>
      <c r="BO133" t="s">
        <v>231</v>
      </c>
      <c r="BP133" t="s">
        <v>231</v>
      </c>
      <c r="BQ133" t="s">
        <v>231</v>
      </c>
      <c r="BR133" t="s">
        <v>231</v>
      </c>
      <c r="BS133" t="s">
        <v>231</v>
      </c>
      <c r="BT133" t="s">
        <v>231</v>
      </c>
      <c r="BU133" t="s">
        <v>231</v>
      </c>
      <c r="BV133" t="s">
        <v>231</v>
      </c>
      <c r="BW133" t="s">
        <v>231</v>
      </c>
      <c r="BX133" t="s">
        <v>231</v>
      </c>
      <c r="BY133" t="s">
        <v>231</v>
      </c>
      <c r="BZ133" t="s">
        <v>231</v>
      </c>
      <c r="CA133" t="s">
        <v>231</v>
      </c>
      <c r="CB133" t="s">
        <v>231</v>
      </c>
      <c r="CC133" t="s">
        <v>231</v>
      </c>
      <c r="CD133" t="s">
        <v>231</v>
      </c>
      <c r="CE133" t="s">
        <v>231</v>
      </c>
      <c r="CF133" t="s">
        <v>231</v>
      </c>
      <c r="CG133" t="s">
        <v>231</v>
      </c>
      <c r="CH133" t="s">
        <v>231</v>
      </c>
      <c r="CI133" t="s">
        <v>231</v>
      </c>
      <c r="CJ133" t="s">
        <v>231</v>
      </c>
      <c r="CK133" t="s">
        <v>231</v>
      </c>
      <c r="CL133" t="s">
        <v>231</v>
      </c>
      <c r="CM133" t="s">
        <v>231</v>
      </c>
      <c r="CN133" t="s">
        <v>231</v>
      </c>
      <c r="CO133" t="s">
        <v>231</v>
      </c>
      <c r="CP133" t="s">
        <v>231</v>
      </c>
      <c r="CQ133" t="s">
        <v>231</v>
      </c>
      <c r="CR133" t="s">
        <v>231</v>
      </c>
      <c r="CS133" t="s">
        <v>231</v>
      </c>
      <c r="CT133" t="s">
        <v>3534</v>
      </c>
      <c r="CU133" t="s">
        <v>3535</v>
      </c>
      <c r="CV133" t="s">
        <v>3536</v>
      </c>
      <c r="CW133" t="s">
        <v>3551</v>
      </c>
      <c r="CX133" t="s">
        <v>223</v>
      </c>
      <c r="CY133" t="s">
        <v>3536</v>
      </c>
      <c r="CZ133" t="s">
        <v>3552</v>
      </c>
      <c r="DA133" t="s">
        <v>3553</v>
      </c>
      <c r="DB133" t="s">
        <v>3551</v>
      </c>
      <c r="DC133" t="s">
        <v>363</v>
      </c>
      <c r="DD133" t="s">
        <v>282</v>
      </c>
      <c r="DE133" t="s">
        <v>4225</v>
      </c>
    </row>
    <row r="134" spans="1:109" ht="11.25" customHeight="1">
      <c r="A134" s="1314" t="s">
        <v>231</v>
      </c>
      <c r="B134" t="s">
        <v>231</v>
      </c>
      <c r="C134" t="s">
        <v>231</v>
      </c>
      <c r="D134" t="s">
        <v>231</v>
      </c>
      <c r="E134" t="s">
        <v>231</v>
      </c>
      <c r="F134" t="s">
        <v>231</v>
      </c>
      <c r="G134" t="s">
        <v>231</v>
      </c>
      <c r="H134" t="s">
        <v>231</v>
      </c>
      <c r="I134" t="s">
        <v>3521</v>
      </c>
      <c r="J134" t="s">
        <v>231</v>
      </c>
      <c r="K134" t="s">
        <v>231</v>
      </c>
      <c r="L134" t="s">
        <v>231</v>
      </c>
      <c r="M134" t="s">
        <v>231</v>
      </c>
      <c r="N134" t="s">
        <v>231</v>
      </c>
      <c r="O134" t="s">
        <v>231</v>
      </c>
      <c r="P134" t="s">
        <v>231</v>
      </c>
      <c r="Q134" t="s">
        <v>231</v>
      </c>
      <c r="R134" t="s">
        <v>4226</v>
      </c>
      <c r="S134" t="s">
        <v>231</v>
      </c>
      <c r="T134" t="s">
        <v>231</v>
      </c>
      <c r="U134" t="s">
        <v>101</v>
      </c>
      <c r="V134" t="s">
        <v>231</v>
      </c>
      <c r="W134" t="s">
        <v>231</v>
      </c>
      <c r="X134" t="s">
        <v>3523</v>
      </c>
      <c r="Y134" t="s">
        <v>231</v>
      </c>
      <c r="Z134" t="s">
        <v>160</v>
      </c>
      <c r="AA134" t="s">
        <v>151</v>
      </c>
      <c r="AB134" t="s">
        <v>151</v>
      </c>
      <c r="AC134" t="s">
        <v>343</v>
      </c>
      <c r="AD134" t="s">
        <v>343</v>
      </c>
      <c r="AE134" t="s">
        <v>344</v>
      </c>
      <c r="AF134" t="s">
        <v>3561</v>
      </c>
      <c r="AG134" t="s">
        <v>3562</v>
      </c>
      <c r="AH134" t="s">
        <v>4227</v>
      </c>
      <c r="AI134" t="s">
        <v>4228</v>
      </c>
      <c r="AJ134" t="s">
        <v>3760</v>
      </c>
      <c r="AK134" t="s">
        <v>4229</v>
      </c>
      <c r="AL134" t="s">
        <v>3530</v>
      </c>
      <c r="AM134" t="s">
        <v>3531</v>
      </c>
      <c r="AN134" t="s">
        <v>4230</v>
      </c>
      <c r="AO134" t="s">
        <v>4231</v>
      </c>
      <c r="AP134" t="s">
        <v>231</v>
      </c>
      <c r="AQ134" t="s">
        <v>231</v>
      </c>
      <c r="AR134" t="s">
        <v>231</v>
      </c>
      <c r="AS134" t="s">
        <v>231</v>
      </c>
      <c r="AT134" t="s">
        <v>231</v>
      </c>
      <c r="AU134" t="s">
        <v>231</v>
      </c>
      <c r="AV134" t="s">
        <v>231</v>
      </c>
      <c r="AW134" t="s">
        <v>231</v>
      </c>
      <c r="AX134" t="s">
        <v>231</v>
      </c>
      <c r="AY134" t="s">
        <v>231</v>
      </c>
      <c r="AZ134" t="s">
        <v>231</v>
      </c>
      <c r="BA134" t="s">
        <v>231</v>
      </c>
      <c r="BB134" t="s">
        <v>231</v>
      </c>
      <c r="BC134" t="s">
        <v>231</v>
      </c>
      <c r="BD134" t="s">
        <v>231</v>
      </c>
      <c r="BE134" t="s">
        <v>231</v>
      </c>
      <c r="BF134" t="s">
        <v>231</v>
      </c>
      <c r="BG134" t="s">
        <v>231</v>
      </c>
      <c r="BH134" t="s">
        <v>231</v>
      </c>
      <c r="BI134" t="s">
        <v>231</v>
      </c>
      <c r="BJ134" t="s">
        <v>231</v>
      </c>
      <c r="BK134" t="s">
        <v>231</v>
      </c>
      <c r="BL134" t="s">
        <v>231</v>
      </c>
      <c r="BM134" t="s">
        <v>231</v>
      </c>
      <c r="BN134" t="s">
        <v>231</v>
      </c>
      <c r="BO134" t="s">
        <v>231</v>
      </c>
      <c r="BP134" t="s">
        <v>231</v>
      </c>
      <c r="BQ134" t="s">
        <v>231</v>
      </c>
      <c r="BR134" t="s">
        <v>231</v>
      </c>
      <c r="BS134" t="s">
        <v>231</v>
      </c>
      <c r="BT134" t="s">
        <v>231</v>
      </c>
      <c r="BU134" t="s">
        <v>231</v>
      </c>
      <c r="BV134" t="s">
        <v>231</v>
      </c>
      <c r="BW134" t="s">
        <v>231</v>
      </c>
      <c r="BX134" t="s">
        <v>231</v>
      </c>
      <c r="BY134" t="s">
        <v>231</v>
      </c>
      <c r="BZ134" t="s">
        <v>231</v>
      </c>
      <c r="CA134" t="s">
        <v>231</v>
      </c>
      <c r="CB134" t="s">
        <v>231</v>
      </c>
      <c r="CC134" t="s">
        <v>231</v>
      </c>
      <c r="CD134" t="s">
        <v>231</v>
      </c>
      <c r="CE134" t="s">
        <v>231</v>
      </c>
      <c r="CF134" t="s">
        <v>231</v>
      </c>
      <c r="CG134" t="s">
        <v>231</v>
      </c>
      <c r="CH134" t="s">
        <v>231</v>
      </c>
      <c r="CI134" t="s">
        <v>231</v>
      </c>
      <c r="CJ134" t="s">
        <v>231</v>
      </c>
      <c r="CK134" t="s">
        <v>231</v>
      </c>
      <c r="CL134" t="s">
        <v>231</v>
      </c>
      <c r="CM134" t="s">
        <v>231</v>
      </c>
      <c r="CN134" t="s">
        <v>231</v>
      </c>
      <c r="CO134" t="s">
        <v>231</v>
      </c>
      <c r="CP134" t="s">
        <v>231</v>
      </c>
      <c r="CQ134" t="s">
        <v>231</v>
      </c>
      <c r="CR134" t="s">
        <v>231</v>
      </c>
      <c r="CS134" t="s">
        <v>231</v>
      </c>
      <c r="CT134" t="s">
        <v>3534</v>
      </c>
      <c r="CU134" t="s">
        <v>3535</v>
      </c>
      <c r="CV134" t="s">
        <v>3536</v>
      </c>
      <c r="CW134" t="s">
        <v>3569</v>
      </c>
      <c r="CX134" t="s">
        <v>3570</v>
      </c>
      <c r="CY134" t="s">
        <v>3536</v>
      </c>
      <c r="CZ134" t="s">
        <v>224</v>
      </c>
      <c r="DA134" t="s">
        <v>3571</v>
      </c>
      <c r="DB134" t="s">
        <v>3569</v>
      </c>
      <c r="DC134" t="s">
        <v>363</v>
      </c>
      <c r="DD134" t="s">
        <v>282</v>
      </c>
      <c r="DE134" t="s">
        <v>4232</v>
      </c>
    </row>
    <row r="135" spans="1:109" ht="11.25" customHeight="1">
      <c r="A135" s="1314" t="s">
        <v>231</v>
      </c>
      <c r="B135" t="s">
        <v>231</v>
      </c>
      <c r="C135" t="s">
        <v>231</v>
      </c>
      <c r="D135" t="s">
        <v>231</v>
      </c>
      <c r="E135" t="s">
        <v>231</v>
      </c>
      <c r="F135" t="s">
        <v>231</v>
      </c>
      <c r="G135" t="s">
        <v>231</v>
      </c>
      <c r="H135" t="s">
        <v>231</v>
      </c>
      <c r="I135" t="s">
        <v>3521</v>
      </c>
      <c r="J135" t="s">
        <v>231</v>
      </c>
      <c r="K135" t="s">
        <v>231</v>
      </c>
      <c r="L135" t="s">
        <v>231</v>
      </c>
      <c r="M135" t="s">
        <v>231</v>
      </c>
      <c r="N135" t="s">
        <v>231</v>
      </c>
      <c r="O135" t="s">
        <v>231</v>
      </c>
      <c r="P135" t="s">
        <v>231</v>
      </c>
      <c r="Q135" t="s">
        <v>231</v>
      </c>
      <c r="R135" t="s">
        <v>4233</v>
      </c>
      <c r="S135" t="s">
        <v>231</v>
      </c>
      <c r="T135" t="s">
        <v>231</v>
      </c>
      <c r="U135" t="s">
        <v>101</v>
      </c>
      <c r="V135" t="s">
        <v>231</v>
      </c>
      <c r="W135" t="s">
        <v>231</v>
      </c>
      <c r="X135" t="s">
        <v>3628</v>
      </c>
      <c r="Y135" t="s">
        <v>231</v>
      </c>
      <c r="Z135" t="s">
        <v>151</v>
      </c>
      <c r="AA135" t="s">
        <v>151</v>
      </c>
      <c r="AB135" t="s">
        <v>160</v>
      </c>
      <c r="AC135" t="s">
        <v>2289</v>
      </c>
      <c r="AD135" t="s">
        <v>2289</v>
      </c>
      <c r="AE135" t="s">
        <v>2290</v>
      </c>
      <c r="AF135" t="s">
        <v>3582</v>
      </c>
      <c r="AG135" t="s">
        <v>3583</v>
      </c>
      <c r="AH135" t="s">
        <v>3618</v>
      </c>
      <c r="AI135" t="s">
        <v>3618</v>
      </c>
      <c r="AJ135" t="s">
        <v>231</v>
      </c>
      <c r="AK135" t="s">
        <v>231</v>
      </c>
      <c r="AL135" t="s">
        <v>231</v>
      </c>
      <c r="AM135" t="s">
        <v>231</v>
      </c>
      <c r="AN135" t="s">
        <v>231</v>
      </c>
      <c r="AO135" t="s">
        <v>231</v>
      </c>
      <c r="AP135" t="s">
        <v>231</v>
      </c>
      <c r="AQ135" t="s">
        <v>231</v>
      </c>
      <c r="AR135" t="s">
        <v>231</v>
      </c>
      <c r="AS135" t="s">
        <v>231</v>
      </c>
      <c r="AT135" t="s">
        <v>231</v>
      </c>
      <c r="AU135" t="s">
        <v>231</v>
      </c>
      <c r="AV135" t="s">
        <v>231</v>
      </c>
      <c r="AW135" t="s">
        <v>231</v>
      </c>
      <c r="AX135" t="s">
        <v>231</v>
      </c>
      <c r="AY135" t="s">
        <v>231</v>
      </c>
      <c r="AZ135" t="s">
        <v>231</v>
      </c>
      <c r="BA135" t="s">
        <v>231</v>
      </c>
      <c r="BB135" t="s">
        <v>231</v>
      </c>
      <c r="BC135" t="s">
        <v>231</v>
      </c>
      <c r="BD135" t="s">
        <v>231</v>
      </c>
      <c r="BE135" t="s">
        <v>3546</v>
      </c>
      <c r="BF135" t="s">
        <v>3586</v>
      </c>
      <c r="BG135" t="s">
        <v>111</v>
      </c>
      <c r="BH135" t="s">
        <v>3632</v>
      </c>
      <c r="BI135" t="s">
        <v>122</v>
      </c>
      <c r="BJ135" t="s">
        <v>231</v>
      </c>
      <c r="BK135" t="s">
        <v>3651</v>
      </c>
      <c r="BL135" t="s">
        <v>2289</v>
      </c>
      <c r="BM135" t="s">
        <v>2289</v>
      </c>
      <c r="BN135" t="s">
        <v>3707</v>
      </c>
      <c r="BO135" t="s">
        <v>3582</v>
      </c>
      <c r="BP135" t="s">
        <v>4234</v>
      </c>
      <c r="BQ135" t="s">
        <v>3618</v>
      </c>
      <c r="BR135" t="s">
        <v>3618</v>
      </c>
      <c r="BS135" t="s">
        <v>231</v>
      </c>
      <c r="BT135" t="s">
        <v>3694</v>
      </c>
      <c r="BU135" t="s">
        <v>4235</v>
      </c>
      <c r="BV135" t="s">
        <v>4235</v>
      </c>
      <c r="BW135" t="s">
        <v>3641</v>
      </c>
      <c r="BX135" t="s">
        <v>3641</v>
      </c>
      <c r="BY135" t="s">
        <v>3641</v>
      </c>
      <c r="BZ135" t="s">
        <v>3641</v>
      </c>
      <c r="CA135" t="s">
        <v>3641</v>
      </c>
      <c r="CB135" t="s">
        <v>231</v>
      </c>
      <c r="CC135" t="s">
        <v>231</v>
      </c>
      <c r="CD135" t="s">
        <v>231</v>
      </c>
      <c r="CE135" t="s">
        <v>231</v>
      </c>
      <c r="CF135" t="s">
        <v>231</v>
      </c>
      <c r="CG135" t="s">
        <v>3641</v>
      </c>
      <c r="CH135" t="s">
        <v>231</v>
      </c>
      <c r="CI135" t="s">
        <v>231</v>
      </c>
      <c r="CJ135" t="s">
        <v>231</v>
      </c>
      <c r="CK135" t="s">
        <v>231</v>
      </c>
      <c r="CL135" t="s">
        <v>231</v>
      </c>
      <c r="CM135" t="s">
        <v>4235</v>
      </c>
      <c r="CN135" t="s">
        <v>4235</v>
      </c>
      <c r="CO135" t="s">
        <v>231</v>
      </c>
      <c r="CP135" t="s">
        <v>231</v>
      </c>
      <c r="CQ135" t="s">
        <v>231</v>
      </c>
      <c r="CR135" t="s">
        <v>231</v>
      </c>
      <c r="CS135" t="s">
        <v>3710</v>
      </c>
      <c r="CT135" t="s">
        <v>3534</v>
      </c>
      <c r="CU135" t="s">
        <v>3535</v>
      </c>
      <c r="CV135" t="s">
        <v>3536</v>
      </c>
      <c r="CW135" t="s">
        <v>3589</v>
      </c>
      <c r="CX135" t="s">
        <v>223</v>
      </c>
      <c r="CY135" t="s">
        <v>3536</v>
      </c>
      <c r="CZ135" t="s">
        <v>3590</v>
      </c>
      <c r="DA135" t="s">
        <v>3591</v>
      </c>
      <c r="DB135" t="s">
        <v>3589</v>
      </c>
      <c r="DC135" t="s">
        <v>363</v>
      </c>
      <c r="DD135" t="s">
        <v>282</v>
      </c>
      <c r="DE135" t="s">
        <v>4236</v>
      </c>
    </row>
    <row r="136" spans="1:109" ht="11.25" customHeight="1">
      <c r="A136" s="1314" t="s">
        <v>231</v>
      </c>
      <c r="B136" t="s">
        <v>231</v>
      </c>
      <c r="C136" t="s">
        <v>231</v>
      </c>
      <c r="D136" t="s">
        <v>231</v>
      </c>
      <c r="E136" t="s">
        <v>231</v>
      </c>
      <c r="F136" t="s">
        <v>231</v>
      </c>
      <c r="G136" t="s">
        <v>231</v>
      </c>
      <c r="H136" t="s">
        <v>231</v>
      </c>
      <c r="I136" t="s">
        <v>3521</v>
      </c>
      <c r="J136" t="s">
        <v>231</v>
      </c>
      <c r="K136" t="s">
        <v>231</v>
      </c>
      <c r="L136" t="s">
        <v>231</v>
      </c>
      <c r="M136" t="s">
        <v>231</v>
      </c>
      <c r="N136" t="s">
        <v>231</v>
      </c>
      <c r="O136" t="s">
        <v>231</v>
      </c>
      <c r="P136" t="s">
        <v>231</v>
      </c>
      <c r="Q136" t="s">
        <v>231</v>
      </c>
      <c r="R136" t="s">
        <v>4237</v>
      </c>
      <c r="S136" t="s">
        <v>231</v>
      </c>
      <c r="T136" t="s">
        <v>231</v>
      </c>
      <c r="U136" t="s">
        <v>101</v>
      </c>
      <c r="V136" t="s">
        <v>231</v>
      </c>
      <c r="W136" t="s">
        <v>231</v>
      </c>
      <c r="X136" t="s">
        <v>3523</v>
      </c>
      <c r="Y136" t="s">
        <v>231</v>
      </c>
      <c r="Z136" t="s">
        <v>160</v>
      </c>
      <c r="AA136" t="s">
        <v>151</v>
      </c>
      <c r="AB136" t="s">
        <v>151</v>
      </c>
      <c r="AC136" t="s">
        <v>2289</v>
      </c>
      <c r="AD136" t="s">
        <v>2289</v>
      </c>
      <c r="AE136" t="s">
        <v>2290</v>
      </c>
      <c r="AF136" t="s">
        <v>4238</v>
      </c>
      <c r="AG136" t="s">
        <v>4239</v>
      </c>
      <c r="AH136" t="s">
        <v>3714</v>
      </c>
      <c r="AI136" t="s">
        <v>4240</v>
      </c>
      <c r="AJ136" t="s">
        <v>3594</v>
      </c>
      <c r="AK136" t="s">
        <v>3716</v>
      </c>
      <c r="AL136" t="s">
        <v>3548</v>
      </c>
      <c r="AM136" t="s">
        <v>3531</v>
      </c>
      <c r="AN136" t="s">
        <v>3587</v>
      </c>
      <c r="AO136" t="s">
        <v>3550</v>
      </c>
      <c r="AP136" t="s">
        <v>231</v>
      </c>
      <c r="AQ136" t="s">
        <v>231</v>
      </c>
      <c r="AR136" t="s">
        <v>231</v>
      </c>
      <c r="AS136" t="s">
        <v>231</v>
      </c>
      <c r="AT136" t="s">
        <v>231</v>
      </c>
      <c r="AU136" t="s">
        <v>231</v>
      </c>
      <c r="AV136" t="s">
        <v>231</v>
      </c>
      <c r="AW136" t="s">
        <v>231</v>
      </c>
      <c r="AX136" t="s">
        <v>231</v>
      </c>
      <c r="AY136" t="s">
        <v>231</v>
      </c>
      <c r="AZ136" t="s">
        <v>231</v>
      </c>
      <c r="BA136" t="s">
        <v>231</v>
      </c>
      <c r="BB136" t="s">
        <v>231</v>
      </c>
      <c r="BC136" t="s">
        <v>231</v>
      </c>
      <c r="BD136" t="s">
        <v>231</v>
      </c>
      <c r="BE136" t="s">
        <v>231</v>
      </c>
      <c r="BF136" t="s">
        <v>231</v>
      </c>
      <c r="BG136" t="s">
        <v>231</v>
      </c>
      <c r="BH136" t="s">
        <v>231</v>
      </c>
      <c r="BI136" t="s">
        <v>231</v>
      </c>
      <c r="BJ136" t="s">
        <v>231</v>
      </c>
      <c r="BK136" t="s">
        <v>231</v>
      </c>
      <c r="BL136" t="s">
        <v>231</v>
      </c>
      <c r="BM136" t="s">
        <v>231</v>
      </c>
      <c r="BN136" t="s">
        <v>231</v>
      </c>
      <c r="BO136" t="s">
        <v>231</v>
      </c>
      <c r="BP136" t="s">
        <v>231</v>
      </c>
      <c r="BQ136" t="s">
        <v>231</v>
      </c>
      <c r="BR136" t="s">
        <v>231</v>
      </c>
      <c r="BS136" t="s">
        <v>231</v>
      </c>
      <c r="BT136" t="s">
        <v>231</v>
      </c>
      <c r="BU136" t="s">
        <v>231</v>
      </c>
      <c r="BV136" t="s">
        <v>231</v>
      </c>
      <c r="BW136" t="s">
        <v>231</v>
      </c>
      <c r="BX136" t="s">
        <v>231</v>
      </c>
      <c r="BY136" t="s">
        <v>231</v>
      </c>
      <c r="BZ136" t="s">
        <v>231</v>
      </c>
      <c r="CA136" t="s">
        <v>231</v>
      </c>
      <c r="CB136" t="s">
        <v>231</v>
      </c>
      <c r="CC136" t="s">
        <v>231</v>
      </c>
      <c r="CD136" t="s">
        <v>231</v>
      </c>
      <c r="CE136" t="s">
        <v>231</v>
      </c>
      <c r="CF136" t="s">
        <v>231</v>
      </c>
      <c r="CG136" t="s">
        <v>231</v>
      </c>
      <c r="CH136" t="s">
        <v>231</v>
      </c>
      <c r="CI136" t="s">
        <v>231</v>
      </c>
      <c r="CJ136" t="s">
        <v>231</v>
      </c>
      <c r="CK136" t="s">
        <v>231</v>
      </c>
      <c r="CL136" t="s">
        <v>231</v>
      </c>
      <c r="CM136" t="s">
        <v>231</v>
      </c>
      <c r="CN136" t="s">
        <v>231</v>
      </c>
      <c r="CO136" t="s">
        <v>231</v>
      </c>
      <c r="CP136" t="s">
        <v>231</v>
      </c>
      <c r="CQ136" t="s">
        <v>231</v>
      </c>
      <c r="CR136" t="s">
        <v>231</v>
      </c>
      <c r="CS136" t="s">
        <v>231</v>
      </c>
      <c r="CT136" t="s">
        <v>3534</v>
      </c>
      <c r="CU136" t="s">
        <v>3535</v>
      </c>
      <c r="CV136" t="s">
        <v>3536</v>
      </c>
      <c r="CW136" t="s">
        <v>3589</v>
      </c>
      <c r="CX136" t="s">
        <v>223</v>
      </c>
      <c r="CY136" t="s">
        <v>3536</v>
      </c>
      <c r="CZ136" t="s">
        <v>3590</v>
      </c>
      <c r="DA136" t="s">
        <v>3591</v>
      </c>
      <c r="DB136" t="s">
        <v>3589</v>
      </c>
      <c r="DC136" t="s">
        <v>363</v>
      </c>
      <c r="DD136" t="s">
        <v>282</v>
      </c>
      <c r="DE136" t="s">
        <v>4241</v>
      </c>
    </row>
    <row r="137" spans="1:109" ht="11.25" customHeight="1">
      <c r="A137" s="1314" t="s">
        <v>231</v>
      </c>
      <c r="B137" t="s">
        <v>231</v>
      </c>
      <c r="C137" t="s">
        <v>231</v>
      </c>
      <c r="D137" t="s">
        <v>231</v>
      </c>
      <c r="E137" t="s">
        <v>231</v>
      </c>
      <c r="F137" t="s">
        <v>231</v>
      </c>
      <c r="G137" t="s">
        <v>231</v>
      </c>
      <c r="H137" t="s">
        <v>231</v>
      </c>
      <c r="I137" t="s">
        <v>3521</v>
      </c>
      <c r="J137" t="s">
        <v>231</v>
      </c>
      <c r="K137" t="s">
        <v>231</v>
      </c>
      <c r="L137" t="s">
        <v>231</v>
      </c>
      <c r="M137" t="s">
        <v>231</v>
      </c>
      <c r="N137" t="s">
        <v>231</v>
      </c>
      <c r="O137" t="s">
        <v>231</v>
      </c>
      <c r="P137" t="s">
        <v>231</v>
      </c>
      <c r="Q137" t="s">
        <v>231</v>
      </c>
      <c r="R137" t="s">
        <v>4242</v>
      </c>
      <c r="S137" t="s">
        <v>231</v>
      </c>
      <c r="T137" t="s">
        <v>231</v>
      </c>
      <c r="U137" t="s">
        <v>101</v>
      </c>
      <c r="V137" t="s">
        <v>231</v>
      </c>
      <c r="W137" t="s">
        <v>231</v>
      </c>
      <c r="X137" t="s">
        <v>3523</v>
      </c>
      <c r="Y137" t="s">
        <v>231</v>
      </c>
      <c r="Z137" t="s">
        <v>160</v>
      </c>
      <c r="AA137" t="s">
        <v>151</v>
      </c>
      <c r="AB137" t="s">
        <v>151</v>
      </c>
      <c r="AC137" t="s">
        <v>2289</v>
      </c>
      <c r="AD137" t="s">
        <v>2289</v>
      </c>
      <c r="AE137" t="s">
        <v>2290</v>
      </c>
      <c r="AF137" t="s">
        <v>4238</v>
      </c>
      <c r="AG137" t="s">
        <v>4239</v>
      </c>
      <c r="AH137" t="s">
        <v>4022</v>
      </c>
      <c r="AI137" t="s">
        <v>4243</v>
      </c>
      <c r="AJ137" t="s">
        <v>3546</v>
      </c>
      <c r="AK137" t="s">
        <v>3586</v>
      </c>
      <c r="AL137" t="s">
        <v>3548</v>
      </c>
      <c r="AM137" t="s">
        <v>3531</v>
      </c>
      <c r="AN137" t="s">
        <v>3587</v>
      </c>
      <c r="AO137" t="s">
        <v>4244</v>
      </c>
      <c r="AP137" t="s">
        <v>231</v>
      </c>
      <c r="AQ137" t="s">
        <v>231</v>
      </c>
      <c r="AR137" t="s">
        <v>231</v>
      </c>
      <c r="AS137" t="s">
        <v>231</v>
      </c>
      <c r="AT137" t="s">
        <v>231</v>
      </c>
      <c r="AU137" t="s">
        <v>231</v>
      </c>
      <c r="AV137" t="s">
        <v>231</v>
      </c>
      <c r="AW137" t="s">
        <v>231</v>
      </c>
      <c r="AX137" t="s">
        <v>231</v>
      </c>
      <c r="AY137" t="s">
        <v>231</v>
      </c>
      <c r="AZ137" t="s">
        <v>231</v>
      </c>
      <c r="BA137" t="s">
        <v>231</v>
      </c>
      <c r="BB137" t="s">
        <v>231</v>
      </c>
      <c r="BC137" t="s">
        <v>231</v>
      </c>
      <c r="BD137" t="s">
        <v>231</v>
      </c>
      <c r="BE137" t="s">
        <v>231</v>
      </c>
      <c r="BF137" t="s">
        <v>231</v>
      </c>
      <c r="BG137" t="s">
        <v>231</v>
      </c>
      <c r="BH137" t="s">
        <v>231</v>
      </c>
      <c r="BI137" t="s">
        <v>231</v>
      </c>
      <c r="BJ137" t="s">
        <v>231</v>
      </c>
      <c r="BK137" t="s">
        <v>231</v>
      </c>
      <c r="BL137" t="s">
        <v>231</v>
      </c>
      <c r="BM137" t="s">
        <v>231</v>
      </c>
      <c r="BN137" t="s">
        <v>231</v>
      </c>
      <c r="BO137" t="s">
        <v>231</v>
      </c>
      <c r="BP137" t="s">
        <v>231</v>
      </c>
      <c r="BQ137" t="s">
        <v>231</v>
      </c>
      <c r="BR137" t="s">
        <v>231</v>
      </c>
      <c r="BS137" t="s">
        <v>231</v>
      </c>
      <c r="BT137" t="s">
        <v>231</v>
      </c>
      <c r="BU137" t="s">
        <v>231</v>
      </c>
      <c r="BV137" t="s">
        <v>231</v>
      </c>
      <c r="BW137" t="s">
        <v>231</v>
      </c>
      <c r="BX137" t="s">
        <v>231</v>
      </c>
      <c r="BY137" t="s">
        <v>231</v>
      </c>
      <c r="BZ137" t="s">
        <v>231</v>
      </c>
      <c r="CA137" t="s">
        <v>231</v>
      </c>
      <c r="CB137" t="s">
        <v>231</v>
      </c>
      <c r="CC137" t="s">
        <v>231</v>
      </c>
      <c r="CD137" t="s">
        <v>231</v>
      </c>
      <c r="CE137" t="s">
        <v>231</v>
      </c>
      <c r="CF137" t="s">
        <v>231</v>
      </c>
      <c r="CG137" t="s">
        <v>231</v>
      </c>
      <c r="CH137" t="s">
        <v>231</v>
      </c>
      <c r="CI137" t="s">
        <v>231</v>
      </c>
      <c r="CJ137" t="s">
        <v>231</v>
      </c>
      <c r="CK137" t="s">
        <v>231</v>
      </c>
      <c r="CL137" t="s">
        <v>231</v>
      </c>
      <c r="CM137" t="s">
        <v>231</v>
      </c>
      <c r="CN137" t="s">
        <v>231</v>
      </c>
      <c r="CO137" t="s">
        <v>231</v>
      </c>
      <c r="CP137" t="s">
        <v>231</v>
      </c>
      <c r="CQ137" t="s">
        <v>231</v>
      </c>
      <c r="CR137" t="s">
        <v>231</v>
      </c>
      <c r="CS137" t="s">
        <v>231</v>
      </c>
      <c r="CT137" t="s">
        <v>3534</v>
      </c>
      <c r="CU137" t="s">
        <v>3535</v>
      </c>
      <c r="CV137" t="s">
        <v>3536</v>
      </c>
      <c r="CW137" t="s">
        <v>3589</v>
      </c>
      <c r="CX137" t="s">
        <v>223</v>
      </c>
      <c r="CY137" t="s">
        <v>3536</v>
      </c>
      <c r="CZ137" t="s">
        <v>3590</v>
      </c>
      <c r="DA137" t="s">
        <v>3591</v>
      </c>
      <c r="DB137" t="s">
        <v>3589</v>
      </c>
      <c r="DC137" t="s">
        <v>363</v>
      </c>
      <c r="DD137" t="s">
        <v>282</v>
      </c>
      <c r="DE137" t="s">
        <v>4245</v>
      </c>
    </row>
    <row r="138" spans="1:109" ht="11.25" customHeight="1">
      <c r="A138" s="1314" t="s">
        <v>231</v>
      </c>
      <c r="B138" t="s">
        <v>231</v>
      </c>
      <c r="C138" t="s">
        <v>231</v>
      </c>
      <c r="D138" t="s">
        <v>231</v>
      </c>
      <c r="E138" t="s">
        <v>231</v>
      </c>
      <c r="F138" t="s">
        <v>231</v>
      </c>
      <c r="G138" t="s">
        <v>231</v>
      </c>
      <c r="H138" t="s">
        <v>231</v>
      </c>
      <c r="I138" t="s">
        <v>3521</v>
      </c>
      <c r="J138" t="s">
        <v>231</v>
      </c>
      <c r="K138" t="s">
        <v>231</v>
      </c>
      <c r="L138" t="s">
        <v>231</v>
      </c>
      <c r="M138" t="s">
        <v>231</v>
      </c>
      <c r="N138" t="s">
        <v>231</v>
      </c>
      <c r="O138" t="s">
        <v>231</v>
      </c>
      <c r="P138" t="s">
        <v>231</v>
      </c>
      <c r="Q138" t="s">
        <v>231</v>
      </c>
      <c r="R138" t="s">
        <v>4246</v>
      </c>
      <c r="S138" t="s">
        <v>231</v>
      </c>
      <c r="T138" t="s">
        <v>231</v>
      </c>
      <c r="U138" t="s">
        <v>101</v>
      </c>
      <c r="V138" t="s">
        <v>231</v>
      </c>
      <c r="W138" t="s">
        <v>231</v>
      </c>
      <c r="X138" t="s">
        <v>3628</v>
      </c>
      <c r="Y138" t="s">
        <v>231</v>
      </c>
      <c r="Z138" t="s">
        <v>151</v>
      </c>
      <c r="AA138" t="s">
        <v>151</v>
      </c>
      <c r="AB138" t="s">
        <v>160</v>
      </c>
      <c r="AC138" t="s">
        <v>2289</v>
      </c>
      <c r="AD138" t="s">
        <v>2289</v>
      </c>
      <c r="AE138" t="s">
        <v>2290</v>
      </c>
      <c r="AF138" t="s">
        <v>4055</v>
      </c>
      <c r="AG138" t="s">
        <v>4056</v>
      </c>
      <c r="AH138" t="s">
        <v>3618</v>
      </c>
      <c r="AI138" t="s">
        <v>3618</v>
      </c>
      <c r="AJ138" t="s">
        <v>231</v>
      </c>
      <c r="AK138" t="s">
        <v>231</v>
      </c>
      <c r="AL138" t="s">
        <v>231</v>
      </c>
      <c r="AM138" t="s">
        <v>231</v>
      </c>
      <c r="AN138" t="s">
        <v>231</v>
      </c>
      <c r="AO138" t="s">
        <v>231</v>
      </c>
      <c r="AP138" t="s">
        <v>231</v>
      </c>
      <c r="AQ138" t="s">
        <v>231</v>
      </c>
      <c r="AR138" t="s">
        <v>231</v>
      </c>
      <c r="AS138" t="s">
        <v>231</v>
      </c>
      <c r="AT138" t="s">
        <v>231</v>
      </c>
      <c r="AU138" t="s">
        <v>231</v>
      </c>
      <c r="AV138" t="s">
        <v>231</v>
      </c>
      <c r="AW138" t="s">
        <v>231</v>
      </c>
      <c r="AX138" t="s">
        <v>231</v>
      </c>
      <c r="AY138" t="s">
        <v>231</v>
      </c>
      <c r="AZ138" t="s">
        <v>231</v>
      </c>
      <c r="BA138" t="s">
        <v>231</v>
      </c>
      <c r="BB138" t="s">
        <v>231</v>
      </c>
      <c r="BC138" t="s">
        <v>231</v>
      </c>
      <c r="BD138" t="s">
        <v>231</v>
      </c>
      <c r="BE138" t="s">
        <v>3594</v>
      </c>
      <c r="BF138" t="s">
        <v>3586</v>
      </c>
      <c r="BG138" t="s">
        <v>111</v>
      </c>
      <c r="BH138" t="s">
        <v>3632</v>
      </c>
      <c r="BI138" t="s">
        <v>122</v>
      </c>
      <c r="BJ138" t="s">
        <v>231</v>
      </c>
      <c r="BK138" t="s">
        <v>3651</v>
      </c>
      <c r="BL138" t="s">
        <v>2289</v>
      </c>
      <c r="BM138" t="s">
        <v>2289</v>
      </c>
      <c r="BN138" t="s">
        <v>3707</v>
      </c>
      <c r="BO138" t="s">
        <v>4055</v>
      </c>
      <c r="BP138" t="s">
        <v>4247</v>
      </c>
      <c r="BQ138" t="s">
        <v>3618</v>
      </c>
      <c r="BR138" t="s">
        <v>3618</v>
      </c>
      <c r="BS138" t="s">
        <v>231</v>
      </c>
      <c r="BT138" t="s">
        <v>3694</v>
      </c>
      <c r="BU138" t="s">
        <v>4248</v>
      </c>
      <c r="BV138" t="s">
        <v>4248</v>
      </c>
      <c r="BW138" t="s">
        <v>3641</v>
      </c>
      <c r="BX138" t="s">
        <v>3641</v>
      </c>
      <c r="BY138" t="s">
        <v>3641</v>
      </c>
      <c r="BZ138" t="s">
        <v>3641</v>
      </c>
      <c r="CA138" t="s">
        <v>3641</v>
      </c>
      <c r="CB138" t="s">
        <v>231</v>
      </c>
      <c r="CC138" t="s">
        <v>231</v>
      </c>
      <c r="CD138" t="s">
        <v>231</v>
      </c>
      <c r="CE138" t="s">
        <v>231</v>
      </c>
      <c r="CF138" t="s">
        <v>231</v>
      </c>
      <c r="CG138" t="s">
        <v>3641</v>
      </c>
      <c r="CH138" t="s">
        <v>231</v>
      </c>
      <c r="CI138" t="s">
        <v>231</v>
      </c>
      <c r="CJ138" t="s">
        <v>231</v>
      </c>
      <c r="CK138" t="s">
        <v>231</v>
      </c>
      <c r="CL138" t="s">
        <v>231</v>
      </c>
      <c r="CM138" t="s">
        <v>4248</v>
      </c>
      <c r="CN138" t="s">
        <v>4248</v>
      </c>
      <c r="CO138" t="s">
        <v>231</v>
      </c>
      <c r="CP138" t="s">
        <v>231</v>
      </c>
      <c r="CQ138" t="s">
        <v>231</v>
      </c>
      <c r="CR138" t="s">
        <v>231</v>
      </c>
      <c r="CS138" t="s">
        <v>3710</v>
      </c>
      <c r="CT138" t="s">
        <v>3534</v>
      </c>
      <c r="CU138" t="s">
        <v>3535</v>
      </c>
      <c r="CV138" t="s">
        <v>3536</v>
      </c>
      <c r="CW138" t="s">
        <v>3589</v>
      </c>
      <c r="CX138" t="s">
        <v>223</v>
      </c>
      <c r="CY138" t="s">
        <v>3536</v>
      </c>
      <c r="CZ138" t="s">
        <v>3590</v>
      </c>
      <c r="DA138" t="s">
        <v>3591</v>
      </c>
      <c r="DB138" t="s">
        <v>3589</v>
      </c>
      <c r="DC138" t="s">
        <v>363</v>
      </c>
      <c r="DD138" t="s">
        <v>282</v>
      </c>
      <c r="DE138" t="s">
        <v>4249</v>
      </c>
    </row>
    <row r="139" spans="1:109" ht="11.25" customHeight="1">
      <c r="A139" s="1314" t="s">
        <v>231</v>
      </c>
      <c r="B139" t="s">
        <v>231</v>
      </c>
      <c r="C139" t="s">
        <v>231</v>
      </c>
      <c r="D139" t="s">
        <v>231</v>
      </c>
      <c r="E139" t="s">
        <v>231</v>
      </c>
      <c r="F139" t="s">
        <v>231</v>
      </c>
      <c r="G139" t="s">
        <v>231</v>
      </c>
      <c r="H139" t="s">
        <v>231</v>
      </c>
      <c r="I139" t="s">
        <v>3521</v>
      </c>
      <c r="J139" t="s">
        <v>231</v>
      </c>
      <c r="K139" t="s">
        <v>231</v>
      </c>
      <c r="L139" t="s">
        <v>231</v>
      </c>
      <c r="M139" t="s">
        <v>231</v>
      </c>
      <c r="N139" t="s">
        <v>231</v>
      </c>
      <c r="O139" t="s">
        <v>231</v>
      </c>
      <c r="P139" t="s">
        <v>231</v>
      </c>
      <c r="Q139" t="s">
        <v>231</v>
      </c>
      <c r="R139" t="s">
        <v>3615</v>
      </c>
      <c r="S139" t="s">
        <v>231</v>
      </c>
      <c r="T139" t="s">
        <v>231</v>
      </c>
      <c r="U139" t="s">
        <v>101</v>
      </c>
      <c r="V139" t="s">
        <v>231</v>
      </c>
      <c r="W139" t="s">
        <v>231</v>
      </c>
      <c r="X139" t="s">
        <v>3523</v>
      </c>
      <c r="Y139" t="s">
        <v>231</v>
      </c>
      <c r="Z139" t="s">
        <v>160</v>
      </c>
      <c r="AA139" t="s">
        <v>151</v>
      </c>
      <c r="AB139" t="s">
        <v>151</v>
      </c>
      <c r="AC139" t="s">
        <v>2289</v>
      </c>
      <c r="AD139" t="s">
        <v>2289</v>
      </c>
      <c r="AE139" t="s">
        <v>2290</v>
      </c>
      <c r="AF139" t="s">
        <v>4250</v>
      </c>
      <c r="AG139" t="s">
        <v>4251</v>
      </c>
      <c r="AH139" t="s">
        <v>4252</v>
      </c>
      <c r="AI139" t="s">
        <v>4253</v>
      </c>
      <c r="AJ139" t="s">
        <v>4254</v>
      </c>
      <c r="AK139" t="s">
        <v>3820</v>
      </c>
      <c r="AL139" t="s">
        <v>3548</v>
      </c>
      <c r="AM139" t="s">
        <v>3531</v>
      </c>
      <c r="AN139" t="s">
        <v>3595</v>
      </c>
      <c r="AO139" t="s">
        <v>3913</v>
      </c>
      <c r="AP139" t="s">
        <v>231</v>
      </c>
      <c r="AQ139" t="s">
        <v>231</v>
      </c>
      <c r="AR139" t="s">
        <v>231</v>
      </c>
      <c r="AS139" t="s">
        <v>231</v>
      </c>
      <c r="AT139" t="s">
        <v>231</v>
      </c>
      <c r="AU139" t="s">
        <v>231</v>
      </c>
      <c r="AV139" t="s">
        <v>231</v>
      </c>
      <c r="AW139" t="s">
        <v>231</v>
      </c>
      <c r="AX139" t="s">
        <v>231</v>
      </c>
      <c r="AY139" t="s">
        <v>231</v>
      </c>
      <c r="AZ139" t="s">
        <v>231</v>
      </c>
      <c r="BA139" t="s">
        <v>231</v>
      </c>
      <c r="BB139" t="s">
        <v>231</v>
      </c>
      <c r="BC139" t="s">
        <v>231</v>
      </c>
      <c r="BD139" t="s">
        <v>231</v>
      </c>
      <c r="BE139" t="s">
        <v>231</v>
      </c>
      <c r="BF139" t="s">
        <v>231</v>
      </c>
      <c r="BG139" t="s">
        <v>231</v>
      </c>
      <c r="BH139" t="s">
        <v>231</v>
      </c>
      <c r="BI139" t="s">
        <v>231</v>
      </c>
      <c r="BJ139" t="s">
        <v>231</v>
      </c>
      <c r="BK139" t="s">
        <v>231</v>
      </c>
      <c r="BL139" t="s">
        <v>231</v>
      </c>
      <c r="BM139" t="s">
        <v>231</v>
      </c>
      <c r="BN139" t="s">
        <v>231</v>
      </c>
      <c r="BO139" t="s">
        <v>231</v>
      </c>
      <c r="BP139" t="s">
        <v>231</v>
      </c>
      <c r="BQ139" t="s">
        <v>231</v>
      </c>
      <c r="BR139" t="s">
        <v>231</v>
      </c>
      <c r="BS139" t="s">
        <v>231</v>
      </c>
      <c r="BT139" t="s">
        <v>231</v>
      </c>
      <c r="BU139" t="s">
        <v>231</v>
      </c>
      <c r="BV139" t="s">
        <v>231</v>
      </c>
      <c r="BW139" t="s">
        <v>231</v>
      </c>
      <c r="BX139" t="s">
        <v>231</v>
      </c>
      <c r="BY139" t="s">
        <v>231</v>
      </c>
      <c r="BZ139" t="s">
        <v>231</v>
      </c>
      <c r="CA139" t="s">
        <v>231</v>
      </c>
      <c r="CB139" t="s">
        <v>231</v>
      </c>
      <c r="CC139" t="s">
        <v>231</v>
      </c>
      <c r="CD139" t="s">
        <v>231</v>
      </c>
      <c r="CE139" t="s">
        <v>231</v>
      </c>
      <c r="CF139" t="s">
        <v>231</v>
      </c>
      <c r="CG139" t="s">
        <v>231</v>
      </c>
      <c r="CH139" t="s">
        <v>231</v>
      </c>
      <c r="CI139" t="s">
        <v>231</v>
      </c>
      <c r="CJ139" t="s">
        <v>231</v>
      </c>
      <c r="CK139" t="s">
        <v>231</v>
      </c>
      <c r="CL139" t="s">
        <v>231</v>
      </c>
      <c r="CM139" t="s">
        <v>231</v>
      </c>
      <c r="CN139" t="s">
        <v>231</v>
      </c>
      <c r="CO139" t="s">
        <v>231</v>
      </c>
      <c r="CP139" t="s">
        <v>231</v>
      </c>
      <c r="CQ139" t="s">
        <v>231</v>
      </c>
      <c r="CR139" t="s">
        <v>231</v>
      </c>
      <c r="CS139" t="s">
        <v>231</v>
      </c>
      <c r="CT139" t="s">
        <v>3534</v>
      </c>
      <c r="CU139" t="s">
        <v>3535</v>
      </c>
      <c r="CV139" t="s">
        <v>3536</v>
      </c>
      <c r="CW139" t="s">
        <v>3589</v>
      </c>
      <c r="CX139" t="s">
        <v>223</v>
      </c>
      <c r="CY139" t="s">
        <v>3536</v>
      </c>
      <c r="CZ139" t="s">
        <v>3590</v>
      </c>
      <c r="DA139" t="s">
        <v>3591</v>
      </c>
      <c r="DB139" t="s">
        <v>3589</v>
      </c>
      <c r="DC139" t="s">
        <v>363</v>
      </c>
      <c r="DD139" t="s">
        <v>282</v>
      </c>
      <c r="DE139" t="s">
        <v>4255</v>
      </c>
    </row>
    <row r="140" spans="1:109" ht="11.25" customHeight="1">
      <c r="A140" s="1314" t="s">
        <v>231</v>
      </c>
      <c r="B140" t="s">
        <v>231</v>
      </c>
      <c r="C140" t="s">
        <v>231</v>
      </c>
      <c r="D140" t="s">
        <v>231</v>
      </c>
      <c r="E140" t="s">
        <v>231</v>
      </c>
      <c r="F140" t="s">
        <v>231</v>
      </c>
      <c r="G140" t="s">
        <v>231</v>
      </c>
      <c r="H140" t="s">
        <v>231</v>
      </c>
      <c r="I140" t="s">
        <v>3521</v>
      </c>
      <c r="J140" t="s">
        <v>231</v>
      </c>
      <c r="K140" t="s">
        <v>231</v>
      </c>
      <c r="L140" t="s">
        <v>231</v>
      </c>
      <c r="M140" t="s">
        <v>231</v>
      </c>
      <c r="N140" t="s">
        <v>231</v>
      </c>
      <c r="O140" t="s">
        <v>231</v>
      </c>
      <c r="P140" t="s">
        <v>231</v>
      </c>
      <c r="Q140" t="s">
        <v>231</v>
      </c>
      <c r="R140" t="s">
        <v>4256</v>
      </c>
      <c r="S140" t="s">
        <v>231</v>
      </c>
      <c r="T140" t="s">
        <v>231</v>
      </c>
      <c r="U140" t="s">
        <v>101</v>
      </c>
      <c r="V140" t="s">
        <v>231</v>
      </c>
      <c r="W140" t="s">
        <v>231</v>
      </c>
      <c r="X140" t="s">
        <v>3523</v>
      </c>
      <c r="Y140" t="s">
        <v>231</v>
      </c>
      <c r="Z140" t="s">
        <v>160</v>
      </c>
      <c r="AA140" t="s">
        <v>151</v>
      </c>
      <c r="AB140" t="s">
        <v>151</v>
      </c>
      <c r="AC140" t="s">
        <v>2691</v>
      </c>
      <c r="AD140" t="s">
        <v>2691</v>
      </c>
      <c r="AE140" t="s">
        <v>2692</v>
      </c>
      <c r="AF140" t="s">
        <v>3991</v>
      </c>
      <c r="AG140" t="s">
        <v>3992</v>
      </c>
      <c r="AH140" t="s">
        <v>4113</v>
      </c>
      <c r="AI140" t="s">
        <v>151</v>
      </c>
      <c r="AJ140" t="s">
        <v>4257</v>
      </c>
      <c r="AK140" t="s">
        <v>4258</v>
      </c>
      <c r="AL140" t="s">
        <v>4259</v>
      </c>
      <c r="AM140" t="s">
        <v>3531</v>
      </c>
      <c r="AN140" t="s">
        <v>4260</v>
      </c>
      <c r="AO140" t="s">
        <v>4261</v>
      </c>
      <c r="AP140" t="s">
        <v>231</v>
      </c>
      <c r="AQ140" t="s">
        <v>231</v>
      </c>
      <c r="AR140" t="s">
        <v>231</v>
      </c>
      <c r="AS140" t="s">
        <v>231</v>
      </c>
      <c r="AT140" t="s">
        <v>231</v>
      </c>
      <c r="AU140" t="s">
        <v>231</v>
      </c>
      <c r="AV140" t="s">
        <v>231</v>
      </c>
      <c r="AW140" t="s">
        <v>231</v>
      </c>
      <c r="AX140" t="s">
        <v>231</v>
      </c>
      <c r="AY140" t="s">
        <v>231</v>
      </c>
      <c r="AZ140" t="s">
        <v>231</v>
      </c>
      <c r="BA140" t="s">
        <v>231</v>
      </c>
      <c r="BB140" t="s">
        <v>231</v>
      </c>
      <c r="BC140" t="s">
        <v>231</v>
      </c>
      <c r="BD140" t="s">
        <v>231</v>
      </c>
      <c r="BE140" t="s">
        <v>231</v>
      </c>
      <c r="BF140" t="s">
        <v>231</v>
      </c>
      <c r="BG140" t="s">
        <v>231</v>
      </c>
      <c r="BH140" t="s">
        <v>231</v>
      </c>
      <c r="BI140" t="s">
        <v>231</v>
      </c>
      <c r="BJ140" t="s">
        <v>231</v>
      </c>
      <c r="BK140" t="s">
        <v>231</v>
      </c>
      <c r="BL140" t="s">
        <v>231</v>
      </c>
      <c r="BM140" t="s">
        <v>231</v>
      </c>
      <c r="BN140" t="s">
        <v>231</v>
      </c>
      <c r="BO140" t="s">
        <v>231</v>
      </c>
      <c r="BP140" t="s">
        <v>231</v>
      </c>
      <c r="BQ140" t="s">
        <v>231</v>
      </c>
      <c r="BR140" t="s">
        <v>231</v>
      </c>
      <c r="BS140" t="s">
        <v>231</v>
      </c>
      <c r="BT140" t="s">
        <v>231</v>
      </c>
      <c r="BU140" t="s">
        <v>231</v>
      </c>
      <c r="BV140" t="s">
        <v>231</v>
      </c>
      <c r="BW140" t="s">
        <v>231</v>
      </c>
      <c r="BX140" t="s">
        <v>231</v>
      </c>
      <c r="BY140" t="s">
        <v>231</v>
      </c>
      <c r="BZ140" t="s">
        <v>231</v>
      </c>
      <c r="CA140" t="s">
        <v>231</v>
      </c>
      <c r="CB140" t="s">
        <v>231</v>
      </c>
      <c r="CC140" t="s">
        <v>231</v>
      </c>
      <c r="CD140" t="s">
        <v>231</v>
      </c>
      <c r="CE140" t="s">
        <v>231</v>
      </c>
      <c r="CF140" t="s">
        <v>231</v>
      </c>
      <c r="CG140" t="s">
        <v>231</v>
      </c>
      <c r="CH140" t="s">
        <v>231</v>
      </c>
      <c r="CI140" t="s">
        <v>231</v>
      </c>
      <c r="CJ140" t="s">
        <v>231</v>
      </c>
      <c r="CK140" t="s">
        <v>231</v>
      </c>
      <c r="CL140" t="s">
        <v>231</v>
      </c>
      <c r="CM140" t="s">
        <v>231</v>
      </c>
      <c r="CN140" t="s">
        <v>231</v>
      </c>
      <c r="CO140" t="s">
        <v>231</v>
      </c>
      <c r="CP140" t="s">
        <v>231</v>
      </c>
      <c r="CQ140" t="s">
        <v>231</v>
      </c>
      <c r="CR140" t="s">
        <v>231</v>
      </c>
      <c r="CS140" t="s">
        <v>231</v>
      </c>
      <c r="CT140" t="s">
        <v>3534</v>
      </c>
      <c r="CU140" t="s">
        <v>3535</v>
      </c>
      <c r="CV140" t="s">
        <v>3997</v>
      </c>
      <c r="CW140" t="s">
        <v>3998</v>
      </c>
      <c r="CX140" t="s">
        <v>3570</v>
      </c>
      <c r="CY140" t="s">
        <v>3997</v>
      </c>
      <c r="CZ140" t="s">
        <v>3575</v>
      </c>
      <c r="DA140" t="s">
        <v>3999</v>
      </c>
      <c r="DB140" t="s">
        <v>3643</v>
      </c>
      <c r="DC140" t="s">
        <v>363</v>
      </c>
      <c r="DD140" t="s">
        <v>282</v>
      </c>
      <c r="DE140" t="s">
        <v>4123</v>
      </c>
    </row>
    <row r="141" spans="1:109" ht="11.25" customHeight="1">
      <c r="A141" s="1314" t="s">
        <v>231</v>
      </c>
      <c r="B141" t="s">
        <v>231</v>
      </c>
      <c r="C141" t="s">
        <v>231</v>
      </c>
      <c r="D141" t="s">
        <v>231</v>
      </c>
      <c r="E141" t="s">
        <v>231</v>
      </c>
      <c r="F141" t="s">
        <v>231</v>
      </c>
      <c r="G141" t="s">
        <v>231</v>
      </c>
      <c r="H141" t="s">
        <v>231</v>
      </c>
      <c r="I141" t="s">
        <v>3521</v>
      </c>
      <c r="J141" t="s">
        <v>231</v>
      </c>
      <c r="K141" t="s">
        <v>231</v>
      </c>
      <c r="L141" t="s">
        <v>231</v>
      </c>
      <c r="M141" t="s">
        <v>231</v>
      </c>
      <c r="N141" t="s">
        <v>231</v>
      </c>
      <c r="O141" t="s">
        <v>231</v>
      </c>
      <c r="P141" t="s">
        <v>231</v>
      </c>
      <c r="Q141" t="s">
        <v>231</v>
      </c>
      <c r="R141" t="s">
        <v>4262</v>
      </c>
      <c r="S141" t="s">
        <v>231</v>
      </c>
      <c r="T141" t="s">
        <v>231</v>
      </c>
      <c r="U141" t="s">
        <v>101</v>
      </c>
      <c r="V141" t="s">
        <v>231</v>
      </c>
      <c r="W141" t="s">
        <v>231</v>
      </c>
      <c r="X141" t="s">
        <v>3523</v>
      </c>
      <c r="Y141" t="s">
        <v>231</v>
      </c>
      <c r="Z141" t="s">
        <v>160</v>
      </c>
      <c r="AA141" t="s">
        <v>151</v>
      </c>
      <c r="AB141" t="s">
        <v>151</v>
      </c>
      <c r="AC141" t="s">
        <v>2691</v>
      </c>
      <c r="AD141" t="s">
        <v>2691</v>
      </c>
      <c r="AE141" t="s">
        <v>2692</v>
      </c>
      <c r="AF141" t="s">
        <v>3991</v>
      </c>
      <c r="AG141" t="s">
        <v>3992</v>
      </c>
      <c r="AH141" t="s">
        <v>4113</v>
      </c>
      <c r="AI141" t="s">
        <v>151</v>
      </c>
      <c r="AJ141" t="s">
        <v>3994</v>
      </c>
      <c r="AK141" t="s">
        <v>4263</v>
      </c>
      <c r="AL141" t="s">
        <v>3613</v>
      </c>
      <c r="AM141" t="s">
        <v>3531</v>
      </c>
      <c r="AN141" t="s">
        <v>4264</v>
      </c>
      <c r="AO141" t="s">
        <v>4265</v>
      </c>
      <c r="AP141" t="s">
        <v>231</v>
      </c>
      <c r="AQ141" t="s">
        <v>231</v>
      </c>
      <c r="AR141" t="s">
        <v>231</v>
      </c>
      <c r="AS141" t="s">
        <v>231</v>
      </c>
      <c r="AT141" t="s">
        <v>231</v>
      </c>
      <c r="AU141" t="s">
        <v>231</v>
      </c>
      <c r="AV141" t="s">
        <v>231</v>
      </c>
      <c r="AW141" t="s">
        <v>231</v>
      </c>
      <c r="AX141" t="s">
        <v>231</v>
      </c>
      <c r="AY141" t="s">
        <v>231</v>
      </c>
      <c r="AZ141" t="s">
        <v>231</v>
      </c>
      <c r="BA141" t="s">
        <v>231</v>
      </c>
      <c r="BB141" t="s">
        <v>231</v>
      </c>
      <c r="BC141" t="s">
        <v>231</v>
      </c>
      <c r="BD141" t="s">
        <v>231</v>
      </c>
      <c r="BE141" t="s">
        <v>231</v>
      </c>
      <c r="BF141" t="s">
        <v>231</v>
      </c>
      <c r="BG141" t="s">
        <v>231</v>
      </c>
      <c r="BH141" t="s">
        <v>231</v>
      </c>
      <c r="BI141" t="s">
        <v>231</v>
      </c>
      <c r="BJ141" t="s">
        <v>231</v>
      </c>
      <c r="BK141" t="s">
        <v>231</v>
      </c>
      <c r="BL141" t="s">
        <v>231</v>
      </c>
      <c r="BM141" t="s">
        <v>231</v>
      </c>
      <c r="BN141" t="s">
        <v>231</v>
      </c>
      <c r="BO141" t="s">
        <v>231</v>
      </c>
      <c r="BP141" t="s">
        <v>231</v>
      </c>
      <c r="BQ141" t="s">
        <v>231</v>
      </c>
      <c r="BR141" t="s">
        <v>231</v>
      </c>
      <c r="BS141" t="s">
        <v>231</v>
      </c>
      <c r="BT141" t="s">
        <v>231</v>
      </c>
      <c r="BU141" t="s">
        <v>231</v>
      </c>
      <c r="BV141" t="s">
        <v>231</v>
      </c>
      <c r="BW141" t="s">
        <v>231</v>
      </c>
      <c r="BX141" t="s">
        <v>231</v>
      </c>
      <c r="BY141" t="s">
        <v>231</v>
      </c>
      <c r="BZ141" t="s">
        <v>231</v>
      </c>
      <c r="CA141" t="s">
        <v>231</v>
      </c>
      <c r="CB141" t="s">
        <v>231</v>
      </c>
      <c r="CC141" t="s">
        <v>231</v>
      </c>
      <c r="CD141" t="s">
        <v>231</v>
      </c>
      <c r="CE141" t="s">
        <v>231</v>
      </c>
      <c r="CF141" t="s">
        <v>231</v>
      </c>
      <c r="CG141" t="s">
        <v>231</v>
      </c>
      <c r="CH141" t="s">
        <v>231</v>
      </c>
      <c r="CI141" t="s">
        <v>231</v>
      </c>
      <c r="CJ141" t="s">
        <v>231</v>
      </c>
      <c r="CK141" t="s">
        <v>231</v>
      </c>
      <c r="CL141" t="s">
        <v>231</v>
      </c>
      <c r="CM141" t="s">
        <v>231</v>
      </c>
      <c r="CN141" t="s">
        <v>231</v>
      </c>
      <c r="CO141" t="s">
        <v>231</v>
      </c>
      <c r="CP141" t="s">
        <v>231</v>
      </c>
      <c r="CQ141" t="s">
        <v>231</v>
      </c>
      <c r="CR141" t="s">
        <v>231</v>
      </c>
      <c r="CS141" t="s">
        <v>231</v>
      </c>
      <c r="CT141" t="s">
        <v>3534</v>
      </c>
      <c r="CU141" t="s">
        <v>3535</v>
      </c>
      <c r="CV141" t="s">
        <v>3997</v>
      </c>
      <c r="CW141" t="s">
        <v>3998</v>
      </c>
      <c r="CX141" t="s">
        <v>3570</v>
      </c>
      <c r="CY141" t="s">
        <v>3997</v>
      </c>
      <c r="CZ141" t="s">
        <v>3575</v>
      </c>
      <c r="DA141" t="s">
        <v>3999</v>
      </c>
      <c r="DB141" t="s">
        <v>3643</v>
      </c>
      <c r="DC141" t="s">
        <v>363</v>
      </c>
      <c r="DD141" t="s">
        <v>282</v>
      </c>
      <c r="DE141" t="s">
        <v>4123</v>
      </c>
    </row>
    <row r="142" spans="1:109" ht="11.25" customHeight="1">
      <c r="A142" s="1314" t="s">
        <v>231</v>
      </c>
      <c r="B142" t="s">
        <v>231</v>
      </c>
      <c r="C142" t="s">
        <v>231</v>
      </c>
      <c r="D142" t="s">
        <v>231</v>
      </c>
      <c r="E142" t="s">
        <v>231</v>
      </c>
      <c r="F142" t="s">
        <v>231</v>
      </c>
      <c r="G142" t="s">
        <v>231</v>
      </c>
      <c r="H142" t="s">
        <v>231</v>
      </c>
      <c r="I142" t="s">
        <v>3521</v>
      </c>
      <c r="J142" t="s">
        <v>231</v>
      </c>
      <c r="K142" t="s">
        <v>231</v>
      </c>
      <c r="L142" t="s">
        <v>231</v>
      </c>
      <c r="M142" t="s">
        <v>231</v>
      </c>
      <c r="N142" t="s">
        <v>231</v>
      </c>
      <c r="O142" t="s">
        <v>231</v>
      </c>
      <c r="P142" t="s">
        <v>231</v>
      </c>
      <c r="Q142" t="s">
        <v>231</v>
      </c>
      <c r="R142" t="s">
        <v>4266</v>
      </c>
      <c r="S142" t="s">
        <v>231</v>
      </c>
      <c r="T142" t="s">
        <v>231</v>
      </c>
      <c r="U142" t="s">
        <v>101</v>
      </c>
      <c r="V142" t="s">
        <v>231</v>
      </c>
      <c r="W142" t="s">
        <v>231</v>
      </c>
      <c r="X142" t="s">
        <v>3523</v>
      </c>
      <c r="Y142" t="s">
        <v>231</v>
      </c>
      <c r="Z142" t="s">
        <v>160</v>
      </c>
      <c r="AA142" t="s">
        <v>151</v>
      </c>
      <c r="AB142" t="s">
        <v>151</v>
      </c>
      <c r="AC142" t="s">
        <v>2691</v>
      </c>
      <c r="AD142" t="s">
        <v>2691</v>
      </c>
      <c r="AE142" t="s">
        <v>2692</v>
      </c>
      <c r="AF142" t="s">
        <v>3991</v>
      </c>
      <c r="AG142" t="s">
        <v>3992</v>
      </c>
      <c r="AH142" t="s">
        <v>4267</v>
      </c>
      <c r="AI142" t="s">
        <v>151</v>
      </c>
      <c r="AJ142" t="s">
        <v>3587</v>
      </c>
      <c r="AK142" t="s">
        <v>4268</v>
      </c>
      <c r="AL142" t="s">
        <v>3613</v>
      </c>
      <c r="AM142" t="s">
        <v>3531</v>
      </c>
      <c r="AN142" t="s">
        <v>3710</v>
      </c>
      <c r="AO142" t="s">
        <v>4269</v>
      </c>
      <c r="AP142" t="s">
        <v>231</v>
      </c>
      <c r="AQ142" t="s">
        <v>231</v>
      </c>
      <c r="AR142" t="s">
        <v>231</v>
      </c>
      <c r="AS142" t="s">
        <v>231</v>
      </c>
      <c r="AT142" t="s">
        <v>231</v>
      </c>
      <c r="AU142" t="s">
        <v>231</v>
      </c>
      <c r="AV142" t="s">
        <v>231</v>
      </c>
      <c r="AW142" t="s">
        <v>231</v>
      </c>
      <c r="AX142" t="s">
        <v>231</v>
      </c>
      <c r="AY142" t="s">
        <v>231</v>
      </c>
      <c r="AZ142" t="s">
        <v>231</v>
      </c>
      <c r="BA142" t="s">
        <v>231</v>
      </c>
      <c r="BB142" t="s">
        <v>231</v>
      </c>
      <c r="BC142" t="s">
        <v>231</v>
      </c>
      <c r="BD142" t="s">
        <v>231</v>
      </c>
      <c r="BE142" t="s">
        <v>231</v>
      </c>
      <c r="BF142" t="s">
        <v>231</v>
      </c>
      <c r="BG142" t="s">
        <v>231</v>
      </c>
      <c r="BH142" t="s">
        <v>231</v>
      </c>
      <c r="BI142" t="s">
        <v>231</v>
      </c>
      <c r="BJ142" t="s">
        <v>231</v>
      </c>
      <c r="BK142" t="s">
        <v>231</v>
      </c>
      <c r="BL142" t="s">
        <v>231</v>
      </c>
      <c r="BM142" t="s">
        <v>231</v>
      </c>
      <c r="BN142" t="s">
        <v>231</v>
      </c>
      <c r="BO142" t="s">
        <v>231</v>
      </c>
      <c r="BP142" t="s">
        <v>231</v>
      </c>
      <c r="BQ142" t="s">
        <v>231</v>
      </c>
      <c r="BR142" t="s">
        <v>231</v>
      </c>
      <c r="BS142" t="s">
        <v>231</v>
      </c>
      <c r="BT142" t="s">
        <v>231</v>
      </c>
      <c r="BU142" t="s">
        <v>231</v>
      </c>
      <c r="BV142" t="s">
        <v>231</v>
      </c>
      <c r="BW142" t="s">
        <v>231</v>
      </c>
      <c r="BX142" t="s">
        <v>231</v>
      </c>
      <c r="BY142" t="s">
        <v>231</v>
      </c>
      <c r="BZ142" t="s">
        <v>231</v>
      </c>
      <c r="CA142" t="s">
        <v>231</v>
      </c>
      <c r="CB142" t="s">
        <v>231</v>
      </c>
      <c r="CC142" t="s">
        <v>231</v>
      </c>
      <c r="CD142" t="s">
        <v>231</v>
      </c>
      <c r="CE142" t="s">
        <v>231</v>
      </c>
      <c r="CF142" t="s">
        <v>231</v>
      </c>
      <c r="CG142" t="s">
        <v>231</v>
      </c>
      <c r="CH142" t="s">
        <v>231</v>
      </c>
      <c r="CI142" t="s">
        <v>231</v>
      </c>
      <c r="CJ142" t="s">
        <v>231</v>
      </c>
      <c r="CK142" t="s">
        <v>231</v>
      </c>
      <c r="CL142" t="s">
        <v>231</v>
      </c>
      <c r="CM142" t="s">
        <v>231</v>
      </c>
      <c r="CN142" t="s">
        <v>231</v>
      </c>
      <c r="CO142" t="s">
        <v>231</v>
      </c>
      <c r="CP142" t="s">
        <v>231</v>
      </c>
      <c r="CQ142" t="s">
        <v>231</v>
      </c>
      <c r="CR142" t="s">
        <v>231</v>
      </c>
      <c r="CS142" t="s">
        <v>231</v>
      </c>
      <c r="CT142" t="s">
        <v>3534</v>
      </c>
      <c r="CU142" t="s">
        <v>3535</v>
      </c>
      <c r="CV142" t="s">
        <v>3997</v>
      </c>
      <c r="CW142" t="s">
        <v>3998</v>
      </c>
      <c r="CX142" t="s">
        <v>3570</v>
      </c>
      <c r="CY142" t="s">
        <v>3997</v>
      </c>
      <c r="CZ142" t="s">
        <v>3575</v>
      </c>
      <c r="DA142" t="s">
        <v>3999</v>
      </c>
      <c r="DB142" t="s">
        <v>3643</v>
      </c>
      <c r="DC142" t="s">
        <v>363</v>
      </c>
      <c r="DD142" t="s">
        <v>282</v>
      </c>
      <c r="DE142" t="s">
        <v>4270</v>
      </c>
    </row>
    <row r="143" spans="1:109" ht="11.25" customHeight="1">
      <c r="A143" s="1314" t="s">
        <v>231</v>
      </c>
      <c r="B143" t="s">
        <v>231</v>
      </c>
      <c r="C143" t="s">
        <v>231</v>
      </c>
      <c r="D143" t="s">
        <v>231</v>
      </c>
      <c r="E143" t="s">
        <v>231</v>
      </c>
      <c r="F143" t="s">
        <v>231</v>
      </c>
      <c r="G143" t="s">
        <v>231</v>
      </c>
      <c r="H143" t="s">
        <v>231</v>
      </c>
      <c r="I143" t="s">
        <v>3521</v>
      </c>
      <c r="J143" t="s">
        <v>231</v>
      </c>
      <c r="K143" t="s">
        <v>231</v>
      </c>
      <c r="L143" t="s">
        <v>231</v>
      </c>
      <c r="M143" t="s">
        <v>231</v>
      </c>
      <c r="N143" t="s">
        <v>231</v>
      </c>
      <c r="O143" t="s">
        <v>231</v>
      </c>
      <c r="P143" t="s">
        <v>231</v>
      </c>
      <c r="Q143" t="s">
        <v>231</v>
      </c>
      <c r="R143" t="s">
        <v>4271</v>
      </c>
      <c r="S143" t="s">
        <v>231</v>
      </c>
      <c r="T143" t="s">
        <v>231</v>
      </c>
      <c r="U143" t="s">
        <v>101</v>
      </c>
      <c r="V143" t="s">
        <v>231</v>
      </c>
      <c r="W143" t="s">
        <v>231</v>
      </c>
      <c r="X143" t="s">
        <v>3523</v>
      </c>
      <c r="Y143" t="s">
        <v>231</v>
      </c>
      <c r="Z143" t="s">
        <v>160</v>
      </c>
      <c r="AA143" t="s">
        <v>151</v>
      </c>
      <c r="AB143" t="s">
        <v>151</v>
      </c>
      <c r="AC143" t="s">
        <v>2691</v>
      </c>
      <c r="AD143" t="s">
        <v>2691</v>
      </c>
      <c r="AE143" t="s">
        <v>2692</v>
      </c>
      <c r="AF143" t="s">
        <v>3991</v>
      </c>
      <c r="AG143" t="s">
        <v>3992</v>
      </c>
      <c r="AH143" t="s">
        <v>4272</v>
      </c>
      <c r="AI143" t="s">
        <v>151</v>
      </c>
      <c r="AJ143" t="s">
        <v>3587</v>
      </c>
      <c r="AK143" t="s">
        <v>4273</v>
      </c>
      <c r="AL143" t="s">
        <v>3613</v>
      </c>
      <c r="AM143" t="s">
        <v>3531</v>
      </c>
      <c r="AN143" t="s">
        <v>3710</v>
      </c>
      <c r="AO143" t="s">
        <v>4274</v>
      </c>
      <c r="AP143" t="s">
        <v>231</v>
      </c>
      <c r="AQ143" t="s">
        <v>231</v>
      </c>
      <c r="AR143" t="s">
        <v>231</v>
      </c>
      <c r="AS143" t="s">
        <v>231</v>
      </c>
      <c r="AT143" t="s">
        <v>231</v>
      </c>
      <c r="AU143" t="s">
        <v>231</v>
      </c>
      <c r="AV143" t="s">
        <v>231</v>
      </c>
      <c r="AW143" t="s">
        <v>231</v>
      </c>
      <c r="AX143" t="s">
        <v>231</v>
      </c>
      <c r="AY143" t="s">
        <v>231</v>
      </c>
      <c r="AZ143" t="s">
        <v>231</v>
      </c>
      <c r="BA143" t="s">
        <v>231</v>
      </c>
      <c r="BB143" t="s">
        <v>231</v>
      </c>
      <c r="BC143" t="s">
        <v>231</v>
      </c>
      <c r="BD143" t="s">
        <v>231</v>
      </c>
      <c r="BE143" t="s">
        <v>231</v>
      </c>
      <c r="BF143" t="s">
        <v>231</v>
      </c>
      <c r="BG143" t="s">
        <v>231</v>
      </c>
      <c r="BH143" t="s">
        <v>231</v>
      </c>
      <c r="BI143" t="s">
        <v>231</v>
      </c>
      <c r="BJ143" t="s">
        <v>231</v>
      </c>
      <c r="BK143" t="s">
        <v>231</v>
      </c>
      <c r="BL143" t="s">
        <v>231</v>
      </c>
      <c r="BM143" t="s">
        <v>231</v>
      </c>
      <c r="BN143" t="s">
        <v>231</v>
      </c>
      <c r="BO143" t="s">
        <v>231</v>
      </c>
      <c r="BP143" t="s">
        <v>231</v>
      </c>
      <c r="BQ143" t="s">
        <v>231</v>
      </c>
      <c r="BR143" t="s">
        <v>231</v>
      </c>
      <c r="BS143" t="s">
        <v>231</v>
      </c>
      <c r="BT143" t="s">
        <v>231</v>
      </c>
      <c r="BU143" t="s">
        <v>231</v>
      </c>
      <c r="BV143" t="s">
        <v>231</v>
      </c>
      <c r="BW143" t="s">
        <v>231</v>
      </c>
      <c r="BX143" t="s">
        <v>231</v>
      </c>
      <c r="BY143" t="s">
        <v>231</v>
      </c>
      <c r="BZ143" t="s">
        <v>231</v>
      </c>
      <c r="CA143" t="s">
        <v>231</v>
      </c>
      <c r="CB143" t="s">
        <v>231</v>
      </c>
      <c r="CC143" t="s">
        <v>231</v>
      </c>
      <c r="CD143" t="s">
        <v>231</v>
      </c>
      <c r="CE143" t="s">
        <v>231</v>
      </c>
      <c r="CF143" t="s">
        <v>231</v>
      </c>
      <c r="CG143" t="s">
        <v>231</v>
      </c>
      <c r="CH143" t="s">
        <v>231</v>
      </c>
      <c r="CI143" t="s">
        <v>231</v>
      </c>
      <c r="CJ143" t="s">
        <v>231</v>
      </c>
      <c r="CK143" t="s">
        <v>231</v>
      </c>
      <c r="CL143" t="s">
        <v>231</v>
      </c>
      <c r="CM143" t="s">
        <v>231</v>
      </c>
      <c r="CN143" t="s">
        <v>231</v>
      </c>
      <c r="CO143" t="s">
        <v>231</v>
      </c>
      <c r="CP143" t="s">
        <v>231</v>
      </c>
      <c r="CQ143" t="s">
        <v>231</v>
      </c>
      <c r="CR143" t="s">
        <v>231</v>
      </c>
      <c r="CS143" t="s">
        <v>231</v>
      </c>
      <c r="CT143" t="s">
        <v>3534</v>
      </c>
      <c r="CU143" t="s">
        <v>3535</v>
      </c>
      <c r="CV143" t="s">
        <v>3997</v>
      </c>
      <c r="CW143" t="s">
        <v>3998</v>
      </c>
      <c r="CX143" t="s">
        <v>3570</v>
      </c>
      <c r="CY143" t="s">
        <v>3997</v>
      </c>
      <c r="CZ143" t="s">
        <v>3575</v>
      </c>
      <c r="DA143" t="s">
        <v>3999</v>
      </c>
      <c r="DB143" t="s">
        <v>3643</v>
      </c>
      <c r="DC143" t="s">
        <v>363</v>
      </c>
      <c r="DD143" t="s">
        <v>282</v>
      </c>
      <c r="DE143" t="s">
        <v>4275</v>
      </c>
    </row>
    <row r="144" spans="1:109" ht="11.25" customHeight="1">
      <c r="A144" s="1314" t="s">
        <v>231</v>
      </c>
      <c r="B144" t="s">
        <v>231</v>
      </c>
      <c r="C144" t="s">
        <v>231</v>
      </c>
      <c r="D144" t="s">
        <v>231</v>
      </c>
      <c r="E144" t="s">
        <v>231</v>
      </c>
      <c r="F144" t="s">
        <v>231</v>
      </c>
      <c r="G144" t="s">
        <v>231</v>
      </c>
      <c r="H144" t="s">
        <v>231</v>
      </c>
      <c r="I144" t="s">
        <v>3521</v>
      </c>
      <c r="J144" t="s">
        <v>231</v>
      </c>
      <c r="K144" t="s">
        <v>231</v>
      </c>
      <c r="L144" t="s">
        <v>231</v>
      </c>
      <c r="M144" t="s">
        <v>231</v>
      </c>
      <c r="N144" t="s">
        <v>231</v>
      </c>
      <c r="O144" t="s">
        <v>231</v>
      </c>
      <c r="P144" t="s">
        <v>231</v>
      </c>
      <c r="Q144" t="s">
        <v>231</v>
      </c>
      <c r="R144" t="s">
        <v>4276</v>
      </c>
      <c r="S144" t="s">
        <v>231</v>
      </c>
      <c r="T144" t="s">
        <v>231</v>
      </c>
      <c r="U144" t="s">
        <v>101</v>
      </c>
      <c r="V144" t="s">
        <v>231</v>
      </c>
      <c r="W144" t="s">
        <v>231</v>
      </c>
      <c r="X144" t="s">
        <v>3628</v>
      </c>
      <c r="Y144" t="s">
        <v>231</v>
      </c>
      <c r="Z144" t="s">
        <v>151</v>
      </c>
      <c r="AA144" t="s">
        <v>151</v>
      </c>
      <c r="AB144" t="s">
        <v>160</v>
      </c>
      <c r="AC144" t="s">
        <v>2283</v>
      </c>
      <c r="AD144" t="s">
        <v>2283</v>
      </c>
      <c r="AE144" t="s">
        <v>2284</v>
      </c>
      <c r="AF144" t="s">
        <v>4001</v>
      </c>
      <c r="AG144" t="s">
        <v>4002</v>
      </c>
      <c r="AH144" t="s">
        <v>4001</v>
      </c>
      <c r="AI144" t="s">
        <v>3688</v>
      </c>
      <c r="AJ144" t="s">
        <v>231</v>
      </c>
      <c r="AK144" t="s">
        <v>231</v>
      </c>
      <c r="AL144" t="s">
        <v>231</v>
      </c>
      <c r="AM144" t="s">
        <v>231</v>
      </c>
      <c r="AN144" t="s">
        <v>231</v>
      </c>
      <c r="AO144" t="s">
        <v>231</v>
      </c>
      <c r="AP144" t="s">
        <v>231</v>
      </c>
      <c r="AQ144" t="s">
        <v>231</v>
      </c>
      <c r="AR144" t="s">
        <v>231</v>
      </c>
      <c r="AS144" t="s">
        <v>231</v>
      </c>
      <c r="AT144" t="s">
        <v>231</v>
      </c>
      <c r="AU144" t="s">
        <v>231</v>
      </c>
      <c r="AV144" t="s">
        <v>231</v>
      </c>
      <c r="AW144" t="s">
        <v>231</v>
      </c>
      <c r="AX144" t="s">
        <v>231</v>
      </c>
      <c r="AY144" t="s">
        <v>231</v>
      </c>
      <c r="AZ144" t="s">
        <v>231</v>
      </c>
      <c r="BA144" t="s">
        <v>231</v>
      </c>
      <c r="BB144" t="s">
        <v>231</v>
      </c>
      <c r="BC144" t="s">
        <v>231</v>
      </c>
      <c r="BD144" t="s">
        <v>231</v>
      </c>
      <c r="BE144" t="s">
        <v>3689</v>
      </c>
      <c r="BF144" t="s">
        <v>3689</v>
      </c>
      <c r="BG144" t="s">
        <v>111</v>
      </c>
      <c r="BH144" t="s">
        <v>3632</v>
      </c>
      <c r="BI144" t="s">
        <v>122</v>
      </c>
      <c r="BJ144" t="s">
        <v>231</v>
      </c>
      <c r="BK144" t="s">
        <v>3651</v>
      </c>
      <c r="BL144" t="s">
        <v>2283</v>
      </c>
      <c r="BM144" t="s">
        <v>2283</v>
      </c>
      <c r="BN144" t="s">
        <v>3690</v>
      </c>
      <c r="BO144" t="s">
        <v>4001</v>
      </c>
      <c r="BP144" t="s">
        <v>4005</v>
      </c>
      <c r="BQ144" t="s">
        <v>4277</v>
      </c>
      <c r="BR144" t="s">
        <v>4278</v>
      </c>
      <c r="BS144" t="s">
        <v>231</v>
      </c>
      <c r="BT144" t="s">
        <v>3694</v>
      </c>
      <c r="BU144" t="s">
        <v>4279</v>
      </c>
      <c r="BV144" t="s">
        <v>4279</v>
      </c>
      <c r="BW144" t="s">
        <v>3641</v>
      </c>
      <c r="BX144" t="s">
        <v>3641</v>
      </c>
      <c r="BY144" t="s">
        <v>3641</v>
      </c>
      <c r="BZ144" t="s">
        <v>3641</v>
      </c>
      <c r="CA144" t="s">
        <v>3641</v>
      </c>
      <c r="CB144" t="s">
        <v>231</v>
      </c>
      <c r="CC144" t="s">
        <v>231</v>
      </c>
      <c r="CD144" t="s">
        <v>231</v>
      </c>
      <c r="CE144" t="s">
        <v>231</v>
      </c>
      <c r="CF144" t="s">
        <v>231</v>
      </c>
      <c r="CG144" t="s">
        <v>3641</v>
      </c>
      <c r="CH144" t="s">
        <v>231</v>
      </c>
      <c r="CI144" t="s">
        <v>231</v>
      </c>
      <c r="CJ144" t="s">
        <v>231</v>
      </c>
      <c r="CK144" t="s">
        <v>231</v>
      </c>
      <c r="CL144" t="s">
        <v>231</v>
      </c>
      <c r="CM144" t="s">
        <v>4279</v>
      </c>
      <c r="CN144" t="s">
        <v>4279</v>
      </c>
      <c r="CO144" t="s">
        <v>231</v>
      </c>
      <c r="CP144" t="s">
        <v>231</v>
      </c>
      <c r="CQ144" t="s">
        <v>231</v>
      </c>
      <c r="CR144" t="s">
        <v>231</v>
      </c>
      <c r="CS144" t="s">
        <v>3549</v>
      </c>
      <c r="CT144" t="s">
        <v>3534</v>
      </c>
      <c r="CU144" t="s">
        <v>3535</v>
      </c>
      <c r="CV144" t="s">
        <v>3536</v>
      </c>
      <c r="CW144" t="s">
        <v>3551</v>
      </c>
      <c r="CX144" t="s">
        <v>223</v>
      </c>
      <c r="CY144" t="s">
        <v>3536</v>
      </c>
      <c r="CZ144" t="s">
        <v>3552</v>
      </c>
      <c r="DA144" t="s">
        <v>3553</v>
      </c>
      <c r="DB144" t="s">
        <v>3551</v>
      </c>
      <c r="DC144" t="s">
        <v>363</v>
      </c>
      <c r="DD144" t="s">
        <v>282</v>
      </c>
      <c r="DE144" t="s">
        <v>4010</v>
      </c>
    </row>
    <row r="145" spans="1:109" ht="11.25" customHeight="1">
      <c r="A145" s="1314" t="s">
        <v>231</v>
      </c>
      <c r="B145" t="s">
        <v>231</v>
      </c>
      <c r="C145" t="s">
        <v>231</v>
      </c>
      <c r="D145" t="s">
        <v>231</v>
      </c>
      <c r="E145" t="s">
        <v>231</v>
      </c>
      <c r="F145" t="s">
        <v>231</v>
      </c>
      <c r="G145" t="s">
        <v>231</v>
      </c>
      <c r="H145" t="s">
        <v>231</v>
      </c>
      <c r="I145" t="s">
        <v>3521</v>
      </c>
      <c r="J145" t="s">
        <v>231</v>
      </c>
      <c r="K145" t="s">
        <v>231</v>
      </c>
      <c r="L145" t="s">
        <v>231</v>
      </c>
      <c r="M145" t="s">
        <v>231</v>
      </c>
      <c r="N145" t="s">
        <v>231</v>
      </c>
      <c r="O145" t="s">
        <v>231</v>
      </c>
      <c r="P145" t="s">
        <v>231</v>
      </c>
      <c r="Q145" t="s">
        <v>231</v>
      </c>
      <c r="R145" t="s">
        <v>3685</v>
      </c>
      <c r="S145" t="s">
        <v>231</v>
      </c>
      <c r="T145" t="s">
        <v>231</v>
      </c>
      <c r="U145" t="s">
        <v>101</v>
      </c>
      <c r="V145" t="s">
        <v>231</v>
      </c>
      <c r="W145" t="s">
        <v>231</v>
      </c>
      <c r="X145" t="s">
        <v>3628</v>
      </c>
      <c r="Y145" t="s">
        <v>231</v>
      </c>
      <c r="Z145" t="s">
        <v>151</v>
      </c>
      <c r="AA145" t="s">
        <v>151</v>
      </c>
      <c r="AB145" t="s">
        <v>160</v>
      </c>
      <c r="AC145" t="s">
        <v>2283</v>
      </c>
      <c r="AD145" t="s">
        <v>2283</v>
      </c>
      <c r="AE145" t="s">
        <v>2284</v>
      </c>
      <c r="AF145" t="s">
        <v>4280</v>
      </c>
      <c r="AG145" t="s">
        <v>4281</v>
      </c>
      <c r="AH145" t="s">
        <v>4280</v>
      </c>
      <c r="AI145" t="s">
        <v>3688</v>
      </c>
      <c r="AJ145" t="s">
        <v>231</v>
      </c>
      <c r="AK145" t="s">
        <v>231</v>
      </c>
      <c r="AL145" t="s">
        <v>231</v>
      </c>
      <c r="AM145" t="s">
        <v>231</v>
      </c>
      <c r="AN145" t="s">
        <v>231</v>
      </c>
      <c r="AO145" t="s">
        <v>231</v>
      </c>
      <c r="AP145" t="s">
        <v>231</v>
      </c>
      <c r="AQ145" t="s">
        <v>231</v>
      </c>
      <c r="AR145" t="s">
        <v>231</v>
      </c>
      <c r="AS145" t="s">
        <v>231</v>
      </c>
      <c r="AT145" t="s">
        <v>231</v>
      </c>
      <c r="AU145" t="s">
        <v>231</v>
      </c>
      <c r="AV145" t="s">
        <v>231</v>
      </c>
      <c r="AW145" t="s">
        <v>231</v>
      </c>
      <c r="AX145" t="s">
        <v>231</v>
      </c>
      <c r="AY145" t="s">
        <v>231</v>
      </c>
      <c r="AZ145" t="s">
        <v>231</v>
      </c>
      <c r="BA145" t="s">
        <v>231</v>
      </c>
      <c r="BB145" t="s">
        <v>231</v>
      </c>
      <c r="BC145" t="s">
        <v>231</v>
      </c>
      <c r="BD145" t="s">
        <v>231</v>
      </c>
      <c r="BE145" t="s">
        <v>3689</v>
      </c>
      <c r="BF145" t="s">
        <v>3689</v>
      </c>
      <c r="BG145" t="s">
        <v>111</v>
      </c>
      <c r="BH145" t="s">
        <v>3632</v>
      </c>
      <c r="BI145" t="s">
        <v>122</v>
      </c>
      <c r="BJ145" t="s">
        <v>231</v>
      </c>
      <c r="BK145" t="s">
        <v>3651</v>
      </c>
      <c r="BL145" t="s">
        <v>2283</v>
      </c>
      <c r="BM145" t="s">
        <v>2283</v>
      </c>
      <c r="BN145" t="s">
        <v>3690</v>
      </c>
      <c r="BO145" t="s">
        <v>4280</v>
      </c>
      <c r="BP145" t="s">
        <v>4282</v>
      </c>
      <c r="BQ145" t="s">
        <v>4283</v>
      </c>
      <c r="BR145" t="s">
        <v>4240</v>
      </c>
      <c r="BS145" t="s">
        <v>231</v>
      </c>
      <c r="BT145" t="s">
        <v>3694</v>
      </c>
      <c r="BU145" t="s">
        <v>4284</v>
      </c>
      <c r="BV145" t="s">
        <v>4284</v>
      </c>
      <c r="BW145" t="s">
        <v>3641</v>
      </c>
      <c r="BX145" t="s">
        <v>3641</v>
      </c>
      <c r="BY145" t="s">
        <v>3641</v>
      </c>
      <c r="BZ145" t="s">
        <v>3641</v>
      </c>
      <c r="CA145" t="s">
        <v>3641</v>
      </c>
      <c r="CB145" t="s">
        <v>231</v>
      </c>
      <c r="CC145" t="s">
        <v>231</v>
      </c>
      <c r="CD145" t="s">
        <v>231</v>
      </c>
      <c r="CE145" t="s">
        <v>231</v>
      </c>
      <c r="CF145" t="s">
        <v>231</v>
      </c>
      <c r="CG145" t="s">
        <v>3641</v>
      </c>
      <c r="CH145" t="s">
        <v>231</v>
      </c>
      <c r="CI145" t="s">
        <v>231</v>
      </c>
      <c r="CJ145" t="s">
        <v>231</v>
      </c>
      <c r="CK145" t="s">
        <v>231</v>
      </c>
      <c r="CL145" t="s">
        <v>231</v>
      </c>
      <c r="CM145" t="s">
        <v>4284</v>
      </c>
      <c r="CN145" t="s">
        <v>4284</v>
      </c>
      <c r="CO145" t="s">
        <v>231</v>
      </c>
      <c r="CP145" t="s">
        <v>231</v>
      </c>
      <c r="CQ145" t="s">
        <v>231</v>
      </c>
      <c r="CR145" t="s">
        <v>231</v>
      </c>
      <c r="CS145" t="s">
        <v>3549</v>
      </c>
      <c r="CT145" t="s">
        <v>3534</v>
      </c>
      <c r="CU145" t="s">
        <v>3535</v>
      </c>
      <c r="CV145" t="s">
        <v>3536</v>
      </c>
      <c r="CW145" t="s">
        <v>3551</v>
      </c>
      <c r="CX145" t="s">
        <v>223</v>
      </c>
      <c r="CY145" t="s">
        <v>3536</v>
      </c>
      <c r="CZ145" t="s">
        <v>3552</v>
      </c>
      <c r="DA145" t="s">
        <v>3553</v>
      </c>
      <c r="DB145" t="s">
        <v>3551</v>
      </c>
      <c r="DC145" t="s">
        <v>363</v>
      </c>
      <c r="DD145" t="s">
        <v>282</v>
      </c>
      <c r="DE145" t="s">
        <v>4285</v>
      </c>
    </row>
    <row r="146" spans="1:109" ht="11.25" customHeight="1">
      <c r="A146" s="1314" t="s">
        <v>231</v>
      </c>
      <c r="B146" t="s">
        <v>231</v>
      </c>
      <c r="C146" t="s">
        <v>231</v>
      </c>
      <c r="D146" t="s">
        <v>231</v>
      </c>
      <c r="E146" t="s">
        <v>231</v>
      </c>
      <c r="F146" t="s">
        <v>231</v>
      </c>
      <c r="G146" t="s">
        <v>231</v>
      </c>
      <c r="H146" t="s">
        <v>231</v>
      </c>
      <c r="I146" t="s">
        <v>3521</v>
      </c>
      <c r="J146" t="s">
        <v>231</v>
      </c>
      <c r="K146" t="s">
        <v>231</v>
      </c>
      <c r="L146" t="s">
        <v>231</v>
      </c>
      <c r="M146" t="s">
        <v>231</v>
      </c>
      <c r="N146" t="s">
        <v>231</v>
      </c>
      <c r="O146" t="s">
        <v>231</v>
      </c>
      <c r="P146" t="s">
        <v>231</v>
      </c>
      <c r="Q146" t="s">
        <v>231</v>
      </c>
      <c r="R146" t="s">
        <v>3651</v>
      </c>
      <c r="S146" t="s">
        <v>231</v>
      </c>
      <c r="T146" t="s">
        <v>231</v>
      </c>
      <c r="U146" t="s">
        <v>101</v>
      </c>
      <c r="V146" t="s">
        <v>231</v>
      </c>
      <c r="W146" t="s">
        <v>231</v>
      </c>
      <c r="X146" t="s">
        <v>3523</v>
      </c>
      <c r="Y146" t="s">
        <v>231</v>
      </c>
      <c r="Z146" t="s">
        <v>160</v>
      </c>
      <c r="AA146" t="s">
        <v>151</v>
      </c>
      <c r="AB146" t="s">
        <v>151</v>
      </c>
      <c r="AC146" t="s">
        <v>2283</v>
      </c>
      <c r="AD146" t="s">
        <v>2283</v>
      </c>
      <c r="AE146" t="s">
        <v>2284</v>
      </c>
      <c r="AF146" t="s">
        <v>4001</v>
      </c>
      <c r="AG146" t="s">
        <v>4002</v>
      </c>
      <c r="AH146" t="s">
        <v>3609</v>
      </c>
      <c r="AI146" t="s">
        <v>552</v>
      </c>
      <c r="AJ146" t="s">
        <v>3546</v>
      </c>
      <c r="AK146" t="s">
        <v>3546</v>
      </c>
      <c r="AL146" t="s">
        <v>3648</v>
      </c>
      <c r="AM146" t="s">
        <v>3531</v>
      </c>
      <c r="AN146" t="s">
        <v>3549</v>
      </c>
      <c r="AO146" t="s">
        <v>3656</v>
      </c>
      <c r="AP146" t="s">
        <v>231</v>
      </c>
      <c r="AQ146" t="s">
        <v>231</v>
      </c>
      <c r="AR146" t="s">
        <v>231</v>
      </c>
      <c r="AS146" t="s">
        <v>231</v>
      </c>
      <c r="AT146" t="s">
        <v>231</v>
      </c>
      <c r="AU146" t="s">
        <v>231</v>
      </c>
      <c r="AV146" t="s">
        <v>231</v>
      </c>
      <c r="AW146" t="s">
        <v>231</v>
      </c>
      <c r="AX146" t="s">
        <v>231</v>
      </c>
      <c r="AY146" t="s">
        <v>231</v>
      </c>
      <c r="AZ146" t="s">
        <v>231</v>
      </c>
      <c r="BA146" t="s">
        <v>231</v>
      </c>
      <c r="BB146" t="s">
        <v>231</v>
      </c>
      <c r="BC146" t="s">
        <v>231</v>
      </c>
      <c r="BD146" t="s">
        <v>231</v>
      </c>
      <c r="BE146" t="s">
        <v>231</v>
      </c>
      <c r="BF146" t="s">
        <v>231</v>
      </c>
      <c r="BG146" t="s">
        <v>231</v>
      </c>
      <c r="BH146" t="s">
        <v>231</v>
      </c>
      <c r="BI146" t="s">
        <v>231</v>
      </c>
      <c r="BJ146" t="s">
        <v>231</v>
      </c>
      <c r="BK146" t="s">
        <v>231</v>
      </c>
      <c r="BL146" t="s">
        <v>231</v>
      </c>
      <c r="BM146" t="s">
        <v>231</v>
      </c>
      <c r="BN146" t="s">
        <v>231</v>
      </c>
      <c r="BO146" t="s">
        <v>231</v>
      </c>
      <c r="BP146" t="s">
        <v>231</v>
      </c>
      <c r="BQ146" t="s">
        <v>231</v>
      </c>
      <c r="BR146" t="s">
        <v>231</v>
      </c>
      <c r="BS146" t="s">
        <v>231</v>
      </c>
      <c r="BT146" t="s">
        <v>231</v>
      </c>
      <c r="BU146" t="s">
        <v>231</v>
      </c>
      <c r="BV146" t="s">
        <v>231</v>
      </c>
      <c r="BW146" t="s">
        <v>231</v>
      </c>
      <c r="BX146" t="s">
        <v>231</v>
      </c>
      <c r="BY146" t="s">
        <v>231</v>
      </c>
      <c r="BZ146" t="s">
        <v>231</v>
      </c>
      <c r="CA146" t="s">
        <v>231</v>
      </c>
      <c r="CB146" t="s">
        <v>231</v>
      </c>
      <c r="CC146" t="s">
        <v>231</v>
      </c>
      <c r="CD146" t="s">
        <v>231</v>
      </c>
      <c r="CE146" t="s">
        <v>231</v>
      </c>
      <c r="CF146" t="s">
        <v>231</v>
      </c>
      <c r="CG146" t="s">
        <v>231</v>
      </c>
      <c r="CH146" t="s">
        <v>231</v>
      </c>
      <c r="CI146" t="s">
        <v>231</v>
      </c>
      <c r="CJ146" t="s">
        <v>231</v>
      </c>
      <c r="CK146" t="s">
        <v>231</v>
      </c>
      <c r="CL146" t="s">
        <v>231</v>
      </c>
      <c r="CM146" t="s">
        <v>231</v>
      </c>
      <c r="CN146" t="s">
        <v>231</v>
      </c>
      <c r="CO146" t="s">
        <v>231</v>
      </c>
      <c r="CP146" t="s">
        <v>231</v>
      </c>
      <c r="CQ146" t="s">
        <v>231</v>
      </c>
      <c r="CR146" t="s">
        <v>231</v>
      </c>
      <c r="CS146" t="s">
        <v>231</v>
      </c>
      <c r="CT146" t="s">
        <v>3534</v>
      </c>
      <c r="CU146" t="s">
        <v>3535</v>
      </c>
      <c r="CV146" t="s">
        <v>3536</v>
      </c>
      <c r="CW146" t="s">
        <v>3551</v>
      </c>
      <c r="CX146" t="s">
        <v>223</v>
      </c>
      <c r="CY146" t="s">
        <v>3536</v>
      </c>
      <c r="CZ146" t="s">
        <v>3552</v>
      </c>
      <c r="DA146" t="s">
        <v>3553</v>
      </c>
      <c r="DB146" t="s">
        <v>3551</v>
      </c>
      <c r="DC146" t="s">
        <v>363</v>
      </c>
      <c r="DD146" t="s">
        <v>282</v>
      </c>
      <c r="DE146" t="s">
        <v>4286</v>
      </c>
    </row>
    <row r="147" spans="1:109" ht="11.25" customHeight="1">
      <c r="A147" s="1314" t="s">
        <v>231</v>
      </c>
      <c r="B147" t="s">
        <v>231</v>
      </c>
      <c r="C147" t="s">
        <v>231</v>
      </c>
      <c r="D147" t="s">
        <v>231</v>
      </c>
      <c r="E147" t="s">
        <v>231</v>
      </c>
      <c r="F147" t="s">
        <v>231</v>
      </c>
      <c r="G147" t="s">
        <v>231</v>
      </c>
      <c r="H147" t="s">
        <v>231</v>
      </c>
      <c r="I147" t="s">
        <v>3521</v>
      </c>
      <c r="J147" t="s">
        <v>231</v>
      </c>
      <c r="K147" t="s">
        <v>231</v>
      </c>
      <c r="L147" t="s">
        <v>231</v>
      </c>
      <c r="M147" t="s">
        <v>231</v>
      </c>
      <c r="N147" t="s">
        <v>231</v>
      </c>
      <c r="O147" t="s">
        <v>231</v>
      </c>
      <c r="P147" t="s">
        <v>231</v>
      </c>
      <c r="Q147" t="s">
        <v>231</v>
      </c>
      <c r="R147" t="s">
        <v>3541</v>
      </c>
      <c r="S147" t="s">
        <v>231</v>
      </c>
      <c r="T147" t="s">
        <v>231</v>
      </c>
      <c r="U147" t="s">
        <v>101</v>
      </c>
      <c r="V147" t="s">
        <v>231</v>
      </c>
      <c r="W147" t="s">
        <v>231</v>
      </c>
      <c r="X147" t="s">
        <v>3523</v>
      </c>
      <c r="Y147" t="s">
        <v>231</v>
      </c>
      <c r="Z147" t="s">
        <v>160</v>
      </c>
      <c r="AA147" t="s">
        <v>151</v>
      </c>
      <c r="AB147" t="s">
        <v>151</v>
      </c>
      <c r="AC147" t="s">
        <v>2283</v>
      </c>
      <c r="AD147" t="s">
        <v>2283</v>
      </c>
      <c r="AE147" t="s">
        <v>2284</v>
      </c>
      <c r="AF147" t="s">
        <v>4001</v>
      </c>
      <c r="AG147" t="s">
        <v>4002</v>
      </c>
      <c r="AH147" t="s">
        <v>4006</v>
      </c>
      <c r="AI147" t="s">
        <v>3545</v>
      </c>
      <c r="AJ147" t="s">
        <v>3546</v>
      </c>
      <c r="AK147" t="s">
        <v>3546</v>
      </c>
      <c r="AL147" t="s">
        <v>3648</v>
      </c>
      <c r="AM147" t="s">
        <v>3531</v>
      </c>
      <c r="AN147" t="s">
        <v>3549</v>
      </c>
      <c r="AO147" t="s">
        <v>3550</v>
      </c>
      <c r="AP147" t="s">
        <v>231</v>
      </c>
      <c r="AQ147" t="s">
        <v>231</v>
      </c>
      <c r="AR147" t="s">
        <v>231</v>
      </c>
      <c r="AS147" t="s">
        <v>231</v>
      </c>
      <c r="AT147" t="s">
        <v>231</v>
      </c>
      <c r="AU147" t="s">
        <v>231</v>
      </c>
      <c r="AV147" t="s">
        <v>231</v>
      </c>
      <c r="AW147" t="s">
        <v>231</v>
      </c>
      <c r="AX147" t="s">
        <v>231</v>
      </c>
      <c r="AY147" t="s">
        <v>231</v>
      </c>
      <c r="AZ147" t="s">
        <v>231</v>
      </c>
      <c r="BA147" t="s">
        <v>231</v>
      </c>
      <c r="BB147" t="s">
        <v>231</v>
      </c>
      <c r="BC147" t="s">
        <v>231</v>
      </c>
      <c r="BD147" t="s">
        <v>231</v>
      </c>
      <c r="BE147" t="s">
        <v>231</v>
      </c>
      <c r="BF147" t="s">
        <v>231</v>
      </c>
      <c r="BG147" t="s">
        <v>231</v>
      </c>
      <c r="BH147" t="s">
        <v>231</v>
      </c>
      <c r="BI147" t="s">
        <v>231</v>
      </c>
      <c r="BJ147" t="s">
        <v>231</v>
      </c>
      <c r="BK147" t="s">
        <v>231</v>
      </c>
      <c r="BL147" t="s">
        <v>231</v>
      </c>
      <c r="BM147" t="s">
        <v>231</v>
      </c>
      <c r="BN147" t="s">
        <v>231</v>
      </c>
      <c r="BO147" t="s">
        <v>231</v>
      </c>
      <c r="BP147" t="s">
        <v>231</v>
      </c>
      <c r="BQ147" t="s">
        <v>231</v>
      </c>
      <c r="BR147" t="s">
        <v>231</v>
      </c>
      <c r="BS147" t="s">
        <v>231</v>
      </c>
      <c r="BT147" t="s">
        <v>231</v>
      </c>
      <c r="BU147" t="s">
        <v>231</v>
      </c>
      <c r="BV147" t="s">
        <v>231</v>
      </c>
      <c r="BW147" t="s">
        <v>231</v>
      </c>
      <c r="BX147" t="s">
        <v>231</v>
      </c>
      <c r="BY147" t="s">
        <v>231</v>
      </c>
      <c r="BZ147" t="s">
        <v>231</v>
      </c>
      <c r="CA147" t="s">
        <v>231</v>
      </c>
      <c r="CB147" t="s">
        <v>231</v>
      </c>
      <c r="CC147" t="s">
        <v>231</v>
      </c>
      <c r="CD147" t="s">
        <v>231</v>
      </c>
      <c r="CE147" t="s">
        <v>231</v>
      </c>
      <c r="CF147" t="s">
        <v>231</v>
      </c>
      <c r="CG147" t="s">
        <v>231</v>
      </c>
      <c r="CH147" t="s">
        <v>231</v>
      </c>
      <c r="CI147" t="s">
        <v>231</v>
      </c>
      <c r="CJ147" t="s">
        <v>231</v>
      </c>
      <c r="CK147" t="s">
        <v>231</v>
      </c>
      <c r="CL147" t="s">
        <v>231</v>
      </c>
      <c r="CM147" t="s">
        <v>231</v>
      </c>
      <c r="CN147" t="s">
        <v>231</v>
      </c>
      <c r="CO147" t="s">
        <v>231</v>
      </c>
      <c r="CP147" t="s">
        <v>231</v>
      </c>
      <c r="CQ147" t="s">
        <v>231</v>
      </c>
      <c r="CR147" t="s">
        <v>231</v>
      </c>
      <c r="CS147" t="s">
        <v>231</v>
      </c>
      <c r="CT147" t="s">
        <v>3534</v>
      </c>
      <c r="CU147" t="s">
        <v>3535</v>
      </c>
      <c r="CV147" t="s">
        <v>3536</v>
      </c>
      <c r="CW147" t="s">
        <v>3551</v>
      </c>
      <c r="CX147" t="s">
        <v>223</v>
      </c>
      <c r="CY147" t="s">
        <v>3536</v>
      </c>
      <c r="CZ147" t="s">
        <v>3552</v>
      </c>
      <c r="DA147" t="s">
        <v>3553</v>
      </c>
      <c r="DB147" t="s">
        <v>3551</v>
      </c>
      <c r="DC147" t="s">
        <v>363</v>
      </c>
      <c r="DD147" t="s">
        <v>282</v>
      </c>
      <c r="DE147" t="s">
        <v>4287</v>
      </c>
    </row>
    <row r="148" spans="1:109" ht="11.25" customHeight="1">
      <c r="A148" s="1314" t="s">
        <v>231</v>
      </c>
      <c r="B148" t="s">
        <v>231</v>
      </c>
      <c r="C148" t="s">
        <v>231</v>
      </c>
      <c r="D148" t="s">
        <v>231</v>
      </c>
      <c r="E148" t="s">
        <v>231</v>
      </c>
      <c r="F148" t="s">
        <v>231</v>
      </c>
      <c r="G148" t="s">
        <v>231</v>
      </c>
      <c r="H148" t="s">
        <v>231</v>
      </c>
      <c r="I148" t="s">
        <v>3521</v>
      </c>
      <c r="J148" t="s">
        <v>231</v>
      </c>
      <c r="K148" t="s">
        <v>231</v>
      </c>
      <c r="L148" t="s">
        <v>231</v>
      </c>
      <c r="M148" t="s">
        <v>231</v>
      </c>
      <c r="N148" t="s">
        <v>231</v>
      </c>
      <c r="O148" t="s">
        <v>231</v>
      </c>
      <c r="P148" t="s">
        <v>231</v>
      </c>
      <c r="Q148" t="s">
        <v>231</v>
      </c>
      <c r="R148" t="s">
        <v>4288</v>
      </c>
      <c r="S148" t="s">
        <v>231</v>
      </c>
      <c r="T148" t="s">
        <v>231</v>
      </c>
      <c r="U148" t="s">
        <v>101</v>
      </c>
      <c r="V148" t="s">
        <v>231</v>
      </c>
      <c r="W148" t="s">
        <v>231</v>
      </c>
      <c r="X148" t="s">
        <v>3628</v>
      </c>
      <c r="Y148" t="s">
        <v>231</v>
      </c>
      <c r="Z148" t="s">
        <v>151</v>
      </c>
      <c r="AA148" t="s">
        <v>151</v>
      </c>
      <c r="AB148" t="s">
        <v>160</v>
      </c>
      <c r="AC148" t="s">
        <v>2287</v>
      </c>
      <c r="AD148" t="s">
        <v>2287</v>
      </c>
      <c r="AE148" t="s">
        <v>2288</v>
      </c>
      <c r="AF148" t="s">
        <v>4025</v>
      </c>
      <c r="AG148" t="s">
        <v>4026</v>
      </c>
      <c r="AH148" t="s">
        <v>3618</v>
      </c>
      <c r="AI148" t="s">
        <v>3618</v>
      </c>
      <c r="AJ148" t="s">
        <v>231</v>
      </c>
      <c r="AK148" t="s">
        <v>231</v>
      </c>
      <c r="AL148" t="s">
        <v>231</v>
      </c>
      <c r="AM148" t="s">
        <v>231</v>
      </c>
      <c r="AN148" t="s">
        <v>231</v>
      </c>
      <c r="AO148" t="s">
        <v>231</v>
      </c>
      <c r="AP148" t="s">
        <v>231</v>
      </c>
      <c r="AQ148" t="s">
        <v>231</v>
      </c>
      <c r="AR148" t="s">
        <v>231</v>
      </c>
      <c r="AS148" t="s">
        <v>231</v>
      </c>
      <c r="AT148" t="s">
        <v>231</v>
      </c>
      <c r="AU148" t="s">
        <v>231</v>
      </c>
      <c r="AV148" t="s">
        <v>231</v>
      </c>
      <c r="AW148" t="s">
        <v>231</v>
      </c>
      <c r="AX148" t="s">
        <v>231</v>
      </c>
      <c r="AY148" t="s">
        <v>231</v>
      </c>
      <c r="AZ148" t="s">
        <v>231</v>
      </c>
      <c r="BA148" t="s">
        <v>231</v>
      </c>
      <c r="BB148" t="s">
        <v>231</v>
      </c>
      <c r="BC148" t="s">
        <v>231</v>
      </c>
      <c r="BD148" t="s">
        <v>231</v>
      </c>
      <c r="BE148" t="s">
        <v>3528</v>
      </c>
      <c r="BF148" t="s">
        <v>3528</v>
      </c>
      <c r="BG148" t="s">
        <v>111</v>
      </c>
      <c r="BH148" t="s">
        <v>3632</v>
      </c>
      <c r="BI148" t="s">
        <v>122</v>
      </c>
      <c r="BJ148" t="s">
        <v>231</v>
      </c>
      <c r="BK148" t="s">
        <v>4024</v>
      </c>
      <c r="BL148" t="s">
        <v>2287</v>
      </c>
      <c r="BM148" t="s">
        <v>2287</v>
      </c>
      <c r="BN148" t="s">
        <v>3842</v>
      </c>
      <c r="BO148" t="s">
        <v>4025</v>
      </c>
      <c r="BP148" t="s">
        <v>4216</v>
      </c>
      <c r="BQ148" t="s">
        <v>3618</v>
      </c>
      <c r="BR148" t="s">
        <v>3618</v>
      </c>
      <c r="BS148" t="s">
        <v>231</v>
      </c>
      <c r="BT148" t="s">
        <v>3694</v>
      </c>
      <c r="BU148" t="s">
        <v>4289</v>
      </c>
      <c r="BV148" t="s">
        <v>4289</v>
      </c>
      <c r="BW148" t="s">
        <v>3641</v>
      </c>
      <c r="BX148" t="s">
        <v>3641</v>
      </c>
      <c r="BY148" t="s">
        <v>3641</v>
      </c>
      <c r="BZ148" t="s">
        <v>3641</v>
      </c>
      <c r="CA148" t="s">
        <v>3641</v>
      </c>
      <c r="CB148" t="s">
        <v>231</v>
      </c>
      <c r="CC148" t="s">
        <v>231</v>
      </c>
      <c r="CD148" t="s">
        <v>231</v>
      </c>
      <c r="CE148" t="s">
        <v>231</v>
      </c>
      <c r="CF148" t="s">
        <v>231</v>
      </c>
      <c r="CG148" t="s">
        <v>3641</v>
      </c>
      <c r="CH148" t="s">
        <v>231</v>
      </c>
      <c r="CI148" t="s">
        <v>231</v>
      </c>
      <c r="CJ148" t="s">
        <v>231</v>
      </c>
      <c r="CK148" t="s">
        <v>231</v>
      </c>
      <c r="CL148" t="s">
        <v>231</v>
      </c>
      <c r="CM148" t="s">
        <v>4289</v>
      </c>
      <c r="CN148" t="s">
        <v>4289</v>
      </c>
      <c r="CO148" t="s">
        <v>231</v>
      </c>
      <c r="CP148" t="s">
        <v>231</v>
      </c>
      <c r="CQ148" t="s">
        <v>231</v>
      </c>
      <c r="CR148" t="s">
        <v>231</v>
      </c>
      <c r="CS148" t="s">
        <v>3529</v>
      </c>
      <c r="CT148" t="s">
        <v>3534</v>
      </c>
      <c r="CU148" t="s">
        <v>3535</v>
      </c>
      <c r="CV148" t="s">
        <v>3536</v>
      </c>
      <c r="CW148" t="s">
        <v>3623</v>
      </c>
      <c r="CX148" t="s">
        <v>223</v>
      </c>
      <c r="CY148" t="s">
        <v>3536</v>
      </c>
      <c r="CZ148" t="s">
        <v>3624</v>
      </c>
      <c r="DA148" t="s">
        <v>3625</v>
      </c>
      <c r="DB148" t="s">
        <v>3623</v>
      </c>
      <c r="DC148" t="s">
        <v>363</v>
      </c>
      <c r="DD148" t="s">
        <v>282</v>
      </c>
      <c r="DE148" t="s">
        <v>4290</v>
      </c>
    </row>
    <row r="149" spans="1:109" ht="11.25" customHeight="1">
      <c r="A149" s="1314" t="s">
        <v>231</v>
      </c>
      <c r="B149" t="s">
        <v>231</v>
      </c>
      <c r="C149" t="s">
        <v>231</v>
      </c>
      <c r="D149" t="s">
        <v>231</v>
      </c>
      <c r="E149" t="s">
        <v>231</v>
      </c>
      <c r="F149" t="s">
        <v>231</v>
      </c>
      <c r="G149" t="s">
        <v>231</v>
      </c>
      <c r="H149" t="s">
        <v>231</v>
      </c>
      <c r="I149" t="s">
        <v>3521</v>
      </c>
      <c r="J149" t="s">
        <v>231</v>
      </c>
      <c r="K149" t="s">
        <v>231</v>
      </c>
      <c r="L149" t="s">
        <v>231</v>
      </c>
      <c r="M149" t="s">
        <v>231</v>
      </c>
      <c r="N149" t="s">
        <v>231</v>
      </c>
      <c r="O149" t="s">
        <v>231</v>
      </c>
      <c r="P149" t="s">
        <v>231</v>
      </c>
      <c r="Q149" t="s">
        <v>231</v>
      </c>
      <c r="R149" t="s">
        <v>3615</v>
      </c>
      <c r="S149" t="s">
        <v>231</v>
      </c>
      <c r="T149" t="s">
        <v>231</v>
      </c>
      <c r="U149" t="s">
        <v>101</v>
      </c>
      <c r="V149" t="s">
        <v>231</v>
      </c>
      <c r="W149" t="s">
        <v>231</v>
      </c>
      <c r="X149" t="s">
        <v>3523</v>
      </c>
      <c r="Y149" t="s">
        <v>231</v>
      </c>
      <c r="Z149" t="s">
        <v>160</v>
      </c>
      <c r="AA149" t="s">
        <v>151</v>
      </c>
      <c r="AB149" t="s">
        <v>151</v>
      </c>
      <c r="AC149" t="s">
        <v>2287</v>
      </c>
      <c r="AD149" t="s">
        <v>2287</v>
      </c>
      <c r="AE149" t="s">
        <v>2288</v>
      </c>
      <c r="AF149" t="s">
        <v>4291</v>
      </c>
      <c r="AG149" t="s">
        <v>4292</v>
      </c>
      <c r="AH149" t="s">
        <v>4293</v>
      </c>
      <c r="AI149" t="s">
        <v>3618</v>
      </c>
      <c r="AJ149" t="s">
        <v>3619</v>
      </c>
      <c r="AK149" t="s">
        <v>4185</v>
      </c>
      <c r="AL149" t="s">
        <v>3548</v>
      </c>
      <c r="AM149" t="s">
        <v>3531</v>
      </c>
      <c r="AN149" t="s">
        <v>3621</v>
      </c>
      <c r="AO149" t="s">
        <v>3821</v>
      </c>
      <c r="AP149" t="s">
        <v>231</v>
      </c>
      <c r="AQ149" t="s">
        <v>231</v>
      </c>
      <c r="AR149" t="s">
        <v>231</v>
      </c>
      <c r="AS149" t="s">
        <v>231</v>
      </c>
      <c r="AT149" t="s">
        <v>231</v>
      </c>
      <c r="AU149" t="s">
        <v>231</v>
      </c>
      <c r="AV149" t="s">
        <v>231</v>
      </c>
      <c r="AW149" t="s">
        <v>231</v>
      </c>
      <c r="AX149" t="s">
        <v>231</v>
      </c>
      <c r="AY149" t="s">
        <v>231</v>
      </c>
      <c r="AZ149" t="s">
        <v>231</v>
      </c>
      <c r="BA149" t="s">
        <v>231</v>
      </c>
      <c r="BB149" t="s">
        <v>231</v>
      </c>
      <c r="BC149" t="s">
        <v>231</v>
      </c>
      <c r="BD149" t="s">
        <v>231</v>
      </c>
      <c r="BE149" t="s">
        <v>231</v>
      </c>
      <c r="BF149" t="s">
        <v>231</v>
      </c>
      <c r="BG149" t="s">
        <v>231</v>
      </c>
      <c r="BH149" t="s">
        <v>231</v>
      </c>
      <c r="BI149" t="s">
        <v>231</v>
      </c>
      <c r="BJ149" t="s">
        <v>231</v>
      </c>
      <c r="BK149" t="s">
        <v>231</v>
      </c>
      <c r="BL149" t="s">
        <v>231</v>
      </c>
      <c r="BM149" t="s">
        <v>231</v>
      </c>
      <c r="BN149" t="s">
        <v>231</v>
      </c>
      <c r="BO149" t="s">
        <v>231</v>
      </c>
      <c r="BP149" t="s">
        <v>231</v>
      </c>
      <c r="BQ149" t="s">
        <v>231</v>
      </c>
      <c r="BR149" t="s">
        <v>231</v>
      </c>
      <c r="BS149" t="s">
        <v>231</v>
      </c>
      <c r="BT149" t="s">
        <v>231</v>
      </c>
      <c r="BU149" t="s">
        <v>231</v>
      </c>
      <c r="BV149" t="s">
        <v>231</v>
      </c>
      <c r="BW149" t="s">
        <v>231</v>
      </c>
      <c r="BX149" t="s">
        <v>231</v>
      </c>
      <c r="BY149" t="s">
        <v>231</v>
      </c>
      <c r="BZ149" t="s">
        <v>231</v>
      </c>
      <c r="CA149" t="s">
        <v>231</v>
      </c>
      <c r="CB149" t="s">
        <v>231</v>
      </c>
      <c r="CC149" t="s">
        <v>231</v>
      </c>
      <c r="CD149" t="s">
        <v>231</v>
      </c>
      <c r="CE149" t="s">
        <v>231</v>
      </c>
      <c r="CF149" t="s">
        <v>231</v>
      </c>
      <c r="CG149" t="s">
        <v>231</v>
      </c>
      <c r="CH149" t="s">
        <v>231</v>
      </c>
      <c r="CI149" t="s">
        <v>231</v>
      </c>
      <c r="CJ149" t="s">
        <v>231</v>
      </c>
      <c r="CK149" t="s">
        <v>231</v>
      </c>
      <c r="CL149" t="s">
        <v>231</v>
      </c>
      <c r="CM149" t="s">
        <v>231</v>
      </c>
      <c r="CN149" t="s">
        <v>231</v>
      </c>
      <c r="CO149" t="s">
        <v>231</v>
      </c>
      <c r="CP149" t="s">
        <v>231</v>
      </c>
      <c r="CQ149" t="s">
        <v>231</v>
      </c>
      <c r="CR149" t="s">
        <v>231</v>
      </c>
      <c r="CS149" t="s">
        <v>231</v>
      </c>
      <c r="CT149" t="s">
        <v>3534</v>
      </c>
      <c r="CU149" t="s">
        <v>3535</v>
      </c>
      <c r="CV149" t="s">
        <v>3536</v>
      </c>
      <c r="CW149" t="s">
        <v>3623</v>
      </c>
      <c r="CX149" t="s">
        <v>223</v>
      </c>
      <c r="CY149" t="s">
        <v>3536</v>
      </c>
      <c r="CZ149" t="s">
        <v>3624</v>
      </c>
      <c r="DA149" t="s">
        <v>3625</v>
      </c>
      <c r="DB149" t="s">
        <v>3623</v>
      </c>
      <c r="DC149" t="s">
        <v>363</v>
      </c>
      <c r="DD149" t="s">
        <v>282</v>
      </c>
      <c r="DE149" t="s">
        <v>4294</v>
      </c>
    </row>
    <row r="150" spans="1:109" ht="11.25" customHeight="1">
      <c r="A150" s="1314" t="s">
        <v>231</v>
      </c>
      <c r="B150" t="s">
        <v>231</v>
      </c>
      <c r="C150" t="s">
        <v>231</v>
      </c>
      <c r="D150" t="s">
        <v>231</v>
      </c>
      <c r="E150" t="s">
        <v>231</v>
      </c>
      <c r="F150" t="s">
        <v>231</v>
      </c>
      <c r="G150" t="s">
        <v>231</v>
      </c>
      <c r="H150" t="s">
        <v>231</v>
      </c>
      <c r="I150" t="s">
        <v>3521</v>
      </c>
      <c r="J150" t="s">
        <v>231</v>
      </c>
      <c r="K150" t="s">
        <v>231</v>
      </c>
      <c r="L150" t="s">
        <v>231</v>
      </c>
      <c r="M150" t="s">
        <v>231</v>
      </c>
      <c r="N150" t="s">
        <v>231</v>
      </c>
      <c r="O150" t="s">
        <v>231</v>
      </c>
      <c r="P150" t="s">
        <v>231</v>
      </c>
      <c r="Q150" t="s">
        <v>231</v>
      </c>
      <c r="R150" t="s">
        <v>4295</v>
      </c>
      <c r="S150" t="s">
        <v>231</v>
      </c>
      <c r="T150" t="s">
        <v>231</v>
      </c>
      <c r="U150" t="s">
        <v>101</v>
      </c>
      <c r="V150" t="s">
        <v>231</v>
      </c>
      <c r="W150" t="s">
        <v>231</v>
      </c>
      <c r="X150" t="s">
        <v>3628</v>
      </c>
      <c r="Y150" t="s">
        <v>231</v>
      </c>
      <c r="Z150" t="s">
        <v>151</v>
      </c>
      <c r="AA150" t="s">
        <v>151</v>
      </c>
      <c r="AB150" t="s">
        <v>160</v>
      </c>
      <c r="AC150" t="s">
        <v>2287</v>
      </c>
      <c r="AD150" t="s">
        <v>2287</v>
      </c>
      <c r="AE150" t="s">
        <v>2288</v>
      </c>
      <c r="AF150" t="s">
        <v>4291</v>
      </c>
      <c r="AG150" t="s">
        <v>4292</v>
      </c>
      <c r="AH150" t="s">
        <v>3618</v>
      </c>
      <c r="AI150" t="s">
        <v>3618</v>
      </c>
      <c r="AJ150" t="s">
        <v>231</v>
      </c>
      <c r="AK150" t="s">
        <v>231</v>
      </c>
      <c r="AL150" t="s">
        <v>231</v>
      </c>
      <c r="AM150" t="s">
        <v>231</v>
      </c>
      <c r="AN150" t="s">
        <v>231</v>
      </c>
      <c r="AO150" t="s">
        <v>231</v>
      </c>
      <c r="AP150" t="s">
        <v>231</v>
      </c>
      <c r="AQ150" t="s">
        <v>231</v>
      </c>
      <c r="AR150" t="s">
        <v>231</v>
      </c>
      <c r="AS150" t="s">
        <v>231</v>
      </c>
      <c r="AT150" t="s">
        <v>231</v>
      </c>
      <c r="AU150" t="s">
        <v>231</v>
      </c>
      <c r="AV150" t="s">
        <v>231</v>
      </c>
      <c r="AW150" t="s">
        <v>231</v>
      </c>
      <c r="AX150" t="s">
        <v>231</v>
      </c>
      <c r="AY150" t="s">
        <v>231</v>
      </c>
      <c r="AZ150" t="s">
        <v>231</v>
      </c>
      <c r="BA150" t="s">
        <v>231</v>
      </c>
      <c r="BB150" t="s">
        <v>231</v>
      </c>
      <c r="BC150" t="s">
        <v>231</v>
      </c>
      <c r="BD150" t="s">
        <v>231</v>
      </c>
      <c r="BE150" t="s">
        <v>3619</v>
      </c>
      <c r="BF150" t="s">
        <v>4185</v>
      </c>
      <c r="BG150" t="s">
        <v>111</v>
      </c>
      <c r="BH150" t="s">
        <v>3632</v>
      </c>
      <c r="BI150" t="s">
        <v>122</v>
      </c>
      <c r="BJ150" t="s">
        <v>231</v>
      </c>
      <c r="BK150" t="s">
        <v>3651</v>
      </c>
      <c r="BL150" t="s">
        <v>2287</v>
      </c>
      <c r="BM150" t="s">
        <v>2287</v>
      </c>
      <c r="BN150" t="s">
        <v>3842</v>
      </c>
      <c r="BO150" t="s">
        <v>4291</v>
      </c>
      <c r="BP150" t="s">
        <v>4296</v>
      </c>
      <c r="BQ150" t="s">
        <v>3618</v>
      </c>
      <c r="BR150" t="s">
        <v>3618</v>
      </c>
      <c r="BS150" t="s">
        <v>231</v>
      </c>
      <c r="BT150" t="s">
        <v>3694</v>
      </c>
      <c r="BU150" t="s">
        <v>4297</v>
      </c>
      <c r="BV150" t="s">
        <v>4297</v>
      </c>
      <c r="BW150" t="s">
        <v>3641</v>
      </c>
      <c r="BX150" t="s">
        <v>3641</v>
      </c>
      <c r="BY150" t="s">
        <v>3641</v>
      </c>
      <c r="BZ150" t="s">
        <v>3641</v>
      </c>
      <c r="CA150" t="s">
        <v>3641</v>
      </c>
      <c r="CB150" t="s">
        <v>231</v>
      </c>
      <c r="CC150" t="s">
        <v>231</v>
      </c>
      <c r="CD150" t="s">
        <v>231</v>
      </c>
      <c r="CE150" t="s">
        <v>231</v>
      </c>
      <c r="CF150" t="s">
        <v>231</v>
      </c>
      <c r="CG150" t="s">
        <v>3641</v>
      </c>
      <c r="CH150" t="s">
        <v>231</v>
      </c>
      <c r="CI150" t="s">
        <v>231</v>
      </c>
      <c r="CJ150" t="s">
        <v>231</v>
      </c>
      <c r="CK150" t="s">
        <v>231</v>
      </c>
      <c r="CL150" t="s">
        <v>231</v>
      </c>
      <c r="CM150" t="s">
        <v>4297</v>
      </c>
      <c r="CN150" t="s">
        <v>4297</v>
      </c>
      <c r="CO150" t="s">
        <v>231</v>
      </c>
      <c r="CP150" t="s">
        <v>231</v>
      </c>
      <c r="CQ150" t="s">
        <v>231</v>
      </c>
      <c r="CR150" t="s">
        <v>231</v>
      </c>
      <c r="CS150" t="s">
        <v>3529</v>
      </c>
      <c r="CT150" t="s">
        <v>3534</v>
      </c>
      <c r="CU150" t="s">
        <v>3535</v>
      </c>
      <c r="CV150" t="s">
        <v>3536</v>
      </c>
      <c r="CW150" t="s">
        <v>3623</v>
      </c>
      <c r="CX150" t="s">
        <v>223</v>
      </c>
      <c r="CY150" t="s">
        <v>3536</v>
      </c>
      <c r="CZ150" t="s">
        <v>3624</v>
      </c>
      <c r="DA150" t="s">
        <v>3625</v>
      </c>
      <c r="DB150" t="s">
        <v>3623</v>
      </c>
      <c r="DC150" t="s">
        <v>363</v>
      </c>
      <c r="DD150" t="s">
        <v>282</v>
      </c>
      <c r="DE150" t="s">
        <v>4298</v>
      </c>
    </row>
    <row r="151" spans="1:109" ht="11.25" customHeight="1">
      <c r="A151" s="1314" t="s">
        <v>231</v>
      </c>
      <c r="B151" t="s">
        <v>231</v>
      </c>
      <c r="C151" t="s">
        <v>231</v>
      </c>
      <c r="D151" t="s">
        <v>231</v>
      </c>
      <c r="E151" t="s">
        <v>231</v>
      </c>
      <c r="F151" t="s">
        <v>231</v>
      </c>
      <c r="G151" t="s">
        <v>231</v>
      </c>
      <c r="H151" t="s">
        <v>231</v>
      </c>
      <c r="I151" t="s">
        <v>3521</v>
      </c>
      <c r="J151" t="s">
        <v>231</v>
      </c>
      <c r="K151" t="s">
        <v>231</v>
      </c>
      <c r="L151" t="s">
        <v>231</v>
      </c>
      <c r="M151" t="s">
        <v>231</v>
      </c>
      <c r="N151" t="s">
        <v>231</v>
      </c>
      <c r="O151" t="s">
        <v>231</v>
      </c>
      <c r="P151" t="s">
        <v>231</v>
      </c>
      <c r="Q151" t="s">
        <v>231</v>
      </c>
      <c r="R151" t="s">
        <v>3615</v>
      </c>
      <c r="S151" t="s">
        <v>231</v>
      </c>
      <c r="T151" t="s">
        <v>231</v>
      </c>
      <c r="U151" t="s">
        <v>101</v>
      </c>
      <c r="V151" t="s">
        <v>231</v>
      </c>
      <c r="W151" t="s">
        <v>231</v>
      </c>
      <c r="X151" t="s">
        <v>3523</v>
      </c>
      <c r="Y151" t="s">
        <v>231</v>
      </c>
      <c r="Z151" t="s">
        <v>160</v>
      </c>
      <c r="AA151" t="s">
        <v>151</v>
      </c>
      <c r="AB151" t="s">
        <v>151</v>
      </c>
      <c r="AC151" t="s">
        <v>2287</v>
      </c>
      <c r="AD151" t="s">
        <v>2287</v>
      </c>
      <c r="AE151" t="s">
        <v>2288</v>
      </c>
      <c r="AF151" t="s">
        <v>4299</v>
      </c>
      <c r="AG151" t="s">
        <v>4300</v>
      </c>
      <c r="AH151" t="s">
        <v>4034</v>
      </c>
      <c r="AI151" t="s">
        <v>4301</v>
      </c>
      <c r="AJ151" t="s">
        <v>3619</v>
      </c>
      <c r="AK151" t="s">
        <v>4150</v>
      </c>
      <c r="AL151" t="s">
        <v>3548</v>
      </c>
      <c r="AM151" t="s">
        <v>3531</v>
      </c>
      <c r="AN151" t="s">
        <v>3621</v>
      </c>
      <c r="AO151" t="s">
        <v>3668</v>
      </c>
      <c r="AP151" t="s">
        <v>231</v>
      </c>
      <c r="AQ151" t="s">
        <v>231</v>
      </c>
      <c r="AR151" t="s">
        <v>231</v>
      </c>
      <c r="AS151" t="s">
        <v>231</v>
      </c>
      <c r="AT151" t="s">
        <v>231</v>
      </c>
      <c r="AU151" t="s">
        <v>231</v>
      </c>
      <c r="AV151" t="s">
        <v>231</v>
      </c>
      <c r="AW151" t="s">
        <v>231</v>
      </c>
      <c r="AX151" t="s">
        <v>231</v>
      </c>
      <c r="AY151" t="s">
        <v>231</v>
      </c>
      <c r="AZ151" t="s">
        <v>231</v>
      </c>
      <c r="BA151" t="s">
        <v>231</v>
      </c>
      <c r="BB151" t="s">
        <v>231</v>
      </c>
      <c r="BC151" t="s">
        <v>231</v>
      </c>
      <c r="BD151" t="s">
        <v>231</v>
      </c>
      <c r="BE151" t="s">
        <v>231</v>
      </c>
      <c r="BF151" t="s">
        <v>231</v>
      </c>
      <c r="BG151" t="s">
        <v>231</v>
      </c>
      <c r="BH151" t="s">
        <v>231</v>
      </c>
      <c r="BI151" t="s">
        <v>231</v>
      </c>
      <c r="BJ151" t="s">
        <v>231</v>
      </c>
      <c r="BK151" t="s">
        <v>231</v>
      </c>
      <c r="BL151" t="s">
        <v>231</v>
      </c>
      <c r="BM151" t="s">
        <v>231</v>
      </c>
      <c r="BN151" t="s">
        <v>231</v>
      </c>
      <c r="BO151" t="s">
        <v>231</v>
      </c>
      <c r="BP151" t="s">
        <v>231</v>
      </c>
      <c r="BQ151" t="s">
        <v>231</v>
      </c>
      <c r="BR151" t="s">
        <v>231</v>
      </c>
      <c r="BS151" t="s">
        <v>231</v>
      </c>
      <c r="BT151" t="s">
        <v>231</v>
      </c>
      <c r="BU151" t="s">
        <v>231</v>
      </c>
      <c r="BV151" t="s">
        <v>231</v>
      </c>
      <c r="BW151" t="s">
        <v>231</v>
      </c>
      <c r="BX151" t="s">
        <v>231</v>
      </c>
      <c r="BY151" t="s">
        <v>231</v>
      </c>
      <c r="BZ151" t="s">
        <v>231</v>
      </c>
      <c r="CA151" t="s">
        <v>231</v>
      </c>
      <c r="CB151" t="s">
        <v>231</v>
      </c>
      <c r="CC151" t="s">
        <v>231</v>
      </c>
      <c r="CD151" t="s">
        <v>231</v>
      </c>
      <c r="CE151" t="s">
        <v>231</v>
      </c>
      <c r="CF151" t="s">
        <v>231</v>
      </c>
      <c r="CG151" t="s">
        <v>231</v>
      </c>
      <c r="CH151" t="s">
        <v>231</v>
      </c>
      <c r="CI151" t="s">
        <v>231</v>
      </c>
      <c r="CJ151" t="s">
        <v>231</v>
      </c>
      <c r="CK151" t="s">
        <v>231</v>
      </c>
      <c r="CL151" t="s">
        <v>231</v>
      </c>
      <c r="CM151" t="s">
        <v>231</v>
      </c>
      <c r="CN151" t="s">
        <v>231</v>
      </c>
      <c r="CO151" t="s">
        <v>231</v>
      </c>
      <c r="CP151" t="s">
        <v>231</v>
      </c>
      <c r="CQ151" t="s">
        <v>231</v>
      </c>
      <c r="CR151" t="s">
        <v>231</v>
      </c>
      <c r="CS151" t="s">
        <v>231</v>
      </c>
      <c r="CT151" t="s">
        <v>3534</v>
      </c>
      <c r="CU151" t="s">
        <v>3535</v>
      </c>
      <c r="CV151" t="s">
        <v>3536</v>
      </c>
      <c r="CW151" t="s">
        <v>3623</v>
      </c>
      <c r="CX151" t="s">
        <v>223</v>
      </c>
      <c r="CY151" t="s">
        <v>3536</v>
      </c>
      <c r="CZ151" t="s">
        <v>3624</v>
      </c>
      <c r="DA151" t="s">
        <v>3625</v>
      </c>
      <c r="DB151" t="s">
        <v>3623</v>
      </c>
      <c r="DC151" t="s">
        <v>363</v>
      </c>
      <c r="DD151" t="s">
        <v>282</v>
      </c>
      <c r="DE151" t="s">
        <v>4302</v>
      </c>
    </row>
    <row r="152" spans="1:109" ht="11.25" customHeight="1">
      <c r="A152" s="1314" t="s">
        <v>231</v>
      </c>
      <c r="B152" t="s">
        <v>231</v>
      </c>
      <c r="C152" t="s">
        <v>231</v>
      </c>
      <c r="D152" t="s">
        <v>231</v>
      </c>
      <c r="E152" t="s">
        <v>231</v>
      </c>
      <c r="F152" t="s">
        <v>231</v>
      </c>
      <c r="G152" t="s">
        <v>231</v>
      </c>
      <c r="H152" t="s">
        <v>231</v>
      </c>
      <c r="I152" t="s">
        <v>3521</v>
      </c>
      <c r="J152" t="s">
        <v>231</v>
      </c>
      <c r="K152" t="s">
        <v>231</v>
      </c>
      <c r="L152" t="s">
        <v>231</v>
      </c>
      <c r="M152" t="s">
        <v>231</v>
      </c>
      <c r="N152" t="s">
        <v>231</v>
      </c>
      <c r="O152" t="s">
        <v>231</v>
      </c>
      <c r="P152" t="s">
        <v>231</v>
      </c>
      <c r="Q152" t="s">
        <v>231</v>
      </c>
      <c r="R152" t="s">
        <v>4303</v>
      </c>
      <c r="S152" t="s">
        <v>231</v>
      </c>
      <c r="T152" t="s">
        <v>231</v>
      </c>
      <c r="U152" t="s">
        <v>101</v>
      </c>
      <c r="V152" t="s">
        <v>231</v>
      </c>
      <c r="W152" t="s">
        <v>231</v>
      </c>
      <c r="X152" t="s">
        <v>3628</v>
      </c>
      <c r="Y152" t="s">
        <v>231</v>
      </c>
      <c r="Z152" t="s">
        <v>151</v>
      </c>
      <c r="AA152" t="s">
        <v>151</v>
      </c>
      <c r="AB152" t="s">
        <v>160</v>
      </c>
      <c r="AC152" t="s">
        <v>2691</v>
      </c>
      <c r="AD152" t="s">
        <v>2691</v>
      </c>
      <c r="AE152" t="s">
        <v>2692</v>
      </c>
      <c r="AF152" t="s">
        <v>3991</v>
      </c>
      <c r="AG152" t="s">
        <v>3992</v>
      </c>
      <c r="AH152" t="s">
        <v>4113</v>
      </c>
      <c r="AI152" t="s">
        <v>151</v>
      </c>
      <c r="AJ152" t="s">
        <v>231</v>
      </c>
      <c r="AK152" t="s">
        <v>231</v>
      </c>
      <c r="AL152" t="s">
        <v>231</v>
      </c>
      <c r="AM152" t="s">
        <v>231</v>
      </c>
      <c r="AN152" t="s">
        <v>231</v>
      </c>
      <c r="AO152" t="s">
        <v>231</v>
      </c>
      <c r="AP152" t="s">
        <v>231</v>
      </c>
      <c r="AQ152" t="s">
        <v>231</v>
      </c>
      <c r="AR152" t="s">
        <v>231</v>
      </c>
      <c r="AS152" t="s">
        <v>231</v>
      </c>
      <c r="AT152" t="s">
        <v>231</v>
      </c>
      <c r="AU152" t="s">
        <v>231</v>
      </c>
      <c r="AV152" t="s">
        <v>231</v>
      </c>
      <c r="AW152" t="s">
        <v>231</v>
      </c>
      <c r="AX152" t="s">
        <v>231</v>
      </c>
      <c r="AY152" t="s">
        <v>231</v>
      </c>
      <c r="AZ152" t="s">
        <v>231</v>
      </c>
      <c r="BA152" t="s">
        <v>231</v>
      </c>
      <c r="BB152" t="s">
        <v>231</v>
      </c>
      <c r="BC152" t="s">
        <v>231</v>
      </c>
      <c r="BD152" t="s">
        <v>231</v>
      </c>
      <c r="BE152" t="s">
        <v>4304</v>
      </c>
      <c r="BF152" t="s">
        <v>4305</v>
      </c>
      <c r="BG152" t="s">
        <v>111</v>
      </c>
      <c r="BH152" t="s">
        <v>3632</v>
      </c>
      <c r="BI152" t="s">
        <v>122</v>
      </c>
      <c r="BJ152" t="s">
        <v>231</v>
      </c>
      <c r="BK152" t="s">
        <v>4306</v>
      </c>
      <c r="BL152" t="s">
        <v>2691</v>
      </c>
      <c r="BM152" t="s">
        <v>2691</v>
      </c>
      <c r="BN152" t="s">
        <v>4116</v>
      </c>
      <c r="BO152" t="s">
        <v>3991</v>
      </c>
      <c r="BP152" t="s">
        <v>4117</v>
      </c>
      <c r="BQ152" t="s">
        <v>4307</v>
      </c>
      <c r="BR152" t="s">
        <v>151</v>
      </c>
      <c r="BS152" t="s">
        <v>231</v>
      </c>
      <c r="BT152" t="s">
        <v>3637</v>
      </c>
      <c r="BU152" t="s">
        <v>4308</v>
      </c>
      <c r="BV152" t="s">
        <v>4308</v>
      </c>
      <c r="BW152" t="s">
        <v>3641</v>
      </c>
      <c r="BX152" t="s">
        <v>3641</v>
      </c>
      <c r="BY152" t="s">
        <v>3641</v>
      </c>
      <c r="BZ152" t="s">
        <v>3641</v>
      </c>
      <c r="CA152" t="s">
        <v>3641</v>
      </c>
      <c r="CB152" t="s">
        <v>3641</v>
      </c>
      <c r="CC152" t="s">
        <v>3641</v>
      </c>
      <c r="CD152" t="s">
        <v>3641</v>
      </c>
      <c r="CE152" t="s">
        <v>3641</v>
      </c>
      <c r="CF152" t="s">
        <v>3641</v>
      </c>
      <c r="CG152" t="s">
        <v>3641</v>
      </c>
      <c r="CH152" t="s">
        <v>3641</v>
      </c>
      <c r="CI152" t="s">
        <v>3641</v>
      </c>
      <c r="CJ152" t="s">
        <v>3641</v>
      </c>
      <c r="CK152" t="s">
        <v>3641</v>
      </c>
      <c r="CL152" t="s">
        <v>3641</v>
      </c>
      <c r="CM152" t="s">
        <v>4308</v>
      </c>
      <c r="CN152" t="s">
        <v>4308</v>
      </c>
      <c r="CO152" t="s">
        <v>3641</v>
      </c>
      <c r="CP152" t="s">
        <v>3641</v>
      </c>
      <c r="CQ152" t="s">
        <v>3641</v>
      </c>
      <c r="CR152" t="s">
        <v>3641</v>
      </c>
      <c r="CS152" t="s">
        <v>4309</v>
      </c>
      <c r="CT152" t="s">
        <v>3534</v>
      </c>
      <c r="CU152" t="s">
        <v>3535</v>
      </c>
      <c r="CV152" t="s">
        <v>3997</v>
      </c>
      <c r="CW152" t="s">
        <v>3998</v>
      </c>
      <c r="CX152" t="s">
        <v>3570</v>
      </c>
      <c r="CY152" t="s">
        <v>3997</v>
      </c>
      <c r="CZ152" t="s">
        <v>3575</v>
      </c>
      <c r="DA152" t="s">
        <v>3999</v>
      </c>
      <c r="DB152" t="s">
        <v>3643</v>
      </c>
      <c r="DC152" t="s">
        <v>363</v>
      </c>
      <c r="DD152" t="s">
        <v>282</v>
      </c>
      <c r="DE152" t="s">
        <v>4123</v>
      </c>
    </row>
    <row r="153" spans="1:109" ht="11.25" customHeight="1">
      <c r="A153" s="1314" t="s">
        <v>231</v>
      </c>
      <c r="B153" t="s">
        <v>231</v>
      </c>
      <c r="C153" t="s">
        <v>231</v>
      </c>
      <c r="D153" t="s">
        <v>231</v>
      </c>
      <c r="E153" t="s">
        <v>231</v>
      </c>
      <c r="F153" t="s">
        <v>231</v>
      </c>
      <c r="G153" t="s">
        <v>231</v>
      </c>
      <c r="H153" t="s">
        <v>231</v>
      </c>
      <c r="I153" t="s">
        <v>3521</v>
      </c>
      <c r="J153" t="s">
        <v>231</v>
      </c>
      <c r="K153" t="s">
        <v>231</v>
      </c>
      <c r="L153" t="s">
        <v>231</v>
      </c>
      <c r="M153" t="s">
        <v>231</v>
      </c>
      <c r="N153" t="s">
        <v>231</v>
      </c>
      <c r="O153" t="s">
        <v>231</v>
      </c>
      <c r="P153" t="s">
        <v>231</v>
      </c>
      <c r="Q153" t="s">
        <v>231</v>
      </c>
      <c r="R153" t="s">
        <v>3615</v>
      </c>
      <c r="S153" t="s">
        <v>231</v>
      </c>
      <c r="T153" t="s">
        <v>231</v>
      </c>
      <c r="U153" t="s">
        <v>101</v>
      </c>
      <c r="V153" t="s">
        <v>231</v>
      </c>
      <c r="W153" t="s">
        <v>231</v>
      </c>
      <c r="X153" t="s">
        <v>3523</v>
      </c>
      <c r="Y153" t="s">
        <v>231</v>
      </c>
      <c r="Z153" t="s">
        <v>160</v>
      </c>
      <c r="AA153" t="s">
        <v>151</v>
      </c>
      <c r="AB153" t="s">
        <v>151</v>
      </c>
      <c r="AC153" t="s">
        <v>2287</v>
      </c>
      <c r="AD153" t="s">
        <v>2287</v>
      </c>
      <c r="AE153" t="s">
        <v>2288</v>
      </c>
      <c r="AF153" t="s">
        <v>4310</v>
      </c>
      <c r="AG153" t="s">
        <v>4311</v>
      </c>
      <c r="AH153" t="s">
        <v>4312</v>
      </c>
      <c r="AI153" t="s">
        <v>4313</v>
      </c>
      <c r="AJ153" t="s">
        <v>3619</v>
      </c>
      <c r="AK153" t="s">
        <v>4314</v>
      </c>
      <c r="AL153" t="s">
        <v>3548</v>
      </c>
      <c r="AM153" t="s">
        <v>3531</v>
      </c>
      <c r="AN153" t="s">
        <v>3621</v>
      </c>
      <c r="AO153" t="s">
        <v>3679</v>
      </c>
      <c r="AP153" t="s">
        <v>231</v>
      </c>
      <c r="AQ153" t="s">
        <v>231</v>
      </c>
      <c r="AR153" t="s">
        <v>231</v>
      </c>
      <c r="AS153" t="s">
        <v>231</v>
      </c>
      <c r="AT153" t="s">
        <v>231</v>
      </c>
      <c r="AU153" t="s">
        <v>231</v>
      </c>
      <c r="AV153" t="s">
        <v>231</v>
      </c>
      <c r="AW153" t="s">
        <v>231</v>
      </c>
      <c r="AX153" t="s">
        <v>231</v>
      </c>
      <c r="AY153" t="s">
        <v>231</v>
      </c>
      <c r="AZ153" t="s">
        <v>231</v>
      </c>
      <c r="BA153" t="s">
        <v>231</v>
      </c>
      <c r="BB153" t="s">
        <v>231</v>
      </c>
      <c r="BC153" t="s">
        <v>231</v>
      </c>
      <c r="BD153" t="s">
        <v>231</v>
      </c>
      <c r="BE153" t="s">
        <v>231</v>
      </c>
      <c r="BF153" t="s">
        <v>231</v>
      </c>
      <c r="BG153" t="s">
        <v>231</v>
      </c>
      <c r="BH153" t="s">
        <v>231</v>
      </c>
      <c r="BI153" t="s">
        <v>231</v>
      </c>
      <c r="BJ153" t="s">
        <v>231</v>
      </c>
      <c r="BK153" t="s">
        <v>231</v>
      </c>
      <c r="BL153" t="s">
        <v>231</v>
      </c>
      <c r="BM153" t="s">
        <v>231</v>
      </c>
      <c r="BN153" t="s">
        <v>231</v>
      </c>
      <c r="BO153" t="s">
        <v>231</v>
      </c>
      <c r="BP153" t="s">
        <v>231</v>
      </c>
      <c r="BQ153" t="s">
        <v>231</v>
      </c>
      <c r="BR153" t="s">
        <v>231</v>
      </c>
      <c r="BS153" t="s">
        <v>231</v>
      </c>
      <c r="BT153" t="s">
        <v>231</v>
      </c>
      <c r="BU153" t="s">
        <v>231</v>
      </c>
      <c r="BV153" t="s">
        <v>231</v>
      </c>
      <c r="BW153" t="s">
        <v>231</v>
      </c>
      <c r="BX153" t="s">
        <v>231</v>
      </c>
      <c r="BY153" t="s">
        <v>231</v>
      </c>
      <c r="BZ153" t="s">
        <v>231</v>
      </c>
      <c r="CA153" t="s">
        <v>231</v>
      </c>
      <c r="CB153" t="s">
        <v>231</v>
      </c>
      <c r="CC153" t="s">
        <v>231</v>
      </c>
      <c r="CD153" t="s">
        <v>231</v>
      </c>
      <c r="CE153" t="s">
        <v>231</v>
      </c>
      <c r="CF153" t="s">
        <v>231</v>
      </c>
      <c r="CG153" t="s">
        <v>231</v>
      </c>
      <c r="CH153" t="s">
        <v>231</v>
      </c>
      <c r="CI153" t="s">
        <v>231</v>
      </c>
      <c r="CJ153" t="s">
        <v>231</v>
      </c>
      <c r="CK153" t="s">
        <v>231</v>
      </c>
      <c r="CL153" t="s">
        <v>231</v>
      </c>
      <c r="CM153" t="s">
        <v>231</v>
      </c>
      <c r="CN153" t="s">
        <v>231</v>
      </c>
      <c r="CO153" t="s">
        <v>231</v>
      </c>
      <c r="CP153" t="s">
        <v>231</v>
      </c>
      <c r="CQ153" t="s">
        <v>231</v>
      </c>
      <c r="CR153" t="s">
        <v>231</v>
      </c>
      <c r="CS153" t="s">
        <v>231</v>
      </c>
      <c r="CT153" t="s">
        <v>3534</v>
      </c>
      <c r="CU153" t="s">
        <v>3535</v>
      </c>
      <c r="CV153" t="s">
        <v>3536</v>
      </c>
      <c r="CW153" t="s">
        <v>3623</v>
      </c>
      <c r="CX153" t="s">
        <v>223</v>
      </c>
      <c r="CY153" t="s">
        <v>3536</v>
      </c>
      <c r="CZ153" t="s">
        <v>3624</v>
      </c>
      <c r="DA153" t="s">
        <v>3625</v>
      </c>
      <c r="DB153" t="s">
        <v>3623</v>
      </c>
      <c r="DC153" t="s">
        <v>363</v>
      </c>
      <c r="DD153" t="s">
        <v>282</v>
      </c>
      <c r="DE153" t="s">
        <v>4315</v>
      </c>
    </row>
    <row r="154" spans="1:109" ht="11.25" customHeight="1">
      <c r="A154" s="1314" t="s">
        <v>231</v>
      </c>
      <c r="B154" t="s">
        <v>231</v>
      </c>
      <c r="C154" t="s">
        <v>231</v>
      </c>
      <c r="D154" t="s">
        <v>231</v>
      </c>
      <c r="E154" t="s">
        <v>231</v>
      </c>
      <c r="F154" t="s">
        <v>231</v>
      </c>
      <c r="G154" t="s">
        <v>231</v>
      </c>
      <c r="H154" t="s">
        <v>231</v>
      </c>
      <c r="I154" t="s">
        <v>3521</v>
      </c>
      <c r="J154" t="s">
        <v>231</v>
      </c>
      <c r="K154" t="s">
        <v>231</v>
      </c>
      <c r="L154" t="s">
        <v>231</v>
      </c>
      <c r="M154" t="s">
        <v>231</v>
      </c>
      <c r="N154" t="s">
        <v>231</v>
      </c>
      <c r="O154" t="s">
        <v>231</v>
      </c>
      <c r="P154" t="s">
        <v>231</v>
      </c>
      <c r="Q154" t="s">
        <v>231</v>
      </c>
      <c r="R154" t="s">
        <v>4316</v>
      </c>
      <c r="S154" t="s">
        <v>231</v>
      </c>
      <c r="T154" t="s">
        <v>231</v>
      </c>
      <c r="U154" t="s">
        <v>101</v>
      </c>
      <c r="V154" t="s">
        <v>231</v>
      </c>
      <c r="W154" t="s">
        <v>231</v>
      </c>
      <c r="X154" t="s">
        <v>3955</v>
      </c>
      <c r="Y154" t="s">
        <v>231</v>
      </c>
      <c r="Z154" t="s">
        <v>151</v>
      </c>
      <c r="AA154" t="s">
        <v>160</v>
      </c>
      <c r="AB154" t="s">
        <v>151</v>
      </c>
      <c r="AC154" t="s">
        <v>2691</v>
      </c>
      <c r="AD154" t="s">
        <v>2691</v>
      </c>
      <c r="AE154" t="s">
        <v>2692</v>
      </c>
      <c r="AF154" t="s">
        <v>3991</v>
      </c>
      <c r="AG154" t="s">
        <v>3992</v>
      </c>
      <c r="AH154" t="s">
        <v>4113</v>
      </c>
      <c r="AI154" t="s">
        <v>151</v>
      </c>
      <c r="AJ154" t="s">
        <v>231</v>
      </c>
      <c r="AK154" t="s">
        <v>231</v>
      </c>
      <c r="AL154" t="s">
        <v>231</v>
      </c>
      <c r="AM154" t="s">
        <v>231</v>
      </c>
      <c r="AN154" t="s">
        <v>231</v>
      </c>
      <c r="AO154" t="s">
        <v>231</v>
      </c>
      <c r="AP154" t="s">
        <v>4317</v>
      </c>
      <c r="AQ154" t="s">
        <v>4318</v>
      </c>
      <c r="AR154" t="s">
        <v>111</v>
      </c>
      <c r="AS154" t="s">
        <v>3632</v>
      </c>
      <c r="AT154" t="s">
        <v>122</v>
      </c>
      <c r="AU154" t="s">
        <v>231</v>
      </c>
      <c r="AV154" t="s">
        <v>4319</v>
      </c>
      <c r="AW154" t="s">
        <v>2691</v>
      </c>
      <c r="AX154" t="s">
        <v>2691</v>
      </c>
      <c r="AY154" t="s">
        <v>4116</v>
      </c>
      <c r="AZ154" t="s">
        <v>3991</v>
      </c>
      <c r="BA154" t="s">
        <v>4117</v>
      </c>
      <c r="BB154" t="s">
        <v>4113</v>
      </c>
      <c r="BC154" t="s">
        <v>151</v>
      </c>
      <c r="BD154" t="s">
        <v>4304</v>
      </c>
      <c r="BE154" t="s">
        <v>231</v>
      </c>
      <c r="BF154" t="s">
        <v>231</v>
      </c>
      <c r="BG154" t="s">
        <v>231</v>
      </c>
      <c r="BH154" t="s">
        <v>231</v>
      </c>
      <c r="BI154" t="s">
        <v>231</v>
      </c>
      <c r="BJ154" t="s">
        <v>231</v>
      </c>
      <c r="BK154" t="s">
        <v>231</v>
      </c>
      <c r="BL154" t="s">
        <v>231</v>
      </c>
      <c r="BM154" t="s">
        <v>231</v>
      </c>
      <c r="BN154" t="s">
        <v>231</v>
      </c>
      <c r="BO154" t="s">
        <v>231</v>
      </c>
      <c r="BP154" t="s">
        <v>231</v>
      </c>
      <c r="BQ154" t="s">
        <v>231</v>
      </c>
      <c r="BR154" t="s">
        <v>231</v>
      </c>
      <c r="BS154" t="s">
        <v>231</v>
      </c>
      <c r="BT154" t="s">
        <v>231</v>
      </c>
      <c r="BU154" t="s">
        <v>231</v>
      </c>
      <c r="BV154" t="s">
        <v>231</v>
      </c>
      <c r="BW154" t="s">
        <v>231</v>
      </c>
      <c r="BX154" t="s">
        <v>231</v>
      </c>
      <c r="BY154" t="s">
        <v>231</v>
      </c>
      <c r="BZ154" t="s">
        <v>231</v>
      </c>
      <c r="CA154" t="s">
        <v>231</v>
      </c>
      <c r="CB154" t="s">
        <v>231</v>
      </c>
      <c r="CC154" t="s">
        <v>231</v>
      </c>
      <c r="CD154" t="s">
        <v>231</v>
      </c>
      <c r="CE154" t="s">
        <v>231</v>
      </c>
      <c r="CF154" t="s">
        <v>231</v>
      </c>
      <c r="CG154" t="s">
        <v>231</v>
      </c>
      <c r="CH154" t="s">
        <v>231</v>
      </c>
      <c r="CI154" t="s">
        <v>231</v>
      </c>
      <c r="CJ154" t="s">
        <v>231</v>
      </c>
      <c r="CK154" t="s">
        <v>231</v>
      </c>
      <c r="CL154" t="s">
        <v>231</v>
      </c>
      <c r="CM154" t="s">
        <v>231</v>
      </c>
      <c r="CN154" t="s">
        <v>231</v>
      </c>
      <c r="CO154" t="s">
        <v>231</v>
      </c>
      <c r="CP154" t="s">
        <v>231</v>
      </c>
      <c r="CQ154" t="s">
        <v>231</v>
      </c>
      <c r="CR154" t="s">
        <v>231</v>
      </c>
      <c r="CS154" t="s">
        <v>231</v>
      </c>
      <c r="CT154" t="s">
        <v>3534</v>
      </c>
      <c r="CU154" t="s">
        <v>3535</v>
      </c>
      <c r="CV154" t="s">
        <v>3997</v>
      </c>
      <c r="CW154" t="s">
        <v>3998</v>
      </c>
      <c r="CX154" t="s">
        <v>3570</v>
      </c>
      <c r="CY154" t="s">
        <v>3997</v>
      </c>
      <c r="CZ154" t="s">
        <v>3575</v>
      </c>
      <c r="DA154" t="s">
        <v>3999</v>
      </c>
      <c r="DB154" t="s">
        <v>3643</v>
      </c>
      <c r="DC154" t="s">
        <v>363</v>
      </c>
      <c r="DD154" t="s">
        <v>282</v>
      </c>
      <c r="DE154" t="s">
        <v>4123</v>
      </c>
    </row>
    <row r="155" spans="1:109" ht="11.25" customHeight="1">
      <c r="A155" s="1314" t="s">
        <v>231</v>
      </c>
      <c r="B155" t="s">
        <v>231</v>
      </c>
      <c r="C155" t="s">
        <v>231</v>
      </c>
      <c r="D155" t="s">
        <v>231</v>
      </c>
      <c r="E155" t="s">
        <v>231</v>
      </c>
      <c r="F155" t="s">
        <v>231</v>
      </c>
      <c r="G155" t="s">
        <v>231</v>
      </c>
      <c r="H155" t="s">
        <v>231</v>
      </c>
      <c r="I155" t="s">
        <v>3521</v>
      </c>
      <c r="J155" t="s">
        <v>231</v>
      </c>
      <c r="K155" t="s">
        <v>231</v>
      </c>
      <c r="L155" t="s">
        <v>231</v>
      </c>
      <c r="M155" t="s">
        <v>231</v>
      </c>
      <c r="N155" t="s">
        <v>231</v>
      </c>
      <c r="O155" t="s">
        <v>231</v>
      </c>
      <c r="P155" t="s">
        <v>231</v>
      </c>
      <c r="Q155" t="s">
        <v>231</v>
      </c>
      <c r="R155" t="s">
        <v>4320</v>
      </c>
      <c r="S155" t="s">
        <v>231</v>
      </c>
      <c r="T155" t="s">
        <v>231</v>
      </c>
      <c r="U155" t="s">
        <v>101</v>
      </c>
      <c r="V155" t="s">
        <v>231</v>
      </c>
      <c r="W155" t="s">
        <v>231</v>
      </c>
      <c r="X155" t="s">
        <v>3523</v>
      </c>
      <c r="Y155" t="s">
        <v>231</v>
      </c>
      <c r="Z155" t="s">
        <v>160</v>
      </c>
      <c r="AA155" t="s">
        <v>151</v>
      </c>
      <c r="AB155" t="s">
        <v>151</v>
      </c>
      <c r="AC155" t="s">
        <v>2283</v>
      </c>
      <c r="AD155" t="s">
        <v>2283</v>
      </c>
      <c r="AE155" t="s">
        <v>2284</v>
      </c>
      <c r="AF155" t="s">
        <v>3652</v>
      </c>
      <c r="AG155" t="s">
        <v>3653</v>
      </c>
      <c r="AH155" t="s">
        <v>3544</v>
      </c>
      <c r="AI155" t="s">
        <v>4321</v>
      </c>
      <c r="AJ155" t="s">
        <v>4322</v>
      </c>
      <c r="AK155" t="s">
        <v>3775</v>
      </c>
      <c r="AL155" t="s">
        <v>3548</v>
      </c>
      <c r="AM155" t="s">
        <v>3531</v>
      </c>
      <c r="AN155" t="s">
        <v>3549</v>
      </c>
      <c r="AO155" t="s">
        <v>3656</v>
      </c>
      <c r="AP155" t="s">
        <v>231</v>
      </c>
      <c r="AQ155" t="s">
        <v>231</v>
      </c>
      <c r="AR155" t="s">
        <v>231</v>
      </c>
      <c r="AS155" t="s">
        <v>231</v>
      </c>
      <c r="AT155" t="s">
        <v>231</v>
      </c>
      <c r="AU155" t="s">
        <v>231</v>
      </c>
      <c r="AV155" t="s">
        <v>231</v>
      </c>
      <c r="AW155" t="s">
        <v>231</v>
      </c>
      <c r="AX155" t="s">
        <v>231</v>
      </c>
      <c r="AY155" t="s">
        <v>231</v>
      </c>
      <c r="AZ155" t="s">
        <v>231</v>
      </c>
      <c r="BA155" t="s">
        <v>231</v>
      </c>
      <c r="BB155" t="s">
        <v>231</v>
      </c>
      <c r="BC155" t="s">
        <v>231</v>
      </c>
      <c r="BD155" t="s">
        <v>231</v>
      </c>
      <c r="BE155" t="s">
        <v>231</v>
      </c>
      <c r="BF155" t="s">
        <v>231</v>
      </c>
      <c r="BG155" t="s">
        <v>231</v>
      </c>
      <c r="BH155" t="s">
        <v>231</v>
      </c>
      <c r="BI155" t="s">
        <v>231</v>
      </c>
      <c r="BJ155" t="s">
        <v>231</v>
      </c>
      <c r="BK155" t="s">
        <v>231</v>
      </c>
      <c r="BL155" t="s">
        <v>231</v>
      </c>
      <c r="BM155" t="s">
        <v>231</v>
      </c>
      <c r="BN155" t="s">
        <v>231</v>
      </c>
      <c r="BO155" t="s">
        <v>231</v>
      </c>
      <c r="BP155" t="s">
        <v>231</v>
      </c>
      <c r="BQ155" t="s">
        <v>231</v>
      </c>
      <c r="BR155" t="s">
        <v>231</v>
      </c>
      <c r="BS155" t="s">
        <v>231</v>
      </c>
      <c r="BT155" t="s">
        <v>231</v>
      </c>
      <c r="BU155" t="s">
        <v>231</v>
      </c>
      <c r="BV155" t="s">
        <v>231</v>
      </c>
      <c r="BW155" t="s">
        <v>231</v>
      </c>
      <c r="BX155" t="s">
        <v>231</v>
      </c>
      <c r="BY155" t="s">
        <v>231</v>
      </c>
      <c r="BZ155" t="s">
        <v>231</v>
      </c>
      <c r="CA155" t="s">
        <v>231</v>
      </c>
      <c r="CB155" t="s">
        <v>231</v>
      </c>
      <c r="CC155" t="s">
        <v>231</v>
      </c>
      <c r="CD155" t="s">
        <v>231</v>
      </c>
      <c r="CE155" t="s">
        <v>231</v>
      </c>
      <c r="CF155" t="s">
        <v>231</v>
      </c>
      <c r="CG155" t="s">
        <v>231</v>
      </c>
      <c r="CH155" t="s">
        <v>231</v>
      </c>
      <c r="CI155" t="s">
        <v>231</v>
      </c>
      <c r="CJ155" t="s">
        <v>231</v>
      </c>
      <c r="CK155" t="s">
        <v>231</v>
      </c>
      <c r="CL155" t="s">
        <v>231</v>
      </c>
      <c r="CM155" t="s">
        <v>231</v>
      </c>
      <c r="CN155" t="s">
        <v>231</v>
      </c>
      <c r="CO155" t="s">
        <v>231</v>
      </c>
      <c r="CP155" t="s">
        <v>231</v>
      </c>
      <c r="CQ155" t="s">
        <v>231</v>
      </c>
      <c r="CR155" t="s">
        <v>231</v>
      </c>
      <c r="CS155" t="s">
        <v>231</v>
      </c>
      <c r="CT155" t="s">
        <v>3534</v>
      </c>
      <c r="CU155" t="s">
        <v>3535</v>
      </c>
      <c r="CV155" t="s">
        <v>3536</v>
      </c>
      <c r="CW155" t="s">
        <v>3551</v>
      </c>
      <c r="CX155" t="s">
        <v>223</v>
      </c>
      <c r="CY155" t="s">
        <v>3536</v>
      </c>
      <c r="CZ155" t="s">
        <v>3552</v>
      </c>
      <c r="DA155" t="s">
        <v>3553</v>
      </c>
      <c r="DB155" t="s">
        <v>3551</v>
      </c>
      <c r="DC155" t="s">
        <v>363</v>
      </c>
      <c r="DD155" t="s">
        <v>282</v>
      </c>
      <c r="DE155" t="s">
        <v>4323</v>
      </c>
    </row>
    <row r="156" spans="1:109" ht="11.25" customHeight="1">
      <c r="A156" s="1314" t="s">
        <v>231</v>
      </c>
      <c r="B156" t="s">
        <v>231</v>
      </c>
      <c r="C156" t="s">
        <v>231</v>
      </c>
      <c r="D156" t="s">
        <v>231</v>
      </c>
      <c r="E156" t="s">
        <v>231</v>
      </c>
      <c r="F156" t="s">
        <v>231</v>
      </c>
      <c r="G156" t="s">
        <v>231</v>
      </c>
      <c r="H156" t="s">
        <v>231</v>
      </c>
      <c r="I156" t="s">
        <v>3521</v>
      </c>
      <c r="J156" t="s">
        <v>231</v>
      </c>
      <c r="K156" t="s">
        <v>231</v>
      </c>
      <c r="L156" t="s">
        <v>231</v>
      </c>
      <c r="M156" t="s">
        <v>231</v>
      </c>
      <c r="N156" t="s">
        <v>231</v>
      </c>
      <c r="O156" t="s">
        <v>231</v>
      </c>
      <c r="P156" t="s">
        <v>231</v>
      </c>
      <c r="Q156" t="s">
        <v>231</v>
      </c>
      <c r="R156" t="s">
        <v>4324</v>
      </c>
      <c r="S156" t="s">
        <v>231</v>
      </c>
      <c r="T156" t="s">
        <v>231</v>
      </c>
      <c r="U156" t="s">
        <v>101</v>
      </c>
      <c r="V156" t="s">
        <v>231</v>
      </c>
      <c r="W156" t="s">
        <v>231</v>
      </c>
      <c r="X156" t="s">
        <v>3628</v>
      </c>
      <c r="Y156" t="s">
        <v>231</v>
      </c>
      <c r="Z156" t="s">
        <v>151</v>
      </c>
      <c r="AA156" t="s">
        <v>151</v>
      </c>
      <c r="AB156" t="s">
        <v>160</v>
      </c>
      <c r="AC156" t="s">
        <v>2289</v>
      </c>
      <c r="AD156" t="s">
        <v>2289</v>
      </c>
      <c r="AE156" t="s">
        <v>2290</v>
      </c>
      <c r="AF156" t="s">
        <v>4250</v>
      </c>
      <c r="AG156" t="s">
        <v>4251</v>
      </c>
      <c r="AH156" t="s">
        <v>3618</v>
      </c>
      <c r="AI156" t="s">
        <v>3618</v>
      </c>
      <c r="AJ156" t="s">
        <v>231</v>
      </c>
      <c r="AK156" t="s">
        <v>231</v>
      </c>
      <c r="AL156" t="s">
        <v>231</v>
      </c>
      <c r="AM156" t="s">
        <v>231</v>
      </c>
      <c r="AN156" t="s">
        <v>231</v>
      </c>
      <c r="AO156" t="s">
        <v>231</v>
      </c>
      <c r="AP156" t="s">
        <v>231</v>
      </c>
      <c r="AQ156" t="s">
        <v>231</v>
      </c>
      <c r="AR156" t="s">
        <v>231</v>
      </c>
      <c r="AS156" t="s">
        <v>231</v>
      </c>
      <c r="AT156" t="s">
        <v>231</v>
      </c>
      <c r="AU156" t="s">
        <v>231</v>
      </c>
      <c r="AV156" t="s">
        <v>231</v>
      </c>
      <c r="AW156" t="s">
        <v>231</v>
      </c>
      <c r="AX156" t="s">
        <v>231</v>
      </c>
      <c r="AY156" t="s">
        <v>231</v>
      </c>
      <c r="AZ156" t="s">
        <v>231</v>
      </c>
      <c r="BA156" t="s">
        <v>231</v>
      </c>
      <c r="BB156" t="s">
        <v>231</v>
      </c>
      <c r="BC156" t="s">
        <v>231</v>
      </c>
      <c r="BD156" t="s">
        <v>231</v>
      </c>
      <c r="BE156" t="s">
        <v>3594</v>
      </c>
      <c r="BF156" t="s">
        <v>3716</v>
      </c>
      <c r="BG156" t="s">
        <v>111</v>
      </c>
      <c r="BH156" t="s">
        <v>3632</v>
      </c>
      <c r="BI156" t="s">
        <v>122</v>
      </c>
      <c r="BJ156" t="s">
        <v>231</v>
      </c>
      <c r="BK156" t="s">
        <v>3651</v>
      </c>
      <c r="BL156" t="s">
        <v>2289</v>
      </c>
      <c r="BM156" t="s">
        <v>2289</v>
      </c>
      <c r="BN156" t="s">
        <v>3707</v>
      </c>
      <c r="BO156" t="s">
        <v>4250</v>
      </c>
      <c r="BP156" t="s">
        <v>4325</v>
      </c>
      <c r="BQ156" t="s">
        <v>3618</v>
      </c>
      <c r="BR156" t="s">
        <v>3618</v>
      </c>
      <c r="BS156" t="s">
        <v>231</v>
      </c>
      <c r="BT156" t="s">
        <v>3694</v>
      </c>
      <c r="BU156" t="s">
        <v>4326</v>
      </c>
      <c r="BV156" t="s">
        <v>4326</v>
      </c>
      <c r="BW156" t="s">
        <v>3641</v>
      </c>
      <c r="BX156" t="s">
        <v>3641</v>
      </c>
      <c r="BY156" t="s">
        <v>3641</v>
      </c>
      <c r="BZ156" t="s">
        <v>3641</v>
      </c>
      <c r="CA156" t="s">
        <v>3641</v>
      </c>
      <c r="CB156" t="s">
        <v>231</v>
      </c>
      <c r="CC156" t="s">
        <v>231</v>
      </c>
      <c r="CD156" t="s">
        <v>231</v>
      </c>
      <c r="CE156" t="s">
        <v>231</v>
      </c>
      <c r="CF156" t="s">
        <v>231</v>
      </c>
      <c r="CG156" t="s">
        <v>3641</v>
      </c>
      <c r="CH156" t="s">
        <v>231</v>
      </c>
      <c r="CI156" t="s">
        <v>231</v>
      </c>
      <c r="CJ156" t="s">
        <v>231</v>
      </c>
      <c r="CK156" t="s">
        <v>231</v>
      </c>
      <c r="CL156" t="s">
        <v>231</v>
      </c>
      <c r="CM156" t="s">
        <v>4326</v>
      </c>
      <c r="CN156" t="s">
        <v>4326</v>
      </c>
      <c r="CO156" t="s">
        <v>231</v>
      </c>
      <c r="CP156" t="s">
        <v>231</v>
      </c>
      <c r="CQ156" t="s">
        <v>231</v>
      </c>
      <c r="CR156" t="s">
        <v>231</v>
      </c>
      <c r="CS156" t="s">
        <v>3710</v>
      </c>
      <c r="CT156" t="s">
        <v>3534</v>
      </c>
      <c r="CU156" t="s">
        <v>3535</v>
      </c>
      <c r="CV156" t="s">
        <v>3536</v>
      </c>
      <c r="CW156" t="s">
        <v>3589</v>
      </c>
      <c r="CX156" t="s">
        <v>223</v>
      </c>
      <c r="CY156" t="s">
        <v>3536</v>
      </c>
      <c r="CZ156" t="s">
        <v>3590</v>
      </c>
      <c r="DA156" t="s">
        <v>3591</v>
      </c>
      <c r="DB156" t="s">
        <v>3589</v>
      </c>
      <c r="DC156" t="s">
        <v>363</v>
      </c>
      <c r="DD156" t="s">
        <v>282</v>
      </c>
      <c r="DE156" t="s">
        <v>4327</v>
      </c>
    </row>
    <row r="157" spans="1:109" ht="11.25" customHeight="1">
      <c r="A157" s="1314" t="s">
        <v>231</v>
      </c>
      <c r="B157" t="s">
        <v>231</v>
      </c>
      <c r="C157" t="s">
        <v>231</v>
      </c>
      <c r="D157" t="s">
        <v>231</v>
      </c>
      <c r="E157" t="s">
        <v>231</v>
      </c>
      <c r="F157" t="s">
        <v>231</v>
      </c>
      <c r="G157" t="s">
        <v>231</v>
      </c>
      <c r="H157" t="s">
        <v>231</v>
      </c>
      <c r="I157" t="s">
        <v>3521</v>
      </c>
      <c r="J157" t="s">
        <v>231</v>
      </c>
      <c r="K157" t="s">
        <v>231</v>
      </c>
      <c r="L157" t="s">
        <v>231</v>
      </c>
      <c r="M157" t="s">
        <v>231</v>
      </c>
      <c r="N157" t="s">
        <v>231</v>
      </c>
      <c r="O157" t="s">
        <v>231</v>
      </c>
      <c r="P157" t="s">
        <v>231</v>
      </c>
      <c r="Q157" t="s">
        <v>231</v>
      </c>
      <c r="R157" t="s">
        <v>4328</v>
      </c>
      <c r="S157" t="s">
        <v>231</v>
      </c>
      <c r="T157" t="s">
        <v>231</v>
      </c>
      <c r="U157" t="s">
        <v>101</v>
      </c>
      <c r="V157" t="s">
        <v>231</v>
      </c>
      <c r="W157" t="s">
        <v>231</v>
      </c>
      <c r="X157" t="s">
        <v>3523</v>
      </c>
      <c r="Y157" t="s">
        <v>231</v>
      </c>
      <c r="Z157" t="s">
        <v>160</v>
      </c>
      <c r="AA157" t="s">
        <v>151</v>
      </c>
      <c r="AB157" t="s">
        <v>151</v>
      </c>
      <c r="AC157" t="s">
        <v>343</v>
      </c>
      <c r="AD157" t="s">
        <v>343</v>
      </c>
      <c r="AE157" t="s">
        <v>344</v>
      </c>
      <c r="AF157" t="s">
        <v>3561</v>
      </c>
      <c r="AG157" t="s">
        <v>3562</v>
      </c>
      <c r="AH157" t="s">
        <v>4329</v>
      </c>
      <c r="AI157" t="s">
        <v>3575</v>
      </c>
      <c r="AJ157" t="s">
        <v>3825</v>
      </c>
      <c r="AK157" t="s">
        <v>4330</v>
      </c>
      <c r="AL157" t="s">
        <v>3566</v>
      </c>
      <c r="AM157" t="s">
        <v>3531</v>
      </c>
      <c r="AN157" t="s">
        <v>4331</v>
      </c>
      <c r="AO157" t="s">
        <v>4332</v>
      </c>
      <c r="AP157" t="s">
        <v>231</v>
      </c>
      <c r="AQ157" t="s">
        <v>231</v>
      </c>
      <c r="AR157" t="s">
        <v>231</v>
      </c>
      <c r="AS157" t="s">
        <v>231</v>
      </c>
      <c r="AT157" t="s">
        <v>231</v>
      </c>
      <c r="AU157" t="s">
        <v>231</v>
      </c>
      <c r="AV157" t="s">
        <v>231</v>
      </c>
      <c r="AW157" t="s">
        <v>231</v>
      </c>
      <c r="AX157" t="s">
        <v>231</v>
      </c>
      <c r="AY157" t="s">
        <v>231</v>
      </c>
      <c r="AZ157" t="s">
        <v>231</v>
      </c>
      <c r="BA157" t="s">
        <v>231</v>
      </c>
      <c r="BB157" t="s">
        <v>231</v>
      </c>
      <c r="BC157" t="s">
        <v>231</v>
      </c>
      <c r="BD157" t="s">
        <v>231</v>
      </c>
      <c r="BE157" t="s">
        <v>231</v>
      </c>
      <c r="BF157" t="s">
        <v>231</v>
      </c>
      <c r="BG157" t="s">
        <v>231</v>
      </c>
      <c r="BH157" t="s">
        <v>231</v>
      </c>
      <c r="BI157" t="s">
        <v>231</v>
      </c>
      <c r="BJ157" t="s">
        <v>231</v>
      </c>
      <c r="BK157" t="s">
        <v>231</v>
      </c>
      <c r="BL157" t="s">
        <v>231</v>
      </c>
      <c r="BM157" t="s">
        <v>231</v>
      </c>
      <c r="BN157" t="s">
        <v>231</v>
      </c>
      <c r="BO157" t="s">
        <v>231</v>
      </c>
      <c r="BP157" t="s">
        <v>231</v>
      </c>
      <c r="BQ157" t="s">
        <v>231</v>
      </c>
      <c r="BR157" t="s">
        <v>231</v>
      </c>
      <c r="BS157" t="s">
        <v>231</v>
      </c>
      <c r="BT157" t="s">
        <v>231</v>
      </c>
      <c r="BU157" t="s">
        <v>231</v>
      </c>
      <c r="BV157" t="s">
        <v>231</v>
      </c>
      <c r="BW157" t="s">
        <v>231</v>
      </c>
      <c r="BX157" t="s">
        <v>231</v>
      </c>
      <c r="BY157" t="s">
        <v>231</v>
      </c>
      <c r="BZ157" t="s">
        <v>231</v>
      </c>
      <c r="CA157" t="s">
        <v>231</v>
      </c>
      <c r="CB157" t="s">
        <v>231</v>
      </c>
      <c r="CC157" t="s">
        <v>231</v>
      </c>
      <c r="CD157" t="s">
        <v>231</v>
      </c>
      <c r="CE157" t="s">
        <v>231</v>
      </c>
      <c r="CF157" t="s">
        <v>231</v>
      </c>
      <c r="CG157" t="s">
        <v>231</v>
      </c>
      <c r="CH157" t="s">
        <v>231</v>
      </c>
      <c r="CI157" t="s">
        <v>231</v>
      </c>
      <c r="CJ157" t="s">
        <v>231</v>
      </c>
      <c r="CK157" t="s">
        <v>231</v>
      </c>
      <c r="CL157" t="s">
        <v>231</v>
      </c>
      <c r="CM157" t="s">
        <v>231</v>
      </c>
      <c r="CN157" t="s">
        <v>231</v>
      </c>
      <c r="CO157" t="s">
        <v>231</v>
      </c>
      <c r="CP157" t="s">
        <v>231</v>
      </c>
      <c r="CQ157" t="s">
        <v>231</v>
      </c>
      <c r="CR157" t="s">
        <v>231</v>
      </c>
      <c r="CS157" t="s">
        <v>231</v>
      </c>
      <c r="CT157" t="s">
        <v>3534</v>
      </c>
      <c r="CU157" t="s">
        <v>3535</v>
      </c>
      <c r="CV157" t="s">
        <v>3536</v>
      </c>
      <c r="CW157" t="s">
        <v>3569</v>
      </c>
      <c r="CX157" t="s">
        <v>3570</v>
      </c>
      <c r="CY157" t="s">
        <v>3536</v>
      </c>
      <c r="CZ157" t="s">
        <v>224</v>
      </c>
      <c r="DA157" t="s">
        <v>3571</v>
      </c>
      <c r="DB157" t="s">
        <v>3569</v>
      </c>
      <c r="DC157" t="s">
        <v>363</v>
      </c>
      <c r="DD157" t="s">
        <v>282</v>
      </c>
      <c r="DE157" t="s">
        <v>4333</v>
      </c>
    </row>
    <row r="158" spans="1:109" ht="11.25" customHeight="1">
      <c r="A158" s="1314" t="s">
        <v>231</v>
      </c>
      <c r="B158" t="s">
        <v>231</v>
      </c>
      <c r="C158" t="s">
        <v>231</v>
      </c>
      <c r="D158" t="s">
        <v>231</v>
      </c>
      <c r="E158" t="s">
        <v>231</v>
      </c>
      <c r="F158" t="s">
        <v>231</v>
      </c>
      <c r="G158" t="s">
        <v>231</v>
      </c>
      <c r="H158" t="s">
        <v>231</v>
      </c>
      <c r="I158" t="s">
        <v>3521</v>
      </c>
      <c r="J158" t="s">
        <v>231</v>
      </c>
      <c r="K158" t="s">
        <v>231</v>
      </c>
      <c r="L158" t="s">
        <v>231</v>
      </c>
      <c r="M158" t="s">
        <v>231</v>
      </c>
      <c r="N158" t="s">
        <v>231</v>
      </c>
      <c r="O158" t="s">
        <v>231</v>
      </c>
      <c r="P158" t="s">
        <v>231</v>
      </c>
      <c r="Q158" t="s">
        <v>231</v>
      </c>
      <c r="R158" t="s">
        <v>4334</v>
      </c>
      <c r="S158" t="s">
        <v>231</v>
      </c>
      <c r="T158" t="s">
        <v>231</v>
      </c>
      <c r="U158" t="s">
        <v>101</v>
      </c>
      <c r="V158" t="s">
        <v>231</v>
      </c>
      <c r="W158" t="s">
        <v>231</v>
      </c>
      <c r="X158" t="s">
        <v>3523</v>
      </c>
      <c r="Y158" t="s">
        <v>231</v>
      </c>
      <c r="Z158" t="s">
        <v>160</v>
      </c>
      <c r="AA158" t="s">
        <v>151</v>
      </c>
      <c r="AB158" t="s">
        <v>151</v>
      </c>
      <c r="AC158" t="s">
        <v>343</v>
      </c>
      <c r="AD158" t="s">
        <v>343</v>
      </c>
      <c r="AE158" t="s">
        <v>344</v>
      </c>
      <c r="AF158" t="s">
        <v>3561</v>
      </c>
      <c r="AG158" t="s">
        <v>3562</v>
      </c>
      <c r="AH158" t="s">
        <v>4335</v>
      </c>
      <c r="AI158" t="s">
        <v>482</v>
      </c>
      <c r="AJ158" t="s">
        <v>3603</v>
      </c>
      <c r="AK158" t="s">
        <v>4336</v>
      </c>
      <c r="AL158" t="s">
        <v>3566</v>
      </c>
      <c r="AM158" t="s">
        <v>3531</v>
      </c>
      <c r="AN158" t="s">
        <v>4337</v>
      </c>
      <c r="AO158" t="s">
        <v>4338</v>
      </c>
      <c r="AP158" t="s">
        <v>231</v>
      </c>
      <c r="AQ158" t="s">
        <v>231</v>
      </c>
      <c r="AR158" t="s">
        <v>231</v>
      </c>
      <c r="AS158" t="s">
        <v>231</v>
      </c>
      <c r="AT158" t="s">
        <v>231</v>
      </c>
      <c r="AU158" t="s">
        <v>231</v>
      </c>
      <c r="AV158" t="s">
        <v>231</v>
      </c>
      <c r="AW158" t="s">
        <v>231</v>
      </c>
      <c r="AX158" t="s">
        <v>231</v>
      </c>
      <c r="AY158" t="s">
        <v>231</v>
      </c>
      <c r="AZ158" t="s">
        <v>231</v>
      </c>
      <c r="BA158" t="s">
        <v>231</v>
      </c>
      <c r="BB158" t="s">
        <v>231</v>
      </c>
      <c r="BC158" t="s">
        <v>231</v>
      </c>
      <c r="BD158" t="s">
        <v>231</v>
      </c>
      <c r="BE158" t="s">
        <v>231</v>
      </c>
      <c r="BF158" t="s">
        <v>231</v>
      </c>
      <c r="BG158" t="s">
        <v>231</v>
      </c>
      <c r="BH158" t="s">
        <v>231</v>
      </c>
      <c r="BI158" t="s">
        <v>231</v>
      </c>
      <c r="BJ158" t="s">
        <v>231</v>
      </c>
      <c r="BK158" t="s">
        <v>231</v>
      </c>
      <c r="BL158" t="s">
        <v>231</v>
      </c>
      <c r="BM158" t="s">
        <v>231</v>
      </c>
      <c r="BN158" t="s">
        <v>231</v>
      </c>
      <c r="BO158" t="s">
        <v>231</v>
      </c>
      <c r="BP158" t="s">
        <v>231</v>
      </c>
      <c r="BQ158" t="s">
        <v>231</v>
      </c>
      <c r="BR158" t="s">
        <v>231</v>
      </c>
      <c r="BS158" t="s">
        <v>231</v>
      </c>
      <c r="BT158" t="s">
        <v>231</v>
      </c>
      <c r="BU158" t="s">
        <v>231</v>
      </c>
      <c r="BV158" t="s">
        <v>231</v>
      </c>
      <c r="BW158" t="s">
        <v>231</v>
      </c>
      <c r="BX158" t="s">
        <v>231</v>
      </c>
      <c r="BY158" t="s">
        <v>231</v>
      </c>
      <c r="BZ158" t="s">
        <v>231</v>
      </c>
      <c r="CA158" t="s">
        <v>231</v>
      </c>
      <c r="CB158" t="s">
        <v>231</v>
      </c>
      <c r="CC158" t="s">
        <v>231</v>
      </c>
      <c r="CD158" t="s">
        <v>231</v>
      </c>
      <c r="CE158" t="s">
        <v>231</v>
      </c>
      <c r="CF158" t="s">
        <v>231</v>
      </c>
      <c r="CG158" t="s">
        <v>231</v>
      </c>
      <c r="CH158" t="s">
        <v>231</v>
      </c>
      <c r="CI158" t="s">
        <v>231</v>
      </c>
      <c r="CJ158" t="s">
        <v>231</v>
      </c>
      <c r="CK158" t="s">
        <v>231</v>
      </c>
      <c r="CL158" t="s">
        <v>231</v>
      </c>
      <c r="CM158" t="s">
        <v>231</v>
      </c>
      <c r="CN158" t="s">
        <v>231</v>
      </c>
      <c r="CO158" t="s">
        <v>231</v>
      </c>
      <c r="CP158" t="s">
        <v>231</v>
      </c>
      <c r="CQ158" t="s">
        <v>231</v>
      </c>
      <c r="CR158" t="s">
        <v>231</v>
      </c>
      <c r="CS158" t="s">
        <v>231</v>
      </c>
      <c r="CT158" t="s">
        <v>3534</v>
      </c>
      <c r="CU158" t="s">
        <v>3535</v>
      </c>
      <c r="CV158" t="s">
        <v>3536</v>
      </c>
      <c r="CW158" t="s">
        <v>3569</v>
      </c>
      <c r="CX158" t="s">
        <v>3570</v>
      </c>
      <c r="CY158" t="s">
        <v>3536</v>
      </c>
      <c r="CZ158" t="s">
        <v>224</v>
      </c>
      <c r="DA158" t="s">
        <v>3571</v>
      </c>
      <c r="DB158" t="s">
        <v>3569</v>
      </c>
      <c r="DC158" t="s">
        <v>363</v>
      </c>
      <c r="DD158" t="s">
        <v>282</v>
      </c>
      <c r="DE158" t="s">
        <v>4339</v>
      </c>
    </row>
    <row r="159" spans="1:109" ht="11.25" customHeight="1">
      <c r="A159" s="1314" t="s">
        <v>231</v>
      </c>
      <c r="B159" t="s">
        <v>231</v>
      </c>
      <c r="C159" t="s">
        <v>231</v>
      </c>
      <c r="D159" t="s">
        <v>231</v>
      </c>
      <c r="E159" t="s">
        <v>231</v>
      </c>
      <c r="F159" t="s">
        <v>231</v>
      </c>
      <c r="G159" t="s">
        <v>231</v>
      </c>
      <c r="H159" t="s">
        <v>231</v>
      </c>
      <c r="I159" t="s">
        <v>3521</v>
      </c>
      <c r="J159" t="s">
        <v>231</v>
      </c>
      <c r="K159" t="s">
        <v>231</v>
      </c>
      <c r="L159" t="s">
        <v>231</v>
      </c>
      <c r="M159" t="s">
        <v>231</v>
      </c>
      <c r="N159" t="s">
        <v>231</v>
      </c>
      <c r="O159" t="s">
        <v>231</v>
      </c>
      <c r="P159" t="s">
        <v>231</v>
      </c>
      <c r="Q159" t="s">
        <v>231</v>
      </c>
      <c r="R159" t="s">
        <v>4340</v>
      </c>
      <c r="S159" t="s">
        <v>231</v>
      </c>
      <c r="T159" t="s">
        <v>231</v>
      </c>
      <c r="U159" t="s">
        <v>101</v>
      </c>
      <c r="V159" t="s">
        <v>231</v>
      </c>
      <c r="W159" t="s">
        <v>231</v>
      </c>
      <c r="X159" t="s">
        <v>3628</v>
      </c>
      <c r="Y159" t="s">
        <v>231</v>
      </c>
      <c r="Z159" t="s">
        <v>151</v>
      </c>
      <c r="AA159" t="s">
        <v>151</v>
      </c>
      <c r="AB159" t="s">
        <v>160</v>
      </c>
      <c r="AC159" t="s">
        <v>2287</v>
      </c>
      <c r="AD159" t="s">
        <v>2287</v>
      </c>
      <c r="AE159" t="s">
        <v>2288</v>
      </c>
      <c r="AF159" t="s">
        <v>4076</v>
      </c>
      <c r="AG159" t="s">
        <v>4077</v>
      </c>
      <c r="AH159" t="s">
        <v>3618</v>
      </c>
      <c r="AI159" t="s">
        <v>3618</v>
      </c>
      <c r="AJ159" t="s">
        <v>231</v>
      </c>
      <c r="AK159" t="s">
        <v>231</v>
      </c>
      <c r="AL159" t="s">
        <v>231</v>
      </c>
      <c r="AM159" t="s">
        <v>231</v>
      </c>
      <c r="AN159" t="s">
        <v>231</v>
      </c>
      <c r="AO159" t="s">
        <v>231</v>
      </c>
      <c r="AP159" t="s">
        <v>231</v>
      </c>
      <c r="AQ159" t="s">
        <v>231</v>
      </c>
      <c r="AR159" t="s">
        <v>231</v>
      </c>
      <c r="AS159" t="s">
        <v>231</v>
      </c>
      <c r="AT159" t="s">
        <v>231</v>
      </c>
      <c r="AU159" t="s">
        <v>231</v>
      </c>
      <c r="AV159" t="s">
        <v>231</v>
      </c>
      <c r="AW159" t="s">
        <v>231</v>
      </c>
      <c r="AX159" t="s">
        <v>231</v>
      </c>
      <c r="AY159" t="s">
        <v>231</v>
      </c>
      <c r="AZ159" t="s">
        <v>231</v>
      </c>
      <c r="BA159" t="s">
        <v>231</v>
      </c>
      <c r="BB159" t="s">
        <v>231</v>
      </c>
      <c r="BC159" t="s">
        <v>231</v>
      </c>
      <c r="BD159" t="s">
        <v>231</v>
      </c>
      <c r="BE159" t="s">
        <v>3619</v>
      </c>
      <c r="BF159" t="s">
        <v>4078</v>
      </c>
      <c r="BG159" t="s">
        <v>111</v>
      </c>
      <c r="BH159" t="s">
        <v>3632</v>
      </c>
      <c r="BI159" t="s">
        <v>122</v>
      </c>
      <c r="BJ159" t="s">
        <v>231</v>
      </c>
      <c r="BK159" t="s">
        <v>3651</v>
      </c>
      <c r="BL159" t="s">
        <v>2287</v>
      </c>
      <c r="BM159" t="s">
        <v>2287</v>
      </c>
      <c r="BN159" t="s">
        <v>3842</v>
      </c>
      <c r="BO159" t="s">
        <v>4076</v>
      </c>
      <c r="BP159" t="s">
        <v>4341</v>
      </c>
      <c r="BQ159" t="s">
        <v>3618</v>
      </c>
      <c r="BR159" t="s">
        <v>3618</v>
      </c>
      <c r="BS159" t="s">
        <v>231</v>
      </c>
      <c r="BT159" t="s">
        <v>3694</v>
      </c>
      <c r="BU159" t="s">
        <v>4342</v>
      </c>
      <c r="BV159" t="s">
        <v>4342</v>
      </c>
      <c r="BW159" t="s">
        <v>3641</v>
      </c>
      <c r="BX159" t="s">
        <v>3641</v>
      </c>
      <c r="BY159" t="s">
        <v>3641</v>
      </c>
      <c r="BZ159" t="s">
        <v>3641</v>
      </c>
      <c r="CA159" t="s">
        <v>3641</v>
      </c>
      <c r="CB159" t="s">
        <v>231</v>
      </c>
      <c r="CC159" t="s">
        <v>231</v>
      </c>
      <c r="CD159" t="s">
        <v>231</v>
      </c>
      <c r="CE159" t="s">
        <v>231</v>
      </c>
      <c r="CF159" t="s">
        <v>231</v>
      </c>
      <c r="CG159" t="s">
        <v>3641</v>
      </c>
      <c r="CH159" t="s">
        <v>231</v>
      </c>
      <c r="CI159" t="s">
        <v>231</v>
      </c>
      <c r="CJ159" t="s">
        <v>231</v>
      </c>
      <c r="CK159" t="s">
        <v>231</v>
      </c>
      <c r="CL159" t="s">
        <v>231</v>
      </c>
      <c r="CM159" t="s">
        <v>4342</v>
      </c>
      <c r="CN159" t="s">
        <v>4342</v>
      </c>
      <c r="CO159" t="s">
        <v>231</v>
      </c>
      <c r="CP159" t="s">
        <v>231</v>
      </c>
      <c r="CQ159" t="s">
        <v>231</v>
      </c>
      <c r="CR159" t="s">
        <v>231</v>
      </c>
      <c r="CS159" t="s">
        <v>3595</v>
      </c>
      <c r="CT159" t="s">
        <v>3534</v>
      </c>
      <c r="CU159" t="s">
        <v>3535</v>
      </c>
      <c r="CV159" t="s">
        <v>3536</v>
      </c>
      <c r="CW159" t="s">
        <v>3623</v>
      </c>
      <c r="CX159" t="s">
        <v>223</v>
      </c>
      <c r="CY159" t="s">
        <v>3536</v>
      </c>
      <c r="CZ159" t="s">
        <v>3624</v>
      </c>
      <c r="DA159" t="s">
        <v>3625</v>
      </c>
      <c r="DB159" t="s">
        <v>3623</v>
      </c>
      <c r="DC159" t="s">
        <v>363</v>
      </c>
      <c r="DD159" t="s">
        <v>282</v>
      </c>
      <c r="DE159" t="s">
        <v>4079</v>
      </c>
    </row>
    <row r="160" spans="1:109" ht="11.25" customHeight="1">
      <c r="A160" s="1314" t="s">
        <v>231</v>
      </c>
      <c r="B160" t="s">
        <v>231</v>
      </c>
      <c r="C160" t="s">
        <v>231</v>
      </c>
      <c r="D160" t="s">
        <v>231</v>
      </c>
      <c r="E160" t="s">
        <v>231</v>
      </c>
      <c r="F160" t="s">
        <v>231</v>
      </c>
      <c r="G160" t="s">
        <v>231</v>
      </c>
      <c r="H160" t="s">
        <v>231</v>
      </c>
      <c r="I160" t="s">
        <v>3521</v>
      </c>
      <c r="J160" t="s">
        <v>231</v>
      </c>
      <c r="K160" t="s">
        <v>231</v>
      </c>
      <c r="L160" t="s">
        <v>231</v>
      </c>
      <c r="M160" t="s">
        <v>231</v>
      </c>
      <c r="N160" t="s">
        <v>231</v>
      </c>
      <c r="O160" t="s">
        <v>231</v>
      </c>
      <c r="P160" t="s">
        <v>231</v>
      </c>
      <c r="Q160" t="s">
        <v>231</v>
      </c>
      <c r="R160" t="s">
        <v>4343</v>
      </c>
      <c r="S160" t="s">
        <v>231</v>
      </c>
      <c r="T160" t="s">
        <v>231</v>
      </c>
      <c r="U160" t="s">
        <v>101</v>
      </c>
      <c r="V160" t="s">
        <v>231</v>
      </c>
      <c r="W160" t="s">
        <v>231</v>
      </c>
      <c r="X160" t="s">
        <v>3628</v>
      </c>
      <c r="Y160" t="s">
        <v>231</v>
      </c>
      <c r="Z160" t="s">
        <v>151</v>
      </c>
      <c r="AA160" t="s">
        <v>151</v>
      </c>
      <c r="AB160" t="s">
        <v>160</v>
      </c>
      <c r="AC160" t="s">
        <v>2287</v>
      </c>
      <c r="AD160" t="s">
        <v>2287</v>
      </c>
      <c r="AE160" t="s">
        <v>2288</v>
      </c>
      <c r="AF160" t="s">
        <v>4145</v>
      </c>
      <c r="AG160" t="s">
        <v>4146</v>
      </c>
      <c r="AH160" t="s">
        <v>3618</v>
      </c>
      <c r="AI160" t="s">
        <v>3618</v>
      </c>
      <c r="AJ160" t="s">
        <v>231</v>
      </c>
      <c r="AK160" t="s">
        <v>231</v>
      </c>
      <c r="AL160" t="s">
        <v>231</v>
      </c>
      <c r="AM160" t="s">
        <v>231</v>
      </c>
      <c r="AN160" t="s">
        <v>231</v>
      </c>
      <c r="AO160" t="s">
        <v>231</v>
      </c>
      <c r="AP160" t="s">
        <v>231</v>
      </c>
      <c r="AQ160" t="s">
        <v>231</v>
      </c>
      <c r="AR160" t="s">
        <v>231</v>
      </c>
      <c r="AS160" t="s">
        <v>231</v>
      </c>
      <c r="AT160" t="s">
        <v>231</v>
      </c>
      <c r="AU160" t="s">
        <v>231</v>
      </c>
      <c r="AV160" t="s">
        <v>231</v>
      </c>
      <c r="AW160" t="s">
        <v>231</v>
      </c>
      <c r="AX160" t="s">
        <v>231</v>
      </c>
      <c r="AY160" t="s">
        <v>231</v>
      </c>
      <c r="AZ160" t="s">
        <v>231</v>
      </c>
      <c r="BA160" t="s">
        <v>231</v>
      </c>
      <c r="BB160" t="s">
        <v>231</v>
      </c>
      <c r="BC160" t="s">
        <v>231</v>
      </c>
      <c r="BD160" t="s">
        <v>231</v>
      </c>
      <c r="BE160" t="s">
        <v>4042</v>
      </c>
      <c r="BF160" t="s">
        <v>3841</v>
      </c>
      <c r="BG160" t="s">
        <v>111</v>
      </c>
      <c r="BH160" t="s">
        <v>3632</v>
      </c>
      <c r="BI160" t="s">
        <v>122</v>
      </c>
      <c r="BJ160" t="s">
        <v>231</v>
      </c>
      <c r="BK160" t="s">
        <v>3651</v>
      </c>
      <c r="BL160" t="s">
        <v>2287</v>
      </c>
      <c r="BM160" t="s">
        <v>2287</v>
      </c>
      <c r="BN160" t="s">
        <v>3842</v>
      </c>
      <c r="BO160" t="s">
        <v>4145</v>
      </c>
      <c r="BP160" t="s">
        <v>4344</v>
      </c>
      <c r="BQ160" t="s">
        <v>3618</v>
      </c>
      <c r="BR160" t="s">
        <v>3618</v>
      </c>
      <c r="BS160" t="s">
        <v>231</v>
      </c>
      <c r="BT160" t="s">
        <v>3694</v>
      </c>
      <c r="BU160" t="s">
        <v>4345</v>
      </c>
      <c r="BV160" t="s">
        <v>4345</v>
      </c>
      <c r="BW160" t="s">
        <v>3641</v>
      </c>
      <c r="BX160" t="s">
        <v>3641</v>
      </c>
      <c r="BY160" t="s">
        <v>3641</v>
      </c>
      <c r="BZ160" t="s">
        <v>3641</v>
      </c>
      <c r="CA160" t="s">
        <v>3641</v>
      </c>
      <c r="CB160" t="s">
        <v>231</v>
      </c>
      <c r="CC160" t="s">
        <v>231</v>
      </c>
      <c r="CD160" t="s">
        <v>231</v>
      </c>
      <c r="CE160" t="s">
        <v>231</v>
      </c>
      <c r="CF160" t="s">
        <v>231</v>
      </c>
      <c r="CG160" t="s">
        <v>3641</v>
      </c>
      <c r="CH160" t="s">
        <v>231</v>
      </c>
      <c r="CI160" t="s">
        <v>231</v>
      </c>
      <c r="CJ160" t="s">
        <v>231</v>
      </c>
      <c r="CK160" t="s">
        <v>231</v>
      </c>
      <c r="CL160" t="s">
        <v>231</v>
      </c>
      <c r="CM160" t="s">
        <v>4345</v>
      </c>
      <c r="CN160" t="s">
        <v>4345</v>
      </c>
      <c r="CO160" t="s">
        <v>231</v>
      </c>
      <c r="CP160" t="s">
        <v>231</v>
      </c>
      <c r="CQ160" t="s">
        <v>231</v>
      </c>
      <c r="CR160" t="s">
        <v>231</v>
      </c>
      <c r="CS160" t="s">
        <v>3621</v>
      </c>
      <c r="CT160" t="s">
        <v>3534</v>
      </c>
      <c r="CU160" t="s">
        <v>3535</v>
      </c>
      <c r="CV160" t="s">
        <v>3536</v>
      </c>
      <c r="CW160" t="s">
        <v>3623</v>
      </c>
      <c r="CX160" t="s">
        <v>223</v>
      </c>
      <c r="CY160" t="s">
        <v>3536</v>
      </c>
      <c r="CZ160" t="s">
        <v>3624</v>
      </c>
      <c r="DA160" t="s">
        <v>3625</v>
      </c>
      <c r="DB160" t="s">
        <v>3623</v>
      </c>
      <c r="DC160" t="s">
        <v>363</v>
      </c>
      <c r="DD160" t="s">
        <v>282</v>
      </c>
      <c r="DE160" t="s">
        <v>4346</v>
      </c>
    </row>
    <row r="161" spans="1:109" ht="11.25" customHeight="1">
      <c r="A161" s="1314" t="s">
        <v>231</v>
      </c>
      <c r="B161" t="s">
        <v>231</v>
      </c>
      <c r="C161" t="s">
        <v>231</v>
      </c>
      <c r="D161" t="s">
        <v>231</v>
      </c>
      <c r="E161" t="s">
        <v>231</v>
      </c>
      <c r="F161" t="s">
        <v>231</v>
      </c>
      <c r="G161" t="s">
        <v>231</v>
      </c>
      <c r="H161" t="s">
        <v>231</v>
      </c>
      <c r="I161" t="s">
        <v>3521</v>
      </c>
      <c r="J161" t="s">
        <v>231</v>
      </c>
      <c r="K161" t="s">
        <v>231</v>
      </c>
      <c r="L161" t="s">
        <v>231</v>
      </c>
      <c r="M161" t="s">
        <v>231</v>
      </c>
      <c r="N161" t="s">
        <v>231</v>
      </c>
      <c r="O161" t="s">
        <v>231</v>
      </c>
      <c r="P161" t="s">
        <v>231</v>
      </c>
      <c r="Q161" t="s">
        <v>231</v>
      </c>
      <c r="R161" t="s">
        <v>3615</v>
      </c>
      <c r="S161" t="s">
        <v>231</v>
      </c>
      <c r="T161" t="s">
        <v>231</v>
      </c>
      <c r="U161" t="s">
        <v>101</v>
      </c>
      <c r="V161" t="s">
        <v>231</v>
      </c>
      <c r="W161" t="s">
        <v>231</v>
      </c>
      <c r="X161" t="s">
        <v>3523</v>
      </c>
      <c r="Y161" t="s">
        <v>231</v>
      </c>
      <c r="Z161" t="s">
        <v>160</v>
      </c>
      <c r="AA161" t="s">
        <v>151</v>
      </c>
      <c r="AB161" t="s">
        <v>151</v>
      </c>
      <c r="AC161" t="s">
        <v>2287</v>
      </c>
      <c r="AD161" t="s">
        <v>2287</v>
      </c>
      <c r="AE161" t="s">
        <v>2288</v>
      </c>
      <c r="AF161" t="s">
        <v>4347</v>
      </c>
      <c r="AG161" t="s">
        <v>4348</v>
      </c>
      <c r="AH161" t="s">
        <v>4034</v>
      </c>
      <c r="AI161" t="s">
        <v>4349</v>
      </c>
      <c r="AJ161" t="s">
        <v>3619</v>
      </c>
      <c r="AK161" t="s">
        <v>4350</v>
      </c>
      <c r="AL161" t="s">
        <v>3548</v>
      </c>
      <c r="AM161" t="s">
        <v>3531</v>
      </c>
      <c r="AN161" t="s">
        <v>3621</v>
      </c>
      <c r="AO161" t="s">
        <v>3901</v>
      </c>
      <c r="AP161" t="s">
        <v>231</v>
      </c>
      <c r="AQ161" t="s">
        <v>231</v>
      </c>
      <c r="AR161" t="s">
        <v>231</v>
      </c>
      <c r="AS161" t="s">
        <v>231</v>
      </c>
      <c r="AT161" t="s">
        <v>231</v>
      </c>
      <c r="AU161" t="s">
        <v>231</v>
      </c>
      <c r="AV161" t="s">
        <v>231</v>
      </c>
      <c r="AW161" t="s">
        <v>231</v>
      </c>
      <c r="AX161" t="s">
        <v>231</v>
      </c>
      <c r="AY161" t="s">
        <v>231</v>
      </c>
      <c r="AZ161" t="s">
        <v>231</v>
      </c>
      <c r="BA161" t="s">
        <v>231</v>
      </c>
      <c r="BB161" t="s">
        <v>231</v>
      </c>
      <c r="BC161" t="s">
        <v>231</v>
      </c>
      <c r="BD161" t="s">
        <v>231</v>
      </c>
      <c r="BE161" t="s">
        <v>231</v>
      </c>
      <c r="BF161" t="s">
        <v>231</v>
      </c>
      <c r="BG161" t="s">
        <v>231</v>
      </c>
      <c r="BH161" t="s">
        <v>231</v>
      </c>
      <c r="BI161" t="s">
        <v>231</v>
      </c>
      <c r="BJ161" t="s">
        <v>231</v>
      </c>
      <c r="BK161" t="s">
        <v>231</v>
      </c>
      <c r="BL161" t="s">
        <v>231</v>
      </c>
      <c r="BM161" t="s">
        <v>231</v>
      </c>
      <c r="BN161" t="s">
        <v>231</v>
      </c>
      <c r="BO161" t="s">
        <v>231</v>
      </c>
      <c r="BP161" t="s">
        <v>231</v>
      </c>
      <c r="BQ161" t="s">
        <v>231</v>
      </c>
      <c r="BR161" t="s">
        <v>231</v>
      </c>
      <c r="BS161" t="s">
        <v>231</v>
      </c>
      <c r="BT161" t="s">
        <v>231</v>
      </c>
      <c r="BU161" t="s">
        <v>231</v>
      </c>
      <c r="BV161" t="s">
        <v>231</v>
      </c>
      <c r="BW161" t="s">
        <v>231</v>
      </c>
      <c r="BX161" t="s">
        <v>231</v>
      </c>
      <c r="BY161" t="s">
        <v>231</v>
      </c>
      <c r="BZ161" t="s">
        <v>231</v>
      </c>
      <c r="CA161" t="s">
        <v>231</v>
      </c>
      <c r="CB161" t="s">
        <v>231</v>
      </c>
      <c r="CC161" t="s">
        <v>231</v>
      </c>
      <c r="CD161" t="s">
        <v>231</v>
      </c>
      <c r="CE161" t="s">
        <v>231</v>
      </c>
      <c r="CF161" t="s">
        <v>231</v>
      </c>
      <c r="CG161" t="s">
        <v>231</v>
      </c>
      <c r="CH161" t="s">
        <v>231</v>
      </c>
      <c r="CI161" t="s">
        <v>231</v>
      </c>
      <c r="CJ161" t="s">
        <v>231</v>
      </c>
      <c r="CK161" t="s">
        <v>231</v>
      </c>
      <c r="CL161" t="s">
        <v>231</v>
      </c>
      <c r="CM161" t="s">
        <v>231</v>
      </c>
      <c r="CN161" t="s">
        <v>231</v>
      </c>
      <c r="CO161" t="s">
        <v>231</v>
      </c>
      <c r="CP161" t="s">
        <v>231</v>
      </c>
      <c r="CQ161" t="s">
        <v>231</v>
      </c>
      <c r="CR161" t="s">
        <v>231</v>
      </c>
      <c r="CS161" t="s">
        <v>231</v>
      </c>
      <c r="CT161" t="s">
        <v>3534</v>
      </c>
      <c r="CU161" t="s">
        <v>3535</v>
      </c>
      <c r="CV161" t="s">
        <v>3536</v>
      </c>
      <c r="CW161" t="s">
        <v>3623</v>
      </c>
      <c r="CX161" t="s">
        <v>223</v>
      </c>
      <c r="CY161" t="s">
        <v>3536</v>
      </c>
      <c r="CZ161" t="s">
        <v>3624</v>
      </c>
      <c r="DA161" t="s">
        <v>3625</v>
      </c>
      <c r="DB161" t="s">
        <v>3623</v>
      </c>
      <c r="DC161" t="s">
        <v>363</v>
      </c>
      <c r="DD161" t="s">
        <v>282</v>
      </c>
      <c r="DE161" t="s">
        <v>4351</v>
      </c>
    </row>
    <row r="162" spans="1:109" ht="11.25" customHeight="1">
      <c r="A162" s="1314" t="s">
        <v>231</v>
      </c>
      <c r="B162" t="s">
        <v>231</v>
      </c>
      <c r="C162" t="s">
        <v>231</v>
      </c>
      <c r="D162" t="s">
        <v>231</v>
      </c>
      <c r="E162" t="s">
        <v>231</v>
      </c>
      <c r="F162" t="s">
        <v>231</v>
      </c>
      <c r="G162" t="s">
        <v>231</v>
      </c>
      <c r="H162" t="s">
        <v>231</v>
      </c>
      <c r="I162" t="s">
        <v>3521</v>
      </c>
      <c r="J162" t="s">
        <v>231</v>
      </c>
      <c r="K162" t="s">
        <v>231</v>
      </c>
      <c r="L162" t="s">
        <v>231</v>
      </c>
      <c r="M162" t="s">
        <v>231</v>
      </c>
      <c r="N162" t="s">
        <v>231</v>
      </c>
      <c r="O162" t="s">
        <v>231</v>
      </c>
      <c r="P162" t="s">
        <v>231</v>
      </c>
      <c r="Q162" t="s">
        <v>231</v>
      </c>
      <c r="R162" t="s">
        <v>4352</v>
      </c>
      <c r="S162" t="s">
        <v>231</v>
      </c>
      <c r="T162" t="s">
        <v>231</v>
      </c>
      <c r="U162" t="s">
        <v>101</v>
      </c>
      <c r="V162" t="s">
        <v>231</v>
      </c>
      <c r="W162" t="s">
        <v>231</v>
      </c>
      <c r="X162" t="s">
        <v>3523</v>
      </c>
      <c r="Y162" t="s">
        <v>231</v>
      </c>
      <c r="Z162" t="s">
        <v>160</v>
      </c>
      <c r="AA162" t="s">
        <v>151</v>
      </c>
      <c r="AB162" t="s">
        <v>151</v>
      </c>
      <c r="AC162" t="s">
        <v>2283</v>
      </c>
      <c r="AD162" t="s">
        <v>2283</v>
      </c>
      <c r="AE162" t="s">
        <v>2284</v>
      </c>
      <c r="AF162" t="s">
        <v>4001</v>
      </c>
      <c r="AG162" t="s">
        <v>4002</v>
      </c>
      <c r="AH162" t="s">
        <v>4353</v>
      </c>
      <c r="AI162" t="s">
        <v>4354</v>
      </c>
      <c r="AJ162" t="s">
        <v>3546</v>
      </c>
      <c r="AK162" t="s">
        <v>3546</v>
      </c>
      <c r="AL162" t="s">
        <v>3648</v>
      </c>
      <c r="AM162" t="s">
        <v>3531</v>
      </c>
      <c r="AN162" t="s">
        <v>3549</v>
      </c>
      <c r="AO162" t="s">
        <v>4355</v>
      </c>
      <c r="AP162" t="s">
        <v>231</v>
      </c>
      <c r="AQ162" t="s">
        <v>231</v>
      </c>
      <c r="AR162" t="s">
        <v>231</v>
      </c>
      <c r="AS162" t="s">
        <v>231</v>
      </c>
      <c r="AT162" t="s">
        <v>231</v>
      </c>
      <c r="AU162" t="s">
        <v>231</v>
      </c>
      <c r="AV162" t="s">
        <v>231</v>
      </c>
      <c r="AW162" t="s">
        <v>231</v>
      </c>
      <c r="AX162" t="s">
        <v>231</v>
      </c>
      <c r="AY162" t="s">
        <v>231</v>
      </c>
      <c r="AZ162" t="s">
        <v>231</v>
      </c>
      <c r="BA162" t="s">
        <v>231</v>
      </c>
      <c r="BB162" t="s">
        <v>231</v>
      </c>
      <c r="BC162" t="s">
        <v>231</v>
      </c>
      <c r="BD162" t="s">
        <v>231</v>
      </c>
      <c r="BE162" t="s">
        <v>231</v>
      </c>
      <c r="BF162" t="s">
        <v>231</v>
      </c>
      <c r="BG162" t="s">
        <v>231</v>
      </c>
      <c r="BH162" t="s">
        <v>231</v>
      </c>
      <c r="BI162" t="s">
        <v>231</v>
      </c>
      <c r="BJ162" t="s">
        <v>231</v>
      </c>
      <c r="BK162" t="s">
        <v>231</v>
      </c>
      <c r="BL162" t="s">
        <v>231</v>
      </c>
      <c r="BM162" t="s">
        <v>231</v>
      </c>
      <c r="BN162" t="s">
        <v>231</v>
      </c>
      <c r="BO162" t="s">
        <v>231</v>
      </c>
      <c r="BP162" t="s">
        <v>231</v>
      </c>
      <c r="BQ162" t="s">
        <v>231</v>
      </c>
      <c r="BR162" t="s">
        <v>231</v>
      </c>
      <c r="BS162" t="s">
        <v>231</v>
      </c>
      <c r="BT162" t="s">
        <v>231</v>
      </c>
      <c r="BU162" t="s">
        <v>231</v>
      </c>
      <c r="BV162" t="s">
        <v>231</v>
      </c>
      <c r="BW162" t="s">
        <v>231</v>
      </c>
      <c r="BX162" t="s">
        <v>231</v>
      </c>
      <c r="BY162" t="s">
        <v>231</v>
      </c>
      <c r="BZ162" t="s">
        <v>231</v>
      </c>
      <c r="CA162" t="s">
        <v>231</v>
      </c>
      <c r="CB162" t="s">
        <v>231</v>
      </c>
      <c r="CC162" t="s">
        <v>231</v>
      </c>
      <c r="CD162" t="s">
        <v>231</v>
      </c>
      <c r="CE162" t="s">
        <v>231</v>
      </c>
      <c r="CF162" t="s">
        <v>231</v>
      </c>
      <c r="CG162" t="s">
        <v>231</v>
      </c>
      <c r="CH162" t="s">
        <v>231</v>
      </c>
      <c r="CI162" t="s">
        <v>231</v>
      </c>
      <c r="CJ162" t="s">
        <v>231</v>
      </c>
      <c r="CK162" t="s">
        <v>231</v>
      </c>
      <c r="CL162" t="s">
        <v>231</v>
      </c>
      <c r="CM162" t="s">
        <v>231</v>
      </c>
      <c r="CN162" t="s">
        <v>231</v>
      </c>
      <c r="CO162" t="s">
        <v>231</v>
      </c>
      <c r="CP162" t="s">
        <v>231</v>
      </c>
      <c r="CQ162" t="s">
        <v>231</v>
      </c>
      <c r="CR162" t="s">
        <v>231</v>
      </c>
      <c r="CS162" t="s">
        <v>231</v>
      </c>
      <c r="CT162" t="s">
        <v>3534</v>
      </c>
      <c r="CU162" t="s">
        <v>3535</v>
      </c>
      <c r="CV162" t="s">
        <v>3536</v>
      </c>
      <c r="CW162" t="s">
        <v>3551</v>
      </c>
      <c r="CX162" t="s">
        <v>223</v>
      </c>
      <c r="CY162" t="s">
        <v>3536</v>
      </c>
      <c r="CZ162" t="s">
        <v>3552</v>
      </c>
      <c r="DA162" t="s">
        <v>3553</v>
      </c>
      <c r="DB162" t="s">
        <v>3551</v>
      </c>
      <c r="DC162" t="s">
        <v>363</v>
      </c>
      <c r="DD162" t="s">
        <v>282</v>
      </c>
      <c r="DE162" t="s">
        <v>4356</v>
      </c>
    </row>
    <row r="163" spans="1:109" ht="11.25" customHeight="1">
      <c r="A163" s="1314" t="s">
        <v>231</v>
      </c>
      <c r="B163" t="s">
        <v>231</v>
      </c>
      <c r="C163" t="s">
        <v>231</v>
      </c>
      <c r="D163" t="s">
        <v>231</v>
      </c>
      <c r="E163" t="s">
        <v>231</v>
      </c>
      <c r="F163" t="s">
        <v>231</v>
      </c>
      <c r="G163" t="s">
        <v>231</v>
      </c>
      <c r="H163" t="s">
        <v>231</v>
      </c>
      <c r="I163" t="s">
        <v>3521</v>
      </c>
      <c r="J163" t="s">
        <v>231</v>
      </c>
      <c r="K163" t="s">
        <v>231</v>
      </c>
      <c r="L163" t="s">
        <v>231</v>
      </c>
      <c r="M163" t="s">
        <v>231</v>
      </c>
      <c r="N163" t="s">
        <v>231</v>
      </c>
      <c r="O163" t="s">
        <v>231</v>
      </c>
      <c r="P163" t="s">
        <v>231</v>
      </c>
      <c r="Q163" t="s">
        <v>231</v>
      </c>
      <c r="R163" t="s">
        <v>4357</v>
      </c>
      <c r="S163" t="s">
        <v>231</v>
      </c>
      <c r="T163" t="s">
        <v>231</v>
      </c>
      <c r="U163" t="s">
        <v>101</v>
      </c>
      <c r="V163" t="s">
        <v>231</v>
      </c>
      <c r="W163" t="s">
        <v>231</v>
      </c>
      <c r="X163" t="s">
        <v>3523</v>
      </c>
      <c r="Y163" t="s">
        <v>231</v>
      </c>
      <c r="Z163" t="s">
        <v>160</v>
      </c>
      <c r="AA163" t="s">
        <v>151</v>
      </c>
      <c r="AB163" t="s">
        <v>151</v>
      </c>
      <c r="AC163" t="s">
        <v>2283</v>
      </c>
      <c r="AD163" t="s">
        <v>2283</v>
      </c>
      <c r="AE163" t="s">
        <v>2284</v>
      </c>
      <c r="AF163" t="s">
        <v>4083</v>
      </c>
      <c r="AG163" t="s">
        <v>4084</v>
      </c>
      <c r="AH163" t="s">
        <v>4087</v>
      </c>
      <c r="AI163" t="s">
        <v>4088</v>
      </c>
      <c r="AJ163" t="s">
        <v>3546</v>
      </c>
      <c r="AK163" t="s">
        <v>3547</v>
      </c>
      <c r="AL163" t="s">
        <v>3548</v>
      </c>
      <c r="AM163" t="s">
        <v>3531</v>
      </c>
      <c r="AN163" t="s">
        <v>3549</v>
      </c>
      <c r="AO163" t="s">
        <v>3679</v>
      </c>
      <c r="AP163" t="s">
        <v>231</v>
      </c>
      <c r="AQ163" t="s">
        <v>231</v>
      </c>
      <c r="AR163" t="s">
        <v>231</v>
      </c>
      <c r="AS163" t="s">
        <v>231</v>
      </c>
      <c r="AT163" t="s">
        <v>231</v>
      </c>
      <c r="AU163" t="s">
        <v>231</v>
      </c>
      <c r="AV163" t="s">
        <v>231</v>
      </c>
      <c r="AW163" t="s">
        <v>231</v>
      </c>
      <c r="AX163" t="s">
        <v>231</v>
      </c>
      <c r="AY163" t="s">
        <v>231</v>
      </c>
      <c r="AZ163" t="s">
        <v>231</v>
      </c>
      <c r="BA163" t="s">
        <v>231</v>
      </c>
      <c r="BB163" t="s">
        <v>231</v>
      </c>
      <c r="BC163" t="s">
        <v>231</v>
      </c>
      <c r="BD163" t="s">
        <v>231</v>
      </c>
      <c r="BE163" t="s">
        <v>231</v>
      </c>
      <c r="BF163" t="s">
        <v>231</v>
      </c>
      <c r="BG163" t="s">
        <v>231</v>
      </c>
      <c r="BH163" t="s">
        <v>231</v>
      </c>
      <c r="BI163" t="s">
        <v>231</v>
      </c>
      <c r="BJ163" t="s">
        <v>231</v>
      </c>
      <c r="BK163" t="s">
        <v>231</v>
      </c>
      <c r="BL163" t="s">
        <v>231</v>
      </c>
      <c r="BM163" t="s">
        <v>231</v>
      </c>
      <c r="BN163" t="s">
        <v>231</v>
      </c>
      <c r="BO163" t="s">
        <v>231</v>
      </c>
      <c r="BP163" t="s">
        <v>231</v>
      </c>
      <c r="BQ163" t="s">
        <v>231</v>
      </c>
      <c r="BR163" t="s">
        <v>231</v>
      </c>
      <c r="BS163" t="s">
        <v>231</v>
      </c>
      <c r="BT163" t="s">
        <v>231</v>
      </c>
      <c r="BU163" t="s">
        <v>231</v>
      </c>
      <c r="BV163" t="s">
        <v>231</v>
      </c>
      <c r="BW163" t="s">
        <v>231</v>
      </c>
      <c r="BX163" t="s">
        <v>231</v>
      </c>
      <c r="BY163" t="s">
        <v>231</v>
      </c>
      <c r="BZ163" t="s">
        <v>231</v>
      </c>
      <c r="CA163" t="s">
        <v>231</v>
      </c>
      <c r="CB163" t="s">
        <v>231</v>
      </c>
      <c r="CC163" t="s">
        <v>231</v>
      </c>
      <c r="CD163" t="s">
        <v>231</v>
      </c>
      <c r="CE163" t="s">
        <v>231</v>
      </c>
      <c r="CF163" t="s">
        <v>231</v>
      </c>
      <c r="CG163" t="s">
        <v>231</v>
      </c>
      <c r="CH163" t="s">
        <v>231</v>
      </c>
      <c r="CI163" t="s">
        <v>231</v>
      </c>
      <c r="CJ163" t="s">
        <v>231</v>
      </c>
      <c r="CK163" t="s">
        <v>231</v>
      </c>
      <c r="CL163" t="s">
        <v>231</v>
      </c>
      <c r="CM163" t="s">
        <v>231</v>
      </c>
      <c r="CN163" t="s">
        <v>231</v>
      </c>
      <c r="CO163" t="s">
        <v>231</v>
      </c>
      <c r="CP163" t="s">
        <v>231</v>
      </c>
      <c r="CQ163" t="s">
        <v>231</v>
      </c>
      <c r="CR163" t="s">
        <v>231</v>
      </c>
      <c r="CS163" t="s">
        <v>231</v>
      </c>
      <c r="CT163" t="s">
        <v>3534</v>
      </c>
      <c r="CU163" t="s">
        <v>3535</v>
      </c>
      <c r="CV163" t="s">
        <v>3536</v>
      </c>
      <c r="CW163" t="s">
        <v>3551</v>
      </c>
      <c r="CX163" t="s">
        <v>223</v>
      </c>
      <c r="CY163" t="s">
        <v>3536</v>
      </c>
      <c r="CZ163" t="s">
        <v>3552</v>
      </c>
      <c r="DA163" t="s">
        <v>3553</v>
      </c>
      <c r="DB163" t="s">
        <v>3551</v>
      </c>
      <c r="DC163" t="s">
        <v>363</v>
      </c>
      <c r="DD163" t="s">
        <v>282</v>
      </c>
      <c r="DE163" t="s">
        <v>4358</v>
      </c>
    </row>
    <row r="164" spans="1:109" ht="11.25" customHeight="1">
      <c r="A164" s="1314" t="s">
        <v>231</v>
      </c>
      <c r="B164" t="s">
        <v>231</v>
      </c>
      <c r="C164" t="s">
        <v>231</v>
      </c>
      <c r="D164" t="s">
        <v>231</v>
      </c>
      <c r="E164" t="s">
        <v>231</v>
      </c>
      <c r="F164" t="s">
        <v>231</v>
      </c>
      <c r="G164" t="s">
        <v>231</v>
      </c>
      <c r="H164" t="s">
        <v>231</v>
      </c>
      <c r="I164" t="s">
        <v>3521</v>
      </c>
      <c r="J164" t="s">
        <v>231</v>
      </c>
      <c r="K164" t="s">
        <v>231</v>
      </c>
      <c r="L164" t="s">
        <v>231</v>
      </c>
      <c r="M164" t="s">
        <v>231</v>
      </c>
      <c r="N164" t="s">
        <v>231</v>
      </c>
      <c r="O164" t="s">
        <v>231</v>
      </c>
      <c r="P164" t="s">
        <v>231</v>
      </c>
      <c r="Q164" t="s">
        <v>231</v>
      </c>
      <c r="R164" t="s">
        <v>4359</v>
      </c>
      <c r="S164" t="s">
        <v>231</v>
      </c>
      <c r="T164" t="s">
        <v>231</v>
      </c>
      <c r="U164" t="s">
        <v>101</v>
      </c>
      <c r="V164" t="s">
        <v>231</v>
      </c>
      <c r="W164" t="s">
        <v>231</v>
      </c>
      <c r="X164" t="s">
        <v>3523</v>
      </c>
      <c r="Y164" t="s">
        <v>231</v>
      </c>
      <c r="Z164" t="s">
        <v>160</v>
      </c>
      <c r="AA164" t="s">
        <v>151</v>
      </c>
      <c r="AB164" t="s">
        <v>151</v>
      </c>
      <c r="AC164" t="s">
        <v>2289</v>
      </c>
      <c r="AD164" t="s">
        <v>2289</v>
      </c>
      <c r="AE164" t="s">
        <v>2290</v>
      </c>
      <c r="AF164" t="s">
        <v>3793</v>
      </c>
      <c r="AG164" t="s">
        <v>3794</v>
      </c>
      <c r="AH164" t="s">
        <v>3728</v>
      </c>
      <c r="AI164" t="s">
        <v>4360</v>
      </c>
      <c r="AJ164" t="s">
        <v>3549</v>
      </c>
      <c r="AK164" t="s">
        <v>3587</v>
      </c>
      <c r="AL164" t="s">
        <v>4163</v>
      </c>
      <c r="AM164" t="s">
        <v>3531</v>
      </c>
      <c r="AN164" t="s">
        <v>3595</v>
      </c>
      <c r="AO164" t="s">
        <v>3796</v>
      </c>
      <c r="AP164" t="s">
        <v>231</v>
      </c>
      <c r="AQ164" t="s">
        <v>231</v>
      </c>
      <c r="AR164" t="s">
        <v>231</v>
      </c>
      <c r="AS164" t="s">
        <v>231</v>
      </c>
      <c r="AT164" t="s">
        <v>231</v>
      </c>
      <c r="AU164" t="s">
        <v>231</v>
      </c>
      <c r="AV164" t="s">
        <v>231</v>
      </c>
      <c r="AW164" t="s">
        <v>231</v>
      </c>
      <c r="AX164" t="s">
        <v>231</v>
      </c>
      <c r="AY164" t="s">
        <v>231</v>
      </c>
      <c r="AZ164" t="s">
        <v>231</v>
      </c>
      <c r="BA164" t="s">
        <v>231</v>
      </c>
      <c r="BB164" t="s">
        <v>231</v>
      </c>
      <c r="BC164" t="s">
        <v>231</v>
      </c>
      <c r="BD164" t="s">
        <v>231</v>
      </c>
      <c r="BE164" t="s">
        <v>231</v>
      </c>
      <c r="BF164" t="s">
        <v>231</v>
      </c>
      <c r="BG164" t="s">
        <v>231</v>
      </c>
      <c r="BH164" t="s">
        <v>231</v>
      </c>
      <c r="BI164" t="s">
        <v>231</v>
      </c>
      <c r="BJ164" t="s">
        <v>231</v>
      </c>
      <c r="BK164" t="s">
        <v>231</v>
      </c>
      <c r="BL164" t="s">
        <v>231</v>
      </c>
      <c r="BM164" t="s">
        <v>231</v>
      </c>
      <c r="BN164" t="s">
        <v>231</v>
      </c>
      <c r="BO164" t="s">
        <v>231</v>
      </c>
      <c r="BP164" t="s">
        <v>231</v>
      </c>
      <c r="BQ164" t="s">
        <v>231</v>
      </c>
      <c r="BR164" t="s">
        <v>231</v>
      </c>
      <c r="BS164" t="s">
        <v>231</v>
      </c>
      <c r="BT164" t="s">
        <v>231</v>
      </c>
      <c r="BU164" t="s">
        <v>231</v>
      </c>
      <c r="BV164" t="s">
        <v>231</v>
      </c>
      <c r="BW164" t="s">
        <v>231</v>
      </c>
      <c r="BX164" t="s">
        <v>231</v>
      </c>
      <c r="BY164" t="s">
        <v>231</v>
      </c>
      <c r="BZ164" t="s">
        <v>231</v>
      </c>
      <c r="CA164" t="s">
        <v>231</v>
      </c>
      <c r="CB164" t="s">
        <v>231</v>
      </c>
      <c r="CC164" t="s">
        <v>231</v>
      </c>
      <c r="CD164" t="s">
        <v>231</v>
      </c>
      <c r="CE164" t="s">
        <v>231</v>
      </c>
      <c r="CF164" t="s">
        <v>231</v>
      </c>
      <c r="CG164" t="s">
        <v>231</v>
      </c>
      <c r="CH164" t="s">
        <v>231</v>
      </c>
      <c r="CI164" t="s">
        <v>231</v>
      </c>
      <c r="CJ164" t="s">
        <v>231</v>
      </c>
      <c r="CK164" t="s">
        <v>231</v>
      </c>
      <c r="CL164" t="s">
        <v>231</v>
      </c>
      <c r="CM164" t="s">
        <v>231</v>
      </c>
      <c r="CN164" t="s">
        <v>231</v>
      </c>
      <c r="CO164" t="s">
        <v>231</v>
      </c>
      <c r="CP164" t="s">
        <v>231</v>
      </c>
      <c r="CQ164" t="s">
        <v>231</v>
      </c>
      <c r="CR164" t="s">
        <v>231</v>
      </c>
      <c r="CS164" t="s">
        <v>231</v>
      </c>
      <c r="CT164" t="s">
        <v>3534</v>
      </c>
      <c r="CU164" t="s">
        <v>3535</v>
      </c>
      <c r="CV164" t="s">
        <v>3536</v>
      </c>
      <c r="CW164" t="s">
        <v>3589</v>
      </c>
      <c r="CX164" t="s">
        <v>223</v>
      </c>
      <c r="CY164" t="s">
        <v>3536</v>
      </c>
      <c r="CZ164" t="s">
        <v>3590</v>
      </c>
      <c r="DA164" t="s">
        <v>3591</v>
      </c>
      <c r="DB164" t="s">
        <v>3589</v>
      </c>
      <c r="DC164" t="s">
        <v>363</v>
      </c>
      <c r="DD164" t="s">
        <v>282</v>
      </c>
      <c r="DE164" t="s">
        <v>4361</v>
      </c>
    </row>
    <row r="165" spans="1:109" ht="11.25" customHeight="1">
      <c r="A165" s="1314" t="s">
        <v>231</v>
      </c>
      <c r="B165" t="s">
        <v>231</v>
      </c>
      <c r="C165" t="s">
        <v>231</v>
      </c>
      <c r="D165" t="s">
        <v>231</v>
      </c>
      <c r="E165" t="s">
        <v>231</v>
      </c>
      <c r="F165" t="s">
        <v>231</v>
      </c>
      <c r="G165" t="s">
        <v>231</v>
      </c>
      <c r="H165" t="s">
        <v>231</v>
      </c>
      <c r="I165" t="s">
        <v>3521</v>
      </c>
      <c r="J165" t="s">
        <v>231</v>
      </c>
      <c r="K165" t="s">
        <v>231</v>
      </c>
      <c r="L165" t="s">
        <v>231</v>
      </c>
      <c r="M165" t="s">
        <v>231</v>
      </c>
      <c r="N165" t="s">
        <v>231</v>
      </c>
      <c r="O165" t="s">
        <v>231</v>
      </c>
      <c r="P165" t="s">
        <v>231</v>
      </c>
      <c r="Q165" t="s">
        <v>231</v>
      </c>
      <c r="R165" t="s">
        <v>3615</v>
      </c>
      <c r="S165" t="s">
        <v>231</v>
      </c>
      <c r="T165" t="s">
        <v>231</v>
      </c>
      <c r="U165" t="s">
        <v>101</v>
      </c>
      <c r="V165" t="s">
        <v>231</v>
      </c>
      <c r="W165" t="s">
        <v>231</v>
      </c>
      <c r="X165" t="s">
        <v>3523</v>
      </c>
      <c r="Y165" t="s">
        <v>231</v>
      </c>
      <c r="Z165" t="s">
        <v>160</v>
      </c>
      <c r="AA165" t="s">
        <v>151</v>
      </c>
      <c r="AB165" t="s">
        <v>151</v>
      </c>
      <c r="AC165" t="s">
        <v>2289</v>
      </c>
      <c r="AD165" t="s">
        <v>2289</v>
      </c>
      <c r="AE165" t="s">
        <v>2290</v>
      </c>
      <c r="AF165" t="s">
        <v>3890</v>
      </c>
      <c r="AG165" t="s">
        <v>3891</v>
      </c>
      <c r="AH165" t="s">
        <v>4174</v>
      </c>
      <c r="AI165" t="s">
        <v>332</v>
      </c>
      <c r="AJ165" t="s">
        <v>3546</v>
      </c>
      <c r="AK165" t="s">
        <v>3586</v>
      </c>
      <c r="AL165" t="s">
        <v>3548</v>
      </c>
      <c r="AM165" t="s">
        <v>3531</v>
      </c>
      <c r="AN165" t="s">
        <v>3587</v>
      </c>
      <c r="AO165" t="s">
        <v>3724</v>
      </c>
      <c r="AP165" t="s">
        <v>231</v>
      </c>
      <c r="AQ165" t="s">
        <v>231</v>
      </c>
      <c r="AR165" t="s">
        <v>231</v>
      </c>
      <c r="AS165" t="s">
        <v>231</v>
      </c>
      <c r="AT165" t="s">
        <v>231</v>
      </c>
      <c r="AU165" t="s">
        <v>231</v>
      </c>
      <c r="AV165" t="s">
        <v>231</v>
      </c>
      <c r="AW165" t="s">
        <v>231</v>
      </c>
      <c r="AX165" t="s">
        <v>231</v>
      </c>
      <c r="AY165" t="s">
        <v>231</v>
      </c>
      <c r="AZ165" t="s">
        <v>231</v>
      </c>
      <c r="BA165" t="s">
        <v>231</v>
      </c>
      <c r="BB165" t="s">
        <v>231</v>
      </c>
      <c r="BC165" t="s">
        <v>231</v>
      </c>
      <c r="BD165" t="s">
        <v>231</v>
      </c>
      <c r="BE165" t="s">
        <v>231</v>
      </c>
      <c r="BF165" t="s">
        <v>231</v>
      </c>
      <c r="BG165" t="s">
        <v>231</v>
      </c>
      <c r="BH165" t="s">
        <v>231</v>
      </c>
      <c r="BI165" t="s">
        <v>231</v>
      </c>
      <c r="BJ165" t="s">
        <v>231</v>
      </c>
      <c r="BK165" t="s">
        <v>231</v>
      </c>
      <c r="BL165" t="s">
        <v>231</v>
      </c>
      <c r="BM165" t="s">
        <v>231</v>
      </c>
      <c r="BN165" t="s">
        <v>231</v>
      </c>
      <c r="BO165" t="s">
        <v>231</v>
      </c>
      <c r="BP165" t="s">
        <v>231</v>
      </c>
      <c r="BQ165" t="s">
        <v>231</v>
      </c>
      <c r="BR165" t="s">
        <v>231</v>
      </c>
      <c r="BS165" t="s">
        <v>231</v>
      </c>
      <c r="BT165" t="s">
        <v>231</v>
      </c>
      <c r="BU165" t="s">
        <v>231</v>
      </c>
      <c r="BV165" t="s">
        <v>231</v>
      </c>
      <c r="BW165" t="s">
        <v>231</v>
      </c>
      <c r="BX165" t="s">
        <v>231</v>
      </c>
      <c r="BY165" t="s">
        <v>231</v>
      </c>
      <c r="BZ165" t="s">
        <v>231</v>
      </c>
      <c r="CA165" t="s">
        <v>231</v>
      </c>
      <c r="CB165" t="s">
        <v>231</v>
      </c>
      <c r="CC165" t="s">
        <v>231</v>
      </c>
      <c r="CD165" t="s">
        <v>231</v>
      </c>
      <c r="CE165" t="s">
        <v>231</v>
      </c>
      <c r="CF165" t="s">
        <v>231</v>
      </c>
      <c r="CG165" t="s">
        <v>231</v>
      </c>
      <c r="CH165" t="s">
        <v>231</v>
      </c>
      <c r="CI165" t="s">
        <v>231</v>
      </c>
      <c r="CJ165" t="s">
        <v>231</v>
      </c>
      <c r="CK165" t="s">
        <v>231</v>
      </c>
      <c r="CL165" t="s">
        <v>231</v>
      </c>
      <c r="CM165" t="s">
        <v>231</v>
      </c>
      <c r="CN165" t="s">
        <v>231</v>
      </c>
      <c r="CO165" t="s">
        <v>231</v>
      </c>
      <c r="CP165" t="s">
        <v>231</v>
      </c>
      <c r="CQ165" t="s">
        <v>231</v>
      </c>
      <c r="CR165" t="s">
        <v>231</v>
      </c>
      <c r="CS165" t="s">
        <v>231</v>
      </c>
      <c r="CT165" t="s">
        <v>3534</v>
      </c>
      <c r="CU165" t="s">
        <v>3535</v>
      </c>
      <c r="CV165" t="s">
        <v>3536</v>
      </c>
      <c r="CW165" t="s">
        <v>3589</v>
      </c>
      <c r="CX165" t="s">
        <v>223</v>
      </c>
      <c r="CY165" t="s">
        <v>3536</v>
      </c>
      <c r="CZ165" t="s">
        <v>3590</v>
      </c>
      <c r="DA165" t="s">
        <v>3591</v>
      </c>
      <c r="DB165" t="s">
        <v>3589</v>
      </c>
      <c r="DC165" t="s">
        <v>363</v>
      </c>
      <c r="DD165" t="s">
        <v>282</v>
      </c>
      <c r="DE165" t="s">
        <v>4362</v>
      </c>
    </row>
    <row r="166" spans="1:109" ht="11.25" customHeight="1">
      <c r="A166" s="1314" t="s">
        <v>231</v>
      </c>
      <c r="B166" t="s">
        <v>231</v>
      </c>
      <c r="C166" t="s">
        <v>231</v>
      </c>
      <c r="D166" t="s">
        <v>231</v>
      </c>
      <c r="E166" t="s">
        <v>231</v>
      </c>
      <c r="F166" t="s">
        <v>231</v>
      </c>
      <c r="G166" t="s">
        <v>231</v>
      </c>
      <c r="H166" t="s">
        <v>231</v>
      </c>
      <c r="I166" t="s">
        <v>3521</v>
      </c>
      <c r="J166" t="s">
        <v>231</v>
      </c>
      <c r="K166" t="s">
        <v>231</v>
      </c>
      <c r="L166" t="s">
        <v>231</v>
      </c>
      <c r="M166" t="s">
        <v>231</v>
      </c>
      <c r="N166" t="s">
        <v>231</v>
      </c>
      <c r="O166" t="s">
        <v>231</v>
      </c>
      <c r="P166" t="s">
        <v>231</v>
      </c>
      <c r="Q166" t="s">
        <v>231</v>
      </c>
      <c r="R166" t="s">
        <v>4363</v>
      </c>
      <c r="S166" t="s">
        <v>231</v>
      </c>
      <c r="T166" t="s">
        <v>231</v>
      </c>
      <c r="U166" t="s">
        <v>101</v>
      </c>
      <c r="V166" t="s">
        <v>231</v>
      </c>
      <c r="W166" t="s">
        <v>231</v>
      </c>
      <c r="X166" t="s">
        <v>3628</v>
      </c>
      <c r="Y166" t="s">
        <v>231</v>
      </c>
      <c r="Z166" t="s">
        <v>151</v>
      </c>
      <c r="AA166" t="s">
        <v>151</v>
      </c>
      <c r="AB166" t="s">
        <v>160</v>
      </c>
      <c r="AC166" t="s">
        <v>2289</v>
      </c>
      <c r="AD166" t="s">
        <v>2289</v>
      </c>
      <c r="AE166" t="s">
        <v>2290</v>
      </c>
      <c r="AF166" t="s">
        <v>3890</v>
      </c>
      <c r="AG166" t="s">
        <v>3891</v>
      </c>
      <c r="AH166" t="s">
        <v>3618</v>
      </c>
      <c r="AI166" t="s">
        <v>3618</v>
      </c>
      <c r="AJ166" t="s">
        <v>231</v>
      </c>
      <c r="AK166" t="s">
        <v>231</v>
      </c>
      <c r="AL166" t="s">
        <v>231</v>
      </c>
      <c r="AM166" t="s">
        <v>231</v>
      </c>
      <c r="AN166" t="s">
        <v>231</v>
      </c>
      <c r="AO166" t="s">
        <v>231</v>
      </c>
      <c r="AP166" t="s">
        <v>231</v>
      </c>
      <c r="AQ166" t="s">
        <v>231</v>
      </c>
      <c r="AR166" t="s">
        <v>231</v>
      </c>
      <c r="AS166" t="s">
        <v>231</v>
      </c>
      <c r="AT166" t="s">
        <v>231</v>
      </c>
      <c r="AU166" t="s">
        <v>231</v>
      </c>
      <c r="AV166" t="s">
        <v>231</v>
      </c>
      <c r="AW166" t="s">
        <v>231</v>
      </c>
      <c r="AX166" t="s">
        <v>231</v>
      </c>
      <c r="AY166" t="s">
        <v>231</v>
      </c>
      <c r="AZ166" t="s">
        <v>231</v>
      </c>
      <c r="BA166" t="s">
        <v>231</v>
      </c>
      <c r="BB166" t="s">
        <v>231</v>
      </c>
      <c r="BC166" t="s">
        <v>231</v>
      </c>
      <c r="BD166" t="s">
        <v>231</v>
      </c>
      <c r="BE166" t="s">
        <v>3546</v>
      </c>
      <c r="BF166" t="s">
        <v>3586</v>
      </c>
      <c r="BG166" t="s">
        <v>111</v>
      </c>
      <c r="BH166" t="s">
        <v>3632</v>
      </c>
      <c r="BI166" t="s">
        <v>122</v>
      </c>
      <c r="BJ166" t="s">
        <v>231</v>
      </c>
      <c r="BK166" t="s">
        <v>3651</v>
      </c>
      <c r="BL166" t="s">
        <v>2289</v>
      </c>
      <c r="BM166" t="s">
        <v>2289</v>
      </c>
      <c r="BN166" t="s">
        <v>3707</v>
      </c>
      <c r="BO166" t="s">
        <v>3890</v>
      </c>
      <c r="BP166" t="s">
        <v>4364</v>
      </c>
      <c r="BQ166" t="s">
        <v>3618</v>
      </c>
      <c r="BR166" t="s">
        <v>3618</v>
      </c>
      <c r="BS166" t="s">
        <v>231</v>
      </c>
      <c r="BT166" t="s">
        <v>3694</v>
      </c>
      <c r="BU166" t="s">
        <v>4365</v>
      </c>
      <c r="BV166" t="s">
        <v>4365</v>
      </c>
      <c r="BW166" t="s">
        <v>3641</v>
      </c>
      <c r="BX166" t="s">
        <v>3641</v>
      </c>
      <c r="BY166" t="s">
        <v>3641</v>
      </c>
      <c r="BZ166" t="s">
        <v>3641</v>
      </c>
      <c r="CA166" t="s">
        <v>3641</v>
      </c>
      <c r="CB166" t="s">
        <v>231</v>
      </c>
      <c r="CC166" t="s">
        <v>231</v>
      </c>
      <c r="CD166" t="s">
        <v>231</v>
      </c>
      <c r="CE166" t="s">
        <v>231</v>
      </c>
      <c r="CF166" t="s">
        <v>231</v>
      </c>
      <c r="CG166" t="s">
        <v>3641</v>
      </c>
      <c r="CH166" t="s">
        <v>231</v>
      </c>
      <c r="CI166" t="s">
        <v>231</v>
      </c>
      <c r="CJ166" t="s">
        <v>231</v>
      </c>
      <c r="CK166" t="s">
        <v>231</v>
      </c>
      <c r="CL166" t="s">
        <v>231</v>
      </c>
      <c r="CM166" t="s">
        <v>4365</v>
      </c>
      <c r="CN166" t="s">
        <v>4365</v>
      </c>
      <c r="CO166" t="s">
        <v>231</v>
      </c>
      <c r="CP166" t="s">
        <v>231</v>
      </c>
      <c r="CQ166" t="s">
        <v>231</v>
      </c>
      <c r="CR166" t="s">
        <v>231</v>
      </c>
      <c r="CS166" t="s">
        <v>3710</v>
      </c>
      <c r="CT166" t="s">
        <v>3534</v>
      </c>
      <c r="CU166" t="s">
        <v>3535</v>
      </c>
      <c r="CV166" t="s">
        <v>3536</v>
      </c>
      <c r="CW166" t="s">
        <v>3589</v>
      </c>
      <c r="CX166" t="s">
        <v>223</v>
      </c>
      <c r="CY166" t="s">
        <v>3536</v>
      </c>
      <c r="CZ166" t="s">
        <v>3590</v>
      </c>
      <c r="DA166" t="s">
        <v>3591</v>
      </c>
      <c r="DB166" t="s">
        <v>3589</v>
      </c>
      <c r="DC166" t="s">
        <v>363</v>
      </c>
      <c r="DD166" t="s">
        <v>282</v>
      </c>
      <c r="DE166" t="s">
        <v>4366</v>
      </c>
    </row>
    <row r="167" spans="1:109" ht="11.25" customHeight="1">
      <c r="A167" s="1314" t="s">
        <v>231</v>
      </c>
      <c r="B167" t="s">
        <v>231</v>
      </c>
      <c r="C167" t="s">
        <v>231</v>
      </c>
      <c r="D167" t="s">
        <v>231</v>
      </c>
      <c r="E167" t="s">
        <v>231</v>
      </c>
      <c r="F167" t="s">
        <v>231</v>
      </c>
      <c r="G167" t="s">
        <v>231</v>
      </c>
      <c r="H167" t="s">
        <v>231</v>
      </c>
      <c r="I167" t="s">
        <v>3521</v>
      </c>
      <c r="J167" t="s">
        <v>231</v>
      </c>
      <c r="K167" t="s">
        <v>231</v>
      </c>
      <c r="L167" t="s">
        <v>231</v>
      </c>
      <c r="M167" t="s">
        <v>231</v>
      </c>
      <c r="N167" t="s">
        <v>231</v>
      </c>
      <c r="O167" t="s">
        <v>231</v>
      </c>
      <c r="P167" t="s">
        <v>231</v>
      </c>
      <c r="Q167" t="s">
        <v>231</v>
      </c>
      <c r="R167" t="s">
        <v>4367</v>
      </c>
      <c r="S167" t="s">
        <v>231</v>
      </c>
      <c r="T167" t="s">
        <v>231</v>
      </c>
      <c r="U167" t="s">
        <v>101</v>
      </c>
      <c r="V167" t="s">
        <v>231</v>
      </c>
      <c r="W167" t="s">
        <v>231</v>
      </c>
      <c r="X167" t="s">
        <v>3523</v>
      </c>
      <c r="Y167" t="s">
        <v>231</v>
      </c>
      <c r="Z167" t="s">
        <v>160</v>
      </c>
      <c r="AA167" t="s">
        <v>151</v>
      </c>
      <c r="AB167" t="s">
        <v>151</v>
      </c>
      <c r="AC167" t="s">
        <v>2289</v>
      </c>
      <c r="AD167" t="s">
        <v>2289</v>
      </c>
      <c r="AE167" t="s">
        <v>2290</v>
      </c>
      <c r="AF167" t="s">
        <v>4368</v>
      </c>
      <c r="AG167" t="s">
        <v>4369</v>
      </c>
      <c r="AH167" t="s">
        <v>3584</v>
      </c>
      <c r="AI167" t="s">
        <v>4370</v>
      </c>
      <c r="AJ167" t="s">
        <v>3546</v>
      </c>
      <c r="AK167" t="s">
        <v>3820</v>
      </c>
      <c r="AL167" t="s">
        <v>3548</v>
      </c>
      <c r="AM167" t="s">
        <v>3531</v>
      </c>
      <c r="AN167" t="s">
        <v>3587</v>
      </c>
      <c r="AO167" t="s">
        <v>3550</v>
      </c>
      <c r="AP167" t="s">
        <v>231</v>
      </c>
      <c r="AQ167" t="s">
        <v>231</v>
      </c>
      <c r="AR167" t="s">
        <v>231</v>
      </c>
      <c r="AS167" t="s">
        <v>231</v>
      </c>
      <c r="AT167" t="s">
        <v>231</v>
      </c>
      <c r="AU167" t="s">
        <v>231</v>
      </c>
      <c r="AV167" t="s">
        <v>231</v>
      </c>
      <c r="AW167" t="s">
        <v>231</v>
      </c>
      <c r="AX167" t="s">
        <v>231</v>
      </c>
      <c r="AY167" t="s">
        <v>231</v>
      </c>
      <c r="AZ167" t="s">
        <v>231</v>
      </c>
      <c r="BA167" t="s">
        <v>231</v>
      </c>
      <c r="BB167" t="s">
        <v>231</v>
      </c>
      <c r="BC167" t="s">
        <v>231</v>
      </c>
      <c r="BD167" t="s">
        <v>231</v>
      </c>
      <c r="BE167" t="s">
        <v>231</v>
      </c>
      <c r="BF167" t="s">
        <v>231</v>
      </c>
      <c r="BG167" t="s">
        <v>231</v>
      </c>
      <c r="BH167" t="s">
        <v>231</v>
      </c>
      <c r="BI167" t="s">
        <v>231</v>
      </c>
      <c r="BJ167" t="s">
        <v>231</v>
      </c>
      <c r="BK167" t="s">
        <v>231</v>
      </c>
      <c r="BL167" t="s">
        <v>231</v>
      </c>
      <c r="BM167" t="s">
        <v>231</v>
      </c>
      <c r="BN167" t="s">
        <v>231</v>
      </c>
      <c r="BO167" t="s">
        <v>231</v>
      </c>
      <c r="BP167" t="s">
        <v>231</v>
      </c>
      <c r="BQ167" t="s">
        <v>231</v>
      </c>
      <c r="BR167" t="s">
        <v>231</v>
      </c>
      <c r="BS167" t="s">
        <v>231</v>
      </c>
      <c r="BT167" t="s">
        <v>231</v>
      </c>
      <c r="BU167" t="s">
        <v>231</v>
      </c>
      <c r="BV167" t="s">
        <v>231</v>
      </c>
      <c r="BW167" t="s">
        <v>231</v>
      </c>
      <c r="BX167" t="s">
        <v>231</v>
      </c>
      <c r="BY167" t="s">
        <v>231</v>
      </c>
      <c r="BZ167" t="s">
        <v>231</v>
      </c>
      <c r="CA167" t="s">
        <v>231</v>
      </c>
      <c r="CB167" t="s">
        <v>231</v>
      </c>
      <c r="CC167" t="s">
        <v>231</v>
      </c>
      <c r="CD167" t="s">
        <v>231</v>
      </c>
      <c r="CE167" t="s">
        <v>231</v>
      </c>
      <c r="CF167" t="s">
        <v>231</v>
      </c>
      <c r="CG167" t="s">
        <v>231</v>
      </c>
      <c r="CH167" t="s">
        <v>231</v>
      </c>
      <c r="CI167" t="s">
        <v>231</v>
      </c>
      <c r="CJ167" t="s">
        <v>231</v>
      </c>
      <c r="CK167" t="s">
        <v>231</v>
      </c>
      <c r="CL167" t="s">
        <v>231</v>
      </c>
      <c r="CM167" t="s">
        <v>231</v>
      </c>
      <c r="CN167" t="s">
        <v>231</v>
      </c>
      <c r="CO167" t="s">
        <v>231</v>
      </c>
      <c r="CP167" t="s">
        <v>231</v>
      </c>
      <c r="CQ167" t="s">
        <v>231</v>
      </c>
      <c r="CR167" t="s">
        <v>231</v>
      </c>
      <c r="CS167" t="s">
        <v>231</v>
      </c>
      <c r="CT167" t="s">
        <v>3534</v>
      </c>
      <c r="CU167" t="s">
        <v>3535</v>
      </c>
      <c r="CV167" t="s">
        <v>3536</v>
      </c>
      <c r="CW167" t="s">
        <v>3589</v>
      </c>
      <c r="CX167" t="s">
        <v>223</v>
      </c>
      <c r="CY167" t="s">
        <v>3536</v>
      </c>
      <c r="CZ167" t="s">
        <v>3590</v>
      </c>
      <c r="DA167" t="s">
        <v>3591</v>
      </c>
      <c r="DB167" t="s">
        <v>3589</v>
      </c>
      <c r="DC167" t="s">
        <v>363</v>
      </c>
      <c r="DD167" t="s">
        <v>282</v>
      </c>
      <c r="DE167" t="s">
        <v>4371</v>
      </c>
    </row>
    <row r="168" spans="1:109" ht="11.25" customHeight="1">
      <c r="A168" s="1314" t="s">
        <v>231</v>
      </c>
      <c r="B168" t="s">
        <v>231</v>
      </c>
      <c r="C168" t="s">
        <v>231</v>
      </c>
      <c r="D168" t="s">
        <v>231</v>
      </c>
      <c r="E168" t="s">
        <v>231</v>
      </c>
      <c r="F168" t="s">
        <v>231</v>
      </c>
      <c r="G168" t="s">
        <v>231</v>
      </c>
      <c r="H168" t="s">
        <v>231</v>
      </c>
      <c r="I168" t="s">
        <v>3521</v>
      </c>
      <c r="J168" t="s">
        <v>231</v>
      </c>
      <c r="K168" t="s">
        <v>231</v>
      </c>
      <c r="L168" t="s">
        <v>231</v>
      </c>
      <c r="M168" t="s">
        <v>231</v>
      </c>
      <c r="N168" t="s">
        <v>231</v>
      </c>
      <c r="O168" t="s">
        <v>231</v>
      </c>
      <c r="P168" t="s">
        <v>231</v>
      </c>
      <c r="Q168" t="s">
        <v>231</v>
      </c>
      <c r="R168" t="s">
        <v>4372</v>
      </c>
      <c r="S168" t="s">
        <v>231</v>
      </c>
      <c r="T168" t="s">
        <v>231</v>
      </c>
      <c r="U168" t="s">
        <v>101</v>
      </c>
      <c r="V168" t="s">
        <v>231</v>
      </c>
      <c r="W168" t="s">
        <v>231</v>
      </c>
      <c r="X168" t="s">
        <v>3628</v>
      </c>
      <c r="Y168" t="s">
        <v>231</v>
      </c>
      <c r="Z168" t="s">
        <v>151</v>
      </c>
      <c r="AA168" t="s">
        <v>151</v>
      </c>
      <c r="AB168" t="s">
        <v>160</v>
      </c>
      <c r="AC168" t="s">
        <v>2289</v>
      </c>
      <c r="AD168" t="s">
        <v>2289</v>
      </c>
      <c r="AE168" t="s">
        <v>2290</v>
      </c>
      <c r="AF168" t="s">
        <v>4167</v>
      </c>
      <c r="AG168" t="s">
        <v>4168</v>
      </c>
      <c r="AH168" t="s">
        <v>3618</v>
      </c>
      <c r="AI168" t="s">
        <v>3618</v>
      </c>
      <c r="AJ168" t="s">
        <v>231</v>
      </c>
      <c r="AK168" t="s">
        <v>231</v>
      </c>
      <c r="AL168" t="s">
        <v>231</v>
      </c>
      <c r="AM168" t="s">
        <v>231</v>
      </c>
      <c r="AN168" t="s">
        <v>231</v>
      </c>
      <c r="AO168" t="s">
        <v>231</v>
      </c>
      <c r="AP168" t="s">
        <v>231</v>
      </c>
      <c r="AQ168" t="s">
        <v>231</v>
      </c>
      <c r="AR168" t="s">
        <v>231</v>
      </c>
      <c r="AS168" t="s">
        <v>231</v>
      </c>
      <c r="AT168" t="s">
        <v>231</v>
      </c>
      <c r="AU168" t="s">
        <v>231</v>
      </c>
      <c r="AV168" t="s">
        <v>231</v>
      </c>
      <c r="AW168" t="s">
        <v>231</v>
      </c>
      <c r="AX168" t="s">
        <v>231</v>
      </c>
      <c r="AY168" t="s">
        <v>231</v>
      </c>
      <c r="AZ168" t="s">
        <v>231</v>
      </c>
      <c r="BA168" t="s">
        <v>231</v>
      </c>
      <c r="BB168" t="s">
        <v>231</v>
      </c>
      <c r="BC168" t="s">
        <v>231</v>
      </c>
      <c r="BD168" t="s">
        <v>231</v>
      </c>
      <c r="BE168" t="s">
        <v>3594</v>
      </c>
      <c r="BF168" t="s">
        <v>3716</v>
      </c>
      <c r="BG168" t="s">
        <v>111</v>
      </c>
      <c r="BH168" t="s">
        <v>3632</v>
      </c>
      <c r="BI168" t="s">
        <v>122</v>
      </c>
      <c r="BJ168" t="s">
        <v>231</v>
      </c>
      <c r="BK168" t="s">
        <v>3651</v>
      </c>
      <c r="BL168" t="s">
        <v>2289</v>
      </c>
      <c r="BM168" t="s">
        <v>2289</v>
      </c>
      <c r="BN168" t="s">
        <v>3707</v>
      </c>
      <c r="BO168" t="s">
        <v>4167</v>
      </c>
      <c r="BP168" t="s">
        <v>4373</v>
      </c>
      <c r="BQ168" t="s">
        <v>3618</v>
      </c>
      <c r="BR168" t="s">
        <v>3618</v>
      </c>
      <c r="BS168" t="s">
        <v>231</v>
      </c>
      <c r="BT168" t="s">
        <v>3694</v>
      </c>
      <c r="BU168" t="s">
        <v>4374</v>
      </c>
      <c r="BV168" t="s">
        <v>4374</v>
      </c>
      <c r="BW168" t="s">
        <v>3641</v>
      </c>
      <c r="BX168" t="s">
        <v>3641</v>
      </c>
      <c r="BY168" t="s">
        <v>3641</v>
      </c>
      <c r="BZ168" t="s">
        <v>3641</v>
      </c>
      <c r="CA168" t="s">
        <v>3641</v>
      </c>
      <c r="CB168" t="s">
        <v>231</v>
      </c>
      <c r="CC168" t="s">
        <v>231</v>
      </c>
      <c r="CD168" t="s">
        <v>231</v>
      </c>
      <c r="CE168" t="s">
        <v>231</v>
      </c>
      <c r="CF168" t="s">
        <v>231</v>
      </c>
      <c r="CG168" t="s">
        <v>3641</v>
      </c>
      <c r="CH168" t="s">
        <v>231</v>
      </c>
      <c r="CI168" t="s">
        <v>231</v>
      </c>
      <c r="CJ168" t="s">
        <v>231</v>
      </c>
      <c r="CK168" t="s">
        <v>231</v>
      </c>
      <c r="CL168" t="s">
        <v>231</v>
      </c>
      <c r="CM168" t="s">
        <v>4374</v>
      </c>
      <c r="CN168" t="s">
        <v>4374</v>
      </c>
      <c r="CO168" t="s">
        <v>231</v>
      </c>
      <c r="CP168" t="s">
        <v>231</v>
      </c>
      <c r="CQ168" t="s">
        <v>231</v>
      </c>
      <c r="CR168" t="s">
        <v>231</v>
      </c>
      <c r="CS168" t="s">
        <v>3710</v>
      </c>
      <c r="CT168" t="s">
        <v>3534</v>
      </c>
      <c r="CU168" t="s">
        <v>3535</v>
      </c>
      <c r="CV168" t="s">
        <v>3536</v>
      </c>
      <c r="CW168" t="s">
        <v>3589</v>
      </c>
      <c r="CX168" t="s">
        <v>223</v>
      </c>
      <c r="CY168" t="s">
        <v>3536</v>
      </c>
      <c r="CZ168" t="s">
        <v>3590</v>
      </c>
      <c r="DA168" t="s">
        <v>3591</v>
      </c>
      <c r="DB168" t="s">
        <v>3589</v>
      </c>
      <c r="DC168" t="s">
        <v>363</v>
      </c>
      <c r="DD168" t="s">
        <v>282</v>
      </c>
      <c r="DE168" t="s">
        <v>4375</v>
      </c>
    </row>
    <row r="169" spans="1:109" ht="11.25" customHeight="1">
      <c r="A169" s="1314" t="s">
        <v>231</v>
      </c>
      <c r="B169" t="s">
        <v>231</v>
      </c>
      <c r="C169" t="s">
        <v>231</v>
      </c>
      <c r="D169" t="s">
        <v>231</v>
      </c>
      <c r="E169" t="s">
        <v>231</v>
      </c>
      <c r="F169" t="s">
        <v>231</v>
      </c>
      <c r="G169" t="s">
        <v>231</v>
      </c>
      <c r="H169" t="s">
        <v>231</v>
      </c>
      <c r="I169" t="s">
        <v>3521</v>
      </c>
      <c r="J169" t="s">
        <v>231</v>
      </c>
      <c r="K169" t="s">
        <v>231</v>
      </c>
      <c r="L169" t="s">
        <v>231</v>
      </c>
      <c r="M169" t="s">
        <v>231</v>
      </c>
      <c r="N169" t="s">
        <v>231</v>
      </c>
      <c r="O169" t="s">
        <v>231</v>
      </c>
      <c r="P169" t="s">
        <v>231</v>
      </c>
      <c r="Q169" t="s">
        <v>231</v>
      </c>
      <c r="R169" t="s">
        <v>4376</v>
      </c>
      <c r="S169" t="s">
        <v>231</v>
      </c>
      <c r="T169" t="s">
        <v>231</v>
      </c>
      <c r="U169" t="s">
        <v>101</v>
      </c>
      <c r="V169" t="s">
        <v>231</v>
      </c>
      <c r="W169" t="s">
        <v>231</v>
      </c>
      <c r="X169" t="s">
        <v>3628</v>
      </c>
      <c r="Y169" t="s">
        <v>231</v>
      </c>
      <c r="Z169" t="s">
        <v>151</v>
      </c>
      <c r="AA169" t="s">
        <v>151</v>
      </c>
      <c r="AB169" t="s">
        <v>160</v>
      </c>
      <c r="AC169" t="s">
        <v>2283</v>
      </c>
      <c r="AD169" t="s">
        <v>2283</v>
      </c>
      <c r="AE169" t="s">
        <v>2284</v>
      </c>
      <c r="AF169" t="s">
        <v>4377</v>
      </c>
      <c r="AG169" t="s">
        <v>4378</v>
      </c>
      <c r="AH169" t="s">
        <v>4379</v>
      </c>
      <c r="AI169" t="s">
        <v>4380</v>
      </c>
      <c r="AJ169" t="s">
        <v>231</v>
      </c>
      <c r="AK169" t="s">
        <v>231</v>
      </c>
      <c r="AL169" t="s">
        <v>231</v>
      </c>
      <c r="AM169" t="s">
        <v>231</v>
      </c>
      <c r="AN169" t="s">
        <v>231</v>
      </c>
      <c r="AO169" t="s">
        <v>231</v>
      </c>
      <c r="AP169" t="s">
        <v>231</v>
      </c>
      <c r="AQ169" t="s">
        <v>231</v>
      </c>
      <c r="AR169" t="s">
        <v>231</v>
      </c>
      <c r="AS169" t="s">
        <v>231</v>
      </c>
      <c r="AT169" t="s">
        <v>231</v>
      </c>
      <c r="AU169" t="s">
        <v>231</v>
      </c>
      <c r="AV169" t="s">
        <v>231</v>
      </c>
      <c r="AW169" t="s">
        <v>231</v>
      </c>
      <c r="AX169" t="s">
        <v>231</v>
      </c>
      <c r="AY169" t="s">
        <v>231</v>
      </c>
      <c r="AZ169" t="s">
        <v>231</v>
      </c>
      <c r="BA169" t="s">
        <v>231</v>
      </c>
      <c r="BB169" t="s">
        <v>231</v>
      </c>
      <c r="BC169" t="s">
        <v>231</v>
      </c>
      <c r="BD169" t="s">
        <v>231</v>
      </c>
      <c r="BE169" t="s">
        <v>3689</v>
      </c>
      <c r="BF169" t="s">
        <v>3689</v>
      </c>
      <c r="BG169" t="s">
        <v>111</v>
      </c>
      <c r="BH169" t="s">
        <v>3632</v>
      </c>
      <c r="BI169" t="s">
        <v>122</v>
      </c>
      <c r="BJ169" t="s">
        <v>231</v>
      </c>
      <c r="BK169" t="s">
        <v>3651</v>
      </c>
      <c r="BL169" t="s">
        <v>2283</v>
      </c>
      <c r="BM169" t="s">
        <v>2283</v>
      </c>
      <c r="BN169" t="s">
        <v>3690</v>
      </c>
      <c r="BO169" t="s">
        <v>4377</v>
      </c>
      <c r="BP169" t="s">
        <v>4381</v>
      </c>
      <c r="BQ169" t="s">
        <v>4382</v>
      </c>
      <c r="BR169" t="s">
        <v>4383</v>
      </c>
      <c r="BS169" t="s">
        <v>231</v>
      </c>
      <c r="BT169" t="s">
        <v>3694</v>
      </c>
      <c r="BU169" t="s">
        <v>4384</v>
      </c>
      <c r="BV169" t="s">
        <v>4384</v>
      </c>
      <c r="BW169" t="s">
        <v>3641</v>
      </c>
      <c r="BX169" t="s">
        <v>3641</v>
      </c>
      <c r="BY169" t="s">
        <v>3641</v>
      </c>
      <c r="BZ169" t="s">
        <v>3641</v>
      </c>
      <c r="CA169" t="s">
        <v>3641</v>
      </c>
      <c r="CB169" t="s">
        <v>231</v>
      </c>
      <c r="CC169" t="s">
        <v>231</v>
      </c>
      <c r="CD169" t="s">
        <v>231</v>
      </c>
      <c r="CE169" t="s">
        <v>231</v>
      </c>
      <c r="CF169" t="s">
        <v>231</v>
      </c>
      <c r="CG169" t="s">
        <v>3641</v>
      </c>
      <c r="CH169" t="s">
        <v>231</v>
      </c>
      <c r="CI169" t="s">
        <v>231</v>
      </c>
      <c r="CJ169" t="s">
        <v>231</v>
      </c>
      <c r="CK169" t="s">
        <v>231</v>
      </c>
      <c r="CL169" t="s">
        <v>231</v>
      </c>
      <c r="CM169" t="s">
        <v>4384</v>
      </c>
      <c r="CN169" t="s">
        <v>4384</v>
      </c>
      <c r="CO169" t="s">
        <v>231</v>
      </c>
      <c r="CP169" t="s">
        <v>231</v>
      </c>
      <c r="CQ169" t="s">
        <v>231</v>
      </c>
      <c r="CR169" t="s">
        <v>231</v>
      </c>
      <c r="CS169" t="s">
        <v>3549</v>
      </c>
      <c r="CT169" t="s">
        <v>3534</v>
      </c>
      <c r="CU169" t="s">
        <v>3535</v>
      </c>
      <c r="CV169" t="s">
        <v>3536</v>
      </c>
      <c r="CW169" t="s">
        <v>3551</v>
      </c>
      <c r="CX169" t="s">
        <v>223</v>
      </c>
      <c r="CY169" t="s">
        <v>3536</v>
      </c>
      <c r="CZ169" t="s">
        <v>3552</v>
      </c>
      <c r="DA169" t="s">
        <v>3553</v>
      </c>
      <c r="DB169" t="s">
        <v>3551</v>
      </c>
      <c r="DC169" t="s">
        <v>363</v>
      </c>
      <c r="DD169" t="s">
        <v>282</v>
      </c>
      <c r="DE169" t="s">
        <v>4385</v>
      </c>
    </row>
    <row r="170" spans="1:109" ht="11.25" customHeight="1">
      <c r="A170" s="1314" t="s">
        <v>231</v>
      </c>
      <c r="B170" t="s">
        <v>231</v>
      </c>
      <c r="C170" t="s">
        <v>231</v>
      </c>
      <c r="D170" t="s">
        <v>231</v>
      </c>
      <c r="E170" t="s">
        <v>231</v>
      </c>
      <c r="F170" t="s">
        <v>231</v>
      </c>
      <c r="G170" t="s">
        <v>231</v>
      </c>
      <c r="H170" t="s">
        <v>231</v>
      </c>
      <c r="I170" t="s">
        <v>3521</v>
      </c>
      <c r="J170" t="s">
        <v>231</v>
      </c>
      <c r="K170" t="s">
        <v>231</v>
      </c>
      <c r="L170" t="s">
        <v>231</v>
      </c>
      <c r="M170" t="s">
        <v>231</v>
      </c>
      <c r="N170" t="s">
        <v>231</v>
      </c>
      <c r="O170" t="s">
        <v>231</v>
      </c>
      <c r="P170" t="s">
        <v>231</v>
      </c>
      <c r="Q170" t="s">
        <v>231</v>
      </c>
      <c r="R170" t="s">
        <v>4386</v>
      </c>
      <c r="S170" t="s">
        <v>231</v>
      </c>
      <c r="T170" t="s">
        <v>231</v>
      </c>
      <c r="U170" t="s">
        <v>101</v>
      </c>
      <c r="V170" t="s">
        <v>231</v>
      </c>
      <c r="W170" t="s">
        <v>231</v>
      </c>
      <c r="X170" t="s">
        <v>3523</v>
      </c>
      <c r="Y170" t="s">
        <v>231</v>
      </c>
      <c r="Z170" t="s">
        <v>160</v>
      </c>
      <c r="AA170" t="s">
        <v>151</v>
      </c>
      <c r="AB170" t="s">
        <v>151</v>
      </c>
      <c r="AC170" t="s">
        <v>343</v>
      </c>
      <c r="AD170" t="s">
        <v>343</v>
      </c>
      <c r="AE170" t="s">
        <v>344</v>
      </c>
      <c r="AF170" t="s">
        <v>3561</v>
      </c>
      <c r="AG170" t="s">
        <v>3562</v>
      </c>
      <c r="AH170" t="s">
        <v>3671</v>
      </c>
      <c r="AI170" t="s">
        <v>3575</v>
      </c>
      <c r="AJ170" t="s">
        <v>3630</v>
      </c>
      <c r="AK170" t="s">
        <v>4387</v>
      </c>
      <c r="AL170" t="s">
        <v>3566</v>
      </c>
      <c r="AM170" t="s">
        <v>3531</v>
      </c>
      <c r="AN170" t="s">
        <v>4388</v>
      </c>
      <c r="AO170" t="s">
        <v>4389</v>
      </c>
      <c r="AP170" t="s">
        <v>231</v>
      </c>
      <c r="AQ170" t="s">
        <v>231</v>
      </c>
      <c r="AR170" t="s">
        <v>231</v>
      </c>
      <c r="AS170" t="s">
        <v>231</v>
      </c>
      <c r="AT170" t="s">
        <v>231</v>
      </c>
      <c r="AU170" t="s">
        <v>231</v>
      </c>
      <c r="AV170" t="s">
        <v>231</v>
      </c>
      <c r="AW170" t="s">
        <v>231</v>
      </c>
      <c r="AX170" t="s">
        <v>231</v>
      </c>
      <c r="AY170" t="s">
        <v>231</v>
      </c>
      <c r="AZ170" t="s">
        <v>231</v>
      </c>
      <c r="BA170" t="s">
        <v>231</v>
      </c>
      <c r="BB170" t="s">
        <v>231</v>
      </c>
      <c r="BC170" t="s">
        <v>231</v>
      </c>
      <c r="BD170" t="s">
        <v>231</v>
      </c>
      <c r="BE170" t="s">
        <v>231</v>
      </c>
      <c r="BF170" t="s">
        <v>231</v>
      </c>
      <c r="BG170" t="s">
        <v>231</v>
      </c>
      <c r="BH170" t="s">
        <v>231</v>
      </c>
      <c r="BI170" t="s">
        <v>231</v>
      </c>
      <c r="BJ170" t="s">
        <v>231</v>
      </c>
      <c r="BK170" t="s">
        <v>231</v>
      </c>
      <c r="BL170" t="s">
        <v>231</v>
      </c>
      <c r="BM170" t="s">
        <v>231</v>
      </c>
      <c r="BN170" t="s">
        <v>231</v>
      </c>
      <c r="BO170" t="s">
        <v>231</v>
      </c>
      <c r="BP170" t="s">
        <v>231</v>
      </c>
      <c r="BQ170" t="s">
        <v>231</v>
      </c>
      <c r="BR170" t="s">
        <v>231</v>
      </c>
      <c r="BS170" t="s">
        <v>231</v>
      </c>
      <c r="BT170" t="s">
        <v>231</v>
      </c>
      <c r="BU170" t="s">
        <v>231</v>
      </c>
      <c r="BV170" t="s">
        <v>231</v>
      </c>
      <c r="BW170" t="s">
        <v>231</v>
      </c>
      <c r="BX170" t="s">
        <v>231</v>
      </c>
      <c r="BY170" t="s">
        <v>231</v>
      </c>
      <c r="BZ170" t="s">
        <v>231</v>
      </c>
      <c r="CA170" t="s">
        <v>231</v>
      </c>
      <c r="CB170" t="s">
        <v>231</v>
      </c>
      <c r="CC170" t="s">
        <v>231</v>
      </c>
      <c r="CD170" t="s">
        <v>231</v>
      </c>
      <c r="CE170" t="s">
        <v>231</v>
      </c>
      <c r="CF170" t="s">
        <v>231</v>
      </c>
      <c r="CG170" t="s">
        <v>231</v>
      </c>
      <c r="CH170" t="s">
        <v>231</v>
      </c>
      <c r="CI170" t="s">
        <v>231</v>
      </c>
      <c r="CJ170" t="s">
        <v>231</v>
      </c>
      <c r="CK170" t="s">
        <v>231</v>
      </c>
      <c r="CL170" t="s">
        <v>231</v>
      </c>
      <c r="CM170" t="s">
        <v>231</v>
      </c>
      <c r="CN170" t="s">
        <v>231</v>
      </c>
      <c r="CO170" t="s">
        <v>231</v>
      </c>
      <c r="CP170" t="s">
        <v>231</v>
      </c>
      <c r="CQ170" t="s">
        <v>231</v>
      </c>
      <c r="CR170" t="s">
        <v>231</v>
      </c>
      <c r="CS170" t="s">
        <v>231</v>
      </c>
      <c r="CT170" t="s">
        <v>3534</v>
      </c>
      <c r="CU170" t="s">
        <v>3535</v>
      </c>
      <c r="CV170" t="s">
        <v>3536</v>
      </c>
      <c r="CW170" t="s">
        <v>3569</v>
      </c>
      <c r="CX170" t="s">
        <v>3570</v>
      </c>
      <c r="CY170" t="s">
        <v>3536</v>
      </c>
      <c r="CZ170" t="s">
        <v>224</v>
      </c>
      <c r="DA170" t="s">
        <v>3571</v>
      </c>
      <c r="DB170" t="s">
        <v>3569</v>
      </c>
      <c r="DC170" t="s">
        <v>363</v>
      </c>
      <c r="DD170" t="s">
        <v>282</v>
      </c>
      <c r="DE170" t="s">
        <v>3674</v>
      </c>
    </row>
    <row r="171" spans="1:109" ht="11.25" customHeight="1">
      <c r="A171" s="1314" t="s">
        <v>231</v>
      </c>
      <c r="B171" t="s">
        <v>231</v>
      </c>
      <c r="C171" t="s">
        <v>231</v>
      </c>
      <c r="D171" t="s">
        <v>231</v>
      </c>
      <c r="E171" t="s">
        <v>231</v>
      </c>
      <c r="F171" t="s">
        <v>231</v>
      </c>
      <c r="G171" t="s">
        <v>231</v>
      </c>
      <c r="H171" t="s">
        <v>231</v>
      </c>
      <c r="I171" t="s">
        <v>3521</v>
      </c>
      <c r="J171" t="s">
        <v>231</v>
      </c>
      <c r="K171" t="s">
        <v>231</v>
      </c>
      <c r="L171" t="s">
        <v>231</v>
      </c>
      <c r="M171" t="s">
        <v>231</v>
      </c>
      <c r="N171" t="s">
        <v>231</v>
      </c>
      <c r="O171" t="s">
        <v>231</v>
      </c>
      <c r="P171" t="s">
        <v>231</v>
      </c>
      <c r="Q171" t="s">
        <v>231</v>
      </c>
      <c r="R171" t="s">
        <v>4376</v>
      </c>
      <c r="S171" t="s">
        <v>231</v>
      </c>
      <c r="T171" t="s">
        <v>231</v>
      </c>
      <c r="U171" t="s">
        <v>101</v>
      </c>
      <c r="V171" t="s">
        <v>231</v>
      </c>
      <c r="W171" t="s">
        <v>231</v>
      </c>
      <c r="X171" t="s">
        <v>3628</v>
      </c>
      <c r="Y171" t="s">
        <v>231</v>
      </c>
      <c r="Z171" t="s">
        <v>151</v>
      </c>
      <c r="AA171" t="s">
        <v>151</v>
      </c>
      <c r="AB171" t="s">
        <v>160</v>
      </c>
      <c r="AC171" t="s">
        <v>2283</v>
      </c>
      <c r="AD171" t="s">
        <v>2283</v>
      </c>
      <c r="AE171" t="s">
        <v>2284</v>
      </c>
      <c r="AF171" t="s">
        <v>4390</v>
      </c>
      <c r="AG171" t="s">
        <v>4391</v>
      </c>
      <c r="AH171" t="s">
        <v>4392</v>
      </c>
      <c r="AI171" t="s">
        <v>4393</v>
      </c>
      <c r="AJ171" t="s">
        <v>231</v>
      </c>
      <c r="AK171" t="s">
        <v>231</v>
      </c>
      <c r="AL171" t="s">
        <v>231</v>
      </c>
      <c r="AM171" t="s">
        <v>231</v>
      </c>
      <c r="AN171" t="s">
        <v>231</v>
      </c>
      <c r="AO171" t="s">
        <v>231</v>
      </c>
      <c r="AP171" t="s">
        <v>231</v>
      </c>
      <c r="AQ171" t="s">
        <v>231</v>
      </c>
      <c r="AR171" t="s">
        <v>231</v>
      </c>
      <c r="AS171" t="s">
        <v>231</v>
      </c>
      <c r="AT171" t="s">
        <v>231</v>
      </c>
      <c r="AU171" t="s">
        <v>231</v>
      </c>
      <c r="AV171" t="s">
        <v>231</v>
      </c>
      <c r="AW171" t="s">
        <v>231</v>
      </c>
      <c r="AX171" t="s">
        <v>231</v>
      </c>
      <c r="AY171" t="s">
        <v>231</v>
      </c>
      <c r="AZ171" t="s">
        <v>231</v>
      </c>
      <c r="BA171" t="s">
        <v>231</v>
      </c>
      <c r="BB171" t="s">
        <v>231</v>
      </c>
      <c r="BC171" t="s">
        <v>231</v>
      </c>
      <c r="BD171" t="s">
        <v>231</v>
      </c>
      <c r="BE171" t="s">
        <v>3689</v>
      </c>
      <c r="BF171" t="s">
        <v>3689</v>
      </c>
      <c r="BG171" t="s">
        <v>111</v>
      </c>
      <c r="BH171" t="s">
        <v>3632</v>
      </c>
      <c r="BI171" t="s">
        <v>122</v>
      </c>
      <c r="BJ171" t="s">
        <v>231</v>
      </c>
      <c r="BK171" t="s">
        <v>3651</v>
      </c>
      <c r="BL171" t="s">
        <v>2283</v>
      </c>
      <c r="BM171" t="s">
        <v>2283</v>
      </c>
      <c r="BN171" t="s">
        <v>3690</v>
      </c>
      <c r="BO171" t="s">
        <v>4390</v>
      </c>
      <c r="BP171" t="s">
        <v>4394</v>
      </c>
      <c r="BQ171" t="s">
        <v>4382</v>
      </c>
      <c r="BR171" t="s">
        <v>4383</v>
      </c>
      <c r="BS171" t="s">
        <v>231</v>
      </c>
      <c r="BT171" t="s">
        <v>3694</v>
      </c>
      <c r="BU171" t="s">
        <v>4395</v>
      </c>
      <c r="BV171" t="s">
        <v>4395</v>
      </c>
      <c r="BW171" t="s">
        <v>3641</v>
      </c>
      <c r="BX171" t="s">
        <v>3641</v>
      </c>
      <c r="BY171" t="s">
        <v>3641</v>
      </c>
      <c r="BZ171" t="s">
        <v>3641</v>
      </c>
      <c r="CA171" t="s">
        <v>3641</v>
      </c>
      <c r="CB171" t="s">
        <v>231</v>
      </c>
      <c r="CC171" t="s">
        <v>231</v>
      </c>
      <c r="CD171" t="s">
        <v>231</v>
      </c>
      <c r="CE171" t="s">
        <v>231</v>
      </c>
      <c r="CF171" t="s">
        <v>231</v>
      </c>
      <c r="CG171" t="s">
        <v>3641</v>
      </c>
      <c r="CH171" t="s">
        <v>231</v>
      </c>
      <c r="CI171" t="s">
        <v>231</v>
      </c>
      <c r="CJ171" t="s">
        <v>231</v>
      </c>
      <c r="CK171" t="s">
        <v>231</v>
      </c>
      <c r="CL171" t="s">
        <v>231</v>
      </c>
      <c r="CM171" t="s">
        <v>4395</v>
      </c>
      <c r="CN171" t="s">
        <v>4395</v>
      </c>
      <c r="CO171" t="s">
        <v>231</v>
      </c>
      <c r="CP171" t="s">
        <v>231</v>
      </c>
      <c r="CQ171" t="s">
        <v>231</v>
      </c>
      <c r="CR171" t="s">
        <v>231</v>
      </c>
      <c r="CS171" t="s">
        <v>3549</v>
      </c>
      <c r="CT171" t="s">
        <v>3534</v>
      </c>
      <c r="CU171" t="s">
        <v>3535</v>
      </c>
      <c r="CV171" t="s">
        <v>3536</v>
      </c>
      <c r="CW171" t="s">
        <v>3551</v>
      </c>
      <c r="CX171" t="s">
        <v>223</v>
      </c>
      <c r="CY171" t="s">
        <v>3536</v>
      </c>
      <c r="CZ171" t="s">
        <v>3552</v>
      </c>
      <c r="DA171" t="s">
        <v>3553</v>
      </c>
      <c r="DB171" t="s">
        <v>3551</v>
      </c>
      <c r="DC171" t="s">
        <v>363</v>
      </c>
      <c r="DD171" t="s">
        <v>282</v>
      </c>
      <c r="DE171" t="s">
        <v>4396</v>
      </c>
    </row>
    <row r="172" spans="1:109" ht="11.25" customHeight="1">
      <c r="A172" s="1314" t="s">
        <v>231</v>
      </c>
      <c r="B172" t="s">
        <v>231</v>
      </c>
      <c r="C172" t="s">
        <v>231</v>
      </c>
      <c r="D172" t="s">
        <v>231</v>
      </c>
      <c r="E172" t="s">
        <v>231</v>
      </c>
      <c r="F172" t="s">
        <v>231</v>
      </c>
      <c r="G172" t="s">
        <v>231</v>
      </c>
      <c r="H172" t="s">
        <v>231</v>
      </c>
      <c r="I172" t="s">
        <v>3521</v>
      </c>
      <c r="J172" t="s">
        <v>231</v>
      </c>
      <c r="K172" t="s">
        <v>231</v>
      </c>
      <c r="L172" t="s">
        <v>231</v>
      </c>
      <c r="M172" t="s">
        <v>231</v>
      </c>
      <c r="N172" t="s">
        <v>231</v>
      </c>
      <c r="O172" t="s">
        <v>231</v>
      </c>
      <c r="P172" t="s">
        <v>231</v>
      </c>
      <c r="Q172" t="s">
        <v>231</v>
      </c>
      <c r="R172" t="s">
        <v>3615</v>
      </c>
      <c r="S172" t="s">
        <v>231</v>
      </c>
      <c r="T172" t="s">
        <v>231</v>
      </c>
      <c r="U172" t="s">
        <v>101</v>
      </c>
      <c r="V172" t="s">
        <v>231</v>
      </c>
      <c r="W172" t="s">
        <v>231</v>
      </c>
      <c r="X172" t="s">
        <v>3523</v>
      </c>
      <c r="Y172" t="s">
        <v>231</v>
      </c>
      <c r="Z172" t="s">
        <v>160</v>
      </c>
      <c r="AA172" t="s">
        <v>151</v>
      </c>
      <c r="AB172" t="s">
        <v>151</v>
      </c>
      <c r="AC172" t="s">
        <v>2289</v>
      </c>
      <c r="AD172" t="s">
        <v>2289</v>
      </c>
      <c r="AE172" t="s">
        <v>2290</v>
      </c>
      <c r="AF172" t="s">
        <v>3793</v>
      </c>
      <c r="AG172" t="s">
        <v>3794</v>
      </c>
      <c r="AH172" t="s">
        <v>4397</v>
      </c>
      <c r="AI172" t="s">
        <v>224</v>
      </c>
      <c r="AJ172" t="s">
        <v>3594</v>
      </c>
      <c r="AK172" t="s">
        <v>3586</v>
      </c>
      <c r="AL172" t="s">
        <v>3548</v>
      </c>
      <c r="AM172" t="s">
        <v>3531</v>
      </c>
      <c r="AN172" t="s">
        <v>3595</v>
      </c>
      <c r="AO172" t="s">
        <v>3796</v>
      </c>
      <c r="AP172" t="s">
        <v>231</v>
      </c>
      <c r="AQ172" t="s">
        <v>231</v>
      </c>
      <c r="AR172" t="s">
        <v>231</v>
      </c>
      <c r="AS172" t="s">
        <v>231</v>
      </c>
      <c r="AT172" t="s">
        <v>231</v>
      </c>
      <c r="AU172" t="s">
        <v>231</v>
      </c>
      <c r="AV172" t="s">
        <v>231</v>
      </c>
      <c r="AW172" t="s">
        <v>231</v>
      </c>
      <c r="AX172" t="s">
        <v>231</v>
      </c>
      <c r="AY172" t="s">
        <v>231</v>
      </c>
      <c r="AZ172" t="s">
        <v>231</v>
      </c>
      <c r="BA172" t="s">
        <v>231</v>
      </c>
      <c r="BB172" t="s">
        <v>231</v>
      </c>
      <c r="BC172" t="s">
        <v>231</v>
      </c>
      <c r="BD172" t="s">
        <v>231</v>
      </c>
      <c r="BE172" t="s">
        <v>231</v>
      </c>
      <c r="BF172" t="s">
        <v>231</v>
      </c>
      <c r="BG172" t="s">
        <v>231</v>
      </c>
      <c r="BH172" t="s">
        <v>231</v>
      </c>
      <c r="BI172" t="s">
        <v>231</v>
      </c>
      <c r="BJ172" t="s">
        <v>231</v>
      </c>
      <c r="BK172" t="s">
        <v>231</v>
      </c>
      <c r="BL172" t="s">
        <v>231</v>
      </c>
      <c r="BM172" t="s">
        <v>231</v>
      </c>
      <c r="BN172" t="s">
        <v>231</v>
      </c>
      <c r="BO172" t="s">
        <v>231</v>
      </c>
      <c r="BP172" t="s">
        <v>231</v>
      </c>
      <c r="BQ172" t="s">
        <v>231</v>
      </c>
      <c r="BR172" t="s">
        <v>231</v>
      </c>
      <c r="BS172" t="s">
        <v>231</v>
      </c>
      <c r="BT172" t="s">
        <v>231</v>
      </c>
      <c r="BU172" t="s">
        <v>231</v>
      </c>
      <c r="BV172" t="s">
        <v>231</v>
      </c>
      <c r="BW172" t="s">
        <v>231</v>
      </c>
      <c r="BX172" t="s">
        <v>231</v>
      </c>
      <c r="BY172" t="s">
        <v>231</v>
      </c>
      <c r="BZ172" t="s">
        <v>231</v>
      </c>
      <c r="CA172" t="s">
        <v>231</v>
      </c>
      <c r="CB172" t="s">
        <v>231</v>
      </c>
      <c r="CC172" t="s">
        <v>231</v>
      </c>
      <c r="CD172" t="s">
        <v>231</v>
      </c>
      <c r="CE172" t="s">
        <v>231</v>
      </c>
      <c r="CF172" t="s">
        <v>231</v>
      </c>
      <c r="CG172" t="s">
        <v>231</v>
      </c>
      <c r="CH172" t="s">
        <v>231</v>
      </c>
      <c r="CI172" t="s">
        <v>231</v>
      </c>
      <c r="CJ172" t="s">
        <v>231</v>
      </c>
      <c r="CK172" t="s">
        <v>231</v>
      </c>
      <c r="CL172" t="s">
        <v>231</v>
      </c>
      <c r="CM172" t="s">
        <v>231</v>
      </c>
      <c r="CN172" t="s">
        <v>231</v>
      </c>
      <c r="CO172" t="s">
        <v>231</v>
      </c>
      <c r="CP172" t="s">
        <v>231</v>
      </c>
      <c r="CQ172" t="s">
        <v>231</v>
      </c>
      <c r="CR172" t="s">
        <v>231</v>
      </c>
      <c r="CS172" t="s">
        <v>231</v>
      </c>
      <c r="CT172" t="s">
        <v>3534</v>
      </c>
      <c r="CU172" t="s">
        <v>3535</v>
      </c>
      <c r="CV172" t="s">
        <v>3536</v>
      </c>
      <c r="CW172" t="s">
        <v>3589</v>
      </c>
      <c r="CX172" t="s">
        <v>223</v>
      </c>
      <c r="CY172" t="s">
        <v>3536</v>
      </c>
      <c r="CZ172" t="s">
        <v>3590</v>
      </c>
      <c r="DA172" t="s">
        <v>3591</v>
      </c>
      <c r="DB172" t="s">
        <v>3589</v>
      </c>
      <c r="DC172" t="s">
        <v>363</v>
      </c>
      <c r="DD172" t="s">
        <v>282</v>
      </c>
      <c r="DE172" t="s">
        <v>4398</v>
      </c>
    </row>
    <row r="173" spans="1:109" ht="11.25" customHeight="1">
      <c r="A173" s="1314" t="s">
        <v>231</v>
      </c>
      <c r="B173" t="s">
        <v>231</v>
      </c>
      <c r="C173" t="s">
        <v>231</v>
      </c>
      <c r="D173" t="s">
        <v>231</v>
      </c>
      <c r="E173" t="s">
        <v>231</v>
      </c>
      <c r="F173" t="s">
        <v>231</v>
      </c>
      <c r="G173" t="s">
        <v>231</v>
      </c>
      <c r="H173" t="s">
        <v>231</v>
      </c>
      <c r="I173" t="s">
        <v>3521</v>
      </c>
      <c r="J173" t="s">
        <v>231</v>
      </c>
      <c r="K173" t="s">
        <v>231</v>
      </c>
      <c r="L173" t="s">
        <v>231</v>
      </c>
      <c r="M173" t="s">
        <v>231</v>
      </c>
      <c r="N173" t="s">
        <v>231</v>
      </c>
      <c r="O173" t="s">
        <v>231</v>
      </c>
      <c r="P173" t="s">
        <v>231</v>
      </c>
      <c r="Q173" t="s">
        <v>231</v>
      </c>
      <c r="R173" t="s">
        <v>3615</v>
      </c>
      <c r="S173" t="s">
        <v>231</v>
      </c>
      <c r="T173" t="s">
        <v>231</v>
      </c>
      <c r="U173" t="s">
        <v>101</v>
      </c>
      <c r="V173" t="s">
        <v>231</v>
      </c>
      <c r="W173" t="s">
        <v>231</v>
      </c>
      <c r="X173" t="s">
        <v>3523</v>
      </c>
      <c r="Y173" t="s">
        <v>231</v>
      </c>
      <c r="Z173" t="s">
        <v>160</v>
      </c>
      <c r="AA173" t="s">
        <v>151</v>
      </c>
      <c r="AB173" t="s">
        <v>151</v>
      </c>
      <c r="AC173" t="s">
        <v>2289</v>
      </c>
      <c r="AD173" t="s">
        <v>2289</v>
      </c>
      <c r="AE173" t="s">
        <v>2290</v>
      </c>
      <c r="AF173" t="s">
        <v>3793</v>
      </c>
      <c r="AG173" t="s">
        <v>3794</v>
      </c>
      <c r="AH173" t="s">
        <v>4399</v>
      </c>
      <c r="AI173" t="s">
        <v>4016</v>
      </c>
      <c r="AJ173" t="s">
        <v>3594</v>
      </c>
      <c r="AK173" t="s">
        <v>3586</v>
      </c>
      <c r="AL173" t="s">
        <v>3548</v>
      </c>
      <c r="AM173" t="s">
        <v>3531</v>
      </c>
      <c r="AN173" t="s">
        <v>3595</v>
      </c>
      <c r="AO173" t="s">
        <v>4400</v>
      </c>
      <c r="AP173" t="s">
        <v>231</v>
      </c>
      <c r="AQ173" t="s">
        <v>231</v>
      </c>
      <c r="AR173" t="s">
        <v>231</v>
      </c>
      <c r="AS173" t="s">
        <v>231</v>
      </c>
      <c r="AT173" t="s">
        <v>231</v>
      </c>
      <c r="AU173" t="s">
        <v>231</v>
      </c>
      <c r="AV173" t="s">
        <v>231</v>
      </c>
      <c r="AW173" t="s">
        <v>231</v>
      </c>
      <c r="AX173" t="s">
        <v>231</v>
      </c>
      <c r="AY173" t="s">
        <v>231</v>
      </c>
      <c r="AZ173" t="s">
        <v>231</v>
      </c>
      <c r="BA173" t="s">
        <v>231</v>
      </c>
      <c r="BB173" t="s">
        <v>231</v>
      </c>
      <c r="BC173" t="s">
        <v>231</v>
      </c>
      <c r="BD173" t="s">
        <v>231</v>
      </c>
      <c r="BE173" t="s">
        <v>231</v>
      </c>
      <c r="BF173" t="s">
        <v>231</v>
      </c>
      <c r="BG173" t="s">
        <v>231</v>
      </c>
      <c r="BH173" t="s">
        <v>231</v>
      </c>
      <c r="BI173" t="s">
        <v>231</v>
      </c>
      <c r="BJ173" t="s">
        <v>231</v>
      </c>
      <c r="BK173" t="s">
        <v>231</v>
      </c>
      <c r="BL173" t="s">
        <v>231</v>
      </c>
      <c r="BM173" t="s">
        <v>231</v>
      </c>
      <c r="BN173" t="s">
        <v>231</v>
      </c>
      <c r="BO173" t="s">
        <v>231</v>
      </c>
      <c r="BP173" t="s">
        <v>231</v>
      </c>
      <c r="BQ173" t="s">
        <v>231</v>
      </c>
      <c r="BR173" t="s">
        <v>231</v>
      </c>
      <c r="BS173" t="s">
        <v>231</v>
      </c>
      <c r="BT173" t="s">
        <v>231</v>
      </c>
      <c r="BU173" t="s">
        <v>231</v>
      </c>
      <c r="BV173" t="s">
        <v>231</v>
      </c>
      <c r="BW173" t="s">
        <v>231</v>
      </c>
      <c r="BX173" t="s">
        <v>231</v>
      </c>
      <c r="BY173" t="s">
        <v>231</v>
      </c>
      <c r="BZ173" t="s">
        <v>231</v>
      </c>
      <c r="CA173" t="s">
        <v>231</v>
      </c>
      <c r="CB173" t="s">
        <v>231</v>
      </c>
      <c r="CC173" t="s">
        <v>231</v>
      </c>
      <c r="CD173" t="s">
        <v>231</v>
      </c>
      <c r="CE173" t="s">
        <v>231</v>
      </c>
      <c r="CF173" t="s">
        <v>231</v>
      </c>
      <c r="CG173" t="s">
        <v>231</v>
      </c>
      <c r="CH173" t="s">
        <v>231</v>
      </c>
      <c r="CI173" t="s">
        <v>231</v>
      </c>
      <c r="CJ173" t="s">
        <v>231</v>
      </c>
      <c r="CK173" t="s">
        <v>231</v>
      </c>
      <c r="CL173" t="s">
        <v>231</v>
      </c>
      <c r="CM173" t="s">
        <v>231</v>
      </c>
      <c r="CN173" t="s">
        <v>231</v>
      </c>
      <c r="CO173" t="s">
        <v>231</v>
      </c>
      <c r="CP173" t="s">
        <v>231</v>
      </c>
      <c r="CQ173" t="s">
        <v>231</v>
      </c>
      <c r="CR173" t="s">
        <v>231</v>
      </c>
      <c r="CS173" t="s">
        <v>231</v>
      </c>
      <c r="CT173" t="s">
        <v>3534</v>
      </c>
      <c r="CU173" t="s">
        <v>3535</v>
      </c>
      <c r="CV173" t="s">
        <v>3536</v>
      </c>
      <c r="CW173" t="s">
        <v>3589</v>
      </c>
      <c r="CX173" t="s">
        <v>223</v>
      </c>
      <c r="CY173" t="s">
        <v>3536</v>
      </c>
      <c r="CZ173" t="s">
        <v>3590</v>
      </c>
      <c r="DA173" t="s">
        <v>3591</v>
      </c>
      <c r="DB173" t="s">
        <v>3589</v>
      </c>
      <c r="DC173" t="s">
        <v>363</v>
      </c>
      <c r="DD173" t="s">
        <v>282</v>
      </c>
      <c r="DE173" t="s">
        <v>4401</v>
      </c>
    </row>
    <row r="174" spans="1:109" ht="11.25" customHeight="1">
      <c r="A174" s="1314" t="s">
        <v>231</v>
      </c>
      <c r="B174" t="s">
        <v>231</v>
      </c>
      <c r="C174" t="s">
        <v>231</v>
      </c>
      <c r="D174" t="s">
        <v>231</v>
      </c>
      <c r="E174" t="s">
        <v>231</v>
      </c>
      <c r="F174" t="s">
        <v>231</v>
      </c>
      <c r="G174" t="s">
        <v>231</v>
      </c>
      <c r="H174" t="s">
        <v>231</v>
      </c>
      <c r="I174" t="s">
        <v>3521</v>
      </c>
      <c r="J174" t="s">
        <v>231</v>
      </c>
      <c r="K174" t="s">
        <v>231</v>
      </c>
      <c r="L174" t="s">
        <v>231</v>
      </c>
      <c r="M174" t="s">
        <v>231</v>
      </c>
      <c r="N174" t="s">
        <v>231</v>
      </c>
      <c r="O174" t="s">
        <v>231</v>
      </c>
      <c r="P174" t="s">
        <v>231</v>
      </c>
      <c r="Q174" t="s">
        <v>231</v>
      </c>
      <c r="R174" t="s">
        <v>3974</v>
      </c>
      <c r="S174" t="s">
        <v>231</v>
      </c>
      <c r="T174" t="s">
        <v>231</v>
      </c>
      <c r="U174" t="s">
        <v>101</v>
      </c>
      <c r="V174" t="s">
        <v>231</v>
      </c>
      <c r="W174" t="s">
        <v>231</v>
      </c>
      <c r="X174" t="s">
        <v>3523</v>
      </c>
      <c r="Y174" t="s">
        <v>231</v>
      </c>
      <c r="Z174" t="s">
        <v>160</v>
      </c>
      <c r="AA174" t="s">
        <v>151</v>
      </c>
      <c r="AB174" t="s">
        <v>151</v>
      </c>
      <c r="AC174" t="s">
        <v>2289</v>
      </c>
      <c r="AD174" t="s">
        <v>2289</v>
      </c>
      <c r="AE174" t="s">
        <v>2290</v>
      </c>
      <c r="AF174" t="s">
        <v>3793</v>
      </c>
      <c r="AG174" t="s">
        <v>3794</v>
      </c>
      <c r="AH174" t="s">
        <v>4402</v>
      </c>
      <c r="AI174" t="s">
        <v>3893</v>
      </c>
      <c r="AJ174" t="s">
        <v>3546</v>
      </c>
      <c r="AK174" t="s">
        <v>3800</v>
      </c>
      <c r="AL174" t="s">
        <v>3548</v>
      </c>
      <c r="AM174" t="s">
        <v>3531</v>
      </c>
      <c r="AN174" t="s">
        <v>3595</v>
      </c>
      <c r="AO174" t="s">
        <v>4124</v>
      </c>
      <c r="AP174" t="s">
        <v>231</v>
      </c>
      <c r="AQ174" t="s">
        <v>231</v>
      </c>
      <c r="AR174" t="s">
        <v>231</v>
      </c>
      <c r="AS174" t="s">
        <v>231</v>
      </c>
      <c r="AT174" t="s">
        <v>231</v>
      </c>
      <c r="AU174" t="s">
        <v>231</v>
      </c>
      <c r="AV174" t="s">
        <v>231</v>
      </c>
      <c r="AW174" t="s">
        <v>231</v>
      </c>
      <c r="AX174" t="s">
        <v>231</v>
      </c>
      <c r="AY174" t="s">
        <v>231</v>
      </c>
      <c r="AZ174" t="s">
        <v>231</v>
      </c>
      <c r="BA174" t="s">
        <v>231</v>
      </c>
      <c r="BB174" t="s">
        <v>231</v>
      </c>
      <c r="BC174" t="s">
        <v>231</v>
      </c>
      <c r="BD174" t="s">
        <v>231</v>
      </c>
      <c r="BE174" t="s">
        <v>231</v>
      </c>
      <c r="BF174" t="s">
        <v>231</v>
      </c>
      <c r="BG174" t="s">
        <v>231</v>
      </c>
      <c r="BH174" t="s">
        <v>231</v>
      </c>
      <c r="BI174" t="s">
        <v>231</v>
      </c>
      <c r="BJ174" t="s">
        <v>231</v>
      </c>
      <c r="BK174" t="s">
        <v>231</v>
      </c>
      <c r="BL174" t="s">
        <v>231</v>
      </c>
      <c r="BM174" t="s">
        <v>231</v>
      </c>
      <c r="BN174" t="s">
        <v>231</v>
      </c>
      <c r="BO174" t="s">
        <v>231</v>
      </c>
      <c r="BP174" t="s">
        <v>231</v>
      </c>
      <c r="BQ174" t="s">
        <v>231</v>
      </c>
      <c r="BR174" t="s">
        <v>231</v>
      </c>
      <c r="BS174" t="s">
        <v>231</v>
      </c>
      <c r="BT174" t="s">
        <v>231</v>
      </c>
      <c r="BU174" t="s">
        <v>231</v>
      </c>
      <c r="BV174" t="s">
        <v>231</v>
      </c>
      <c r="BW174" t="s">
        <v>231</v>
      </c>
      <c r="BX174" t="s">
        <v>231</v>
      </c>
      <c r="BY174" t="s">
        <v>231</v>
      </c>
      <c r="BZ174" t="s">
        <v>231</v>
      </c>
      <c r="CA174" t="s">
        <v>231</v>
      </c>
      <c r="CB174" t="s">
        <v>231</v>
      </c>
      <c r="CC174" t="s">
        <v>231</v>
      </c>
      <c r="CD174" t="s">
        <v>231</v>
      </c>
      <c r="CE174" t="s">
        <v>231</v>
      </c>
      <c r="CF174" t="s">
        <v>231</v>
      </c>
      <c r="CG174" t="s">
        <v>231</v>
      </c>
      <c r="CH174" t="s">
        <v>231</v>
      </c>
      <c r="CI174" t="s">
        <v>231</v>
      </c>
      <c r="CJ174" t="s">
        <v>231</v>
      </c>
      <c r="CK174" t="s">
        <v>231</v>
      </c>
      <c r="CL174" t="s">
        <v>231</v>
      </c>
      <c r="CM174" t="s">
        <v>231</v>
      </c>
      <c r="CN174" t="s">
        <v>231</v>
      </c>
      <c r="CO174" t="s">
        <v>231</v>
      </c>
      <c r="CP174" t="s">
        <v>231</v>
      </c>
      <c r="CQ174" t="s">
        <v>231</v>
      </c>
      <c r="CR174" t="s">
        <v>231</v>
      </c>
      <c r="CS174" t="s">
        <v>231</v>
      </c>
      <c r="CT174" t="s">
        <v>3534</v>
      </c>
      <c r="CU174" t="s">
        <v>3535</v>
      </c>
      <c r="CV174" t="s">
        <v>3536</v>
      </c>
      <c r="CW174" t="s">
        <v>3589</v>
      </c>
      <c r="CX174" t="s">
        <v>223</v>
      </c>
      <c r="CY174" t="s">
        <v>3536</v>
      </c>
      <c r="CZ174" t="s">
        <v>3590</v>
      </c>
      <c r="DA174" t="s">
        <v>3591</v>
      </c>
      <c r="DB174" t="s">
        <v>3589</v>
      </c>
      <c r="DC174" t="s">
        <v>363</v>
      </c>
      <c r="DD174" t="s">
        <v>282</v>
      </c>
      <c r="DE174" t="s">
        <v>4403</v>
      </c>
    </row>
    <row r="175" spans="1:109" ht="11.25" customHeight="1">
      <c r="A175" s="1314" t="s">
        <v>231</v>
      </c>
      <c r="B175" t="s">
        <v>231</v>
      </c>
      <c r="C175" t="s">
        <v>231</v>
      </c>
      <c r="D175" t="s">
        <v>231</v>
      </c>
      <c r="E175" t="s">
        <v>231</v>
      </c>
      <c r="F175" t="s">
        <v>231</v>
      </c>
      <c r="G175" t="s">
        <v>231</v>
      </c>
      <c r="H175" t="s">
        <v>231</v>
      </c>
      <c r="I175" t="s">
        <v>3521</v>
      </c>
      <c r="J175" t="s">
        <v>231</v>
      </c>
      <c r="K175" t="s">
        <v>231</v>
      </c>
      <c r="L175" t="s">
        <v>231</v>
      </c>
      <c r="M175" t="s">
        <v>231</v>
      </c>
      <c r="N175" t="s">
        <v>231</v>
      </c>
      <c r="O175" t="s">
        <v>231</v>
      </c>
      <c r="P175" t="s">
        <v>231</v>
      </c>
      <c r="Q175" t="s">
        <v>231</v>
      </c>
      <c r="R175" t="s">
        <v>3555</v>
      </c>
      <c r="S175" t="s">
        <v>231</v>
      </c>
      <c r="T175" t="s">
        <v>231</v>
      </c>
      <c r="U175" t="s">
        <v>101</v>
      </c>
      <c r="V175" t="s">
        <v>231</v>
      </c>
      <c r="W175" t="s">
        <v>231</v>
      </c>
      <c r="X175" t="s">
        <v>3523</v>
      </c>
      <c r="Y175" t="s">
        <v>231</v>
      </c>
      <c r="Z175" t="s">
        <v>160</v>
      </c>
      <c r="AA175" t="s">
        <v>151</v>
      </c>
      <c r="AB175" t="s">
        <v>151</v>
      </c>
      <c r="AC175" t="s">
        <v>2289</v>
      </c>
      <c r="AD175" t="s">
        <v>2289</v>
      </c>
      <c r="AE175" t="s">
        <v>2290</v>
      </c>
      <c r="AF175" t="s">
        <v>4020</v>
      </c>
      <c r="AG175" t="s">
        <v>4021</v>
      </c>
      <c r="AH175" t="s">
        <v>4404</v>
      </c>
      <c r="AI175" t="s">
        <v>3774</v>
      </c>
      <c r="AJ175" t="s">
        <v>3546</v>
      </c>
      <c r="AK175" t="s">
        <v>3586</v>
      </c>
      <c r="AL175" t="s">
        <v>3548</v>
      </c>
      <c r="AM175" t="s">
        <v>3531</v>
      </c>
      <c r="AN175" t="s">
        <v>3587</v>
      </c>
      <c r="AO175" t="s">
        <v>3550</v>
      </c>
      <c r="AP175" t="s">
        <v>231</v>
      </c>
      <c r="AQ175" t="s">
        <v>231</v>
      </c>
      <c r="AR175" t="s">
        <v>231</v>
      </c>
      <c r="AS175" t="s">
        <v>231</v>
      </c>
      <c r="AT175" t="s">
        <v>231</v>
      </c>
      <c r="AU175" t="s">
        <v>231</v>
      </c>
      <c r="AV175" t="s">
        <v>231</v>
      </c>
      <c r="AW175" t="s">
        <v>231</v>
      </c>
      <c r="AX175" t="s">
        <v>231</v>
      </c>
      <c r="AY175" t="s">
        <v>231</v>
      </c>
      <c r="AZ175" t="s">
        <v>231</v>
      </c>
      <c r="BA175" t="s">
        <v>231</v>
      </c>
      <c r="BB175" t="s">
        <v>231</v>
      </c>
      <c r="BC175" t="s">
        <v>231</v>
      </c>
      <c r="BD175" t="s">
        <v>231</v>
      </c>
      <c r="BE175" t="s">
        <v>231</v>
      </c>
      <c r="BF175" t="s">
        <v>231</v>
      </c>
      <c r="BG175" t="s">
        <v>231</v>
      </c>
      <c r="BH175" t="s">
        <v>231</v>
      </c>
      <c r="BI175" t="s">
        <v>231</v>
      </c>
      <c r="BJ175" t="s">
        <v>231</v>
      </c>
      <c r="BK175" t="s">
        <v>231</v>
      </c>
      <c r="BL175" t="s">
        <v>231</v>
      </c>
      <c r="BM175" t="s">
        <v>231</v>
      </c>
      <c r="BN175" t="s">
        <v>231</v>
      </c>
      <c r="BO175" t="s">
        <v>231</v>
      </c>
      <c r="BP175" t="s">
        <v>231</v>
      </c>
      <c r="BQ175" t="s">
        <v>231</v>
      </c>
      <c r="BR175" t="s">
        <v>231</v>
      </c>
      <c r="BS175" t="s">
        <v>231</v>
      </c>
      <c r="BT175" t="s">
        <v>231</v>
      </c>
      <c r="BU175" t="s">
        <v>231</v>
      </c>
      <c r="BV175" t="s">
        <v>231</v>
      </c>
      <c r="BW175" t="s">
        <v>231</v>
      </c>
      <c r="BX175" t="s">
        <v>231</v>
      </c>
      <c r="BY175" t="s">
        <v>231</v>
      </c>
      <c r="BZ175" t="s">
        <v>231</v>
      </c>
      <c r="CA175" t="s">
        <v>231</v>
      </c>
      <c r="CB175" t="s">
        <v>231</v>
      </c>
      <c r="CC175" t="s">
        <v>231</v>
      </c>
      <c r="CD175" t="s">
        <v>231</v>
      </c>
      <c r="CE175" t="s">
        <v>231</v>
      </c>
      <c r="CF175" t="s">
        <v>231</v>
      </c>
      <c r="CG175" t="s">
        <v>231</v>
      </c>
      <c r="CH175" t="s">
        <v>231</v>
      </c>
      <c r="CI175" t="s">
        <v>231</v>
      </c>
      <c r="CJ175" t="s">
        <v>231</v>
      </c>
      <c r="CK175" t="s">
        <v>231</v>
      </c>
      <c r="CL175" t="s">
        <v>231</v>
      </c>
      <c r="CM175" t="s">
        <v>231</v>
      </c>
      <c r="CN175" t="s">
        <v>231</v>
      </c>
      <c r="CO175" t="s">
        <v>231</v>
      </c>
      <c r="CP175" t="s">
        <v>231</v>
      </c>
      <c r="CQ175" t="s">
        <v>231</v>
      </c>
      <c r="CR175" t="s">
        <v>231</v>
      </c>
      <c r="CS175" t="s">
        <v>231</v>
      </c>
      <c r="CT175" t="s">
        <v>3534</v>
      </c>
      <c r="CU175" t="s">
        <v>3535</v>
      </c>
      <c r="CV175" t="s">
        <v>3536</v>
      </c>
      <c r="CW175" t="s">
        <v>3589</v>
      </c>
      <c r="CX175" t="s">
        <v>223</v>
      </c>
      <c r="CY175" t="s">
        <v>3536</v>
      </c>
      <c r="CZ175" t="s">
        <v>3590</v>
      </c>
      <c r="DA175" t="s">
        <v>3591</v>
      </c>
      <c r="DB175" t="s">
        <v>3589</v>
      </c>
      <c r="DC175" t="s">
        <v>363</v>
      </c>
      <c r="DD175" t="s">
        <v>282</v>
      </c>
      <c r="DE175" t="s">
        <v>4405</v>
      </c>
    </row>
    <row r="176" spans="1:109" ht="11.25" customHeight="1">
      <c r="A176" s="1314" t="s">
        <v>231</v>
      </c>
      <c r="B176" t="s">
        <v>231</v>
      </c>
      <c r="C176" t="s">
        <v>231</v>
      </c>
      <c r="D176" t="s">
        <v>231</v>
      </c>
      <c r="E176" t="s">
        <v>231</v>
      </c>
      <c r="F176" t="s">
        <v>231</v>
      </c>
      <c r="G176" t="s">
        <v>231</v>
      </c>
      <c r="H176" t="s">
        <v>231</v>
      </c>
      <c r="I176" t="s">
        <v>3521</v>
      </c>
      <c r="J176" t="s">
        <v>231</v>
      </c>
      <c r="K176" t="s">
        <v>231</v>
      </c>
      <c r="L176" t="s">
        <v>231</v>
      </c>
      <c r="M176" t="s">
        <v>231</v>
      </c>
      <c r="N176" t="s">
        <v>231</v>
      </c>
      <c r="O176" t="s">
        <v>231</v>
      </c>
      <c r="P176" t="s">
        <v>231</v>
      </c>
      <c r="Q176" t="s">
        <v>231</v>
      </c>
      <c r="R176" t="s">
        <v>4406</v>
      </c>
      <c r="S176" t="s">
        <v>231</v>
      </c>
      <c r="T176" t="s">
        <v>231</v>
      </c>
      <c r="U176" t="s">
        <v>101</v>
      </c>
      <c r="V176" t="s">
        <v>231</v>
      </c>
      <c r="W176" t="s">
        <v>231</v>
      </c>
      <c r="X176" t="s">
        <v>3628</v>
      </c>
      <c r="Y176" t="s">
        <v>231</v>
      </c>
      <c r="Z176" t="s">
        <v>151</v>
      </c>
      <c r="AA176" t="s">
        <v>151</v>
      </c>
      <c r="AB176" t="s">
        <v>160</v>
      </c>
      <c r="AC176" t="s">
        <v>2287</v>
      </c>
      <c r="AD176" t="s">
        <v>2287</v>
      </c>
      <c r="AE176" t="s">
        <v>2288</v>
      </c>
      <c r="AF176" t="s">
        <v>4347</v>
      </c>
      <c r="AG176" t="s">
        <v>4348</v>
      </c>
      <c r="AH176" t="s">
        <v>3618</v>
      </c>
      <c r="AI176" t="s">
        <v>3618</v>
      </c>
      <c r="AJ176" t="s">
        <v>231</v>
      </c>
      <c r="AK176" t="s">
        <v>231</v>
      </c>
      <c r="AL176" t="s">
        <v>231</v>
      </c>
      <c r="AM176" t="s">
        <v>231</v>
      </c>
      <c r="AN176" t="s">
        <v>231</v>
      </c>
      <c r="AO176" t="s">
        <v>231</v>
      </c>
      <c r="AP176" t="s">
        <v>231</v>
      </c>
      <c r="AQ176" t="s">
        <v>231</v>
      </c>
      <c r="AR176" t="s">
        <v>231</v>
      </c>
      <c r="AS176" t="s">
        <v>231</v>
      </c>
      <c r="AT176" t="s">
        <v>231</v>
      </c>
      <c r="AU176" t="s">
        <v>231</v>
      </c>
      <c r="AV176" t="s">
        <v>231</v>
      </c>
      <c r="AW176" t="s">
        <v>231</v>
      </c>
      <c r="AX176" t="s">
        <v>231</v>
      </c>
      <c r="AY176" t="s">
        <v>231</v>
      </c>
      <c r="AZ176" t="s">
        <v>231</v>
      </c>
      <c r="BA176" t="s">
        <v>231</v>
      </c>
      <c r="BB176" t="s">
        <v>231</v>
      </c>
      <c r="BC176" t="s">
        <v>231</v>
      </c>
      <c r="BD176" t="s">
        <v>231</v>
      </c>
      <c r="BE176" t="s">
        <v>3619</v>
      </c>
      <c r="BF176" t="s">
        <v>4350</v>
      </c>
      <c r="BG176" t="s">
        <v>111</v>
      </c>
      <c r="BH176" t="s">
        <v>3632</v>
      </c>
      <c r="BI176" t="s">
        <v>122</v>
      </c>
      <c r="BJ176" t="s">
        <v>231</v>
      </c>
      <c r="BK176" t="s">
        <v>3651</v>
      </c>
      <c r="BL176" t="s">
        <v>2287</v>
      </c>
      <c r="BM176" t="s">
        <v>2287</v>
      </c>
      <c r="BN176" t="s">
        <v>3842</v>
      </c>
      <c r="BO176" t="s">
        <v>4347</v>
      </c>
      <c r="BP176" t="s">
        <v>4407</v>
      </c>
      <c r="BQ176" t="s">
        <v>3618</v>
      </c>
      <c r="BR176" t="s">
        <v>3618</v>
      </c>
      <c r="BS176" t="s">
        <v>231</v>
      </c>
      <c r="BT176" t="s">
        <v>3694</v>
      </c>
      <c r="BU176" t="s">
        <v>4408</v>
      </c>
      <c r="BV176" t="s">
        <v>4408</v>
      </c>
      <c r="BW176" t="s">
        <v>3641</v>
      </c>
      <c r="BX176" t="s">
        <v>3641</v>
      </c>
      <c r="BY176" t="s">
        <v>3641</v>
      </c>
      <c r="BZ176" t="s">
        <v>3641</v>
      </c>
      <c r="CA176" t="s">
        <v>3641</v>
      </c>
      <c r="CB176" t="s">
        <v>231</v>
      </c>
      <c r="CC176" t="s">
        <v>231</v>
      </c>
      <c r="CD176" t="s">
        <v>231</v>
      </c>
      <c r="CE176" t="s">
        <v>231</v>
      </c>
      <c r="CF176" t="s">
        <v>231</v>
      </c>
      <c r="CG176" t="s">
        <v>3641</v>
      </c>
      <c r="CH176" t="s">
        <v>231</v>
      </c>
      <c r="CI176" t="s">
        <v>231</v>
      </c>
      <c r="CJ176" t="s">
        <v>231</v>
      </c>
      <c r="CK176" t="s">
        <v>231</v>
      </c>
      <c r="CL176" t="s">
        <v>231</v>
      </c>
      <c r="CM176" t="s">
        <v>4408</v>
      </c>
      <c r="CN176" t="s">
        <v>4408</v>
      </c>
      <c r="CO176" t="s">
        <v>231</v>
      </c>
      <c r="CP176" t="s">
        <v>231</v>
      </c>
      <c r="CQ176" t="s">
        <v>231</v>
      </c>
      <c r="CR176" t="s">
        <v>231</v>
      </c>
      <c r="CS176" t="s">
        <v>3529</v>
      </c>
      <c r="CT176" t="s">
        <v>3534</v>
      </c>
      <c r="CU176" t="s">
        <v>3535</v>
      </c>
      <c r="CV176" t="s">
        <v>3536</v>
      </c>
      <c r="CW176" t="s">
        <v>3623</v>
      </c>
      <c r="CX176" t="s">
        <v>223</v>
      </c>
      <c r="CY176" t="s">
        <v>3536</v>
      </c>
      <c r="CZ176" t="s">
        <v>3624</v>
      </c>
      <c r="DA176" t="s">
        <v>3625</v>
      </c>
      <c r="DB176" t="s">
        <v>3623</v>
      </c>
      <c r="DC176" t="s">
        <v>363</v>
      </c>
      <c r="DD176" t="s">
        <v>282</v>
      </c>
      <c r="DE176" t="s">
        <v>4409</v>
      </c>
    </row>
    <row r="177" spans="1:109" ht="11.25" customHeight="1">
      <c r="A177" s="1314" t="s">
        <v>231</v>
      </c>
      <c r="B177" t="s">
        <v>231</v>
      </c>
      <c r="C177" t="s">
        <v>231</v>
      </c>
      <c r="D177" t="s">
        <v>231</v>
      </c>
      <c r="E177" t="s">
        <v>231</v>
      </c>
      <c r="F177" t="s">
        <v>231</v>
      </c>
      <c r="G177" t="s">
        <v>231</v>
      </c>
      <c r="H177" t="s">
        <v>231</v>
      </c>
      <c r="I177" t="s">
        <v>3521</v>
      </c>
      <c r="J177" t="s">
        <v>231</v>
      </c>
      <c r="K177" t="s">
        <v>231</v>
      </c>
      <c r="L177" t="s">
        <v>231</v>
      </c>
      <c r="M177" t="s">
        <v>231</v>
      </c>
      <c r="N177" t="s">
        <v>231</v>
      </c>
      <c r="O177" t="s">
        <v>231</v>
      </c>
      <c r="P177" t="s">
        <v>231</v>
      </c>
      <c r="Q177" t="s">
        <v>231</v>
      </c>
      <c r="R177" t="s">
        <v>4410</v>
      </c>
      <c r="S177" t="s">
        <v>231</v>
      </c>
      <c r="T177" t="s">
        <v>231</v>
      </c>
      <c r="U177" t="s">
        <v>101</v>
      </c>
      <c r="V177" t="s">
        <v>231</v>
      </c>
      <c r="W177" t="s">
        <v>231</v>
      </c>
      <c r="X177" t="s">
        <v>3523</v>
      </c>
      <c r="Y177" t="s">
        <v>231</v>
      </c>
      <c r="Z177" t="s">
        <v>160</v>
      </c>
      <c r="AA177" t="s">
        <v>151</v>
      </c>
      <c r="AB177" t="s">
        <v>151</v>
      </c>
      <c r="AC177" t="s">
        <v>2262</v>
      </c>
      <c r="AD177" t="s">
        <v>2262</v>
      </c>
      <c r="AE177" t="s">
        <v>2264</v>
      </c>
      <c r="AF177" t="s">
        <v>3524</v>
      </c>
      <c r="AG177" t="s">
        <v>3525</v>
      </c>
      <c r="AH177" t="s">
        <v>4411</v>
      </c>
      <c r="AI177" t="s">
        <v>3575</v>
      </c>
      <c r="AJ177" t="s">
        <v>4155</v>
      </c>
      <c r="AK177" t="s">
        <v>3641</v>
      </c>
      <c r="AL177" t="s">
        <v>3648</v>
      </c>
      <c r="AM177" t="s">
        <v>3531</v>
      </c>
      <c r="AN177" t="s">
        <v>4156</v>
      </c>
      <c r="AO177" t="s">
        <v>4412</v>
      </c>
      <c r="AP177" t="s">
        <v>231</v>
      </c>
      <c r="AQ177" t="s">
        <v>231</v>
      </c>
      <c r="AR177" t="s">
        <v>231</v>
      </c>
      <c r="AS177" t="s">
        <v>231</v>
      </c>
      <c r="AT177" t="s">
        <v>231</v>
      </c>
      <c r="AU177" t="s">
        <v>231</v>
      </c>
      <c r="AV177" t="s">
        <v>231</v>
      </c>
      <c r="AW177" t="s">
        <v>231</v>
      </c>
      <c r="AX177" t="s">
        <v>231</v>
      </c>
      <c r="AY177" t="s">
        <v>231</v>
      </c>
      <c r="AZ177" t="s">
        <v>231</v>
      </c>
      <c r="BA177" t="s">
        <v>231</v>
      </c>
      <c r="BB177" t="s">
        <v>231</v>
      </c>
      <c r="BC177" t="s">
        <v>231</v>
      </c>
      <c r="BD177" t="s">
        <v>231</v>
      </c>
      <c r="BE177" t="s">
        <v>231</v>
      </c>
      <c r="BF177" t="s">
        <v>231</v>
      </c>
      <c r="BG177" t="s">
        <v>231</v>
      </c>
      <c r="BH177" t="s">
        <v>231</v>
      </c>
      <c r="BI177" t="s">
        <v>231</v>
      </c>
      <c r="BJ177" t="s">
        <v>231</v>
      </c>
      <c r="BK177" t="s">
        <v>231</v>
      </c>
      <c r="BL177" t="s">
        <v>231</v>
      </c>
      <c r="BM177" t="s">
        <v>231</v>
      </c>
      <c r="BN177" t="s">
        <v>231</v>
      </c>
      <c r="BO177" t="s">
        <v>231</v>
      </c>
      <c r="BP177" t="s">
        <v>231</v>
      </c>
      <c r="BQ177" t="s">
        <v>231</v>
      </c>
      <c r="BR177" t="s">
        <v>231</v>
      </c>
      <c r="BS177" t="s">
        <v>231</v>
      </c>
      <c r="BT177" t="s">
        <v>231</v>
      </c>
      <c r="BU177" t="s">
        <v>231</v>
      </c>
      <c r="BV177" t="s">
        <v>231</v>
      </c>
      <c r="BW177" t="s">
        <v>231</v>
      </c>
      <c r="BX177" t="s">
        <v>231</v>
      </c>
      <c r="BY177" t="s">
        <v>231</v>
      </c>
      <c r="BZ177" t="s">
        <v>231</v>
      </c>
      <c r="CA177" t="s">
        <v>231</v>
      </c>
      <c r="CB177" t="s">
        <v>231</v>
      </c>
      <c r="CC177" t="s">
        <v>231</v>
      </c>
      <c r="CD177" t="s">
        <v>231</v>
      </c>
      <c r="CE177" t="s">
        <v>231</v>
      </c>
      <c r="CF177" t="s">
        <v>231</v>
      </c>
      <c r="CG177" t="s">
        <v>231</v>
      </c>
      <c r="CH177" t="s">
        <v>231</v>
      </c>
      <c r="CI177" t="s">
        <v>231</v>
      </c>
      <c r="CJ177" t="s">
        <v>231</v>
      </c>
      <c r="CK177" t="s">
        <v>231</v>
      </c>
      <c r="CL177" t="s">
        <v>231</v>
      </c>
      <c r="CM177" t="s">
        <v>231</v>
      </c>
      <c r="CN177" t="s">
        <v>231</v>
      </c>
      <c r="CO177" t="s">
        <v>231</v>
      </c>
      <c r="CP177" t="s">
        <v>231</v>
      </c>
      <c r="CQ177" t="s">
        <v>231</v>
      </c>
      <c r="CR177" t="s">
        <v>231</v>
      </c>
      <c r="CS177" t="s">
        <v>231</v>
      </c>
      <c r="CT177" t="s">
        <v>3534</v>
      </c>
      <c r="CU177" t="s">
        <v>3535</v>
      </c>
      <c r="CV177" t="s">
        <v>3536</v>
      </c>
      <c r="CW177" t="s">
        <v>3537</v>
      </c>
      <c r="CX177" t="s">
        <v>223</v>
      </c>
      <c r="CY177" t="s">
        <v>3536</v>
      </c>
      <c r="CZ177" t="s">
        <v>3538</v>
      </c>
      <c r="DA177" t="s">
        <v>3539</v>
      </c>
      <c r="DB177" t="s">
        <v>3537</v>
      </c>
      <c r="DC177" t="s">
        <v>363</v>
      </c>
      <c r="DD177" t="s">
        <v>282</v>
      </c>
      <c r="DE177" t="s">
        <v>4413</v>
      </c>
    </row>
    <row r="178" spans="1:109" ht="11.25" customHeight="1">
      <c r="A178" s="1314" t="s">
        <v>231</v>
      </c>
      <c r="B178" t="s">
        <v>231</v>
      </c>
      <c r="C178" t="s">
        <v>231</v>
      </c>
      <c r="D178" t="s">
        <v>231</v>
      </c>
      <c r="E178" t="s">
        <v>231</v>
      </c>
      <c r="F178" t="s">
        <v>231</v>
      </c>
      <c r="G178" t="s">
        <v>231</v>
      </c>
      <c r="H178" t="s">
        <v>231</v>
      </c>
      <c r="I178" t="s">
        <v>3521</v>
      </c>
      <c r="J178" t="s">
        <v>231</v>
      </c>
      <c r="K178" t="s">
        <v>231</v>
      </c>
      <c r="L178" t="s">
        <v>231</v>
      </c>
      <c r="M178" t="s">
        <v>231</v>
      </c>
      <c r="N178" t="s">
        <v>231</v>
      </c>
      <c r="O178" t="s">
        <v>231</v>
      </c>
      <c r="P178" t="s">
        <v>231</v>
      </c>
      <c r="Q178" t="s">
        <v>231</v>
      </c>
      <c r="R178" t="s">
        <v>4414</v>
      </c>
      <c r="S178" t="s">
        <v>231</v>
      </c>
      <c r="T178" t="s">
        <v>231</v>
      </c>
      <c r="U178" t="s">
        <v>101</v>
      </c>
      <c r="V178" t="s">
        <v>231</v>
      </c>
      <c r="W178" t="s">
        <v>231</v>
      </c>
      <c r="X178" t="s">
        <v>3523</v>
      </c>
      <c r="Y178" t="s">
        <v>231</v>
      </c>
      <c r="Z178" t="s">
        <v>160</v>
      </c>
      <c r="AA178" t="s">
        <v>151</v>
      </c>
      <c r="AB178" t="s">
        <v>151</v>
      </c>
      <c r="AC178" t="s">
        <v>2262</v>
      </c>
      <c r="AD178" t="s">
        <v>2262</v>
      </c>
      <c r="AE178" t="s">
        <v>2264</v>
      </c>
      <c r="AF178" t="s">
        <v>3524</v>
      </c>
      <c r="AG178" t="s">
        <v>3525</v>
      </c>
      <c r="AH178" t="s">
        <v>4415</v>
      </c>
      <c r="AI178" t="s">
        <v>4416</v>
      </c>
      <c r="AJ178" t="s">
        <v>4155</v>
      </c>
      <c r="AK178" t="s">
        <v>3641</v>
      </c>
      <c r="AL178" t="s">
        <v>3648</v>
      </c>
      <c r="AM178" t="s">
        <v>3531</v>
      </c>
      <c r="AN178" t="s">
        <v>4156</v>
      </c>
      <c r="AO178" t="s">
        <v>4417</v>
      </c>
      <c r="AP178" t="s">
        <v>231</v>
      </c>
      <c r="AQ178" t="s">
        <v>231</v>
      </c>
      <c r="AR178" t="s">
        <v>231</v>
      </c>
      <c r="AS178" t="s">
        <v>231</v>
      </c>
      <c r="AT178" t="s">
        <v>231</v>
      </c>
      <c r="AU178" t="s">
        <v>231</v>
      </c>
      <c r="AV178" t="s">
        <v>231</v>
      </c>
      <c r="AW178" t="s">
        <v>231</v>
      </c>
      <c r="AX178" t="s">
        <v>231</v>
      </c>
      <c r="AY178" t="s">
        <v>231</v>
      </c>
      <c r="AZ178" t="s">
        <v>231</v>
      </c>
      <c r="BA178" t="s">
        <v>231</v>
      </c>
      <c r="BB178" t="s">
        <v>231</v>
      </c>
      <c r="BC178" t="s">
        <v>231</v>
      </c>
      <c r="BD178" t="s">
        <v>231</v>
      </c>
      <c r="BE178" t="s">
        <v>231</v>
      </c>
      <c r="BF178" t="s">
        <v>231</v>
      </c>
      <c r="BG178" t="s">
        <v>231</v>
      </c>
      <c r="BH178" t="s">
        <v>231</v>
      </c>
      <c r="BI178" t="s">
        <v>231</v>
      </c>
      <c r="BJ178" t="s">
        <v>231</v>
      </c>
      <c r="BK178" t="s">
        <v>231</v>
      </c>
      <c r="BL178" t="s">
        <v>231</v>
      </c>
      <c r="BM178" t="s">
        <v>231</v>
      </c>
      <c r="BN178" t="s">
        <v>231</v>
      </c>
      <c r="BO178" t="s">
        <v>231</v>
      </c>
      <c r="BP178" t="s">
        <v>231</v>
      </c>
      <c r="BQ178" t="s">
        <v>231</v>
      </c>
      <c r="BR178" t="s">
        <v>231</v>
      </c>
      <c r="BS178" t="s">
        <v>231</v>
      </c>
      <c r="BT178" t="s">
        <v>231</v>
      </c>
      <c r="BU178" t="s">
        <v>231</v>
      </c>
      <c r="BV178" t="s">
        <v>231</v>
      </c>
      <c r="BW178" t="s">
        <v>231</v>
      </c>
      <c r="BX178" t="s">
        <v>231</v>
      </c>
      <c r="BY178" t="s">
        <v>231</v>
      </c>
      <c r="BZ178" t="s">
        <v>231</v>
      </c>
      <c r="CA178" t="s">
        <v>231</v>
      </c>
      <c r="CB178" t="s">
        <v>231</v>
      </c>
      <c r="CC178" t="s">
        <v>231</v>
      </c>
      <c r="CD178" t="s">
        <v>231</v>
      </c>
      <c r="CE178" t="s">
        <v>231</v>
      </c>
      <c r="CF178" t="s">
        <v>231</v>
      </c>
      <c r="CG178" t="s">
        <v>231</v>
      </c>
      <c r="CH178" t="s">
        <v>231</v>
      </c>
      <c r="CI178" t="s">
        <v>231</v>
      </c>
      <c r="CJ178" t="s">
        <v>231</v>
      </c>
      <c r="CK178" t="s">
        <v>231</v>
      </c>
      <c r="CL178" t="s">
        <v>231</v>
      </c>
      <c r="CM178" t="s">
        <v>231</v>
      </c>
      <c r="CN178" t="s">
        <v>231</v>
      </c>
      <c r="CO178" t="s">
        <v>231</v>
      </c>
      <c r="CP178" t="s">
        <v>231</v>
      </c>
      <c r="CQ178" t="s">
        <v>231</v>
      </c>
      <c r="CR178" t="s">
        <v>231</v>
      </c>
      <c r="CS178" t="s">
        <v>231</v>
      </c>
      <c r="CT178" t="s">
        <v>3534</v>
      </c>
      <c r="CU178" t="s">
        <v>3535</v>
      </c>
      <c r="CV178" t="s">
        <v>3536</v>
      </c>
      <c r="CW178" t="s">
        <v>3537</v>
      </c>
      <c r="CX178" t="s">
        <v>223</v>
      </c>
      <c r="CY178" t="s">
        <v>3536</v>
      </c>
      <c r="CZ178" t="s">
        <v>3538</v>
      </c>
      <c r="DA178" t="s">
        <v>3539</v>
      </c>
      <c r="DB178" t="s">
        <v>3537</v>
      </c>
      <c r="DC178" t="s">
        <v>363</v>
      </c>
      <c r="DD178" t="s">
        <v>282</v>
      </c>
      <c r="DE178" t="s">
        <v>4418</v>
      </c>
    </row>
    <row r="179" spans="1:109" ht="11.25" customHeight="1">
      <c r="A179" s="1314" t="s">
        <v>231</v>
      </c>
      <c r="B179" t="s">
        <v>231</v>
      </c>
      <c r="C179" t="s">
        <v>231</v>
      </c>
      <c r="D179" t="s">
        <v>231</v>
      </c>
      <c r="E179" t="s">
        <v>231</v>
      </c>
      <c r="F179" t="s">
        <v>231</v>
      </c>
      <c r="G179" t="s">
        <v>231</v>
      </c>
      <c r="H179" t="s">
        <v>231</v>
      </c>
      <c r="I179" t="s">
        <v>3521</v>
      </c>
      <c r="J179" t="s">
        <v>231</v>
      </c>
      <c r="K179" t="s">
        <v>231</v>
      </c>
      <c r="L179" t="s">
        <v>231</v>
      </c>
      <c r="M179" t="s">
        <v>231</v>
      </c>
      <c r="N179" t="s">
        <v>231</v>
      </c>
      <c r="O179" t="s">
        <v>231</v>
      </c>
      <c r="P179" t="s">
        <v>231</v>
      </c>
      <c r="Q179" t="s">
        <v>231</v>
      </c>
      <c r="R179" t="s">
        <v>4419</v>
      </c>
      <c r="S179" t="s">
        <v>231</v>
      </c>
      <c r="T179" t="s">
        <v>231</v>
      </c>
      <c r="U179" t="s">
        <v>101</v>
      </c>
      <c r="V179" t="s">
        <v>231</v>
      </c>
      <c r="W179" t="s">
        <v>231</v>
      </c>
      <c r="X179" t="s">
        <v>3523</v>
      </c>
      <c r="Y179" t="s">
        <v>231</v>
      </c>
      <c r="Z179" t="s">
        <v>160</v>
      </c>
      <c r="AA179" t="s">
        <v>151</v>
      </c>
      <c r="AB179" t="s">
        <v>151</v>
      </c>
      <c r="AC179" t="s">
        <v>2262</v>
      </c>
      <c r="AD179" t="s">
        <v>2262</v>
      </c>
      <c r="AE179" t="s">
        <v>2264</v>
      </c>
      <c r="AF179" t="s">
        <v>4420</v>
      </c>
      <c r="AG179" t="s">
        <v>4421</v>
      </c>
      <c r="AH179" t="s">
        <v>4422</v>
      </c>
      <c r="AI179" t="s">
        <v>4423</v>
      </c>
      <c r="AJ179" t="s">
        <v>3532</v>
      </c>
      <c r="AK179" t="s">
        <v>3641</v>
      </c>
      <c r="AL179" t="s">
        <v>3648</v>
      </c>
      <c r="AM179" t="s">
        <v>3531</v>
      </c>
      <c r="AN179" t="s">
        <v>3549</v>
      </c>
      <c r="AO179" t="s">
        <v>4424</v>
      </c>
      <c r="AP179" t="s">
        <v>231</v>
      </c>
      <c r="AQ179" t="s">
        <v>231</v>
      </c>
      <c r="AR179" t="s">
        <v>231</v>
      </c>
      <c r="AS179" t="s">
        <v>231</v>
      </c>
      <c r="AT179" t="s">
        <v>231</v>
      </c>
      <c r="AU179" t="s">
        <v>231</v>
      </c>
      <c r="AV179" t="s">
        <v>231</v>
      </c>
      <c r="AW179" t="s">
        <v>231</v>
      </c>
      <c r="AX179" t="s">
        <v>231</v>
      </c>
      <c r="AY179" t="s">
        <v>231</v>
      </c>
      <c r="AZ179" t="s">
        <v>231</v>
      </c>
      <c r="BA179" t="s">
        <v>231</v>
      </c>
      <c r="BB179" t="s">
        <v>231</v>
      </c>
      <c r="BC179" t="s">
        <v>231</v>
      </c>
      <c r="BD179" t="s">
        <v>231</v>
      </c>
      <c r="BE179" t="s">
        <v>231</v>
      </c>
      <c r="BF179" t="s">
        <v>231</v>
      </c>
      <c r="BG179" t="s">
        <v>231</v>
      </c>
      <c r="BH179" t="s">
        <v>231</v>
      </c>
      <c r="BI179" t="s">
        <v>231</v>
      </c>
      <c r="BJ179" t="s">
        <v>231</v>
      </c>
      <c r="BK179" t="s">
        <v>231</v>
      </c>
      <c r="BL179" t="s">
        <v>231</v>
      </c>
      <c r="BM179" t="s">
        <v>231</v>
      </c>
      <c r="BN179" t="s">
        <v>231</v>
      </c>
      <c r="BO179" t="s">
        <v>231</v>
      </c>
      <c r="BP179" t="s">
        <v>231</v>
      </c>
      <c r="BQ179" t="s">
        <v>231</v>
      </c>
      <c r="BR179" t="s">
        <v>231</v>
      </c>
      <c r="BS179" t="s">
        <v>231</v>
      </c>
      <c r="BT179" t="s">
        <v>231</v>
      </c>
      <c r="BU179" t="s">
        <v>231</v>
      </c>
      <c r="BV179" t="s">
        <v>231</v>
      </c>
      <c r="BW179" t="s">
        <v>231</v>
      </c>
      <c r="BX179" t="s">
        <v>231</v>
      </c>
      <c r="BY179" t="s">
        <v>231</v>
      </c>
      <c r="BZ179" t="s">
        <v>231</v>
      </c>
      <c r="CA179" t="s">
        <v>231</v>
      </c>
      <c r="CB179" t="s">
        <v>231</v>
      </c>
      <c r="CC179" t="s">
        <v>231</v>
      </c>
      <c r="CD179" t="s">
        <v>231</v>
      </c>
      <c r="CE179" t="s">
        <v>231</v>
      </c>
      <c r="CF179" t="s">
        <v>231</v>
      </c>
      <c r="CG179" t="s">
        <v>231</v>
      </c>
      <c r="CH179" t="s">
        <v>231</v>
      </c>
      <c r="CI179" t="s">
        <v>231</v>
      </c>
      <c r="CJ179" t="s">
        <v>231</v>
      </c>
      <c r="CK179" t="s">
        <v>231</v>
      </c>
      <c r="CL179" t="s">
        <v>231</v>
      </c>
      <c r="CM179" t="s">
        <v>231</v>
      </c>
      <c r="CN179" t="s">
        <v>231</v>
      </c>
      <c r="CO179" t="s">
        <v>231</v>
      </c>
      <c r="CP179" t="s">
        <v>231</v>
      </c>
      <c r="CQ179" t="s">
        <v>231</v>
      </c>
      <c r="CR179" t="s">
        <v>231</v>
      </c>
      <c r="CS179" t="s">
        <v>231</v>
      </c>
      <c r="CT179" t="s">
        <v>3534</v>
      </c>
      <c r="CU179" t="s">
        <v>3535</v>
      </c>
      <c r="CV179" t="s">
        <v>3536</v>
      </c>
      <c r="CW179" t="s">
        <v>3537</v>
      </c>
      <c r="CX179" t="s">
        <v>223</v>
      </c>
      <c r="CY179" t="s">
        <v>3536</v>
      </c>
      <c r="CZ179" t="s">
        <v>3538</v>
      </c>
      <c r="DA179" t="s">
        <v>3539</v>
      </c>
      <c r="DB179" t="s">
        <v>3537</v>
      </c>
      <c r="DC179" t="s">
        <v>363</v>
      </c>
      <c r="DD179" t="s">
        <v>282</v>
      </c>
      <c r="DE179" t="s">
        <v>4425</v>
      </c>
    </row>
    <row r="180" spans="1:109" ht="11.25" customHeight="1">
      <c r="A180" s="1314" t="s">
        <v>231</v>
      </c>
      <c r="B180" t="s">
        <v>231</v>
      </c>
      <c r="C180" t="s">
        <v>231</v>
      </c>
      <c r="D180" t="s">
        <v>231</v>
      </c>
      <c r="E180" t="s">
        <v>231</v>
      </c>
      <c r="F180" t="s">
        <v>231</v>
      </c>
      <c r="G180" t="s">
        <v>231</v>
      </c>
      <c r="H180" t="s">
        <v>231</v>
      </c>
      <c r="I180" t="s">
        <v>3521</v>
      </c>
      <c r="J180" t="s">
        <v>231</v>
      </c>
      <c r="K180" t="s">
        <v>231</v>
      </c>
      <c r="L180" t="s">
        <v>231</v>
      </c>
      <c r="M180" t="s">
        <v>231</v>
      </c>
      <c r="N180" t="s">
        <v>231</v>
      </c>
      <c r="O180" t="s">
        <v>231</v>
      </c>
      <c r="P180" t="s">
        <v>231</v>
      </c>
      <c r="Q180" t="s">
        <v>231</v>
      </c>
      <c r="R180" t="s">
        <v>4426</v>
      </c>
      <c r="S180" t="s">
        <v>231</v>
      </c>
      <c r="T180" t="s">
        <v>231</v>
      </c>
      <c r="U180" t="s">
        <v>101</v>
      </c>
      <c r="V180" t="s">
        <v>231</v>
      </c>
      <c r="W180" t="s">
        <v>231</v>
      </c>
      <c r="X180" t="s">
        <v>3955</v>
      </c>
      <c r="Y180" t="s">
        <v>231</v>
      </c>
      <c r="Z180" t="s">
        <v>151</v>
      </c>
      <c r="AA180" t="s">
        <v>160</v>
      </c>
      <c r="AB180" t="s">
        <v>151</v>
      </c>
      <c r="AC180" t="s">
        <v>343</v>
      </c>
      <c r="AD180" t="s">
        <v>343</v>
      </c>
      <c r="AE180" t="s">
        <v>344</v>
      </c>
      <c r="AF180" t="s">
        <v>3561</v>
      </c>
      <c r="AG180" t="s">
        <v>3562</v>
      </c>
      <c r="AH180" t="s">
        <v>3629</v>
      </c>
      <c r="AI180" t="s">
        <v>3575</v>
      </c>
      <c r="AJ180" t="s">
        <v>231</v>
      </c>
      <c r="AK180" t="s">
        <v>231</v>
      </c>
      <c r="AL180" t="s">
        <v>231</v>
      </c>
      <c r="AM180" t="s">
        <v>231</v>
      </c>
      <c r="AN180" t="s">
        <v>231</v>
      </c>
      <c r="AO180" t="s">
        <v>231</v>
      </c>
      <c r="AP180" t="s">
        <v>3630</v>
      </c>
      <c r="AQ180" t="s">
        <v>4427</v>
      </c>
      <c r="AR180" t="s">
        <v>111</v>
      </c>
      <c r="AS180" t="s">
        <v>3632</v>
      </c>
      <c r="AT180" t="s">
        <v>122</v>
      </c>
      <c r="AU180" t="s">
        <v>231</v>
      </c>
      <c r="AV180" t="s">
        <v>4428</v>
      </c>
      <c r="AW180" t="s">
        <v>2258</v>
      </c>
      <c r="AX180" t="s">
        <v>2258</v>
      </c>
      <c r="AY180" t="s">
        <v>3959</v>
      </c>
      <c r="AZ180" t="s">
        <v>4429</v>
      </c>
      <c r="BA180" t="s">
        <v>4430</v>
      </c>
      <c r="BB180" t="s">
        <v>3629</v>
      </c>
      <c r="BC180" t="s">
        <v>3575</v>
      </c>
      <c r="BD180" t="s">
        <v>4039</v>
      </c>
      <c r="BE180" t="s">
        <v>231</v>
      </c>
      <c r="BF180" t="s">
        <v>231</v>
      </c>
      <c r="BG180" t="s">
        <v>231</v>
      </c>
      <c r="BH180" t="s">
        <v>231</v>
      </c>
      <c r="BI180" t="s">
        <v>231</v>
      </c>
      <c r="BJ180" t="s">
        <v>231</v>
      </c>
      <c r="BK180" t="s">
        <v>231</v>
      </c>
      <c r="BL180" t="s">
        <v>231</v>
      </c>
      <c r="BM180" t="s">
        <v>231</v>
      </c>
      <c r="BN180" t="s">
        <v>231</v>
      </c>
      <c r="BO180" t="s">
        <v>231</v>
      </c>
      <c r="BP180" t="s">
        <v>231</v>
      </c>
      <c r="BQ180" t="s">
        <v>231</v>
      </c>
      <c r="BR180" t="s">
        <v>231</v>
      </c>
      <c r="BS180" t="s">
        <v>231</v>
      </c>
      <c r="BT180" t="s">
        <v>231</v>
      </c>
      <c r="BU180" t="s">
        <v>231</v>
      </c>
      <c r="BV180" t="s">
        <v>231</v>
      </c>
      <c r="BW180" t="s">
        <v>231</v>
      </c>
      <c r="BX180" t="s">
        <v>231</v>
      </c>
      <c r="BY180" t="s">
        <v>231</v>
      </c>
      <c r="BZ180" t="s">
        <v>231</v>
      </c>
      <c r="CA180" t="s">
        <v>231</v>
      </c>
      <c r="CB180" t="s">
        <v>231</v>
      </c>
      <c r="CC180" t="s">
        <v>231</v>
      </c>
      <c r="CD180" t="s">
        <v>231</v>
      </c>
      <c r="CE180" t="s">
        <v>231</v>
      </c>
      <c r="CF180" t="s">
        <v>231</v>
      </c>
      <c r="CG180" t="s">
        <v>231</v>
      </c>
      <c r="CH180" t="s">
        <v>231</v>
      </c>
      <c r="CI180" t="s">
        <v>231</v>
      </c>
      <c r="CJ180" t="s">
        <v>231</v>
      </c>
      <c r="CK180" t="s">
        <v>231</v>
      </c>
      <c r="CL180" t="s">
        <v>231</v>
      </c>
      <c r="CM180" t="s">
        <v>231</v>
      </c>
      <c r="CN180" t="s">
        <v>231</v>
      </c>
      <c r="CO180" t="s">
        <v>231</v>
      </c>
      <c r="CP180" t="s">
        <v>231</v>
      </c>
      <c r="CQ180" t="s">
        <v>231</v>
      </c>
      <c r="CR180" t="s">
        <v>231</v>
      </c>
      <c r="CS180" t="s">
        <v>231</v>
      </c>
      <c r="CT180" t="s">
        <v>3534</v>
      </c>
      <c r="CU180" t="s">
        <v>3535</v>
      </c>
      <c r="CV180" t="s">
        <v>3536</v>
      </c>
      <c r="CW180" t="s">
        <v>3569</v>
      </c>
      <c r="CX180" t="s">
        <v>3570</v>
      </c>
      <c r="CY180" t="s">
        <v>3536</v>
      </c>
      <c r="CZ180" t="s">
        <v>224</v>
      </c>
      <c r="DA180" t="s">
        <v>3571</v>
      </c>
      <c r="DB180" t="s">
        <v>3569</v>
      </c>
      <c r="DC180" t="s">
        <v>363</v>
      </c>
      <c r="DD180" t="s">
        <v>282</v>
      </c>
      <c r="DE180" t="s">
        <v>3644</v>
      </c>
    </row>
    <row r="181" spans="1:109" ht="11.25" customHeight="1">
      <c r="A181" s="1314" t="s">
        <v>231</v>
      </c>
      <c r="B181" t="s">
        <v>231</v>
      </c>
      <c r="C181" t="s">
        <v>231</v>
      </c>
      <c r="D181" t="s">
        <v>231</v>
      </c>
      <c r="E181" t="s">
        <v>231</v>
      </c>
      <c r="F181" t="s">
        <v>231</v>
      </c>
      <c r="G181" t="s">
        <v>231</v>
      </c>
      <c r="H181" t="s">
        <v>231</v>
      </c>
      <c r="I181" t="s">
        <v>3521</v>
      </c>
      <c r="J181" t="s">
        <v>231</v>
      </c>
      <c r="K181" t="s">
        <v>231</v>
      </c>
      <c r="L181" t="s">
        <v>231</v>
      </c>
      <c r="M181" t="s">
        <v>231</v>
      </c>
      <c r="N181" t="s">
        <v>231</v>
      </c>
      <c r="O181" t="s">
        <v>231</v>
      </c>
      <c r="P181" t="s">
        <v>231</v>
      </c>
      <c r="Q181" t="s">
        <v>231</v>
      </c>
      <c r="R181" t="s">
        <v>3685</v>
      </c>
      <c r="S181" t="s">
        <v>231</v>
      </c>
      <c r="T181" t="s">
        <v>231</v>
      </c>
      <c r="U181" t="s">
        <v>101</v>
      </c>
      <c r="V181" t="s">
        <v>231</v>
      </c>
      <c r="W181" t="s">
        <v>231</v>
      </c>
      <c r="X181" t="s">
        <v>3628</v>
      </c>
      <c r="Y181" t="s">
        <v>231</v>
      </c>
      <c r="Z181" t="s">
        <v>151</v>
      </c>
      <c r="AA181" t="s">
        <v>151</v>
      </c>
      <c r="AB181" t="s">
        <v>160</v>
      </c>
      <c r="AC181" t="s">
        <v>2283</v>
      </c>
      <c r="AD181" t="s">
        <v>2283</v>
      </c>
      <c r="AE181" t="s">
        <v>2284</v>
      </c>
      <c r="AF181" t="s">
        <v>4431</v>
      </c>
      <c r="AG181" t="s">
        <v>4432</v>
      </c>
      <c r="AH181" t="s">
        <v>4431</v>
      </c>
      <c r="AI181" t="s">
        <v>3688</v>
      </c>
      <c r="AJ181" t="s">
        <v>231</v>
      </c>
      <c r="AK181" t="s">
        <v>231</v>
      </c>
      <c r="AL181" t="s">
        <v>231</v>
      </c>
      <c r="AM181" t="s">
        <v>231</v>
      </c>
      <c r="AN181" t="s">
        <v>231</v>
      </c>
      <c r="AO181" t="s">
        <v>231</v>
      </c>
      <c r="AP181" t="s">
        <v>231</v>
      </c>
      <c r="AQ181" t="s">
        <v>231</v>
      </c>
      <c r="AR181" t="s">
        <v>231</v>
      </c>
      <c r="AS181" t="s">
        <v>231</v>
      </c>
      <c r="AT181" t="s">
        <v>231</v>
      </c>
      <c r="AU181" t="s">
        <v>231</v>
      </c>
      <c r="AV181" t="s">
        <v>231</v>
      </c>
      <c r="AW181" t="s">
        <v>231</v>
      </c>
      <c r="AX181" t="s">
        <v>231</v>
      </c>
      <c r="AY181" t="s">
        <v>231</v>
      </c>
      <c r="AZ181" t="s">
        <v>231</v>
      </c>
      <c r="BA181" t="s">
        <v>231</v>
      </c>
      <c r="BB181" t="s">
        <v>231</v>
      </c>
      <c r="BC181" t="s">
        <v>231</v>
      </c>
      <c r="BD181" t="s">
        <v>231</v>
      </c>
      <c r="BE181" t="s">
        <v>3689</v>
      </c>
      <c r="BF181" t="s">
        <v>3689</v>
      </c>
      <c r="BG181" t="s">
        <v>111</v>
      </c>
      <c r="BH181" t="s">
        <v>3632</v>
      </c>
      <c r="BI181" t="s">
        <v>122</v>
      </c>
      <c r="BJ181" t="s">
        <v>231</v>
      </c>
      <c r="BK181" t="s">
        <v>3651</v>
      </c>
      <c r="BL181" t="s">
        <v>2283</v>
      </c>
      <c r="BM181" t="s">
        <v>2283</v>
      </c>
      <c r="BN181" t="s">
        <v>3690</v>
      </c>
      <c r="BO181" t="s">
        <v>4431</v>
      </c>
      <c r="BP181" t="s">
        <v>4433</v>
      </c>
      <c r="BQ181" t="s">
        <v>4434</v>
      </c>
      <c r="BR181" t="s">
        <v>3893</v>
      </c>
      <c r="BS181" t="s">
        <v>231</v>
      </c>
      <c r="BT181" t="s">
        <v>3694</v>
      </c>
      <c r="BU181" t="s">
        <v>4435</v>
      </c>
      <c r="BV181" t="s">
        <v>4435</v>
      </c>
      <c r="BW181" t="s">
        <v>3641</v>
      </c>
      <c r="BX181" t="s">
        <v>3641</v>
      </c>
      <c r="BY181" t="s">
        <v>3641</v>
      </c>
      <c r="BZ181" t="s">
        <v>3641</v>
      </c>
      <c r="CA181" t="s">
        <v>3641</v>
      </c>
      <c r="CB181" t="s">
        <v>231</v>
      </c>
      <c r="CC181" t="s">
        <v>231</v>
      </c>
      <c r="CD181" t="s">
        <v>231</v>
      </c>
      <c r="CE181" t="s">
        <v>231</v>
      </c>
      <c r="CF181" t="s">
        <v>231</v>
      </c>
      <c r="CG181" t="s">
        <v>3641</v>
      </c>
      <c r="CH181" t="s">
        <v>231</v>
      </c>
      <c r="CI181" t="s">
        <v>231</v>
      </c>
      <c r="CJ181" t="s">
        <v>231</v>
      </c>
      <c r="CK181" t="s">
        <v>231</v>
      </c>
      <c r="CL181" t="s">
        <v>231</v>
      </c>
      <c r="CM181" t="s">
        <v>4435</v>
      </c>
      <c r="CN181" t="s">
        <v>4435</v>
      </c>
      <c r="CO181" t="s">
        <v>231</v>
      </c>
      <c r="CP181" t="s">
        <v>231</v>
      </c>
      <c r="CQ181" t="s">
        <v>231</v>
      </c>
      <c r="CR181" t="s">
        <v>231</v>
      </c>
      <c r="CS181" t="s">
        <v>3549</v>
      </c>
      <c r="CT181" t="s">
        <v>3534</v>
      </c>
      <c r="CU181" t="s">
        <v>3535</v>
      </c>
      <c r="CV181" t="s">
        <v>3536</v>
      </c>
      <c r="CW181" t="s">
        <v>3551</v>
      </c>
      <c r="CX181" t="s">
        <v>223</v>
      </c>
      <c r="CY181" t="s">
        <v>3536</v>
      </c>
      <c r="CZ181" t="s">
        <v>3552</v>
      </c>
      <c r="DA181" t="s">
        <v>3553</v>
      </c>
      <c r="DB181" t="s">
        <v>3551</v>
      </c>
      <c r="DC181" t="s">
        <v>363</v>
      </c>
      <c r="DD181" t="s">
        <v>282</v>
      </c>
      <c r="DE181" t="s">
        <v>4436</v>
      </c>
    </row>
    <row r="182" spans="1:109" ht="11.25" customHeight="1">
      <c r="A182" s="1314" t="s">
        <v>231</v>
      </c>
      <c r="B182" t="s">
        <v>231</v>
      </c>
      <c r="C182" t="s">
        <v>231</v>
      </c>
      <c r="D182" t="s">
        <v>231</v>
      </c>
      <c r="E182" t="s">
        <v>231</v>
      </c>
      <c r="F182" t="s">
        <v>231</v>
      </c>
      <c r="G182" t="s">
        <v>231</v>
      </c>
      <c r="H182" t="s">
        <v>231</v>
      </c>
      <c r="I182" t="s">
        <v>3521</v>
      </c>
      <c r="J182" t="s">
        <v>231</v>
      </c>
      <c r="K182" t="s">
        <v>231</v>
      </c>
      <c r="L182" t="s">
        <v>231</v>
      </c>
      <c r="M182" t="s">
        <v>231</v>
      </c>
      <c r="N182" t="s">
        <v>231</v>
      </c>
      <c r="O182" t="s">
        <v>231</v>
      </c>
      <c r="P182" t="s">
        <v>231</v>
      </c>
      <c r="Q182" t="s">
        <v>231</v>
      </c>
      <c r="R182" t="s">
        <v>3651</v>
      </c>
      <c r="S182" t="s">
        <v>231</v>
      </c>
      <c r="T182" t="s">
        <v>231</v>
      </c>
      <c r="U182" t="s">
        <v>101</v>
      </c>
      <c r="V182" t="s">
        <v>231</v>
      </c>
      <c r="W182" t="s">
        <v>231</v>
      </c>
      <c r="X182" t="s">
        <v>3523</v>
      </c>
      <c r="Y182" t="s">
        <v>231</v>
      </c>
      <c r="Z182" t="s">
        <v>160</v>
      </c>
      <c r="AA182" t="s">
        <v>151</v>
      </c>
      <c r="AB182" t="s">
        <v>151</v>
      </c>
      <c r="AC182" t="s">
        <v>2283</v>
      </c>
      <c r="AD182" t="s">
        <v>2283</v>
      </c>
      <c r="AE182" t="s">
        <v>2284</v>
      </c>
      <c r="AF182" t="s">
        <v>4431</v>
      </c>
      <c r="AG182" t="s">
        <v>4432</v>
      </c>
      <c r="AH182" t="s">
        <v>4434</v>
      </c>
      <c r="AI182" t="s">
        <v>4437</v>
      </c>
      <c r="AJ182" t="s">
        <v>3546</v>
      </c>
      <c r="AK182" t="s">
        <v>3547</v>
      </c>
      <c r="AL182" t="s">
        <v>4163</v>
      </c>
      <c r="AM182" t="s">
        <v>3531</v>
      </c>
      <c r="AN182" t="s">
        <v>3549</v>
      </c>
      <c r="AO182" t="s">
        <v>3662</v>
      </c>
      <c r="AP182" t="s">
        <v>231</v>
      </c>
      <c r="AQ182" t="s">
        <v>231</v>
      </c>
      <c r="AR182" t="s">
        <v>231</v>
      </c>
      <c r="AS182" t="s">
        <v>231</v>
      </c>
      <c r="AT182" t="s">
        <v>231</v>
      </c>
      <c r="AU182" t="s">
        <v>231</v>
      </c>
      <c r="AV182" t="s">
        <v>231</v>
      </c>
      <c r="AW182" t="s">
        <v>231</v>
      </c>
      <c r="AX182" t="s">
        <v>231</v>
      </c>
      <c r="AY182" t="s">
        <v>231</v>
      </c>
      <c r="AZ182" t="s">
        <v>231</v>
      </c>
      <c r="BA182" t="s">
        <v>231</v>
      </c>
      <c r="BB182" t="s">
        <v>231</v>
      </c>
      <c r="BC182" t="s">
        <v>231</v>
      </c>
      <c r="BD182" t="s">
        <v>231</v>
      </c>
      <c r="BE182" t="s">
        <v>231</v>
      </c>
      <c r="BF182" t="s">
        <v>231</v>
      </c>
      <c r="BG182" t="s">
        <v>231</v>
      </c>
      <c r="BH182" t="s">
        <v>231</v>
      </c>
      <c r="BI182" t="s">
        <v>231</v>
      </c>
      <c r="BJ182" t="s">
        <v>231</v>
      </c>
      <c r="BK182" t="s">
        <v>231</v>
      </c>
      <c r="BL182" t="s">
        <v>231</v>
      </c>
      <c r="BM182" t="s">
        <v>231</v>
      </c>
      <c r="BN182" t="s">
        <v>231</v>
      </c>
      <c r="BO182" t="s">
        <v>231</v>
      </c>
      <c r="BP182" t="s">
        <v>231</v>
      </c>
      <c r="BQ182" t="s">
        <v>231</v>
      </c>
      <c r="BR182" t="s">
        <v>231</v>
      </c>
      <c r="BS182" t="s">
        <v>231</v>
      </c>
      <c r="BT182" t="s">
        <v>231</v>
      </c>
      <c r="BU182" t="s">
        <v>231</v>
      </c>
      <c r="BV182" t="s">
        <v>231</v>
      </c>
      <c r="BW182" t="s">
        <v>231</v>
      </c>
      <c r="BX182" t="s">
        <v>231</v>
      </c>
      <c r="BY182" t="s">
        <v>231</v>
      </c>
      <c r="BZ182" t="s">
        <v>231</v>
      </c>
      <c r="CA182" t="s">
        <v>231</v>
      </c>
      <c r="CB182" t="s">
        <v>231</v>
      </c>
      <c r="CC182" t="s">
        <v>231</v>
      </c>
      <c r="CD182" t="s">
        <v>231</v>
      </c>
      <c r="CE182" t="s">
        <v>231</v>
      </c>
      <c r="CF182" t="s">
        <v>231</v>
      </c>
      <c r="CG182" t="s">
        <v>231</v>
      </c>
      <c r="CH182" t="s">
        <v>231</v>
      </c>
      <c r="CI182" t="s">
        <v>231</v>
      </c>
      <c r="CJ182" t="s">
        <v>231</v>
      </c>
      <c r="CK182" t="s">
        <v>231</v>
      </c>
      <c r="CL182" t="s">
        <v>231</v>
      </c>
      <c r="CM182" t="s">
        <v>231</v>
      </c>
      <c r="CN182" t="s">
        <v>231</v>
      </c>
      <c r="CO182" t="s">
        <v>231</v>
      </c>
      <c r="CP182" t="s">
        <v>231</v>
      </c>
      <c r="CQ182" t="s">
        <v>231</v>
      </c>
      <c r="CR182" t="s">
        <v>231</v>
      </c>
      <c r="CS182" t="s">
        <v>231</v>
      </c>
      <c r="CT182" t="s">
        <v>3534</v>
      </c>
      <c r="CU182" t="s">
        <v>3535</v>
      </c>
      <c r="CV182" t="s">
        <v>3536</v>
      </c>
      <c r="CW182" t="s">
        <v>3551</v>
      </c>
      <c r="CX182" t="s">
        <v>223</v>
      </c>
      <c r="CY182" t="s">
        <v>3536</v>
      </c>
      <c r="CZ182" t="s">
        <v>3552</v>
      </c>
      <c r="DA182" t="s">
        <v>3553</v>
      </c>
      <c r="DB182" t="s">
        <v>3551</v>
      </c>
      <c r="DC182" t="s">
        <v>363</v>
      </c>
      <c r="DD182" t="s">
        <v>282</v>
      </c>
      <c r="DE182" t="s">
        <v>4438</v>
      </c>
    </row>
    <row r="183" spans="1:109" ht="11.25" customHeight="1">
      <c r="A183" s="1314" t="s">
        <v>231</v>
      </c>
      <c r="B183" t="s">
        <v>231</v>
      </c>
      <c r="C183" t="s">
        <v>231</v>
      </c>
      <c r="D183" t="s">
        <v>231</v>
      </c>
      <c r="E183" t="s">
        <v>231</v>
      </c>
      <c r="F183" t="s">
        <v>231</v>
      </c>
      <c r="G183" t="s">
        <v>231</v>
      </c>
      <c r="H183" t="s">
        <v>231</v>
      </c>
      <c r="I183" t="s">
        <v>3521</v>
      </c>
      <c r="J183" t="s">
        <v>231</v>
      </c>
      <c r="K183" t="s">
        <v>231</v>
      </c>
      <c r="L183" t="s">
        <v>231</v>
      </c>
      <c r="M183" t="s">
        <v>231</v>
      </c>
      <c r="N183" t="s">
        <v>231</v>
      </c>
      <c r="O183" t="s">
        <v>231</v>
      </c>
      <c r="P183" t="s">
        <v>231</v>
      </c>
      <c r="Q183" t="s">
        <v>231</v>
      </c>
      <c r="R183" t="s">
        <v>3615</v>
      </c>
      <c r="S183" t="s">
        <v>231</v>
      </c>
      <c r="T183" t="s">
        <v>231</v>
      </c>
      <c r="U183" t="s">
        <v>101</v>
      </c>
      <c r="V183" t="s">
        <v>231</v>
      </c>
      <c r="W183" t="s">
        <v>231</v>
      </c>
      <c r="X183" t="s">
        <v>3523</v>
      </c>
      <c r="Y183" t="s">
        <v>231</v>
      </c>
      <c r="Z183" t="s">
        <v>160</v>
      </c>
      <c r="AA183" t="s">
        <v>151</v>
      </c>
      <c r="AB183" t="s">
        <v>151</v>
      </c>
      <c r="AC183" t="s">
        <v>2289</v>
      </c>
      <c r="AD183" t="s">
        <v>2289</v>
      </c>
      <c r="AE183" t="s">
        <v>2290</v>
      </c>
      <c r="AF183" t="s">
        <v>3930</v>
      </c>
      <c r="AG183" t="s">
        <v>3931</v>
      </c>
      <c r="AH183" t="s">
        <v>4439</v>
      </c>
      <c r="AI183" t="s">
        <v>3661</v>
      </c>
      <c r="AJ183" t="s">
        <v>3546</v>
      </c>
      <c r="AK183" t="s">
        <v>3594</v>
      </c>
      <c r="AL183" t="s">
        <v>3548</v>
      </c>
      <c r="AM183" t="s">
        <v>3531</v>
      </c>
      <c r="AN183" t="s">
        <v>3529</v>
      </c>
      <c r="AO183" t="s">
        <v>4440</v>
      </c>
      <c r="AP183" t="s">
        <v>231</v>
      </c>
      <c r="AQ183" t="s">
        <v>231</v>
      </c>
      <c r="AR183" t="s">
        <v>231</v>
      </c>
      <c r="AS183" t="s">
        <v>231</v>
      </c>
      <c r="AT183" t="s">
        <v>231</v>
      </c>
      <c r="AU183" t="s">
        <v>231</v>
      </c>
      <c r="AV183" t="s">
        <v>231</v>
      </c>
      <c r="AW183" t="s">
        <v>231</v>
      </c>
      <c r="AX183" t="s">
        <v>231</v>
      </c>
      <c r="AY183" t="s">
        <v>231</v>
      </c>
      <c r="AZ183" t="s">
        <v>231</v>
      </c>
      <c r="BA183" t="s">
        <v>231</v>
      </c>
      <c r="BB183" t="s">
        <v>231</v>
      </c>
      <c r="BC183" t="s">
        <v>231</v>
      </c>
      <c r="BD183" t="s">
        <v>231</v>
      </c>
      <c r="BE183" t="s">
        <v>231</v>
      </c>
      <c r="BF183" t="s">
        <v>231</v>
      </c>
      <c r="BG183" t="s">
        <v>231</v>
      </c>
      <c r="BH183" t="s">
        <v>231</v>
      </c>
      <c r="BI183" t="s">
        <v>231</v>
      </c>
      <c r="BJ183" t="s">
        <v>231</v>
      </c>
      <c r="BK183" t="s">
        <v>231</v>
      </c>
      <c r="BL183" t="s">
        <v>231</v>
      </c>
      <c r="BM183" t="s">
        <v>231</v>
      </c>
      <c r="BN183" t="s">
        <v>231</v>
      </c>
      <c r="BO183" t="s">
        <v>231</v>
      </c>
      <c r="BP183" t="s">
        <v>231</v>
      </c>
      <c r="BQ183" t="s">
        <v>231</v>
      </c>
      <c r="BR183" t="s">
        <v>231</v>
      </c>
      <c r="BS183" t="s">
        <v>231</v>
      </c>
      <c r="BT183" t="s">
        <v>231</v>
      </c>
      <c r="BU183" t="s">
        <v>231</v>
      </c>
      <c r="BV183" t="s">
        <v>231</v>
      </c>
      <c r="BW183" t="s">
        <v>231</v>
      </c>
      <c r="BX183" t="s">
        <v>231</v>
      </c>
      <c r="BY183" t="s">
        <v>231</v>
      </c>
      <c r="BZ183" t="s">
        <v>231</v>
      </c>
      <c r="CA183" t="s">
        <v>231</v>
      </c>
      <c r="CB183" t="s">
        <v>231</v>
      </c>
      <c r="CC183" t="s">
        <v>231</v>
      </c>
      <c r="CD183" t="s">
        <v>231</v>
      </c>
      <c r="CE183" t="s">
        <v>231</v>
      </c>
      <c r="CF183" t="s">
        <v>231</v>
      </c>
      <c r="CG183" t="s">
        <v>231</v>
      </c>
      <c r="CH183" t="s">
        <v>231</v>
      </c>
      <c r="CI183" t="s">
        <v>231</v>
      </c>
      <c r="CJ183" t="s">
        <v>231</v>
      </c>
      <c r="CK183" t="s">
        <v>231</v>
      </c>
      <c r="CL183" t="s">
        <v>231</v>
      </c>
      <c r="CM183" t="s">
        <v>231</v>
      </c>
      <c r="CN183" t="s">
        <v>231</v>
      </c>
      <c r="CO183" t="s">
        <v>231</v>
      </c>
      <c r="CP183" t="s">
        <v>231</v>
      </c>
      <c r="CQ183" t="s">
        <v>231</v>
      </c>
      <c r="CR183" t="s">
        <v>231</v>
      </c>
      <c r="CS183" t="s">
        <v>231</v>
      </c>
      <c r="CT183" t="s">
        <v>3534</v>
      </c>
      <c r="CU183" t="s">
        <v>3535</v>
      </c>
      <c r="CV183" t="s">
        <v>3536</v>
      </c>
      <c r="CW183" t="s">
        <v>3589</v>
      </c>
      <c r="CX183" t="s">
        <v>223</v>
      </c>
      <c r="CY183" t="s">
        <v>3536</v>
      </c>
      <c r="CZ183" t="s">
        <v>3590</v>
      </c>
      <c r="DA183" t="s">
        <v>3591</v>
      </c>
      <c r="DB183" t="s">
        <v>3589</v>
      </c>
      <c r="DC183" t="s">
        <v>363</v>
      </c>
      <c r="DD183" t="s">
        <v>282</v>
      </c>
      <c r="DE183" t="s">
        <v>4441</v>
      </c>
    </row>
    <row r="184" spans="1:109" ht="11.25" customHeight="1">
      <c r="A184" s="1314" t="s">
        <v>231</v>
      </c>
      <c r="B184" t="s">
        <v>231</v>
      </c>
      <c r="C184" t="s">
        <v>231</v>
      </c>
      <c r="D184" t="s">
        <v>231</v>
      </c>
      <c r="E184" t="s">
        <v>231</v>
      </c>
      <c r="F184" t="s">
        <v>231</v>
      </c>
      <c r="G184" t="s">
        <v>231</v>
      </c>
      <c r="H184" t="s">
        <v>231</v>
      </c>
      <c r="I184" t="s">
        <v>3521</v>
      </c>
      <c r="J184" t="s">
        <v>231</v>
      </c>
      <c r="K184" t="s">
        <v>231</v>
      </c>
      <c r="L184" t="s">
        <v>231</v>
      </c>
      <c r="M184" t="s">
        <v>231</v>
      </c>
      <c r="N184" t="s">
        <v>231</v>
      </c>
      <c r="O184" t="s">
        <v>231</v>
      </c>
      <c r="P184" t="s">
        <v>231</v>
      </c>
      <c r="Q184" t="s">
        <v>231</v>
      </c>
      <c r="R184" t="s">
        <v>4442</v>
      </c>
      <c r="S184" t="s">
        <v>231</v>
      </c>
      <c r="T184" t="s">
        <v>231</v>
      </c>
      <c r="U184" t="s">
        <v>101</v>
      </c>
      <c r="V184" t="s">
        <v>231</v>
      </c>
      <c r="W184" t="s">
        <v>231</v>
      </c>
      <c r="X184" t="s">
        <v>3523</v>
      </c>
      <c r="Y184" t="s">
        <v>231</v>
      </c>
      <c r="Z184" t="s">
        <v>160</v>
      </c>
      <c r="AA184" t="s">
        <v>151</v>
      </c>
      <c r="AB184" t="s">
        <v>151</v>
      </c>
      <c r="AC184" t="s">
        <v>2691</v>
      </c>
      <c r="AD184" t="s">
        <v>2691</v>
      </c>
      <c r="AE184" t="s">
        <v>2692</v>
      </c>
      <c r="AF184" t="s">
        <v>3991</v>
      </c>
      <c r="AG184" t="s">
        <v>3992</v>
      </c>
      <c r="AH184" t="s">
        <v>4312</v>
      </c>
      <c r="AI184" t="s">
        <v>151</v>
      </c>
      <c r="AJ184" t="s">
        <v>3587</v>
      </c>
      <c r="AK184" t="s">
        <v>4443</v>
      </c>
      <c r="AL184" t="s">
        <v>3613</v>
      </c>
      <c r="AM184" t="s">
        <v>3531</v>
      </c>
      <c r="AN184" t="s">
        <v>4444</v>
      </c>
      <c r="AO184" t="s">
        <v>4445</v>
      </c>
      <c r="AP184" t="s">
        <v>231</v>
      </c>
      <c r="AQ184" t="s">
        <v>231</v>
      </c>
      <c r="AR184" t="s">
        <v>231</v>
      </c>
      <c r="AS184" t="s">
        <v>231</v>
      </c>
      <c r="AT184" t="s">
        <v>231</v>
      </c>
      <c r="AU184" t="s">
        <v>231</v>
      </c>
      <c r="AV184" t="s">
        <v>231</v>
      </c>
      <c r="AW184" t="s">
        <v>231</v>
      </c>
      <c r="AX184" t="s">
        <v>231</v>
      </c>
      <c r="AY184" t="s">
        <v>231</v>
      </c>
      <c r="AZ184" t="s">
        <v>231</v>
      </c>
      <c r="BA184" t="s">
        <v>231</v>
      </c>
      <c r="BB184" t="s">
        <v>231</v>
      </c>
      <c r="BC184" t="s">
        <v>231</v>
      </c>
      <c r="BD184" t="s">
        <v>231</v>
      </c>
      <c r="BE184" t="s">
        <v>231</v>
      </c>
      <c r="BF184" t="s">
        <v>231</v>
      </c>
      <c r="BG184" t="s">
        <v>231</v>
      </c>
      <c r="BH184" t="s">
        <v>231</v>
      </c>
      <c r="BI184" t="s">
        <v>231</v>
      </c>
      <c r="BJ184" t="s">
        <v>231</v>
      </c>
      <c r="BK184" t="s">
        <v>231</v>
      </c>
      <c r="BL184" t="s">
        <v>231</v>
      </c>
      <c r="BM184" t="s">
        <v>231</v>
      </c>
      <c r="BN184" t="s">
        <v>231</v>
      </c>
      <c r="BO184" t="s">
        <v>231</v>
      </c>
      <c r="BP184" t="s">
        <v>231</v>
      </c>
      <c r="BQ184" t="s">
        <v>231</v>
      </c>
      <c r="BR184" t="s">
        <v>231</v>
      </c>
      <c r="BS184" t="s">
        <v>231</v>
      </c>
      <c r="BT184" t="s">
        <v>231</v>
      </c>
      <c r="BU184" t="s">
        <v>231</v>
      </c>
      <c r="BV184" t="s">
        <v>231</v>
      </c>
      <c r="BW184" t="s">
        <v>231</v>
      </c>
      <c r="BX184" t="s">
        <v>231</v>
      </c>
      <c r="BY184" t="s">
        <v>231</v>
      </c>
      <c r="BZ184" t="s">
        <v>231</v>
      </c>
      <c r="CA184" t="s">
        <v>231</v>
      </c>
      <c r="CB184" t="s">
        <v>231</v>
      </c>
      <c r="CC184" t="s">
        <v>231</v>
      </c>
      <c r="CD184" t="s">
        <v>231</v>
      </c>
      <c r="CE184" t="s">
        <v>231</v>
      </c>
      <c r="CF184" t="s">
        <v>231</v>
      </c>
      <c r="CG184" t="s">
        <v>231</v>
      </c>
      <c r="CH184" t="s">
        <v>231</v>
      </c>
      <c r="CI184" t="s">
        <v>231</v>
      </c>
      <c r="CJ184" t="s">
        <v>231</v>
      </c>
      <c r="CK184" t="s">
        <v>231</v>
      </c>
      <c r="CL184" t="s">
        <v>231</v>
      </c>
      <c r="CM184" t="s">
        <v>231</v>
      </c>
      <c r="CN184" t="s">
        <v>231</v>
      </c>
      <c r="CO184" t="s">
        <v>231</v>
      </c>
      <c r="CP184" t="s">
        <v>231</v>
      </c>
      <c r="CQ184" t="s">
        <v>231</v>
      </c>
      <c r="CR184" t="s">
        <v>231</v>
      </c>
      <c r="CS184" t="s">
        <v>231</v>
      </c>
      <c r="CT184" t="s">
        <v>3534</v>
      </c>
      <c r="CU184" t="s">
        <v>3535</v>
      </c>
      <c r="CV184" t="s">
        <v>3997</v>
      </c>
      <c r="CW184" t="s">
        <v>3998</v>
      </c>
      <c r="CX184" t="s">
        <v>3570</v>
      </c>
      <c r="CY184" t="s">
        <v>3997</v>
      </c>
      <c r="CZ184" t="s">
        <v>3575</v>
      </c>
      <c r="DA184" t="s">
        <v>3999</v>
      </c>
      <c r="DB184" t="s">
        <v>3643</v>
      </c>
      <c r="DC184" t="s">
        <v>363</v>
      </c>
      <c r="DD184" t="s">
        <v>282</v>
      </c>
      <c r="DE184" t="s">
        <v>4446</v>
      </c>
    </row>
    <row r="185" spans="1:109" ht="11.25" customHeight="1">
      <c r="A185" s="1314" t="s">
        <v>231</v>
      </c>
      <c r="B185" t="s">
        <v>231</v>
      </c>
      <c r="C185" t="s">
        <v>231</v>
      </c>
      <c r="D185" t="s">
        <v>231</v>
      </c>
      <c r="E185" t="s">
        <v>231</v>
      </c>
      <c r="F185" t="s">
        <v>231</v>
      </c>
      <c r="G185" t="s">
        <v>231</v>
      </c>
      <c r="H185" t="s">
        <v>231</v>
      </c>
      <c r="I185" t="s">
        <v>3521</v>
      </c>
      <c r="J185" t="s">
        <v>231</v>
      </c>
      <c r="K185" t="s">
        <v>231</v>
      </c>
      <c r="L185" t="s">
        <v>231</v>
      </c>
      <c r="M185" t="s">
        <v>231</v>
      </c>
      <c r="N185" t="s">
        <v>231</v>
      </c>
      <c r="O185" t="s">
        <v>231</v>
      </c>
      <c r="P185" t="s">
        <v>231</v>
      </c>
      <c r="Q185" t="s">
        <v>231</v>
      </c>
      <c r="R185" t="s">
        <v>4447</v>
      </c>
      <c r="S185" t="s">
        <v>231</v>
      </c>
      <c r="T185" t="s">
        <v>231</v>
      </c>
      <c r="U185" t="s">
        <v>101</v>
      </c>
      <c r="V185" t="s">
        <v>231</v>
      </c>
      <c r="W185" t="s">
        <v>231</v>
      </c>
      <c r="X185" t="s">
        <v>3523</v>
      </c>
      <c r="Y185" t="s">
        <v>231</v>
      </c>
      <c r="Z185" t="s">
        <v>160</v>
      </c>
      <c r="AA185" t="s">
        <v>151</v>
      </c>
      <c r="AB185" t="s">
        <v>151</v>
      </c>
      <c r="AC185" t="s">
        <v>2289</v>
      </c>
      <c r="AD185" t="s">
        <v>2289</v>
      </c>
      <c r="AE185" t="s">
        <v>2290</v>
      </c>
      <c r="AF185" t="s">
        <v>3930</v>
      </c>
      <c r="AG185" t="s">
        <v>3931</v>
      </c>
      <c r="AH185" t="s">
        <v>4439</v>
      </c>
      <c r="AI185" t="s">
        <v>3738</v>
      </c>
      <c r="AJ185" t="s">
        <v>3594</v>
      </c>
      <c r="AK185" t="s">
        <v>3820</v>
      </c>
      <c r="AL185" t="s">
        <v>3548</v>
      </c>
      <c r="AM185" t="s">
        <v>3531</v>
      </c>
      <c r="AN185" t="s">
        <v>3595</v>
      </c>
      <c r="AO185" t="s">
        <v>3533</v>
      </c>
      <c r="AP185" t="s">
        <v>231</v>
      </c>
      <c r="AQ185" t="s">
        <v>231</v>
      </c>
      <c r="AR185" t="s">
        <v>231</v>
      </c>
      <c r="AS185" t="s">
        <v>231</v>
      </c>
      <c r="AT185" t="s">
        <v>231</v>
      </c>
      <c r="AU185" t="s">
        <v>231</v>
      </c>
      <c r="AV185" t="s">
        <v>231</v>
      </c>
      <c r="AW185" t="s">
        <v>231</v>
      </c>
      <c r="AX185" t="s">
        <v>231</v>
      </c>
      <c r="AY185" t="s">
        <v>231</v>
      </c>
      <c r="AZ185" t="s">
        <v>231</v>
      </c>
      <c r="BA185" t="s">
        <v>231</v>
      </c>
      <c r="BB185" t="s">
        <v>231</v>
      </c>
      <c r="BC185" t="s">
        <v>231</v>
      </c>
      <c r="BD185" t="s">
        <v>231</v>
      </c>
      <c r="BE185" t="s">
        <v>231</v>
      </c>
      <c r="BF185" t="s">
        <v>231</v>
      </c>
      <c r="BG185" t="s">
        <v>231</v>
      </c>
      <c r="BH185" t="s">
        <v>231</v>
      </c>
      <c r="BI185" t="s">
        <v>231</v>
      </c>
      <c r="BJ185" t="s">
        <v>231</v>
      </c>
      <c r="BK185" t="s">
        <v>231</v>
      </c>
      <c r="BL185" t="s">
        <v>231</v>
      </c>
      <c r="BM185" t="s">
        <v>231</v>
      </c>
      <c r="BN185" t="s">
        <v>231</v>
      </c>
      <c r="BO185" t="s">
        <v>231</v>
      </c>
      <c r="BP185" t="s">
        <v>231</v>
      </c>
      <c r="BQ185" t="s">
        <v>231</v>
      </c>
      <c r="BR185" t="s">
        <v>231</v>
      </c>
      <c r="BS185" t="s">
        <v>231</v>
      </c>
      <c r="BT185" t="s">
        <v>231</v>
      </c>
      <c r="BU185" t="s">
        <v>231</v>
      </c>
      <c r="BV185" t="s">
        <v>231</v>
      </c>
      <c r="BW185" t="s">
        <v>231</v>
      </c>
      <c r="BX185" t="s">
        <v>231</v>
      </c>
      <c r="BY185" t="s">
        <v>231</v>
      </c>
      <c r="BZ185" t="s">
        <v>231</v>
      </c>
      <c r="CA185" t="s">
        <v>231</v>
      </c>
      <c r="CB185" t="s">
        <v>231</v>
      </c>
      <c r="CC185" t="s">
        <v>231</v>
      </c>
      <c r="CD185" t="s">
        <v>231</v>
      </c>
      <c r="CE185" t="s">
        <v>231</v>
      </c>
      <c r="CF185" t="s">
        <v>231</v>
      </c>
      <c r="CG185" t="s">
        <v>231</v>
      </c>
      <c r="CH185" t="s">
        <v>231</v>
      </c>
      <c r="CI185" t="s">
        <v>231</v>
      </c>
      <c r="CJ185" t="s">
        <v>231</v>
      </c>
      <c r="CK185" t="s">
        <v>231</v>
      </c>
      <c r="CL185" t="s">
        <v>231</v>
      </c>
      <c r="CM185" t="s">
        <v>231</v>
      </c>
      <c r="CN185" t="s">
        <v>231</v>
      </c>
      <c r="CO185" t="s">
        <v>231</v>
      </c>
      <c r="CP185" t="s">
        <v>231</v>
      </c>
      <c r="CQ185" t="s">
        <v>231</v>
      </c>
      <c r="CR185" t="s">
        <v>231</v>
      </c>
      <c r="CS185" t="s">
        <v>231</v>
      </c>
      <c r="CT185" t="s">
        <v>3534</v>
      </c>
      <c r="CU185" t="s">
        <v>3535</v>
      </c>
      <c r="CV185" t="s">
        <v>3536</v>
      </c>
      <c r="CW185" t="s">
        <v>3589</v>
      </c>
      <c r="CX185" t="s">
        <v>223</v>
      </c>
      <c r="CY185" t="s">
        <v>3536</v>
      </c>
      <c r="CZ185" t="s">
        <v>3590</v>
      </c>
      <c r="DA185" t="s">
        <v>3591</v>
      </c>
      <c r="DB185" t="s">
        <v>3589</v>
      </c>
      <c r="DC185" t="s">
        <v>363</v>
      </c>
      <c r="DD185" t="s">
        <v>282</v>
      </c>
      <c r="DE185" t="s">
        <v>4448</v>
      </c>
    </row>
    <row r="186" spans="1:109" ht="11.25" customHeight="1">
      <c r="A186" s="1314" t="s">
        <v>231</v>
      </c>
      <c r="B186" t="s">
        <v>231</v>
      </c>
      <c r="C186" t="s">
        <v>231</v>
      </c>
      <c r="D186" t="s">
        <v>231</v>
      </c>
      <c r="E186" t="s">
        <v>231</v>
      </c>
      <c r="F186" t="s">
        <v>231</v>
      </c>
      <c r="G186" t="s">
        <v>231</v>
      </c>
      <c r="H186" t="s">
        <v>231</v>
      </c>
      <c r="I186" t="s">
        <v>3521</v>
      </c>
      <c r="J186" t="s">
        <v>231</v>
      </c>
      <c r="K186" t="s">
        <v>231</v>
      </c>
      <c r="L186" t="s">
        <v>231</v>
      </c>
      <c r="M186" t="s">
        <v>231</v>
      </c>
      <c r="N186" t="s">
        <v>231</v>
      </c>
      <c r="O186" t="s">
        <v>231</v>
      </c>
      <c r="P186" t="s">
        <v>231</v>
      </c>
      <c r="Q186" t="s">
        <v>231</v>
      </c>
      <c r="R186" t="s">
        <v>4449</v>
      </c>
      <c r="S186" t="s">
        <v>231</v>
      </c>
      <c r="T186" t="s">
        <v>231</v>
      </c>
      <c r="U186" t="s">
        <v>101</v>
      </c>
      <c r="V186" t="s">
        <v>231</v>
      </c>
      <c r="W186" t="s">
        <v>231</v>
      </c>
      <c r="X186" t="s">
        <v>3523</v>
      </c>
      <c r="Y186" t="s">
        <v>231</v>
      </c>
      <c r="Z186" t="s">
        <v>160</v>
      </c>
      <c r="AA186" t="s">
        <v>151</v>
      </c>
      <c r="AB186" t="s">
        <v>151</v>
      </c>
      <c r="AC186" t="s">
        <v>2289</v>
      </c>
      <c r="AD186" t="s">
        <v>2289</v>
      </c>
      <c r="AE186" t="s">
        <v>2290</v>
      </c>
      <c r="AF186" t="s">
        <v>3874</v>
      </c>
      <c r="AG186" t="s">
        <v>3875</v>
      </c>
      <c r="AH186" t="s">
        <v>3932</v>
      </c>
      <c r="AI186" t="s">
        <v>3738</v>
      </c>
      <c r="AJ186" t="s">
        <v>3619</v>
      </c>
      <c r="AK186" t="s">
        <v>3876</v>
      </c>
      <c r="AL186" t="s">
        <v>3548</v>
      </c>
      <c r="AM186" t="s">
        <v>3531</v>
      </c>
      <c r="AN186" t="s">
        <v>3595</v>
      </c>
      <c r="AO186" t="s">
        <v>3923</v>
      </c>
      <c r="AP186" t="s">
        <v>231</v>
      </c>
      <c r="AQ186" t="s">
        <v>231</v>
      </c>
      <c r="AR186" t="s">
        <v>231</v>
      </c>
      <c r="AS186" t="s">
        <v>231</v>
      </c>
      <c r="AT186" t="s">
        <v>231</v>
      </c>
      <c r="AU186" t="s">
        <v>231</v>
      </c>
      <c r="AV186" t="s">
        <v>231</v>
      </c>
      <c r="AW186" t="s">
        <v>231</v>
      </c>
      <c r="AX186" t="s">
        <v>231</v>
      </c>
      <c r="AY186" t="s">
        <v>231</v>
      </c>
      <c r="AZ186" t="s">
        <v>231</v>
      </c>
      <c r="BA186" t="s">
        <v>231</v>
      </c>
      <c r="BB186" t="s">
        <v>231</v>
      </c>
      <c r="BC186" t="s">
        <v>231</v>
      </c>
      <c r="BD186" t="s">
        <v>231</v>
      </c>
      <c r="BE186" t="s">
        <v>231</v>
      </c>
      <c r="BF186" t="s">
        <v>231</v>
      </c>
      <c r="BG186" t="s">
        <v>231</v>
      </c>
      <c r="BH186" t="s">
        <v>231</v>
      </c>
      <c r="BI186" t="s">
        <v>231</v>
      </c>
      <c r="BJ186" t="s">
        <v>231</v>
      </c>
      <c r="BK186" t="s">
        <v>231</v>
      </c>
      <c r="BL186" t="s">
        <v>231</v>
      </c>
      <c r="BM186" t="s">
        <v>231</v>
      </c>
      <c r="BN186" t="s">
        <v>231</v>
      </c>
      <c r="BO186" t="s">
        <v>231</v>
      </c>
      <c r="BP186" t="s">
        <v>231</v>
      </c>
      <c r="BQ186" t="s">
        <v>231</v>
      </c>
      <c r="BR186" t="s">
        <v>231</v>
      </c>
      <c r="BS186" t="s">
        <v>231</v>
      </c>
      <c r="BT186" t="s">
        <v>231</v>
      </c>
      <c r="BU186" t="s">
        <v>231</v>
      </c>
      <c r="BV186" t="s">
        <v>231</v>
      </c>
      <c r="BW186" t="s">
        <v>231</v>
      </c>
      <c r="BX186" t="s">
        <v>231</v>
      </c>
      <c r="BY186" t="s">
        <v>231</v>
      </c>
      <c r="BZ186" t="s">
        <v>231</v>
      </c>
      <c r="CA186" t="s">
        <v>231</v>
      </c>
      <c r="CB186" t="s">
        <v>231</v>
      </c>
      <c r="CC186" t="s">
        <v>231</v>
      </c>
      <c r="CD186" t="s">
        <v>231</v>
      </c>
      <c r="CE186" t="s">
        <v>231</v>
      </c>
      <c r="CF186" t="s">
        <v>231</v>
      </c>
      <c r="CG186" t="s">
        <v>231</v>
      </c>
      <c r="CH186" t="s">
        <v>231</v>
      </c>
      <c r="CI186" t="s">
        <v>231</v>
      </c>
      <c r="CJ186" t="s">
        <v>231</v>
      </c>
      <c r="CK186" t="s">
        <v>231</v>
      </c>
      <c r="CL186" t="s">
        <v>231</v>
      </c>
      <c r="CM186" t="s">
        <v>231</v>
      </c>
      <c r="CN186" t="s">
        <v>231</v>
      </c>
      <c r="CO186" t="s">
        <v>231</v>
      </c>
      <c r="CP186" t="s">
        <v>231</v>
      </c>
      <c r="CQ186" t="s">
        <v>231</v>
      </c>
      <c r="CR186" t="s">
        <v>231</v>
      </c>
      <c r="CS186" t="s">
        <v>231</v>
      </c>
      <c r="CT186" t="s">
        <v>3534</v>
      </c>
      <c r="CU186" t="s">
        <v>3535</v>
      </c>
      <c r="CV186" t="s">
        <v>3536</v>
      </c>
      <c r="CW186" t="s">
        <v>3589</v>
      </c>
      <c r="CX186" t="s">
        <v>223</v>
      </c>
      <c r="CY186" t="s">
        <v>3536</v>
      </c>
      <c r="CZ186" t="s">
        <v>3590</v>
      </c>
      <c r="DA186" t="s">
        <v>3591</v>
      </c>
      <c r="DB186" t="s">
        <v>3589</v>
      </c>
      <c r="DC186" t="s">
        <v>363</v>
      </c>
      <c r="DD186" t="s">
        <v>282</v>
      </c>
      <c r="DE186" t="s">
        <v>4450</v>
      </c>
    </row>
    <row r="187" spans="1:109" ht="11.25" customHeight="1">
      <c r="A187" s="1314" t="s">
        <v>231</v>
      </c>
      <c r="B187" t="s">
        <v>231</v>
      </c>
      <c r="C187" t="s">
        <v>231</v>
      </c>
      <c r="D187" t="s">
        <v>231</v>
      </c>
      <c r="E187" t="s">
        <v>231</v>
      </c>
      <c r="F187" t="s">
        <v>231</v>
      </c>
      <c r="G187" t="s">
        <v>231</v>
      </c>
      <c r="H187" t="s">
        <v>231</v>
      </c>
      <c r="I187" t="s">
        <v>3521</v>
      </c>
      <c r="J187" t="s">
        <v>231</v>
      </c>
      <c r="K187" t="s">
        <v>231</v>
      </c>
      <c r="L187" t="s">
        <v>231</v>
      </c>
      <c r="M187" t="s">
        <v>231</v>
      </c>
      <c r="N187" t="s">
        <v>231</v>
      </c>
      <c r="O187" t="s">
        <v>231</v>
      </c>
      <c r="P187" t="s">
        <v>231</v>
      </c>
      <c r="Q187" t="s">
        <v>231</v>
      </c>
      <c r="R187" t="s">
        <v>4451</v>
      </c>
      <c r="S187" t="s">
        <v>231</v>
      </c>
      <c r="T187" t="s">
        <v>231</v>
      </c>
      <c r="U187" t="s">
        <v>101</v>
      </c>
      <c r="V187" t="s">
        <v>231</v>
      </c>
      <c r="W187" t="s">
        <v>231</v>
      </c>
      <c r="X187" t="s">
        <v>3523</v>
      </c>
      <c r="Y187" t="s">
        <v>231</v>
      </c>
      <c r="Z187" t="s">
        <v>160</v>
      </c>
      <c r="AA187" t="s">
        <v>151</v>
      </c>
      <c r="AB187" t="s">
        <v>151</v>
      </c>
      <c r="AC187" t="s">
        <v>2289</v>
      </c>
      <c r="AD187" t="s">
        <v>2289</v>
      </c>
      <c r="AE187" t="s">
        <v>2290</v>
      </c>
      <c r="AF187" t="s">
        <v>3874</v>
      </c>
      <c r="AG187" t="s">
        <v>3875</v>
      </c>
      <c r="AH187" t="s">
        <v>3932</v>
      </c>
      <c r="AI187" t="s">
        <v>4452</v>
      </c>
      <c r="AJ187" t="s">
        <v>3619</v>
      </c>
      <c r="AK187" t="s">
        <v>3820</v>
      </c>
      <c r="AL187" t="s">
        <v>3548</v>
      </c>
      <c r="AM187" t="s">
        <v>3531</v>
      </c>
      <c r="AN187" t="s">
        <v>3587</v>
      </c>
      <c r="AO187" t="s">
        <v>3550</v>
      </c>
      <c r="AP187" t="s">
        <v>231</v>
      </c>
      <c r="AQ187" t="s">
        <v>231</v>
      </c>
      <c r="AR187" t="s">
        <v>231</v>
      </c>
      <c r="AS187" t="s">
        <v>231</v>
      </c>
      <c r="AT187" t="s">
        <v>231</v>
      </c>
      <c r="AU187" t="s">
        <v>231</v>
      </c>
      <c r="AV187" t="s">
        <v>231</v>
      </c>
      <c r="AW187" t="s">
        <v>231</v>
      </c>
      <c r="AX187" t="s">
        <v>231</v>
      </c>
      <c r="AY187" t="s">
        <v>231</v>
      </c>
      <c r="AZ187" t="s">
        <v>231</v>
      </c>
      <c r="BA187" t="s">
        <v>231</v>
      </c>
      <c r="BB187" t="s">
        <v>231</v>
      </c>
      <c r="BC187" t="s">
        <v>231</v>
      </c>
      <c r="BD187" t="s">
        <v>231</v>
      </c>
      <c r="BE187" t="s">
        <v>231</v>
      </c>
      <c r="BF187" t="s">
        <v>231</v>
      </c>
      <c r="BG187" t="s">
        <v>231</v>
      </c>
      <c r="BH187" t="s">
        <v>231</v>
      </c>
      <c r="BI187" t="s">
        <v>231</v>
      </c>
      <c r="BJ187" t="s">
        <v>231</v>
      </c>
      <c r="BK187" t="s">
        <v>231</v>
      </c>
      <c r="BL187" t="s">
        <v>231</v>
      </c>
      <c r="BM187" t="s">
        <v>231</v>
      </c>
      <c r="BN187" t="s">
        <v>231</v>
      </c>
      <c r="BO187" t="s">
        <v>231</v>
      </c>
      <c r="BP187" t="s">
        <v>231</v>
      </c>
      <c r="BQ187" t="s">
        <v>231</v>
      </c>
      <c r="BR187" t="s">
        <v>231</v>
      </c>
      <c r="BS187" t="s">
        <v>231</v>
      </c>
      <c r="BT187" t="s">
        <v>231</v>
      </c>
      <c r="BU187" t="s">
        <v>231</v>
      </c>
      <c r="BV187" t="s">
        <v>231</v>
      </c>
      <c r="BW187" t="s">
        <v>231</v>
      </c>
      <c r="BX187" t="s">
        <v>231</v>
      </c>
      <c r="BY187" t="s">
        <v>231</v>
      </c>
      <c r="BZ187" t="s">
        <v>231</v>
      </c>
      <c r="CA187" t="s">
        <v>231</v>
      </c>
      <c r="CB187" t="s">
        <v>231</v>
      </c>
      <c r="CC187" t="s">
        <v>231</v>
      </c>
      <c r="CD187" t="s">
        <v>231</v>
      </c>
      <c r="CE187" t="s">
        <v>231</v>
      </c>
      <c r="CF187" t="s">
        <v>231</v>
      </c>
      <c r="CG187" t="s">
        <v>231</v>
      </c>
      <c r="CH187" t="s">
        <v>231</v>
      </c>
      <c r="CI187" t="s">
        <v>231</v>
      </c>
      <c r="CJ187" t="s">
        <v>231</v>
      </c>
      <c r="CK187" t="s">
        <v>231</v>
      </c>
      <c r="CL187" t="s">
        <v>231</v>
      </c>
      <c r="CM187" t="s">
        <v>231</v>
      </c>
      <c r="CN187" t="s">
        <v>231</v>
      </c>
      <c r="CO187" t="s">
        <v>231</v>
      </c>
      <c r="CP187" t="s">
        <v>231</v>
      </c>
      <c r="CQ187" t="s">
        <v>231</v>
      </c>
      <c r="CR187" t="s">
        <v>231</v>
      </c>
      <c r="CS187" t="s">
        <v>231</v>
      </c>
      <c r="CT187" t="s">
        <v>3534</v>
      </c>
      <c r="CU187" t="s">
        <v>3535</v>
      </c>
      <c r="CV187" t="s">
        <v>3536</v>
      </c>
      <c r="CW187" t="s">
        <v>3589</v>
      </c>
      <c r="CX187" t="s">
        <v>223</v>
      </c>
      <c r="CY187" t="s">
        <v>3536</v>
      </c>
      <c r="CZ187" t="s">
        <v>3590</v>
      </c>
      <c r="DA187" t="s">
        <v>3591</v>
      </c>
      <c r="DB187" t="s">
        <v>3589</v>
      </c>
      <c r="DC187" t="s">
        <v>363</v>
      </c>
      <c r="DD187" t="s">
        <v>282</v>
      </c>
      <c r="DE187" t="s">
        <v>4453</v>
      </c>
    </row>
    <row r="188" spans="1:109" ht="11.25" customHeight="1">
      <c r="A188" s="1314" t="s">
        <v>231</v>
      </c>
      <c r="B188" t="s">
        <v>231</v>
      </c>
      <c r="C188" t="s">
        <v>231</v>
      </c>
      <c r="D188" t="s">
        <v>231</v>
      </c>
      <c r="E188" t="s">
        <v>231</v>
      </c>
      <c r="F188" t="s">
        <v>231</v>
      </c>
      <c r="G188" t="s">
        <v>231</v>
      </c>
      <c r="H188" t="s">
        <v>231</v>
      </c>
      <c r="I188" t="s">
        <v>3521</v>
      </c>
      <c r="J188" t="s">
        <v>231</v>
      </c>
      <c r="K188" t="s">
        <v>231</v>
      </c>
      <c r="L188" t="s">
        <v>231</v>
      </c>
      <c r="M188" t="s">
        <v>231</v>
      </c>
      <c r="N188" t="s">
        <v>231</v>
      </c>
      <c r="O188" t="s">
        <v>231</v>
      </c>
      <c r="P188" t="s">
        <v>231</v>
      </c>
      <c r="Q188" t="s">
        <v>231</v>
      </c>
      <c r="R188" t="s">
        <v>3615</v>
      </c>
      <c r="S188" t="s">
        <v>231</v>
      </c>
      <c r="T188" t="s">
        <v>231</v>
      </c>
      <c r="U188" t="s">
        <v>101</v>
      </c>
      <c r="V188" t="s">
        <v>231</v>
      </c>
      <c r="W188" t="s">
        <v>231</v>
      </c>
      <c r="X188" t="s">
        <v>3523</v>
      </c>
      <c r="Y188" t="s">
        <v>231</v>
      </c>
      <c r="Z188" t="s">
        <v>160</v>
      </c>
      <c r="AA188" t="s">
        <v>151</v>
      </c>
      <c r="AB188" t="s">
        <v>151</v>
      </c>
      <c r="AC188" t="s">
        <v>2289</v>
      </c>
      <c r="AD188" t="s">
        <v>2289</v>
      </c>
      <c r="AE188" t="s">
        <v>2290</v>
      </c>
      <c r="AF188" t="s">
        <v>4454</v>
      </c>
      <c r="AG188" t="s">
        <v>4455</v>
      </c>
      <c r="AH188" t="s">
        <v>4456</v>
      </c>
      <c r="AI188" t="s">
        <v>4243</v>
      </c>
      <c r="AJ188" t="s">
        <v>3546</v>
      </c>
      <c r="AK188" t="s">
        <v>3586</v>
      </c>
      <c r="AL188" t="s">
        <v>3548</v>
      </c>
      <c r="AM188" t="s">
        <v>3531</v>
      </c>
      <c r="AN188" t="s">
        <v>3587</v>
      </c>
      <c r="AO188" t="s">
        <v>4400</v>
      </c>
      <c r="AP188" t="s">
        <v>231</v>
      </c>
      <c r="AQ188" t="s">
        <v>231</v>
      </c>
      <c r="AR188" t="s">
        <v>231</v>
      </c>
      <c r="AS188" t="s">
        <v>231</v>
      </c>
      <c r="AT188" t="s">
        <v>231</v>
      </c>
      <c r="AU188" t="s">
        <v>231</v>
      </c>
      <c r="AV188" t="s">
        <v>231</v>
      </c>
      <c r="AW188" t="s">
        <v>231</v>
      </c>
      <c r="AX188" t="s">
        <v>231</v>
      </c>
      <c r="AY188" t="s">
        <v>231</v>
      </c>
      <c r="AZ188" t="s">
        <v>231</v>
      </c>
      <c r="BA188" t="s">
        <v>231</v>
      </c>
      <c r="BB188" t="s">
        <v>231</v>
      </c>
      <c r="BC188" t="s">
        <v>231</v>
      </c>
      <c r="BD188" t="s">
        <v>231</v>
      </c>
      <c r="BE188" t="s">
        <v>231</v>
      </c>
      <c r="BF188" t="s">
        <v>231</v>
      </c>
      <c r="BG188" t="s">
        <v>231</v>
      </c>
      <c r="BH188" t="s">
        <v>231</v>
      </c>
      <c r="BI188" t="s">
        <v>231</v>
      </c>
      <c r="BJ188" t="s">
        <v>231</v>
      </c>
      <c r="BK188" t="s">
        <v>231</v>
      </c>
      <c r="BL188" t="s">
        <v>231</v>
      </c>
      <c r="BM188" t="s">
        <v>231</v>
      </c>
      <c r="BN188" t="s">
        <v>231</v>
      </c>
      <c r="BO188" t="s">
        <v>231</v>
      </c>
      <c r="BP188" t="s">
        <v>231</v>
      </c>
      <c r="BQ188" t="s">
        <v>231</v>
      </c>
      <c r="BR188" t="s">
        <v>231</v>
      </c>
      <c r="BS188" t="s">
        <v>231</v>
      </c>
      <c r="BT188" t="s">
        <v>231</v>
      </c>
      <c r="BU188" t="s">
        <v>231</v>
      </c>
      <c r="BV188" t="s">
        <v>231</v>
      </c>
      <c r="BW188" t="s">
        <v>231</v>
      </c>
      <c r="BX188" t="s">
        <v>231</v>
      </c>
      <c r="BY188" t="s">
        <v>231</v>
      </c>
      <c r="BZ188" t="s">
        <v>231</v>
      </c>
      <c r="CA188" t="s">
        <v>231</v>
      </c>
      <c r="CB188" t="s">
        <v>231</v>
      </c>
      <c r="CC188" t="s">
        <v>231</v>
      </c>
      <c r="CD188" t="s">
        <v>231</v>
      </c>
      <c r="CE188" t="s">
        <v>231</v>
      </c>
      <c r="CF188" t="s">
        <v>231</v>
      </c>
      <c r="CG188" t="s">
        <v>231</v>
      </c>
      <c r="CH188" t="s">
        <v>231</v>
      </c>
      <c r="CI188" t="s">
        <v>231</v>
      </c>
      <c r="CJ188" t="s">
        <v>231</v>
      </c>
      <c r="CK188" t="s">
        <v>231</v>
      </c>
      <c r="CL188" t="s">
        <v>231</v>
      </c>
      <c r="CM188" t="s">
        <v>231</v>
      </c>
      <c r="CN188" t="s">
        <v>231</v>
      </c>
      <c r="CO188" t="s">
        <v>231</v>
      </c>
      <c r="CP188" t="s">
        <v>231</v>
      </c>
      <c r="CQ188" t="s">
        <v>231</v>
      </c>
      <c r="CR188" t="s">
        <v>231</v>
      </c>
      <c r="CS188" t="s">
        <v>231</v>
      </c>
      <c r="CT188" t="s">
        <v>3534</v>
      </c>
      <c r="CU188" t="s">
        <v>3535</v>
      </c>
      <c r="CV188" t="s">
        <v>3536</v>
      </c>
      <c r="CW188" t="s">
        <v>3589</v>
      </c>
      <c r="CX188" t="s">
        <v>223</v>
      </c>
      <c r="CY188" t="s">
        <v>3536</v>
      </c>
      <c r="CZ188" t="s">
        <v>3590</v>
      </c>
      <c r="DA188" t="s">
        <v>3591</v>
      </c>
      <c r="DB188" t="s">
        <v>3589</v>
      </c>
      <c r="DC188" t="s">
        <v>363</v>
      </c>
      <c r="DD188" t="s">
        <v>282</v>
      </c>
      <c r="DE188" t="s">
        <v>4457</v>
      </c>
    </row>
    <row r="189" spans="1:109" ht="11.25" customHeight="1">
      <c r="A189" s="1314" t="s">
        <v>231</v>
      </c>
      <c r="B189" t="s">
        <v>231</v>
      </c>
      <c r="C189" t="s">
        <v>231</v>
      </c>
      <c r="D189" t="s">
        <v>231</v>
      </c>
      <c r="E189" t="s">
        <v>231</v>
      </c>
      <c r="F189" t="s">
        <v>231</v>
      </c>
      <c r="G189" t="s">
        <v>231</v>
      </c>
      <c r="H189" t="s">
        <v>231</v>
      </c>
      <c r="I189" t="s">
        <v>3521</v>
      </c>
      <c r="J189" t="s">
        <v>231</v>
      </c>
      <c r="K189" t="s">
        <v>231</v>
      </c>
      <c r="L189" t="s">
        <v>231</v>
      </c>
      <c r="M189" t="s">
        <v>231</v>
      </c>
      <c r="N189" t="s">
        <v>231</v>
      </c>
      <c r="O189" t="s">
        <v>231</v>
      </c>
      <c r="P189" t="s">
        <v>231</v>
      </c>
      <c r="Q189" t="s">
        <v>231</v>
      </c>
      <c r="R189" t="s">
        <v>3615</v>
      </c>
      <c r="S189" t="s">
        <v>231</v>
      </c>
      <c r="T189" t="s">
        <v>231</v>
      </c>
      <c r="U189" t="s">
        <v>101</v>
      </c>
      <c r="V189" t="s">
        <v>231</v>
      </c>
      <c r="W189" t="s">
        <v>231</v>
      </c>
      <c r="X189" t="s">
        <v>3523</v>
      </c>
      <c r="Y189" t="s">
        <v>231</v>
      </c>
      <c r="Z189" t="s">
        <v>160</v>
      </c>
      <c r="AA189" t="s">
        <v>151</v>
      </c>
      <c r="AB189" t="s">
        <v>151</v>
      </c>
      <c r="AC189" t="s">
        <v>2287</v>
      </c>
      <c r="AD189" t="s">
        <v>2287</v>
      </c>
      <c r="AE189" t="s">
        <v>2288</v>
      </c>
      <c r="AF189" t="s">
        <v>4189</v>
      </c>
      <c r="AG189" t="s">
        <v>4190</v>
      </c>
      <c r="AH189" t="s">
        <v>4458</v>
      </c>
      <c r="AI189" t="s">
        <v>224</v>
      </c>
      <c r="AJ189" t="s">
        <v>3619</v>
      </c>
      <c r="AK189" t="s">
        <v>3858</v>
      </c>
      <c r="AL189" t="s">
        <v>3548</v>
      </c>
      <c r="AM189" t="s">
        <v>3531</v>
      </c>
      <c r="AN189" t="s">
        <v>3621</v>
      </c>
      <c r="AO189" t="s">
        <v>3901</v>
      </c>
      <c r="AP189" t="s">
        <v>231</v>
      </c>
      <c r="AQ189" t="s">
        <v>231</v>
      </c>
      <c r="AR189" t="s">
        <v>231</v>
      </c>
      <c r="AS189" t="s">
        <v>231</v>
      </c>
      <c r="AT189" t="s">
        <v>231</v>
      </c>
      <c r="AU189" t="s">
        <v>231</v>
      </c>
      <c r="AV189" t="s">
        <v>231</v>
      </c>
      <c r="AW189" t="s">
        <v>231</v>
      </c>
      <c r="AX189" t="s">
        <v>231</v>
      </c>
      <c r="AY189" t="s">
        <v>231</v>
      </c>
      <c r="AZ189" t="s">
        <v>231</v>
      </c>
      <c r="BA189" t="s">
        <v>231</v>
      </c>
      <c r="BB189" t="s">
        <v>231</v>
      </c>
      <c r="BC189" t="s">
        <v>231</v>
      </c>
      <c r="BD189" t="s">
        <v>231</v>
      </c>
      <c r="BE189" t="s">
        <v>231</v>
      </c>
      <c r="BF189" t="s">
        <v>231</v>
      </c>
      <c r="BG189" t="s">
        <v>231</v>
      </c>
      <c r="BH189" t="s">
        <v>231</v>
      </c>
      <c r="BI189" t="s">
        <v>231</v>
      </c>
      <c r="BJ189" t="s">
        <v>231</v>
      </c>
      <c r="BK189" t="s">
        <v>231</v>
      </c>
      <c r="BL189" t="s">
        <v>231</v>
      </c>
      <c r="BM189" t="s">
        <v>231</v>
      </c>
      <c r="BN189" t="s">
        <v>231</v>
      </c>
      <c r="BO189" t="s">
        <v>231</v>
      </c>
      <c r="BP189" t="s">
        <v>231</v>
      </c>
      <c r="BQ189" t="s">
        <v>231</v>
      </c>
      <c r="BR189" t="s">
        <v>231</v>
      </c>
      <c r="BS189" t="s">
        <v>231</v>
      </c>
      <c r="BT189" t="s">
        <v>231</v>
      </c>
      <c r="BU189" t="s">
        <v>231</v>
      </c>
      <c r="BV189" t="s">
        <v>231</v>
      </c>
      <c r="BW189" t="s">
        <v>231</v>
      </c>
      <c r="BX189" t="s">
        <v>231</v>
      </c>
      <c r="BY189" t="s">
        <v>231</v>
      </c>
      <c r="BZ189" t="s">
        <v>231</v>
      </c>
      <c r="CA189" t="s">
        <v>231</v>
      </c>
      <c r="CB189" t="s">
        <v>231</v>
      </c>
      <c r="CC189" t="s">
        <v>231</v>
      </c>
      <c r="CD189" t="s">
        <v>231</v>
      </c>
      <c r="CE189" t="s">
        <v>231</v>
      </c>
      <c r="CF189" t="s">
        <v>231</v>
      </c>
      <c r="CG189" t="s">
        <v>231</v>
      </c>
      <c r="CH189" t="s">
        <v>231</v>
      </c>
      <c r="CI189" t="s">
        <v>231</v>
      </c>
      <c r="CJ189" t="s">
        <v>231</v>
      </c>
      <c r="CK189" t="s">
        <v>231</v>
      </c>
      <c r="CL189" t="s">
        <v>231</v>
      </c>
      <c r="CM189" t="s">
        <v>231</v>
      </c>
      <c r="CN189" t="s">
        <v>231</v>
      </c>
      <c r="CO189" t="s">
        <v>231</v>
      </c>
      <c r="CP189" t="s">
        <v>231</v>
      </c>
      <c r="CQ189" t="s">
        <v>231</v>
      </c>
      <c r="CR189" t="s">
        <v>231</v>
      </c>
      <c r="CS189" t="s">
        <v>231</v>
      </c>
      <c r="CT189" t="s">
        <v>3534</v>
      </c>
      <c r="CU189" t="s">
        <v>3535</v>
      </c>
      <c r="CV189" t="s">
        <v>3536</v>
      </c>
      <c r="CW189" t="s">
        <v>3623</v>
      </c>
      <c r="CX189" t="s">
        <v>223</v>
      </c>
      <c r="CY189" t="s">
        <v>3536</v>
      </c>
      <c r="CZ189" t="s">
        <v>3624</v>
      </c>
      <c r="DA189" t="s">
        <v>3625</v>
      </c>
      <c r="DB189" t="s">
        <v>3623</v>
      </c>
      <c r="DC189" t="s">
        <v>363</v>
      </c>
      <c r="DD189" t="s">
        <v>282</v>
      </c>
      <c r="DE189" t="s">
        <v>4459</v>
      </c>
    </row>
    <row r="190" spans="1:109" ht="11.25" customHeight="1">
      <c r="A190" s="1314" t="s">
        <v>231</v>
      </c>
      <c r="B190" t="s">
        <v>231</v>
      </c>
      <c r="C190" t="s">
        <v>231</v>
      </c>
      <c r="D190" t="s">
        <v>231</v>
      </c>
      <c r="E190" t="s">
        <v>231</v>
      </c>
      <c r="F190" t="s">
        <v>231</v>
      </c>
      <c r="G190" t="s">
        <v>231</v>
      </c>
      <c r="H190" t="s">
        <v>231</v>
      </c>
      <c r="I190" t="s">
        <v>3521</v>
      </c>
      <c r="J190" t="s">
        <v>231</v>
      </c>
      <c r="K190" t="s">
        <v>231</v>
      </c>
      <c r="L190" t="s">
        <v>231</v>
      </c>
      <c r="M190" t="s">
        <v>231</v>
      </c>
      <c r="N190" t="s">
        <v>231</v>
      </c>
      <c r="O190" t="s">
        <v>231</v>
      </c>
      <c r="P190" t="s">
        <v>231</v>
      </c>
      <c r="Q190" t="s">
        <v>231</v>
      </c>
      <c r="R190" t="s">
        <v>4460</v>
      </c>
      <c r="S190" t="s">
        <v>231</v>
      </c>
      <c r="T190" t="s">
        <v>231</v>
      </c>
      <c r="U190" t="s">
        <v>101</v>
      </c>
      <c r="V190" t="s">
        <v>231</v>
      </c>
      <c r="W190" t="s">
        <v>231</v>
      </c>
      <c r="X190" t="s">
        <v>3628</v>
      </c>
      <c r="Y190" t="s">
        <v>231</v>
      </c>
      <c r="Z190" t="s">
        <v>151</v>
      </c>
      <c r="AA190" t="s">
        <v>151</v>
      </c>
      <c r="AB190" t="s">
        <v>160</v>
      </c>
      <c r="AC190" t="s">
        <v>2287</v>
      </c>
      <c r="AD190" t="s">
        <v>2287</v>
      </c>
      <c r="AE190" t="s">
        <v>2288</v>
      </c>
      <c r="AF190" t="s">
        <v>4189</v>
      </c>
      <c r="AG190" t="s">
        <v>4190</v>
      </c>
      <c r="AH190" t="s">
        <v>3618</v>
      </c>
      <c r="AI190" t="s">
        <v>3618</v>
      </c>
      <c r="AJ190" t="s">
        <v>231</v>
      </c>
      <c r="AK190" t="s">
        <v>231</v>
      </c>
      <c r="AL190" t="s">
        <v>231</v>
      </c>
      <c r="AM190" t="s">
        <v>231</v>
      </c>
      <c r="AN190" t="s">
        <v>231</v>
      </c>
      <c r="AO190" t="s">
        <v>231</v>
      </c>
      <c r="AP190" t="s">
        <v>231</v>
      </c>
      <c r="AQ190" t="s">
        <v>231</v>
      </c>
      <c r="AR190" t="s">
        <v>231</v>
      </c>
      <c r="AS190" t="s">
        <v>231</v>
      </c>
      <c r="AT190" t="s">
        <v>231</v>
      </c>
      <c r="AU190" t="s">
        <v>231</v>
      </c>
      <c r="AV190" t="s">
        <v>231</v>
      </c>
      <c r="AW190" t="s">
        <v>231</v>
      </c>
      <c r="AX190" t="s">
        <v>231</v>
      </c>
      <c r="AY190" t="s">
        <v>231</v>
      </c>
      <c r="AZ190" t="s">
        <v>231</v>
      </c>
      <c r="BA190" t="s">
        <v>231</v>
      </c>
      <c r="BB190" t="s">
        <v>231</v>
      </c>
      <c r="BC190" t="s">
        <v>231</v>
      </c>
      <c r="BD190" t="s">
        <v>231</v>
      </c>
      <c r="BE190" t="s">
        <v>4042</v>
      </c>
      <c r="BF190" t="s">
        <v>4461</v>
      </c>
      <c r="BG190" t="s">
        <v>111</v>
      </c>
      <c r="BH190" t="s">
        <v>3632</v>
      </c>
      <c r="BI190" t="s">
        <v>122</v>
      </c>
      <c r="BJ190" t="s">
        <v>231</v>
      </c>
      <c r="BK190" t="s">
        <v>3651</v>
      </c>
      <c r="BL190" t="s">
        <v>2287</v>
      </c>
      <c r="BM190" t="s">
        <v>2287</v>
      </c>
      <c r="BN190" t="s">
        <v>3842</v>
      </c>
      <c r="BO190" t="s">
        <v>4189</v>
      </c>
      <c r="BP190" t="s">
        <v>4462</v>
      </c>
      <c r="BQ190" t="s">
        <v>3618</v>
      </c>
      <c r="BR190" t="s">
        <v>3618</v>
      </c>
      <c r="BS190" t="s">
        <v>231</v>
      </c>
      <c r="BT190" t="s">
        <v>3694</v>
      </c>
      <c r="BU190" t="s">
        <v>4463</v>
      </c>
      <c r="BV190" t="s">
        <v>4463</v>
      </c>
      <c r="BW190" t="s">
        <v>3641</v>
      </c>
      <c r="BX190" t="s">
        <v>3641</v>
      </c>
      <c r="BY190" t="s">
        <v>3641</v>
      </c>
      <c r="BZ190" t="s">
        <v>3641</v>
      </c>
      <c r="CA190" t="s">
        <v>3641</v>
      </c>
      <c r="CB190" t="s">
        <v>231</v>
      </c>
      <c r="CC190" t="s">
        <v>231</v>
      </c>
      <c r="CD190" t="s">
        <v>231</v>
      </c>
      <c r="CE190" t="s">
        <v>231</v>
      </c>
      <c r="CF190" t="s">
        <v>231</v>
      </c>
      <c r="CG190" t="s">
        <v>3641</v>
      </c>
      <c r="CH190" t="s">
        <v>231</v>
      </c>
      <c r="CI190" t="s">
        <v>231</v>
      </c>
      <c r="CJ190" t="s">
        <v>231</v>
      </c>
      <c r="CK190" t="s">
        <v>231</v>
      </c>
      <c r="CL190" t="s">
        <v>231</v>
      </c>
      <c r="CM190" t="s">
        <v>4463</v>
      </c>
      <c r="CN190" t="s">
        <v>4463</v>
      </c>
      <c r="CO190" t="s">
        <v>231</v>
      </c>
      <c r="CP190" t="s">
        <v>231</v>
      </c>
      <c r="CQ190" t="s">
        <v>231</v>
      </c>
      <c r="CR190" t="s">
        <v>231</v>
      </c>
      <c r="CS190" t="s">
        <v>3529</v>
      </c>
      <c r="CT190" t="s">
        <v>3534</v>
      </c>
      <c r="CU190" t="s">
        <v>3535</v>
      </c>
      <c r="CV190" t="s">
        <v>3536</v>
      </c>
      <c r="CW190" t="s">
        <v>3623</v>
      </c>
      <c r="CX190" t="s">
        <v>223</v>
      </c>
      <c r="CY190" t="s">
        <v>3536</v>
      </c>
      <c r="CZ190" t="s">
        <v>3624</v>
      </c>
      <c r="DA190" t="s">
        <v>3625</v>
      </c>
      <c r="DB190" t="s">
        <v>3623</v>
      </c>
      <c r="DC190" t="s">
        <v>363</v>
      </c>
      <c r="DD190" t="s">
        <v>282</v>
      </c>
      <c r="DE190" t="s">
        <v>4464</v>
      </c>
    </row>
    <row r="191" spans="1:109" ht="11.25" customHeight="1">
      <c r="A191" s="1314" t="s">
        <v>231</v>
      </c>
      <c r="B191" t="s">
        <v>231</v>
      </c>
      <c r="C191" t="s">
        <v>231</v>
      </c>
      <c r="D191" t="s">
        <v>231</v>
      </c>
      <c r="E191" t="s">
        <v>231</v>
      </c>
      <c r="F191" t="s">
        <v>231</v>
      </c>
      <c r="G191" t="s">
        <v>231</v>
      </c>
      <c r="H191" t="s">
        <v>231</v>
      </c>
      <c r="I191" t="s">
        <v>3521</v>
      </c>
      <c r="J191" t="s">
        <v>231</v>
      </c>
      <c r="K191" t="s">
        <v>231</v>
      </c>
      <c r="L191" t="s">
        <v>231</v>
      </c>
      <c r="M191" t="s">
        <v>231</v>
      </c>
      <c r="N191" t="s">
        <v>231</v>
      </c>
      <c r="O191" t="s">
        <v>231</v>
      </c>
      <c r="P191" t="s">
        <v>231</v>
      </c>
      <c r="Q191" t="s">
        <v>231</v>
      </c>
      <c r="R191" t="s">
        <v>3615</v>
      </c>
      <c r="S191" t="s">
        <v>231</v>
      </c>
      <c r="T191" t="s">
        <v>231</v>
      </c>
      <c r="U191" t="s">
        <v>101</v>
      </c>
      <c r="V191" t="s">
        <v>231</v>
      </c>
      <c r="W191" t="s">
        <v>231</v>
      </c>
      <c r="X191" t="s">
        <v>3523</v>
      </c>
      <c r="Y191" t="s">
        <v>231</v>
      </c>
      <c r="Z191" t="s">
        <v>160</v>
      </c>
      <c r="AA191" t="s">
        <v>151</v>
      </c>
      <c r="AB191" t="s">
        <v>151</v>
      </c>
      <c r="AC191" t="s">
        <v>2287</v>
      </c>
      <c r="AD191" t="s">
        <v>2287</v>
      </c>
      <c r="AE191" t="s">
        <v>2288</v>
      </c>
      <c r="AF191" t="s">
        <v>4465</v>
      </c>
      <c r="AG191" t="s">
        <v>4466</v>
      </c>
      <c r="AH191" t="s">
        <v>3618</v>
      </c>
      <c r="AI191" t="s">
        <v>3618</v>
      </c>
      <c r="AJ191" t="s">
        <v>3619</v>
      </c>
      <c r="AK191" t="s">
        <v>4467</v>
      </c>
      <c r="AL191" t="s">
        <v>3548</v>
      </c>
      <c r="AM191" t="s">
        <v>3531</v>
      </c>
      <c r="AN191" t="s">
        <v>3621</v>
      </c>
      <c r="AO191" t="s">
        <v>3622</v>
      </c>
      <c r="AP191" t="s">
        <v>231</v>
      </c>
      <c r="AQ191" t="s">
        <v>231</v>
      </c>
      <c r="AR191" t="s">
        <v>231</v>
      </c>
      <c r="AS191" t="s">
        <v>231</v>
      </c>
      <c r="AT191" t="s">
        <v>231</v>
      </c>
      <c r="AU191" t="s">
        <v>231</v>
      </c>
      <c r="AV191" t="s">
        <v>231</v>
      </c>
      <c r="AW191" t="s">
        <v>231</v>
      </c>
      <c r="AX191" t="s">
        <v>231</v>
      </c>
      <c r="AY191" t="s">
        <v>231</v>
      </c>
      <c r="AZ191" t="s">
        <v>231</v>
      </c>
      <c r="BA191" t="s">
        <v>231</v>
      </c>
      <c r="BB191" t="s">
        <v>231</v>
      </c>
      <c r="BC191" t="s">
        <v>231</v>
      </c>
      <c r="BD191" t="s">
        <v>231</v>
      </c>
      <c r="BE191" t="s">
        <v>231</v>
      </c>
      <c r="BF191" t="s">
        <v>231</v>
      </c>
      <c r="BG191" t="s">
        <v>231</v>
      </c>
      <c r="BH191" t="s">
        <v>231</v>
      </c>
      <c r="BI191" t="s">
        <v>231</v>
      </c>
      <c r="BJ191" t="s">
        <v>231</v>
      </c>
      <c r="BK191" t="s">
        <v>231</v>
      </c>
      <c r="BL191" t="s">
        <v>231</v>
      </c>
      <c r="BM191" t="s">
        <v>231</v>
      </c>
      <c r="BN191" t="s">
        <v>231</v>
      </c>
      <c r="BO191" t="s">
        <v>231</v>
      </c>
      <c r="BP191" t="s">
        <v>231</v>
      </c>
      <c r="BQ191" t="s">
        <v>231</v>
      </c>
      <c r="BR191" t="s">
        <v>231</v>
      </c>
      <c r="BS191" t="s">
        <v>231</v>
      </c>
      <c r="BT191" t="s">
        <v>231</v>
      </c>
      <c r="BU191" t="s">
        <v>231</v>
      </c>
      <c r="BV191" t="s">
        <v>231</v>
      </c>
      <c r="BW191" t="s">
        <v>231</v>
      </c>
      <c r="BX191" t="s">
        <v>231</v>
      </c>
      <c r="BY191" t="s">
        <v>231</v>
      </c>
      <c r="BZ191" t="s">
        <v>231</v>
      </c>
      <c r="CA191" t="s">
        <v>231</v>
      </c>
      <c r="CB191" t="s">
        <v>231</v>
      </c>
      <c r="CC191" t="s">
        <v>231</v>
      </c>
      <c r="CD191" t="s">
        <v>231</v>
      </c>
      <c r="CE191" t="s">
        <v>231</v>
      </c>
      <c r="CF191" t="s">
        <v>231</v>
      </c>
      <c r="CG191" t="s">
        <v>231</v>
      </c>
      <c r="CH191" t="s">
        <v>231</v>
      </c>
      <c r="CI191" t="s">
        <v>231</v>
      </c>
      <c r="CJ191" t="s">
        <v>231</v>
      </c>
      <c r="CK191" t="s">
        <v>231</v>
      </c>
      <c r="CL191" t="s">
        <v>231</v>
      </c>
      <c r="CM191" t="s">
        <v>231</v>
      </c>
      <c r="CN191" t="s">
        <v>231</v>
      </c>
      <c r="CO191" t="s">
        <v>231</v>
      </c>
      <c r="CP191" t="s">
        <v>231</v>
      </c>
      <c r="CQ191" t="s">
        <v>231</v>
      </c>
      <c r="CR191" t="s">
        <v>231</v>
      </c>
      <c r="CS191" t="s">
        <v>231</v>
      </c>
      <c r="CT191" t="s">
        <v>3534</v>
      </c>
      <c r="CU191" t="s">
        <v>3535</v>
      </c>
      <c r="CV191" t="s">
        <v>3536</v>
      </c>
      <c r="CW191" t="s">
        <v>3623</v>
      </c>
      <c r="CX191" t="s">
        <v>223</v>
      </c>
      <c r="CY191" t="s">
        <v>3536</v>
      </c>
      <c r="CZ191" t="s">
        <v>3624</v>
      </c>
      <c r="DA191" t="s">
        <v>3625</v>
      </c>
      <c r="DB191" t="s">
        <v>3623</v>
      </c>
      <c r="DC191" t="s">
        <v>363</v>
      </c>
      <c r="DD191" t="s">
        <v>282</v>
      </c>
      <c r="DE191" t="s">
        <v>4468</v>
      </c>
    </row>
    <row r="192" spans="1:109" ht="11.25" customHeight="1">
      <c r="A192" s="1314" t="s">
        <v>231</v>
      </c>
      <c r="B192" t="s">
        <v>231</v>
      </c>
      <c r="C192" t="s">
        <v>231</v>
      </c>
      <c r="D192" t="s">
        <v>231</v>
      </c>
      <c r="E192" t="s">
        <v>231</v>
      </c>
      <c r="F192" t="s">
        <v>231</v>
      </c>
      <c r="G192" t="s">
        <v>231</v>
      </c>
      <c r="H192" t="s">
        <v>231</v>
      </c>
      <c r="I192" t="s">
        <v>3521</v>
      </c>
      <c r="J192" t="s">
        <v>231</v>
      </c>
      <c r="K192" t="s">
        <v>231</v>
      </c>
      <c r="L192" t="s">
        <v>231</v>
      </c>
      <c r="M192" t="s">
        <v>231</v>
      </c>
      <c r="N192" t="s">
        <v>231</v>
      </c>
      <c r="O192" t="s">
        <v>231</v>
      </c>
      <c r="P192" t="s">
        <v>231</v>
      </c>
      <c r="Q192" t="s">
        <v>231</v>
      </c>
      <c r="R192" t="s">
        <v>3541</v>
      </c>
      <c r="S192" t="s">
        <v>231</v>
      </c>
      <c r="T192" t="s">
        <v>231</v>
      </c>
      <c r="U192" t="s">
        <v>101</v>
      </c>
      <c r="V192" t="s">
        <v>231</v>
      </c>
      <c r="W192" t="s">
        <v>231</v>
      </c>
      <c r="X192" t="s">
        <v>3523</v>
      </c>
      <c r="Y192" t="s">
        <v>231</v>
      </c>
      <c r="Z192" t="s">
        <v>160</v>
      </c>
      <c r="AA192" t="s">
        <v>151</v>
      </c>
      <c r="AB192" t="s">
        <v>151</v>
      </c>
      <c r="AC192" t="s">
        <v>2289</v>
      </c>
      <c r="AD192" t="s">
        <v>2289</v>
      </c>
      <c r="AE192" t="s">
        <v>2290</v>
      </c>
      <c r="AF192" t="s">
        <v>4020</v>
      </c>
      <c r="AG192" t="s">
        <v>4021</v>
      </c>
      <c r="AH192" t="s">
        <v>4022</v>
      </c>
      <c r="AI192" t="s">
        <v>3774</v>
      </c>
      <c r="AJ192" t="s">
        <v>3546</v>
      </c>
      <c r="AK192" t="s">
        <v>3775</v>
      </c>
      <c r="AL192" t="s">
        <v>3548</v>
      </c>
      <c r="AM192" t="s">
        <v>3531</v>
      </c>
      <c r="AN192" t="s">
        <v>3587</v>
      </c>
      <c r="AO192" t="s">
        <v>3679</v>
      </c>
      <c r="AP192" t="s">
        <v>231</v>
      </c>
      <c r="AQ192" t="s">
        <v>231</v>
      </c>
      <c r="AR192" t="s">
        <v>231</v>
      </c>
      <c r="AS192" t="s">
        <v>231</v>
      </c>
      <c r="AT192" t="s">
        <v>231</v>
      </c>
      <c r="AU192" t="s">
        <v>231</v>
      </c>
      <c r="AV192" t="s">
        <v>231</v>
      </c>
      <c r="AW192" t="s">
        <v>231</v>
      </c>
      <c r="AX192" t="s">
        <v>231</v>
      </c>
      <c r="AY192" t="s">
        <v>231</v>
      </c>
      <c r="AZ192" t="s">
        <v>231</v>
      </c>
      <c r="BA192" t="s">
        <v>231</v>
      </c>
      <c r="BB192" t="s">
        <v>231</v>
      </c>
      <c r="BC192" t="s">
        <v>231</v>
      </c>
      <c r="BD192" t="s">
        <v>231</v>
      </c>
      <c r="BE192" t="s">
        <v>231</v>
      </c>
      <c r="BF192" t="s">
        <v>231</v>
      </c>
      <c r="BG192" t="s">
        <v>231</v>
      </c>
      <c r="BH192" t="s">
        <v>231</v>
      </c>
      <c r="BI192" t="s">
        <v>231</v>
      </c>
      <c r="BJ192" t="s">
        <v>231</v>
      </c>
      <c r="BK192" t="s">
        <v>231</v>
      </c>
      <c r="BL192" t="s">
        <v>231</v>
      </c>
      <c r="BM192" t="s">
        <v>231</v>
      </c>
      <c r="BN192" t="s">
        <v>231</v>
      </c>
      <c r="BO192" t="s">
        <v>231</v>
      </c>
      <c r="BP192" t="s">
        <v>231</v>
      </c>
      <c r="BQ192" t="s">
        <v>231</v>
      </c>
      <c r="BR192" t="s">
        <v>231</v>
      </c>
      <c r="BS192" t="s">
        <v>231</v>
      </c>
      <c r="BT192" t="s">
        <v>231</v>
      </c>
      <c r="BU192" t="s">
        <v>231</v>
      </c>
      <c r="BV192" t="s">
        <v>231</v>
      </c>
      <c r="BW192" t="s">
        <v>231</v>
      </c>
      <c r="BX192" t="s">
        <v>231</v>
      </c>
      <c r="BY192" t="s">
        <v>231</v>
      </c>
      <c r="BZ192" t="s">
        <v>231</v>
      </c>
      <c r="CA192" t="s">
        <v>231</v>
      </c>
      <c r="CB192" t="s">
        <v>231</v>
      </c>
      <c r="CC192" t="s">
        <v>231</v>
      </c>
      <c r="CD192" t="s">
        <v>231</v>
      </c>
      <c r="CE192" t="s">
        <v>231</v>
      </c>
      <c r="CF192" t="s">
        <v>231</v>
      </c>
      <c r="CG192" t="s">
        <v>231</v>
      </c>
      <c r="CH192" t="s">
        <v>231</v>
      </c>
      <c r="CI192" t="s">
        <v>231</v>
      </c>
      <c r="CJ192" t="s">
        <v>231</v>
      </c>
      <c r="CK192" t="s">
        <v>231</v>
      </c>
      <c r="CL192" t="s">
        <v>231</v>
      </c>
      <c r="CM192" t="s">
        <v>231</v>
      </c>
      <c r="CN192" t="s">
        <v>231</v>
      </c>
      <c r="CO192" t="s">
        <v>231</v>
      </c>
      <c r="CP192" t="s">
        <v>231</v>
      </c>
      <c r="CQ192" t="s">
        <v>231</v>
      </c>
      <c r="CR192" t="s">
        <v>231</v>
      </c>
      <c r="CS192" t="s">
        <v>231</v>
      </c>
      <c r="CT192" t="s">
        <v>3534</v>
      </c>
      <c r="CU192" t="s">
        <v>3535</v>
      </c>
      <c r="CV192" t="s">
        <v>3536</v>
      </c>
      <c r="CW192" t="s">
        <v>3589</v>
      </c>
      <c r="CX192" t="s">
        <v>223</v>
      </c>
      <c r="CY192" t="s">
        <v>3536</v>
      </c>
      <c r="CZ192" t="s">
        <v>3590</v>
      </c>
      <c r="DA192" t="s">
        <v>3591</v>
      </c>
      <c r="DB192" t="s">
        <v>3589</v>
      </c>
      <c r="DC192" t="s">
        <v>363</v>
      </c>
      <c r="DD192" t="s">
        <v>282</v>
      </c>
      <c r="DE192" t="s">
        <v>4023</v>
      </c>
    </row>
    <row r="193" spans="1:109" ht="11.25" customHeight="1">
      <c r="A193" s="1314" t="s">
        <v>231</v>
      </c>
      <c r="B193" t="s">
        <v>231</v>
      </c>
      <c r="C193" t="s">
        <v>231</v>
      </c>
      <c r="D193" t="s">
        <v>231</v>
      </c>
      <c r="E193" t="s">
        <v>231</v>
      </c>
      <c r="F193" t="s">
        <v>231</v>
      </c>
      <c r="G193" t="s">
        <v>231</v>
      </c>
      <c r="H193" t="s">
        <v>231</v>
      </c>
      <c r="I193" t="s">
        <v>3521</v>
      </c>
      <c r="J193" t="s">
        <v>231</v>
      </c>
      <c r="K193" t="s">
        <v>231</v>
      </c>
      <c r="L193" t="s">
        <v>231</v>
      </c>
      <c r="M193" t="s">
        <v>231</v>
      </c>
      <c r="N193" t="s">
        <v>231</v>
      </c>
      <c r="O193" t="s">
        <v>231</v>
      </c>
      <c r="P193" t="s">
        <v>231</v>
      </c>
      <c r="Q193" t="s">
        <v>231</v>
      </c>
      <c r="R193" t="s">
        <v>4469</v>
      </c>
      <c r="S193" t="s">
        <v>231</v>
      </c>
      <c r="T193" t="s">
        <v>231</v>
      </c>
      <c r="U193" t="s">
        <v>101</v>
      </c>
      <c r="V193" t="s">
        <v>231</v>
      </c>
      <c r="W193" t="s">
        <v>231</v>
      </c>
      <c r="X193" t="s">
        <v>3628</v>
      </c>
      <c r="Y193" t="s">
        <v>231</v>
      </c>
      <c r="Z193" t="s">
        <v>151</v>
      </c>
      <c r="AA193" t="s">
        <v>151</v>
      </c>
      <c r="AB193" t="s">
        <v>160</v>
      </c>
      <c r="AC193" t="s">
        <v>2289</v>
      </c>
      <c r="AD193" t="s">
        <v>2289</v>
      </c>
      <c r="AE193" t="s">
        <v>2290</v>
      </c>
      <c r="AF193" t="s">
        <v>4020</v>
      </c>
      <c r="AG193" t="s">
        <v>4021</v>
      </c>
      <c r="AH193" t="s">
        <v>3618</v>
      </c>
      <c r="AI193" t="s">
        <v>3618</v>
      </c>
      <c r="AJ193" t="s">
        <v>231</v>
      </c>
      <c r="AK193" t="s">
        <v>231</v>
      </c>
      <c r="AL193" t="s">
        <v>231</v>
      </c>
      <c r="AM193" t="s">
        <v>231</v>
      </c>
      <c r="AN193" t="s">
        <v>231</v>
      </c>
      <c r="AO193" t="s">
        <v>231</v>
      </c>
      <c r="AP193" t="s">
        <v>231</v>
      </c>
      <c r="AQ193" t="s">
        <v>231</v>
      </c>
      <c r="AR193" t="s">
        <v>231</v>
      </c>
      <c r="AS193" t="s">
        <v>231</v>
      </c>
      <c r="AT193" t="s">
        <v>231</v>
      </c>
      <c r="AU193" t="s">
        <v>231</v>
      </c>
      <c r="AV193" t="s">
        <v>231</v>
      </c>
      <c r="AW193" t="s">
        <v>231</v>
      </c>
      <c r="AX193" t="s">
        <v>231</v>
      </c>
      <c r="AY193" t="s">
        <v>231</v>
      </c>
      <c r="AZ193" t="s">
        <v>231</v>
      </c>
      <c r="BA193" t="s">
        <v>231</v>
      </c>
      <c r="BB193" t="s">
        <v>231</v>
      </c>
      <c r="BC193" t="s">
        <v>231</v>
      </c>
      <c r="BD193" t="s">
        <v>231</v>
      </c>
      <c r="BE193" t="s">
        <v>3594</v>
      </c>
      <c r="BF193" t="s">
        <v>3586</v>
      </c>
      <c r="BG193" t="s">
        <v>111</v>
      </c>
      <c r="BH193" t="s">
        <v>3632</v>
      </c>
      <c r="BI193" t="s">
        <v>122</v>
      </c>
      <c r="BJ193" t="s">
        <v>231</v>
      </c>
      <c r="BK193" t="s">
        <v>3651</v>
      </c>
      <c r="BL193" t="s">
        <v>2289</v>
      </c>
      <c r="BM193" t="s">
        <v>2289</v>
      </c>
      <c r="BN193" t="s">
        <v>3707</v>
      </c>
      <c r="BO193" t="s">
        <v>4020</v>
      </c>
      <c r="BP193" t="s">
        <v>4470</v>
      </c>
      <c r="BQ193" t="s">
        <v>3618</v>
      </c>
      <c r="BR193" t="s">
        <v>3618</v>
      </c>
      <c r="BS193" t="s">
        <v>231</v>
      </c>
      <c r="BT193" t="s">
        <v>3694</v>
      </c>
      <c r="BU193" t="s">
        <v>4471</v>
      </c>
      <c r="BV193" t="s">
        <v>4471</v>
      </c>
      <c r="BW193" t="s">
        <v>3641</v>
      </c>
      <c r="BX193" t="s">
        <v>3641</v>
      </c>
      <c r="BY193" t="s">
        <v>3641</v>
      </c>
      <c r="BZ193" t="s">
        <v>3641</v>
      </c>
      <c r="CA193" t="s">
        <v>3641</v>
      </c>
      <c r="CB193" t="s">
        <v>231</v>
      </c>
      <c r="CC193" t="s">
        <v>231</v>
      </c>
      <c r="CD193" t="s">
        <v>231</v>
      </c>
      <c r="CE193" t="s">
        <v>231</v>
      </c>
      <c r="CF193" t="s">
        <v>231</v>
      </c>
      <c r="CG193" t="s">
        <v>3641</v>
      </c>
      <c r="CH193" t="s">
        <v>231</v>
      </c>
      <c r="CI193" t="s">
        <v>231</v>
      </c>
      <c r="CJ193" t="s">
        <v>231</v>
      </c>
      <c r="CK193" t="s">
        <v>231</v>
      </c>
      <c r="CL193" t="s">
        <v>231</v>
      </c>
      <c r="CM193" t="s">
        <v>4471</v>
      </c>
      <c r="CN193" t="s">
        <v>4471</v>
      </c>
      <c r="CO193" t="s">
        <v>231</v>
      </c>
      <c r="CP193" t="s">
        <v>231</v>
      </c>
      <c r="CQ193" t="s">
        <v>231</v>
      </c>
      <c r="CR193" t="s">
        <v>231</v>
      </c>
      <c r="CS193" t="s">
        <v>3710</v>
      </c>
      <c r="CT193" t="s">
        <v>3534</v>
      </c>
      <c r="CU193" t="s">
        <v>3535</v>
      </c>
      <c r="CV193" t="s">
        <v>3536</v>
      </c>
      <c r="CW193" t="s">
        <v>3589</v>
      </c>
      <c r="CX193" t="s">
        <v>223</v>
      </c>
      <c r="CY193" t="s">
        <v>3536</v>
      </c>
      <c r="CZ193" t="s">
        <v>3590</v>
      </c>
      <c r="DA193" t="s">
        <v>3591</v>
      </c>
      <c r="DB193" t="s">
        <v>3589</v>
      </c>
      <c r="DC193" t="s">
        <v>363</v>
      </c>
      <c r="DD193" t="s">
        <v>282</v>
      </c>
      <c r="DE193" t="s">
        <v>4472</v>
      </c>
    </row>
    <row r="194" spans="1:109" ht="11.25" customHeight="1">
      <c r="A194" s="1314" t="s">
        <v>231</v>
      </c>
      <c r="B194" t="s">
        <v>231</v>
      </c>
      <c r="C194" t="s">
        <v>231</v>
      </c>
      <c r="D194" t="s">
        <v>231</v>
      </c>
      <c r="E194" t="s">
        <v>231</v>
      </c>
      <c r="F194" t="s">
        <v>231</v>
      </c>
      <c r="G194" t="s">
        <v>231</v>
      </c>
      <c r="H194" t="s">
        <v>231</v>
      </c>
      <c r="I194" t="s">
        <v>3521</v>
      </c>
      <c r="J194" t="s">
        <v>231</v>
      </c>
      <c r="K194" t="s">
        <v>231</v>
      </c>
      <c r="L194" t="s">
        <v>231</v>
      </c>
      <c r="M194" t="s">
        <v>231</v>
      </c>
      <c r="N194" t="s">
        <v>231</v>
      </c>
      <c r="O194" t="s">
        <v>231</v>
      </c>
      <c r="P194" t="s">
        <v>231</v>
      </c>
      <c r="Q194" t="s">
        <v>231</v>
      </c>
      <c r="R194" t="s">
        <v>4473</v>
      </c>
      <c r="S194" t="s">
        <v>231</v>
      </c>
      <c r="T194" t="s">
        <v>231</v>
      </c>
      <c r="U194" t="s">
        <v>101</v>
      </c>
      <c r="V194" t="s">
        <v>231</v>
      </c>
      <c r="W194" t="s">
        <v>231</v>
      </c>
      <c r="X194" t="s">
        <v>3628</v>
      </c>
      <c r="Y194" t="s">
        <v>231</v>
      </c>
      <c r="Z194" t="s">
        <v>151</v>
      </c>
      <c r="AA194" t="s">
        <v>151</v>
      </c>
      <c r="AB194" t="s">
        <v>160</v>
      </c>
      <c r="AC194" t="s">
        <v>2289</v>
      </c>
      <c r="AD194" t="s">
        <v>2289</v>
      </c>
      <c r="AE194" t="s">
        <v>2290</v>
      </c>
      <c r="AF194" t="s">
        <v>4212</v>
      </c>
      <c r="AG194" t="s">
        <v>4213</v>
      </c>
      <c r="AH194" t="s">
        <v>3618</v>
      </c>
      <c r="AI194" t="s">
        <v>3618</v>
      </c>
      <c r="AJ194" t="s">
        <v>231</v>
      </c>
      <c r="AK194" t="s">
        <v>231</v>
      </c>
      <c r="AL194" t="s">
        <v>231</v>
      </c>
      <c r="AM194" t="s">
        <v>231</v>
      </c>
      <c r="AN194" t="s">
        <v>231</v>
      </c>
      <c r="AO194" t="s">
        <v>231</v>
      </c>
      <c r="AP194" t="s">
        <v>231</v>
      </c>
      <c r="AQ194" t="s">
        <v>231</v>
      </c>
      <c r="AR194" t="s">
        <v>231</v>
      </c>
      <c r="AS194" t="s">
        <v>231</v>
      </c>
      <c r="AT194" t="s">
        <v>231</v>
      </c>
      <c r="AU194" t="s">
        <v>231</v>
      </c>
      <c r="AV194" t="s">
        <v>231</v>
      </c>
      <c r="AW194" t="s">
        <v>231</v>
      </c>
      <c r="AX194" t="s">
        <v>231</v>
      </c>
      <c r="AY194" t="s">
        <v>231</v>
      </c>
      <c r="AZ194" t="s">
        <v>231</v>
      </c>
      <c r="BA194" t="s">
        <v>231</v>
      </c>
      <c r="BB194" t="s">
        <v>231</v>
      </c>
      <c r="BC194" t="s">
        <v>231</v>
      </c>
      <c r="BD194" t="s">
        <v>231</v>
      </c>
      <c r="BE194" t="s">
        <v>3619</v>
      </c>
      <c r="BF194" t="s">
        <v>3586</v>
      </c>
      <c r="BG194" t="s">
        <v>111</v>
      </c>
      <c r="BH194" t="s">
        <v>3632</v>
      </c>
      <c r="BI194" t="s">
        <v>122</v>
      </c>
      <c r="BJ194" t="s">
        <v>231</v>
      </c>
      <c r="BK194" t="s">
        <v>3651</v>
      </c>
      <c r="BL194" t="s">
        <v>2289</v>
      </c>
      <c r="BM194" t="s">
        <v>2289</v>
      </c>
      <c r="BN194" t="s">
        <v>3707</v>
      </c>
      <c r="BO194" t="s">
        <v>4212</v>
      </c>
      <c r="BP194" t="s">
        <v>4474</v>
      </c>
      <c r="BQ194" t="s">
        <v>3618</v>
      </c>
      <c r="BR194" t="s">
        <v>3618</v>
      </c>
      <c r="BS194" t="s">
        <v>231</v>
      </c>
      <c r="BT194" t="s">
        <v>3694</v>
      </c>
      <c r="BU194" t="s">
        <v>4475</v>
      </c>
      <c r="BV194" t="s">
        <v>4475</v>
      </c>
      <c r="BW194" t="s">
        <v>3641</v>
      </c>
      <c r="BX194" t="s">
        <v>3641</v>
      </c>
      <c r="BY194" t="s">
        <v>3641</v>
      </c>
      <c r="BZ194" t="s">
        <v>3641</v>
      </c>
      <c r="CA194" t="s">
        <v>3641</v>
      </c>
      <c r="CB194" t="s">
        <v>231</v>
      </c>
      <c r="CC194" t="s">
        <v>231</v>
      </c>
      <c r="CD194" t="s">
        <v>231</v>
      </c>
      <c r="CE194" t="s">
        <v>231</v>
      </c>
      <c r="CF194" t="s">
        <v>231</v>
      </c>
      <c r="CG194" t="s">
        <v>3641</v>
      </c>
      <c r="CH194" t="s">
        <v>231</v>
      </c>
      <c r="CI194" t="s">
        <v>231</v>
      </c>
      <c r="CJ194" t="s">
        <v>231</v>
      </c>
      <c r="CK194" t="s">
        <v>231</v>
      </c>
      <c r="CL194" t="s">
        <v>231</v>
      </c>
      <c r="CM194" t="s">
        <v>4475</v>
      </c>
      <c r="CN194" t="s">
        <v>4475</v>
      </c>
      <c r="CO194" t="s">
        <v>231</v>
      </c>
      <c r="CP194" t="s">
        <v>231</v>
      </c>
      <c r="CQ194" t="s">
        <v>231</v>
      </c>
      <c r="CR194" t="s">
        <v>231</v>
      </c>
      <c r="CS194" t="s">
        <v>3710</v>
      </c>
      <c r="CT194" t="s">
        <v>3534</v>
      </c>
      <c r="CU194" t="s">
        <v>3535</v>
      </c>
      <c r="CV194" t="s">
        <v>3536</v>
      </c>
      <c r="CW194" t="s">
        <v>3589</v>
      </c>
      <c r="CX194" t="s">
        <v>223</v>
      </c>
      <c r="CY194" t="s">
        <v>3536</v>
      </c>
      <c r="CZ194" t="s">
        <v>3590</v>
      </c>
      <c r="DA194" t="s">
        <v>3591</v>
      </c>
      <c r="DB194" t="s">
        <v>3589</v>
      </c>
      <c r="DC194" t="s">
        <v>363</v>
      </c>
      <c r="DD194" t="s">
        <v>282</v>
      </c>
      <c r="DE194" t="s">
        <v>4476</v>
      </c>
    </row>
    <row r="195" spans="1:109" ht="11.25" customHeight="1">
      <c r="A195" s="1314" t="s">
        <v>231</v>
      </c>
      <c r="B195" t="s">
        <v>231</v>
      </c>
      <c r="C195" t="s">
        <v>231</v>
      </c>
      <c r="D195" t="s">
        <v>231</v>
      </c>
      <c r="E195" t="s">
        <v>231</v>
      </c>
      <c r="F195" t="s">
        <v>231</v>
      </c>
      <c r="G195" t="s">
        <v>231</v>
      </c>
      <c r="H195" t="s">
        <v>231</v>
      </c>
      <c r="I195" t="s">
        <v>3521</v>
      </c>
      <c r="J195" t="s">
        <v>231</v>
      </c>
      <c r="K195" t="s">
        <v>231</v>
      </c>
      <c r="L195" t="s">
        <v>231</v>
      </c>
      <c r="M195" t="s">
        <v>231</v>
      </c>
      <c r="N195" t="s">
        <v>231</v>
      </c>
      <c r="O195" t="s">
        <v>231</v>
      </c>
      <c r="P195" t="s">
        <v>231</v>
      </c>
      <c r="Q195" t="s">
        <v>231</v>
      </c>
      <c r="R195" t="s">
        <v>3615</v>
      </c>
      <c r="S195" t="s">
        <v>231</v>
      </c>
      <c r="T195" t="s">
        <v>231</v>
      </c>
      <c r="U195" t="s">
        <v>101</v>
      </c>
      <c r="V195" t="s">
        <v>231</v>
      </c>
      <c r="W195" t="s">
        <v>231</v>
      </c>
      <c r="X195" t="s">
        <v>3523</v>
      </c>
      <c r="Y195" t="s">
        <v>231</v>
      </c>
      <c r="Z195" t="s">
        <v>160</v>
      </c>
      <c r="AA195" t="s">
        <v>151</v>
      </c>
      <c r="AB195" t="s">
        <v>151</v>
      </c>
      <c r="AC195" t="s">
        <v>2289</v>
      </c>
      <c r="AD195" t="s">
        <v>2289</v>
      </c>
      <c r="AE195" t="s">
        <v>2290</v>
      </c>
      <c r="AF195" t="s">
        <v>4212</v>
      </c>
      <c r="AG195" t="s">
        <v>4213</v>
      </c>
      <c r="AH195" t="s">
        <v>4477</v>
      </c>
      <c r="AI195" t="s">
        <v>4383</v>
      </c>
      <c r="AJ195" t="s">
        <v>3594</v>
      </c>
      <c r="AK195" t="s">
        <v>3586</v>
      </c>
      <c r="AL195" t="s">
        <v>3548</v>
      </c>
      <c r="AM195" t="s">
        <v>3531</v>
      </c>
      <c r="AN195" t="s">
        <v>3595</v>
      </c>
      <c r="AO195" t="s">
        <v>3882</v>
      </c>
      <c r="AP195" t="s">
        <v>231</v>
      </c>
      <c r="AQ195" t="s">
        <v>231</v>
      </c>
      <c r="AR195" t="s">
        <v>231</v>
      </c>
      <c r="AS195" t="s">
        <v>231</v>
      </c>
      <c r="AT195" t="s">
        <v>231</v>
      </c>
      <c r="AU195" t="s">
        <v>231</v>
      </c>
      <c r="AV195" t="s">
        <v>231</v>
      </c>
      <c r="AW195" t="s">
        <v>231</v>
      </c>
      <c r="AX195" t="s">
        <v>231</v>
      </c>
      <c r="AY195" t="s">
        <v>231</v>
      </c>
      <c r="AZ195" t="s">
        <v>231</v>
      </c>
      <c r="BA195" t="s">
        <v>231</v>
      </c>
      <c r="BB195" t="s">
        <v>231</v>
      </c>
      <c r="BC195" t="s">
        <v>231</v>
      </c>
      <c r="BD195" t="s">
        <v>231</v>
      </c>
      <c r="BE195" t="s">
        <v>231</v>
      </c>
      <c r="BF195" t="s">
        <v>231</v>
      </c>
      <c r="BG195" t="s">
        <v>231</v>
      </c>
      <c r="BH195" t="s">
        <v>231</v>
      </c>
      <c r="BI195" t="s">
        <v>231</v>
      </c>
      <c r="BJ195" t="s">
        <v>231</v>
      </c>
      <c r="BK195" t="s">
        <v>231</v>
      </c>
      <c r="BL195" t="s">
        <v>231</v>
      </c>
      <c r="BM195" t="s">
        <v>231</v>
      </c>
      <c r="BN195" t="s">
        <v>231</v>
      </c>
      <c r="BO195" t="s">
        <v>231</v>
      </c>
      <c r="BP195" t="s">
        <v>231</v>
      </c>
      <c r="BQ195" t="s">
        <v>231</v>
      </c>
      <c r="BR195" t="s">
        <v>231</v>
      </c>
      <c r="BS195" t="s">
        <v>231</v>
      </c>
      <c r="BT195" t="s">
        <v>231</v>
      </c>
      <c r="BU195" t="s">
        <v>231</v>
      </c>
      <c r="BV195" t="s">
        <v>231</v>
      </c>
      <c r="BW195" t="s">
        <v>231</v>
      </c>
      <c r="BX195" t="s">
        <v>231</v>
      </c>
      <c r="BY195" t="s">
        <v>231</v>
      </c>
      <c r="BZ195" t="s">
        <v>231</v>
      </c>
      <c r="CA195" t="s">
        <v>231</v>
      </c>
      <c r="CB195" t="s">
        <v>231</v>
      </c>
      <c r="CC195" t="s">
        <v>231</v>
      </c>
      <c r="CD195" t="s">
        <v>231</v>
      </c>
      <c r="CE195" t="s">
        <v>231</v>
      </c>
      <c r="CF195" t="s">
        <v>231</v>
      </c>
      <c r="CG195" t="s">
        <v>231</v>
      </c>
      <c r="CH195" t="s">
        <v>231</v>
      </c>
      <c r="CI195" t="s">
        <v>231</v>
      </c>
      <c r="CJ195" t="s">
        <v>231</v>
      </c>
      <c r="CK195" t="s">
        <v>231</v>
      </c>
      <c r="CL195" t="s">
        <v>231</v>
      </c>
      <c r="CM195" t="s">
        <v>231</v>
      </c>
      <c r="CN195" t="s">
        <v>231</v>
      </c>
      <c r="CO195" t="s">
        <v>231</v>
      </c>
      <c r="CP195" t="s">
        <v>231</v>
      </c>
      <c r="CQ195" t="s">
        <v>231</v>
      </c>
      <c r="CR195" t="s">
        <v>231</v>
      </c>
      <c r="CS195" t="s">
        <v>231</v>
      </c>
      <c r="CT195" t="s">
        <v>3534</v>
      </c>
      <c r="CU195" t="s">
        <v>3535</v>
      </c>
      <c r="CV195" t="s">
        <v>3536</v>
      </c>
      <c r="CW195" t="s">
        <v>3589</v>
      </c>
      <c r="CX195" t="s">
        <v>223</v>
      </c>
      <c r="CY195" t="s">
        <v>3536</v>
      </c>
      <c r="CZ195" t="s">
        <v>3590</v>
      </c>
      <c r="DA195" t="s">
        <v>3591</v>
      </c>
      <c r="DB195" t="s">
        <v>3589</v>
      </c>
      <c r="DC195" t="s">
        <v>363</v>
      </c>
      <c r="DD195" t="s">
        <v>282</v>
      </c>
      <c r="DE195" t="s">
        <v>4478</v>
      </c>
    </row>
    <row r="196" spans="1:109" ht="11.25" customHeight="1">
      <c r="A196" s="1314" t="s">
        <v>231</v>
      </c>
      <c r="B196" t="s">
        <v>231</v>
      </c>
      <c r="C196" t="s">
        <v>231</v>
      </c>
      <c r="D196" t="s">
        <v>231</v>
      </c>
      <c r="E196" t="s">
        <v>231</v>
      </c>
      <c r="F196" t="s">
        <v>231</v>
      </c>
      <c r="G196" t="s">
        <v>231</v>
      </c>
      <c r="H196" t="s">
        <v>231</v>
      </c>
      <c r="I196" t="s">
        <v>3521</v>
      </c>
      <c r="J196" t="s">
        <v>231</v>
      </c>
      <c r="K196" t="s">
        <v>231</v>
      </c>
      <c r="L196" t="s">
        <v>231</v>
      </c>
      <c r="M196" t="s">
        <v>231</v>
      </c>
      <c r="N196" t="s">
        <v>231</v>
      </c>
      <c r="O196" t="s">
        <v>231</v>
      </c>
      <c r="P196" t="s">
        <v>231</v>
      </c>
      <c r="Q196" t="s">
        <v>231</v>
      </c>
      <c r="R196" t="s">
        <v>3615</v>
      </c>
      <c r="S196" t="s">
        <v>231</v>
      </c>
      <c r="T196" t="s">
        <v>231</v>
      </c>
      <c r="U196" t="s">
        <v>101</v>
      </c>
      <c r="V196" t="s">
        <v>231</v>
      </c>
      <c r="W196" t="s">
        <v>231</v>
      </c>
      <c r="X196" t="s">
        <v>3523</v>
      </c>
      <c r="Y196" t="s">
        <v>231</v>
      </c>
      <c r="Z196" t="s">
        <v>160</v>
      </c>
      <c r="AA196" t="s">
        <v>151</v>
      </c>
      <c r="AB196" t="s">
        <v>151</v>
      </c>
      <c r="AC196" t="s">
        <v>2289</v>
      </c>
      <c r="AD196" t="s">
        <v>2289</v>
      </c>
      <c r="AE196" t="s">
        <v>2290</v>
      </c>
      <c r="AF196" t="s">
        <v>4454</v>
      </c>
      <c r="AG196" t="s">
        <v>4455</v>
      </c>
      <c r="AH196" t="s">
        <v>4479</v>
      </c>
      <c r="AI196" t="s">
        <v>4480</v>
      </c>
      <c r="AJ196" t="s">
        <v>4481</v>
      </c>
      <c r="AK196" t="s">
        <v>4482</v>
      </c>
      <c r="AL196" t="s">
        <v>4259</v>
      </c>
      <c r="AM196" t="s">
        <v>3531</v>
      </c>
      <c r="AN196" t="s">
        <v>3587</v>
      </c>
      <c r="AO196" t="s">
        <v>3679</v>
      </c>
      <c r="AP196" t="s">
        <v>231</v>
      </c>
      <c r="AQ196" t="s">
        <v>231</v>
      </c>
      <c r="AR196" t="s">
        <v>231</v>
      </c>
      <c r="AS196" t="s">
        <v>231</v>
      </c>
      <c r="AT196" t="s">
        <v>231</v>
      </c>
      <c r="AU196" t="s">
        <v>231</v>
      </c>
      <c r="AV196" t="s">
        <v>231</v>
      </c>
      <c r="AW196" t="s">
        <v>231</v>
      </c>
      <c r="AX196" t="s">
        <v>231</v>
      </c>
      <c r="AY196" t="s">
        <v>231</v>
      </c>
      <c r="AZ196" t="s">
        <v>231</v>
      </c>
      <c r="BA196" t="s">
        <v>231</v>
      </c>
      <c r="BB196" t="s">
        <v>231</v>
      </c>
      <c r="BC196" t="s">
        <v>231</v>
      </c>
      <c r="BD196" t="s">
        <v>231</v>
      </c>
      <c r="BE196" t="s">
        <v>231</v>
      </c>
      <c r="BF196" t="s">
        <v>231</v>
      </c>
      <c r="BG196" t="s">
        <v>231</v>
      </c>
      <c r="BH196" t="s">
        <v>231</v>
      </c>
      <c r="BI196" t="s">
        <v>231</v>
      </c>
      <c r="BJ196" t="s">
        <v>231</v>
      </c>
      <c r="BK196" t="s">
        <v>231</v>
      </c>
      <c r="BL196" t="s">
        <v>231</v>
      </c>
      <c r="BM196" t="s">
        <v>231</v>
      </c>
      <c r="BN196" t="s">
        <v>231</v>
      </c>
      <c r="BO196" t="s">
        <v>231</v>
      </c>
      <c r="BP196" t="s">
        <v>231</v>
      </c>
      <c r="BQ196" t="s">
        <v>231</v>
      </c>
      <c r="BR196" t="s">
        <v>231</v>
      </c>
      <c r="BS196" t="s">
        <v>231</v>
      </c>
      <c r="BT196" t="s">
        <v>231</v>
      </c>
      <c r="BU196" t="s">
        <v>231</v>
      </c>
      <c r="BV196" t="s">
        <v>231</v>
      </c>
      <c r="BW196" t="s">
        <v>231</v>
      </c>
      <c r="BX196" t="s">
        <v>231</v>
      </c>
      <c r="BY196" t="s">
        <v>231</v>
      </c>
      <c r="BZ196" t="s">
        <v>231</v>
      </c>
      <c r="CA196" t="s">
        <v>231</v>
      </c>
      <c r="CB196" t="s">
        <v>231</v>
      </c>
      <c r="CC196" t="s">
        <v>231</v>
      </c>
      <c r="CD196" t="s">
        <v>231</v>
      </c>
      <c r="CE196" t="s">
        <v>231</v>
      </c>
      <c r="CF196" t="s">
        <v>231</v>
      </c>
      <c r="CG196" t="s">
        <v>231</v>
      </c>
      <c r="CH196" t="s">
        <v>231</v>
      </c>
      <c r="CI196" t="s">
        <v>231</v>
      </c>
      <c r="CJ196" t="s">
        <v>231</v>
      </c>
      <c r="CK196" t="s">
        <v>231</v>
      </c>
      <c r="CL196" t="s">
        <v>231</v>
      </c>
      <c r="CM196" t="s">
        <v>231</v>
      </c>
      <c r="CN196" t="s">
        <v>231</v>
      </c>
      <c r="CO196" t="s">
        <v>231</v>
      </c>
      <c r="CP196" t="s">
        <v>231</v>
      </c>
      <c r="CQ196" t="s">
        <v>231</v>
      </c>
      <c r="CR196" t="s">
        <v>231</v>
      </c>
      <c r="CS196" t="s">
        <v>231</v>
      </c>
      <c r="CT196" t="s">
        <v>3534</v>
      </c>
      <c r="CU196" t="s">
        <v>3535</v>
      </c>
      <c r="CV196" t="s">
        <v>3536</v>
      </c>
      <c r="CW196" t="s">
        <v>3589</v>
      </c>
      <c r="CX196" t="s">
        <v>223</v>
      </c>
      <c r="CY196" t="s">
        <v>3536</v>
      </c>
      <c r="CZ196" t="s">
        <v>3590</v>
      </c>
      <c r="DA196" t="s">
        <v>3591</v>
      </c>
      <c r="DB196" t="s">
        <v>3589</v>
      </c>
      <c r="DC196" t="s">
        <v>363</v>
      </c>
      <c r="DD196" t="s">
        <v>282</v>
      </c>
      <c r="DE196" t="s">
        <v>4483</v>
      </c>
    </row>
    <row r="197" spans="1:109" ht="11.25" customHeight="1">
      <c r="A197" s="1314" t="s">
        <v>231</v>
      </c>
      <c r="B197" t="s">
        <v>231</v>
      </c>
      <c r="C197" t="s">
        <v>231</v>
      </c>
      <c r="D197" t="s">
        <v>231</v>
      </c>
      <c r="E197" t="s">
        <v>231</v>
      </c>
      <c r="F197" t="s">
        <v>231</v>
      </c>
      <c r="G197" t="s">
        <v>231</v>
      </c>
      <c r="H197" t="s">
        <v>231</v>
      </c>
      <c r="I197" t="s">
        <v>3521</v>
      </c>
      <c r="J197" t="s">
        <v>231</v>
      </c>
      <c r="K197" t="s">
        <v>231</v>
      </c>
      <c r="L197" t="s">
        <v>231</v>
      </c>
      <c r="M197" t="s">
        <v>231</v>
      </c>
      <c r="N197" t="s">
        <v>231</v>
      </c>
      <c r="O197" t="s">
        <v>231</v>
      </c>
      <c r="P197" t="s">
        <v>231</v>
      </c>
      <c r="Q197" t="s">
        <v>231</v>
      </c>
      <c r="R197" t="s">
        <v>4484</v>
      </c>
      <c r="S197" t="s">
        <v>231</v>
      </c>
      <c r="T197" t="s">
        <v>231</v>
      </c>
      <c r="U197" t="s">
        <v>101</v>
      </c>
      <c r="V197" t="s">
        <v>231</v>
      </c>
      <c r="W197" t="s">
        <v>231</v>
      </c>
      <c r="X197" t="s">
        <v>3628</v>
      </c>
      <c r="Y197" t="s">
        <v>231</v>
      </c>
      <c r="Z197" t="s">
        <v>151</v>
      </c>
      <c r="AA197" t="s">
        <v>151</v>
      </c>
      <c r="AB197" t="s">
        <v>160</v>
      </c>
      <c r="AC197" t="s">
        <v>2287</v>
      </c>
      <c r="AD197" t="s">
        <v>2287</v>
      </c>
      <c r="AE197" t="s">
        <v>2288</v>
      </c>
      <c r="AF197" t="s">
        <v>4465</v>
      </c>
      <c r="AG197" t="s">
        <v>4466</v>
      </c>
      <c r="AH197" t="s">
        <v>3618</v>
      </c>
      <c r="AI197" t="s">
        <v>3618</v>
      </c>
      <c r="AJ197" t="s">
        <v>231</v>
      </c>
      <c r="AK197" t="s">
        <v>231</v>
      </c>
      <c r="AL197" t="s">
        <v>231</v>
      </c>
      <c r="AM197" t="s">
        <v>231</v>
      </c>
      <c r="AN197" t="s">
        <v>231</v>
      </c>
      <c r="AO197" t="s">
        <v>231</v>
      </c>
      <c r="AP197" t="s">
        <v>231</v>
      </c>
      <c r="AQ197" t="s">
        <v>231</v>
      </c>
      <c r="AR197" t="s">
        <v>231</v>
      </c>
      <c r="AS197" t="s">
        <v>231</v>
      </c>
      <c r="AT197" t="s">
        <v>231</v>
      </c>
      <c r="AU197" t="s">
        <v>231</v>
      </c>
      <c r="AV197" t="s">
        <v>231</v>
      </c>
      <c r="AW197" t="s">
        <v>231</v>
      </c>
      <c r="AX197" t="s">
        <v>231</v>
      </c>
      <c r="AY197" t="s">
        <v>231</v>
      </c>
      <c r="AZ197" t="s">
        <v>231</v>
      </c>
      <c r="BA197" t="s">
        <v>231</v>
      </c>
      <c r="BB197" t="s">
        <v>231</v>
      </c>
      <c r="BC197" t="s">
        <v>231</v>
      </c>
      <c r="BD197" t="s">
        <v>231</v>
      </c>
      <c r="BE197" t="s">
        <v>3619</v>
      </c>
      <c r="BF197" t="s">
        <v>4467</v>
      </c>
      <c r="BG197" t="s">
        <v>111</v>
      </c>
      <c r="BH197" t="s">
        <v>3632</v>
      </c>
      <c r="BI197" t="s">
        <v>122</v>
      </c>
      <c r="BJ197" t="s">
        <v>231</v>
      </c>
      <c r="BK197" t="s">
        <v>3651</v>
      </c>
      <c r="BL197" t="s">
        <v>2287</v>
      </c>
      <c r="BM197" t="s">
        <v>2287</v>
      </c>
      <c r="BN197" t="s">
        <v>3842</v>
      </c>
      <c r="BO197" t="s">
        <v>4465</v>
      </c>
      <c r="BP197" t="s">
        <v>4485</v>
      </c>
      <c r="BQ197" t="s">
        <v>3618</v>
      </c>
      <c r="BR197" t="s">
        <v>3618</v>
      </c>
      <c r="BS197" t="s">
        <v>231</v>
      </c>
      <c r="BT197" t="s">
        <v>3694</v>
      </c>
      <c r="BU197" t="s">
        <v>4486</v>
      </c>
      <c r="BV197" t="s">
        <v>4486</v>
      </c>
      <c r="BW197" t="s">
        <v>3641</v>
      </c>
      <c r="BX197" t="s">
        <v>3641</v>
      </c>
      <c r="BY197" t="s">
        <v>3641</v>
      </c>
      <c r="BZ197" t="s">
        <v>3641</v>
      </c>
      <c r="CA197" t="s">
        <v>3641</v>
      </c>
      <c r="CB197" t="s">
        <v>231</v>
      </c>
      <c r="CC197" t="s">
        <v>231</v>
      </c>
      <c r="CD197" t="s">
        <v>231</v>
      </c>
      <c r="CE197" t="s">
        <v>231</v>
      </c>
      <c r="CF197" t="s">
        <v>231</v>
      </c>
      <c r="CG197" t="s">
        <v>3641</v>
      </c>
      <c r="CH197" t="s">
        <v>231</v>
      </c>
      <c r="CI197" t="s">
        <v>231</v>
      </c>
      <c r="CJ197" t="s">
        <v>231</v>
      </c>
      <c r="CK197" t="s">
        <v>231</v>
      </c>
      <c r="CL197" t="s">
        <v>231</v>
      </c>
      <c r="CM197" t="s">
        <v>4486</v>
      </c>
      <c r="CN197" t="s">
        <v>4486</v>
      </c>
      <c r="CO197" t="s">
        <v>231</v>
      </c>
      <c r="CP197" t="s">
        <v>231</v>
      </c>
      <c r="CQ197" t="s">
        <v>231</v>
      </c>
      <c r="CR197" t="s">
        <v>231</v>
      </c>
      <c r="CS197" t="s">
        <v>3595</v>
      </c>
      <c r="CT197" t="s">
        <v>3534</v>
      </c>
      <c r="CU197" t="s">
        <v>3535</v>
      </c>
      <c r="CV197" t="s">
        <v>3536</v>
      </c>
      <c r="CW197" t="s">
        <v>3623</v>
      </c>
      <c r="CX197" t="s">
        <v>223</v>
      </c>
      <c r="CY197" t="s">
        <v>3536</v>
      </c>
      <c r="CZ197" t="s">
        <v>3624</v>
      </c>
      <c r="DA197" t="s">
        <v>3625</v>
      </c>
      <c r="DB197" t="s">
        <v>3623</v>
      </c>
      <c r="DC197" t="s">
        <v>363</v>
      </c>
      <c r="DD197" t="s">
        <v>282</v>
      </c>
      <c r="DE197" t="s">
        <v>4468</v>
      </c>
    </row>
    <row r="198" spans="1:109" ht="11.25" customHeight="1">
      <c r="A198" s="1314" t="s">
        <v>231</v>
      </c>
      <c r="B198" t="s">
        <v>231</v>
      </c>
      <c r="C198" t="s">
        <v>231</v>
      </c>
      <c r="D198" t="s">
        <v>231</v>
      </c>
      <c r="E198" t="s">
        <v>231</v>
      </c>
      <c r="F198" t="s">
        <v>231</v>
      </c>
      <c r="G198" t="s">
        <v>231</v>
      </c>
      <c r="H198" t="s">
        <v>231</v>
      </c>
      <c r="I198" t="s">
        <v>3521</v>
      </c>
      <c r="J198" t="s">
        <v>231</v>
      </c>
      <c r="K198" t="s">
        <v>231</v>
      </c>
      <c r="L198" t="s">
        <v>231</v>
      </c>
      <c r="M198" t="s">
        <v>231</v>
      </c>
      <c r="N198" t="s">
        <v>231</v>
      </c>
      <c r="O198" t="s">
        <v>231</v>
      </c>
      <c r="P198" t="s">
        <v>231</v>
      </c>
      <c r="Q198" t="s">
        <v>231</v>
      </c>
      <c r="R198" t="s">
        <v>3749</v>
      </c>
      <c r="S198" t="s">
        <v>231</v>
      </c>
      <c r="T198" t="s">
        <v>231</v>
      </c>
      <c r="U198" t="s">
        <v>101</v>
      </c>
      <c r="V198" t="s">
        <v>231</v>
      </c>
      <c r="W198" t="s">
        <v>231</v>
      </c>
      <c r="X198" t="s">
        <v>3628</v>
      </c>
      <c r="Y198" t="s">
        <v>231</v>
      </c>
      <c r="Z198" t="s">
        <v>151</v>
      </c>
      <c r="AA198" t="s">
        <v>151</v>
      </c>
      <c r="AB198" t="s">
        <v>160</v>
      </c>
      <c r="AC198" t="s">
        <v>2283</v>
      </c>
      <c r="AD198" t="s">
        <v>2283</v>
      </c>
      <c r="AE198" t="s">
        <v>2284</v>
      </c>
      <c r="AF198" t="s">
        <v>4487</v>
      </c>
      <c r="AG198" t="s">
        <v>4488</v>
      </c>
      <c r="AH198" t="s">
        <v>4487</v>
      </c>
      <c r="AI198" t="s">
        <v>3688</v>
      </c>
      <c r="AJ198" t="s">
        <v>231</v>
      </c>
      <c r="AK198" t="s">
        <v>231</v>
      </c>
      <c r="AL198" t="s">
        <v>231</v>
      </c>
      <c r="AM198" t="s">
        <v>231</v>
      </c>
      <c r="AN198" t="s">
        <v>231</v>
      </c>
      <c r="AO198" t="s">
        <v>231</v>
      </c>
      <c r="AP198" t="s">
        <v>231</v>
      </c>
      <c r="AQ198" t="s">
        <v>231</v>
      </c>
      <c r="AR198" t="s">
        <v>231</v>
      </c>
      <c r="AS198" t="s">
        <v>231</v>
      </c>
      <c r="AT198" t="s">
        <v>231</v>
      </c>
      <c r="AU198" t="s">
        <v>231</v>
      </c>
      <c r="AV198" t="s">
        <v>231</v>
      </c>
      <c r="AW198" t="s">
        <v>231</v>
      </c>
      <c r="AX198" t="s">
        <v>231</v>
      </c>
      <c r="AY198" t="s">
        <v>231</v>
      </c>
      <c r="AZ198" t="s">
        <v>231</v>
      </c>
      <c r="BA198" t="s">
        <v>231</v>
      </c>
      <c r="BB198" t="s">
        <v>231</v>
      </c>
      <c r="BC198" t="s">
        <v>231</v>
      </c>
      <c r="BD198" t="s">
        <v>231</v>
      </c>
      <c r="BE198" t="s">
        <v>3689</v>
      </c>
      <c r="BF198" t="s">
        <v>3689</v>
      </c>
      <c r="BG198" t="s">
        <v>111</v>
      </c>
      <c r="BH198" t="s">
        <v>3632</v>
      </c>
      <c r="BI198" t="s">
        <v>122</v>
      </c>
      <c r="BJ198" t="s">
        <v>231</v>
      </c>
      <c r="BK198" t="s">
        <v>3651</v>
      </c>
      <c r="BL198" t="s">
        <v>2283</v>
      </c>
      <c r="BM198" t="s">
        <v>2283</v>
      </c>
      <c r="BN198" t="s">
        <v>3690</v>
      </c>
      <c r="BO198" t="s">
        <v>4487</v>
      </c>
      <c r="BP198" t="s">
        <v>4489</v>
      </c>
      <c r="BQ198" t="s">
        <v>4490</v>
      </c>
      <c r="BR198" t="s">
        <v>4360</v>
      </c>
      <c r="BS198" t="s">
        <v>231</v>
      </c>
      <c r="BT198" t="s">
        <v>3694</v>
      </c>
      <c r="BU198" t="s">
        <v>4491</v>
      </c>
      <c r="BV198" t="s">
        <v>4491</v>
      </c>
      <c r="BW198" t="s">
        <v>3641</v>
      </c>
      <c r="BX198" t="s">
        <v>3641</v>
      </c>
      <c r="BY198" t="s">
        <v>3641</v>
      </c>
      <c r="BZ198" t="s">
        <v>3641</v>
      </c>
      <c r="CA198" t="s">
        <v>3641</v>
      </c>
      <c r="CB198" t="s">
        <v>231</v>
      </c>
      <c r="CC198" t="s">
        <v>231</v>
      </c>
      <c r="CD198" t="s">
        <v>231</v>
      </c>
      <c r="CE198" t="s">
        <v>231</v>
      </c>
      <c r="CF198" t="s">
        <v>231</v>
      </c>
      <c r="CG198" t="s">
        <v>3641</v>
      </c>
      <c r="CH198" t="s">
        <v>231</v>
      </c>
      <c r="CI198" t="s">
        <v>231</v>
      </c>
      <c r="CJ198" t="s">
        <v>231</v>
      </c>
      <c r="CK198" t="s">
        <v>231</v>
      </c>
      <c r="CL198" t="s">
        <v>231</v>
      </c>
      <c r="CM198" t="s">
        <v>4491</v>
      </c>
      <c r="CN198" t="s">
        <v>4491</v>
      </c>
      <c r="CO198" t="s">
        <v>231</v>
      </c>
      <c r="CP198" t="s">
        <v>231</v>
      </c>
      <c r="CQ198" t="s">
        <v>231</v>
      </c>
      <c r="CR198" t="s">
        <v>231</v>
      </c>
      <c r="CS198" t="s">
        <v>3549</v>
      </c>
      <c r="CT198" t="s">
        <v>3534</v>
      </c>
      <c r="CU198" t="s">
        <v>3535</v>
      </c>
      <c r="CV198" t="s">
        <v>3536</v>
      </c>
      <c r="CW198" t="s">
        <v>3551</v>
      </c>
      <c r="CX198" t="s">
        <v>223</v>
      </c>
      <c r="CY198" t="s">
        <v>3536</v>
      </c>
      <c r="CZ198" t="s">
        <v>3552</v>
      </c>
      <c r="DA198" t="s">
        <v>3553</v>
      </c>
      <c r="DB198" t="s">
        <v>3551</v>
      </c>
      <c r="DC198" t="s">
        <v>363</v>
      </c>
      <c r="DD198" t="s">
        <v>282</v>
      </c>
      <c r="DE198" t="s">
        <v>4492</v>
      </c>
    </row>
    <row r="199" spans="1:109" ht="11.25" customHeight="1">
      <c r="A199" s="1314" t="s">
        <v>231</v>
      </c>
      <c r="B199" t="s">
        <v>231</v>
      </c>
      <c r="C199" t="s">
        <v>231</v>
      </c>
      <c r="D199" t="s">
        <v>231</v>
      </c>
      <c r="E199" t="s">
        <v>231</v>
      </c>
      <c r="F199" t="s">
        <v>231</v>
      </c>
      <c r="G199" t="s">
        <v>231</v>
      </c>
      <c r="H199" t="s">
        <v>231</v>
      </c>
      <c r="I199" t="s">
        <v>3521</v>
      </c>
      <c r="J199" t="s">
        <v>231</v>
      </c>
      <c r="K199" t="s">
        <v>231</v>
      </c>
      <c r="L199" t="s">
        <v>231</v>
      </c>
      <c r="M199" t="s">
        <v>231</v>
      </c>
      <c r="N199" t="s">
        <v>231</v>
      </c>
      <c r="O199" t="s">
        <v>231</v>
      </c>
      <c r="P199" t="s">
        <v>231</v>
      </c>
      <c r="Q199" t="s">
        <v>231</v>
      </c>
      <c r="R199" t="s">
        <v>4493</v>
      </c>
      <c r="S199" t="s">
        <v>231</v>
      </c>
      <c r="T199" t="s">
        <v>231</v>
      </c>
      <c r="U199" t="s">
        <v>101</v>
      </c>
      <c r="V199" t="s">
        <v>231</v>
      </c>
      <c r="W199" t="s">
        <v>231</v>
      </c>
      <c r="X199" t="s">
        <v>3523</v>
      </c>
      <c r="Y199" t="s">
        <v>231</v>
      </c>
      <c r="Z199" t="s">
        <v>160</v>
      </c>
      <c r="AA199" t="s">
        <v>151</v>
      </c>
      <c r="AB199" t="s">
        <v>151</v>
      </c>
      <c r="AC199" t="s">
        <v>2289</v>
      </c>
      <c r="AD199" t="s">
        <v>2289</v>
      </c>
      <c r="AE199" t="s">
        <v>2290</v>
      </c>
      <c r="AF199" t="s">
        <v>4494</v>
      </c>
      <c r="AG199" t="s">
        <v>4495</v>
      </c>
      <c r="AH199" t="s">
        <v>4496</v>
      </c>
      <c r="AI199" t="s">
        <v>4360</v>
      </c>
      <c r="AJ199" t="s">
        <v>3594</v>
      </c>
      <c r="AK199" t="s">
        <v>3586</v>
      </c>
      <c r="AL199" t="s">
        <v>3548</v>
      </c>
      <c r="AM199" t="s">
        <v>3531</v>
      </c>
      <c r="AN199" t="s">
        <v>3587</v>
      </c>
      <c r="AO199" t="s">
        <v>4497</v>
      </c>
      <c r="AP199" t="s">
        <v>231</v>
      </c>
      <c r="AQ199" t="s">
        <v>231</v>
      </c>
      <c r="AR199" t="s">
        <v>231</v>
      </c>
      <c r="AS199" t="s">
        <v>231</v>
      </c>
      <c r="AT199" t="s">
        <v>231</v>
      </c>
      <c r="AU199" t="s">
        <v>231</v>
      </c>
      <c r="AV199" t="s">
        <v>231</v>
      </c>
      <c r="AW199" t="s">
        <v>231</v>
      </c>
      <c r="AX199" t="s">
        <v>231</v>
      </c>
      <c r="AY199" t="s">
        <v>231</v>
      </c>
      <c r="AZ199" t="s">
        <v>231</v>
      </c>
      <c r="BA199" t="s">
        <v>231</v>
      </c>
      <c r="BB199" t="s">
        <v>231</v>
      </c>
      <c r="BC199" t="s">
        <v>231</v>
      </c>
      <c r="BD199" t="s">
        <v>231</v>
      </c>
      <c r="BE199" t="s">
        <v>231</v>
      </c>
      <c r="BF199" t="s">
        <v>231</v>
      </c>
      <c r="BG199" t="s">
        <v>231</v>
      </c>
      <c r="BH199" t="s">
        <v>231</v>
      </c>
      <c r="BI199" t="s">
        <v>231</v>
      </c>
      <c r="BJ199" t="s">
        <v>231</v>
      </c>
      <c r="BK199" t="s">
        <v>231</v>
      </c>
      <c r="BL199" t="s">
        <v>231</v>
      </c>
      <c r="BM199" t="s">
        <v>231</v>
      </c>
      <c r="BN199" t="s">
        <v>231</v>
      </c>
      <c r="BO199" t="s">
        <v>231</v>
      </c>
      <c r="BP199" t="s">
        <v>231</v>
      </c>
      <c r="BQ199" t="s">
        <v>231</v>
      </c>
      <c r="BR199" t="s">
        <v>231</v>
      </c>
      <c r="BS199" t="s">
        <v>231</v>
      </c>
      <c r="BT199" t="s">
        <v>231</v>
      </c>
      <c r="BU199" t="s">
        <v>231</v>
      </c>
      <c r="BV199" t="s">
        <v>231</v>
      </c>
      <c r="BW199" t="s">
        <v>231</v>
      </c>
      <c r="BX199" t="s">
        <v>231</v>
      </c>
      <c r="BY199" t="s">
        <v>231</v>
      </c>
      <c r="BZ199" t="s">
        <v>231</v>
      </c>
      <c r="CA199" t="s">
        <v>231</v>
      </c>
      <c r="CB199" t="s">
        <v>231</v>
      </c>
      <c r="CC199" t="s">
        <v>231</v>
      </c>
      <c r="CD199" t="s">
        <v>231</v>
      </c>
      <c r="CE199" t="s">
        <v>231</v>
      </c>
      <c r="CF199" t="s">
        <v>231</v>
      </c>
      <c r="CG199" t="s">
        <v>231</v>
      </c>
      <c r="CH199" t="s">
        <v>231</v>
      </c>
      <c r="CI199" t="s">
        <v>231</v>
      </c>
      <c r="CJ199" t="s">
        <v>231</v>
      </c>
      <c r="CK199" t="s">
        <v>231</v>
      </c>
      <c r="CL199" t="s">
        <v>231</v>
      </c>
      <c r="CM199" t="s">
        <v>231</v>
      </c>
      <c r="CN199" t="s">
        <v>231</v>
      </c>
      <c r="CO199" t="s">
        <v>231</v>
      </c>
      <c r="CP199" t="s">
        <v>231</v>
      </c>
      <c r="CQ199" t="s">
        <v>231</v>
      </c>
      <c r="CR199" t="s">
        <v>231</v>
      </c>
      <c r="CS199" t="s">
        <v>231</v>
      </c>
      <c r="CT199" t="s">
        <v>3534</v>
      </c>
      <c r="CU199" t="s">
        <v>3535</v>
      </c>
      <c r="CV199" t="s">
        <v>3536</v>
      </c>
      <c r="CW199" t="s">
        <v>3589</v>
      </c>
      <c r="CX199" t="s">
        <v>223</v>
      </c>
      <c r="CY199" t="s">
        <v>3536</v>
      </c>
      <c r="CZ199" t="s">
        <v>3590</v>
      </c>
      <c r="DA199" t="s">
        <v>3591</v>
      </c>
      <c r="DB199" t="s">
        <v>3589</v>
      </c>
      <c r="DC199" t="s">
        <v>363</v>
      </c>
      <c r="DD199" t="s">
        <v>282</v>
      </c>
      <c r="DE199" t="s">
        <v>4498</v>
      </c>
    </row>
    <row r="200" spans="1:109" ht="11.25" customHeight="1">
      <c r="A200" s="1314" t="s">
        <v>231</v>
      </c>
      <c r="B200" t="s">
        <v>231</v>
      </c>
      <c r="C200" t="s">
        <v>231</v>
      </c>
      <c r="D200" t="s">
        <v>231</v>
      </c>
      <c r="E200" t="s">
        <v>231</v>
      </c>
      <c r="F200" t="s">
        <v>231</v>
      </c>
      <c r="G200" t="s">
        <v>231</v>
      </c>
      <c r="H200" t="s">
        <v>231</v>
      </c>
      <c r="I200" t="s">
        <v>3521</v>
      </c>
      <c r="J200" t="s">
        <v>231</v>
      </c>
      <c r="K200" t="s">
        <v>231</v>
      </c>
      <c r="L200" t="s">
        <v>231</v>
      </c>
      <c r="M200" t="s">
        <v>231</v>
      </c>
      <c r="N200" t="s">
        <v>231</v>
      </c>
      <c r="O200" t="s">
        <v>231</v>
      </c>
      <c r="P200" t="s">
        <v>231</v>
      </c>
      <c r="Q200" t="s">
        <v>231</v>
      </c>
      <c r="R200" t="s">
        <v>4499</v>
      </c>
      <c r="S200" t="s">
        <v>231</v>
      </c>
      <c r="T200" t="s">
        <v>231</v>
      </c>
      <c r="U200" t="s">
        <v>101</v>
      </c>
      <c r="V200" t="s">
        <v>231</v>
      </c>
      <c r="W200" t="s">
        <v>231</v>
      </c>
      <c r="X200" t="s">
        <v>3523</v>
      </c>
      <c r="Y200" t="s">
        <v>231</v>
      </c>
      <c r="Z200" t="s">
        <v>160</v>
      </c>
      <c r="AA200" t="s">
        <v>151</v>
      </c>
      <c r="AB200" t="s">
        <v>151</v>
      </c>
      <c r="AC200" t="s">
        <v>2289</v>
      </c>
      <c r="AD200" t="s">
        <v>2289</v>
      </c>
      <c r="AE200" t="s">
        <v>2290</v>
      </c>
      <c r="AF200" t="s">
        <v>4494</v>
      </c>
      <c r="AG200" t="s">
        <v>4495</v>
      </c>
      <c r="AH200" t="s">
        <v>3714</v>
      </c>
      <c r="AI200" t="s">
        <v>3774</v>
      </c>
      <c r="AJ200" t="s">
        <v>3546</v>
      </c>
      <c r="AK200" t="s">
        <v>3716</v>
      </c>
      <c r="AL200" t="s">
        <v>3548</v>
      </c>
      <c r="AM200" t="s">
        <v>3531</v>
      </c>
      <c r="AN200" t="s">
        <v>3529</v>
      </c>
      <c r="AO200" t="s">
        <v>4500</v>
      </c>
      <c r="AP200" t="s">
        <v>231</v>
      </c>
      <c r="AQ200" t="s">
        <v>231</v>
      </c>
      <c r="AR200" t="s">
        <v>231</v>
      </c>
      <c r="AS200" t="s">
        <v>231</v>
      </c>
      <c r="AT200" t="s">
        <v>231</v>
      </c>
      <c r="AU200" t="s">
        <v>231</v>
      </c>
      <c r="AV200" t="s">
        <v>231</v>
      </c>
      <c r="AW200" t="s">
        <v>231</v>
      </c>
      <c r="AX200" t="s">
        <v>231</v>
      </c>
      <c r="AY200" t="s">
        <v>231</v>
      </c>
      <c r="AZ200" t="s">
        <v>231</v>
      </c>
      <c r="BA200" t="s">
        <v>231</v>
      </c>
      <c r="BB200" t="s">
        <v>231</v>
      </c>
      <c r="BC200" t="s">
        <v>231</v>
      </c>
      <c r="BD200" t="s">
        <v>231</v>
      </c>
      <c r="BE200" t="s">
        <v>231</v>
      </c>
      <c r="BF200" t="s">
        <v>231</v>
      </c>
      <c r="BG200" t="s">
        <v>231</v>
      </c>
      <c r="BH200" t="s">
        <v>231</v>
      </c>
      <c r="BI200" t="s">
        <v>231</v>
      </c>
      <c r="BJ200" t="s">
        <v>231</v>
      </c>
      <c r="BK200" t="s">
        <v>231</v>
      </c>
      <c r="BL200" t="s">
        <v>231</v>
      </c>
      <c r="BM200" t="s">
        <v>231</v>
      </c>
      <c r="BN200" t="s">
        <v>231</v>
      </c>
      <c r="BO200" t="s">
        <v>231</v>
      </c>
      <c r="BP200" t="s">
        <v>231</v>
      </c>
      <c r="BQ200" t="s">
        <v>231</v>
      </c>
      <c r="BR200" t="s">
        <v>231</v>
      </c>
      <c r="BS200" t="s">
        <v>231</v>
      </c>
      <c r="BT200" t="s">
        <v>231</v>
      </c>
      <c r="BU200" t="s">
        <v>231</v>
      </c>
      <c r="BV200" t="s">
        <v>231</v>
      </c>
      <c r="BW200" t="s">
        <v>231</v>
      </c>
      <c r="BX200" t="s">
        <v>231</v>
      </c>
      <c r="BY200" t="s">
        <v>231</v>
      </c>
      <c r="BZ200" t="s">
        <v>231</v>
      </c>
      <c r="CA200" t="s">
        <v>231</v>
      </c>
      <c r="CB200" t="s">
        <v>231</v>
      </c>
      <c r="CC200" t="s">
        <v>231</v>
      </c>
      <c r="CD200" t="s">
        <v>231</v>
      </c>
      <c r="CE200" t="s">
        <v>231</v>
      </c>
      <c r="CF200" t="s">
        <v>231</v>
      </c>
      <c r="CG200" t="s">
        <v>231</v>
      </c>
      <c r="CH200" t="s">
        <v>231</v>
      </c>
      <c r="CI200" t="s">
        <v>231</v>
      </c>
      <c r="CJ200" t="s">
        <v>231</v>
      </c>
      <c r="CK200" t="s">
        <v>231</v>
      </c>
      <c r="CL200" t="s">
        <v>231</v>
      </c>
      <c r="CM200" t="s">
        <v>231</v>
      </c>
      <c r="CN200" t="s">
        <v>231</v>
      </c>
      <c r="CO200" t="s">
        <v>231</v>
      </c>
      <c r="CP200" t="s">
        <v>231</v>
      </c>
      <c r="CQ200" t="s">
        <v>231</v>
      </c>
      <c r="CR200" t="s">
        <v>231</v>
      </c>
      <c r="CS200" t="s">
        <v>231</v>
      </c>
      <c r="CT200" t="s">
        <v>3534</v>
      </c>
      <c r="CU200" t="s">
        <v>3535</v>
      </c>
      <c r="CV200" t="s">
        <v>3536</v>
      </c>
      <c r="CW200" t="s">
        <v>3589</v>
      </c>
      <c r="CX200" t="s">
        <v>223</v>
      </c>
      <c r="CY200" t="s">
        <v>3536</v>
      </c>
      <c r="CZ200" t="s">
        <v>3590</v>
      </c>
      <c r="DA200" t="s">
        <v>3591</v>
      </c>
      <c r="DB200" t="s">
        <v>3589</v>
      </c>
      <c r="DC200" t="s">
        <v>363</v>
      </c>
      <c r="DD200" t="s">
        <v>282</v>
      </c>
      <c r="DE200" t="s">
        <v>4501</v>
      </c>
    </row>
    <row r="201" spans="1:109" ht="11.25" customHeight="1">
      <c r="A201" s="1314" t="s">
        <v>231</v>
      </c>
      <c r="B201" t="s">
        <v>231</v>
      </c>
      <c r="C201" t="s">
        <v>231</v>
      </c>
      <c r="D201" t="s">
        <v>231</v>
      </c>
      <c r="E201" t="s">
        <v>231</v>
      </c>
      <c r="F201" t="s">
        <v>231</v>
      </c>
      <c r="G201" t="s">
        <v>231</v>
      </c>
      <c r="H201" t="s">
        <v>231</v>
      </c>
      <c r="I201" t="s">
        <v>3521</v>
      </c>
      <c r="J201" t="s">
        <v>231</v>
      </c>
      <c r="K201" t="s">
        <v>231</v>
      </c>
      <c r="L201" t="s">
        <v>231</v>
      </c>
      <c r="M201" t="s">
        <v>231</v>
      </c>
      <c r="N201" t="s">
        <v>231</v>
      </c>
      <c r="O201" t="s">
        <v>231</v>
      </c>
      <c r="P201" t="s">
        <v>231</v>
      </c>
      <c r="Q201" t="s">
        <v>231</v>
      </c>
      <c r="R201" t="s">
        <v>4502</v>
      </c>
      <c r="S201" t="s">
        <v>231</v>
      </c>
      <c r="T201" t="s">
        <v>231</v>
      </c>
      <c r="U201" t="s">
        <v>101</v>
      </c>
      <c r="V201" t="s">
        <v>231</v>
      </c>
      <c r="W201" t="s">
        <v>231</v>
      </c>
      <c r="X201" t="s">
        <v>3523</v>
      </c>
      <c r="Y201" t="s">
        <v>231</v>
      </c>
      <c r="Z201" t="s">
        <v>160</v>
      </c>
      <c r="AA201" t="s">
        <v>151</v>
      </c>
      <c r="AB201" t="s">
        <v>151</v>
      </c>
      <c r="AC201" t="s">
        <v>343</v>
      </c>
      <c r="AD201" t="s">
        <v>343</v>
      </c>
      <c r="AE201" t="s">
        <v>344</v>
      </c>
      <c r="AF201" t="s">
        <v>3561</v>
      </c>
      <c r="AG201" t="s">
        <v>3562</v>
      </c>
      <c r="AH201" t="s">
        <v>4227</v>
      </c>
      <c r="AI201" t="s">
        <v>4228</v>
      </c>
      <c r="AJ201" t="s">
        <v>4503</v>
      </c>
      <c r="AK201" t="s">
        <v>4504</v>
      </c>
      <c r="AL201" t="s">
        <v>3530</v>
      </c>
      <c r="AM201" t="s">
        <v>3531</v>
      </c>
      <c r="AN201" t="s">
        <v>3621</v>
      </c>
      <c r="AO201" t="s">
        <v>4099</v>
      </c>
      <c r="AP201" t="s">
        <v>231</v>
      </c>
      <c r="AQ201" t="s">
        <v>231</v>
      </c>
      <c r="AR201" t="s">
        <v>231</v>
      </c>
      <c r="AS201" t="s">
        <v>231</v>
      </c>
      <c r="AT201" t="s">
        <v>231</v>
      </c>
      <c r="AU201" t="s">
        <v>231</v>
      </c>
      <c r="AV201" t="s">
        <v>231</v>
      </c>
      <c r="AW201" t="s">
        <v>231</v>
      </c>
      <c r="AX201" t="s">
        <v>231</v>
      </c>
      <c r="AY201" t="s">
        <v>231</v>
      </c>
      <c r="AZ201" t="s">
        <v>231</v>
      </c>
      <c r="BA201" t="s">
        <v>231</v>
      </c>
      <c r="BB201" t="s">
        <v>231</v>
      </c>
      <c r="BC201" t="s">
        <v>231</v>
      </c>
      <c r="BD201" t="s">
        <v>231</v>
      </c>
      <c r="BE201" t="s">
        <v>231</v>
      </c>
      <c r="BF201" t="s">
        <v>231</v>
      </c>
      <c r="BG201" t="s">
        <v>231</v>
      </c>
      <c r="BH201" t="s">
        <v>231</v>
      </c>
      <c r="BI201" t="s">
        <v>231</v>
      </c>
      <c r="BJ201" t="s">
        <v>231</v>
      </c>
      <c r="BK201" t="s">
        <v>231</v>
      </c>
      <c r="BL201" t="s">
        <v>231</v>
      </c>
      <c r="BM201" t="s">
        <v>231</v>
      </c>
      <c r="BN201" t="s">
        <v>231</v>
      </c>
      <c r="BO201" t="s">
        <v>231</v>
      </c>
      <c r="BP201" t="s">
        <v>231</v>
      </c>
      <c r="BQ201" t="s">
        <v>231</v>
      </c>
      <c r="BR201" t="s">
        <v>231</v>
      </c>
      <c r="BS201" t="s">
        <v>231</v>
      </c>
      <c r="BT201" t="s">
        <v>231</v>
      </c>
      <c r="BU201" t="s">
        <v>231</v>
      </c>
      <c r="BV201" t="s">
        <v>231</v>
      </c>
      <c r="BW201" t="s">
        <v>231</v>
      </c>
      <c r="BX201" t="s">
        <v>231</v>
      </c>
      <c r="BY201" t="s">
        <v>231</v>
      </c>
      <c r="BZ201" t="s">
        <v>231</v>
      </c>
      <c r="CA201" t="s">
        <v>231</v>
      </c>
      <c r="CB201" t="s">
        <v>231</v>
      </c>
      <c r="CC201" t="s">
        <v>231</v>
      </c>
      <c r="CD201" t="s">
        <v>231</v>
      </c>
      <c r="CE201" t="s">
        <v>231</v>
      </c>
      <c r="CF201" t="s">
        <v>231</v>
      </c>
      <c r="CG201" t="s">
        <v>231</v>
      </c>
      <c r="CH201" t="s">
        <v>231</v>
      </c>
      <c r="CI201" t="s">
        <v>231</v>
      </c>
      <c r="CJ201" t="s">
        <v>231</v>
      </c>
      <c r="CK201" t="s">
        <v>231</v>
      </c>
      <c r="CL201" t="s">
        <v>231</v>
      </c>
      <c r="CM201" t="s">
        <v>231</v>
      </c>
      <c r="CN201" t="s">
        <v>231</v>
      </c>
      <c r="CO201" t="s">
        <v>231</v>
      </c>
      <c r="CP201" t="s">
        <v>231</v>
      </c>
      <c r="CQ201" t="s">
        <v>231</v>
      </c>
      <c r="CR201" t="s">
        <v>231</v>
      </c>
      <c r="CS201" t="s">
        <v>231</v>
      </c>
      <c r="CT201" t="s">
        <v>3534</v>
      </c>
      <c r="CU201" t="s">
        <v>3535</v>
      </c>
      <c r="CV201" t="s">
        <v>3536</v>
      </c>
      <c r="CW201" t="s">
        <v>3569</v>
      </c>
      <c r="CX201" t="s">
        <v>3570</v>
      </c>
      <c r="CY201" t="s">
        <v>3536</v>
      </c>
      <c r="CZ201" t="s">
        <v>224</v>
      </c>
      <c r="DA201" t="s">
        <v>3571</v>
      </c>
      <c r="DB201" t="s">
        <v>3569</v>
      </c>
      <c r="DC201" t="s">
        <v>363</v>
      </c>
      <c r="DD201" t="s">
        <v>282</v>
      </c>
      <c r="DE201" t="s">
        <v>4232</v>
      </c>
    </row>
    <row r="202" spans="1:109" ht="11.25" customHeight="1">
      <c r="A202" s="1314" t="s">
        <v>231</v>
      </c>
      <c r="B202" t="s">
        <v>231</v>
      </c>
      <c r="C202" t="s">
        <v>231</v>
      </c>
      <c r="D202" t="s">
        <v>231</v>
      </c>
      <c r="E202" t="s">
        <v>231</v>
      </c>
      <c r="F202" t="s">
        <v>231</v>
      </c>
      <c r="G202" t="s">
        <v>231</v>
      </c>
      <c r="H202" t="s">
        <v>231</v>
      </c>
      <c r="I202" t="s">
        <v>3521</v>
      </c>
      <c r="J202" t="s">
        <v>231</v>
      </c>
      <c r="K202" t="s">
        <v>231</v>
      </c>
      <c r="L202" t="s">
        <v>231</v>
      </c>
      <c r="M202" t="s">
        <v>231</v>
      </c>
      <c r="N202" t="s">
        <v>231</v>
      </c>
      <c r="O202" t="s">
        <v>231</v>
      </c>
      <c r="P202" t="s">
        <v>231</v>
      </c>
      <c r="Q202" t="s">
        <v>231</v>
      </c>
      <c r="R202" t="s">
        <v>3615</v>
      </c>
      <c r="S202" t="s">
        <v>231</v>
      </c>
      <c r="T202" t="s">
        <v>231</v>
      </c>
      <c r="U202" t="s">
        <v>101</v>
      </c>
      <c r="V202" t="s">
        <v>231</v>
      </c>
      <c r="W202" t="s">
        <v>231</v>
      </c>
      <c r="X202" t="s">
        <v>3523</v>
      </c>
      <c r="Y202" t="s">
        <v>231</v>
      </c>
      <c r="Z202" t="s">
        <v>160</v>
      </c>
      <c r="AA202" t="s">
        <v>151</v>
      </c>
      <c r="AB202" t="s">
        <v>151</v>
      </c>
      <c r="AC202" t="s">
        <v>2289</v>
      </c>
      <c r="AD202" t="s">
        <v>2289</v>
      </c>
      <c r="AE202" t="s">
        <v>2290</v>
      </c>
      <c r="AF202" t="s">
        <v>4505</v>
      </c>
      <c r="AG202" t="s">
        <v>4506</v>
      </c>
      <c r="AH202" t="s">
        <v>4507</v>
      </c>
      <c r="AI202" t="s">
        <v>3593</v>
      </c>
      <c r="AJ202" t="s">
        <v>4481</v>
      </c>
      <c r="AK202" t="s">
        <v>4508</v>
      </c>
      <c r="AL202" t="s">
        <v>3548</v>
      </c>
      <c r="AM202" t="s">
        <v>3531</v>
      </c>
      <c r="AN202" t="s">
        <v>3587</v>
      </c>
      <c r="AO202" t="s">
        <v>3558</v>
      </c>
      <c r="AP202" t="s">
        <v>231</v>
      </c>
      <c r="AQ202" t="s">
        <v>231</v>
      </c>
      <c r="AR202" t="s">
        <v>231</v>
      </c>
      <c r="AS202" t="s">
        <v>231</v>
      </c>
      <c r="AT202" t="s">
        <v>231</v>
      </c>
      <c r="AU202" t="s">
        <v>231</v>
      </c>
      <c r="AV202" t="s">
        <v>231</v>
      </c>
      <c r="AW202" t="s">
        <v>231</v>
      </c>
      <c r="AX202" t="s">
        <v>231</v>
      </c>
      <c r="AY202" t="s">
        <v>231</v>
      </c>
      <c r="AZ202" t="s">
        <v>231</v>
      </c>
      <c r="BA202" t="s">
        <v>231</v>
      </c>
      <c r="BB202" t="s">
        <v>231</v>
      </c>
      <c r="BC202" t="s">
        <v>231</v>
      </c>
      <c r="BD202" t="s">
        <v>231</v>
      </c>
      <c r="BE202" t="s">
        <v>231</v>
      </c>
      <c r="BF202" t="s">
        <v>231</v>
      </c>
      <c r="BG202" t="s">
        <v>231</v>
      </c>
      <c r="BH202" t="s">
        <v>231</v>
      </c>
      <c r="BI202" t="s">
        <v>231</v>
      </c>
      <c r="BJ202" t="s">
        <v>231</v>
      </c>
      <c r="BK202" t="s">
        <v>231</v>
      </c>
      <c r="BL202" t="s">
        <v>231</v>
      </c>
      <c r="BM202" t="s">
        <v>231</v>
      </c>
      <c r="BN202" t="s">
        <v>231</v>
      </c>
      <c r="BO202" t="s">
        <v>231</v>
      </c>
      <c r="BP202" t="s">
        <v>231</v>
      </c>
      <c r="BQ202" t="s">
        <v>231</v>
      </c>
      <c r="BR202" t="s">
        <v>231</v>
      </c>
      <c r="BS202" t="s">
        <v>231</v>
      </c>
      <c r="BT202" t="s">
        <v>231</v>
      </c>
      <c r="BU202" t="s">
        <v>231</v>
      </c>
      <c r="BV202" t="s">
        <v>231</v>
      </c>
      <c r="BW202" t="s">
        <v>231</v>
      </c>
      <c r="BX202" t="s">
        <v>231</v>
      </c>
      <c r="BY202" t="s">
        <v>231</v>
      </c>
      <c r="BZ202" t="s">
        <v>231</v>
      </c>
      <c r="CA202" t="s">
        <v>231</v>
      </c>
      <c r="CB202" t="s">
        <v>231</v>
      </c>
      <c r="CC202" t="s">
        <v>231</v>
      </c>
      <c r="CD202" t="s">
        <v>231</v>
      </c>
      <c r="CE202" t="s">
        <v>231</v>
      </c>
      <c r="CF202" t="s">
        <v>231</v>
      </c>
      <c r="CG202" t="s">
        <v>231</v>
      </c>
      <c r="CH202" t="s">
        <v>231</v>
      </c>
      <c r="CI202" t="s">
        <v>231</v>
      </c>
      <c r="CJ202" t="s">
        <v>231</v>
      </c>
      <c r="CK202" t="s">
        <v>231</v>
      </c>
      <c r="CL202" t="s">
        <v>231</v>
      </c>
      <c r="CM202" t="s">
        <v>231</v>
      </c>
      <c r="CN202" t="s">
        <v>231</v>
      </c>
      <c r="CO202" t="s">
        <v>231</v>
      </c>
      <c r="CP202" t="s">
        <v>231</v>
      </c>
      <c r="CQ202" t="s">
        <v>231</v>
      </c>
      <c r="CR202" t="s">
        <v>231</v>
      </c>
      <c r="CS202" t="s">
        <v>231</v>
      </c>
      <c r="CT202" t="s">
        <v>3534</v>
      </c>
      <c r="CU202" t="s">
        <v>3535</v>
      </c>
      <c r="CV202" t="s">
        <v>3536</v>
      </c>
      <c r="CW202" t="s">
        <v>3589</v>
      </c>
      <c r="CX202" t="s">
        <v>223</v>
      </c>
      <c r="CY202" t="s">
        <v>3536</v>
      </c>
      <c r="CZ202" t="s">
        <v>3590</v>
      </c>
      <c r="DA202" t="s">
        <v>3591</v>
      </c>
      <c r="DB202" t="s">
        <v>3589</v>
      </c>
      <c r="DC202" t="s">
        <v>363</v>
      </c>
      <c r="DD202" t="s">
        <v>282</v>
      </c>
      <c r="DE202" t="s">
        <v>4509</v>
      </c>
    </row>
    <row r="203" spans="1:109" ht="11.25" customHeight="1">
      <c r="A203" s="1314" t="s">
        <v>231</v>
      </c>
      <c r="B203" t="s">
        <v>231</v>
      </c>
      <c r="C203" t="s">
        <v>231</v>
      </c>
      <c r="D203" t="s">
        <v>231</v>
      </c>
      <c r="E203" t="s">
        <v>231</v>
      </c>
      <c r="F203" t="s">
        <v>231</v>
      </c>
      <c r="G203" t="s">
        <v>231</v>
      </c>
      <c r="H203" t="s">
        <v>231</v>
      </c>
      <c r="I203" t="s">
        <v>3521</v>
      </c>
      <c r="J203" t="s">
        <v>231</v>
      </c>
      <c r="K203" t="s">
        <v>231</v>
      </c>
      <c r="L203" t="s">
        <v>231</v>
      </c>
      <c r="M203" t="s">
        <v>231</v>
      </c>
      <c r="N203" t="s">
        <v>231</v>
      </c>
      <c r="O203" t="s">
        <v>231</v>
      </c>
      <c r="P203" t="s">
        <v>231</v>
      </c>
      <c r="Q203" t="s">
        <v>231</v>
      </c>
      <c r="R203" t="s">
        <v>4510</v>
      </c>
      <c r="S203" t="s">
        <v>231</v>
      </c>
      <c r="T203" t="s">
        <v>231</v>
      </c>
      <c r="U203" t="s">
        <v>101</v>
      </c>
      <c r="V203" t="s">
        <v>231</v>
      </c>
      <c r="W203" t="s">
        <v>231</v>
      </c>
      <c r="X203" t="s">
        <v>3523</v>
      </c>
      <c r="Y203" t="s">
        <v>231</v>
      </c>
      <c r="Z203" t="s">
        <v>160</v>
      </c>
      <c r="AA203" t="s">
        <v>151</v>
      </c>
      <c r="AB203" t="s">
        <v>151</v>
      </c>
      <c r="AC203" t="s">
        <v>2289</v>
      </c>
      <c r="AD203" t="s">
        <v>2289</v>
      </c>
      <c r="AE203" t="s">
        <v>2290</v>
      </c>
      <c r="AF203" t="s">
        <v>4511</v>
      </c>
      <c r="AG203" t="s">
        <v>4512</v>
      </c>
      <c r="AH203" t="s">
        <v>3728</v>
      </c>
      <c r="AI203" t="s">
        <v>4240</v>
      </c>
      <c r="AJ203" t="s">
        <v>3619</v>
      </c>
      <c r="AK203" t="s">
        <v>3586</v>
      </c>
      <c r="AL203" t="s">
        <v>3548</v>
      </c>
      <c r="AM203" t="s">
        <v>3531</v>
      </c>
      <c r="AN203" t="s">
        <v>3595</v>
      </c>
      <c r="AO203" t="s">
        <v>4124</v>
      </c>
      <c r="AP203" t="s">
        <v>231</v>
      </c>
      <c r="AQ203" t="s">
        <v>231</v>
      </c>
      <c r="AR203" t="s">
        <v>231</v>
      </c>
      <c r="AS203" t="s">
        <v>231</v>
      </c>
      <c r="AT203" t="s">
        <v>231</v>
      </c>
      <c r="AU203" t="s">
        <v>231</v>
      </c>
      <c r="AV203" t="s">
        <v>231</v>
      </c>
      <c r="AW203" t="s">
        <v>231</v>
      </c>
      <c r="AX203" t="s">
        <v>231</v>
      </c>
      <c r="AY203" t="s">
        <v>231</v>
      </c>
      <c r="AZ203" t="s">
        <v>231</v>
      </c>
      <c r="BA203" t="s">
        <v>231</v>
      </c>
      <c r="BB203" t="s">
        <v>231</v>
      </c>
      <c r="BC203" t="s">
        <v>231</v>
      </c>
      <c r="BD203" t="s">
        <v>231</v>
      </c>
      <c r="BE203" t="s">
        <v>231</v>
      </c>
      <c r="BF203" t="s">
        <v>231</v>
      </c>
      <c r="BG203" t="s">
        <v>231</v>
      </c>
      <c r="BH203" t="s">
        <v>231</v>
      </c>
      <c r="BI203" t="s">
        <v>231</v>
      </c>
      <c r="BJ203" t="s">
        <v>231</v>
      </c>
      <c r="BK203" t="s">
        <v>231</v>
      </c>
      <c r="BL203" t="s">
        <v>231</v>
      </c>
      <c r="BM203" t="s">
        <v>231</v>
      </c>
      <c r="BN203" t="s">
        <v>231</v>
      </c>
      <c r="BO203" t="s">
        <v>231</v>
      </c>
      <c r="BP203" t="s">
        <v>231</v>
      </c>
      <c r="BQ203" t="s">
        <v>231</v>
      </c>
      <c r="BR203" t="s">
        <v>231</v>
      </c>
      <c r="BS203" t="s">
        <v>231</v>
      </c>
      <c r="BT203" t="s">
        <v>231</v>
      </c>
      <c r="BU203" t="s">
        <v>231</v>
      </c>
      <c r="BV203" t="s">
        <v>231</v>
      </c>
      <c r="BW203" t="s">
        <v>231</v>
      </c>
      <c r="BX203" t="s">
        <v>231</v>
      </c>
      <c r="BY203" t="s">
        <v>231</v>
      </c>
      <c r="BZ203" t="s">
        <v>231</v>
      </c>
      <c r="CA203" t="s">
        <v>231</v>
      </c>
      <c r="CB203" t="s">
        <v>231</v>
      </c>
      <c r="CC203" t="s">
        <v>231</v>
      </c>
      <c r="CD203" t="s">
        <v>231</v>
      </c>
      <c r="CE203" t="s">
        <v>231</v>
      </c>
      <c r="CF203" t="s">
        <v>231</v>
      </c>
      <c r="CG203" t="s">
        <v>231</v>
      </c>
      <c r="CH203" t="s">
        <v>231</v>
      </c>
      <c r="CI203" t="s">
        <v>231</v>
      </c>
      <c r="CJ203" t="s">
        <v>231</v>
      </c>
      <c r="CK203" t="s">
        <v>231</v>
      </c>
      <c r="CL203" t="s">
        <v>231</v>
      </c>
      <c r="CM203" t="s">
        <v>231</v>
      </c>
      <c r="CN203" t="s">
        <v>231</v>
      </c>
      <c r="CO203" t="s">
        <v>231</v>
      </c>
      <c r="CP203" t="s">
        <v>231</v>
      </c>
      <c r="CQ203" t="s">
        <v>231</v>
      </c>
      <c r="CR203" t="s">
        <v>231</v>
      </c>
      <c r="CS203" t="s">
        <v>231</v>
      </c>
      <c r="CT203" t="s">
        <v>3534</v>
      </c>
      <c r="CU203" t="s">
        <v>3535</v>
      </c>
      <c r="CV203" t="s">
        <v>3536</v>
      </c>
      <c r="CW203" t="s">
        <v>3589</v>
      </c>
      <c r="CX203" t="s">
        <v>223</v>
      </c>
      <c r="CY203" t="s">
        <v>3536</v>
      </c>
      <c r="CZ203" t="s">
        <v>3590</v>
      </c>
      <c r="DA203" t="s">
        <v>3591</v>
      </c>
      <c r="DB203" t="s">
        <v>3589</v>
      </c>
      <c r="DC203" t="s">
        <v>363</v>
      </c>
      <c r="DD203" t="s">
        <v>282</v>
      </c>
      <c r="DE203" t="s">
        <v>4513</v>
      </c>
    </row>
    <row r="204" spans="1:109" ht="11.25" customHeight="1">
      <c r="A204" s="1314" t="s">
        <v>231</v>
      </c>
      <c r="B204" t="s">
        <v>231</v>
      </c>
      <c r="C204" t="s">
        <v>231</v>
      </c>
      <c r="D204" t="s">
        <v>231</v>
      </c>
      <c r="E204" t="s">
        <v>231</v>
      </c>
      <c r="F204" t="s">
        <v>231</v>
      </c>
      <c r="G204" t="s">
        <v>231</v>
      </c>
      <c r="H204" t="s">
        <v>231</v>
      </c>
      <c r="I204" t="s">
        <v>3521</v>
      </c>
      <c r="J204" t="s">
        <v>231</v>
      </c>
      <c r="K204" t="s">
        <v>231</v>
      </c>
      <c r="L204" t="s">
        <v>231</v>
      </c>
      <c r="M204" t="s">
        <v>231</v>
      </c>
      <c r="N204" t="s">
        <v>231</v>
      </c>
      <c r="O204" t="s">
        <v>231</v>
      </c>
      <c r="P204" t="s">
        <v>231</v>
      </c>
      <c r="Q204" t="s">
        <v>231</v>
      </c>
      <c r="R204" t="s">
        <v>4514</v>
      </c>
      <c r="S204" t="s">
        <v>231</v>
      </c>
      <c r="T204" t="s">
        <v>231</v>
      </c>
      <c r="U204" t="s">
        <v>101</v>
      </c>
      <c r="V204" t="s">
        <v>231</v>
      </c>
      <c r="W204" t="s">
        <v>231</v>
      </c>
      <c r="X204" t="s">
        <v>3523</v>
      </c>
      <c r="Y204" t="s">
        <v>231</v>
      </c>
      <c r="Z204" t="s">
        <v>160</v>
      </c>
      <c r="AA204" t="s">
        <v>151</v>
      </c>
      <c r="AB204" t="s">
        <v>151</v>
      </c>
      <c r="AC204" t="s">
        <v>343</v>
      </c>
      <c r="AD204" t="s">
        <v>343</v>
      </c>
      <c r="AE204" t="s">
        <v>344</v>
      </c>
      <c r="AF204" t="s">
        <v>3561</v>
      </c>
      <c r="AG204" t="s">
        <v>3562</v>
      </c>
      <c r="AH204" t="s">
        <v>4515</v>
      </c>
      <c r="AI204" t="s">
        <v>4516</v>
      </c>
      <c r="AJ204" t="s">
        <v>3918</v>
      </c>
      <c r="AK204" t="s">
        <v>4517</v>
      </c>
      <c r="AL204" t="s">
        <v>3566</v>
      </c>
      <c r="AM204" t="s">
        <v>3531</v>
      </c>
      <c r="AN204" t="s">
        <v>4518</v>
      </c>
      <c r="AO204" t="s">
        <v>4519</v>
      </c>
      <c r="AP204" t="s">
        <v>231</v>
      </c>
      <c r="AQ204" t="s">
        <v>231</v>
      </c>
      <c r="AR204" t="s">
        <v>231</v>
      </c>
      <c r="AS204" t="s">
        <v>231</v>
      </c>
      <c r="AT204" t="s">
        <v>231</v>
      </c>
      <c r="AU204" t="s">
        <v>231</v>
      </c>
      <c r="AV204" t="s">
        <v>231</v>
      </c>
      <c r="AW204" t="s">
        <v>231</v>
      </c>
      <c r="AX204" t="s">
        <v>231</v>
      </c>
      <c r="AY204" t="s">
        <v>231</v>
      </c>
      <c r="AZ204" t="s">
        <v>231</v>
      </c>
      <c r="BA204" t="s">
        <v>231</v>
      </c>
      <c r="BB204" t="s">
        <v>231</v>
      </c>
      <c r="BC204" t="s">
        <v>231</v>
      </c>
      <c r="BD204" t="s">
        <v>231</v>
      </c>
      <c r="BE204" t="s">
        <v>231</v>
      </c>
      <c r="BF204" t="s">
        <v>231</v>
      </c>
      <c r="BG204" t="s">
        <v>231</v>
      </c>
      <c r="BH204" t="s">
        <v>231</v>
      </c>
      <c r="BI204" t="s">
        <v>231</v>
      </c>
      <c r="BJ204" t="s">
        <v>231</v>
      </c>
      <c r="BK204" t="s">
        <v>231</v>
      </c>
      <c r="BL204" t="s">
        <v>231</v>
      </c>
      <c r="BM204" t="s">
        <v>231</v>
      </c>
      <c r="BN204" t="s">
        <v>231</v>
      </c>
      <c r="BO204" t="s">
        <v>231</v>
      </c>
      <c r="BP204" t="s">
        <v>231</v>
      </c>
      <c r="BQ204" t="s">
        <v>231</v>
      </c>
      <c r="BR204" t="s">
        <v>231</v>
      </c>
      <c r="BS204" t="s">
        <v>231</v>
      </c>
      <c r="BT204" t="s">
        <v>231</v>
      </c>
      <c r="BU204" t="s">
        <v>231</v>
      </c>
      <c r="BV204" t="s">
        <v>231</v>
      </c>
      <c r="BW204" t="s">
        <v>231</v>
      </c>
      <c r="BX204" t="s">
        <v>231</v>
      </c>
      <c r="BY204" t="s">
        <v>231</v>
      </c>
      <c r="BZ204" t="s">
        <v>231</v>
      </c>
      <c r="CA204" t="s">
        <v>231</v>
      </c>
      <c r="CB204" t="s">
        <v>231</v>
      </c>
      <c r="CC204" t="s">
        <v>231</v>
      </c>
      <c r="CD204" t="s">
        <v>231</v>
      </c>
      <c r="CE204" t="s">
        <v>231</v>
      </c>
      <c r="CF204" t="s">
        <v>231</v>
      </c>
      <c r="CG204" t="s">
        <v>231</v>
      </c>
      <c r="CH204" t="s">
        <v>231</v>
      </c>
      <c r="CI204" t="s">
        <v>231</v>
      </c>
      <c r="CJ204" t="s">
        <v>231</v>
      </c>
      <c r="CK204" t="s">
        <v>231</v>
      </c>
      <c r="CL204" t="s">
        <v>231</v>
      </c>
      <c r="CM204" t="s">
        <v>231</v>
      </c>
      <c r="CN204" t="s">
        <v>231</v>
      </c>
      <c r="CO204" t="s">
        <v>231</v>
      </c>
      <c r="CP204" t="s">
        <v>231</v>
      </c>
      <c r="CQ204" t="s">
        <v>231</v>
      </c>
      <c r="CR204" t="s">
        <v>231</v>
      </c>
      <c r="CS204" t="s">
        <v>231</v>
      </c>
      <c r="CT204" t="s">
        <v>3534</v>
      </c>
      <c r="CU204" t="s">
        <v>3535</v>
      </c>
      <c r="CV204" t="s">
        <v>3536</v>
      </c>
      <c r="CW204" t="s">
        <v>3569</v>
      </c>
      <c r="CX204" t="s">
        <v>3570</v>
      </c>
      <c r="CY204" t="s">
        <v>3536</v>
      </c>
      <c r="CZ204" t="s">
        <v>224</v>
      </c>
      <c r="DA204" t="s">
        <v>3571</v>
      </c>
      <c r="DB204" t="s">
        <v>3569</v>
      </c>
      <c r="DC204" t="s">
        <v>363</v>
      </c>
      <c r="DD204" t="s">
        <v>282</v>
      </c>
      <c r="DE204" t="s">
        <v>4520</v>
      </c>
    </row>
    <row r="205" spans="1:109" ht="11.25" customHeight="1">
      <c r="A205" s="1314" t="s">
        <v>231</v>
      </c>
      <c r="B205" t="s">
        <v>231</v>
      </c>
      <c r="C205" t="s">
        <v>231</v>
      </c>
      <c r="D205" t="s">
        <v>231</v>
      </c>
      <c r="E205" t="s">
        <v>231</v>
      </c>
      <c r="F205" t="s">
        <v>231</v>
      </c>
      <c r="G205" t="s">
        <v>231</v>
      </c>
      <c r="H205" t="s">
        <v>231</v>
      </c>
      <c r="I205" t="s">
        <v>3521</v>
      </c>
      <c r="J205" t="s">
        <v>231</v>
      </c>
      <c r="K205" t="s">
        <v>231</v>
      </c>
      <c r="L205" t="s">
        <v>231</v>
      </c>
      <c r="M205" t="s">
        <v>231</v>
      </c>
      <c r="N205" t="s">
        <v>231</v>
      </c>
      <c r="O205" t="s">
        <v>231</v>
      </c>
      <c r="P205" t="s">
        <v>231</v>
      </c>
      <c r="Q205" t="s">
        <v>231</v>
      </c>
      <c r="R205" t="s">
        <v>4521</v>
      </c>
      <c r="S205" t="s">
        <v>231</v>
      </c>
      <c r="T205" t="s">
        <v>231</v>
      </c>
      <c r="U205" t="s">
        <v>101</v>
      </c>
      <c r="V205" t="s">
        <v>231</v>
      </c>
      <c r="W205" t="s">
        <v>231</v>
      </c>
      <c r="X205" t="s">
        <v>3523</v>
      </c>
      <c r="Y205" t="s">
        <v>231</v>
      </c>
      <c r="Z205" t="s">
        <v>160</v>
      </c>
      <c r="AA205" t="s">
        <v>151</v>
      </c>
      <c r="AB205" t="s">
        <v>151</v>
      </c>
      <c r="AC205" t="s">
        <v>2289</v>
      </c>
      <c r="AD205" t="s">
        <v>2289</v>
      </c>
      <c r="AE205" t="s">
        <v>2290</v>
      </c>
      <c r="AF205" t="s">
        <v>4511</v>
      </c>
      <c r="AG205" t="s">
        <v>4512</v>
      </c>
      <c r="AH205" t="s">
        <v>4522</v>
      </c>
      <c r="AI205" t="s">
        <v>4523</v>
      </c>
      <c r="AJ205" t="s">
        <v>3619</v>
      </c>
      <c r="AK205" t="s">
        <v>3586</v>
      </c>
      <c r="AL205" t="s">
        <v>3548</v>
      </c>
      <c r="AM205" t="s">
        <v>3531</v>
      </c>
      <c r="AN205" t="s">
        <v>3595</v>
      </c>
      <c r="AO205" t="s">
        <v>4124</v>
      </c>
      <c r="AP205" t="s">
        <v>231</v>
      </c>
      <c r="AQ205" t="s">
        <v>231</v>
      </c>
      <c r="AR205" t="s">
        <v>231</v>
      </c>
      <c r="AS205" t="s">
        <v>231</v>
      </c>
      <c r="AT205" t="s">
        <v>231</v>
      </c>
      <c r="AU205" t="s">
        <v>231</v>
      </c>
      <c r="AV205" t="s">
        <v>231</v>
      </c>
      <c r="AW205" t="s">
        <v>231</v>
      </c>
      <c r="AX205" t="s">
        <v>231</v>
      </c>
      <c r="AY205" t="s">
        <v>231</v>
      </c>
      <c r="AZ205" t="s">
        <v>231</v>
      </c>
      <c r="BA205" t="s">
        <v>231</v>
      </c>
      <c r="BB205" t="s">
        <v>231</v>
      </c>
      <c r="BC205" t="s">
        <v>231</v>
      </c>
      <c r="BD205" t="s">
        <v>231</v>
      </c>
      <c r="BE205" t="s">
        <v>231</v>
      </c>
      <c r="BF205" t="s">
        <v>231</v>
      </c>
      <c r="BG205" t="s">
        <v>231</v>
      </c>
      <c r="BH205" t="s">
        <v>231</v>
      </c>
      <c r="BI205" t="s">
        <v>231</v>
      </c>
      <c r="BJ205" t="s">
        <v>231</v>
      </c>
      <c r="BK205" t="s">
        <v>231</v>
      </c>
      <c r="BL205" t="s">
        <v>231</v>
      </c>
      <c r="BM205" t="s">
        <v>231</v>
      </c>
      <c r="BN205" t="s">
        <v>231</v>
      </c>
      <c r="BO205" t="s">
        <v>231</v>
      </c>
      <c r="BP205" t="s">
        <v>231</v>
      </c>
      <c r="BQ205" t="s">
        <v>231</v>
      </c>
      <c r="BR205" t="s">
        <v>231</v>
      </c>
      <c r="BS205" t="s">
        <v>231</v>
      </c>
      <c r="BT205" t="s">
        <v>231</v>
      </c>
      <c r="BU205" t="s">
        <v>231</v>
      </c>
      <c r="BV205" t="s">
        <v>231</v>
      </c>
      <c r="BW205" t="s">
        <v>231</v>
      </c>
      <c r="BX205" t="s">
        <v>231</v>
      </c>
      <c r="BY205" t="s">
        <v>231</v>
      </c>
      <c r="BZ205" t="s">
        <v>231</v>
      </c>
      <c r="CA205" t="s">
        <v>231</v>
      </c>
      <c r="CB205" t="s">
        <v>231</v>
      </c>
      <c r="CC205" t="s">
        <v>231</v>
      </c>
      <c r="CD205" t="s">
        <v>231</v>
      </c>
      <c r="CE205" t="s">
        <v>231</v>
      </c>
      <c r="CF205" t="s">
        <v>231</v>
      </c>
      <c r="CG205" t="s">
        <v>231</v>
      </c>
      <c r="CH205" t="s">
        <v>231</v>
      </c>
      <c r="CI205" t="s">
        <v>231</v>
      </c>
      <c r="CJ205" t="s">
        <v>231</v>
      </c>
      <c r="CK205" t="s">
        <v>231</v>
      </c>
      <c r="CL205" t="s">
        <v>231</v>
      </c>
      <c r="CM205" t="s">
        <v>231</v>
      </c>
      <c r="CN205" t="s">
        <v>231</v>
      </c>
      <c r="CO205" t="s">
        <v>231</v>
      </c>
      <c r="CP205" t="s">
        <v>231</v>
      </c>
      <c r="CQ205" t="s">
        <v>231</v>
      </c>
      <c r="CR205" t="s">
        <v>231</v>
      </c>
      <c r="CS205" t="s">
        <v>231</v>
      </c>
      <c r="CT205" t="s">
        <v>3534</v>
      </c>
      <c r="CU205" t="s">
        <v>3535</v>
      </c>
      <c r="CV205" t="s">
        <v>3536</v>
      </c>
      <c r="CW205" t="s">
        <v>3589</v>
      </c>
      <c r="CX205" t="s">
        <v>223</v>
      </c>
      <c r="CY205" t="s">
        <v>3536</v>
      </c>
      <c r="CZ205" t="s">
        <v>3590</v>
      </c>
      <c r="DA205" t="s">
        <v>3591</v>
      </c>
      <c r="DB205" t="s">
        <v>3589</v>
      </c>
      <c r="DC205" t="s">
        <v>363</v>
      </c>
      <c r="DD205" t="s">
        <v>282</v>
      </c>
      <c r="DE205" t="s">
        <v>4524</v>
      </c>
    </row>
    <row r="206" spans="1:109" ht="11.25" customHeight="1">
      <c r="A206" s="1314" t="s">
        <v>231</v>
      </c>
      <c r="B206" t="s">
        <v>231</v>
      </c>
      <c r="C206" t="s">
        <v>231</v>
      </c>
      <c r="D206" t="s">
        <v>231</v>
      </c>
      <c r="E206" t="s">
        <v>231</v>
      </c>
      <c r="F206" t="s">
        <v>231</v>
      </c>
      <c r="G206" t="s">
        <v>231</v>
      </c>
      <c r="H206" t="s">
        <v>231</v>
      </c>
      <c r="I206" t="s">
        <v>3521</v>
      </c>
      <c r="J206" t="s">
        <v>231</v>
      </c>
      <c r="K206" t="s">
        <v>231</v>
      </c>
      <c r="L206" t="s">
        <v>231</v>
      </c>
      <c r="M206" t="s">
        <v>231</v>
      </c>
      <c r="N206" t="s">
        <v>231</v>
      </c>
      <c r="O206" t="s">
        <v>231</v>
      </c>
      <c r="P206" t="s">
        <v>231</v>
      </c>
      <c r="Q206" t="s">
        <v>231</v>
      </c>
      <c r="R206" t="s">
        <v>4525</v>
      </c>
      <c r="S206" t="s">
        <v>231</v>
      </c>
      <c r="T206" t="s">
        <v>231</v>
      </c>
      <c r="U206" t="s">
        <v>101</v>
      </c>
      <c r="V206" t="s">
        <v>231</v>
      </c>
      <c r="W206" t="s">
        <v>231</v>
      </c>
      <c r="X206" t="s">
        <v>3523</v>
      </c>
      <c r="Y206" t="s">
        <v>231</v>
      </c>
      <c r="Z206" t="s">
        <v>160</v>
      </c>
      <c r="AA206" t="s">
        <v>151</v>
      </c>
      <c r="AB206" t="s">
        <v>151</v>
      </c>
      <c r="AC206" t="s">
        <v>2691</v>
      </c>
      <c r="AD206" t="s">
        <v>2691</v>
      </c>
      <c r="AE206" t="s">
        <v>2692</v>
      </c>
      <c r="AF206" t="s">
        <v>3991</v>
      </c>
      <c r="AG206" t="s">
        <v>3992</v>
      </c>
      <c r="AH206" t="s">
        <v>4113</v>
      </c>
      <c r="AI206" t="s">
        <v>151</v>
      </c>
      <c r="AJ206" t="s">
        <v>4526</v>
      </c>
      <c r="AK206" t="s">
        <v>3641</v>
      </c>
      <c r="AL206" t="s">
        <v>3548</v>
      </c>
      <c r="AM206" t="s">
        <v>3531</v>
      </c>
      <c r="AN206" t="s">
        <v>4527</v>
      </c>
      <c r="AO206" t="s">
        <v>4261</v>
      </c>
      <c r="AP206" t="s">
        <v>231</v>
      </c>
      <c r="AQ206" t="s">
        <v>231</v>
      </c>
      <c r="AR206" t="s">
        <v>231</v>
      </c>
      <c r="AS206" t="s">
        <v>231</v>
      </c>
      <c r="AT206" t="s">
        <v>231</v>
      </c>
      <c r="AU206" t="s">
        <v>231</v>
      </c>
      <c r="AV206" t="s">
        <v>231</v>
      </c>
      <c r="AW206" t="s">
        <v>231</v>
      </c>
      <c r="AX206" t="s">
        <v>231</v>
      </c>
      <c r="AY206" t="s">
        <v>231</v>
      </c>
      <c r="AZ206" t="s">
        <v>231</v>
      </c>
      <c r="BA206" t="s">
        <v>231</v>
      </c>
      <c r="BB206" t="s">
        <v>231</v>
      </c>
      <c r="BC206" t="s">
        <v>231</v>
      </c>
      <c r="BD206" t="s">
        <v>231</v>
      </c>
      <c r="BE206" t="s">
        <v>231</v>
      </c>
      <c r="BF206" t="s">
        <v>231</v>
      </c>
      <c r="BG206" t="s">
        <v>231</v>
      </c>
      <c r="BH206" t="s">
        <v>231</v>
      </c>
      <c r="BI206" t="s">
        <v>231</v>
      </c>
      <c r="BJ206" t="s">
        <v>231</v>
      </c>
      <c r="BK206" t="s">
        <v>231</v>
      </c>
      <c r="BL206" t="s">
        <v>231</v>
      </c>
      <c r="BM206" t="s">
        <v>231</v>
      </c>
      <c r="BN206" t="s">
        <v>231</v>
      </c>
      <c r="BO206" t="s">
        <v>231</v>
      </c>
      <c r="BP206" t="s">
        <v>231</v>
      </c>
      <c r="BQ206" t="s">
        <v>231</v>
      </c>
      <c r="BR206" t="s">
        <v>231</v>
      </c>
      <c r="BS206" t="s">
        <v>231</v>
      </c>
      <c r="BT206" t="s">
        <v>231</v>
      </c>
      <c r="BU206" t="s">
        <v>231</v>
      </c>
      <c r="BV206" t="s">
        <v>231</v>
      </c>
      <c r="BW206" t="s">
        <v>231</v>
      </c>
      <c r="BX206" t="s">
        <v>231</v>
      </c>
      <c r="BY206" t="s">
        <v>231</v>
      </c>
      <c r="BZ206" t="s">
        <v>231</v>
      </c>
      <c r="CA206" t="s">
        <v>231</v>
      </c>
      <c r="CB206" t="s">
        <v>231</v>
      </c>
      <c r="CC206" t="s">
        <v>231</v>
      </c>
      <c r="CD206" t="s">
        <v>231</v>
      </c>
      <c r="CE206" t="s">
        <v>231</v>
      </c>
      <c r="CF206" t="s">
        <v>231</v>
      </c>
      <c r="CG206" t="s">
        <v>231</v>
      </c>
      <c r="CH206" t="s">
        <v>231</v>
      </c>
      <c r="CI206" t="s">
        <v>231</v>
      </c>
      <c r="CJ206" t="s">
        <v>231</v>
      </c>
      <c r="CK206" t="s">
        <v>231</v>
      </c>
      <c r="CL206" t="s">
        <v>231</v>
      </c>
      <c r="CM206" t="s">
        <v>231</v>
      </c>
      <c r="CN206" t="s">
        <v>231</v>
      </c>
      <c r="CO206" t="s">
        <v>231</v>
      </c>
      <c r="CP206" t="s">
        <v>231</v>
      </c>
      <c r="CQ206" t="s">
        <v>231</v>
      </c>
      <c r="CR206" t="s">
        <v>231</v>
      </c>
      <c r="CS206" t="s">
        <v>231</v>
      </c>
      <c r="CT206" t="s">
        <v>3534</v>
      </c>
      <c r="CU206" t="s">
        <v>3535</v>
      </c>
      <c r="CV206" t="s">
        <v>3997</v>
      </c>
      <c r="CW206" t="s">
        <v>3998</v>
      </c>
      <c r="CX206" t="s">
        <v>3570</v>
      </c>
      <c r="CY206" t="s">
        <v>3997</v>
      </c>
      <c r="CZ206" t="s">
        <v>3575</v>
      </c>
      <c r="DA206" t="s">
        <v>3999</v>
      </c>
      <c r="DB206" t="s">
        <v>3643</v>
      </c>
      <c r="DC206" t="s">
        <v>363</v>
      </c>
      <c r="DD206" t="s">
        <v>282</v>
      </c>
      <c r="DE206" t="s">
        <v>4123</v>
      </c>
    </row>
    <row r="207" spans="1:109" ht="11.25" customHeight="1">
      <c r="A207" s="1314" t="s">
        <v>231</v>
      </c>
      <c r="B207" t="s">
        <v>231</v>
      </c>
      <c r="C207" t="s">
        <v>231</v>
      </c>
      <c r="D207" t="s">
        <v>231</v>
      </c>
      <c r="E207" t="s">
        <v>231</v>
      </c>
      <c r="F207" t="s">
        <v>231</v>
      </c>
      <c r="G207" t="s">
        <v>231</v>
      </c>
      <c r="H207" t="s">
        <v>231</v>
      </c>
      <c r="I207" t="s">
        <v>3521</v>
      </c>
      <c r="J207" t="s">
        <v>231</v>
      </c>
      <c r="K207" t="s">
        <v>231</v>
      </c>
      <c r="L207" t="s">
        <v>231</v>
      </c>
      <c r="M207" t="s">
        <v>231</v>
      </c>
      <c r="N207" t="s">
        <v>231</v>
      </c>
      <c r="O207" t="s">
        <v>231</v>
      </c>
      <c r="P207" t="s">
        <v>231</v>
      </c>
      <c r="Q207" t="s">
        <v>231</v>
      </c>
      <c r="R207" t="s">
        <v>4528</v>
      </c>
      <c r="S207" t="s">
        <v>231</v>
      </c>
      <c r="T207" t="s">
        <v>231</v>
      </c>
      <c r="U207" t="s">
        <v>101</v>
      </c>
      <c r="V207" t="s">
        <v>231</v>
      </c>
      <c r="W207" t="s">
        <v>231</v>
      </c>
      <c r="X207" t="s">
        <v>3523</v>
      </c>
      <c r="Y207" t="s">
        <v>231</v>
      </c>
      <c r="Z207" t="s">
        <v>160</v>
      </c>
      <c r="AA207" t="s">
        <v>151</v>
      </c>
      <c r="AB207" t="s">
        <v>151</v>
      </c>
      <c r="AC207" t="s">
        <v>2691</v>
      </c>
      <c r="AD207" t="s">
        <v>2691</v>
      </c>
      <c r="AE207" t="s">
        <v>2692</v>
      </c>
      <c r="AF207" t="s">
        <v>3991</v>
      </c>
      <c r="AG207" t="s">
        <v>3992</v>
      </c>
      <c r="AH207" t="s">
        <v>4529</v>
      </c>
      <c r="AI207" t="s">
        <v>151</v>
      </c>
      <c r="AJ207" t="s">
        <v>4530</v>
      </c>
      <c r="AK207" t="s">
        <v>4531</v>
      </c>
      <c r="AL207" t="s">
        <v>3548</v>
      </c>
      <c r="AM207" t="s">
        <v>3531</v>
      </c>
      <c r="AN207" t="s">
        <v>3595</v>
      </c>
      <c r="AO207" t="s">
        <v>4532</v>
      </c>
      <c r="AP207" t="s">
        <v>231</v>
      </c>
      <c r="AQ207" t="s">
        <v>231</v>
      </c>
      <c r="AR207" t="s">
        <v>231</v>
      </c>
      <c r="AS207" t="s">
        <v>231</v>
      </c>
      <c r="AT207" t="s">
        <v>231</v>
      </c>
      <c r="AU207" t="s">
        <v>231</v>
      </c>
      <c r="AV207" t="s">
        <v>231</v>
      </c>
      <c r="AW207" t="s">
        <v>231</v>
      </c>
      <c r="AX207" t="s">
        <v>231</v>
      </c>
      <c r="AY207" t="s">
        <v>231</v>
      </c>
      <c r="AZ207" t="s">
        <v>231</v>
      </c>
      <c r="BA207" t="s">
        <v>231</v>
      </c>
      <c r="BB207" t="s">
        <v>231</v>
      </c>
      <c r="BC207" t="s">
        <v>231</v>
      </c>
      <c r="BD207" t="s">
        <v>231</v>
      </c>
      <c r="BE207" t="s">
        <v>231</v>
      </c>
      <c r="BF207" t="s">
        <v>231</v>
      </c>
      <c r="BG207" t="s">
        <v>231</v>
      </c>
      <c r="BH207" t="s">
        <v>231</v>
      </c>
      <c r="BI207" t="s">
        <v>231</v>
      </c>
      <c r="BJ207" t="s">
        <v>231</v>
      </c>
      <c r="BK207" t="s">
        <v>231</v>
      </c>
      <c r="BL207" t="s">
        <v>231</v>
      </c>
      <c r="BM207" t="s">
        <v>231</v>
      </c>
      <c r="BN207" t="s">
        <v>231</v>
      </c>
      <c r="BO207" t="s">
        <v>231</v>
      </c>
      <c r="BP207" t="s">
        <v>231</v>
      </c>
      <c r="BQ207" t="s">
        <v>231</v>
      </c>
      <c r="BR207" t="s">
        <v>231</v>
      </c>
      <c r="BS207" t="s">
        <v>231</v>
      </c>
      <c r="BT207" t="s">
        <v>231</v>
      </c>
      <c r="BU207" t="s">
        <v>231</v>
      </c>
      <c r="BV207" t="s">
        <v>231</v>
      </c>
      <c r="BW207" t="s">
        <v>231</v>
      </c>
      <c r="BX207" t="s">
        <v>231</v>
      </c>
      <c r="BY207" t="s">
        <v>231</v>
      </c>
      <c r="BZ207" t="s">
        <v>231</v>
      </c>
      <c r="CA207" t="s">
        <v>231</v>
      </c>
      <c r="CB207" t="s">
        <v>231</v>
      </c>
      <c r="CC207" t="s">
        <v>231</v>
      </c>
      <c r="CD207" t="s">
        <v>231</v>
      </c>
      <c r="CE207" t="s">
        <v>231</v>
      </c>
      <c r="CF207" t="s">
        <v>231</v>
      </c>
      <c r="CG207" t="s">
        <v>231</v>
      </c>
      <c r="CH207" t="s">
        <v>231</v>
      </c>
      <c r="CI207" t="s">
        <v>231</v>
      </c>
      <c r="CJ207" t="s">
        <v>231</v>
      </c>
      <c r="CK207" t="s">
        <v>231</v>
      </c>
      <c r="CL207" t="s">
        <v>231</v>
      </c>
      <c r="CM207" t="s">
        <v>231</v>
      </c>
      <c r="CN207" t="s">
        <v>231</v>
      </c>
      <c r="CO207" t="s">
        <v>231</v>
      </c>
      <c r="CP207" t="s">
        <v>231</v>
      </c>
      <c r="CQ207" t="s">
        <v>231</v>
      </c>
      <c r="CR207" t="s">
        <v>231</v>
      </c>
      <c r="CS207" t="s">
        <v>231</v>
      </c>
      <c r="CT207" t="s">
        <v>3534</v>
      </c>
      <c r="CU207" t="s">
        <v>3535</v>
      </c>
      <c r="CV207" t="s">
        <v>3997</v>
      </c>
      <c r="CW207" t="s">
        <v>3998</v>
      </c>
      <c r="CX207" t="s">
        <v>3570</v>
      </c>
      <c r="CY207" t="s">
        <v>3997</v>
      </c>
      <c r="CZ207" t="s">
        <v>3575</v>
      </c>
      <c r="DA207" t="s">
        <v>3999</v>
      </c>
      <c r="DB207" t="s">
        <v>3643</v>
      </c>
      <c r="DC207" t="s">
        <v>363</v>
      </c>
      <c r="DD207" t="s">
        <v>282</v>
      </c>
      <c r="DE207" t="s">
        <v>4533</v>
      </c>
    </row>
    <row r="208" spans="1:109" ht="11.25" customHeight="1">
      <c r="A208" s="1314" t="s">
        <v>231</v>
      </c>
      <c r="B208" t="s">
        <v>231</v>
      </c>
      <c r="C208" t="s">
        <v>231</v>
      </c>
      <c r="D208" t="s">
        <v>231</v>
      </c>
      <c r="E208" t="s">
        <v>231</v>
      </c>
      <c r="F208" t="s">
        <v>231</v>
      </c>
      <c r="G208" t="s">
        <v>231</v>
      </c>
      <c r="H208" t="s">
        <v>231</v>
      </c>
      <c r="I208" t="s">
        <v>3521</v>
      </c>
      <c r="J208" t="s">
        <v>231</v>
      </c>
      <c r="K208" t="s">
        <v>231</v>
      </c>
      <c r="L208" t="s">
        <v>231</v>
      </c>
      <c r="M208" t="s">
        <v>231</v>
      </c>
      <c r="N208" t="s">
        <v>231</v>
      </c>
      <c r="O208" t="s">
        <v>231</v>
      </c>
      <c r="P208" t="s">
        <v>231</v>
      </c>
      <c r="Q208" t="s">
        <v>231</v>
      </c>
      <c r="R208" t="s">
        <v>3685</v>
      </c>
      <c r="S208" t="s">
        <v>231</v>
      </c>
      <c r="T208" t="s">
        <v>231</v>
      </c>
      <c r="U208" t="s">
        <v>101</v>
      </c>
      <c r="V208" t="s">
        <v>231</v>
      </c>
      <c r="W208" t="s">
        <v>231</v>
      </c>
      <c r="X208" t="s">
        <v>3628</v>
      </c>
      <c r="Y208" t="s">
        <v>231</v>
      </c>
      <c r="Z208" t="s">
        <v>151</v>
      </c>
      <c r="AA208" t="s">
        <v>151</v>
      </c>
      <c r="AB208" t="s">
        <v>160</v>
      </c>
      <c r="AC208" t="s">
        <v>2283</v>
      </c>
      <c r="AD208" t="s">
        <v>2283</v>
      </c>
      <c r="AE208" t="s">
        <v>2284</v>
      </c>
      <c r="AF208" t="s">
        <v>4534</v>
      </c>
      <c r="AG208" t="s">
        <v>4535</v>
      </c>
      <c r="AH208" t="s">
        <v>4534</v>
      </c>
      <c r="AI208" t="s">
        <v>3688</v>
      </c>
      <c r="AJ208" t="s">
        <v>231</v>
      </c>
      <c r="AK208" t="s">
        <v>231</v>
      </c>
      <c r="AL208" t="s">
        <v>231</v>
      </c>
      <c r="AM208" t="s">
        <v>231</v>
      </c>
      <c r="AN208" t="s">
        <v>231</v>
      </c>
      <c r="AO208" t="s">
        <v>231</v>
      </c>
      <c r="AP208" t="s">
        <v>231</v>
      </c>
      <c r="AQ208" t="s">
        <v>231</v>
      </c>
      <c r="AR208" t="s">
        <v>231</v>
      </c>
      <c r="AS208" t="s">
        <v>231</v>
      </c>
      <c r="AT208" t="s">
        <v>231</v>
      </c>
      <c r="AU208" t="s">
        <v>231</v>
      </c>
      <c r="AV208" t="s">
        <v>231</v>
      </c>
      <c r="AW208" t="s">
        <v>231</v>
      </c>
      <c r="AX208" t="s">
        <v>231</v>
      </c>
      <c r="AY208" t="s">
        <v>231</v>
      </c>
      <c r="AZ208" t="s">
        <v>231</v>
      </c>
      <c r="BA208" t="s">
        <v>231</v>
      </c>
      <c r="BB208" t="s">
        <v>231</v>
      </c>
      <c r="BC208" t="s">
        <v>231</v>
      </c>
      <c r="BD208" t="s">
        <v>231</v>
      </c>
      <c r="BE208" t="s">
        <v>3689</v>
      </c>
      <c r="BF208" t="s">
        <v>3689</v>
      </c>
      <c r="BG208" t="s">
        <v>111</v>
      </c>
      <c r="BH208" t="s">
        <v>3632</v>
      </c>
      <c r="BI208" t="s">
        <v>122</v>
      </c>
      <c r="BJ208" t="s">
        <v>231</v>
      </c>
      <c r="BK208" t="s">
        <v>3651</v>
      </c>
      <c r="BL208" t="s">
        <v>2283</v>
      </c>
      <c r="BM208" t="s">
        <v>2283</v>
      </c>
      <c r="BN208" t="s">
        <v>3690</v>
      </c>
      <c r="BO208" t="s">
        <v>4534</v>
      </c>
      <c r="BP208" t="s">
        <v>4536</v>
      </c>
      <c r="BQ208" t="s">
        <v>4534</v>
      </c>
      <c r="BR208" t="s">
        <v>3688</v>
      </c>
      <c r="BS208" t="s">
        <v>231</v>
      </c>
      <c r="BT208" t="s">
        <v>3694</v>
      </c>
      <c r="BU208" t="s">
        <v>4537</v>
      </c>
      <c r="BV208" t="s">
        <v>4537</v>
      </c>
      <c r="BW208" t="s">
        <v>3641</v>
      </c>
      <c r="BX208" t="s">
        <v>3641</v>
      </c>
      <c r="BY208" t="s">
        <v>3641</v>
      </c>
      <c r="BZ208" t="s">
        <v>3641</v>
      </c>
      <c r="CA208" t="s">
        <v>3641</v>
      </c>
      <c r="CB208" t="s">
        <v>231</v>
      </c>
      <c r="CC208" t="s">
        <v>231</v>
      </c>
      <c r="CD208" t="s">
        <v>231</v>
      </c>
      <c r="CE208" t="s">
        <v>231</v>
      </c>
      <c r="CF208" t="s">
        <v>231</v>
      </c>
      <c r="CG208" t="s">
        <v>3641</v>
      </c>
      <c r="CH208" t="s">
        <v>231</v>
      </c>
      <c r="CI208" t="s">
        <v>231</v>
      </c>
      <c r="CJ208" t="s">
        <v>231</v>
      </c>
      <c r="CK208" t="s">
        <v>231</v>
      </c>
      <c r="CL208" t="s">
        <v>231</v>
      </c>
      <c r="CM208" t="s">
        <v>4537</v>
      </c>
      <c r="CN208" t="s">
        <v>4537</v>
      </c>
      <c r="CO208" t="s">
        <v>231</v>
      </c>
      <c r="CP208" t="s">
        <v>231</v>
      </c>
      <c r="CQ208" t="s">
        <v>231</v>
      </c>
      <c r="CR208" t="s">
        <v>231</v>
      </c>
      <c r="CS208" t="s">
        <v>3549</v>
      </c>
      <c r="CT208" t="s">
        <v>3534</v>
      </c>
      <c r="CU208" t="s">
        <v>3535</v>
      </c>
      <c r="CV208" t="s">
        <v>3536</v>
      </c>
      <c r="CW208" t="s">
        <v>3551</v>
      </c>
      <c r="CX208" t="s">
        <v>223</v>
      </c>
      <c r="CY208" t="s">
        <v>3536</v>
      </c>
      <c r="CZ208" t="s">
        <v>3552</v>
      </c>
      <c r="DA208" t="s">
        <v>3553</v>
      </c>
      <c r="DB208" t="s">
        <v>3551</v>
      </c>
      <c r="DC208" t="s">
        <v>363</v>
      </c>
      <c r="DD208" t="s">
        <v>282</v>
      </c>
      <c r="DE208" t="s">
        <v>4538</v>
      </c>
    </row>
    <row r="209" spans="1:109" ht="11.25" customHeight="1">
      <c r="A209" s="1314" t="s">
        <v>231</v>
      </c>
      <c r="B209" t="s">
        <v>231</v>
      </c>
      <c r="C209" t="s">
        <v>231</v>
      </c>
      <c r="D209" t="s">
        <v>231</v>
      </c>
      <c r="E209" t="s">
        <v>231</v>
      </c>
      <c r="F209" t="s">
        <v>231</v>
      </c>
      <c r="G209" t="s">
        <v>231</v>
      </c>
      <c r="H209" t="s">
        <v>231</v>
      </c>
      <c r="I209" t="s">
        <v>3521</v>
      </c>
      <c r="J209" t="s">
        <v>231</v>
      </c>
      <c r="K209" t="s">
        <v>231</v>
      </c>
      <c r="L209" t="s">
        <v>231</v>
      </c>
      <c r="M209" t="s">
        <v>231</v>
      </c>
      <c r="N209" t="s">
        <v>231</v>
      </c>
      <c r="O209" t="s">
        <v>231</v>
      </c>
      <c r="P209" t="s">
        <v>231</v>
      </c>
      <c r="Q209" t="s">
        <v>231</v>
      </c>
      <c r="R209" t="s">
        <v>3651</v>
      </c>
      <c r="S209" t="s">
        <v>231</v>
      </c>
      <c r="T209" t="s">
        <v>231</v>
      </c>
      <c r="U209" t="s">
        <v>101</v>
      </c>
      <c r="V209" t="s">
        <v>231</v>
      </c>
      <c r="W209" t="s">
        <v>231</v>
      </c>
      <c r="X209" t="s">
        <v>3523</v>
      </c>
      <c r="Y209" t="s">
        <v>231</v>
      </c>
      <c r="Z209" t="s">
        <v>160</v>
      </c>
      <c r="AA209" t="s">
        <v>151</v>
      </c>
      <c r="AB209" t="s">
        <v>151</v>
      </c>
      <c r="AC209" t="s">
        <v>2283</v>
      </c>
      <c r="AD209" t="s">
        <v>2283</v>
      </c>
      <c r="AE209" t="s">
        <v>2284</v>
      </c>
      <c r="AF209" t="s">
        <v>4001</v>
      </c>
      <c r="AG209" t="s">
        <v>4002</v>
      </c>
      <c r="AH209" t="s">
        <v>4539</v>
      </c>
      <c r="AI209" t="s">
        <v>4540</v>
      </c>
      <c r="AJ209" t="s">
        <v>3546</v>
      </c>
      <c r="AK209" t="s">
        <v>3546</v>
      </c>
      <c r="AL209" t="s">
        <v>3648</v>
      </c>
      <c r="AM209" t="s">
        <v>3531</v>
      </c>
      <c r="AN209" t="s">
        <v>3549</v>
      </c>
      <c r="AO209" t="s">
        <v>4541</v>
      </c>
      <c r="AP209" t="s">
        <v>231</v>
      </c>
      <c r="AQ209" t="s">
        <v>231</v>
      </c>
      <c r="AR209" t="s">
        <v>231</v>
      </c>
      <c r="AS209" t="s">
        <v>231</v>
      </c>
      <c r="AT209" t="s">
        <v>231</v>
      </c>
      <c r="AU209" t="s">
        <v>231</v>
      </c>
      <c r="AV209" t="s">
        <v>231</v>
      </c>
      <c r="AW209" t="s">
        <v>231</v>
      </c>
      <c r="AX209" t="s">
        <v>231</v>
      </c>
      <c r="AY209" t="s">
        <v>231</v>
      </c>
      <c r="AZ209" t="s">
        <v>231</v>
      </c>
      <c r="BA209" t="s">
        <v>231</v>
      </c>
      <c r="BB209" t="s">
        <v>231</v>
      </c>
      <c r="BC209" t="s">
        <v>231</v>
      </c>
      <c r="BD209" t="s">
        <v>231</v>
      </c>
      <c r="BE209" t="s">
        <v>231</v>
      </c>
      <c r="BF209" t="s">
        <v>231</v>
      </c>
      <c r="BG209" t="s">
        <v>231</v>
      </c>
      <c r="BH209" t="s">
        <v>231</v>
      </c>
      <c r="BI209" t="s">
        <v>231</v>
      </c>
      <c r="BJ209" t="s">
        <v>231</v>
      </c>
      <c r="BK209" t="s">
        <v>231</v>
      </c>
      <c r="BL209" t="s">
        <v>231</v>
      </c>
      <c r="BM209" t="s">
        <v>231</v>
      </c>
      <c r="BN209" t="s">
        <v>231</v>
      </c>
      <c r="BO209" t="s">
        <v>231</v>
      </c>
      <c r="BP209" t="s">
        <v>231</v>
      </c>
      <c r="BQ209" t="s">
        <v>231</v>
      </c>
      <c r="BR209" t="s">
        <v>231</v>
      </c>
      <c r="BS209" t="s">
        <v>231</v>
      </c>
      <c r="BT209" t="s">
        <v>231</v>
      </c>
      <c r="BU209" t="s">
        <v>231</v>
      </c>
      <c r="BV209" t="s">
        <v>231</v>
      </c>
      <c r="BW209" t="s">
        <v>231</v>
      </c>
      <c r="BX209" t="s">
        <v>231</v>
      </c>
      <c r="BY209" t="s">
        <v>231</v>
      </c>
      <c r="BZ209" t="s">
        <v>231</v>
      </c>
      <c r="CA209" t="s">
        <v>231</v>
      </c>
      <c r="CB209" t="s">
        <v>231</v>
      </c>
      <c r="CC209" t="s">
        <v>231</v>
      </c>
      <c r="CD209" t="s">
        <v>231</v>
      </c>
      <c r="CE209" t="s">
        <v>231</v>
      </c>
      <c r="CF209" t="s">
        <v>231</v>
      </c>
      <c r="CG209" t="s">
        <v>231</v>
      </c>
      <c r="CH209" t="s">
        <v>231</v>
      </c>
      <c r="CI209" t="s">
        <v>231</v>
      </c>
      <c r="CJ209" t="s">
        <v>231</v>
      </c>
      <c r="CK209" t="s">
        <v>231</v>
      </c>
      <c r="CL209" t="s">
        <v>231</v>
      </c>
      <c r="CM209" t="s">
        <v>231</v>
      </c>
      <c r="CN209" t="s">
        <v>231</v>
      </c>
      <c r="CO209" t="s">
        <v>231</v>
      </c>
      <c r="CP209" t="s">
        <v>231</v>
      </c>
      <c r="CQ209" t="s">
        <v>231</v>
      </c>
      <c r="CR209" t="s">
        <v>231</v>
      </c>
      <c r="CS209" t="s">
        <v>231</v>
      </c>
      <c r="CT209" t="s">
        <v>3534</v>
      </c>
      <c r="CU209" t="s">
        <v>3535</v>
      </c>
      <c r="CV209" t="s">
        <v>3536</v>
      </c>
      <c r="CW209" t="s">
        <v>3551</v>
      </c>
      <c r="CX209" t="s">
        <v>223</v>
      </c>
      <c r="CY209" t="s">
        <v>3536</v>
      </c>
      <c r="CZ209" t="s">
        <v>3552</v>
      </c>
      <c r="DA209" t="s">
        <v>3553</v>
      </c>
      <c r="DB209" t="s">
        <v>3551</v>
      </c>
      <c r="DC209" t="s">
        <v>363</v>
      </c>
      <c r="DD209" t="s">
        <v>282</v>
      </c>
      <c r="DE209" t="s">
        <v>4542</v>
      </c>
    </row>
    <row r="210" spans="1:109" ht="11.25" customHeight="1">
      <c r="A210" s="1314" t="s">
        <v>231</v>
      </c>
      <c r="B210" t="s">
        <v>231</v>
      </c>
      <c r="C210" t="s">
        <v>231</v>
      </c>
      <c r="D210" t="s">
        <v>231</v>
      </c>
      <c r="E210" t="s">
        <v>231</v>
      </c>
      <c r="F210" t="s">
        <v>231</v>
      </c>
      <c r="G210" t="s">
        <v>231</v>
      </c>
      <c r="H210" t="s">
        <v>231</v>
      </c>
      <c r="I210" t="s">
        <v>3521</v>
      </c>
      <c r="J210" t="s">
        <v>231</v>
      </c>
      <c r="K210" t="s">
        <v>231</v>
      </c>
      <c r="L210" t="s">
        <v>231</v>
      </c>
      <c r="M210" t="s">
        <v>231</v>
      </c>
      <c r="N210" t="s">
        <v>231</v>
      </c>
      <c r="O210" t="s">
        <v>231</v>
      </c>
      <c r="P210" t="s">
        <v>231</v>
      </c>
      <c r="Q210" t="s">
        <v>231</v>
      </c>
      <c r="R210" t="s">
        <v>4543</v>
      </c>
      <c r="S210" t="s">
        <v>231</v>
      </c>
      <c r="T210" t="s">
        <v>231</v>
      </c>
      <c r="U210" t="s">
        <v>101</v>
      </c>
      <c r="V210" t="s">
        <v>231</v>
      </c>
      <c r="W210" t="s">
        <v>231</v>
      </c>
      <c r="X210" t="s">
        <v>3523</v>
      </c>
      <c r="Y210" t="s">
        <v>231</v>
      </c>
      <c r="Z210" t="s">
        <v>160</v>
      </c>
      <c r="AA210" t="s">
        <v>151</v>
      </c>
      <c r="AB210" t="s">
        <v>151</v>
      </c>
      <c r="AC210" t="s">
        <v>2283</v>
      </c>
      <c r="AD210" t="s">
        <v>2283</v>
      </c>
      <c r="AE210" t="s">
        <v>2284</v>
      </c>
      <c r="AF210" t="s">
        <v>4001</v>
      </c>
      <c r="AG210" t="s">
        <v>4002</v>
      </c>
      <c r="AH210" t="s">
        <v>4544</v>
      </c>
      <c r="AI210" t="s">
        <v>4278</v>
      </c>
      <c r="AJ210" t="s">
        <v>3546</v>
      </c>
      <c r="AK210" t="s">
        <v>3546</v>
      </c>
      <c r="AL210" t="s">
        <v>3648</v>
      </c>
      <c r="AM210" t="s">
        <v>3531</v>
      </c>
      <c r="AN210" t="s">
        <v>3549</v>
      </c>
      <c r="AO210" t="s">
        <v>4545</v>
      </c>
      <c r="AP210" t="s">
        <v>231</v>
      </c>
      <c r="AQ210" t="s">
        <v>231</v>
      </c>
      <c r="AR210" t="s">
        <v>231</v>
      </c>
      <c r="AS210" t="s">
        <v>231</v>
      </c>
      <c r="AT210" t="s">
        <v>231</v>
      </c>
      <c r="AU210" t="s">
        <v>231</v>
      </c>
      <c r="AV210" t="s">
        <v>231</v>
      </c>
      <c r="AW210" t="s">
        <v>231</v>
      </c>
      <c r="AX210" t="s">
        <v>231</v>
      </c>
      <c r="AY210" t="s">
        <v>231</v>
      </c>
      <c r="AZ210" t="s">
        <v>231</v>
      </c>
      <c r="BA210" t="s">
        <v>231</v>
      </c>
      <c r="BB210" t="s">
        <v>231</v>
      </c>
      <c r="BC210" t="s">
        <v>231</v>
      </c>
      <c r="BD210" t="s">
        <v>231</v>
      </c>
      <c r="BE210" t="s">
        <v>231</v>
      </c>
      <c r="BF210" t="s">
        <v>231</v>
      </c>
      <c r="BG210" t="s">
        <v>231</v>
      </c>
      <c r="BH210" t="s">
        <v>231</v>
      </c>
      <c r="BI210" t="s">
        <v>231</v>
      </c>
      <c r="BJ210" t="s">
        <v>231</v>
      </c>
      <c r="BK210" t="s">
        <v>231</v>
      </c>
      <c r="BL210" t="s">
        <v>231</v>
      </c>
      <c r="BM210" t="s">
        <v>231</v>
      </c>
      <c r="BN210" t="s">
        <v>231</v>
      </c>
      <c r="BO210" t="s">
        <v>231</v>
      </c>
      <c r="BP210" t="s">
        <v>231</v>
      </c>
      <c r="BQ210" t="s">
        <v>231</v>
      </c>
      <c r="BR210" t="s">
        <v>231</v>
      </c>
      <c r="BS210" t="s">
        <v>231</v>
      </c>
      <c r="BT210" t="s">
        <v>231</v>
      </c>
      <c r="BU210" t="s">
        <v>231</v>
      </c>
      <c r="BV210" t="s">
        <v>231</v>
      </c>
      <c r="BW210" t="s">
        <v>231</v>
      </c>
      <c r="BX210" t="s">
        <v>231</v>
      </c>
      <c r="BY210" t="s">
        <v>231</v>
      </c>
      <c r="BZ210" t="s">
        <v>231</v>
      </c>
      <c r="CA210" t="s">
        <v>231</v>
      </c>
      <c r="CB210" t="s">
        <v>231</v>
      </c>
      <c r="CC210" t="s">
        <v>231</v>
      </c>
      <c r="CD210" t="s">
        <v>231</v>
      </c>
      <c r="CE210" t="s">
        <v>231</v>
      </c>
      <c r="CF210" t="s">
        <v>231</v>
      </c>
      <c r="CG210" t="s">
        <v>231</v>
      </c>
      <c r="CH210" t="s">
        <v>231</v>
      </c>
      <c r="CI210" t="s">
        <v>231</v>
      </c>
      <c r="CJ210" t="s">
        <v>231</v>
      </c>
      <c r="CK210" t="s">
        <v>231</v>
      </c>
      <c r="CL210" t="s">
        <v>231</v>
      </c>
      <c r="CM210" t="s">
        <v>231</v>
      </c>
      <c r="CN210" t="s">
        <v>231</v>
      </c>
      <c r="CO210" t="s">
        <v>231</v>
      </c>
      <c r="CP210" t="s">
        <v>231</v>
      </c>
      <c r="CQ210" t="s">
        <v>231</v>
      </c>
      <c r="CR210" t="s">
        <v>231</v>
      </c>
      <c r="CS210" t="s">
        <v>231</v>
      </c>
      <c r="CT210" t="s">
        <v>3534</v>
      </c>
      <c r="CU210" t="s">
        <v>3535</v>
      </c>
      <c r="CV210" t="s">
        <v>3536</v>
      </c>
      <c r="CW210" t="s">
        <v>3551</v>
      </c>
      <c r="CX210" t="s">
        <v>223</v>
      </c>
      <c r="CY210" t="s">
        <v>3536</v>
      </c>
      <c r="CZ210" t="s">
        <v>3552</v>
      </c>
      <c r="DA210" t="s">
        <v>3553</v>
      </c>
      <c r="DB210" t="s">
        <v>3551</v>
      </c>
      <c r="DC210" t="s">
        <v>363</v>
      </c>
      <c r="DD210" t="s">
        <v>282</v>
      </c>
      <c r="DE210" t="s">
        <v>4546</v>
      </c>
    </row>
    <row r="211" spans="1:109" ht="11.25" customHeight="1">
      <c r="A211" s="1314" t="s">
        <v>231</v>
      </c>
      <c r="B211" t="s">
        <v>231</v>
      </c>
      <c r="C211" t="s">
        <v>231</v>
      </c>
      <c r="D211" t="s">
        <v>231</v>
      </c>
      <c r="E211" t="s">
        <v>231</v>
      </c>
      <c r="F211" t="s">
        <v>231</v>
      </c>
      <c r="G211" t="s">
        <v>231</v>
      </c>
      <c r="H211" t="s">
        <v>231</v>
      </c>
      <c r="I211" t="s">
        <v>3521</v>
      </c>
      <c r="J211" t="s">
        <v>231</v>
      </c>
      <c r="K211" t="s">
        <v>231</v>
      </c>
      <c r="L211" t="s">
        <v>231</v>
      </c>
      <c r="M211" t="s">
        <v>231</v>
      </c>
      <c r="N211" t="s">
        <v>231</v>
      </c>
      <c r="O211" t="s">
        <v>231</v>
      </c>
      <c r="P211" t="s">
        <v>231</v>
      </c>
      <c r="Q211" t="s">
        <v>231</v>
      </c>
      <c r="R211" t="s">
        <v>3651</v>
      </c>
      <c r="S211" t="s">
        <v>231</v>
      </c>
      <c r="T211" t="s">
        <v>231</v>
      </c>
      <c r="U211" t="s">
        <v>101</v>
      </c>
      <c r="V211" t="s">
        <v>231</v>
      </c>
      <c r="W211" t="s">
        <v>231</v>
      </c>
      <c r="X211" t="s">
        <v>3523</v>
      </c>
      <c r="Y211" t="s">
        <v>231</v>
      </c>
      <c r="Z211" t="s">
        <v>160</v>
      </c>
      <c r="AA211" t="s">
        <v>151</v>
      </c>
      <c r="AB211" t="s">
        <v>151</v>
      </c>
      <c r="AC211" t="s">
        <v>2283</v>
      </c>
      <c r="AD211" t="s">
        <v>2283</v>
      </c>
      <c r="AE211" t="s">
        <v>2284</v>
      </c>
      <c r="AF211" t="s">
        <v>4280</v>
      </c>
      <c r="AG211" t="s">
        <v>4281</v>
      </c>
      <c r="AH211" t="s">
        <v>4547</v>
      </c>
      <c r="AI211" t="s">
        <v>4548</v>
      </c>
      <c r="AJ211" t="s">
        <v>3619</v>
      </c>
      <c r="AK211" t="s">
        <v>3800</v>
      </c>
      <c r="AL211" t="s">
        <v>3648</v>
      </c>
      <c r="AM211" t="s">
        <v>3531</v>
      </c>
      <c r="AN211" t="s">
        <v>3549</v>
      </c>
      <c r="AO211" t="s">
        <v>4400</v>
      </c>
      <c r="AP211" t="s">
        <v>231</v>
      </c>
      <c r="AQ211" t="s">
        <v>231</v>
      </c>
      <c r="AR211" t="s">
        <v>231</v>
      </c>
      <c r="AS211" t="s">
        <v>231</v>
      </c>
      <c r="AT211" t="s">
        <v>231</v>
      </c>
      <c r="AU211" t="s">
        <v>231</v>
      </c>
      <c r="AV211" t="s">
        <v>231</v>
      </c>
      <c r="AW211" t="s">
        <v>231</v>
      </c>
      <c r="AX211" t="s">
        <v>231</v>
      </c>
      <c r="AY211" t="s">
        <v>231</v>
      </c>
      <c r="AZ211" t="s">
        <v>231</v>
      </c>
      <c r="BA211" t="s">
        <v>231</v>
      </c>
      <c r="BB211" t="s">
        <v>231</v>
      </c>
      <c r="BC211" t="s">
        <v>231</v>
      </c>
      <c r="BD211" t="s">
        <v>231</v>
      </c>
      <c r="BE211" t="s">
        <v>231</v>
      </c>
      <c r="BF211" t="s">
        <v>231</v>
      </c>
      <c r="BG211" t="s">
        <v>231</v>
      </c>
      <c r="BH211" t="s">
        <v>231</v>
      </c>
      <c r="BI211" t="s">
        <v>231</v>
      </c>
      <c r="BJ211" t="s">
        <v>231</v>
      </c>
      <c r="BK211" t="s">
        <v>231</v>
      </c>
      <c r="BL211" t="s">
        <v>231</v>
      </c>
      <c r="BM211" t="s">
        <v>231</v>
      </c>
      <c r="BN211" t="s">
        <v>231</v>
      </c>
      <c r="BO211" t="s">
        <v>231</v>
      </c>
      <c r="BP211" t="s">
        <v>231</v>
      </c>
      <c r="BQ211" t="s">
        <v>231</v>
      </c>
      <c r="BR211" t="s">
        <v>231</v>
      </c>
      <c r="BS211" t="s">
        <v>231</v>
      </c>
      <c r="BT211" t="s">
        <v>231</v>
      </c>
      <c r="BU211" t="s">
        <v>231</v>
      </c>
      <c r="BV211" t="s">
        <v>231</v>
      </c>
      <c r="BW211" t="s">
        <v>231</v>
      </c>
      <c r="BX211" t="s">
        <v>231</v>
      </c>
      <c r="BY211" t="s">
        <v>231</v>
      </c>
      <c r="BZ211" t="s">
        <v>231</v>
      </c>
      <c r="CA211" t="s">
        <v>231</v>
      </c>
      <c r="CB211" t="s">
        <v>231</v>
      </c>
      <c r="CC211" t="s">
        <v>231</v>
      </c>
      <c r="CD211" t="s">
        <v>231</v>
      </c>
      <c r="CE211" t="s">
        <v>231</v>
      </c>
      <c r="CF211" t="s">
        <v>231</v>
      </c>
      <c r="CG211" t="s">
        <v>231</v>
      </c>
      <c r="CH211" t="s">
        <v>231</v>
      </c>
      <c r="CI211" t="s">
        <v>231</v>
      </c>
      <c r="CJ211" t="s">
        <v>231</v>
      </c>
      <c r="CK211" t="s">
        <v>231</v>
      </c>
      <c r="CL211" t="s">
        <v>231</v>
      </c>
      <c r="CM211" t="s">
        <v>231</v>
      </c>
      <c r="CN211" t="s">
        <v>231</v>
      </c>
      <c r="CO211" t="s">
        <v>231</v>
      </c>
      <c r="CP211" t="s">
        <v>231</v>
      </c>
      <c r="CQ211" t="s">
        <v>231</v>
      </c>
      <c r="CR211" t="s">
        <v>231</v>
      </c>
      <c r="CS211" t="s">
        <v>231</v>
      </c>
      <c r="CT211" t="s">
        <v>3534</v>
      </c>
      <c r="CU211" t="s">
        <v>3535</v>
      </c>
      <c r="CV211" t="s">
        <v>3536</v>
      </c>
      <c r="CW211" t="s">
        <v>3551</v>
      </c>
      <c r="CX211" t="s">
        <v>223</v>
      </c>
      <c r="CY211" t="s">
        <v>3536</v>
      </c>
      <c r="CZ211" t="s">
        <v>3552</v>
      </c>
      <c r="DA211" t="s">
        <v>3553</v>
      </c>
      <c r="DB211" t="s">
        <v>3551</v>
      </c>
      <c r="DC211" t="s">
        <v>363</v>
      </c>
      <c r="DD211" t="s">
        <v>282</v>
      </c>
      <c r="DE211" t="s">
        <v>4549</v>
      </c>
    </row>
    <row r="212" spans="1:109" ht="11.25" customHeight="1">
      <c r="A212" s="1314" t="s">
        <v>231</v>
      </c>
      <c r="B212" t="s">
        <v>231</v>
      </c>
      <c r="C212" t="s">
        <v>231</v>
      </c>
      <c r="D212" t="s">
        <v>231</v>
      </c>
      <c r="E212" t="s">
        <v>231</v>
      </c>
      <c r="F212" t="s">
        <v>231</v>
      </c>
      <c r="G212" t="s">
        <v>231</v>
      </c>
      <c r="H212" t="s">
        <v>231</v>
      </c>
      <c r="I212" t="s">
        <v>3521</v>
      </c>
      <c r="J212" t="s">
        <v>231</v>
      </c>
      <c r="K212" t="s">
        <v>231</v>
      </c>
      <c r="L212" t="s">
        <v>231</v>
      </c>
      <c r="M212" t="s">
        <v>231</v>
      </c>
      <c r="N212" t="s">
        <v>231</v>
      </c>
      <c r="O212" t="s">
        <v>231</v>
      </c>
      <c r="P212" t="s">
        <v>231</v>
      </c>
      <c r="Q212" t="s">
        <v>231</v>
      </c>
      <c r="R212" t="s">
        <v>3523</v>
      </c>
      <c r="S212" t="s">
        <v>231</v>
      </c>
      <c r="T212" t="s">
        <v>231</v>
      </c>
      <c r="U212" t="s">
        <v>101</v>
      </c>
      <c r="V212" t="s">
        <v>231</v>
      </c>
      <c r="W212" t="s">
        <v>231</v>
      </c>
      <c r="X212" t="s">
        <v>3523</v>
      </c>
      <c r="Y212" t="s">
        <v>231</v>
      </c>
      <c r="Z212" t="s">
        <v>160</v>
      </c>
      <c r="AA212" t="s">
        <v>151</v>
      </c>
      <c r="AB212" t="s">
        <v>151</v>
      </c>
      <c r="AC212" t="s">
        <v>2289</v>
      </c>
      <c r="AD212" t="s">
        <v>2289</v>
      </c>
      <c r="AE212" t="s">
        <v>2290</v>
      </c>
      <c r="AF212" t="s">
        <v>3793</v>
      </c>
      <c r="AG212" t="s">
        <v>3794</v>
      </c>
      <c r="AH212" t="s">
        <v>3728</v>
      </c>
      <c r="AI212" t="s">
        <v>4360</v>
      </c>
      <c r="AJ212" t="s">
        <v>3621</v>
      </c>
      <c r="AK212" t="s">
        <v>3587</v>
      </c>
      <c r="AL212" t="s">
        <v>4163</v>
      </c>
      <c r="AM212" t="s">
        <v>3531</v>
      </c>
      <c r="AN212" t="s">
        <v>3595</v>
      </c>
      <c r="AO212" t="s">
        <v>3796</v>
      </c>
      <c r="AP212" t="s">
        <v>231</v>
      </c>
      <c r="AQ212" t="s">
        <v>231</v>
      </c>
      <c r="AR212" t="s">
        <v>231</v>
      </c>
      <c r="AS212" t="s">
        <v>231</v>
      </c>
      <c r="AT212" t="s">
        <v>231</v>
      </c>
      <c r="AU212" t="s">
        <v>231</v>
      </c>
      <c r="AV212" t="s">
        <v>231</v>
      </c>
      <c r="AW212" t="s">
        <v>231</v>
      </c>
      <c r="AX212" t="s">
        <v>231</v>
      </c>
      <c r="AY212" t="s">
        <v>231</v>
      </c>
      <c r="AZ212" t="s">
        <v>231</v>
      </c>
      <c r="BA212" t="s">
        <v>231</v>
      </c>
      <c r="BB212" t="s">
        <v>231</v>
      </c>
      <c r="BC212" t="s">
        <v>231</v>
      </c>
      <c r="BD212" t="s">
        <v>231</v>
      </c>
      <c r="BE212" t="s">
        <v>231</v>
      </c>
      <c r="BF212" t="s">
        <v>231</v>
      </c>
      <c r="BG212" t="s">
        <v>231</v>
      </c>
      <c r="BH212" t="s">
        <v>231</v>
      </c>
      <c r="BI212" t="s">
        <v>231</v>
      </c>
      <c r="BJ212" t="s">
        <v>231</v>
      </c>
      <c r="BK212" t="s">
        <v>231</v>
      </c>
      <c r="BL212" t="s">
        <v>231</v>
      </c>
      <c r="BM212" t="s">
        <v>231</v>
      </c>
      <c r="BN212" t="s">
        <v>231</v>
      </c>
      <c r="BO212" t="s">
        <v>231</v>
      </c>
      <c r="BP212" t="s">
        <v>231</v>
      </c>
      <c r="BQ212" t="s">
        <v>231</v>
      </c>
      <c r="BR212" t="s">
        <v>231</v>
      </c>
      <c r="BS212" t="s">
        <v>231</v>
      </c>
      <c r="BT212" t="s">
        <v>231</v>
      </c>
      <c r="BU212" t="s">
        <v>231</v>
      </c>
      <c r="BV212" t="s">
        <v>231</v>
      </c>
      <c r="BW212" t="s">
        <v>231</v>
      </c>
      <c r="BX212" t="s">
        <v>231</v>
      </c>
      <c r="BY212" t="s">
        <v>231</v>
      </c>
      <c r="BZ212" t="s">
        <v>231</v>
      </c>
      <c r="CA212" t="s">
        <v>231</v>
      </c>
      <c r="CB212" t="s">
        <v>231</v>
      </c>
      <c r="CC212" t="s">
        <v>231</v>
      </c>
      <c r="CD212" t="s">
        <v>231</v>
      </c>
      <c r="CE212" t="s">
        <v>231</v>
      </c>
      <c r="CF212" t="s">
        <v>231</v>
      </c>
      <c r="CG212" t="s">
        <v>231</v>
      </c>
      <c r="CH212" t="s">
        <v>231</v>
      </c>
      <c r="CI212" t="s">
        <v>231</v>
      </c>
      <c r="CJ212" t="s">
        <v>231</v>
      </c>
      <c r="CK212" t="s">
        <v>231</v>
      </c>
      <c r="CL212" t="s">
        <v>231</v>
      </c>
      <c r="CM212" t="s">
        <v>231</v>
      </c>
      <c r="CN212" t="s">
        <v>231</v>
      </c>
      <c r="CO212" t="s">
        <v>231</v>
      </c>
      <c r="CP212" t="s">
        <v>231</v>
      </c>
      <c r="CQ212" t="s">
        <v>231</v>
      </c>
      <c r="CR212" t="s">
        <v>231</v>
      </c>
      <c r="CS212" t="s">
        <v>231</v>
      </c>
      <c r="CT212" t="s">
        <v>3534</v>
      </c>
      <c r="CU212" t="s">
        <v>3535</v>
      </c>
      <c r="CV212" t="s">
        <v>3536</v>
      </c>
      <c r="CW212" t="s">
        <v>3589</v>
      </c>
      <c r="CX212" t="s">
        <v>223</v>
      </c>
      <c r="CY212" t="s">
        <v>3536</v>
      </c>
      <c r="CZ212" t="s">
        <v>3590</v>
      </c>
      <c r="DA212" t="s">
        <v>3591</v>
      </c>
      <c r="DB212" t="s">
        <v>3589</v>
      </c>
      <c r="DC212" t="s">
        <v>363</v>
      </c>
      <c r="DD212" t="s">
        <v>282</v>
      </c>
      <c r="DE212" t="s">
        <v>4361</v>
      </c>
    </row>
    <row r="213" spans="1:109" ht="11.25" customHeight="1">
      <c r="A213" s="1314" t="s">
        <v>231</v>
      </c>
      <c r="B213" t="s">
        <v>231</v>
      </c>
      <c r="C213" t="s">
        <v>231</v>
      </c>
      <c r="D213" t="s">
        <v>231</v>
      </c>
      <c r="E213" t="s">
        <v>231</v>
      </c>
      <c r="F213" t="s">
        <v>231</v>
      </c>
      <c r="G213" t="s">
        <v>231</v>
      </c>
      <c r="H213" t="s">
        <v>231</v>
      </c>
      <c r="I213" t="s">
        <v>3521</v>
      </c>
      <c r="J213" t="s">
        <v>231</v>
      </c>
      <c r="K213" t="s">
        <v>231</v>
      </c>
      <c r="L213" t="s">
        <v>231</v>
      </c>
      <c r="M213" t="s">
        <v>231</v>
      </c>
      <c r="N213" t="s">
        <v>231</v>
      </c>
      <c r="O213" t="s">
        <v>231</v>
      </c>
      <c r="P213" t="s">
        <v>231</v>
      </c>
      <c r="Q213" t="s">
        <v>231</v>
      </c>
      <c r="R213" t="s">
        <v>4550</v>
      </c>
      <c r="S213" t="s">
        <v>231</v>
      </c>
      <c r="T213" t="s">
        <v>231</v>
      </c>
      <c r="U213" t="s">
        <v>101</v>
      </c>
      <c r="V213" t="s">
        <v>231</v>
      </c>
      <c r="W213" t="s">
        <v>231</v>
      </c>
      <c r="X213" t="s">
        <v>3523</v>
      </c>
      <c r="Y213" t="s">
        <v>231</v>
      </c>
      <c r="Z213" t="s">
        <v>160</v>
      </c>
      <c r="AA213" t="s">
        <v>151</v>
      </c>
      <c r="AB213" t="s">
        <v>151</v>
      </c>
      <c r="AC213" t="s">
        <v>2289</v>
      </c>
      <c r="AD213" t="s">
        <v>2289</v>
      </c>
      <c r="AE213" t="s">
        <v>2290</v>
      </c>
      <c r="AF213" t="s">
        <v>3793</v>
      </c>
      <c r="AG213" t="s">
        <v>3794</v>
      </c>
      <c r="AH213" t="s">
        <v>4551</v>
      </c>
      <c r="AI213" t="s">
        <v>3618</v>
      </c>
      <c r="AJ213" t="s">
        <v>3621</v>
      </c>
      <c r="AK213" t="s">
        <v>3867</v>
      </c>
      <c r="AL213" t="s">
        <v>4163</v>
      </c>
      <c r="AM213" t="s">
        <v>3531</v>
      </c>
      <c r="AN213" t="s">
        <v>3595</v>
      </c>
      <c r="AO213" t="s">
        <v>4552</v>
      </c>
      <c r="AP213" t="s">
        <v>231</v>
      </c>
      <c r="AQ213" t="s">
        <v>231</v>
      </c>
      <c r="AR213" t="s">
        <v>231</v>
      </c>
      <c r="AS213" t="s">
        <v>231</v>
      </c>
      <c r="AT213" t="s">
        <v>231</v>
      </c>
      <c r="AU213" t="s">
        <v>231</v>
      </c>
      <c r="AV213" t="s">
        <v>231</v>
      </c>
      <c r="AW213" t="s">
        <v>231</v>
      </c>
      <c r="AX213" t="s">
        <v>231</v>
      </c>
      <c r="AY213" t="s">
        <v>231</v>
      </c>
      <c r="AZ213" t="s">
        <v>231</v>
      </c>
      <c r="BA213" t="s">
        <v>231</v>
      </c>
      <c r="BB213" t="s">
        <v>231</v>
      </c>
      <c r="BC213" t="s">
        <v>231</v>
      </c>
      <c r="BD213" t="s">
        <v>231</v>
      </c>
      <c r="BE213" t="s">
        <v>231</v>
      </c>
      <c r="BF213" t="s">
        <v>231</v>
      </c>
      <c r="BG213" t="s">
        <v>231</v>
      </c>
      <c r="BH213" t="s">
        <v>231</v>
      </c>
      <c r="BI213" t="s">
        <v>231</v>
      </c>
      <c r="BJ213" t="s">
        <v>231</v>
      </c>
      <c r="BK213" t="s">
        <v>231</v>
      </c>
      <c r="BL213" t="s">
        <v>231</v>
      </c>
      <c r="BM213" t="s">
        <v>231</v>
      </c>
      <c r="BN213" t="s">
        <v>231</v>
      </c>
      <c r="BO213" t="s">
        <v>231</v>
      </c>
      <c r="BP213" t="s">
        <v>231</v>
      </c>
      <c r="BQ213" t="s">
        <v>231</v>
      </c>
      <c r="BR213" t="s">
        <v>231</v>
      </c>
      <c r="BS213" t="s">
        <v>231</v>
      </c>
      <c r="BT213" t="s">
        <v>231</v>
      </c>
      <c r="BU213" t="s">
        <v>231</v>
      </c>
      <c r="BV213" t="s">
        <v>231</v>
      </c>
      <c r="BW213" t="s">
        <v>231</v>
      </c>
      <c r="BX213" t="s">
        <v>231</v>
      </c>
      <c r="BY213" t="s">
        <v>231</v>
      </c>
      <c r="BZ213" t="s">
        <v>231</v>
      </c>
      <c r="CA213" t="s">
        <v>231</v>
      </c>
      <c r="CB213" t="s">
        <v>231</v>
      </c>
      <c r="CC213" t="s">
        <v>231</v>
      </c>
      <c r="CD213" t="s">
        <v>231</v>
      </c>
      <c r="CE213" t="s">
        <v>231</v>
      </c>
      <c r="CF213" t="s">
        <v>231</v>
      </c>
      <c r="CG213" t="s">
        <v>231</v>
      </c>
      <c r="CH213" t="s">
        <v>231</v>
      </c>
      <c r="CI213" t="s">
        <v>231</v>
      </c>
      <c r="CJ213" t="s">
        <v>231</v>
      </c>
      <c r="CK213" t="s">
        <v>231</v>
      </c>
      <c r="CL213" t="s">
        <v>231</v>
      </c>
      <c r="CM213" t="s">
        <v>231</v>
      </c>
      <c r="CN213" t="s">
        <v>231</v>
      </c>
      <c r="CO213" t="s">
        <v>231</v>
      </c>
      <c r="CP213" t="s">
        <v>231</v>
      </c>
      <c r="CQ213" t="s">
        <v>231</v>
      </c>
      <c r="CR213" t="s">
        <v>231</v>
      </c>
      <c r="CS213" t="s">
        <v>231</v>
      </c>
      <c r="CT213" t="s">
        <v>3534</v>
      </c>
      <c r="CU213" t="s">
        <v>3535</v>
      </c>
      <c r="CV213" t="s">
        <v>3536</v>
      </c>
      <c r="CW213" t="s">
        <v>3589</v>
      </c>
      <c r="CX213" t="s">
        <v>223</v>
      </c>
      <c r="CY213" t="s">
        <v>3536</v>
      </c>
      <c r="CZ213" t="s">
        <v>3590</v>
      </c>
      <c r="DA213" t="s">
        <v>3591</v>
      </c>
      <c r="DB213" t="s">
        <v>3589</v>
      </c>
      <c r="DC213" t="s">
        <v>363</v>
      </c>
      <c r="DD213" t="s">
        <v>282</v>
      </c>
      <c r="DE213" t="s">
        <v>4553</v>
      </c>
    </row>
    <row r="214" spans="1:109" ht="11.25" customHeight="1">
      <c r="A214" s="1314" t="s">
        <v>231</v>
      </c>
      <c r="B214" t="s">
        <v>231</v>
      </c>
      <c r="C214" t="s">
        <v>231</v>
      </c>
      <c r="D214" t="s">
        <v>231</v>
      </c>
      <c r="E214" t="s">
        <v>231</v>
      </c>
      <c r="F214" t="s">
        <v>231</v>
      </c>
      <c r="G214" t="s">
        <v>231</v>
      </c>
      <c r="H214" t="s">
        <v>231</v>
      </c>
      <c r="I214" t="s">
        <v>3521</v>
      </c>
      <c r="J214" t="s">
        <v>231</v>
      </c>
      <c r="K214" t="s">
        <v>231</v>
      </c>
      <c r="L214" t="s">
        <v>231</v>
      </c>
      <c r="M214" t="s">
        <v>231</v>
      </c>
      <c r="N214" t="s">
        <v>231</v>
      </c>
      <c r="O214" t="s">
        <v>231</v>
      </c>
      <c r="P214" t="s">
        <v>231</v>
      </c>
      <c r="Q214" t="s">
        <v>231</v>
      </c>
      <c r="R214" t="s">
        <v>3615</v>
      </c>
      <c r="S214" t="s">
        <v>231</v>
      </c>
      <c r="T214" t="s">
        <v>231</v>
      </c>
      <c r="U214" t="s">
        <v>101</v>
      </c>
      <c r="V214" t="s">
        <v>231</v>
      </c>
      <c r="W214" t="s">
        <v>231</v>
      </c>
      <c r="X214" t="s">
        <v>3523</v>
      </c>
      <c r="Y214" t="s">
        <v>231</v>
      </c>
      <c r="Z214" t="s">
        <v>160</v>
      </c>
      <c r="AA214" t="s">
        <v>151</v>
      </c>
      <c r="AB214" t="s">
        <v>151</v>
      </c>
      <c r="AC214" t="s">
        <v>2287</v>
      </c>
      <c r="AD214" t="s">
        <v>2287</v>
      </c>
      <c r="AE214" t="s">
        <v>2288</v>
      </c>
      <c r="AF214" t="s">
        <v>4554</v>
      </c>
      <c r="AG214" t="s">
        <v>4555</v>
      </c>
      <c r="AH214" t="s">
        <v>4031</v>
      </c>
      <c r="AI214" t="s">
        <v>3618</v>
      </c>
      <c r="AJ214" t="s">
        <v>3619</v>
      </c>
      <c r="AK214" t="s">
        <v>3858</v>
      </c>
      <c r="AL214" t="s">
        <v>3548</v>
      </c>
      <c r="AM214" t="s">
        <v>3531</v>
      </c>
      <c r="AN214" t="s">
        <v>3621</v>
      </c>
      <c r="AO214" t="s">
        <v>3668</v>
      </c>
      <c r="AP214" t="s">
        <v>231</v>
      </c>
      <c r="AQ214" t="s">
        <v>231</v>
      </c>
      <c r="AR214" t="s">
        <v>231</v>
      </c>
      <c r="AS214" t="s">
        <v>231</v>
      </c>
      <c r="AT214" t="s">
        <v>231</v>
      </c>
      <c r="AU214" t="s">
        <v>231</v>
      </c>
      <c r="AV214" t="s">
        <v>231</v>
      </c>
      <c r="AW214" t="s">
        <v>231</v>
      </c>
      <c r="AX214" t="s">
        <v>231</v>
      </c>
      <c r="AY214" t="s">
        <v>231</v>
      </c>
      <c r="AZ214" t="s">
        <v>231</v>
      </c>
      <c r="BA214" t="s">
        <v>231</v>
      </c>
      <c r="BB214" t="s">
        <v>231</v>
      </c>
      <c r="BC214" t="s">
        <v>231</v>
      </c>
      <c r="BD214" t="s">
        <v>231</v>
      </c>
      <c r="BE214" t="s">
        <v>231</v>
      </c>
      <c r="BF214" t="s">
        <v>231</v>
      </c>
      <c r="BG214" t="s">
        <v>231</v>
      </c>
      <c r="BH214" t="s">
        <v>231</v>
      </c>
      <c r="BI214" t="s">
        <v>231</v>
      </c>
      <c r="BJ214" t="s">
        <v>231</v>
      </c>
      <c r="BK214" t="s">
        <v>231</v>
      </c>
      <c r="BL214" t="s">
        <v>231</v>
      </c>
      <c r="BM214" t="s">
        <v>231</v>
      </c>
      <c r="BN214" t="s">
        <v>231</v>
      </c>
      <c r="BO214" t="s">
        <v>231</v>
      </c>
      <c r="BP214" t="s">
        <v>231</v>
      </c>
      <c r="BQ214" t="s">
        <v>231</v>
      </c>
      <c r="BR214" t="s">
        <v>231</v>
      </c>
      <c r="BS214" t="s">
        <v>231</v>
      </c>
      <c r="BT214" t="s">
        <v>231</v>
      </c>
      <c r="BU214" t="s">
        <v>231</v>
      </c>
      <c r="BV214" t="s">
        <v>231</v>
      </c>
      <c r="BW214" t="s">
        <v>231</v>
      </c>
      <c r="BX214" t="s">
        <v>231</v>
      </c>
      <c r="BY214" t="s">
        <v>231</v>
      </c>
      <c r="BZ214" t="s">
        <v>231</v>
      </c>
      <c r="CA214" t="s">
        <v>231</v>
      </c>
      <c r="CB214" t="s">
        <v>231</v>
      </c>
      <c r="CC214" t="s">
        <v>231</v>
      </c>
      <c r="CD214" t="s">
        <v>231</v>
      </c>
      <c r="CE214" t="s">
        <v>231</v>
      </c>
      <c r="CF214" t="s">
        <v>231</v>
      </c>
      <c r="CG214" t="s">
        <v>231</v>
      </c>
      <c r="CH214" t="s">
        <v>231</v>
      </c>
      <c r="CI214" t="s">
        <v>231</v>
      </c>
      <c r="CJ214" t="s">
        <v>231</v>
      </c>
      <c r="CK214" t="s">
        <v>231</v>
      </c>
      <c r="CL214" t="s">
        <v>231</v>
      </c>
      <c r="CM214" t="s">
        <v>231</v>
      </c>
      <c r="CN214" t="s">
        <v>231</v>
      </c>
      <c r="CO214" t="s">
        <v>231</v>
      </c>
      <c r="CP214" t="s">
        <v>231</v>
      </c>
      <c r="CQ214" t="s">
        <v>231</v>
      </c>
      <c r="CR214" t="s">
        <v>231</v>
      </c>
      <c r="CS214" t="s">
        <v>231</v>
      </c>
      <c r="CT214" t="s">
        <v>3534</v>
      </c>
      <c r="CU214" t="s">
        <v>3535</v>
      </c>
      <c r="CV214" t="s">
        <v>3536</v>
      </c>
      <c r="CW214" t="s">
        <v>3623</v>
      </c>
      <c r="CX214" t="s">
        <v>223</v>
      </c>
      <c r="CY214" t="s">
        <v>3536</v>
      </c>
      <c r="CZ214" t="s">
        <v>3624</v>
      </c>
      <c r="DA214" t="s">
        <v>3625</v>
      </c>
      <c r="DB214" t="s">
        <v>3623</v>
      </c>
      <c r="DC214" t="s">
        <v>363</v>
      </c>
      <c r="DD214" t="s">
        <v>282</v>
      </c>
      <c r="DE214" t="s">
        <v>4556</v>
      </c>
    </row>
    <row r="215" spans="1:109" ht="11.25" customHeight="1">
      <c r="A215" s="1314" t="s">
        <v>231</v>
      </c>
      <c r="B215" t="s">
        <v>231</v>
      </c>
      <c r="C215" t="s">
        <v>231</v>
      </c>
      <c r="D215" t="s">
        <v>231</v>
      </c>
      <c r="E215" t="s">
        <v>231</v>
      </c>
      <c r="F215" t="s">
        <v>231</v>
      </c>
      <c r="G215" t="s">
        <v>231</v>
      </c>
      <c r="H215" t="s">
        <v>231</v>
      </c>
      <c r="I215" t="s">
        <v>3521</v>
      </c>
      <c r="J215" t="s">
        <v>231</v>
      </c>
      <c r="K215" t="s">
        <v>231</v>
      </c>
      <c r="L215" t="s">
        <v>231</v>
      </c>
      <c r="M215" t="s">
        <v>231</v>
      </c>
      <c r="N215" t="s">
        <v>231</v>
      </c>
      <c r="O215" t="s">
        <v>231</v>
      </c>
      <c r="P215" t="s">
        <v>231</v>
      </c>
      <c r="Q215" t="s">
        <v>231</v>
      </c>
      <c r="R215" t="s">
        <v>3615</v>
      </c>
      <c r="S215" t="s">
        <v>231</v>
      </c>
      <c r="T215" t="s">
        <v>231</v>
      </c>
      <c r="U215" t="s">
        <v>101</v>
      </c>
      <c r="V215" t="s">
        <v>231</v>
      </c>
      <c r="W215" t="s">
        <v>231</v>
      </c>
      <c r="X215" t="s">
        <v>3523</v>
      </c>
      <c r="Y215" t="s">
        <v>231</v>
      </c>
      <c r="Z215" t="s">
        <v>160</v>
      </c>
      <c r="AA215" t="s">
        <v>151</v>
      </c>
      <c r="AB215" t="s">
        <v>151</v>
      </c>
      <c r="AC215" t="s">
        <v>2287</v>
      </c>
      <c r="AD215" t="s">
        <v>2287</v>
      </c>
      <c r="AE215" t="s">
        <v>2288</v>
      </c>
      <c r="AF215" t="s">
        <v>4299</v>
      </c>
      <c r="AG215" t="s">
        <v>4300</v>
      </c>
      <c r="AH215" t="s">
        <v>4557</v>
      </c>
      <c r="AI215" t="s">
        <v>3618</v>
      </c>
      <c r="AJ215" t="s">
        <v>3619</v>
      </c>
      <c r="AK215" t="s">
        <v>3858</v>
      </c>
      <c r="AL215" t="s">
        <v>3548</v>
      </c>
      <c r="AM215" t="s">
        <v>3531</v>
      </c>
      <c r="AN215" t="s">
        <v>3621</v>
      </c>
      <c r="AO215" t="s">
        <v>3668</v>
      </c>
      <c r="AP215" t="s">
        <v>231</v>
      </c>
      <c r="AQ215" t="s">
        <v>231</v>
      </c>
      <c r="AR215" t="s">
        <v>231</v>
      </c>
      <c r="AS215" t="s">
        <v>231</v>
      </c>
      <c r="AT215" t="s">
        <v>231</v>
      </c>
      <c r="AU215" t="s">
        <v>231</v>
      </c>
      <c r="AV215" t="s">
        <v>231</v>
      </c>
      <c r="AW215" t="s">
        <v>231</v>
      </c>
      <c r="AX215" t="s">
        <v>231</v>
      </c>
      <c r="AY215" t="s">
        <v>231</v>
      </c>
      <c r="AZ215" t="s">
        <v>231</v>
      </c>
      <c r="BA215" t="s">
        <v>231</v>
      </c>
      <c r="BB215" t="s">
        <v>231</v>
      </c>
      <c r="BC215" t="s">
        <v>231</v>
      </c>
      <c r="BD215" t="s">
        <v>231</v>
      </c>
      <c r="BE215" t="s">
        <v>231</v>
      </c>
      <c r="BF215" t="s">
        <v>231</v>
      </c>
      <c r="BG215" t="s">
        <v>231</v>
      </c>
      <c r="BH215" t="s">
        <v>231</v>
      </c>
      <c r="BI215" t="s">
        <v>231</v>
      </c>
      <c r="BJ215" t="s">
        <v>231</v>
      </c>
      <c r="BK215" t="s">
        <v>231</v>
      </c>
      <c r="BL215" t="s">
        <v>231</v>
      </c>
      <c r="BM215" t="s">
        <v>231</v>
      </c>
      <c r="BN215" t="s">
        <v>231</v>
      </c>
      <c r="BO215" t="s">
        <v>231</v>
      </c>
      <c r="BP215" t="s">
        <v>231</v>
      </c>
      <c r="BQ215" t="s">
        <v>231</v>
      </c>
      <c r="BR215" t="s">
        <v>231</v>
      </c>
      <c r="BS215" t="s">
        <v>231</v>
      </c>
      <c r="BT215" t="s">
        <v>231</v>
      </c>
      <c r="BU215" t="s">
        <v>231</v>
      </c>
      <c r="BV215" t="s">
        <v>231</v>
      </c>
      <c r="BW215" t="s">
        <v>231</v>
      </c>
      <c r="BX215" t="s">
        <v>231</v>
      </c>
      <c r="BY215" t="s">
        <v>231</v>
      </c>
      <c r="BZ215" t="s">
        <v>231</v>
      </c>
      <c r="CA215" t="s">
        <v>231</v>
      </c>
      <c r="CB215" t="s">
        <v>231</v>
      </c>
      <c r="CC215" t="s">
        <v>231</v>
      </c>
      <c r="CD215" t="s">
        <v>231</v>
      </c>
      <c r="CE215" t="s">
        <v>231</v>
      </c>
      <c r="CF215" t="s">
        <v>231</v>
      </c>
      <c r="CG215" t="s">
        <v>231</v>
      </c>
      <c r="CH215" t="s">
        <v>231</v>
      </c>
      <c r="CI215" t="s">
        <v>231</v>
      </c>
      <c r="CJ215" t="s">
        <v>231</v>
      </c>
      <c r="CK215" t="s">
        <v>231</v>
      </c>
      <c r="CL215" t="s">
        <v>231</v>
      </c>
      <c r="CM215" t="s">
        <v>231</v>
      </c>
      <c r="CN215" t="s">
        <v>231</v>
      </c>
      <c r="CO215" t="s">
        <v>231</v>
      </c>
      <c r="CP215" t="s">
        <v>231</v>
      </c>
      <c r="CQ215" t="s">
        <v>231</v>
      </c>
      <c r="CR215" t="s">
        <v>231</v>
      </c>
      <c r="CS215" t="s">
        <v>231</v>
      </c>
      <c r="CT215" t="s">
        <v>3534</v>
      </c>
      <c r="CU215" t="s">
        <v>3535</v>
      </c>
      <c r="CV215" t="s">
        <v>3536</v>
      </c>
      <c r="CW215" t="s">
        <v>3623</v>
      </c>
      <c r="CX215" t="s">
        <v>223</v>
      </c>
      <c r="CY215" t="s">
        <v>3536</v>
      </c>
      <c r="CZ215" t="s">
        <v>3624</v>
      </c>
      <c r="DA215" t="s">
        <v>3625</v>
      </c>
      <c r="DB215" t="s">
        <v>3623</v>
      </c>
      <c r="DC215" t="s">
        <v>363</v>
      </c>
      <c r="DD215" t="s">
        <v>282</v>
      </c>
      <c r="DE215" t="s">
        <v>4558</v>
      </c>
    </row>
    <row r="216" spans="1:109" ht="11.25" customHeight="1">
      <c r="A216" s="1314" t="s">
        <v>231</v>
      </c>
      <c r="B216" t="s">
        <v>231</v>
      </c>
      <c r="C216" t="s">
        <v>231</v>
      </c>
      <c r="D216" t="s">
        <v>231</v>
      </c>
      <c r="E216" t="s">
        <v>231</v>
      </c>
      <c r="F216" t="s">
        <v>231</v>
      </c>
      <c r="G216" t="s">
        <v>231</v>
      </c>
      <c r="H216" t="s">
        <v>231</v>
      </c>
      <c r="I216" t="s">
        <v>3521</v>
      </c>
      <c r="J216" t="s">
        <v>231</v>
      </c>
      <c r="K216" t="s">
        <v>231</v>
      </c>
      <c r="L216" t="s">
        <v>231</v>
      </c>
      <c r="M216" t="s">
        <v>231</v>
      </c>
      <c r="N216" t="s">
        <v>231</v>
      </c>
      <c r="O216" t="s">
        <v>231</v>
      </c>
      <c r="P216" t="s">
        <v>231</v>
      </c>
      <c r="Q216" t="s">
        <v>231</v>
      </c>
      <c r="R216" t="s">
        <v>4559</v>
      </c>
      <c r="S216" t="s">
        <v>231</v>
      </c>
      <c r="T216" t="s">
        <v>231</v>
      </c>
      <c r="U216" t="s">
        <v>101</v>
      </c>
      <c r="V216" t="s">
        <v>231</v>
      </c>
      <c r="W216" t="s">
        <v>231</v>
      </c>
      <c r="X216" t="s">
        <v>3628</v>
      </c>
      <c r="Y216" t="s">
        <v>231</v>
      </c>
      <c r="Z216" t="s">
        <v>151</v>
      </c>
      <c r="AA216" t="s">
        <v>151</v>
      </c>
      <c r="AB216" t="s">
        <v>160</v>
      </c>
      <c r="AC216" t="s">
        <v>2287</v>
      </c>
      <c r="AD216" t="s">
        <v>2287</v>
      </c>
      <c r="AE216" t="s">
        <v>2288</v>
      </c>
      <c r="AF216" t="s">
        <v>4299</v>
      </c>
      <c r="AG216" t="s">
        <v>4300</v>
      </c>
      <c r="AH216" t="s">
        <v>3618</v>
      </c>
      <c r="AI216" t="s">
        <v>3618</v>
      </c>
      <c r="AJ216" t="s">
        <v>231</v>
      </c>
      <c r="AK216" t="s">
        <v>231</v>
      </c>
      <c r="AL216" t="s">
        <v>231</v>
      </c>
      <c r="AM216" t="s">
        <v>231</v>
      </c>
      <c r="AN216" t="s">
        <v>231</v>
      </c>
      <c r="AO216" t="s">
        <v>231</v>
      </c>
      <c r="AP216" t="s">
        <v>231</v>
      </c>
      <c r="AQ216" t="s">
        <v>231</v>
      </c>
      <c r="AR216" t="s">
        <v>231</v>
      </c>
      <c r="AS216" t="s">
        <v>231</v>
      </c>
      <c r="AT216" t="s">
        <v>231</v>
      </c>
      <c r="AU216" t="s">
        <v>231</v>
      </c>
      <c r="AV216" t="s">
        <v>231</v>
      </c>
      <c r="AW216" t="s">
        <v>231</v>
      </c>
      <c r="AX216" t="s">
        <v>231</v>
      </c>
      <c r="AY216" t="s">
        <v>231</v>
      </c>
      <c r="AZ216" t="s">
        <v>231</v>
      </c>
      <c r="BA216" t="s">
        <v>231</v>
      </c>
      <c r="BB216" t="s">
        <v>231</v>
      </c>
      <c r="BC216" t="s">
        <v>231</v>
      </c>
      <c r="BD216" t="s">
        <v>231</v>
      </c>
      <c r="BE216" t="s">
        <v>4042</v>
      </c>
      <c r="BF216" t="s">
        <v>3841</v>
      </c>
      <c r="BG216" t="s">
        <v>111</v>
      </c>
      <c r="BH216" t="s">
        <v>3632</v>
      </c>
      <c r="BI216" t="s">
        <v>122</v>
      </c>
      <c r="BJ216" t="s">
        <v>231</v>
      </c>
      <c r="BK216" t="s">
        <v>3651</v>
      </c>
      <c r="BL216" t="s">
        <v>2287</v>
      </c>
      <c r="BM216" t="s">
        <v>2287</v>
      </c>
      <c r="BN216" t="s">
        <v>3842</v>
      </c>
      <c r="BO216" t="s">
        <v>4299</v>
      </c>
      <c r="BP216" t="s">
        <v>4560</v>
      </c>
      <c r="BQ216" t="s">
        <v>3618</v>
      </c>
      <c r="BR216" t="s">
        <v>3618</v>
      </c>
      <c r="BS216" t="s">
        <v>231</v>
      </c>
      <c r="BT216" t="s">
        <v>3694</v>
      </c>
      <c r="BU216" t="s">
        <v>4561</v>
      </c>
      <c r="BV216" t="s">
        <v>4561</v>
      </c>
      <c r="BW216" t="s">
        <v>3641</v>
      </c>
      <c r="BX216" t="s">
        <v>3641</v>
      </c>
      <c r="BY216" t="s">
        <v>3641</v>
      </c>
      <c r="BZ216" t="s">
        <v>3641</v>
      </c>
      <c r="CA216" t="s">
        <v>3641</v>
      </c>
      <c r="CB216" t="s">
        <v>231</v>
      </c>
      <c r="CC216" t="s">
        <v>231</v>
      </c>
      <c r="CD216" t="s">
        <v>231</v>
      </c>
      <c r="CE216" t="s">
        <v>231</v>
      </c>
      <c r="CF216" t="s">
        <v>231</v>
      </c>
      <c r="CG216" t="s">
        <v>3641</v>
      </c>
      <c r="CH216" t="s">
        <v>231</v>
      </c>
      <c r="CI216" t="s">
        <v>231</v>
      </c>
      <c r="CJ216" t="s">
        <v>231</v>
      </c>
      <c r="CK216" t="s">
        <v>231</v>
      </c>
      <c r="CL216" t="s">
        <v>231</v>
      </c>
      <c r="CM216" t="s">
        <v>4561</v>
      </c>
      <c r="CN216" t="s">
        <v>4561</v>
      </c>
      <c r="CO216" t="s">
        <v>231</v>
      </c>
      <c r="CP216" t="s">
        <v>231</v>
      </c>
      <c r="CQ216" t="s">
        <v>231</v>
      </c>
      <c r="CR216" t="s">
        <v>231</v>
      </c>
      <c r="CS216" t="s">
        <v>3595</v>
      </c>
      <c r="CT216" t="s">
        <v>3534</v>
      </c>
      <c r="CU216" t="s">
        <v>3535</v>
      </c>
      <c r="CV216" t="s">
        <v>3536</v>
      </c>
      <c r="CW216" t="s">
        <v>3623</v>
      </c>
      <c r="CX216" t="s">
        <v>223</v>
      </c>
      <c r="CY216" t="s">
        <v>3536</v>
      </c>
      <c r="CZ216" t="s">
        <v>3624</v>
      </c>
      <c r="DA216" t="s">
        <v>3625</v>
      </c>
      <c r="DB216" t="s">
        <v>3623</v>
      </c>
      <c r="DC216" t="s">
        <v>363</v>
      </c>
      <c r="DD216" t="s">
        <v>282</v>
      </c>
      <c r="DE216" t="s">
        <v>4562</v>
      </c>
    </row>
    <row r="217" spans="1:109" ht="11.25" customHeight="1">
      <c r="A217" s="1314" t="s">
        <v>231</v>
      </c>
      <c r="B217" t="s">
        <v>231</v>
      </c>
      <c r="C217" t="s">
        <v>231</v>
      </c>
      <c r="D217" t="s">
        <v>231</v>
      </c>
      <c r="E217" t="s">
        <v>231</v>
      </c>
      <c r="F217" t="s">
        <v>231</v>
      </c>
      <c r="G217" t="s">
        <v>231</v>
      </c>
      <c r="H217" t="s">
        <v>231</v>
      </c>
      <c r="I217" t="s">
        <v>3521</v>
      </c>
      <c r="J217" t="s">
        <v>231</v>
      </c>
      <c r="K217" t="s">
        <v>231</v>
      </c>
      <c r="L217" t="s">
        <v>231</v>
      </c>
      <c r="M217" t="s">
        <v>231</v>
      </c>
      <c r="N217" t="s">
        <v>231</v>
      </c>
      <c r="O217" t="s">
        <v>231</v>
      </c>
      <c r="P217" t="s">
        <v>231</v>
      </c>
      <c r="Q217" t="s">
        <v>231</v>
      </c>
      <c r="R217" t="s">
        <v>3615</v>
      </c>
      <c r="S217" t="s">
        <v>231</v>
      </c>
      <c r="T217" t="s">
        <v>231</v>
      </c>
      <c r="U217" t="s">
        <v>101</v>
      </c>
      <c r="V217" t="s">
        <v>231</v>
      </c>
      <c r="W217" t="s">
        <v>231</v>
      </c>
      <c r="X217" t="s">
        <v>3523</v>
      </c>
      <c r="Y217" t="s">
        <v>231</v>
      </c>
      <c r="Z217" t="s">
        <v>160</v>
      </c>
      <c r="AA217" t="s">
        <v>151</v>
      </c>
      <c r="AB217" t="s">
        <v>151</v>
      </c>
      <c r="AC217" t="s">
        <v>2287</v>
      </c>
      <c r="AD217" t="s">
        <v>2287</v>
      </c>
      <c r="AE217" t="s">
        <v>2288</v>
      </c>
      <c r="AF217" t="s">
        <v>4563</v>
      </c>
      <c r="AG217" t="s">
        <v>4564</v>
      </c>
      <c r="AH217" t="s">
        <v>3618</v>
      </c>
      <c r="AI217" t="s">
        <v>3618</v>
      </c>
      <c r="AJ217" t="s">
        <v>3619</v>
      </c>
      <c r="AK217" t="s">
        <v>4565</v>
      </c>
      <c r="AL217" t="s">
        <v>3548</v>
      </c>
      <c r="AM217" t="s">
        <v>3531</v>
      </c>
      <c r="AN217" t="s">
        <v>3621</v>
      </c>
      <c r="AO217" t="s">
        <v>3622</v>
      </c>
      <c r="AP217" t="s">
        <v>231</v>
      </c>
      <c r="AQ217" t="s">
        <v>231</v>
      </c>
      <c r="AR217" t="s">
        <v>231</v>
      </c>
      <c r="AS217" t="s">
        <v>231</v>
      </c>
      <c r="AT217" t="s">
        <v>231</v>
      </c>
      <c r="AU217" t="s">
        <v>231</v>
      </c>
      <c r="AV217" t="s">
        <v>231</v>
      </c>
      <c r="AW217" t="s">
        <v>231</v>
      </c>
      <c r="AX217" t="s">
        <v>231</v>
      </c>
      <c r="AY217" t="s">
        <v>231</v>
      </c>
      <c r="AZ217" t="s">
        <v>231</v>
      </c>
      <c r="BA217" t="s">
        <v>231</v>
      </c>
      <c r="BB217" t="s">
        <v>231</v>
      </c>
      <c r="BC217" t="s">
        <v>231</v>
      </c>
      <c r="BD217" t="s">
        <v>231</v>
      </c>
      <c r="BE217" t="s">
        <v>231</v>
      </c>
      <c r="BF217" t="s">
        <v>231</v>
      </c>
      <c r="BG217" t="s">
        <v>231</v>
      </c>
      <c r="BH217" t="s">
        <v>231</v>
      </c>
      <c r="BI217" t="s">
        <v>231</v>
      </c>
      <c r="BJ217" t="s">
        <v>231</v>
      </c>
      <c r="BK217" t="s">
        <v>231</v>
      </c>
      <c r="BL217" t="s">
        <v>231</v>
      </c>
      <c r="BM217" t="s">
        <v>231</v>
      </c>
      <c r="BN217" t="s">
        <v>231</v>
      </c>
      <c r="BO217" t="s">
        <v>231</v>
      </c>
      <c r="BP217" t="s">
        <v>231</v>
      </c>
      <c r="BQ217" t="s">
        <v>231</v>
      </c>
      <c r="BR217" t="s">
        <v>231</v>
      </c>
      <c r="BS217" t="s">
        <v>231</v>
      </c>
      <c r="BT217" t="s">
        <v>231</v>
      </c>
      <c r="BU217" t="s">
        <v>231</v>
      </c>
      <c r="BV217" t="s">
        <v>231</v>
      </c>
      <c r="BW217" t="s">
        <v>231</v>
      </c>
      <c r="BX217" t="s">
        <v>231</v>
      </c>
      <c r="BY217" t="s">
        <v>231</v>
      </c>
      <c r="BZ217" t="s">
        <v>231</v>
      </c>
      <c r="CA217" t="s">
        <v>231</v>
      </c>
      <c r="CB217" t="s">
        <v>231</v>
      </c>
      <c r="CC217" t="s">
        <v>231</v>
      </c>
      <c r="CD217" t="s">
        <v>231</v>
      </c>
      <c r="CE217" t="s">
        <v>231</v>
      </c>
      <c r="CF217" t="s">
        <v>231</v>
      </c>
      <c r="CG217" t="s">
        <v>231</v>
      </c>
      <c r="CH217" t="s">
        <v>231</v>
      </c>
      <c r="CI217" t="s">
        <v>231</v>
      </c>
      <c r="CJ217" t="s">
        <v>231</v>
      </c>
      <c r="CK217" t="s">
        <v>231</v>
      </c>
      <c r="CL217" t="s">
        <v>231</v>
      </c>
      <c r="CM217" t="s">
        <v>231</v>
      </c>
      <c r="CN217" t="s">
        <v>231</v>
      </c>
      <c r="CO217" t="s">
        <v>231</v>
      </c>
      <c r="CP217" t="s">
        <v>231</v>
      </c>
      <c r="CQ217" t="s">
        <v>231</v>
      </c>
      <c r="CR217" t="s">
        <v>231</v>
      </c>
      <c r="CS217" t="s">
        <v>231</v>
      </c>
      <c r="CT217" t="s">
        <v>3534</v>
      </c>
      <c r="CU217" t="s">
        <v>3535</v>
      </c>
      <c r="CV217" t="s">
        <v>3536</v>
      </c>
      <c r="CW217" t="s">
        <v>3623</v>
      </c>
      <c r="CX217" t="s">
        <v>223</v>
      </c>
      <c r="CY217" t="s">
        <v>3536</v>
      </c>
      <c r="CZ217" t="s">
        <v>3624</v>
      </c>
      <c r="DA217" t="s">
        <v>3625</v>
      </c>
      <c r="DB217" t="s">
        <v>3623</v>
      </c>
      <c r="DC217" t="s">
        <v>363</v>
      </c>
      <c r="DD217" t="s">
        <v>282</v>
      </c>
      <c r="DE217" t="s">
        <v>4566</v>
      </c>
    </row>
    <row r="218" spans="1:109" ht="11.25" customHeight="1">
      <c r="A218" s="1314" t="s">
        <v>231</v>
      </c>
      <c r="B218" t="s">
        <v>231</v>
      </c>
      <c r="C218" t="s">
        <v>231</v>
      </c>
      <c r="D218" t="s">
        <v>231</v>
      </c>
      <c r="E218" t="s">
        <v>231</v>
      </c>
      <c r="F218" t="s">
        <v>231</v>
      </c>
      <c r="G218" t="s">
        <v>231</v>
      </c>
      <c r="H218" t="s">
        <v>231</v>
      </c>
      <c r="I218" t="s">
        <v>3521</v>
      </c>
      <c r="J218" t="s">
        <v>231</v>
      </c>
      <c r="K218" t="s">
        <v>231</v>
      </c>
      <c r="L218" t="s">
        <v>231</v>
      </c>
      <c r="M218" t="s">
        <v>231</v>
      </c>
      <c r="N218" t="s">
        <v>231</v>
      </c>
      <c r="O218" t="s">
        <v>231</v>
      </c>
      <c r="P218" t="s">
        <v>231</v>
      </c>
      <c r="Q218" t="s">
        <v>231</v>
      </c>
      <c r="R218" t="s">
        <v>4567</v>
      </c>
      <c r="S218" t="s">
        <v>231</v>
      </c>
      <c r="T218" t="s">
        <v>231</v>
      </c>
      <c r="U218" t="s">
        <v>101</v>
      </c>
      <c r="V218" t="s">
        <v>231</v>
      </c>
      <c r="W218" t="s">
        <v>231</v>
      </c>
      <c r="X218" t="s">
        <v>3628</v>
      </c>
      <c r="Y218" t="s">
        <v>231</v>
      </c>
      <c r="Z218" t="s">
        <v>151</v>
      </c>
      <c r="AA218" t="s">
        <v>151</v>
      </c>
      <c r="AB218" t="s">
        <v>160</v>
      </c>
      <c r="AC218" t="s">
        <v>2691</v>
      </c>
      <c r="AD218" t="s">
        <v>2691</v>
      </c>
      <c r="AE218" t="s">
        <v>2692</v>
      </c>
      <c r="AF218" t="s">
        <v>3991</v>
      </c>
      <c r="AG218" t="s">
        <v>3992</v>
      </c>
      <c r="AH218" t="s">
        <v>4113</v>
      </c>
      <c r="AI218" t="s">
        <v>151</v>
      </c>
      <c r="AJ218" t="s">
        <v>231</v>
      </c>
      <c r="AK218" t="s">
        <v>231</v>
      </c>
      <c r="AL218" t="s">
        <v>231</v>
      </c>
      <c r="AM218" t="s">
        <v>231</v>
      </c>
      <c r="AN218" t="s">
        <v>231</v>
      </c>
      <c r="AO218" t="s">
        <v>231</v>
      </c>
      <c r="AP218" t="s">
        <v>231</v>
      </c>
      <c r="AQ218" t="s">
        <v>231</v>
      </c>
      <c r="AR218" t="s">
        <v>231</v>
      </c>
      <c r="AS218" t="s">
        <v>231</v>
      </c>
      <c r="AT218" t="s">
        <v>231</v>
      </c>
      <c r="AU218" t="s">
        <v>231</v>
      </c>
      <c r="AV218" t="s">
        <v>231</v>
      </c>
      <c r="AW218" t="s">
        <v>231</v>
      </c>
      <c r="AX218" t="s">
        <v>231</v>
      </c>
      <c r="AY218" t="s">
        <v>231</v>
      </c>
      <c r="AZ218" t="s">
        <v>231</v>
      </c>
      <c r="BA218" t="s">
        <v>231</v>
      </c>
      <c r="BB218" t="s">
        <v>231</v>
      </c>
      <c r="BC218" t="s">
        <v>231</v>
      </c>
      <c r="BD218" t="s">
        <v>231</v>
      </c>
      <c r="BE218" t="s">
        <v>4568</v>
      </c>
      <c r="BF218" t="s">
        <v>4568</v>
      </c>
      <c r="BG218" t="s">
        <v>111</v>
      </c>
      <c r="BH218" t="s">
        <v>3632</v>
      </c>
      <c r="BI218" t="s">
        <v>122</v>
      </c>
      <c r="BJ218" t="s">
        <v>231</v>
      </c>
      <c r="BK218" t="s">
        <v>4569</v>
      </c>
      <c r="BL218" t="s">
        <v>2691</v>
      </c>
      <c r="BM218" t="s">
        <v>2691</v>
      </c>
      <c r="BN218" t="s">
        <v>4116</v>
      </c>
      <c r="BO218" t="s">
        <v>3991</v>
      </c>
      <c r="BP218" t="s">
        <v>4117</v>
      </c>
      <c r="BQ218" t="s">
        <v>4570</v>
      </c>
      <c r="BR218" t="s">
        <v>151</v>
      </c>
      <c r="BS218" t="s">
        <v>231</v>
      </c>
      <c r="BT218" t="s">
        <v>4571</v>
      </c>
      <c r="BU218" t="s">
        <v>4572</v>
      </c>
      <c r="BV218" t="s">
        <v>4572</v>
      </c>
      <c r="BW218" t="s">
        <v>3641</v>
      </c>
      <c r="BX218" t="s">
        <v>3641</v>
      </c>
      <c r="BY218" t="s">
        <v>3641</v>
      </c>
      <c r="BZ218" t="s">
        <v>3641</v>
      </c>
      <c r="CA218" t="s">
        <v>3641</v>
      </c>
      <c r="CB218" t="s">
        <v>3641</v>
      </c>
      <c r="CC218" t="s">
        <v>3641</v>
      </c>
      <c r="CD218" t="s">
        <v>3641</v>
      </c>
      <c r="CE218" t="s">
        <v>3641</v>
      </c>
      <c r="CF218" t="s">
        <v>3641</v>
      </c>
      <c r="CG218" t="s">
        <v>3641</v>
      </c>
      <c r="CH218" t="s">
        <v>3641</v>
      </c>
      <c r="CI218" t="s">
        <v>3641</v>
      </c>
      <c r="CJ218" t="s">
        <v>3641</v>
      </c>
      <c r="CK218" t="s">
        <v>3641</v>
      </c>
      <c r="CL218" t="s">
        <v>3641</v>
      </c>
      <c r="CM218" t="s">
        <v>4572</v>
      </c>
      <c r="CN218" t="s">
        <v>4572</v>
      </c>
      <c r="CO218" t="s">
        <v>3641</v>
      </c>
      <c r="CP218" t="s">
        <v>3641</v>
      </c>
      <c r="CQ218" t="s">
        <v>3641</v>
      </c>
      <c r="CR218" t="s">
        <v>3641</v>
      </c>
      <c r="CS218" t="s">
        <v>4573</v>
      </c>
      <c r="CT218" t="s">
        <v>3534</v>
      </c>
      <c r="CU218" t="s">
        <v>3535</v>
      </c>
      <c r="CV218" t="s">
        <v>3997</v>
      </c>
      <c r="CW218" t="s">
        <v>3998</v>
      </c>
      <c r="CX218" t="s">
        <v>3570</v>
      </c>
      <c r="CY218" t="s">
        <v>3997</v>
      </c>
      <c r="CZ218" t="s">
        <v>3575</v>
      </c>
      <c r="DA218" t="s">
        <v>3999</v>
      </c>
      <c r="DB218" t="s">
        <v>3643</v>
      </c>
      <c r="DC218" t="s">
        <v>363</v>
      </c>
      <c r="DD218" t="s">
        <v>282</v>
      </c>
      <c r="DE218" t="s">
        <v>4123</v>
      </c>
    </row>
    <row r="219" spans="1:109" ht="11.25" customHeight="1">
      <c r="A219" s="1314" t="s">
        <v>231</v>
      </c>
      <c r="B219" t="s">
        <v>231</v>
      </c>
      <c r="C219" t="s">
        <v>231</v>
      </c>
      <c r="D219" t="s">
        <v>231</v>
      </c>
      <c r="E219" t="s">
        <v>231</v>
      </c>
      <c r="F219" t="s">
        <v>231</v>
      </c>
      <c r="G219" t="s">
        <v>231</v>
      </c>
      <c r="H219" t="s">
        <v>231</v>
      </c>
      <c r="I219" t="s">
        <v>3521</v>
      </c>
      <c r="J219" t="s">
        <v>231</v>
      </c>
      <c r="K219" t="s">
        <v>231</v>
      </c>
      <c r="L219" t="s">
        <v>231</v>
      </c>
      <c r="M219" t="s">
        <v>231</v>
      </c>
      <c r="N219" t="s">
        <v>231</v>
      </c>
      <c r="O219" t="s">
        <v>231</v>
      </c>
      <c r="P219" t="s">
        <v>231</v>
      </c>
      <c r="Q219" t="s">
        <v>231</v>
      </c>
      <c r="R219" t="s">
        <v>4574</v>
      </c>
      <c r="S219" t="s">
        <v>231</v>
      </c>
      <c r="T219" t="s">
        <v>231</v>
      </c>
      <c r="U219" t="s">
        <v>101</v>
      </c>
      <c r="V219" t="s">
        <v>231</v>
      </c>
      <c r="W219" t="s">
        <v>231</v>
      </c>
      <c r="X219" t="s">
        <v>3523</v>
      </c>
      <c r="Y219" t="s">
        <v>231</v>
      </c>
      <c r="Z219" t="s">
        <v>160</v>
      </c>
      <c r="AA219" t="s">
        <v>151</v>
      </c>
      <c r="AB219" t="s">
        <v>151</v>
      </c>
      <c r="AC219" t="s">
        <v>2260</v>
      </c>
      <c r="AD219" t="s">
        <v>2260</v>
      </c>
      <c r="AE219" t="s">
        <v>2261</v>
      </c>
      <c r="AF219" t="s">
        <v>4575</v>
      </c>
      <c r="AG219" t="s">
        <v>4576</v>
      </c>
      <c r="AH219" t="s">
        <v>4577</v>
      </c>
      <c r="AI219" t="s">
        <v>4578</v>
      </c>
      <c r="AJ219" t="s">
        <v>4579</v>
      </c>
      <c r="AK219" t="s">
        <v>4580</v>
      </c>
      <c r="AL219" t="s">
        <v>3648</v>
      </c>
      <c r="AM219" t="s">
        <v>4581</v>
      </c>
      <c r="AN219" t="s">
        <v>4582</v>
      </c>
      <c r="AO219" t="s">
        <v>3821</v>
      </c>
      <c r="AP219" t="s">
        <v>231</v>
      </c>
      <c r="AQ219" t="s">
        <v>231</v>
      </c>
      <c r="AR219" t="s">
        <v>231</v>
      </c>
      <c r="AS219" t="s">
        <v>231</v>
      </c>
      <c r="AT219" t="s">
        <v>231</v>
      </c>
      <c r="AU219" t="s">
        <v>231</v>
      </c>
      <c r="AV219" t="s">
        <v>231</v>
      </c>
      <c r="AW219" t="s">
        <v>231</v>
      </c>
      <c r="AX219" t="s">
        <v>231</v>
      </c>
      <c r="AY219" t="s">
        <v>231</v>
      </c>
      <c r="AZ219" t="s">
        <v>231</v>
      </c>
      <c r="BA219" t="s">
        <v>231</v>
      </c>
      <c r="BB219" t="s">
        <v>231</v>
      </c>
      <c r="BC219" t="s">
        <v>231</v>
      </c>
      <c r="BD219" t="s">
        <v>231</v>
      </c>
      <c r="BE219" t="s">
        <v>231</v>
      </c>
      <c r="BF219" t="s">
        <v>231</v>
      </c>
      <c r="BG219" t="s">
        <v>231</v>
      </c>
      <c r="BH219" t="s">
        <v>231</v>
      </c>
      <c r="BI219" t="s">
        <v>231</v>
      </c>
      <c r="BJ219" t="s">
        <v>231</v>
      </c>
      <c r="BK219" t="s">
        <v>231</v>
      </c>
      <c r="BL219" t="s">
        <v>231</v>
      </c>
      <c r="BM219" t="s">
        <v>231</v>
      </c>
      <c r="BN219" t="s">
        <v>231</v>
      </c>
      <c r="BO219" t="s">
        <v>231</v>
      </c>
      <c r="BP219" t="s">
        <v>231</v>
      </c>
      <c r="BQ219" t="s">
        <v>231</v>
      </c>
      <c r="BR219" t="s">
        <v>231</v>
      </c>
      <c r="BS219" t="s">
        <v>231</v>
      </c>
      <c r="BT219" t="s">
        <v>231</v>
      </c>
      <c r="BU219" t="s">
        <v>231</v>
      </c>
      <c r="BV219" t="s">
        <v>231</v>
      </c>
      <c r="BW219" t="s">
        <v>231</v>
      </c>
      <c r="BX219" t="s">
        <v>231</v>
      </c>
      <c r="BY219" t="s">
        <v>231</v>
      </c>
      <c r="BZ219" t="s">
        <v>231</v>
      </c>
      <c r="CA219" t="s">
        <v>231</v>
      </c>
      <c r="CB219" t="s">
        <v>231</v>
      </c>
      <c r="CC219" t="s">
        <v>231</v>
      </c>
      <c r="CD219" t="s">
        <v>231</v>
      </c>
      <c r="CE219" t="s">
        <v>231</v>
      </c>
      <c r="CF219" t="s">
        <v>231</v>
      </c>
      <c r="CG219" t="s">
        <v>231</v>
      </c>
      <c r="CH219" t="s">
        <v>231</v>
      </c>
      <c r="CI219" t="s">
        <v>231</v>
      </c>
      <c r="CJ219" t="s">
        <v>231</v>
      </c>
      <c r="CK219" t="s">
        <v>231</v>
      </c>
      <c r="CL219" t="s">
        <v>231</v>
      </c>
      <c r="CM219" t="s">
        <v>231</v>
      </c>
      <c r="CN219" t="s">
        <v>231</v>
      </c>
      <c r="CO219" t="s">
        <v>231</v>
      </c>
      <c r="CP219" t="s">
        <v>231</v>
      </c>
      <c r="CQ219" t="s">
        <v>231</v>
      </c>
      <c r="CR219" t="s">
        <v>231</v>
      </c>
      <c r="CS219" t="s">
        <v>231</v>
      </c>
      <c r="CT219" t="s">
        <v>3534</v>
      </c>
      <c r="CU219" t="s">
        <v>3535</v>
      </c>
      <c r="CV219" t="s">
        <v>3536</v>
      </c>
      <c r="CW219" t="s">
        <v>3537</v>
      </c>
      <c r="CX219" t="s">
        <v>223</v>
      </c>
      <c r="CY219" t="s">
        <v>3536</v>
      </c>
      <c r="CZ219" t="s">
        <v>3538</v>
      </c>
      <c r="DA219" t="s">
        <v>3539</v>
      </c>
      <c r="DB219" t="s">
        <v>3537</v>
      </c>
      <c r="DC219" t="s">
        <v>363</v>
      </c>
      <c r="DD219" t="s">
        <v>282</v>
      </c>
      <c r="DE219" t="s">
        <v>4583</v>
      </c>
    </row>
    <row r="220" spans="1:109" ht="11.25" customHeight="1">
      <c r="A220" s="1314" t="s">
        <v>231</v>
      </c>
      <c r="B220" t="s">
        <v>231</v>
      </c>
      <c r="C220" t="s">
        <v>231</v>
      </c>
      <c r="D220" t="s">
        <v>231</v>
      </c>
      <c r="E220" t="s">
        <v>231</v>
      </c>
      <c r="F220" t="s">
        <v>231</v>
      </c>
      <c r="G220" t="s">
        <v>231</v>
      </c>
      <c r="H220" t="s">
        <v>231</v>
      </c>
      <c r="I220" t="s">
        <v>3521</v>
      </c>
      <c r="J220" t="s">
        <v>231</v>
      </c>
      <c r="K220" t="s">
        <v>231</v>
      </c>
      <c r="L220" t="s">
        <v>231</v>
      </c>
      <c r="M220" t="s">
        <v>231</v>
      </c>
      <c r="N220" t="s">
        <v>231</v>
      </c>
      <c r="O220" t="s">
        <v>231</v>
      </c>
      <c r="P220" t="s">
        <v>231</v>
      </c>
      <c r="Q220" t="s">
        <v>231</v>
      </c>
      <c r="R220" t="s">
        <v>4376</v>
      </c>
      <c r="S220" t="s">
        <v>231</v>
      </c>
      <c r="T220" t="s">
        <v>231</v>
      </c>
      <c r="U220" t="s">
        <v>101</v>
      </c>
      <c r="V220" t="s">
        <v>231</v>
      </c>
      <c r="W220" t="s">
        <v>231</v>
      </c>
      <c r="X220" t="s">
        <v>3628</v>
      </c>
      <c r="Y220" t="s">
        <v>231</v>
      </c>
      <c r="Z220" t="s">
        <v>151</v>
      </c>
      <c r="AA220" t="s">
        <v>151</v>
      </c>
      <c r="AB220" t="s">
        <v>160</v>
      </c>
      <c r="AC220" t="s">
        <v>2283</v>
      </c>
      <c r="AD220" t="s">
        <v>2283</v>
      </c>
      <c r="AE220" t="s">
        <v>2284</v>
      </c>
      <c r="AF220" t="s">
        <v>4584</v>
      </c>
      <c r="AG220" t="s">
        <v>4585</v>
      </c>
      <c r="AH220" t="s">
        <v>4586</v>
      </c>
      <c r="AI220" t="s">
        <v>4587</v>
      </c>
      <c r="AJ220" t="s">
        <v>231</v>
      </c>
      <c r="AK220" t="s">
        <v>231</v>
      </c>
      <c r="AL220" t="s">
        <v>231</v>
      </c>
      <c r="AM220" t="s">
        <v>231</v>
      </c>
      <c r="AN220" t="s">
        <v>231</v>
      </c>
      <c r="AO220" t="s">
        <v>231</v>
      </c>
      <c r="AP220" t="s">
        <v>231</v>
      </c>
      <c r="AQ220" t="s">
        <v>231</v>
      </c>
      <c r="AR220" t="s">
        <v>231</v>
      </c>
      <c r="AS220" t="s">
        <v>231</v>
      </c>
      <c r="AT220" t="s">
        <v>231</v>
      </c>
      <c r="AU220" t="s">
        <v>231</v>
      </c>
      <c r="AV220" t="s">
        <v>231</v>
      </c>
      <c r="AW220" t="s">
        <v>231</v>
      </c>
      <c r="AX220" t="s">
        <v>231</v>
      </c>
      <c r="AY220" t="s">
        <v>231</v>
      </c>
      <c r="AZ220" t="s">
        <v>231</v>
      </c>
      <c r="BA220" t="s">
        <v>231</v>
      </c>
      <c r="BB220" t="s">
        <v>231</v>
      </c>
      <c r="BC220" t="s">
        <v>231</v>
      </c>
      <c r="BD220" t="s">
        <v>231</v>
      </c>
      <c r="BE220" t="s">
        <v>3689</v>
      </c>
      <c r="BF220" t="s">
        <v>3689</v>
      </c>
      <c r="BG220" t="s">
        <v>111</v>
      </c>
      <c r="BH220" t="s">
        <v>3632</v>
      </c>
      <c r="BI220" t="s">
        <v>122</v>
      </c>
      <c r="BJ220" t="s">
        <v>231</v>
      </c>
      <c r="BK220" t="s">
        <v>3651</v>
      </c>
      <c r="BL220" t="s">
        <v>2283</v>
      </c>
      <c r="BM220" t="s">
        <v>2283</v>
      </c>
      <c r="BN220" t="s">
        <v>3690</v>
      </c>
      <c r="BO220" t="s">
        <v>4584</v>
      </c>
      <c r="BP220" t="s">
        <v>4588</v>
      </c>
      <c r="BQ220" t="s">
        <v>4382</v>
      </c>
      <c r="BR220" t="s">
        <v>4383</v>
      </c>
      <c r="BS220" t="s">
        <v>231</v>
      </c>
      <c r="BT220" t="s">
        <v>3694</v>
      </c>
      <c r="BU220" t="s">
        <v>4589</v>
      </c>
      <c r="BV220" t="s">
        <v>4589</v>
      </c>
      <c r="BW220" t="s">
        <v>3641</v>
      </c>
      <c r="BX220" t="s">
        <v>3641</v>
      </c>
      <c r="BY220" t="s">
        <v>3641</v>
      </c>
      <c r="BZ220" t="s">
        <v>3641</v>
      </c>
      <c r="CA220" t="s">
        <v>3641</v>
      </c>
      <c r="CB220" t="s">
        <v>231</v>
      </c>
      <c r="CC220" t="s">
        <v>231</v>
      </c>
      <c r="CD220" t="s">
        <v>231</v>
      </c>
      <c r="CE220" t="s">
        <v>231</v>
      </c>
      <c r="CF220" t="s">
        <v>231</v>
      </c>
      <c r="CG220" t="s">
        <v>3641</v>
      </c>
      <c r="CH220" t="s">
        <v>231</v>
      </c>
      <c r="CI220" t="s">
        <v>231</v>
      </c>
      <c r="CJ220" t="s">
        <v>231</v>
      </c>
      <c r="CK220" t="s">
        <v>231</v>
      </c>
      <c r="CL220" t="s">
        <v>231</v>
      </c>
      <c r="CM220" t="s">
        <v>4589</v>
      </c>
      <c r="CN220" t="s">
        <v>4589</v>
      </c>
      <c r="CO220" t="s">
        <v>231</v>
      </c>
      <c r="CP220" t="s">
        <v>231</v>
      </c>
      <c r="CQ220" t="s">
        <v>231</v>
      </c>
      <c r="CR220" t="s">
        <v>231</v>
      </c>
      <c r="CS220" t="s">
        <v>3549</v>
      </c>
      <c r="CT220" t="s">
        <v>3534</v>
      </c>
      <c r="CU220" t="s">
        <v>3535</v>
      </c>
      <c r="CV220" t="s">
        <v>3536</v>
      </c>
      <c r="CW220" t="s">
        <v>3551</v>
      </c>
      <c r="CX220" t="s">
        <v>223</v>
      </c>
      <c r="CY220" t="s">
        <v>3536</v>
      </c>
      <c r="CZ220" t="s">
        <v>3552</v>
      </c>
      <c r="DA220" t="s">
        <v>3553</v>
      </c>
      <c r="DB220" t="s">
        <v>3551</v>
      </c>
      <c r="DC220" t="s">
        <v>363</v>
      </c>
      <c r="DD220" t="s">
        <v>282</v>
      </c>
      <c r="DE220" t="s">
        <v>4590</v>
      </c>
    </row>
    <row r="221" spans="1:109" ht="11.25" customHeight="1">
      <c r="A221" s="1314" t="s">
        <v>231</v>
      </c>
      <c r="B221" t="s">
        <v>231</v>
      </c>
      <c r="C221" t="s">
        <v>231</v>
      </c>
      <c r="D221" t="s">
        <v>231</v>
      </c>
      <c r="E221" t="s">
        <v>231</v>
      </c>
      <c r="F221" t="s">
        <v>231</v>
      </c>
      <c r="G221" t="s">
        <v>231</v>
      </c>
      <c r="H221" t="s">
        <v>231</v>
      </c>
      <c r="I221" t="s">
        <v>3521</v>
      </c>
      <c r="J221" t="s">
        <v>231</v>
      </c>
      <c r="K221" t="s">
        <v>231</v>
      </c>
      <c r="L221" t="s">
        <v>231</v>
      </c>
      <c r="M221" t="s">
        <v>231</v>
      </c>
      <c r="N221" t="s">
        <v>231</v>
      </c>
      <c r="O221" t="s">
        <v>231</v>
      </c>
      <c r="P221" t="s">
        <v>231</v>
      </c>
      <c r="Q221" t="s">
        <v>231</v>
      </c>
      <c r="R221" t="s">
        <v>4591</v>
      </c>
      <c r="S221" t="s">
        <v>231</v>
      </c>
      <c r="T221" t="s">
        <v>231</v>
      </c>
      <c r="U221" t="s">
        <v>101</v>
      </c>
      <c r="V221" t="s">
        <v>231</v>
      </c>
      <c r="W221" t="s">
        <v>231</v>
      </c>
      <c r="X221" t="s">
        <v>3523</v>
      </c>
      <c r="Y221" t="s">
        <v>231</v>
      </c>
      <c r="Z221" t="s">
        <v>160</v>
      </c>
      <c r="AA221" t="s">
        <v>151</v>
      </c>
      <c r="AB221" t="s">
        <v>151</v>
      </c>
      <c r="AC221" t="s">
        <v>2289</v>
      </c>
      <c r="AD221" t="s">
        <v>2289</v>
      </c>
      <c r="AE221" t="s">
        <v>2290</v>
      </c>
      <c r="AF221" t="s">
        <v>4511</v>
      </c>
      <c r="AG221" t="s">
        <v>4512</v>
      </c>
      <c r="AH221" t="s">
        <v>4592</v>
      </c>
      <c r="AI221" t="s">
        <v>4593</v>
      </c>
      <c r="AJ221" t="s">
        <v>3619</v>
      </c>
      <c r="AK221" t="s">
        <v>3586</v>
      </c>
      <c r="AL221" t="s">
        <v>3548</v>
      </c>
      <c r="AM221" t="s">
        <v>3531</v>
      </c>
      <c r="AN221" t="s">
        <v>3587</v>
      </c>
      <c r="AO221" t="s">
        <v>3550</v>
      </c>
      <c r="AP221" t="s">
        <v>231</v>
      </c>
      <c r="AQ221" t="s">
        <v>231</v>
      </c>
      <c r="AR221" t="s">
        <v>231</v>
      </c>
      <c r="AS221" t="s">
        <v>231</v>
      </c>
      <c r="AT221" t="s">
        <v>231</v>
      </c>
      <c r="AU221" t="s">
        <v>231</v>
      </c>
      <c r="AV221" t="s">
        <v>231</v>
      </c>
      <c r="AW221" t="s">
        <v>231</v>
      </c>
      <c r="AX221" t="s">
        <v>231</v>
      </c>
      <c r="AY221" t="s">
        <v>231</v>
      </c>
      <c r="AZ221" t="s">
        <v>231</v>
      </c>
      <c r="BA221" t="s">
        <v>231</v>
      </c>
      <c r="BB221" t="s">
        <v>231</v>
      </c>
      <c r="BC221" t="s">
        <v>231</v>
      </c>
      <c r="BD221" t="s">
        <v>231</v>
      </c>
      <c r="BE221" t="s">
        <v>231</v>
      </c>
      <c r="BF221" t="s">
        <v>231</v>
      </c>
      <c r="BG221" t="s">
        <v>231</v>
      </c>
      <c r="BH221" t="s">
        <v>231</v>
      </c>
      <c r="BI221" t="s">
        <v>231</v>
      </c>
      <c r="BJ221" t="s">
        <v>231</v>
      </c>
      <c r="BK221" t="s">
        <v>231</v>
      </c>
      <c r="BL221" t="s">
        <v>231</v>
      </c>
      <c r="BM221" t="s">
        <v>231</v>
      </c>
      <c r="BN221" t="s">
        <v>231</v>
      </c>
      <c r="BO221" t="s">
        <v>231</v>
      </c>
      <c r="BP221" t="s">
        <v>231</v>
      </c>
      <c r="BQ221" t="s">
        <v>231</v>
      </c>
      <c r="BR221" t="s">
        <v>231</v>
      </c>
      <c r="BS221" t="s">
        <v>231</v>
      </c>
      <c r="BT221" t="s">
        <v>231</v>
      </c>
      <c r="BU221" t="s">
        <v>231</v>
      </c>
      <c r="BV221" t="s">
        <v>231</v>
      </c>
      <c r="BW221" t="s">
        <v>231</v>
      </c>
      <c r="BX221" t="s">
        <v>231</v>
      </c>
      <c r="BY221" t="s">
        <v>231</v>
      </c>
      <c r="BZ221" t="s">
        <v>231</v>
      </c>
      <c r="CA221" t="s">
        <v>231</v>
      </c>
      <c r="CB221" t="s">
        <v>231</v>
      </c>
      <c r="CC221" t="s">
        <v>231</v>
      </c>
      <c r="CD221" t="s">
        <v>231</v>
      </c>
      <c r="CE221" t="s">
        <v>231</v>
      </c>
      <c r="CF221" t="s">
        <v>231</v>
      </c>
      <c r="CG221" t="s">
        <v>231</v>
      </c>
      <c r="CH221" t="s">
        <v>231</v>
      </c>
      <c r="CI221" t="s">
        <v>231</v>
      </c>
      <c r="CJ221" t="s">
        <v>231</v>
      </c>
      <c r="CK221" t="s">
        <v>231</v>
      </c>
      <c r="CL221" t="s">
        <v>231</v>
      </c>
      <c r="CM221" t="s">
        <v>231</v>
      </c>
      <c r="CN221" t="s">
        <v>231</v>
      </c>
      <c r="CO221" t="s">
        <v>231</v>
      </c>
      <c r="CP221" t="s">
        <v>231</v>
      </c>
      <c r="CQ221" t="s">
        <v>231</v>
      </c>
      <c r="CR221" t="s">
        <v>231</v>
      </c>
      <c r="CS221" t="s">
        <v>231</v>
      </c>
      <c r="CT221" t="s">
        <v>3534</v>
      </c>
      <c r="CU221" t="s">
        <v>3535</v>
      </c>
      <c r="CV221" t="s">
        <v>3536</v>
      </c>
      <c r="CW221" t="s">
        <v>3589</v>
      </c>
      <c r="CX221" t="s">
        <v>223</v>
      </c>
      <c r="CY221" t="s">
        <v>3536</v>
      </c>
      <c r="CZ221" t="s">
        <v>3590</v>
      </c>
      <c r="DA221" t="s">
        <v>3591</v>
      </c>
      <c r="DB221" t="s">
        <v>3589</v>
      </c>
      <c r="DC221" t="s">
        <v>363</v>
      </c>
      <c r="DD221" t="s">
        <v>282</v>
      </c>
      <c r="DE221" t="s">
        <v>4594</v>
      </c>
    </row>
    <row r="222" spans="1:109" ht="11.25" customHeight="1">
      <c r="A222" s="1314" t="s">
        <v>231</v>
      </c>
      <c r="B222" t="s">
        <v>231</v>
      </c>
      <c r="C222" t="s">
        <v>231</v>
      </c>
      <c r="D222" t="s">
        <v>231</v>
      </c>
      <c r="E222" t="s">
        <v>231</v>
      </c>
      <c r="F222" t="s">
        <v>231</v>
      </c>
      <c r="G222" t="s">
        <v>231</v>
      </c>
      <c r="H222" t="s">
        <v>231</v>
      </c>
      <c r="I222" t="s">
        <v>3521</v>
      </c>
      <c r="J222" t="s">
        <v>231</v>
      </c>
      <c r="K222" t="s">
        <v>231</v>
      </c>
      <c r="L222" t="s">
        <v>231</v>
      </c>
      <c r="M222" t="s">
        <v>231</v>
      </c>
      <c r="N222" t="s">
        <v>231</v>
      </c>
      <c r="O222" t="s">
        <v>231</v>
      </c>
      <c r="P222" t="s">
        <v>231</v>
      </c>
      <c r="Q222" t="s">
        <v>231</v>
      </c>
      <c r="R222" t="s">
        <v>3615</v>
      </c>
      <c r="S222" t="s">
        <v>231</v>
      </c>
      <c r="T222" t="s">
        <v>231</v>
      </c>
      <c r="U222" t="s">
        <v>101</v>
      </c>
      <c r="V222" t="s">
        <v>231</v>
      </c>
      <c r="W222" t="s">
        <v>231</v>
      </c>
      <c r="X222" t="s">
        <v>3523</v>
      </c>
      <c r="Y222" t="s">
        <v>231</v>
      </c>
      <c r="Z222" t="s">
        <v>160</v>
      </c>
      <c r="AA222" t="s">
        <v>151</v>
      </c>
      <c r="AB222" t="s">
        <v>151</v>
      </c>
      <c r="AC222" t="s">
        <v>2289</v>
      </c>
      <c r="AD222" t="s">
        <v>2289</v>
      </c>
      <c r="AE222" t="s">
        <v>2290</v>
      </c>
      <c r="AF222" t="s">
        <v>4511</v>
      </c>
      <c r="AG222" t="s">
        <v>4512</v>
      </c>
      <c r="AH222" t="s">
        <v>3799</v>
      </c>
      <c r="AI222" t="s">
        <v>1681</v>
      </c>
      <c r="AJ222" t="s">
        <v>3619</v>
      </c>
      <c r="AK222" t="s">
        <v>3789</v>
      </c>
      <c r="AL222" t="s">
        <v>3548</v>
      </c>
      <c r="AM222" t="s">
        <v>3531</v>
      </c>
      <c r="AN222" t="s">
        <v>3595</v>
      </c>
      <c r="AO222" t="s">
        <v>3796</v>
      </c>
      <c r="AP222" t="s">
        <v>231</v>
      </c>
      <c r="AQ222" t="s">
        <v>231</v>
      </c>
      <c r="AR222" t="s">
        <v>231</v>
      </c>
      <c r="AS222" t="s">
        <v>231</v>
      </c>
      <c r="AT222" t="s">
        <v>231</v>
      </c>
      <c r="AU222" t="s">
        <v>231</v>
      </c>
      <c r="AV222" t="s">
        <v>231</v>
      </c>
      <c r="AW222" t="s">
        <v>231</v>
      </c>
      <c r="AX222" t="s">
        <v>231</v>
      </c>
      <c r="AY222" t="s">
        <v>231</v>
      </c>
      <c r="AZ222" t="s">
        <v>231</v>
      </c>
      <c r="BA222" t="s">
        <v>231</v>
      </c>
      <c r="BB222" t="s">
        <v>231</v>
      </c>
      <c r="BC222" t="s">
        <v>231</v>
      </c>
      <c r="BD222" t="s">
        <v>231</v>
      </c>
      <c r="BE222" t="s">
        <v>231</v>
      </c>
      <c r="BF222" t="s">
        <v>231</v>
      </c>
      <c r="BG222" t="s">
        <v>231</v>
      </c>
      <c r="BH222" t="s">
        <v>231</v>
      </c>
      <c r="BI222" t="s">
        <v>231</v>
      </c>
      <c r="BJ222" t="s">
        <v>231</v>
      </c>
      <c r="BK222" t="s">
        <v>231</v>
      </c>
      <c r="BL222" t="s">
        <v>231</v>
      </c>
      <c r="BM222" t="s">
        <v>231</v>
      </c>
      <c r="BN222" t="s">
        <v>231</v>
      </c>
      <c r="BO222" t="s">
        <v>231</v>
      </c>
      <c r="BP222" t="s">
        <v>231</v>
      </c>
      <c r="BQ222" t="s">
        <v>231</v>
      </c>
      <c r="BR222" t="s">
        <v>231</v>
      </c>
      <c r="BS222" t="s">
        <v>231</v>
      </c>
      <c r="BT222" t="s">
        <v>231</v>
      </c>
      <c r="BU222" t="s">
        <v>231</v>
      </c>
      <c r="BV222" t="s">
        <v>231</v>
      </c>
      <c r="BW222" t="s">
        <v>231</v>
      </c>
      <c r="BX222" t="s">
        <v>231</v>
      </c>
      <c r="BY222" t="s">
        <v>231</v>
      </c>
      <c r="BZ222" t="s">
        <v>231</v>
      </c>
      <c r="CA222" t="s">
        <v>231</v>
      </c>
      <c r="CB222" t="s">
        <v>231</v>
      </c>
      <c r="CC222" t="s">
        <v>231</v>
      </c>
      <c r="CD222" t="s">
        <v>231</v>
      </c>
      <c r="CE222" t="s">
        <v>231</v>
      </c>
      <c r="CF222" t="s">
        <v>231</v>
      </c>
      <c r="CG222" t="s">
        <v>231</v>
      </c>
      <c r="CH222" t="s">
        <v>231</v>
      </c>
      <c r="CI222" t="s">
        <v>231</v>
      </c>
      <c r="CJ222" t="s">
        <v>231</v>
      </c>
      <c r="CK222" t="s">
        <v>231</v>
      </c>
      <c r="CL222" t="s">
        <v>231</v>
      </c>
      <c r="CM222" t="s">
        <v>231</v>
      </c>
      <c r="CN222" t="s">
        <v>231</v>
      </c>
      <c r="CO222" t="s">
        <v>231</v>
      </c>
      <c r="CP222" t="s">
        <v>231</v>
      </c>
      <c r="CQ222" t="s">
        <v>231</v>
      </c>
      <c r="CR222" t="s">
        <v>231</v>
      </c>
      <c r="CS222" t="s">
        <v>231</v>
      </c>
      <c r="CT222" t="s">
        <v>3534</v>
      </c>
      <c r="CU222" t="s">
        <v>3535</v>
      </c>
      <c r="CV222" t="s">
        <v>3536</v>
      </c>
      <c r="CW222" t="s">
        <v>3589</v>
      </c>
      <c r="CX222" t="s">
        <v>223</v>
      </c>
      <c r="CY222" t="s">
        <v>3536</v>
      </c>
      <c r="CZ222" t="s">
        <v>3590</v>
      </c>
      <c r="DA222" t="s">
        <v>3591</v>
      </c>
      <c r="DB222" t="s">
        <v>3589</v>
      </c>
      <c r="DC222" t="s">
        <v>363</v>
      </c>
      <c r="DD222" t="s">
        <v>282</v>
      </c>
      <c r="DE222" t="s">
        <v>4595</v>
      </c>
    </row>
    <row r="223" spans="1:109" ht="11.25" customHeight="1">
      <c r="A223" s="1314" t="s">
        <v>231</v>
      </c>
      <c r="B223" t="s">
        <v>231</v>
      </c>
      <c r="C223" t="s">
        <v>231</v>
      </c>
      <c r="D223" t="s">
        <v>231</v>
      </c>
      <c r="E223" t="s">
        <v>231</v>
      </c>
      <c r="F223" t="s">
        <v>231</v>
      </c>
      <c r="G223" t="s">
        <v>231</v>
      </c>
      <c r="H223" t="s">
        <v>231</v>
      </c>
      <c r="I223" t="s">
        <v>3521</v>
      </c>
      <c r="J223" t="s">
        <v>231</v>
      </c>
      <c r="K223" t="s">
        <v>231</v>
      </c>
      <c r="L223" t="s">
        <v>231</v>
      </c>
      <c r="M223" t="s">
        <v>231</v>
      </c>
      <c r="N223" t="s">
        <v>231</v>
      </c>
      <c r="O223" t="s">
        <v>231</v>
      </c>
      <c r="P223" t="s">
        <v>231</v>
      </c>
      <c r="Q223" t="s">
        <v>231</v>
      </c>
      <c r="R223" t="s">
        <v>3615</v>
      </c>
      <c r="S223" t="s">
        <v>231</v>
      </c>
      <c r="T223" t="s">
        <v>231</v>
      </c>
      <c r="U223" t="s">
        <v>101</v>
      </c>
      <c r="V223" t="s">
        <v>231</v>
      </c>
      <c r="W223" t="s">
        <v>231</v>
      </c>
      <c r="X223" t="s">
        <v>3523</v>
      </c>
      <c r="Y223" t="s">
        <v>231</v>
      </c>
      <c r="Z223" t="s">
        <v>160</v>
      </c>
      <c r="AA223" t="s">
        <v>151</v>
      </c>
      <c r="AB223" t="s">
        <v>151</v>
      </c>
      <c r="AC223" t="s">
        <v>2289</v>
      </c>
      <c r="AD223" t="s">
        <v>2289</v>
      </c>
      <c r="AE223" t="s">
        <v>2290</v>
      </c>
      <c r="AF223" t="s">
        <v>4596</v>
      </c>
      <c r="AG223" t="s">
        <v>4597</v>
      </c>
      <c r="AH223" t="s">
        <v>4522</v>
      </c>
      <c r="AI223" t="s">
        <v>1725</v>
      </c>
      <c r="AJ223" t="s">
        <v>4481</v>
      </c>
      <c r="AK223" t="s">
        <v>3716</v>
      </c>
      <c r="AL223" t="s">
        <v>3548</v>
      </c>
      <c r="AM223" t="s">
        <v>3531</v>
      </c>
      <c r="AN223" t="s">
        <v>3595</v>
      </c>
      <c r="AO223" t="s">
        <v>4099</v>
      </c>
      <c r="AP223" t="s">
        <v>231</v>
      </c>
      <c r="AQ223" t="s">
        <v>231</v>
      </c>
      <c r="AR223" t="s">
        <v>231</v>
      </c>
      <c r="AS223" t="s">
        <v>231</v>
      </c>
      <c r="AT223" t="s">
        <v>231</v>
      </c>
      <c r="AU223" t="s">
        <v>231</v>
      </c>
      <c r="AV223" t="s">
        <v>231</v>
      </c>
      <c r="AW223" t="s">
        <v>231</v>
      </c>
      <c r="AX223" t="s">
        <v>231</v>
      </c>
      <c r="AY223" t="s">
        <v>231</v>
      </c>
      <c r="AZ223" t="s">
        <v>231</v>
      </c>
      <c r="BA223" t="s">
        <v>231</v>
      </c>
      <c r="BB223" t="s">
        <v>231</v>
      </c>
      <c r="BC223" t="s">
        <v>231</v>
      </c>
      <c r="BD223" t="s">
        <v>231</v>
      </c>
      <c r="BE223" t="s">
        <v>231</v>
      </c>
      <c r="BF223" t="s">
        <v>231</v>
      </c>
      <c r="BG223" t="s">
        <v>231</v>
      </c>
      <c r="BH223" t="s">
        <v>231</v>
      </c>
      <c r="BI223" t="s">
        <v>231</v>
      </c>
      <c r="BJ223" t="s">
        <v>231</v>
      </c>
      <c r="BK223" t="s">
        <v>231</v>
      </c>
      <c r="BL223" t="s">
        <v>231</v>
      </c>
      <c r="BM223" t="s">
        <v>231</v>
      </c>
      <c r="BN223" t="s">
        <v>231</v>
      </c>
      <c r="BO223" t="s">
        <v>231</v>
      </c>
      <c r="BP223" t="s">
        <v>231</v>
      </c>
      <c r="BQ223" t="s">
        <v>231</v>
      </c>
      <c r="BR223" t="s">
        <v>231</v>
      </c>
      <c r="BS223" t="s">
        <v>231</v>
      </c>
      <c r="BT223" t="s">
        <v>231</v>
      </c>
      <c r="BU223" t="s">
        <v>231</v>
      </c>
      <c r="BV223" t="s">
        <v>231</v>
      </c>
      <c r="BW223" t="s">
        <v>231</v>
      </c>
      <c r="BX223" t="s">
        <v>231</v>
      </c>
      <c r="BY223" t="s">
        <v>231</v>
      </c>
      <c r="BZ223" t="s">
        <v>231</v>
      </c>
      <c r="CA223" t="s">
        <v>231</v>
      </c>
      <c r="CB223" t="s">
        <v>231</v>
      </c>
      <c r="CC223" t="s">
        <v>231</v>
      </c>
      <c r="CD223" t="s">
        <v>231</v>
      </c>
      <c r="CE223" t="s">
        <v>231</v>
      </c>
      <c r="CF223" t="s">
        <v>231</v>
      </c>
      <c r="CG223" t="s">
        <v>231</v>
      </c>
      <c r="CH223" t="s">
        <v>231</v>
      </c>
      <c r="CI223" t="s">
        <v>231</v>
      </c>
      <c r="CJ223" t="s">
        <v>231</v>
      </c>
      <c r="CK223" t="s">
        <v>231</v>
      </c>
      <c r="CL223" t="s">
        <v>231</v>
      </c>
      <c r="CM223" t="s">
        <v>231</v>
      </c>
      <c r="CN223" t="s">
        <v>231</v>
      </c>
      <c r="CO223" t="s">
        <v>231</v>
      </c>
      <c r="CP223" t="s">
        <v>231</v>
      </c>
      <c r="CQ223" t="s">
        <v>231</v>
      </c>
      <c r="CR223" t="s">
        <v>231</v>
      </c>
      <c r="CS223" t="s">
        <v>231</v>
      </c>
      <c r="CT223" t="s">
        <v>3534</v>
      </c>
      <c r="CU223" t="s">
        <v>3535</v>
      </c>
      <c r="CV223" t="s">
        <v>3536</v>
      </c>
      <c r="CW223" t="s">
        <v>3589</v>
      </c>
      <c r="CX223" t="s">
        <v>223</v>
      </c>
      <c r="CY223" t="s">
        <v>3536</v>
      </c>
      <c r="CZ223" t="s">
        <v>3590</v>
      </c>
      <c r="DA223" t="s">
        <v>3591</v>
      </c>
      <c r="DB223" t="s">
        <v>3589</v>
      </c>
      <c r="DC223" t="s">
        <v>363</v>
      </c>
      <c r="DD223" t="s">
        <v>282</v>
      </c>
      <c r="DE223" t="s">
        <v>4598</v>
      </c>
    </row>
    <row r="224" spans="1:109" ht="11.25" customHeight="1">
      <c r="A224" s="1314" t="s">
        <v>231</v>
      </c>
      <c r="B224" t="s">
        <v>231</v>
      </c>
      <c r="C224" t="s">
        <v>231</v>
      </c>
      <c r="D224" t="s">
        <v>231</v>
      </c>
      <c r="E224" t="s">
        <v>231</v>
      </c>
      <c r="F224" t="s">
        <v>231</v>
      </c>
      <c r="G224" t="s">
        <v>231</v>
      </c>
      <c r="H224" t="s">
        <v>231</v>
      </c>
      <c r="I224" t="s">
        <v>3521</v>
      </c>
      <c r="J224" t="s">
        <v>231</v>
      </c>
      <c r="K224" t="s">
        <v>231</v>
      </c>
      <c r="L224" t="s">
        <v>231</v>
      </c>
      <c r="M224" t="s">
        <v>231</v>
      </c>
      <c r="N224" t="s">
        <v>231</v>
      </c>
      <c r="O224" t="s">
        <v>231</v>
      </c>
      <c r="P224" t="s">
        <v>231</v>
      </c>
      <c r="Q224" t="s">
        <v>231</v>
      </c>
      <c r="R224" t="s">
        <v>4599</v>
      </c>
      <c r="S224" t="s">
        <v>231</v>
      </c>
      <c r="T224" t="s">
        <v>231</v>
      </c>
      <c r="U224" t="s">
        <v>101</v>
      </c>
      <c r="V224" t="s">
        <v>231</v>
      </c>
      <c r="W224" t="s">
        <v>231</v>
      </c>
      <c r="X224" t="s">
        <v>3628</v>
      </c>
      <c r="Y224" t="s">
        <v>231</v>
      </c>
      <c r="Z224" t="s">
        <v>151</v>
      </c>
      <c r="AA224" t="s">
        <v>151</v>
      </c>
      <c r="AB224" t="s">
        <v>160</v>
      </c>
      <c r="AC224" t="s">
        <v>2289</v>
      </c>
      <c r="AD224" t="s">
        <v>2289</v>
      </c>
      <c r="AE224" t="s">
        <v>2290</v>
      </c>
      <c r="AF224" t="s">
        <v>4596</v>
      </c>
      <c r="AG224" t="s">
        <v>4597</v>
      </c>
      <c r="AH224" t="s">
        <v>3618</v>
      </c>
      <c r="AI224" t="s">
        <v>3618</v>
      </c>
      <c r="AJ224" t="s">
        <v>231</v>
      </c>
      <c r="AK224" t="s">
        <v>231</v>
      </c>
      <c r="AL224" t="s">
        <v>231</v>
      </c>
      <c r="AM224" t="s">
        <v>231</v>
      </c>
      <c r="AN224" t="s">
        <v>231</v>
      </c>
      <c r="AO224" t="s">
        <v>231</v>
      </c>
      <c r="AP224" t="s">
        <v>231</v>
      </c>
      <c r="AQ224" t="s">
        <v>231</v>
      </c>
      <c r="AR224" t="s">
        <v>231</v>
      </c>
      <c r="AS224" t="s">
        <v>231</v>
      </c>
      <c r="AT224" t="s">
        <v>231</v>
      </c>
      <c r="AU224" t="s">
        <v>231</v>
      </c>
      <c r="AV224" t="s">
        <v>231</v>
      </c>
      <c r="AW224" t="s">
        <v>231</v>
      </c>
      <c r="AX224" t="s">
        <v>231</v>
      </c>
      <c r="AY224" t="s">
        <v>231</v>
      </c>
      <c r="AZ224" t="s">
        <v>231</v>
      </c>
      <c r="BA224" t="s">
        <v>231</v>
      </c>
      <c r="BB224" t="s">
        <v>231</v>
      </c>
      <c r="BC224" t="s">
        <v>231</v>
      </c>
      <c r="BD224" t="s">
        <v>231</v>
      </c>
      <c r="BE224" t="s">
        <v>3594</v>
      </c>
      <c r="BF224" t="s">
        <v>3716</v>
      </c>
      <c r="BG224" t="s">
        <v>111</v>
      </c>
      <c r="BH224" t="s">
        <v>3632</v>
      </c>
      <c r="BI224" t="s">
        <v>122</v>
      </c>
      <c r="BJ224" t="s">
        <v>231</v>
      </c>
      <c r="BK224" t="s">
        <v>3651</v>
      </c>
      <c r="BL224" t="s">
        <v>2289</v>
      </c>
      <c r="BM224" t="s">
        <v>2289</v>
      </c>
      <c r="BN224" t="s">
        <v>3707</v>
      </c>
      <c r="BO224" t="s">
        <v>4596</v>
      </c>
      <c r="BP224" t="s">
        <v>4600</v>
      </c>
      <c r="BQ224" t="s">
        <v>3618</v>
      </c>
      <c r="BR224" t="s">
        <v>3618</v>
      </c>
      <c r="BS224" t="s">
        <v>231</v>
      </c>
      <c r="BT224" t="s">
        <v>3694</v>
      </c>
      <c r="BU224" t="s">
        <v>4601</v>
      </c>
      <c r="BV224" t="s">
        <v>4601</v>
      </c>
      <c r="BW224" t="s">
        <v>3641</v>
      </c>
      <c r="BX224" t="s">
        <v>3641</v>
      </c>
      <c r="BY224" t="s">
        <v>3641</v>
      </c>
      <c r="BZ224" t="s">
        <v>3641</v>
      </c>
      <c r="CA224" t="s">
        <v>3641</v>
      </c>
      <c r="CB224" t="s">
        <v>231</v>
      </c>
      <c r="CC224" t="s">
        <v>231</v>
      </c>
      <c r="CD224" t="s">
        <v>231</v>
      </c>
      <c r="CE224" t="s">
        <v>231</v>
      </c>
      <c r="CF224" t="s">
        <v>231</v>
      </c>
      <c r="CG224" t="s">
        <v>3641</v>
      </c>
      <c r="CH224" t="s">
        <v>231</v>
      </c>
      <c r="CI224" t="s">
        <v>231</v>
      </c>
      <c r="CJ224" t="s">
        <v>231</v>
      </c>
      <c r="CK224" t="s">
        <v>231</v>
      </c>
      <c r="CL224" t="s">
        <v>231</v>
      </c>
      <c r="CM224" t="s">
        <v>4601</v>
      </c>
      <c r="CN224" t="s">
        <v>4601</v>
      </c>
      <c r="CO224" t="s">
        <v>231</v>
      </c>
      <c r="CP224" t="s">
        <v>231</v>
      </c>
      <c r="CQ224" t="s">
        <v>231</v>
      </c>
      <c r="CR224" t="s">
        <v>231</v>
      </c>
      <c r="CS224" t="s">
        <v>3710</v>
      </c>
      <c r="CT224" t="s">
        <v>3534</v>
      </c>
      <c r="CU224" t="s">
        <v>3535</v>
      </c>
      <c r="CV224" t="s">
        <v>3536</v>
      </c>
      <c r="CW224" t="s">
        <v>3589</v>
      </c>
      <c r="CX224" t="s">
        <v>223</v>
      </c>
      <c r="CY224" t="s">
        <v>3536</v>
      </c>
      <c r="CZ224" t="s">
        <v>3590</v>
      </c>
      <c r="DA224" t="s">
        <v>3591</v>
      </c>
      <c r="DB224" t="s">
        <v>3589</v>
      </c>
      <c r="DC224" t="s">
        <v>363</v>
      </c>
      <c r="DD224" t="s">
        <v>282</v>
      </c>
      <c r="DE224" t="s">
        <v>4602</v>
      </c>
    </row>
    <row r="225" spans="1:109" ht="11.25" customHeight="1">
      <c r="A225" s="1314" t="s">
        <v>231</v>
      </c>
      <c r="B225" t="s">
        <v>231</v>
      </c>
      <c r="C225" t="s">
        <v>231</v>
      </c>
      <c r="D225" t="s">
        <v>231</v>
      </c>
      <c r="E225" t="s">
        <v>231</v>
      </c>
      <c r="F225" t="s">
        <v>231</v>
      </c>
      <c r="G225" t="s">
        <v>231</v>
      </c>
      <c r="H225" t="s">
        <v>231</v>
      </c>
      <c r="I225" t="s">
        <v>3521</v>
      </c>
      <c r="J225" t="s">
        <v>231</v>
      </c>
      <c r="K225" t="s">
        <v>231</v>
      </c>
      <c r="L225" t="s">
        <v>231</v>
      </c>
      <c r="M225" t="s">
        <v>231</v>
      </c>
      <c r="N225" t="s">
        <v>231</v>
      </c>
      <c r="O225" t="s">
        <v>231</v>
      </c>
      <c r="P225" t="s">
        <v>231</v>
      </c>
      <c r="Q225" t="s">
        <v>231</v>
      </c>
      <c r="R225" t="s">
        <v>4603</v>
      </c>
      <c r="S225" t="s">
        <v>231</v>
      </c>
      <c r="T225" t="s">
        <v>231</v>
      </c>
      <c r="U225" t="s">
        <v>101</v>
      </c>
      <c r="V225" t="s">
        <v>231</v>
      </c>
      <c r="W225" t="s">
        <v>231</v>
      </c>
      <c r="X225" t="s">
        <v>3628</v>
      </c>
      <c r="Y225" t="s">
        <v>231</v>
      </c>
      <c r="Z225" t="s">
        <v>151</v>
      </c>
      <c r="AA225" t="s">
        <v>151</v>
      </c>
      <c r="AB225" t="s">
        <v>160</v>
      </c>
      <c r="AC225" t="s">
        <v>2287</v>
      </c>
      <c r="AD225" t="s">
        <v>2287</v>
      </c>
      <c r="AE225" t="s">
        <v>2288</v>
      </c>
      <c r="AF225" t="s">
        <v>4310</v>
      </c>
      <c r="AG225" t="s">
        <v>4311</v>
      </c>
      <c r="AH225" t="s">
        <v>3618</v>
      </c>
      <c r="AI225" t="s">
        <v>3618</v>
      </c>
      <c r="AJ225" t="s">
        <v>231</v>
      </c>
      <c r="AK225" t="s">
        <v>231</v>
      </c>
      <c r="AL225" t="s">
        <v>231</v>
      </c>
      <c r="AM225" t="s">
        <v>231</v>
      </c>
      <c r="AN225" t="s">
        <v>231</v>
      </c>
      <c r="AO225" t="s">
        <v>231</v>
      </c>
      <c r="AP225" t="s">
        <v>231</v>
      </c>
      <c r="AQ225" t="s">
        <v>231</v>
      </c>
      <c r="AR225" t="s">
        <v>231</v>
      </c>
      <c r="AS225" t="s">
        <v>231</v>
      </c>
      <c r="AT225" t="s">
        <v>231</v>
      </c>
      <c r="AU225" t="s">
        <v>231</v>
      </c>
      <c r="AV225" t="s">
        <v>231</v>
      </c>
      <c r="AW225" t="s">
        <v>231</v>
      </c>
      <c r="AX225" t="s">
        <v>231</v>
      </c>
      <c r="AY225" t="s">
        <v>231</v>
      </c>
      <c r="AZ225" t="s">
        <v>231</v>
      </c>
      <c r="BA225" t="s">
        <v>231</v>
      </c>
      <c r="BB225" t="s">
        <v>231</v>
      </c>
      <c r="BC225" t="s">
        <v>231</v>
      </c>
      <c r="BD225" t="s">
        <v>231</v>
      </c>
      <c r="BE225" t="s">
        <v>3619</v>
      </c>
      <c r="BF225" t="s">
        <v>4314</v>
      </c>
      <c r="BG225" t="s">
        <v>111</v>
      </c>
      <c r="BH225" t="s">
        <v>3632</v>
      </c>
      <c r="BI225" t="s">
        <v>122</v>
      </c>
      <c r="BJ225" t="s">
        <v>231</v>
      </c>
      <c r="BK225" t="s">
        <v>3651</v>
      </c>
      <c r="BL225" t="s">
        <v>2287</v>
      </c>
      <c r="BM225" t="s">
        <v>2287</v>
      </c>
      <c r="BN225" t="s">
        <v>3842</v>
      </c>
      <c r="BO225" t="s">
        <v>4310</v>
      </c>
      <c r="BP225" t="s">
        <v>4604</v>
      </c>
      <c r="BQ225" t="s">
        <v>3618</v>
      </c>
      <c r="BR225" t="s">
        <v>3618</v>
      </c>
      <c r="BS225" t="s">
        <v>231</v>
      </c>
      <c r="BT225" t="s">
        <v>3694</v>
      </c>
      <c r="BU225" t="s">
        <v>4605</v>
      </c>
      <c r="BV225" t="s">
        <v>4605</v>
      </c>
      <c r="BW225" t="s">
        <v>3641</v>
      </c>
      <c r="BX225" t="s">
        <v>3641</v>
      </c>
      <c r="BY225" t="s">
        <v>3641</v>
      </c>
      <c r="BZ225" t="s">
        <v>3641</v>
      </c>
      <c r="CA225" t="s">
        <v>3641</v>
      </c>
      <c r="CB225" t="s">
        <v>231</v>
      </c>
      <c r="CC225" t="s">
        <v>231</v>
      </c>
      <c r="CD225" t="s">
        <v>231</v>
      </c>
      <c r="CE225" t="s">
        <v>231</v>
      </c>
      <c r="CF225" t="s">
        <v>231</v>
      </c>
      <c r="CG225" t="s">
        <v>3641</v>
      </c>
      <c r="CH225" t="s">
        <v>231</v>
      </c>
      <c r="CI225" t="s">
        <v>231</v>
      </c>
      <c r="CJ225" t="s">
        <v>231</v>
      </c>
      <c r="CK225" t="s">
        <v>231</v>
      </c>
      <c r="CL225" t="s">
        <v>231</v>
      </c>
      <c r="CM225" t="s">
        <v>4605</v>
      </c>
      <c r="CN225" t="s">
        <v>4605</v>
      </c>
      <c r="CO225" t="s">
        <v>231</v>
      </c>
      <c r="CP225" t="s">
        <v>231</v>
      </c>
      <c r="CQ225" t="s">
        <v>231</v>
      </c>
      <c r="CR225" t="s">
        <v>231</v>
      </c>
      <c r="CS225" t="s">
        <v>3621</v>
      </c>
      <c r="CT225" t="s">
        <v>3534</v>
      </c>
      <c r="CU225" t="s">
        <v>3535</v>
      </c>
      <c r="CV225" t="s">
        <v>3536</v>
      </c>
      <c r="CW225" t="s">
        <v>3623</v>
      </c>
      <c r="CX225" t="s">
        <v>223</v>
      </c>
      <c r="CY225" t="s">
        <v>3536</v>
      </c>
      <c r="CZ225" t="s">
        <v>3624</v>
      </c>
      <c r="DA225" t="s">
        <v>3625</v>
      </c>
      <c r="DB225" t="s">
        <v>3623</v>
      </c>
      <c r="DC225" t="s">
        <v>363</v>
      </c>
      <c r="DD225" t="s">
        <v>282</v>
      </c>
      <c r="DE225" t="s">
        <v>4606</v>
      </c>
    </row>
    <row r="226" spans="1:109" ht="11.25" customHeight="1">
      <c r="A226" s="1314" t="s">
        <v>231</v>
      </c>
      <c r="B226" t="s">
        <v>231</v>
      </c>
      <c r="C226" t="s">
        <v>231</v>
      </c>
      <c r="D226" t="s">
        <v>231</v>
      </c>
      <c r="E226" t="s">
        <v>231</v>
      </c>
      <c r="F226" t="s">
        <v>231</v>
      </c>
      <c r="G226" t="s">
        <v>231</v>
      </c>
      <c r="H226" t="s">
        <v>231</v>
      </c>
      <c r="I226" t="s">
        <v>3521</v>
      </c>
      <c r="J226" t="s">
        <v>231</v>
      </c>
      <c r="K226" t="s">
        <v>231</v>
      </c>
      <c r="L226" t="s">
        <v>231</v>
      </c>
      <c r="M226" t="s">
        <v>231</v>
      </c>
      <c r="N226" t="s">
        <v>231</v>
      </c>
      <c r="O226" t="s">
        <v>231</v>
      </c>
      <c r="P226" t="s">
        <v>231</v>
      </c>
      <c r="Q226" t="s">
        <v>231</v>
      </c>
      <c r="R226" t="s">
        <v>3615</v>
      </c>
      <c r="S226" t="s">
        <v>231</v>
      </c>
      <c r="T226" t="s">
        <v>231</v>
      </c>
      <c r="U226" t="s">
        <v>101</v>
      </c>
      <c r="V226" t="s">
        <v>231</v>
      </c>
      <c r="W226" t="s">
        <v>231</v>
      </c>
      <c r="X226" t="s">
        <v>3523</v>
      </c>
      <c r="Y226" t="s">
        <v>231</v>
      </c>
      <c r="Z226" t="s">
        <v>160</v>
      </c>
      <c r="AA226" t="s">
        <v>151</v>
      </c>
      <c r="AB226" t="s">
        <v>151</v>
      </c>
      <c r="AC226" t="s">
        <v>2287</v>
      </c>
      <c r="AD226" t="s">
        <v>2287</v>
      </c>
      <c r="AE226" t="s">
        <v>2288</v>
      </c>
      <c r="AF226" t="s">
        <v>4607</v>
      </c>
      <c r="AG226" t="s">
        <v>4608</v>
      </c>
      <c r="AH226" t="s">
        <v>3618</v>
      </c>
      <c r="AI226" t="s">
        <v>3618</v>
      </c>
      <c r="AJ226" t="s">
        <v>3619</v>
      </c>
      <c r="AK226" t="s">
        <v>4609</v>
      </c>
      <c r="AL226" t="s">
        <v>3548</v>
      </c>
      <c r="AM226" t="s">
        <v>3531</v>
      </c>
      <c r="AN226" t="s">
        <v>3621</v>
      </c>
      <c r="AO226" t="s">
        <v>3622</v>
      </c>
      <c r="AP226" t="s">
        <v>231</v>
      </c>
      <c r="AQ226" t="s">
        <v>231</v>
      </c>
      <c r="AR226" t="s">
        <v>231</v>
      </c>
      <c r="AS226" t="s">
        <v>231</v>
      </c>
      <c r="AT226" t="s">
        <v>231</v>
      </c>
      <c r="AU226" t="s">
        <v>231</v>
      </c>
      <c r="AV226" t="s">
        <v>231</v>
      </c>
      <c r="AW226" t="s">
        <v>231</v>
      </c>
      <c r="AX226" t="s">
        <v>231</v>
      </c>
      <c r="AY226" t="s">
        <v>231</v>
      </c>
      <c r="AZ226" t="s">
        <v>231</v>
      </c>
      <c r="BA226" t="s">
        <v>231</v>
      </c>
      <c r="BB226" t="s">
        <v>231</v>
      </c>
      <c r="BC226" t="s">
        <v>231</v>
      </c>
      <c r="BD226" t="s">
        <v>231</v>
      </c>
      <c r="BE226" t="s">
        <v>231</v>
      </c>
      <c r="BF226" t="s">
        <v>231</v>
      </c>
      <c r="BG226" t="s">
        <v>231</v>
      </c>
      <c r="BH226" t="s">
        <v>231</v>
      </c>
      <c r="BI226" t="s">
        <v>231</v>
      </c>
      <c r="BJ226" t="s">
        <v>231</v>
      </c>
      <c r="BK226" t="s">
        <v>231</v>
      </c>
      <c r="BL226" t="s">
        <v>231</v>
      </c>
      <c r="BM226" t="s">
        <v>231</v>
      </c>
      <c r="BN226" t="s">
        <v>231</v>
      </c>
      <c r="BO226" t="s">
        <v>231</v>
      </c>
      <c r="BP226" t="s">
        <v>231</v>
      </c>
      <c r="BQ226" t="s">
        <v>231</v>
      </c>
      <c r="BR226" t="s">
        <v>231</v>
      </c>
      <c r="BS226" t="s">
        <v>231</v>
      </c>
      <c r="BT226" t="s">
        <v>231</v>
      </c>
      <c r="BU226" t="s">
        <v>231</v>
      </c>
      <c r="BV226" t="s">
        <v>231</v>
      </c>
      <c r="BW226" t="s">
        <v>231</v>
      </c>
      <c r="BX226" t="s">
        <v>231</v>
      </c>
      <c r="BY226" t="s">
        <v>231</v>
      </c>
      <c r="BZ226" t="s">
        <v>231</v>
      </c>
      <c r="CA226" t="s">
        <v>231</v>
      </c>
      <c r="CB226" t="s">
        <v>231</v>
      </c>
      <c r="CC226" t="s">
        <v>231</v>
      </c>
      <c r="CD226" t="s">
        <v>231</v>
      </c>
      <c r="CE226" t="s">
        <v>231</v>
      </c>
      <c r="CF226" t="s">
        <v>231</v>
      </c>
      <c r="CG226" t="s">
        <v>231</v>
      </c>
      <c r="CH226" t="s">
        <v>231</v>
      </c>
      <c r="CI226" t="s">
        <v>231</v>
      </c>
      <c r="CJ226" t="s">
        <v>231</v>
      </c>
      <c r="CK226" t="s">
        <v>231</v>
      </c>
      <c r="CL226" t="s">
        <v>231</v>
      </c>
      <c r="CM226" t="s">
        <v>231</v>
      </c>
      <c r="CN226" t="s">
        <v>231</v>
      </c>
      <c r="CO226" t="s">
        <v>231</v>
      </c>
      <c r="CP226" t="s">
        <v>231</v>
      </c>
      <c r="CQ226" t="s">
        <v>231</v>
      </c>
      <c r="CR226" t="s">
        <v>231</v>
      </c>
      <c r="CS226" t="s">
        <v>231</v>
      </c>
      <c r="CT226" t="s">
        <v>3534</v>
      </c>
      <c r="CU226" t="s">
        <v>3535</v>
      </c>
      <c r="CV226" t="s">
        <v>3536</v>
      </c>
      <c r="CW226" t="s">
        <v>3623</v>
      </c>
      <c r="CX226" t="s">
        <v>223</v>
      </c>
      <c r="CY226" t="s">
        <v>3536</v>
      </c>
      <c r="CZ226" t="s">
        <v>3624</v>
      </c>
      <c r="DA226" t="s">
        <v>3625</v>
      </c>
      <c r="DB226" t="s">
        <v>3623</v>
      </c>
      <c r="DC226" t="s">
        <v>363</v>
      </c>
      <c r="DD226" t="s">
        <v>282</v>
      </c>
      <c r="DE226" t="s">
        <v>4610</v>
      </c>
    </row>
    <row r="227" spans="1:109" ht="11.25" customHeight="1">
      <c r="A227" s="1314" t="s">
        <v>231</v>
      </c>
      <c r="B227" t="s">
        <v>231</v>
      </c>
      <c r="C227" t="s">
        <v>231</v>
      </c>
      <c r="D227" t="s">
        <v>231</v>
      </c>
      <c r="E227" t="s">
        <v>231</v>
      </c>
      <c r="F227" t="s">
        <v>231</v>
      </c>
      <c r="G227" t="s">
        <v>231</v>
      </c>
      <c r="H227" t="s">
        <v>231</v>
      </c>
      <c r="I227" t="s">
        <v>3521</v>
      </c>
      <c r="J227" t="s">
        <v>231</v>
      </c>
      <c r="K227" t="s">
        <v>231</v>
      </c>
      <c r="L227" t="s">
        <v>231</v>
      </c>
      <c r="M227" t="s">
        <v>231</v>
      </c>
      <c r="N227" t="s">
        <v>231</v>
      </c>
      <c r="O227" t="s">
        <v>231</v>
      </c>
      <c r="P227" t="s">
        <v>231</v>
      </c>
      <c r="Q227" t="s">
        <v>231</v>
      </c>
      <c r="R227" t="s">
        <v>4611</v>
      </c>
      <c r="S227" t="s">
        <v>231</v>
      </c>
      <c r="T227" t="s">
        <v>231</v>
      </c>
      <c r="U227" t="s">
        <v>101</v>
      </c>
      <c r="V227" t="s">
        <v>231</v>
      </c>
      <c r="W227" t="s">
        <v>231</v>
      </c>
      <c r="X227" t="s">
        <v>3523</v>
      </c>
      <c r="Y227" t="s">
        <v>231</v>
      </c>
      <c r="Z227" t="s">
        <v>160</v>
      </c>
      <c r="AA227" t="s">
        <v>151</v>
      </c>
      <c r="AB227" t="s">
        <v>151</v>
      </c>
      <c r="AC227" t="s">
        <v>2283</v>
      </c>
      <c r="AD227" t="s">
        <v>2283</v>
      </c>
      <c r="AE227" t="s">
        <v>2284</v>
      </c>
      <c r="AF227" t="s">
        <v>3652</v>
      </c>
      <c r="AG227" t="s">
        <v>3653</v>
      </c>
      <c r="AH227" t="s">
        <v>4612</v>
      </c>
      <c r="AI227" t="s">
        <v>4613</v>
      </c>
      <c r="AJ227" t="s">
        <v>3619</v>
      </c>
      <c r="AK227" t="s">
        <v>4614</v>
      </c>
      <c r="AL227" t="s">
        <v>3548</v>
      </c>
      <c r="AM227" t="s">
        <v>3531</v>
      </c>
      <c r="AN227" t="s">
        <v>3595</v>
      </c>
      <c r="AO227" t="s">
        <v>3790</v>
      </c>
      <c r="AP227" t="s">
        <v>231</v>
      </c>
      <c r="AQ227" t="s">
        <v>231</v>
      </c>
      <c r="AR227" t="s">
        <v>231</v>
      </c>
      <c r="AS227" t="s">
        <v>231</v>
      </c>
      <c r="AT227" t="s">
        <v>231</v>
      </c>
      <c r="AU227" t="s">
        <v>231</v>
      </c>
      <c r="AV227" t="s">
        <v>231</v>
      </c>
      <c r="AW227" t="s">
        <v>231</v>
      </c>
      <c r="AX227" t="s">
        <v>231</v>
      </c>
      <c r="AY227" t="s">
        <v>231</v>
      </c>
      <c r="AZ227" t="s">
        <v>231</v>
      </c>
      <c r="BA227" t="s">
        <v>231</v>
      </c>
      <c r="BB227" t="s">
        <v>231</v>
      </c>
      <c r="BC227" t="s">
        <v>231</v>
      </c>
      <c r="BD227" t="s">
        <v>231</v>
      </c>
      <c r="BE227" t="s">
        <v>231</v>
      </c>
      <c r="BF227" t="s">
        <v>231</v>
      </c>
      <c r="BG227" t="s">
        <v>231</v>
      </c>
      <c r="BH227" t="s">
        <v>231</v>
      </c>
      <c r="BI227" t="s">
        <v>231</v>
      </c>
      <c r="BJ227" t="s">
        <v>231</v>
      </c>
      <c r="BK227" t="s">
        <v>231</v>
      </c>
      <c r="BL227" t="s">
        <v>231</v>
      </c>
      <c r="BM227" t="s">
        <v>231</v>
      </c>
      <c r="BN227" t="s">
        <v>231</v>
      </c>
      <c r="BO227" t="s">
        <v>231</v>
      </c>
      <c r="BP227" t="s">
        <v>231</v>
      </c>
      <c r="BQ227" t="s">
        <v>231</v>
      </c>
      <c r="BR227" t="s">
        <v>231</v>
      </c>
      <c r="BS227" t="s">
        <v>231</v>
      </c>
      <c r="BT227" t="s">
        <v>231</v>
      </c>
      <c r="BU227" t="s">
        <v>231</v>
      </c>
      <c r="BV227" t="s">
        <v>231</v>
      </c>
      <c r="BW227" t="s">
        <v>231</v>
      </c>
      <c r="BX227" t="s">
        <v>231</v>
      </c>
      <c r="BY227" t="s">
        <v>231</v>
      </c>
      <c r="BZ227" t="s">
        <v>231</v>
      </c>
      <c r="CA227" t="s">
        <v>231</v>
      </c>
      <c r="CB227" t="s">
        <v>231</v>
      </c>
      <c r="CC227" t="s">
        <v>231</v>
      </c>
      <c r="CD227" t="s">
        <v>231</v>
      </c>
      <c r="CE227" t="s">
        <v>231</v>
      </c>
      <c r="CF227" t="s">
        <v>231</v>
      </c>
      <c r="CG227" t="s">
        <v>231</v>
      </c>
      <c r="CH227" t="s">
        <v>231</v>
      </c>
      <c r="CI227" t="s">
        <v>231</v>
      </c>
      <c r="CJ227" t="s">
        <v>231</v>
      </c>
      <c r="CK227" t="s">
        <v>231</v>
      </c>
      <c r="CL227" t="s">
        <v>231</v>
      </c>
      <c r="CM227" t="s">
        <v>231</v>
      </c>
      <c r="CN227" t="s">
        <v>231</v>
      </c>
      <c r="CO227" t="s">
        <v>231</v>
      </c>
      <c r="CP227" t="s">
        <v>231</v>
      </c>
      <c r="CQ227" t="s">
        <v>231</v>
      </c>
      <c r="CR227" t="s">
        <v>231</v>
      </c>
      <c r="CS227" t="s">
        <v>231</v>
      </c>
      <c r="CT227" t="s">
        <v>3534</v>
      </c>
      <c r="CU227" t="s">
        <v>4615</v>
      </c>
      <c r="CV227" t="s">
        <v>4616</v>
      </c>
      <c r="CW227" t="s">
        <v>4617</v>
      </c>
      <c r="CX227" t="s">
        <v>203</v>
      </c>
      <c r="CY227" t="s">
        <v>4618</v>
      </c>
      <c r="CZ227" t="s">
        <v>4619</v>
      </c>
      <c r="DA227" t="s">
        <v>4620</v>
      </c>
      <c r="DB227" t="s">
        <v>4617</v>
      </c>
      <c r="DC227" t="s">
        <v>363</v>
      </c>
      <c r="DD227" t="s">
        <v>282</v>
      </c>
      <c r="DE227" t="s">
        <v>4621</v>
      </c>
    </row>
    <row r="228" spans="1:109" ht="11.25" customHeight="1">
      <c r="A228" s="1314" t="s">
        <v>231</v>
      </c>
      <c r="B228" t="s">
        <v>231</v>
      </c>
      <c r="C228" t="s">
        <v>231</v>
      </c>
      <c r="D228" t="s">
        <v>231</v>
      </c>
      <c r="E228" t="s">
        <v>231</v>
      </c>
      <c r="F228" t="s">
        <v>231</v>
      </c>
      <c r="G228" t="s">
        <v>231</v>
      </c>
      <c r="H228" t="s">
        <v>231</v>
      </c>
      <c r="I228" t="s">
        <v>3521</v>
      </c>
      <c r="J228" t="s">
        <v>231</v>
      </c>
      <c r="K228" t="s">
        <v>231</v>
      </c>
      <c r="L228" t="s">
        <v>231</v>
      </c>
      <c r="M228" t="s">
        <v>231</v>
      </c>
      <c r="N228" t="s">
        <v>231</v>
      </c>
      <c r="O228" t="s">
        <v>231</v>
      </c>
      <c r="P228" t="s">
        <v>231</v>
      </c>
      <c r="Q228" t="s">
        <v>231</v>
      </c>
      <c r="R228" t="s">
        <v>4622</v>
      </c>
      <c r="S228" t="s">
        <v>231</v>
      </c>
      <c r="T228" t="s">
        <v>231</v>
      </c>
      <c r="U228" t="s">
        <v>101</v>
      </c>
      <c r="V228" t="s">
        <v>231</v>
      </c>
      <c r="W228" t="s">
        <v>231</v>
      </c>
      <c r="X228" t="s">
        <v>3523</v>
      </c>
      <c r="Y228" t="s">
        <v>231</v>
      </c>
      <c r="Z228" t="s">
        <v>160</v>
      </c>
      <c r="AA228" t="s">
        <v>151</v>
      </c>
      <c r="AB228" t="s">
        <v>151</v>
      </c>
      <c r="AC228" t="s">
        <v>2289</v>
      </c>
      <c r="AD228" t="s">
        <v>2289</v>
      </c>
      <c r="AE228" t="s">
        <v>2290</v>
      </c>
      <c r="AF228" t="s">
        <v>3793</v>
      </c>
      <c r="AG228" t="s">
        <v>3794</v>
      </c>
      <c r="AH228" t="s">
        <v>4623</v>
      </c>
      <c r="AI228" t="s">
        <v>4624</v>
      </c>
      <c r="AJ228" t="s">
        <v>3621</v>
      </c>
      <c r="AK228" t="s">
        <v>3587</v>
      </c>
      <c r="AL228" t="s">
        <v>4163</v>
      </c>
      <c r="AM228" t="s">
        <v>3531</v>
      </c>
      <c r="AN228" t="s">
        <v>3595</v>
      </c>
      <c r="AO228" t="s">
        <v>3596</v>
      </c>
      <c r="AP228" t="s">
        <v>231</v>
      </c>
      <c r="AQ228" t="s">
        <v>231</v>
      </c>
      <c r="AR228" t="s">
        <v>231</v>
      </c>
      <c r="AS228" t="s">
        <v>231</v>
      </c>
      <c r="AT228" t="s">
        <v>231</v>
      </c>
      <c r="AU228" t="s">
        <v>231</v>
      </c>
      <c r="AV228" t="s">
        <v>231</v>
      </c>
      <c r="AW228" t="s">
        <v>231</v>
      </c>
      <c r="AX228" t="s">
        <v>231</v>
      </c>
      <c r="AY228" t="s">
        <v>231</v>
      </c>
      <c r="AZ228" t="s">
        <v>231</v>
      </c>
      <c r="BA228" t="s">
        <v>231</v>
      </c>
      <c r="BB228" t="s">
        <v>231</v>
      </c>
      <c r="BC228" t="s">
        <v>231</v>
      </c>
      <c r="BD228" t="s">
        <v>231</v>
      </c>
      <c r="BE228" t="s">
        <v>231</v>
      </c>
      <c r="BF228" t="s">
        <v>231</v>
      </c>
      <c r="BG228" t="s">
        <v>231</v>
      </c>
      <c r="BH228" t="s">
        <v>231</v>
      </c>
      <c r="BI228" t="s">
        <v>231</v>
      </c>
      <c r="BJ228" t="s">
        <v>231</v>
      </c>
      <c r="BK228" t="s">
        <v>231</v>
      </c>
      <c r="BL228" t="s">
        <v>231</v>
      </c>
      <c r="BM228" t="s">
        <v>231</v>
      </c>
      <c r="BN228" t="s">
        <v>231</v>
      </c>
      <c r="BO228" t="s">
        <v>231</v>
      </c>
      <c r="BP228" t="s">
        <v>231</v>
      </c>
      <c r="BQ228" t="s">
        <v>231</v>
      </c>
      <c r="BR228" t="s">
        <v>231</v>
      </c>
      <c r="BS228" t="s">
        <v>231</v>
      </c>
      <c r="BT228" t="s">
        <v>231</v>
      </c>
      <c r="BU228" t="s">
        <v>231</v>
      </c>
      <c r="BV228" t="s">
        <v>231</v>
      </c>
      <c r="BW228" t="s">
        <v>231</v>
      </c>
      <c r="BX228" t="s">
        <v>231</v>
      </c>
      <c r="BY228" t="s">
        <v>231</v>
      </c>
      <c r="BZ228" t="s">
        <v>231</v>
      </c>
      <c r="CA228" t="s">
        <v>231</v>
      </c>
      <c r="CB228" t="s">
        <v>231</v>
      </c>
      <c r="CC228" t="s">
        <v>231</v>
      </c>
      <c r="CD228" t="s">
        <v>231</v>
      </c>
      <c r="CE228" t="s">
        <v>231</v>
      </c>
      <c r="CF228" t="s">
        <v>231</v>
      </c>
      <c r="CG228" t="s">
        <v>231</v>
      </c>
      <c r="CH228" t="s">
        <v>231</v>
      </c>
      <c r="CI228" t="s">
        <v>231</v>
      </c>
      <c r="CJ228" t="s">
        <v>231</v>
      </c>
      <c r="CK228" t="s">
        <v>231</v>
      </c>
      <c r="CL228" t="s">
        <v>231</v>
      </c>
      <c r="CM228" t="s">
        <v>231</v>
      </c>
      <c r="CN228" t="s">
        <v>231</v>
      </c>
      <c r="CO228" t="s">
        <v>231</v>
      </c>
      <c r="CP228" t="s">
        <v>231</v>
      </c>
      <c r="CQ228" t="s">
        <v>231</v>
      </c>
      <c r="CR228" t="s">
        <v>231</v>
      </c>
      <c r="CS228" t="s">
        <v>231</v>
      </c>
      <c r="CT228" t="s">
        <v>3534</v>
      </c>
      <c r="CU228" t="s">
        <v>3535</v>
      </c>
      <c r="CV228" t="s">
        <v>3536</v>
      </c>
      <c r="CW228" t="s">
        <v>3589</v>
      </c>
      <c r="CX228" t="s">
        <v>223</v>
      </c>
      <c r="CY228" t="s">
        <v>3536</v>
      </c>
      <c r="CZ228" t="s">
        <v>3590</v>
      </c>
      <c r="DA228" t="s">
        <v>3591</v>
      </c>
      <c r="DB228" t="s">
        <v>3589</v>
      </c>
      <c r="DC228" t="s">
        <v>363</v>
      </c>
      <c r="DD228" t="s">
        <v>282</v>
      </c>
      <c r="DE228" t="s">
        <v>4625</v>
      </c>
    </row>
    <row r="229" spans="1:109" ht="11.25" customHeight="1">
      <c r="A229" s="1314" t="s">
        <v>231</v>
      </c>
      <c r="B229" t="s">
        <v>231</v>
      </c>
      <c r="C229" t="s">
        <v>231</v>
      </c>
      <c r="D229" t="s">
        <v>231</v>
      </c>
      <c r="E229" t="s">
        <v>231</v>
      </c>
      <c r="F229" t="s">
        <v>231</v>
      </c>
      <c r="G229" t="s">
        <v>231</v>
      </c>
      <c r="H229" t="s">
        <v>231</v>
      </c>
      <c r="I229" t="s">
        <v>3521</v>
      </c>
      <c r="J229" t="s">
        <v>231</v>
      </c>
      <c r="K229" t="s">
        <v>231</v>
      </c>
      <c r="L229" t="s">
        <v>231</v>
      </c>
      <c r="M229" t="s">
        <v>231</v>
      </c>
      <c r="N229" t="s">
        <v>231</v>
      </c>
      <c r="O229" t="s">
        <v>231</v>
      </c>
      <c r="P229" t="s">
        <v>231</v>
      </c>
      <c r="Q229" t="s">
        <v>231</v>
      </c>
      <c r="R229" t="s">
        <v>4626</v>
      </c>
      <c r="S229" t="s">
        <v>231</v>
      </c>
      <c r="T229" t="s">
        <v>231</v>
      </c>
      <c r="U229" t="s">
        <v>101</v>
      </c>
      <c r="V229" t="s">
        <v>231</v>
      </c>
      <c r="W229" t="s">
        <v>231</v>
      </c>
      <c r="X229" t="s">
        <v>3628</v>
      </c>
      <c r="Y229" t="s">
        <v>231</v>
      </c>
      <c r="Z229" t="s">
        <v>151</v>
      </c>
      <c r="AA229" t="s">
        <v>151</v>
      </c>
      <c r="AB229" t="s">
        <v>160</v>
      </c>
      <c r="AC229" t="s">
        <v>2289</v>
      </c>
      <c r="AD229" t="s">
        <v>2289</v>
      </c>
      <c r="AE229" t="s">
        <v>2290</v>
      </c>
      <c r="AF229" t="s">
        <v>4368</v>
      </c>
      <c r="AG229" t="s">
        <v>4369</v>
      </c>
      <c r="AH229" t="s">
        <v>3618</v>
      </c>
      <c r="AI229" t="s">
        <v>3618</v>
      </c>
      <c r="AJ229" t="s">
        <v>231</v>
      </c>
      <c r="AK229" t="s">
        <v>231</v>
      </c>
      <c r="AL229" t="s">
        <v>231</v>
      </c>
      <c r="AM229" t="s">
        <v>231</v>
      </c>
      <c r="AN229" t="s">
        <v>231</v>
      </c>
      <c r="AO229" t="s">
        <v>231</v>
      </c>
      <c r="AP229" t="s">
        <v>231</v>
      </c>
      <c r="AQ229" t="s">
        <v>231</v>
      </c>
      <c r="AR229" t="s">
        <v>231</v>
      </c>
      <c r="AS229" t="s">
        <v>231</v>
      </c>
      <c r="AT229" t="s">
        <v>231</v>
      </c>
      <c r="AU229" t="s">
        <v>231</v>
      </c>
      <c r="AV229" t="s">
        <v>231</v>
      </c>
      <c r="AW229" t="s">
        <v>231</v>
      </c>
      <c r="AX229" t="s">
        <v>231</v>
      </c>
      <c r="AY229" t="s">
        <v>231</v>
      </c>
      <c r="AZ229" t="s">
        <v>231</v>
      </c>
      <c r="BA229" t="s">
        <v>231</v>
      </c>
      <c r="BB229" t="s">
        <v>231</v>
      </c>
      <c r="BC229" t="s">
        <v>231</v>
      </c>
      <c r="BD229" t="s">
        <v>231</v>
      </c>
      <c r="BE229" t="s">
        <v>3546</v>
      </c>
      <c r="BF229" t="s">
        <v>3586</v>
      </c>
      <c r="BG229" t="s">
        <v>111</v>
      </c>
      <c r="BH229" t="s">
        <v>3632</v>
      </c>
      <c r="BI229" t="s">
        <v>122</v>
      </c>
      <c r="BJ229" t="s">
        <v>231</v>
      </c>
      <c r="BK229" t="s">
        <v>3651</v>
      </c>
      <c r="BL229" t="s">
        <v>2289</v>
      </c>
      <c r="BM229" t="s">
        <v>2289</v>
      </c>
      <c r="BN229" t="s">
        <v>3707</v>
      </c>
      <c r="BO229" t="s">
        <v>4368</v>
      </c>
      <c r="BP229" t="s">
        <v>4627</v>
      </c>
      <c r="BQ229" t="s">
        <v>3618</v>
      </c>
      <c r="BR229" t="s">
        <v>3618</v>
      </c>
      <c r="BS229" t="s">
        <v>231</v>
      </c>
      <c r="BT229" t="s">
        <v>3694</v>
      </c>
      <c r="BU229" t="s">
        <v>4628</v>
      </c>
      <c r="BV229" t="s">
        <v>4628</v>
      </c>
      <c r="BW229" t="s">
        <v>3641</v>
      </c>
      <c r="BX229" t="s">
        <v>3641</v>
      </c>
      <c r="BY229" t="s">
        <v>3641</v>
      </c>
      <c r="BZ229" t="s">
        <v>3641</v>
      </c>
      <c r="CA229" t="s">
        <v>3641</v>
      </c>
      <c r="CB229" t="s">
        <v>231</v>
      </c>
      <c r="CC229" t="s">
        <v>231</v>
      </c>
      <c r="CD229" t="s">
        <v>231</v>
      </c>
      <c r="CE229" t="s">
        <v>231</v>
      </c>
      <c r="CF229" t="s">
        <v>231</v>
      </c>
      <c r="CG229" t="s">
        <v>3641</v>
      </c>
      <c r="CH229" t="s">
        <v>231</v>
      </c>
      <c r="CI229" t="s">
        <v>231</v>
      </c>
      <c r="CJ229" t="s">
        <v>231</v>
      </c>
      <c r="CK229" t="s">
        <v>231</v>
      </c>
      <c r="CL229" t="s">
        <v>231</v>
      </c>
      <c r="CM229" t="s">
        <v>4628</v>
      </c>
      <c r="CN229" t="s">
        <v>4628</v>
      </c>
      <c r="CO229" t="s">
        <v>231</v>
      </c>
      <c r="CP229" t="s">
        <v>231</v>
      </c>
      <c r="CQ229" t="s">
        <v>231</v>
      </c>
      <c r="CR229" t="s">
        <v>231</v>
      </c>
      <c r="CS229" t="s">
        <v>3710</v>
      </c>
      <c r="CT229" t="s">
        <v>3534</v>
      </c>
      <c r="CU229" t="s">
        <v>3535</v>
      </c>
      <c r="CV229" t="s">
        <v>3536</v>
      </c>
      <c r="CW229" t="s">
        <v>3589</v>
      </c>
      <c r="CX229" t="s">
        <v>223</v>
      </c>
      <c r="CY229" t="s">
        <v>3536</v>
      </c>
      <c r="CZ229" t="s">
        <v>3590</v>
      </c>
      <c r="DA229" t="s">
        <v>3591</v>
      </c>
      <c r="DB229" t="s">
        <v>3589</v>
      </c>
      <c r="DC229" t="s">
        <v>363</v>
      </c>
      <c r="DD229" t="s">
        <v>282</v>
      </c>
      <c r="DE229" t="s">
        <v>4629</v>
      </c>
    </row>
    <row r="230" spans="1:109" ht="11.25" customHeight="1">
      <c r="A230" s="1314" t="s">
        <v>231</v>
      </c>
      <c r="B230" t="s">
        <v>231</v>
      </c>
      <c r="C230" t="s">
        <v>231</v>
      </c>
      <c r="D230" t="s">
        <v>231</v>
      </c>
      <c r="E230" t="s">
        <v>231</v>
      </c>
      <c r="F230" t="s">
        <v>231</v>
      </c>
      <c r="G230" t="s">
        <v>231</v>
      </c>
      <c r="H230" t="s">
        <v>231</v>
      </c>
      <c r="I230" t="s">
        <v>3521</v>
      </c>
      <c r="J230" t="s">
        <v>231</v>
      </c>
      <c r="K230" t="s">
        <v>231</v>
      </c>
      <c r="L230" t="s">
        <v>231</v>
      </c>
      <c r="M230" t="s">
        <v>231</v>
      </c>
      <c r="N230" t="s">
        <v>231</v>
      </c>
      <c r="O230" t="s">
        <v>231</v>
      </c>
      <c r="P230" t="s">
        <v>231</v>
      </c>
      <c r="Q230" t="s">
        <v>231</v>
      </c>
      <c r="R230" t="s">
        <v>3615</v>
      </c>
      <c r="S230" t="s">
        <v>231</v>
      </c>
      <c r="T230" t="s">
        <v>231</v>
      </c>
      <c r="U230" t="s">
        <v>101</v>
      </c>
      <c r="V230" t="s">
        <v>231</v>
      </c>
      <c r="W230" t="s">
        <v>231</v>
      </c>
      <c r="X230" t="s">
        <v>3523</v>
      </c>
      <c r="Y230" t="s">
        <v>231</v>
      </c>
      <c r="Z230" t="s">
        <v>160</v>
      </c>
      <c r="AA230" t="s">
        <v>151</v>
      </c>
      <c r="AB230" t="s">
        <v>151</v>
      </c>
      <c r="AC230" t="s">
        <v>2289</v>
      </c>
      <c r="AD230" t="s">
        <v>2289</v>
      </c>
      <c r="AE230" t="s">
        <v>2290</v>
      </c>
      <c r="AF230" t="s">
        <v>4630</v>
      </c>
      <c r="AG230" t="s">
        <v>4631</v>
      </c>
      <c r="AH230" t="s">
        <v>3799</v>
      </c>
      <c r="AI230" t="s">
        <v>4632</v>
      </c>
      <c r="AJ230" t="s">
        <v>3619</v>
      </c>
      <c r="AK230" t="s">
        <v>3586</v>
      </c>
      <c r="AL230" t="s">
        <v>3548</v>
      </c>
      <c r="AM230" t="s">
        <v>3531</v>
      </c>
      <c r="AN230" t="s">
        <v>3595</v>
      </c>
      <c r="AO230" t="s">
        <v>3796</v>
      </c>
      <c r="AP230" t="s">
        <v>231</v>
      </c>
      <c r="AQ230" t="s">
        <v>231</v>
      </c>
      <c r="AR230" t="s">
        <v>231</v>
      </c>
      <c r="AS230" t="s">
        <v>231</v>
      </c>
      <c r="AT230" t="s">
        <v>231</v>
      </c>
      <c r="AU230" t="s">
        <v>231</v>
      </c>
      <c r="AV230" t="s">
        <v>231</v>
      </c>
      <c r="AW230" t="s">
        <v>231</v>
      </c>
      <c r="AX230" t="s">
        <v>231</v>
      </c>
      <c r="AY230" t="s">
        <v>231</v>
      </c>
      <c r="AZ230" t="s">
        <v>231</v>
      </c>
      <c r="BA230" t="s">
        <v>231</v>
      </c>
      <c r="BB230" t="s">
        <v>231</v>
      </c>
      <c r="BC230" t="s">
        <v>231</v>
      </c>
      <c r="BD230" t="s">
        <v>231</v>
      </c>
      <c r="BE230" t="s">
        <v>231</v>
      </c>
      <c r="BF230" t="s">
        <v>231</v>
      </c>
      <c r="BG230" t="s">
        <v>231</v>
      </c>
      <c r="BH230" t="s">
        <v>231</v>
      </c>
      <c r="BI230" t="s">
        <v>231</v>
      </c>
      <c r="BJ230" t="s">
        <v>231</v>
      </c>
      <c r="BK230" t="s">
        <v>231</v>
      </c>
      <c r="BL230" t="s">
        <v>231</v>
      </c>
      <c r="BM230" t="s">
        <v>231</v>
      </c>
      <c r="BN230" t="s">
        <v>231</v>
      </c>
      <c r="BO230" t="s">
        <v>231</v>
      </c>
      <c r="BP230" t="s">
        <v>231</v>
      </c>
      <c r="BQ230" t="s">
        <v>231</v>
      </c>
      <c r="BR230" t="s">
        <v>231</v>
      </c>
      <c r="BS230" t="s">
        <v>231</v>
      </c>
      <c r="BT230" t="s">
        <v>231</v>
      </c>
      <c r="BU230" t="s">
        <v>231</v>
      </c>
      <c r="BV230" t="s">
        <v>231</v>
      </c>
      <c r="BW230" t="s">
        <v>231</v>
      </c>
      <c r="BX230" t="s">
        <v>231</v>
      </c>
      <c r="BY230" t="s">
        <v>231</v>
      </c>
      <c r="BZ230" t="s">
        <v>231</v>
      </c>
      <c r="CA230" t="s">
        <v>231</v>
      </c>
      <c r="CB230" t="s">
        <v>231</v>
      </c>
      <c r="CC230" t="s">
        <v>231</v>
      </c>
      <c r="CD230" t="s">
        <v>231</v>
      </c>
      <c r="CE230" t="s">
        <v>231</v>
      </c>
      <c r="CF230" t="s">
        <v>231</v>
      </c>
      <c r="CG230" t="s">
        <v>231</v>
      </c>
      <c r="CH230" t="s">
        <v>231</v>
      </c>
      <c r="CI230" t="s">
        <v>231</v>
      </c>
      <c r="CJ230" t="s">
        <v>231</v>
      </c>
      <c r="CK230" t="s">
        <v>231</v>
      </c>
      <c r="CL230" t="s">
        <v>231</v>
      </c>
      <c r="CM230" t="s">
        <v>231</v>
      </c>
      <c r="CN230" t="s">
        <v>231</v>
      </c>
      <c r="CO230" t="s">
        <v>231</v>
      </c>
      <c r="CP230" t="s">
        <v>231</v>
      </c>
      <c r="CQ230" t="s">
        <v>231</v>
      </c>
      <c r="CR230" t="s">
        <v>231</v>
      </c>
      <c r="CS230" t="s">
        <v>231</v>
      </c>
      <c r="CT230" t="s">
        <v>3534</v>
      </c>
      <c r="CU230" t="s">
        <v>3535</v>
      </c>
      <c r="CV230" t="s">
        <v>3536</v>
      </c>
      <c r="CW230" t="s">
        <v>3589</v>
      </c>
      <c r="CX230" t="s">
        <v>223</v>
      </c>
      <c r="CY230" t="s">
        <v>3536</v>
      </c>
      <c r="CZ230" t="s">
        <v>3590</v>
      </c>
      <c r="DA230" t="s">
        <v>3591</v>
      </c>
      <c r="DB230" t="s">
        <v>3589</v>
      </c>
      <c r="DC230" t="s">
        <v>363</v>
      </c>
      <c r="DD230" t="s">
        <v>282</v>
      </c>
      <c r="DE230" t="s">
        <v>4633</v>
      </c>
    </row>
    <row r="231" spans="1:109" ht="11.25" customHeight="1">
      <c r="A231" s="1314" t="s">
        <v>231</v>
      </c>
      <c r="B231" t="s">
        <v>231</v>
      </c>
      <c r="C231" t="s">
        <v>231</v>
      </c>
      <c r="D231" t="s">
        <v>231</v>
      </c>
      <c r="E231" t="s">
        <v>231</v>
      </c>
      <c r="F231" t="s">
        <v>231</v>
      </c>
      <c r="G231" t="s">
        <v>231</v>
      </c>
      <c r="H231" t="s">
        <v>231</v>
      </c>
      <c r="I231" t="s">
        <v>3521</v>
      </c>
      <c r="J231" t="s">
        <v>231</v>
      </c>
      <c r="K231" t="s">
        <v>231</v>
      </c>
      <c r="L231" t="s">
        <v>231</v>
      </c>
      <c r="M231" t="s">
        <v>231</v>
      </c>
      <c r="N231" t="s">
        <v>231</v>
      </c>
      <c r="O231" t="s">
        <v>231</v>
      </c>
      <c r="P231" t="s">
        <v>231</v>
      </c>
      <c r="Q231" t="s">
        <v>231</v>
      </c>
      <c r="R231" t="s">
        <v>4634</v>
      </c>
      <c r="S231" t="s">
        <v>231</v>
      </c>
      <c r="T231" t="s">
        <v>231</v>
      </c>
      <c r="U231" t="s">
        <v>101</v>
      </c>
      <c r="V231" t="s">
        <v>231</v>
      </c>
      <c r="W231" t="s">
        <v>231</v>
      </c>
      <c r="X231" t="s">
        <v>3628</v>
      </c>
      <c r="Y231" t="s">
        <v>231</v>
      </c>
      <c r="Z231" t="s">
        <v>151</v>
      </c>
      <c r="AA231" t="s">
        <v>151</v>
      </c>
      <c r="AB231" t="s">
        <v>160</v>
      </c>
      <c r="AC231" t="s">
        <v>2289</v>
      </c>
      <c r="AD231" t="s">
        <v>2289</v>
      </c>
      <c r="AE231" t="s">
        <v>2290</v>
      </c>
      <c r="AF231" t="s">
        <v>4630</v>
      </c>
      <c r="AG231" t="s">
        <v>4631</v>
      </c>
      <c r="AH231" t="s">
        <v>3618</v>
      </c>
      <c r="AI231" t="s">
        <v>3618</v>
      </c>
      <c r="AJ231" t="s">
        <v>231</v>
      </c>
      <c r="AK231" t="s">
        <v>231</v>
      </c>
      <c r="AL231" t="s">
        <v>231</v>
      </c>
      <c r="AM231" t="s">
        <v>231</v>
      </c>
      <c r="AN231" t="s">
        <v>231</v>
      </c>
      <c r="AO231" t="s">
        <v>231</v>
      </c>
      <c r="AP231" t="s">
        <v>231</v>
      </c>
      <c r="AQ231" t="s">
        <v>231</v>
      </c>
      <c r="AR231" t="s">
        <v>231</v>
      </c>
      <c r="AS231" t="s">
        <v>231</v>
      </c>
      <c r="AT231" t="s">
        <v>231</v>
      </c>
      <c r="AU231" t="s">
        <v>231</v>
      </c>
      <c r="AV231" t="s">
        <v>231</v>
      </c>
      <c r="AW231" t="s">
        <v>231</v>
      </c>
      <c r="AX231" t="s">
        <v>231</v>
      </c>
      <c r="AY231" t="s">
        <v>231</v>
      </c>
      <c r="AZ231" t="s">
        <v>231</v>
      </c>
      <c r="BA231" t="s">
        <v>231</v>
      </c>
      <c r="BB231" t="s">
        <v>231</v>
      </c>
      <c r="BC231" t="s">
        <v>231</v>
      </c>
      <c r="BD231" t="s">
        <v>231</v>
      </c>
      <c r="BE231" t="s">
        <v>3619</v>
      </c>
      <c r="BF231" t="s">
        <v>3586</v>
      </c>
      <c r="BG231" t="s">
        <v>111</v>
      </c>
      <c r="BH231" t="s">
        <v>3632</v>
      </c>
      <c r="BI231" t="s">
        <v>122</v>
      </c>
      <c r="BJ231" t="s">
        <v>231</v>
      </c>
      <c r="BK231" t="s">
        <v>3651</v>
      </c>
      <c r="BL231" t="s">
        <v>2289</v>
      </c>
      <c r="BM231" t="s">
        <v>2289</v>
      </c>
      <c r="BN231" t="s">
        <v>3707</v>
      </c>
      <c r="BO231" t="s">
        <v>4630</v>
      </c>
      <c r="BP231" t="s">
        <v>4635</v>
      </c>
      <c r="BQ231" t="s">
        <v>3618</v>
      </c>
      <c r="BR231" t="s">
        <v>3618</v>
      </c>
      <c r="BS231" t="s">
        <v>231</v>
      </c>
      <c r="BT231" t="s">
        <v>3694</v>
      </c>
      <c r="BU231" t="s">
        <v>4636</v>
      </c>
      <c r="BV231" t="s">
        <v>4636</v>
      </c>
      <c r="BW231" t="s">
        <v>3641</v>
      </c>
      <c r="BX231" t="s">
        <v>3641</v>
      </c>
      <c r="BY231" t="s">
        <v>3641</v>
      </c>
      <c r="BZ231" t="s">
        <v>3641</v>
      </c>
      <c r="CA231" t="s">
        <v>3641</v>
      </c>
      <c r="CB231" t="s">
        <v>231</v>
      </c>
      <c r="CC231" t="s">
        <v>231</v>
      </c>
      <c r="CD231" t="s">
        <v>231</v>
      </c>
      <c r="CE231" t="s">
        <v>231</v>
      </c>
      <c r="CF231" t="s">
        <v>231</v>
      </c>
      <c r="CG231" t="s">
        <v>3641</v>
      </c>
      <c r="CH231" t="s">
        <v>231</v>
      </c>
      <c r="CI231" t="s">
        <v>231</v>
      </c>
      <c r="CJ231" t="s">
        <v>231</v>
      </c>
      <c r="CK231" t="s">
        <v>231</v>
      </c>
      <c r="CL231" t="s">
        <v>231</v>
      </c>
      <c r="CM231" t="s">
        <v>4636</v>
      </c>
      <c r="CN231" t="s">
        <v>4636</v>
      </c>
      <c r="CO231" t="s">
        <v>231</v>
      </c>
      <c r="CP231" t="s">
        <v>231</v>
      </c>
      <c r="CQ231" t="s">
        <v>231</v>
      </c>
      <c r="CR231" t="s">
        <v>231</v>
      </c>
      <c r="CS231" t="s">
        <v>3710</v>
      </c>
      <c r="CT231" t="s">
        <v>3534</v>
      </c>
      <c r="CU231" t="s">
        <v>3535</v>
      </c>
      <c r="CV231" t="s">
        <v>3536</v>
      </c>
      <c r="CW231" t="s">
        <v>3589</v>
      </c>
      <c r="CX231" t="s">
        <v>223</v>
      </c>
      <c r="CY231" t="s">
        <v>3536</v>
      </c>
      <c r="CZ231" t="s">
        <v>3590</v>
      </c>
      <c r="DA231" t="s">
        <v>3591</v>
      </c>
      <c r="DB231" t="s">
        <v>3589</v>
      </c>
      <c r="DC231" t="s">
        <v>363</v>
      </c>
      <c r="DD231" t="s">
        <v>282</v>
      </c>
      <c r="DE231" t="s">
        <v>4637</v>
      </c>
    </row>
    <row r="232" spans="1:109" ht="11.25" customHeight="1">
      <c r="A232" s="1314" t="s">
        <v>231</v>
      </c>
      <c r="B232" t="s">
        <v>231</v>
      </c>
      <c r="C232" t="s">
        <v>231</v>
      </c>
      <c r="D232" t="s">
        <v>231</v>
      </c>
      <c r="E232" t="s">
        <v>231</v>
      </c>
      <c r="F232" t="s">
        <v>231</v>
      </c>
      <c r="G232" t="s">
        <v>231</v>
      </c>
      <c r="H232" t="s">
        <v>231</v>
      </c>
      <c r="I232" t="s">
        <v>3521</v>
      </c>
      <c r="J232" t="s">
        <v>231</v>
      </c>
      <c r="K232" t="s">
        <v>231</v>
      </c>
      <c r="L232" t="s">
        <v>231</v>
      </c>
      <c r="M232" t="s">
        <v>231</v>
      </c>
      <c r="N232" t="s">
        <v>231</v>
      </c>
      <c r="O232" t="s">
        <v>231</v>
      </c>
      <c r="P232" t="s">
        <v>231</v>
      </c>
      <c r="Q232" t="s">
        <v>231</v>
      </c>
      <c r="R232" t="s">
        <v>3615</v>
      </c>
      <c r="S232" t="s">
        <v>231</v>
      </c>
      <c r="T232" t="s">
        <v>231</v>
      </c>
      <c r="U232" t="s">
        <v>101</v>
      </c>
      <c r="V232" t="s">
        <v>231</v>
      </c>
      <c r="W232" t="s">
        <v>231</v>
      </c>
      <c r="X232" t="s">
        <v>3523</v>
      </c>
      <c r="Y232" t="s">
        <v>231</v>
      </c>
      <c r="Z232" t="s">
        <v>160</v>
      </c>
      <c r="AA232" t="s">
        <v>151</v>
      </c>
      <c r="AB232" t="s">
        <v>151</v>
      </c>
      <c r="AC232" t="s">
        <v>2289</v>
      </c>
      <c r="AD232" t="s">
        <v>2289</v>
      </c>
      <c r="AE232" t="s">
        <v>2290</v>
      </c>
      <c r="AF232" t="s">
        <v>3930</v>
      </c>
      <c r="AG232" t="s">
        <v>3931</v>
      </c>
      <c r="AH232" t="s">
        <v>4439</v>
      </c>
      <c r="AI232" t="s">
        <v>4613</v>
      </c>
      <c r="AJ232" t="s">
        <v>3594</v>
      </c>
      <c r="AK232" t="s">
        <v>3586</v>
      </c>
      <c r="AL232" t="s">
        <v>3548</v>
      </c>
      <c r="AM232" t="s">
        <v>3531</v>
      </c>
      <c r="AN232" t="s">
        <v>3595</v>
      </c>
      <c r="AO232" t="s">
        <v>3790</v>
      </c>
      <c r="AP232" t="s">
        <v>231</v>
      </c>
      <c r="AQ232" t="s">
        <v>231</v>
      </c>
      <c r="AR232" t="s">
        <v>231</v>
      </c>
      <c r="AS232" t="s">
        <v>231</v>
      </c>
      <c r="AT232" t="s">
        <v>231</v>
      </c>
      <c r="AU232" t="s">
        <v>231</v>
      </c>
      <c r="AV232" t="s">
        <v>231</v>
      </c>
      <c r="AW232" t="s">
        <v>231</v>
      </c>
      <c r="AX232" t="s">
        <v>231</v>
      </c>
      <c r="AY232" t="s">
        <v>231</v>
      </c>
      <c r="AZ232" t="s">
        <v>231</v>
      </c>
      <c r="BA232" t="s">
        <v>231</v>
      </c>
      <c r="BB232" t="s">
        <v>231</v>
      </c>
      <c r="BC232" t="s">
        <v>231</v>
      </c>
      <c r="BD232" t="s">
        <v>231</v>
      </c>
      <c r="BE232" t="s">
        <v>231</v>
      </c>
      <c r="BF232" t="s">
        <v>231</v>
      </c>
      <c r="BG232" t="s">
        <v>231</v>
      </c>
      <c r="BH232" t="s">
        <v>231</v>
      </c>
      <c r="BI232" t="s">
        <v>231</v>
      </c>
      <c r="BJ232" t="s">
        <v>231</v>
      </c>
      <c r="BK232" t="s">
        <v>231</v>
      </c>
      <c r="BL232" t="s">
        <v>231</v>
      </c>
      <c r="BM232" t="s">
        <v>231</v>
      </c>
      <c r="BN232" t="s">
        <v>231</v>
      </c>
      <c r="BO232" t="s">
        <v>231</v>
      </c>
      <c r="BP232" t="s">
        <v>231</v>
      </c>
      <c r="BQ232" t="s">
        <v>231</v>
      </c>
      <c r="BR232" t="s">
        <v>231</v>
      </c>
      <c r="BS232" t="s">
        <v>231</v>
      </c>
      <c r="BT232" t="s">
        <v>231</v>
      </c>
      <c r="BU232" t="s">
        <v>231</v>
      </c>
      <c r="BV232" t="s">
        <v>231</v>
      </c>
      <c r="BW232" t="s">
        <v>231</v>
      </c>
      <c r="BX232" t="s">
        <v>231</v>
      </c>
      <c r="BY232" t="s">
        <v>231</v>
      </c>
      <c r="BZ232" t="s">
        <v>231</v>
      </c>
      <c r="CA232" t="s">
        <v>231</v>
      </c>
      <c r="CB232" t="s">
        <v>231</v>
      </c>
      <c r="CC232" t="s">
        <v>231</v>
      </c>
      <c r="CD232" t="s">
        <v>231</v>
      </c>
      <c r="CE232" t="s">
        <v>231</v>
      </c>
      <c r="CF232" t="s">
        <v>231</v>
      </c>
      <c r="CG232" t="s">
        <v>231</v>
      </c>
      <c r="CH232" t="s">
        <v>231</v>
      </c>
      <c r="CI232" t="s">
        <v>231</v>
      </c>
      <c r="CJ232" t="s">
        <v>231</v>
      </c>
      <c r="CK232" t="s">
        <v>231</v>
      </c>
      <c r="CL232" t="s">
        <v>231</v>
      </c>
      <c r="CM232" t="s">
        <v>231</v>
      </c>
      <c r="CN232" t="s">
        <v>231</v>
      </c>
      <c r="CO232" t="s">
        <v>231</v>
      </c>
      <c r="CP232" t="s">
        <v>231</v>
      </c>
      <c r="CQ232" t="s">
        <v>231</v>
      </c>
      <c r="CR232" t="s">
        <v>231</v>
      </c>
      <c r="CS232" t="s">
        <v>231</v>
      </c>
      <c r="CT232" t="s">
        <v>3534</v>
      </c>
      <c r="CU232" t="s">
        <v>3535</v>
      </c>
      <c r="CV232" t="s">
        <v>3536</v>
      </c>
      <c r="CW232" t="s">
        <v>3589</v>
      </c>
      <c r="CX232" t="s">
        <v>223</v>
      </c>
      <c r="CY232" t="s">
        <v>3536</v>
      </c>
      <c r="CZ232" t="s">
        <v>3590</v>
      </c>
      <c r="DA232" t="s">
        <v>3591</v>
      </c>
      <c r="DB232" t="s">
        <v>3589</v>
      </c>
      <c r="DC232" t="s">
        <v>363</v>
      </c>
      <c r="DD232" t="s">
        <v>282</v>
      </c>
      <c r="DE232" t="s">
        <v>4638</v>
      </c>
    </row>
    <row r="233" spans="1:109" ht="11.25" customHeight="1">
      <c r="A233" s="1314" t="s">
        <v>231</v>
      </c>
      <c r="B233" t="s">
        <v>231</v>
      </c>
      <c r="C233" t="s">
        <v>231</v>
      </c>
      <c r="D233" t="s">
        <v>231</v>
      </c>
      <c r="E233" t="s">
        <v>231</v>
      </c>
      <c r="F233" t="s">
        <v>231</v>
      </c>
      <c r="G233" t="s">
        <v>231</v>
      </c>
      <c r="H233" t="s">
        <v>231</v>
      </c>
      <c r="I233" t="s">
        <v>3521</v>
      </c>
      <c r="J233" t="s">
        <v>231</v>
      </c>
      <c r="K233" t="s">
        <v>231</v>
      </c>
      <c r="L233" t="s">
        <v>231</v>
      </c>
      <c r="M233" t="s">
        <v>231</v>
      </c>
      <c r="N233" t="s">
        <v>231</v>
      </c>
      <c r="O233" t="s">
        <v>231</v>
      </c>
      <c r="P233" t="s">
        <v>231</v>
      </c>
      <c r="Q233" t="s">
        <v>231</v>
      </c>
      <c r="R233" t="s">
        <v>4639</v>
      </c>
      <c r="S233" t="s">
        <v>231</v>
      </c>
      <c r="T233" t="s">
        <v>231</v>
      </c>
      <c r="U233" t="s">
        <v>101</v>
      </c>
      <c r="V233" t="s">
        <v>231</v>
      </c>
      <c r="W233" t="s">
        <v>231</v>
      </c>
      <c r="X233" t="s">
        <v>3523</v>
      </c>
      <c r="Y233" t="s">
        <v>231</v>
      </c>
      <c r="Z233" t="s">
        <v>160</v>
      </c>
      <c r="AA233" t="s">
        <v>151</v>
      </c>
      <c r="AB233" t="s">
        <v>151</v>
      </c>
      <c r="AC233" t="s">
        <v>343</v>
      </c>
      <c r="AD233" t="s">
        <v>343</v>
      </c>
      <c r="AE233" t="s">
        <v>344</v>
      </c>
      <c r="AF233" t="s">
        <v>3561</v>
      </c>
      <c r="AG233" t="s">
        <v>3562</v>
      </c>
      <c r="AH233" t="s">
        <v>4640</v>
      </c>
      <c r="AI233" t="s">
        <v>3978</v>
      </c>
      <c r="AJ233" t="s">
        <v>3918</v>
      </c>
      <c r="AK233" t="s">
        <v>4641</v>
      </c>
      <c r="AL233" t="s">
        <v>3566</v>
      </c>
      <c r="AM233" t="s">
        <v>3531</v>
      </c>
      <c r="AN233" t="s">
        <v>4642</v>
      </c>
      <c r="AO233" t="s">
        <v>4643</v>
      </c>
      <c r="AP233" t="s">
        <v>231</v>
      </c>
      <c r="AQ233" t="s">
        <v>231</v>
      </c>
      <c r="AR233" t="s">
        <v>231</v>
      </c>
      <c r="AS233" t="s">
        <v>231</v>
      </c>
      <c r="AT233" t="s">
        <v>231</v>
      </c>
      <c r="AU233" t="s">
        <v>231</v>
      </c>
      <c r="AV233" t="s">
        <v>231</v>
      </c>
      <c r="AW233" t="s">
        <v>231</v>
      </c>
      <c r="AX233" t="s">
        <v>231</v>
      </c>
      <c r="AY233" t="s">
        <v>231</v>
      </c>
      <c r="AZ233" t="s">
        <v>231</v>
      </c>
      <c r="BA233" t="s">
        <v>231</v>
      </c>
      <c r="BB233" t="s">
        <v>231</v>
      </c>
      <c r="BC233" t="s">
        <v>231</v>
      </c>
      <c r="BD233" t="s">
        <v>231</v>
      </c>
      <c r="BE233" t="s">
        <v>231</v>
      </c>
      <c r="BF233" t="s">
        <v>231</v>
      </c>
      <c r="BG233" t="s">
        <v>231</v>
      </c>
      <c r="BH233" t="s">
        <v>231</v>
      </c>
      <c r="BI233" t="s">
        <v>231</v>
      </c>
      <c r="BJ233" t="s">
        <v>231</v>
      </c>
      <c r="BK233" t="s">
        <v>231</v>
      </c>
      <c r="BL233" t="s">
        <v>231</v>
      </c>
      <c r="BM233" t="s">
        <v>231</v>
      </c>
      <c r="BN233" t="s">
        <v>231</v>
      </c>
      <c r="BO233" t="s">
        <v>231</v>
      </c>
      <c r="BP233" t="s">
        <v>231</v>
      </c>
      <c r="BQ233" t="s">
        <v>231</v>
      </c>
      <c r="BR233" t="s">
        <v>231</v>
      </c>
      <c r="BS233" t="s">
        <v>231</v>
      </c>
      <c r="BT233" t="s">
        <v>231</v>
      </c>
      <c r="BU233" t="s">
        <v>231</v>
      </c>
      <c r="BV233" t="s">
        <v>231</v>
      </c>
      <c r="BW233" t="s">
        <v>231</v>
      </c>
      <c r="BX233" t="s">
        <v>231</v>
      </c>
      <c r="BY233" t="s">
        <v>231</v>
      </c>
      <c r="BZ233" t="s">
        <v>231</v>
      </c>
      <c r="CA233" t="s">
        <v>231</v>
      </c>
      <c r="CB233" t="s">
        <v>231</v>
      </c>
      <c r="CC233" t="s">
        <v>231</v>
      </c>
      <c r="CD233" t="s">
        <v>231</v>
      </c>
      <c r="CE233" t="s">
        <v>231</v>
      </c>
      <c r="CF233" t="s">
        <v>231</v>
      </c>
      <c r="CG233" t="s">
        <v>231</v>
      </c>
      <c r="CH233" t="s">
        <v>231</v>
      </c>
      <c r="CI233" t="s">
        <v>231</v>
      </c>
      <c r="CJ233" t="s">
        <v>231</v>
      </c>
      <c r="CK233" t="s">
        <v>231</v>
      </c>
      <c r="CL233" t="s">
        <v>231</v>
      </c>
      <c r="CM233" t="s">
        <v>231</v>
      </c>
      <c r="CN233" t="s">
        <v>231</v>
      </c>
      <c r="CO233" t="s">
        <v>231</v>
      </c>
      <c r="CP233" t="s">
        <v>231</v>
      </c>
      <c r="CQ233" t="s">
        <v>231</v>
      </c>
      <c r="CR233" t="s">
        <v>231</v>
      </c>
      <c r="CS233" t="s">
        <v>231</v>
      </c>
      <c r="CT233" t="s">
        <v>3534</v>
      </c>
      <c r="CU233" t="s">
        <v>3535</v>
      </c>
      <c r="CV233" t="s">
        <v>3536</v>
      </c>
      <c r="CW233" t="s">
        <v>3569</v>
      </c>
      <c r="CX233" t="s">
        <v>3570</v>
      </c>
      <c r="CY233" t="s">
        <v>3536</v>
      </c>
      <c r="CZ233" t="s">
        <v>224</v>
      </c>
      <c r="DA233" t="s">
        <v>3571</v>
      </c>
      <c r="DB233" t="s">
        <v>3569</v>
      </c>
      <c r="DC233" t="s">
        <v>363</v>
      </c>
      <c r="DD233" t="s">
        <v>282</v>
      </c>
      <c r="DE233" t="s">
        <v>4644</v>
      </c>
    </row>
    <row r="234" spans="1:109" ht="11.25" customHeight="1">
      <c r="A234" s="1314" t="s">
        <v>231</v>
      </c>
      <c r="B234" t="s">
        <v>231</v>
      </c>
      <c r="C234" t="s">
        <v>231</v>
      </c>
      <c r="D234" t="s">
        <v>231</v>
      </c>
      <c r="E234" t="s">
        <v>231</v>
      </c>
      <c r="F234" t="s">
        <v>231</v>
      </c>
      <c r="G234" t="s">
        <v>231</v>
      </c>
      <c r="H234" t="s">
        <v>231</v>
      </c>
      <c r="I234" t="s">
        <v>3521</v>
      </c>
      <c r="J234" t="s">
        <v>231</v>
      </c>
      <c r="K234" t="s">
        <v>231</v>
      </c>
      <c r="L234" t="s">
        <v>231</v>
      </c>
      <c r="M234" t="s">
        <v>231</v>
      </c>
      <c r="N234" t="s">
        <v>231</v>
      </c>
      <c r="O234" t="s">
        <v>231</v>
      </c>
      <c r="P234" t="s">
        <v>231</v>
      </c>
      <c r="Q234" t="s">
        <v>231</v>
      </c>
      <c r="R234" t="s">
        <v>4645</v>
      </c>
      <c r="S234" t="s">
        <v>231</v>
      </c>
      <c r="T234" t="s">
        <v>231</v>
      </c>
      <c r="U234" t="s">
        <v>101</v>
      </c>
      <c r="V234" t="s">
        <v>231</v>
      </c>
      <c r="W234" t="s">
        <v>231</v>
      </c>
      <c r="X234" t="s">
        <v>3523</v>
      </c>
      <c r="Y234" t="s">
        <v>231</v>
      </c>
      <c r="Z234" t="s">
        <v>160</v>
      </c>
      <c r="AA234" t="s">
        <v>151</v>
      </c>
      <c r="AB234" t="s">
        <v>151</v>
      </c>
      <c r="AC234" t="s">
        <v>2289</v>
      </c>
      <c r="AD234" t="s">
        <v>2289</v>
      </c>
      <c r="AE234" t="s">
        <v>2290</v>
      </c>
      <c r="AF234" t="s">
        <v>3930</v>
      </c>
      <c r="AG234" t="s">
        <v>3931</v>
      </c>
      <c r="AH234" t="s">
        <v>4439</v>
      </c>
      <c r="AI234" t="s">
        <v>3754</v>
      </c>
      <c r="AJ234" t="s">
        <v>3594</v>
      </c>
      <c r="AK234" t="s">
        <v>3820</v>
      </c>
      <c r="AL234" t="s">
        <v>3548</v>
      </c>
      <c r="AM234" t="s">
        <v>3531</v>
      </c>
      <c r="AN234" t="s">
        <v>3595</v>
      </c>
      <c r="AO234" t="s">
        <v>3933</v>
      </c>
      <c r="AP234" t="s">
        <v>231</v>
      </c>
      <c r="AQ234" t="s">
        <v>231</v>
      </c>
      <c r="AR234" t="s">
        <v>231</v>
      </c>
      <c r="AS234" t="s">
        <v>231</v>
      </c>
      <c r="AT234" t="s">
        <v>231</v>
      </c>
      <c r="AU234" t="s">
        <v>231</v>
      </c>
      <c r="AV234" t="s">
        <v>231</v>
      </c>
      <c r="AW234" t="s">
        <v>231</v>
      </c>
      <c r="AX234" t="s">
        <v>231</v>
      </c>
      <c r="AY234" t="s">
        <v>231</v>
      </c>
      <c r="AZ234" t="s">
        <v>231</v>
      </c>
      <c r="BA234" t="s">
        <v>231</v>
      </c>
      <c r="BB234" t="s">
        <v>231</v>
      </c>
      <c r="BC234" t="s">
        <v>231</v>
      </c>
      <c r="BD234" t="s">
        <v>231</v>
      </c>
      <c r="BE234" t="s">
        <v>231</v>
      </c>
      <c r="BF234" t="s">
        <v>231</v>
      </c>
      <c r="BG234" t="s">
        <v>231</v>
      </c>
      <c r="BH234" t="s">
        <v>231</v>
      </c>
      <c r="BI234" t="s">
        <v>231</v>
      </c>
      <c r="BJ234" t="s">
        <v>231</v>
      </c>
      <c r="BK234" t="s">
        <v>231</v>
      </c>
      <c r="BL234" t="s">
        <v>231</v>
      </c>
      <c r="BM234" t="s">
        <v>231</v>
      </c>
      <c r="BN234" t="s">
        <v>231</v>
      </c>
      <c r="BO234" t="s">
        <v>231</v>
      </c>
      <c r="BP234" t="s">
        <v>231</v>
      </c>
      <c r="BQ234" t="s">
        <v>231</v>
      </c>
      <c r="BR234" t="s">
        <v>231</v>
      </c>
      <c r="BS234" t="s">
        <v>231</v>
      </c>
      <c r="BT234" t="s">
        <v>231</v>
      </c>
      <c r="BU234" t="s">
        <v>231</v>
      </c>
      <c r="BV234" t="s">
        <v>231</v>
      </c>
      <c r="BW234" t="s">
        <v>231</v>
      </c>
      <c r="BX234" t="s">
        <v>231</v>
      </c>
      <c r="BY234" t="s">
        <v>231</v>
      </c>
      <c r="BZ234" t="s">
        <v>231</v>
      </c>
      <c r="CA234" t="s">
        <v>231</v>
      </c>
      <c r="CB234" t="s">
        <v>231</v>
      </c>
      <c r="CC234" t="s">
        <v>231</v>
      </c>
      <c r="CD234" t="s">
        <v>231</v>
      </c>
      <c r="CE234" t="s">
        <v>231</v>
      </c>
      <c r="CF234" t="s">
        <v>231</v>
      </c>
      <c r="CG234" t="s">
        <v>231</v>
      </c>
      <c r="CH234" t="s">
        <v>231</v>
      </c>
      <c r="CI234" t="s">
        <v>231</v>
      </c>
      <c r="CJ234" t="s">
        <v>231</v>
      </c>
      <c r="CK234" t="s">
        <v>231</v>
      </c>
      <c r="CL234" t="s">
        <v>231</v>
      </c>
      <c r="CM234" t="s">
        <v>231</v>
      </c>
      <c r="CN234" t="s">
        <v>231</v>
      </c>
      <c r="CO234" t="s">
        <v>231</v>
      </c>
      <c r="CP234" t="s">
        <v>231</v>
      </c>
      <c r="CQ234" t="s">
        <v>231</v>
      </c>
      <c r="CR234" t="s">
        <v>231</v>
      </c>
      <c r="CS234" t="s">
        <v>231</v>
      </c>
      <c r="CT234" t="s">
        <v>3534</v>
      </c>
      <c r="CU234" t="s">
        <v>3535</v>
      </c>
      <c r="CV234" t="s">
        <v>3536</v>
      </c>
      <c r="CW234" t="s">
        <v>3589</v>
      </c>
      <c r="CX234" t="s">
        <v>223</v>
      </c>
      <c r="CY234" t="s">
        <v>3536</v>
      </c>
      <c r="CZ234" t="s">
        <v>3590</v>
      </c>
      <c r="DA234" t="s">
        <v>3591</v>
      </c>
      <c r="DB234" t="s">
        <v>3589</v>
      </c>
      <c r="DC234" t="s">
        <v>363</v>
      </c>
      <c r="DD234" t="s">
        <v>282</v>
      </c>
      <c r="DE234" t="s">
        <v>4646</v>
      </c>
    </row>
    <row r="235" spans="1:109" ht="11.25" customHeight="1">
      <c r="A235" s="1314" t="s">
        <v>231</v>
      </c>
      <c r="B235" t="s">
        <v>231</v>
      </c>
      <c r="C235" t="s">
        <v>231</v>
      </c>
      <c r="D235" t="s">
        <v>231</v>
      </c>
      <c r="E235" t="s">
        <v>231</v>
      </c>
      <c r="F235" t="s">
        <v>231</v>
      </c>
      <c r="G235" t="s">
        <v>231</v>
      </c>
      <c r="H235" t="s">
        <v>231</v>
      </c>
      <c r="I235" t="s">
        <v>3521</v>
      </c>
      <c r="J235" t="s">
        <v>231</v>
      </c>
      <c r="K235" t="s">
        <v>231</v>
      </c>
      <c r="L235" t="s">
        <v>231</v>
      </c>
      <c r="M235" t="s">
        <v>231</v>
      </c>
      <c r="N235" t="s">
        <v>231</v>
      </c>
      <c r="O235" t="s">
        <v>231</v>
      </c>
      <c r="P235" t="s">
        <v>231</v>
      </c>
      <c r="Q235" t="s">
        <v>231</v>
      </c>
      <c r="R235" t="s">
        <v>3615</v>
      </c>
      <c r="S235" t="s">
        <v>231</v>
      </c>
      <c r="T235" t="s">
        <v>231</v>
      </c>
      <c r="U235" t="s">
        <v>101</v>
      </c>
      <c r="V235" t="s">
        <v>231</v>
      </c>
      <c r="W235" t="s">
        <v>231</v>
      </c>
      <c r="X235" t="s">
        <v>3523</v>
      </c>
      <c r="Y235" t="s">
        <v>231</v>
      </c>
      <c r="Z235" t="s">
        <v>160</v>
      </c>
      <c r="AA235" t="s">
        <v>151</v>
      </c>
      <c r="AB235" t="s">
        <v>151</v>
      </c>
      <c r="AC235" t="s">
        <v>2289</v>
      </c>
      <c r="AD235" t="s">
        <v>2289</v>
      </c>
      <c r="AE235" t="s">
        <v>2290</v>
      </c>
      <c r="AF235" t="s">
        <v>3793</v>
      </c>
      <c r="AG235" t="s">
        <v>3794</v>
      </c>
      <c r="AH235" t="s">
        <v>4647</v>
      </c>
      <c r="AI235" t="s">
        <v>4648</v>
      </c>
      <c r="AJ235" t="s">
        <v>3546</v>
      </c>
      <c r="AK235" t="s">
        <v>3775</v>
      </c>
      <c r="AL235" t="s">
        <v>3548</v>
      </c>
      <c r="AM235" t="s">
        <v>3531</v>
      </c>
      <c r="AN235" t="s">
        <v>3595</v>
      </c>
      <c r="AO235" t="s">
        <v>3790</v>
      </c>
      <c r="AP235" t="s">
        <v>231</v>
      </c>
      <c r="AQ235" t="s">
        <v>231</v>
      </c>
      <c r="AR235" t="s">
        <v>231</v>
      </c>
      <c r="AS235" t="s">
        <v>231</v>
      </c>
      <c r="AT235" t="s">
        <v>231</v>
      </c>
      <c r="AU235" t="s">
        <v>231</v>
      </c>
      <c r="AV235" t="s">
        <v>231</v>
      </c>
      <c r="AW235" t="s">
        <v>231</v>
      </c>
      <c r="AX235" t="s">
        <v>231</v>
      </c>
      <c r="AY235" t="s">
        <v>231</v>
      </c>
      <c r="AZ235" t="s">
        <v>231</v>
      </c>
      <c r="BA235" t="s">
        <v>231</v>
      </c>
      <c r="BB235" t="s">
        <v>231</v>
      </c>
      <c r="BC235" t="s">
        <v>231</v>
      </c>
      <c r="BD235" t="s">
        <v>231</v>
      </c>
      <c r="BE235" t="s">
        <v>231</v>
      </c>
      <c r="BF235" t="s">
        <v>231</v>
      </c>
      <c r="BG235" t="s">
        <v>231</v>
      </c>
      <c r="BH235" t="s">
        <v>231</v>
      </c>
      <c r="BI235" t="s">
        <v>231</v>
      </c>
      <c r="BJ235" t="s">
        <v>231</v>
      </c>
      <c r="BK235" t="s">
        <v>231</v>
      </c>
      <c r="BL235" t="s">
        <v>231</v>
      </c>
      <c r="BM235" t="s">
        <v>231</v>
      </c>
      <c r="BN235" t="s">
        <v>231</v>
      </c>
      <c r="BO235" t="s">
        <v>231</v>
      </c>
      <c r="BP235" t="s">
        <v>231</v>
      </c>
      <c r="BQ235" t="s">
        <v>231</v>
      </c>
      <c r="BR235" t="s">
        <v>231</v>
      </c>
      <c r="BS235" t="s">
        <v>231</v>
      </c>
      <c r="BT235" t="s">
        <v>231</v>
      </c>
      <c r="BU235" t="s">
        <v>231</v>
      </c>
      <c r="BV235" t="s">
        <v>231</v>
      </c>
      <c r="BW235" t="s">
        <v>231</v>
      </c>
      <c r="BX235" t="s">
        <v>231</v>
      </c>
      <c r="BY235" t="s">
        <v>231</v>
      </c>
      <c r="BZ235" t="s">
        <v>231</v>
      </c>
      <c r="CA235" t="s">
        <v>231</v>
      </c>
      <c r="CB235" t="s">
        <v>231</v>
      </c>
      <c r="CC235" t="s">
        <v>231</v>
      </c>
      <c r="CD235" t="s">
        <v>231</v>
      </c>
      <c r="CE235" t="s">
        <v>231</v>
      </c>
      <c r="CF235" t="s">
        <v>231</v>
      </c>
      <c r="CG235" t="s">
        <v>231</v>
      </c>
      <c r="CH235" t="s">
        <v>231</v>
      </c>
      <c r="CI235" t="s">
        <v>231</v>
      </c>
      <c r="CJ235" t="s">
        <v>231</v>
      </c>
      <c r="CK235" t="s">
        <v>231</v>
      </c>
      <c r="CL235" t="s">
        <v>231</v>
      </c>
      <c r="CM235" t="s">
        <v>231</v>
      </c>
      <c r="CN235" t="s">
        <v>231</v>
      </c>
      <c r="CO235" t="s">
        <v>231</v>
      </c>
      <c r="CP235" t="s">
        <v>231</v>
      </c>
      <c r="CQ235" t="s">
        <v>231</v>
      </c>
      <c r="CR235" t="s">
        <v>231</v>
      </c>
      <c r="CS235" t="s">
        <v>231</v>
      </c>
      <c r="CT235" t="s">
        <v>3534</v>
      </c>
      <c r="CU235" t="s">
        <v>3535</v>
      </c>
      <c r="CV235" t="s">
        <v>3536</v>
      </c>
      <c r="CW235" t="s">
        <v>3589</v>
      </c>
      <c r="CX235" t="s">
        <v>223</v>
      </c>
      <c r="CY235" t="s">
        <v>3536</v>
      </c>
      <c r="CZ235" t="s">
        <v>3590</v>
      </c>
      <c r="DA235" t="s">
        <v>3591</v>
      </c>
      <c r="DB235" t="s">
        <v>3589</v>
      </c>
      <c r="DC235" t="s">
        <v>363</v>
      </c>
      <c r="DD235" t="s">
        <v>282</v>
      </c>
      <c r="DE235" t="s">
        <v>4649</v>
      </c>
    </row>
    <row r="236" spans="1:109" ht="11.25" customHeight="1">
      <c r="A236" s="1314" t="s">
        <v>231</v>
      </c>
      <c r="B236" t="s">
        <v>231</v>
      </c>
      <c r="C236" t="s">
        <v>231</v>
      </c>
      <c r="D236" t="s">
        <v>231</v>
      </c>
      <c r="E236" t="s">
        <v>231</v>
      </c>
      <c r="F236" t="s">
        <v>231</v>
      </c>
      <c r="G236" t="s">
        <v>231</v>
      </c>
      <c r="H236" t="s">
        <v>231</v>
      </c>
      <c r="I236" t="s">
        <v>3521</v>
      </c>
      <c r="J236" t="s">
        <v>231</v>
      </c>
      <c r="K236" t="s">
        <v>231</v>
      </c>
      <c r="L236" t="s">
        <v>231</v>
      </c>
      <c r="M236" t="s">
        <v>231</v>
      </c>
      <c r="N236" t="s">
        <v>231</v>
      </c>
      <c r="O236" t="s">
        <v>231</v>
      </c>
      <c r="P236" t="s">
        <v>231</v>
      </c>
      <c r="Q236" t="s">
        <v>231</v>
      </c>
      <c r="R236" t="s">
        <v>3581</v>
      </c>
      <c r="S236" t="s">
        <v>231</v>
      </c>
      <c r="T236" t="s">
        <v>231</v>
      </c>
      <c r="U236" t="s">
        <v>101</v>
      </c>
      <c r="V236" t="s">
        <v>231</v>
      </c>
      <c r="W236" t="s">
        <v>231</v>
      </c>
      <c r="X236" t="s">
        <v>3523</v>
      </c>
      <c r="Y236" t="s">
        <v>231</v>
      </c>
      <c r="Z236" t="s">
        <v>160</v>
      </c>
      <c r="AA236" t="s">
        <v>151</v>
      </c>
      <c r="AB236" t="s">
        <v>151</v>
      </c>
      <c r="AC236" t="s">
        <v>2289</v>
      </c>
      <c r="AD236" t="s">
        <v>2289</v>
      </c>
      <c r="AE236" t="s">
        <v>2290</v>
      </c>
      <c r="AF236" t="s">
        <v>3793</v>
      </c>
      <c r="AG236" t="s">
        <v>3794</v>
      </c>
      <c r="AH236" t="s">
        <v>4650</v>
      </c>
      <c r="AI236" t="s">
        <v>4651</v>
      </c>
      <c r="AJ236" t="s">
        <v>4652</v>
      </c>
      <c r="AK236" t="s">
        <v>3775</v>
      </c>
      <c r="AL236" t="s">
        <v>3548</v>
      </c>
      <c r="AM236" t="s">
        <v>3531</v>
      </c>
      <c r="AN236" t="s">
        <v>3595</v>
      </c>
      <c r="AO236" t="s">
        <v>4124</v>
      </c>
      <c r="AP236" t="s">
        <v>231</v>
      </c>
      <c r="AQ236" t="s">
        <v>231</v>
      </c>
      <c r="AR236" t="s">
        <v>231</v>
      </c>
      <c r="AS236" t="s">
        <v>231</v>
      </c>
      <c r="AT236" t="s">
        <v>231</v>
      </c>
      <c r="AU236" t="s">
        <v>231</v>
      </c>
      <c r="AV236" t="s">
        <v>231</v>
      </c>
      <c r="AW236" t="s">
        <v>231</v>
      </c>
      <c r="AX236" t="s">
        <v>231</v>
      </c>
      <c r="AY236" t="s">
        <v>231</v>
      </c>
      <c r="AZ236" t="s">
        <v>231</v>
      </c>
      <c r="BA236" t="s">
        <v>231</v>
      </c>
      <c r="BB236" t="s">
        <v>231</v>
      </c>
      <c r="BC236" t="s">
        <v>231</v>
      </c>
      <c r="BD236" t="s">
        <v>231</v>
      </c>
      <c r="BE236" t="s">
        <v>231</v>
      </c>
      <c r="BF236" t="s">
        <v>231</v>
      </c>
      <c r="BG236" t="s">
        <v>231</v>
      </c>
      <c r="BH236" t="s">
        <v>231</v>
      </c>
      <c r="BI236" t="s">
        <v>231</v>
      </c>
      <c r="BJ236" t="s">
        <v>231</v>
      </c>
      <c r="BK236" t="s">
        <v>231</v>
      </c>
      <c r="BL236" t="s">
        <v>231</v>
      </c>
      <c r="BM236" t="s">
        <v>231</v>
      </c>
      <c r="BN236" t="s">
        <v>231</v>
      </c>
      <c r="BO236" t="s">
        <v>231</v>
      </c>
      <c r="BP236" t="s">
        <v>231</v>
      </c>
      <c r="BQ236" t="s">
        <v>231</v>
      </c>
      <c r="BR236" t="s">
        <v>231</v>
      </c>
      <c r="BS236" t="s">
        <v>231</v>
      </c>
      <c r="BT236" t="s">
        <v>231</v>
      </c>
      <c r="BU236" t="s">
        <v>231</v>
      </c>
      <c r="BV236" t="s">
        <v>231</v>
      </c>
      <c r="BW236" t="s">
        <v>231</v>
      </c>
      <c r="BX236" t="s">
        <v>231</v>
      </c>
      <c r="BY236" t="s">
        <v>231</v>
      </c>
      <c r="BZ236" t="s">
        <v>231</v>
      </c>
      <c r="CA236" t="s">
        <v>231</v>
      </c>
      <c r="CB236" t="s">
        <v>231</v>
      </c>
      <c r="CC236" t="s">
        <v>231</v>
      </c>
      <c r="CD236" t="s">
        <v>231</v>
      </c>
      <c r="CE236" t="s">
        <v>231</v>
      </c>
      <c r="CF236" t="s">
        <v>231</v>
      </c>
      <c r="CG236" t="s">
        <v>231</v>
      </c>
      <c r="CH236" t="s">
        <v>231</v>
      </c>
      <c r="CI236" t="s">
        <v>231</v>
      </c>
      <c r="CJ236" t="s">
        <v>231</v>
      </c>
      <c r="CK236" t="s">
        <v>231</v>
      </c>
      <c r="CL236" t="s">
        <v>231</v>
      </c>
      <c r="CM236" t="s">
        <v>231</v>
      </c>
      <c r="CN236" t="s">
        <v>231</v>
      </c>
      <c r="CO236" t="s">
        <v>231</v>
      </c>
      <c r="CP236" t="s">
        <v>231</v>
      </c>
      <c r="CQ236" t="s">
        <v>231</v>
      </c>
      <c r="CR236" t="s">
        <v>231</v>
      </c>
      <c r="CS236" t="s">
        <v>231</v>
      </c>
      <c r="CT236" t="s">
        <v>3534</v>
      </c>
      <c r="CU236" t="s">
        <v>3535</v>
      </c>
      <c r="CV236" t="s">
        <v>3536</v>
      </c>
      <c r="CW236" t="s">
        <v>3589</v>
      </c>
      <c r="CX236" t="s">
        <v>223</v>
      </c>
      <c r="CY236" t="s">
        <v>3536</v>
      </c>
      <c r="CZ236" t="s">
        <v>3590</v>
      </c>
      <c r="DA236" t="s">
        <v>3591</v>
      </c>
      <c r="DB236" t="s">
        <v>3589</v>
      </c>
      <c r="DC236" t="s">
        <v>363</v>
      </c>
      <c r="DD236" t="s">
        <v>282</v>
      </c>
      <c r="DE236" t="s">
        <v>4653</v>
      </c>
    </row>
    <row r="237" spans="1:109" ht="11.25" customHeight="1">
      <c r="A237" s="1314" t="s">
        <v>231</v>
      </c>
      <c r="B237" t="s">
        <v>231</v>
      </c>
      <c r="C237" t="s">
        <v>231</v>
      </c>
      <c r="D237" t="s">
        <v>231</v>
      </c>
      <c r="E237" t="s">
        <v>231</v>
      </c>
      <c r="F237" t="s">
        <v>231</v>
      </c>
      <c r="G237" t="s">
        <v>231</v>
      </c>
      <c r="H237" t="s">
        <v>231</v>
      </c>
      <c r="I237" t="s">
        <v>3521</v>
      </c>
      <c r="J237" t="s">
        <v>231</v>
      </c>
      <c r="K237" t="s">
        <v>231</v>
      </c>
      <c r="L237" t="s">
        <v>231</v>
      </c>
      <c r="M237" t="s">
        <v>231</v>
      </c>
      <c r="N237" t="s">
        <v>231</v>
      </c>
      <c r="O237" t="s">
        <v>231</v>
      </c>
      <c r="P237" t="s">
        <v>231</v>
      </c>
      <c r="Q237" t="s">
        <v>231</v>
      </c>
      <c r="R237" t="s">
        <v>4654</v>
      </c>
      <c r="S237" t="s">
        <v>231</v>
      </c>
      <c r="T237" t="s">
        <v>231</v>
      </c>
      <c r="U237" t="s">
        <v>101</v>
      </c>
      <c r="V237" t="s">
        <v>231</v>
      </c>
      <c r="W237" t="s">
        <v>231</v>
      </c>
      <c r="X237" t="s">
        <v>3523</v>
      </c>
      <c r="Y237" t="s">
        <v>231</v>
      </c>
      <c r="Z237" t="s">
        <v>160</v>
      </c>
      <c r="AA237" t="s">
        <v>151</v>
      </c>
      <c r="AB237" t="s">
        <v>151</v>
      </c>
      <c r="AC237" t="s">
        <v>2289</v>
      </c>
      <c r="AD237" t="s">
        <v>2289</v>
      </c>
      <c r="AE237" t="s">
        <v>2290</v>
      </c>
      <c r="AF237" t="s">
        <v>3793</v>
      </c>
      <c r="AG237" t="s">
        <v>3794</v>
      </c>
      <c r="AH237" t="s">
        <v>4655</v>
      </c>
      <c r="AI237" t="s">
        <v>4656</v>
      </c>
      <c r="AJ237" t="s">
        <v>4652</v>
      </c>
      <c r="AK237" t="s">
        <v>3820</v>
      </c>
      <c r="AL237" t="s">
        <v>3548</v>
      </c>
      <c r="AM237" t="s">
        <v>3531</v>
      </c>
      <c r="AN237" t="s">
        <v>3587</v>
      </c>
      <c r="AO237" t="s">
        <v>3812</v>
      </c>
      <c r="AP237" t="s">
        <v>231</v>
      </c>
      <c r="AQ237" t="s">
        <v>231</v>
      </c>
      <c r="AR237" t="s">
        <v>231</v>
      </c>
      <c r="AS237" t="s">
        <v>231</v>
      </c>
      <c r="AT237" t="s">
        <v>231</v>
      </c>
      <c r="AU237" t="s">
        <v>231</v>
      </c>
      <c r="AV237" t="s">
        <v>231</v>
      </c>
      <c r="AW237" t="s">
        <v>231</v>
      </c>
      <c r="AX237" t="s">
        <v>231</v>
      </c>
      <c r="AY237" t="s">
        <v>231</v>
      </c>
      <c r="AZ237" t="s">
        <v>231</v>
      </c>
      <c r="BA237" t="s">
        <v>231</v>
      </c>
      <c r="BB237" t="s">
        <v>231</v>
      </c>
      <c r="BC237" t="s">
        <v>231</v>
      </c>
      <c r="BD237" t="s">
        <v>231</v>
      </c>
      <c r="BE237" t="s">
        <v>231</v>
      </c>
      <c r="BF237" t="s">
        <v>231</v>
      </c>
      <c r="BG237" t="s">
        <v>231</v>
      </c>
      <c r="BH237" t="s">
        <v>231</v>
      </c>
      <c r="BI237" t="s">
        <v>231</v>
      </c>
      <c r="BJ237" t="s">
        <v>231</v>
      </c>
      <c r="BK237" t="s">
        <v>231</v>
      </c>
      <c r="BL237" t="s">
        <v>231</v>
      </c>
      <c r="BM237" t="s">
        <v>231</v>
      </c>
      <c r="BN237" t="s">
        <v>231</v>
      </c>
      <c r="BO237" t="s">
        <v>231</v>
      </c>
      <c r="BP237" t="s">
        <v>231</v>
      </c>
      <c r="BQ237" t="s">
        <v>231</v>
      </c>
      <c r="BR237" t="s">
        <v>231</v>
      </c>
      <c r="BS237" t="s">
        <v>231</v>
      </c>
      <c r="BT237" t="s">
        <v>231</v>
      </c>
      <c r="BU237" t="s">
        <v>231</v>
      </c>
      <c r="BV237" t="s">
        <v>231</v>
      </c>
      <c r="BW237" t="s">
        <v>231</v>
      </c>
      <c r="BX237" t="s">
        <v>231</v>
      </c>
      <c r="BY237" t="s">
        <v>231</v>
      </c>
      <c r="BZ237" t="s">
        <v>231</v>
      </c>
      <c r="CA237" t="s">
        <v>231</v>
      </c>
      <c r="CB237" t="s">
        <v>231</v>
      </c>
      <c r="CC237" t="s">
        <v>231</v>
      </c>
      <c r="CD237" t="s">
        <v>231</v>
      </c>
      <c r="CE237" t="s">
        <v>231</v>
      </c>
      <c r="CF237" t="s">
        <v>231</v>
      </c>
      <c r="CG237" t="s">
        <v>231</v>
      </c>
      <c r="CH237" t="s">
        <v>231</v>
      </c>
      <c r="CI237" t="s">
        <v>231</v>
      </c>
      <c r="CJ237" t="s">
        <v>231</v>
      </c>
      <c r="CK237" t="s">
        <v>231</v>
      </c>
      <c r="CL237" t="s">
        <v>231</v>
      </c>
      <c r="CM237" t="s">
        <v>231</v>
      </c>
      <c r="CN237" t="s">
        <v>231</v>
      </c>
      <c r="CO237" t="s">
        <v>231</v>
      </c>
      <c r="CP237" t="s">
        <v>231</v>
      </c>
      <c r="CQ237" t="s">
        <v>231</v>
      </c>
      <c r="CR237" t="s">
        <v>231</v>
      </c>
      <c r="CS237" t="s">
        <v>231</v>
      </c>
      <c r="CT237" t="s">
        <v>3534</v>
      </c>
      <c r="CU237" t="s">
        <v>3535</v>
      </c>
      <c r="CV237" t="s">
        <v>3536</v>
      </c>
      <c r="CW237" t="s">
        <v>3589</v>
      </c>
      <c r="CX237" t="s">
        <v>223</v>
      </c>
      <c r="CY237" t="s">
        <v>3536</v>
      </c>
      <c r="CZ237" t="s">
        <v>3590</v>
      </c>
      <c r="DA237" t="s">
        <v>3591</v>
      </c>
      <c r="DB237" t="s">
        <v>3589</v>
      </c>
      <c r="DC237" t="s">
        <v>363</v>
      </c>
      <c r="DD237" t="s">
        <v>282</v>
      </c>
      <c r="DE237" t="s">
        <v>4657</v>
      </c>
    </row>
    <row r="238" spans="1:109" ht="11.25" customHeight="1">
      <c r="A238" s="1314" t="s">
        <v>231</v>
      </c>
      <c r="B238" t="s">
        <v>231</v>
      </c>
      <c r="C238" t="s">
        <v>231</v>
      </c>
      <c r="D238" t="s">
        <v>231</v>
      </c>
      <c r="E238" t="s">
        <v>231</v>
      </c>
      <c r="F238" t="s">
        <v>231</v>
      </c>
      <c r="G238" t="s">
        <v>231</v>
      </c>
      <c r="H238" t="s">
        <v>231</v>
      </c>
      <c r="I238" t="s">
        <v>3521</v>
      </c>
      <c r="J238" t="s">
        <v>231</v>
      </c>
      <c r="K238" t="s">
        <v>231</v>
      </c>
      <c r="L238" t="s">
        <v>231</v>
      </c>
      <c r="M238" t="s">
        <v>231</v>
      </c>
      <c r="N238" t="s">
        <v>231</v>
      </c>
      <c r="O238" t="s">
        <v>231</v>
      </c>
      <c r="P238" t="s">
        <v>231</v>
      </c>
      <c r="Q238" t="s">
        <v>231</v>
      </c>
      <c r="R238" t="s">
        <v>4658</v>
      </c>
      <c r="S238" t="s">
        <v>231</v>
      </c>
      <c r="T238" t="s">
        <v>231</v>
      </c>
      <c r="U238" t="s">
        <v>101</v>
      </c>
      <c r="V238" t="s">
        <v>231</v>
      </c>
      <c r="W238" t="s">
        <v>231</v>
      </c>
      <c r="X238" t="s">
        <v>3523</v>
      </c>
      <c r="Y238" t="s">
        <v>231</v>
      </c>
      <c r="Z238" t="s">
        <v>160</v>
      </c>
      <c r="AA238" t="s">
        <v>151</v>
      </c>
      <c r="AB238" t="s">
        <v>151</v>
      </c>
      <c r="AC238" t="s">
        <v>2289</v>
      </c>
      <c r="AD238" t="s">
        <v>2289</v>
      </c>
      <c r="AE238" t="s">
        <v>2290</v>
      </c>
      <c r="AF238" t="s">
        <v>3793</v>
      </c>
      <c r="AG238" t="s">
        <v>3794</v>
      </c>
      <c r="AH238" t="s">
        <v>4659</v>
      </c>
      <c r="AI238" t="s">
        <v>4660</v>
      </c>
      <c r="AJ238" t="s">
        <v>4652</v>
      </c>
      <c r="AK238" t="s">
        <v>3775</v>
      </c>
      <c r="AL238" t="s">
        <v>3548</v>
      </c>
      <c r="AM238" t="s">
        <v>3531</v>
      </c>
      <c r="AN238" t="s">
        <v>3587</v>
      </c>
      <c r="AO238" t="s">
        <v>3679</v>
      </c>
      <c r="AP238" t="s">
        <v>231</v>
      </c>
      <c r="AQ238" t="s">
        <v>231</v>
      </c>
      <c r="AR238" t="s">
        <v>231</v>
      </c>
      <c r="AS238" t="s">
        <v>231</v>
      </c>
      <c r="AT238" t="s">
        <v>231</v>
      </c>
      <c r="AU238" t="s">
        <v>231</v>
      </c>
      <c r="AV238" t="s">
        <v>231</v>
      </c>
      <c r="AW238" t="s">
        <v>231</v>
      </c>
      <c r="AX238" t="s">
        <v>231</v>
      </c>
      <c r="AY238" t="s">
        <v>231</v>
      </c>
      <c r="AZ238" t="s">
        <v>231</v>
      </c>
      <c r="BA238" t="s">
        <v>231</v>
      </c>
      <c r="BB238" t="s">
        <v>231</v>
      </c>
      <c r="BC238" t="s">
        <v>231</v>
      </c>
      <c r="BD238" t="s">
        <v>231</v>
      </c>
      <c r="BE238" t="s">
        <v>231</v>
      </c>
      <c r="BF238" t="s">
        <v>231</v>
      </c>
      <c r="BG238" t="s">
        <v>231</v>
      </c>
      <c r="BH238" t="s">
        <v>231</v>
      </c>
      <c r="BI238" t="s">
        <v>231</v>
      </c>
      <c r="BJ238" t="s">
        <v>231</v>
      </c>
      <c r="BK238" t="s">
        <v>231</v>
      </c>
      <c r="BL238" t="s">
        <v>231</v>
      </c>
      <c r="BM238" t="s">
        <v>231</v>
      </c>
      <c r="BN238" t="s">
        <v>231</v>
      </c>
      <c r="BO238" t="s">
        <v>231</v>
      </c>
      <c r="BP238" t="s">
        <v>231</v>
      </c>
      <c r="BQ238" t="s">
        <v>231</v>
      </c>
      <c r="BR238" t="s">
        <v>231</v>
      </c>
      <c r="BS238" t="s">
        <v>231</v>
      </c>
      <c r="BT238" t="s">
        <v>231</v>
      </c>
      <c r="BU238" t="s">
        <v>231</v>
      </c>
      <c r="BV238" t="s">
        <v>231</v>
      </c>
      <c r="BW238" t="s">
        <v>231</v>
      </c>
      <c r="BX238" t="s">
        <v>231</v>
      </c>
      <c r="BY238" t="s">
        <v>231</v>
      </c>
      <c r="BZ238" t="s">
        <v>231</v>
      </c>
      <c r="CA238" t="s">
        <v>231</v>
      </c>
      <c r="CB238" t="s">
        <v>231</v>
      </c>
      <c r="CC238" t="s">
        <v>231</v>
      </c>
      <c r="CD238" t="s">
        <v>231</v>
      </c>
      <c r="CE238" t="s">
        <v>231</v>
      </c>
      <c r="CF238" t="s">
        <v>231</v>
      </c>
      <c r="CG238" t="s">
        <v>231</v>
      </c>
      <c r="CH238" t="s">
        <v>231</v>
      </c>
      <c r="CI238" t="s">
        <v>231</v>
      </c>
      <c r="CJ238" t="s">
        <v>231</v>
      </c>
      <c r="CK238" t="s">
        <v>231</v>
      </c>
      <c r="CL238" t="s">
        <v>231</v>
      </c>
      <c r="CM238" t="s">
        <v>231</v>
      </c>
      <c r="CN238" t="s">
        <v>231</v>
      </c>
      <c r="CO238" t="s">
        <v>231</v>
      </c>
      <c r="CP238" t="s">
        <v>231</v>
      </c>
      <c r="CQ238" t="s">
        <v>231</v>
      </c>
      <c r="CR238" t="s">
        <v>231</v>
      </c>
      <c r="CS238" t="s">
        <v>231</v>
      </c>
      <c r="CT238" t="s">
        <v>3534</v>
      </c>
      <c r="CU238" t="s">
        <v>3535</v>
      </c>
      <c r="CV238" t="s">
        <v>3536</v>
      </c>
      <c r="CW238" t="s">
        <v>3589</v>
      </c>
      <c r="CX238" t="s">
        <v>223</v>
      </c>
      <c r="CY238" t="s">
        <v>3536</v>
      </c>
      <c r="CZ238" t="s">
        <v>3590</v>
      </c>
      <c r="DA238" t="s">
        <v>3591</v>
      </c>
      <c r="DB238" t="s">
        <v>3589</v>
      </c>
      <c r="DC238" t="s">
        <v>363</v>
      </c>
      <c r="DD238" t="s">
        <v>282</v>
      </c>
      <c r="DE238" t="s">
        <v>4661</v>
      </c>
    </row>
    <row r="239" spans="1:109" ht="11.25" customHeight="1">
      <c r="A239" s="1314" t="s">
        <v>231</v>
      </c>
      <c r="B239" t="s">
        <v>231</v>
      </c>
      <c r="C239" t="s">
        <v>231</v>
      </c>
      <c r="D239" t="s">
        <v>231</v>
      </c>
      <c r="E239" t="s">
        <v>231</v>
      </c>
      <c r="F239" t="s">
        <v>231</v>
      </c>
      <c r="G239" t="s">
        <v>231</v>
      </c>
      <c r="H239" t="s">
        <v>231</v>
      </c>
      <c r="I239" t="s">
        <v>3521</v>
      </c>
      <c r="J239" t="s">
        <v>231</v>
      </c>
      <c r="K239" t="s">
        <v>231</v>
      </c>
      <c r="L239" t="s">
        <v>231</v>
      </c>
      <c r="M239" t="s">
        <v>231</v>
      </c>
      <c r="N239" t="s">
        <v>231</v>
      </c>
      <c r="O239" t="s">
        <v>231</v>
      </c>
      <c r="P239" t="s">
        <v>231</v>
      </c>
      <c r="Q239" t="s">
        <v>231</v>
      </c>
      <c r="R239" t="s">
        <v>3615</v>
      </c>
      <c r="S239" t="s">
        <v>231</v>
      </c>
      <c r="T239" t="s">
        <v>231</v>
      </c>
      <c r="U239" t="s">
        <v>101</v>
      </c>
      <c r="V239" t="s">
        <v>231</v>
      </c>
      <c r="W239" t="s">
        <v>231</v>
      </c>
      <c r="X239" t="s">
        <v>3523</v>
      </c>
      <c r="Y239" t="s">
        <v>231</v>
      </c>
      <c r="Z239" t="s">
        <v>160</v>
      </c>
      <c r="AA239" t="s">
        <v>151</v>
      </c>
      <c r="AB239" t="s">
        <v>151</v>
      </c>
      <c r="AC239" t="s">
        <v>2289</v>
      </c>
      <c r="AD239" t="s">
        <v>2289</v>
      </c>
      <c r="AE239" t="s">
        <v>2290</v>
      </c>
      <c r="AF239" t="s">
        <v>4662</v>
      </c>
      <c r="AG239" t="s">
        <v>4663</v>
      </c>
      <c r="AH239" t="s">
        <v>4507</v>
      </c>
      <c r="AI239" t="s">
        <v>3774</v>
      </c>
      <c r="AJ239" t="s">
        <v>3546</v>
      </c>
      <c r="AK239" t="s">
        <v>3716</v>
      </c>
      <c r="AL239" t="s">
        <v>3548</v>
      </c>
      <c r="AM239" t="s">
        <v>3531</v>
      </c>
      <c r="AN239" t="s">
        <v>3587</v>
      </c>
      <c r="AO239" t="s">
        <v>3724</v>
      </c>
      <c r="AP239" t="s">
        <v>231</v>
      </c>
      <c r="AQ239" t="s">
        <v>231</v>
      </c>
      <c r="AR239" t="s">
        <v>231</v>
      </c>
      <c r="AS239" t="s">
        <v>231</v>
      </c>
      <c r="AT239" t="s">
        <v>231</v>
      </c>
      <c r="AU239" t="s">
        <v>231</v>
      </c>
      <c r="AV239" t="s">
        <v>231</v>
      </c>
      <c r="AW239" t="s">
        <v>231</v>
      </c>
      <c r="AX239" t="s">
        <v>231</v>
      </c>
      <c r="AY239" t="s">
        <v>231</v>
      </c>
      <c r="AZ239" t="s">
        <v>231</v>
      </c>
      <c r="BA239" t="s">
        <v>231</v>
      </c>
      <c r="BB239" t="s">
        <v>231</v>
      </c>
      <c r="BC239" t="s">
        <v>231</v>
      </c>
      <c r="BD239" t="s">
        <v>231</v>
      </c>
      <c r="BE239" t="s">
        <v>231</v>
      </c>
      <c r="BF239" t="s">
        <v>231</v>
      </c>
      <c r="BG239" t="s">
        <v>231</v>
      </c>
      <c r="BH239" t="s">
        <v>231</v>
      </c>
      <c r="BI239" t="s">
        <v>231</v>
      </c>
      <c r="BJ239" t="s">
        <v>231</v>
      </c>
      <c r="BK239" t="s">
        <v>231</v>
      </c>
      <c r="BL239" t="s">
        <v>231</v>
      </c>
      <c r="BM239" t="s">
        <v>231</v>
      </c>
      <c r="BN239" t="s">
        <v>231</v>
      </c>
      <c r="BO239" t="s">
        <v>231</v>
      </c>
      <c r="BP239" t="s">
        <v>231</v>
      </c>
      <c r="BQ239" t="s">
        <v>231</v>
      </c>
      <c r="BR239" t="s">
        <v>231</v>
      </c>
      <c r="BS239" t="s">
        <v>231</v>
      </c>
      <c r="BT239" t="s">
        <v>231</v>
      </c>
      <c r="BU239" t="s">
        <v>231</v>
      </c>
      <c r="BV239" t="s">
        <v>231</v>
      </c>
      <c r="BW239" t="s">
        <v>231</v>
      </c>
      <c r="BX239" t="s">
        <v>231</v>
      </c>
      <c r="BY239" t="s">
        <v>231</v>
      </c>
      <c r="BZ239" t="s">
        <v>231</v>
      </c>
      <c r="CA239" t="s">
        <v>231</v>
      </c>
      <c r="CB239" t="s">
        <v>231</v>
      </c>
      <c r="CC239" t="s">
        <v>231</v>
      </c>
      <c r="CD239" t="s">
        <v>231</v>
      </c>
      <c r="CE239" t="s">
        <v>231</v>
      </c>
      <c r="CF239" t="s">
        <v>231</v>
      </c>
      <c r="CG239" t="s">
        <v>231</v>
      </c>
      <c r="CH239" t="s">
        <v>231</v>
      </c>
      <c r="CI239" t="s">
        <v>231</v>
      </c>
      <c r="CJ239" t="s">
        <v>231</v>
      </c>
      <c r="CK239" t="s">
        <v>231</v>
      </c>
      <c r="CL239" t="s">
        <v>231</v>
      </c>
      <c r="CM239" t="s">
        <v>231</v>
      </c>
      <c r="CN239" t="s">
        <v>231</v>
      </c>
      <c r="CO239" t="s">
        <v>231</v>
      </c>
      <c r="CP239" t="s">
        <v>231</v>
      </c>
      <c r="CQ239" t="s">
        <v>231</v>
      </c>
      <c r="CR239" t="s">
        <v>231</v>
      </c>
      <c r="CS239" t="s">
        <v>231</v>
      </c>
      <c r="CT239" t="s">
        <v>3534</v>
      </c>
      <c r="CU239" t="s">
        <v>3535</v>
      </c>
      <c r="CV239" t="s">
        <v>3536</v>
      </c>
      <c r="CW239" t="s">
        <v>3589</v>
      </c>
      <c r="CX239" t="s">
        <v>223</v>
      </c>
      <c r="CY239" t="s">
        <v>3536</v>
      </c>
      <c r="CZ239" t="s">
        <v>3590</v>
      </c>
      <c r="DA239" t="s">
        <v>3591</v>
      </c>
      <c r="DB239" t="s">
        <v>3589</v>
      </c>
      <c r="DC239" t="s">
        <v>363</v>
      </c>
      <c r="DD239" t="s">
        <v>282</v>
      </c>
      <c r="DE239" t="s">
        <v>4664</v>
      </c>
    </row>
    <row r="240" spans="1:109" ht="11.25" customHeight="1">
      <c r="A240" s="1314" t="s">
        <v>231</v>
      </c>
      <c r="B240" t="s">
        <v>231</v>
      </c>
      <c r="C240" t="s">
        <v>231</v>
      </c>
      <c r="D240" t="s">
        <v>231</v>
      </c>
      <c r="E240" t="s">
        <v>231</v>
      </c>
      <c r="F240" t="s">
        <v>231</v>
      </c>
      <c r="G240" t="s">
        <v>231</v>
      </c>
      <c r="H240" t="s">
        <v>231</v>
      </c>
      <c r="I240" t="s">
        <v>3521</v>
      </c>
      <c r="J240" t="s">
        <v>231</v>
      </c>
      <c r="K240" t="s">
        <v>231</v>
      </c>
      <c r="L240" t="s">
        <v>231</v>
      </c>
      <c r="M240" t="s">
        <v>231</v>
      </c>
      <c r="N240" t="s">
        <v>231</v>
      </c>
      <c r="O240" t="s">
        <v>231</v>
      </c>
      <c r="P240" t="s">
        <v>231</v>
      </c>
      <c r="Q240" t="s">
        <v>231</v>
      </c>
      <c r="R240" t="s">
        <v>4665</v>
      </c>
      <c r="S240" t="s">
        <v>231</v>
      </c>
      <c r="T240" t="s">
        <v>231</v>
      </c>
      <c r="U240" t="s">
        <v>101</v>
      </c>
      <c r="V240" t="s">
        <v>231</v>
      </c>
      <c r="W240" t="s">
        <v>231</v>
      </c>
      <c r="X240" t="s">
        <v>3628</v>
      </c>
      <c r="Y240" t="s">
        <v>231</v>
      </c>
      <c r="Z240" t="s">
        <v>151</v>
      </c>
      <c r="AA240" t="s">
        <v>151</v>
      </c>
      <c r="AB240" t="s">
        <v>160</v>
      </c>
      <c r="AC240" t="s">
        <v>2289</v>
      </c>
      <c r="AD240" t="s">
        <v>2289</v>
      </c>
      <c r="AE240" t="s">
        <v>2290</v>
      </c>
      <c r="AF240" t="s">
        <v>4662</v>
      </c>
      <c r="AG240" t="s">
        <v>4663</v>
      </c>
      <c r="AH240" t="s">
        <v>3618</v>
      </c>
      <c r="AI240" t="s">
        <v>3618</v>
      </c>
      <c r="AJ240" t="s">
        <v>231</v>
      </c>
      <c r="AK240" t="s">
        <v>231</v>
      </c>
      <c r="AL240" t="s">
        <v>231</v>
      </c>
      <c r="AM240" t="s">
        <v>231</v>
      </c>
      <c r="AN240" t="s">
        <v>231</v>
      </c>
      <c r="AO240" t="s">
        <v>231</v>
      </c>
      <c r="AP240" t="s">
        <v>231</v>
      </c>
      <c r="AQ240" t="s">
        <v>231</v>
      </c>
      <c r="AR240" t="s">
        <v>231</v>
      </c>
      <c r="AS240" t="s">
        <v>231</v>
      </c>
      <c r="AT240" t="s">
        <v>231</v>
      </c>
      <c r="AU240" t="s">
        <v>231</v>
      </c>
      <c r="AV240" t="s">
        <v>231</v>
      </c>
      <c r="AW240" t="s">
        <v>231</v>
      </c>
      <c r="AX240" t="s">
        <v>231</v>
      </c>
      <c r="AY240" t="s">
        <v>231</v>
      </c>
      <c r="AZ240" t="s">
        <v>231</v>
      </c>
      <c r="BA240" t="s">
        <v>231</v>
      </c>
      <c r="BB240" t="s">
        <v>231</v>
      </c>
      <c r="BC240" t="s">
        <v>231</v>
      </c>
      <c r="BD240" t="s">
        <v>231</v>
      </c>
      <c r="BE240" t="s">
        <v>3594</v>
      </c>
      <c r="BF240" t="s">
        <v>3586</v>
      </c>
      <c r="BG240" t="s">
        <v>111</v>
      </c>
      <c r="BH240" t="s">
        <v>3632</v>
      </c>
      <c r="BI240" t="s">
        <v>122</v>
      </c>
      <c r="BJ240" t="s">
        <v>231</v>
      </c>
      <c r="BK240" t="s">
        <v>3651</v>
      </c>
      <c r="BL240" t="s">
        <v>2289</v>
      </c>
      <c r="BM240" t="s">
        <v>2289</v>
      </c>
      <c r="BN240" t="s">
        <v>3707</v>
      </c>
      <c r="BO240" t="s">
        <v>4662</v>
      </c>
      <c r="BP240" t="s">
        <v>4666</v>
      </c>
      <c r="BQ240" t="s">
        <v>3618</v>
      </c>
      <c r="BR240" t="s">
        <v>3618</v>
      </c>
      <c r="BS240" t="s">
        <v>231</v>
      </c>
      <c r="BT240" t="s">
        <v>3694</v>
      </c>
      <c r="BU240" t="s">
        <v>4667</v>
      </c>
      <c r="BV240" t="s">
        <v>4667</v>
      </c>
      <c r="BW240" t="s">
        <v>3641</v>
      </c>
      <c r="BX240" t="s">
        <v>3641</v>
      </c>
      <c r="BY240" t="s">
        <v>3641</v>
      </c>
      <c r="BZ240" t="s">
        <v>3641</v>
      </c>
      <c r="CA240" t="s">
        <v>3641</v>
      </c>
      <c r="CB240" t="s">
        <v>231</v>
      </c>
      <c r="CC240" t="s">
        <v>231</v>
      </c>
      <c r="CD240" t="s">
        <v>231</v>
      </c>
      <c r="CE240" t="s">
        <v>231</v>
      </c>
      <c r="CF240" t="s">
        <v>231</v>
      </c>
      <c r="CG240" t="s">
        <v>3641</v>
      </c>
      <c r="CH240" t="s">
        <v>231</v>
      </c>
      <c r="CI240" t="s">
        <v>231</v>
      </c>
      <c r="CJ240" t="s">
        <v>231</v>
      </c>
      <c r="CK240" t="s">
        <v>231</v>
      </c>
      <c r="CL240" t="s">
        <v>231</v>
      </c>
      <c r="CM240" t="s">
        <v>4667</v>
      </c>
      <c r="CN240" t="s">
        <v>4667</v>
      </c>
      <c r="CO240" t="s">
        <v>231</v>
      </c>
      <c r="CP240" t="s">
        <v>231</v>
      </c>
      <c r="CQ240" t="s">
        <v>231</v>
      </c>
      <c r="CR240" t="s">
        <v>231</v>
      </c>
      <c r="CS240" t="s">
        <v>3710</v>
      </c>
      <c r="CT240" t="s">
        <v>3534</v>
      </c>
      <c r="CU240" t="s">
        <v>3535</v>
      </c>
      <c r="CV240" t="s">
        <v>3536</v>
      </c>
      <c r="CW240" t="s">
        <v>3589</v>
      </c>
      <c r="CX240" t="s">
        <v>223</v>
      </c>
      <c r="CY240" t="s">
        <v>3536</v>
      </c>
      <c r="CZ240" t="s">
        <v>3590</v>
      </c>
      <c r="DA240" t="s">
        <v>3591</v>
      </c>
      <c r="DB240" t="s">
        <v>3589</v>
      </c>
      <c r="DC240" t="s">
        <v>363</v>
      </c>
      <c r="DD240" t="s">
        <v>282</v>
      </c>
      <c r="DE240" t="s">
        <v>4668</v>
      </c>
    </row>
    <row r="241" spans="1:109" ht="11.25" customHeight="1">
      <c r="A241" s="1314" t="s">
        <v>231</v>
      </c>
      <c r="B241" t="s">
        <v>231</v>
      </c>
      <c r="C241" t="s">
        <v>231</v>
      </c>
      <c r="D241" t="s">
        <v>231</v>
      </c>
      <c r="E241" t="s">
        <v>231</v>
      </c>
      <c r="F241" t="s">
        <v>231</v>
      </c>
      <c r="G241" t="s">
        <v>231</v>
      </c>
      <c r="H241" t="s">
        <v>231</v>
      </c>
      <c r="I241" t="s">
        <v>3521</v>
      </c>
      <c r="J241" t="s">
        <v>231</v>
      </c>
      <c r="K241" t="s">
        <v>231</v>
      </c>
      <c r="L241" t="s">
        <v>231</v>
      </c>
      <c r="M241" t="s">
        <v>231</v>
      </c>
      <c r="N241" t="s">
        <v>231</v>
      </c>
      <c r="O241" t="s">
        <v>231</v>
      </c>
      <c r="P241" t="s">
        <v>231</v>
      </c>
      <c r="Q241" t="s">
        <v>231</v>
      </c>
      <c r="R241" t="s">
        <v>3615</v>
      </c>
      <c r="S241" t="s">
        <v>231</v>
      </c>
      <c r="T241" t="s">
        <v>231</v>
      </c>
      <c r="U241" t="s">
        <v>101</v>
      </c>
      <c r="V241" t="s">
        <v>231</v>
      </c>
      <c r="W241" t="s">
        <v>231</v>
      </c>
      <c r="X241" t="s">
        <v>3523</v>
      </c>
      <c r="Y241" t="s">
        <v>231</v>
      </c>
      <c r="Z241" t="s">
        <v>160</v>
      </c>
      <c r="AA241" t="s">
        <v>151</v>
      </c>
      <c r="AB241" t="s">
        <v>151</v>
      </c>
      <c r="AC241" t="s">
        <v>2289</v>
      </c>
      <c r="AD241" t="s">
        <v>2289</v>
      </c>
      <c r="AE241" t="s">
        <v>2290</v>
      </c>
      <c r="AF241" t="s">
        <v>4454</v>
      </c>
      <c r="AG241" t="s">
        <v>4455</v>
      </c>
      <c r="AH241" t="s">
        <v>4669</v>
      </c>
      <c r="AI241" t="s">
        <v>4593</v>
      </c>
      <c r="AJ241" t="s">
        <v>3619</v>
      </c>
      <c r="AK241" t="s">
        <v>3716</v>
      </c>
      <c r="AL241" t="s">
        <v>3548</v>
      </c>
      <c r="AM241" t="s">
        <v>3531</v>
      </c>
      <c r="AN241" t="s">
        <v>3595</v>
      </c>
      <c r="AO241" t="s">
        <v>3668</v>
      </c>
      <c r="AP241" t="s">
        <v>231</v>
      </c>
      <c r="AQ241" t="s">
        <v>231</v>
      </c>
      <c r="AR241" t="s">
        <v>231</v>
      </c>
      <c r="AS241" t="s">
        <v>231</v>
      </c>
      <c r="AT241" t="s">
        <v>231</v>
      </c>
      <c r="AU241" t="s">
        <v>231</v>
      </c>
      <c r="AV241" t="s">
        <v>231</v>
      </c>
      <c r="AW241" t="s">
        <v>231</v>
      </c>
      <c r="AX241" t="s">
        <v>231</v>
      </c>
      <c r="AY241" t="s">
        <v>231</v>
      </c>
      <c r="AZ241" t="s">
        <v>231</v>
      </c>
      <c r="BA241" t="s">
        <v>231</v>
      </c>
      <c r="BB241" t="s">
        <v>231</v>
      </c>
      <c r="BC241" t="s">
        <v>231</v>
      </c>
      <c r="BD241" t="s">
        <v>231</v>
      </c>
      <c r="BE241" t="s">
        <v>231</v>
      </c>
      <c r="BF241" t="s">
        <v>231</v>
      </c>
      <c r="BG241" t="s">
        <v>231</v>
      </c>
      <c r="BH241" t="s">
        <v>231</v>
      </c>
      <c r="BI241" t="s">
        <v>231</v>
      </c>
      <c r="BJ241" t="s">
        <v>231</v>
      </c>
      <c r="BK241" t="s">
        <v>231</v>
      </c>
      <c r="BL241" t="s">
        <v>231</v>
      </c>
      <c r="BM241" t="s">
        <v>231</v>
      </c>
      <c r="BN241" t="s">
        <v>231</v>
      </c>
      <c r="BO241" t="s">
        <v>231</v>
      </c>
      <c r="BP241" t="s">
        <v>231</v>
      </c>
      <c r="BQ241" t="s">
        <v>231</v>
      </c>
      <c r="BR241" t="s">
        <v>231</v>
      </c>
      <c r="BS241" t="s">
        <v>231</v>
      </c>
      <c r="BT241" t="s">
        <v>231</v>
      </c>
      <c r="BU241" t="s">
        <v>231</v>
      </c>
      <c r="BV241" t="s">
        <v>231</v>
      </c>
      <c r="BW241" t="s">
        <v>231</v>
      </c>
      <c r="BX241" t="s">
        <v>231</v>
      </c>
      <c r="BY241" t="s">
        <v>231</v>
      </c>
      <c r="BZ241" t="s">
        <v>231</v>
      </c>
      <c r="CA241" t="s">
        <v>231</v>
      </c>
      <c r="CB241" t="s">
        <v>231</v>
      </c>
      <c r="CC241" t="s">
        <v>231</v>
      </c>
      <c r="CD241" t="s">
        <v>231</v>
      </c>
      <c r="CE241" t="s">
        <v>231</v>
      </c>
      <c r="CF241" t="s">
        <v>231</v>
      </c>
      <c r="CG241" t="s">
        <v>231</v>
      </c>
      <c r="CH241" t="s">
        <v>231</v>
      </c>
      <c r="CI241" t="s">
        <v>231</v>
      </c>
      <c r="CJ241" t="s">
        <v>231</v>
      </c>
      <c r="CK241" t="s">
        <v>231</v>
      </c>
      <c r="CL241" t="s">
        <v>231</v>
      </c>
      <c r="CM241" t="s">
        <v>231</v>
      </c>
      <c r="CN241" t="s">
        <v>231</v>
      </c>
      <c r="CO241" t="s">
        <v>231</v>
      </c>
      <c r="CP241" t="s">
        <v>231</v>
      </c>
      <c r="CQ241" t="s">
        <v>231</v>
      </c>
      <c r="CR241" t="s">
        <v>231</v>
      </c>
      <c r="CS241" t="s">
        <v>231</v>
      </c>
      <c r="CT241" t="s">
        <v>3534</v>
      </c>
      <c r="CU241" t="s">
        <v>3535</v>
      </c>
      <c r="CV241" t="s">
        <v>3536</v>
      </c>
      <c r="CW241" t="s">
        <v>3589</v>
      </c>
      <c r="CX241" t="s">
        <v>223</v>
      </c>
      <c r="CY241" t="s">
        <v>3536</v>
      </c>
      <c r="CZ241" t="s">
        <v>3590</v>
      </c>
      <c r="DA241" t="s">
        <v>3591</v>
      </c>
      <c r="DB241" t="s">
        <v>3589</v>
      </c>
      <c r="DC241" t="s">
        <v>363</v>
      </c>
      <c r="DD241" t="s">
        <v>282</v>
      </c>
      <c r="DE241" t="s">
        <v>4670</v>
      </c>
    </row>
    <row r="242" spans="1:109" ht="11.25" customHeight="1">
      <c r="A242" s="1314" t="s">
        <v>231</v>
      </c>
      <c r="B242" t="s">
        <v>231</v>
      </c>
      <c r="C242" t="s">
        <v>231</v>
      </c>
      <c r="D242" t="s">
        <v>231</v>
      </c>
      <c r="E242" t="s">
        <v>231</v>
      </c>
      <c r="F242" t="s">
        <v>231</v>
      </c>
      <c r="G242" t="s">
        <v>231</v>
      </c>
      <c r="H242" t="s">
        <v>231</v>
      </c>
      <c r="I242" t="s">
        <v>3521</v>
      </c>
      <c r="J242" t="s">
        <v>231</v>
      </c>
      <c r="K242" t="s">
        <v>231</v>
      </c>
      <c r="L242" t="s">
        <v>231</v>
      </c>
      <c r="M242" t="s">
        <v>231</v>
      </c>
      <c r="N242" t="s">
        <v>231</v>
      </c>
      <c r="O242" t="s">
        <v>231</v>
      </c>
      <c r="P242" t="s">
        <v>231</v>
      </c>
      <c r="Q242" t="s">
        <v>231</v>
      </c>
      <c r="R242" t="s">
        <v>3615</v>
      </c>
      <c r="S242" t="s">
        <v>231</v>
      </c>
      <c r="T242" t="s">
        <v>231</v>
      </c>
      <c r="U242" t="s">
        <v>101</v>
      </c>
      <c r="V242" t="s">
        <v>231</v>
      </c>
      <c r="W242" t="s">
        <v>231</v>
      </c>
      <c r="X242" t="s">
        <v>3523</v>
      </c>
      <c r="Y242" t="s">
        <v>231</v>
      </c>
      <c r="Z242" t="s">
        <v>160</v>
      </c>
      <c r="AA242" t="s">
        <v>151</v>
      </c>
      <c r="AB242" t="s">
        <v>151</v>
      </c>
      <c r="AC242" t="s">
        <v>2289</v>
      </c>
      <c r="AD242" t="s">
        <v>2289</v>
      </c>
      <c r="AE242" t="s">
        <v>2290</v>
      </c>
      <c r="AF242" t="s">
        <v>4454</v>
      </c>
      <c r="AG242" t="s">
        <v>4455</v>
      </c>
      <c r="AH242" t="s">
        <v>4671</v>
      </c>
      <c r="AI242" t="s">
        <v>4672</v>
      </c>
      <c r="AJ242" t="s">
        <v>3546</v>
      </c>
      <c r="AK242" t="s">
        <v>3586</v>
      </c>
      <c r="AL242" t="s">
        <v>3548</v>
      </c>
      <c r="AM242" t="s">
        <v>3531</v>
      </c>
      <c r="AN242" t="s">
        <v>3595</v>
      </c>
      <c r="AO242" t="s">
        <v>4673</v>
      </c>
      <c r="AP242" t="s">
        <v>231</v>
      </c>
      <c r="AQ242" t="s">
        <v>231</v>
      </c>
      <c r="AR242" t="s">
        <v>231</v>
      </c>
      <c r="AS242" t="s">
        <v>231</v>
      </c>
      <c r="AT242" t="s">
        <v>231</v>
      </c>
      <c r="AU242" t="s">
        <v>231</v>
      </c>
      <c r="AV242" t="s">
        <v>231</v>
      </c>
      <c r="AW242" t="s">
        <v>231</v>
      </c>
      <c r="AX242" t="s">
        <v>231</v>
      </c>
      <c r="AY242" t="s">
        <v>231</v>
      </c>
      <c r="AZ242" t="s">
        <v>231</v>
      </c>
      <c r="BA242" t="s">
        <v>231</v>
      </c>
      <c r="BB242" t="s">
        <v>231</v>
      </c>
      <c r="BC242" t="s">
        <v>231</v>
      </c>
      <c r="BD242" t="s">
        <v>231</v>
      </c>
      <c r="BE242" t="s">
        <v>231</v>
      </c>
      <c r="BF242" t="s">
        <v>231</v>
      </c>
      <c r="BG242" t="s">
        <v>231</v>
      </c>
      <c r="BH242" t="s">
        <v>231</v>
      </c>
      <c r="BI242" t="s">
        <v>231</v>
      </c>
      <c r="BJ242" t="s">
        <v>231</v>
      </c>
      <c r="BK242" t="s">
        <v>231</v>
      </c>
      <c r="BL242" t="s">
        <v>231</v>
      </c>
      <c r="BM242" t="s">
        <v>231</v>
      </c>
      <c r="BN242" t="s">
        <v>231</v>
      </c>
      <c r="BO242" t="s">
        <v>231</v>
      </c>
      <c r="BP242" t="s">
        <v>231</v>
      </c>
      <c r="BQ242" t="s">
        <v>231</v>
      </c>
      <c r="BR242" t="s">
        <v>231</v>
      </c>
      <c r="BS242" t="s">
        <v>231</v>
      </c>
      <c r="BT242" t="s">
        <v>231</v>
      </c>
      <c r="BU242" t="s">
        <v>231</v>
      </c>
      <c r="BV242" t="s">
        <v>231</v>
      </c>
      <c r="BW242" t="s">
        <v>231</v>
      </c>
      <c r="BX242" t="s">
        <v>231</v>
      </c>
      <c r="BY242" t="s">
        <v>231</v>
      </c>
      <c r="BZ242" t="s">
        <v>231</v>
      </c>
      <c r="CA242" t="s">
        <v>231</v>
      </c>
      <c r="CB242" t="s">
        <v>231</v>
      </c>
      <c r="CC242" t="s">
        <v>231</v>
      </c>
      <c r="CD242" t="s">
        <v>231</v>
      </c>
      <c r="CE242" t="s">
        <v>231</v>
      </c>
      <c r="CF242" t="s">
        <v>231</v>
      </c>
      <c r="CG242" t="s">
        <v>231</v>
      </c>
      <c r="CH242" t="s">
        <v>231</v>
      </c>
      <c r="CI242" t="s">
        <v>231</v>
      </c>
      <c r="CJ242" t="s">
        <v>231</v>
      </c>
      <c r="CK242" t="s">
        <v>231</v>
      </c>
      <c r="CL242" t="s">
        <v>231</v>
      </c>
      <c r="CM242" t="s">
        <v>231</v>
      </c>
      <c r="CN242" t="s">
        <v>231</v>
      </c>
      <c r="CO242" t="s">
        <v>231</v>
      </c>
      <c r="CP242" t="s">
        <v>231</v>
      </c>
      <c r="CQ242" t="s">
        <v>231</v>
      </c>
      <c r="CR242" t="s">
        <v>231</v>
      </c>
      <c r="CS242" t="s">
        <v>231</v>
      </c>
      <c r="CT242" t="s">
        <v>3534</v>
      </c>
      <c r="CU242" t="s">
        <v>3535</v>
      </c>
      <c r="CV242" t="s">
        <v>3536</v>
      </c>
      <c r="CW242" t="s">
        <v>3589</v>
      </c>
      <c r="CX242" t="s">
        <v>223</v>
      </c>
      <c r="CY242" t="s">
        <v>3536</v>
      </c>
      <c r="CZ242" t="s">
        <v>3590</v>
      </c>
      <c r="DA242" t="s">
        <v>3591</v>
      </c>
      <c r="DB242" t="s">
        <v>3589</v>
      </c>
      <c r="DC242" t="s">
        <v>363</v>
      </c>
      <c r="DD242" t="s">
        <v>282</v>
      </c>
      <c r="DE242" t="s">
        <v>4674</v>
      </c>
    </row>
    <row r="243" spans="1:109" ht="11.25" customHeight="1">
      <c r="A243" s="1314" t="s">
        <v>231</v>
      </c>
      <c r="B243" t="s">
        <v>231</v>
      </c>
      <c r="C243" t="s">
        <v>231</v>
      </c>
      <c r="D243" t="s">
        <v>231</v>
      </c>
      <c r="E243" t="s">
        <v>231</v>
      </c>
      <c r="F243" t="s">
        <v>231</v>
      </c>
      <c r="G243" t="s">
        <v>231</v>
      </c>
      <c r="H243" t="s">
        <v>231</v>
      </c>
      <c r="I243" t="s">
        <v>3521</v>
      </c>
      <c r="J243" t="s">
        <v>231</v>
      </c>
      <c r="K243" t="s">
        <v>231</v>
      </c>
      <c r="L243" t="s">
        <v>231</v>
      </c>
      <c r="M243" t="s">
        <v>231</v>
      </c>
      <c r="N243" t="s">
        <v>231</v>
      </c>
      <c r="O243" t="s">
        <v>231</v>
      </c>
      <c r="P243" t="s">
        <v>231</v>
      </c>
      <c r="Q243" t="s">
        <v>231</v>
      </c>
      <c r="R243" t="s">
        <v>4675</v>
      </c>
      <c r="S243" t="s">
        <v>231</v>
      </c>
      <c r="T243" t="s">
        <v>231</v>
      </c>
      <c r="U243" t="s">
        <v>101</v>
      </c>
      <c r="V243" t="s">
        <v>231</v>
      </c>
      <c r="W243" t="s">
        <v>231</v>
      </c>
      <c r="X243" t="s">
        <v>3523</v>
      </c>
      <c r="Y243" t="s">
        <v>231</v>
      </c>
      <c r="Z243" t="s">
        <v>160</v>
      </c>
      <c r="AA243" t="s">
        <v>151</v>
      </c>
      <c r="AB243" t="s">
        <v>151</v>
      </c>
      <c r="AC243" t="s">
        <v>2283</v>
      </c>
      <c r="AD243" t="s">
        <v>2283</v>
      </c>
      <c r="AE243" t="s">
        <v>2284</v>
      </c>
      <c r="AF243" t="s">
        <v>4676</v>
      </c>
      <c r="AG243" t="s">
        <v>4677</v>
      </c>
      <c r="AH243" t="s">
        <v>3660</v>
      </c>
      <c r="AI243" t="s">
        <v>1693</v>
      </c>
      <c r="AJ243" t="s">
        <v>3546</v>
      </c>
      <c r="AK243" t="s">
        <v>4678</v>
      </c>
      <c r="AL243" t="s">
        <v>3548</v>
      </c>
      <c r="AM243" t="s">
        <v>3531</v>
      </c>
      <c r="AN243" t="s">
        <v>3595</v>
      </c>
      <c r="AO243" t="s">
        <v>3550</v>
      </c>
      <c r="AP243" t="s">
        <v>231</v>
      </c>
      <c r="AQ243" t="s">
        <v>231</v>
      </c>
      <c r="AR243" t="s">
        <v>231</v>
      </c>
      <c r="AS243" t="s">
        <v>231</v>
      </c>
      <c r="AT243" t="s">
        <v>231</v>
      </c>
      <c r="AU243" t="s">
        <v>231</v>
      </c>
      <c r="AV243" t="s">
        <v>231</v>
      </c>
      <c r="AW243" t="s">
        <v>231</v>
      </c>
      <c r="AX243" t="s">
        <v>231</v>
      </c>
      <c r="AY243" t="s">
        <v>231</v>
      </c>
      <c r="AZ243" t="s">
        <v>231</v>
      </c>
      <c r="BA243" t="s">
        <v>231</v>
      </c>
      <c r="BB243" t="s">
        <v>231</v>
      </c>
      <c r="BC243" t="s">
        <v>231</v>
      </c>
      <c r="BD243" t="s">
        <v>231</v>
      </c>
      <c r="BE243" t="s">
        <v>231</v>
      </c>
      <c r="BF243" t="s">
        <v>231</v>
      </c>
      <c r="BG243" t="s">
        <v>231</v>
      </c>
      <c r="BH243" t="s">
        <v>231</v>
      </c>
      <c r="BI243" t="s">
        <v>231</v>
      </c>
      <c r="BJ243" t="s">
        <v>231</v>
      </c>
      <c r="BK243" t="s">
        <v>231</v>
      </c>
      <c r="BL243" t="s">
        <v>231</v>
      </c>
      <c r="BM243" t="s">
        <v>231</v>
      </c>
      <c r="BN243" t="s">
        <v>231</v>
      </c>
      <c r="BO243" t="s">
        <v>231</v>
      </c>
      <c r="BP243" t="s">
        <v>231</v>
      </c>
      <c r="BQ243" t="s">
        <v>231</v>
      </c>
      <c r="BR243" t="s">
        <v>231</v>
      </c>
      <c r="BS243" t="s">
        <v>231</v>
      </c>
      <c r="BT243" t="s">
        <v>231</v>
      </c>
      <c r="BU243" t="s">
        <v>231</v>
      </c>
      <c r="BV243" t="s">
        <v>231</v>
      </c>
      <c r="BW243" t="s">
        <v>231</v>
      </c>
      <c r="BX243" t="s">
        <v>231</v>
      </c>
      <c r="BY243" t="s">
        <v>231</v>
      </c>
      <c r="BZ243" t="s">
        <v>231</v>
      </c>
      <c r="CA243" t="s">
        <v>231</v>
      </c>
      <c r="CB243" t="s">
        <v>231</v>
      </c>
      <c r="CC243" t="s">
        <v>231</v>
      </c>
      <c r="CD243" t="s">
        <v>231</v>
      </c>
      <c r="CE243" t="s">
        <v>231</v>
      </c>
      <c r="CF243" t="s">
        <v>231</v>
      </c>
      <c r="CG243" t="s">
        <v>231</v>
      </c>
      <c r="CH243" t="s">
        <v>231</v>
      </c>
      <c r="CI243" t="s">
        <v>231</v>
      </c>
      <c r="CJ243" t="s">
        <v>231</v>
      </c>
      <c r="CK243" t="s">
        <v>231</v>
      </c>
      <c r="CL243" t="s">
        <v>231</v>
      </c>
      <c r="CM243" t="s">
        <v>231</v>
      </c>
      <c r="CN243" t="s">
        <v>231</v>
      </c>
      <c r="CO243" t="s">
        <v>231</v>
      </c>
      <c r="CP243" t="s">
        <v>231</v>
      </c>
      <c r="CQ243" t="s">
        <v>231</v>
      </c>
      <c r="CR243" t="s">
        <v>231</v>
      </c>
      <c r="CS243" t="s">
        <v>231</v>
      </c>
      <c r="CT243" t="s">
        <v>3534</v>
      </c>
      <c r="CU243" t="s">
        <v>4615</v>
      </c>
      <c r="CV243" t="s">
        <v>4616</v>
      </c>
      <c r="CW243" t="s">
        <v>4679</v>
      </c>
      <c r="CX243" t="s">
        <v>203</v>
      </c>
      <c r="CY243" t="s">
        <v>4618</v>
      </c>
      <c r="CZ243" t="s">
        <v>4680</v>
      </c>
      <c r="DA243" t="s">
        <v>4681</v>
      </c>
      <c r="DB243" t="s">
        <v>4679</v>
      </c>
      <c r="DC243" t="s">
        <v>363</v>
      </c>
      <c r="DD243" t="s">
        <v>282</v>
      </c>
      <c r="DE243" t="s">
        <v>4682</v>
      </c>
    </row>
    <row r="244" spans="1:109" ht="11.25" customHeight="1">
      <c r="A244" s="1314" t="s">
        <v>231</v>
      </c>
      <c r="B244" t="s">
        <v>231</v>
      </c>
      <c r="C244" t="s">
        <v>231</v>
      </c>
      <c r="D244" t="s">
        <v>231</v>
      </c>
      <c r="E244" t="s">
        <v>231</v>
      </c>
      <c r="F244" t="s">
        <v>231</v>
      </c>
      <c r="G244" t="s">
        <v>231</v>
      </c>
      <c r="H244" t="s">
        <v>231</v>
      </c>
      <c r="I244" t="s">
        <v>3521</v>
      </c>
      <c r="J244" t="s">
        <v>231</v>
      </c>
      <c r="K244" t="s">
        <v>231</v>
      </c>
      <c r="L244" t="s">
        <v>231</v>
      </c>
      <c r="M244" t="s">
        <v>231</v>
      </c>
      <c r="N244" t="s">
        <v>231</v>
      </c>
      <c r="O244" t="s">
        <v>231</v>
      </c>
      <c r="P244" t="s">
        <v>231</v>
      </c>
      <c r="Q244" t="s">
        <v>231</v>
      </c>
      <c r="R244" t="s">
        <v>4683</v>
      </c>
      <c r="S244" t="s">
        <v>231</v>
      </c>
      <c r="T244" t="s">
        <v>231</v>
      </c>
      <c r="U244" t="s">
        <v>101</v>
      </c>
      <c r="V244" t="s">
        <v>231</v>
      </c>
      <c r="W244" t="s">
        <v>231</v>
      </c>
      <c r="X244" t="s">
        <v>3523</v>
      </c>
      <c r="Y244" t="s">
        <v>231</v>
      </c>
      <c r="Z244" t="s">
        <v>160</v>
      </c>
      <c r="AA244" t="s">
        <v>151</v>
      </c>
      <c r="AB244" t="s">
        <v>151</v>
      </c>
      <c r="AC244" t="s">
        <v>2262</v>
      </c>
      <c r="AD244" t="s">
        <v>2262</v>
      </c>
      <c r="AE244" t="s">
        <v>2264</v>
      </c>
      <c r="AF244" t="s">
        <v>4420</v>
      </c>
      <c r="AG244" t="s">
        <v>4421</v>
      </c>
      <c r="AH244" t="s">
        <v>4422</v>
      </c>
      <c r="AI244" t="s">
        <v>4684</v>
      </c>
      <c r="AJ244" t="s">
        <v>3532</v>
      </c>
      <c r="AK244" t="s">
        <v>3641</v>
      </c>
      <c r="AL244" t="s">
        <v>3648</v>
      </c>
      <c r="AM244" t="s">
        <v>3531</v>
      </c>
      <c r="AN244" t="s">
        <v>3587</v>
      </c>
      <c r="AO244" t="s">
        <v>4244</v>
      </c>
      <c r="AP244" t="s">
        <v>231</v>
      </c>
      <c r="AQ244" t="s">
        <v>231</v>
      </c>
      <c r="AR244" t="s">
        <v>231</v>
      </c>
      <c r="AS244" t="s">
        <v>231</v>
      </c>
      <c r="AT244" t="s">
        <v>231</v>
      </c>
      <c r="AU244" t="s">
        <v>231</v>
      </c>
      <c r="AV244" t="s">
        <v>231</v>
      </c>
      <c r="AW244" t="s">
        <v>231</v>
      </c>
      <c r="AX244" t="s">
        <v>231</v>
      </c>
      <c r="AY244" t="s">
        <v>231</v>
      </c>
      <c r="AZ244" t="s">
        <v>231</v>
      </c>
      <c r="BA244" t="s">
        <v>231</v>
      </c>
      <c r="BB244" t="s">
        <v>231</v>
      </c>
      <c r="BC244" t="s">
        <v>231</v>
      </c>
      <c r="BD244" t="s">
        <v>231</v>
      </c>
      <c r="BE244" t="s">
        <v>231</v>
      </c>
      <c r="BF244" t="s">
        <v>231</v>
      </c>
      <c r="BG244" t="s">
        <v>231</v>
      </c>
      <c r="BH244" t="s">
        <v>231</v>
      </c>
      <c r="BI244" t="s">
        <v>231</v>
      </c>
      <c r="BJ244" t="s">
        <v>231</v>
      </c>
      <c r="BK244" t="s">
        <v>231</v>
      </c>
      <c r="BL244" t="s">
        <v>231</v>
      </c>
      <c r="BM244" t="s">
        <v>231</v>
      </c>
      <c r="BN244" t="s">
        <v>231</v>
      </c>
      <c r="BO244" t="s">
        <v>231</v>
      </c>
      <c r="BP244" t="s">
        <v>231</v>
      </c>
      <c r="BQ244" t="s">
        <v>231</v>
      </c>
      <c r="BR244" t="s">
        <v>231</v>
      </c>
      <c r="BS244" t="s">
        <v>231</v>
      </c>
      <c r="BT244" t="s">
        <v>231</v>
      </c>
      <c r="BU244" t="s">
        <v>231</v>
      </c>
      <c r="BV244" t="s">
        <v>231</v>
      </c>
      <c r="BW244" t="s">
        <v>231</v>
      </c>
      <c r="BX244" t="s">
        <v>231</v>
      </c>
      <c r="BY244" t="s">
        <v>231</v>
      </c>
      <c r="BZ244" t="s">
        <v>231</v>
      </c>
      <c r="CA244" t="s">
        <v>231</v>
      </c>
      <c r="CB244" t="s">
        <v>231</v>
      </c>
      <c r="CC244" t="s">
        <v>231</v>
      </c>
      <c r="CD244" t="s">
        <v>231</v>
      </c>
      <c r="CE244" t="s">
        <v>231</v>
      </c>
      <c r="CF244" t="s">
        <v>231</v>
      </c>
      <c r="CG244" t="s">
        <v>231</v>
      </c>
      <c r="CH244" t="s">
        <v>231</v>
      </c>
      <c r="CI244" t="s">
        <v>231</v>
      </c>
      <c r="CJ244" t="s">
        <v>231</v>
      </c>
      <c r="CK244" t="s">
        <v>231</v>
      </c>
      <c r="CL244" t="s">
        <v>231</v>
      </c>
      <c r="CM244" t="s">
        <v>231</v>
      </c>
      <c r="CN244" t="s">
        <v>231</v>
      </c>
      <c r="CO244" t="s">
        <v>231</v>
      </c>
      <c r="CP244" t="s">
        <v>231</v>
      </c>
      <c r="CQ244" t="s">
        <v>231</v>
      </c>
      <c r="CR244" t="s">
        <v>231</v>
      </c>
      <c r="CS244" t="s">
        <v>231</v>
      </c>
      <c r="CT244" t="s">
        <v>3534</v>
      </c>
      <c r="CU244" t="s">
        <v>3535</v>
      </c>
      <c r="CV244" t="s">
        <v>3536</v>
      </c>
      <c r="CW244" t="s">
        <v>3537</v>
      </c>
      <c r="CX244" t="s">
        <v>223</v>
      </c>
      <c r="CY244" t="s">
        <v>3536</v>
      </c>
      <c r="CZ244" t="s">
        <v>3538</v>
      </c>
      <c r="DA244" t="s">
        <v>3539</v>
      </c>
      <c r="DB244" t="s">
        <v>3537</v>
      </c>
      <c r="DC244" t="s">
        <v>363</v>
      </c>
      <c r="DD244" t="s">
        <v>282</v>
      </c>
      <c r="DE244" t="s">
        <v>4685</v>
      </c>
    </row>
    <row r="245" spans="1:109" ht="11.25" customHeight="1">
      <c r="A245" s="1314" t="s">
        <v>231</v>
      </c>
      <c r="B245" t="s">
        <v>231</v>
      </c>
      <c r="C245" t="s">
        <v>231</v>
      </c>
      <c r="D245" t="s">
        <v>231</v>
      </c>
      <c r="E245" t="s">
        <v>231</v>
      </c>
      <c r="F245" t="s">
        <v>231</v>
      </c>
      <c r="G245" t="s">
        <v>231</v>
      </c>
      <c r="H245" t="s">
        <v>231</v>
      </c>
      <c r="I245" t="s">
        <v>3521</v>
      </c>
      <c r="J245" t="s">
        <v>231</v>
      </c>
      <c r="K245" t="s">
        <v>231</v>
      </c>
      <c r="L245" t="s">
        <v>231</v>
      </c>
      <c r="M245" t="s">
        <v>231</v>
      </c>
      <c r="N245" t="s">
        <v>231</v>
      </c>
      <c r="O245" t="s">
        <v>231</v>
      </c>
      <c r="P245" t="s">
        <v>231</v>
      </c>
      <c r="Q245" t="s">
        <v>231</v>
      </c>
      <c r="R245" t="s">
        <v>3685</v>
      </c>
      <c r="S245" t="s">
        <v>231</v>
      </c>
      <c r="T245" t="s">
        <v>231</v>
      </c>
      <c r="U245" t="s">
        <v>101</v>
      </c>
      <c r="V245" t="s">
        <v>231</v>
      </c>
      <c r="W245" t="s">
        <v>231</v>
      </c>
      <c r="X245" t="s">
        <v>3628</v>
      </c>
      <c r="Y245" t="s">
        <v>231</v>
      </c>
      <c r="Z245" t="s">
        <v>151</v>
      </c>
      <c r="AA245" t="s">
        <v>151</v>
      </c>
      <c r="AB245" t="s">
        <v>160</v>
      </c>
      <c r="AC245" t="s">
        <v>2262</v>
      </c>
      <c r="AD245" t="s">
        <v>2262</v>
      </c>
      <c r="AE245" t="s">
        <v>2264</v>
      </c>
      <c r="AF245" t="s">
        <v>3524</v>
      </c>
      <c r="AG245" t="s">
        <v>3525</v>
      </c>
      <c r="AH245" t="s">
        <v>4686</v>
      </c>
      <c r="AI245" t="s">
        <v>3618</v>
      </c>
      <c r="AJ245" t="s">
        <v>231</v>
      </c>
      <c r="AK245" t="s">
        <v>231</v>
      </c>
      <c r="AL245" t="s">
        <v>231</v>
      </c>
      <c r="AM245" t="s">
        <v>231</v>
      </c>
      <c r="AN245" t="s">
        <v>231</v>
      </c>
      <c r="AO245" t="s">
        <v>231</v>
      </c>
      <c r="AP245" t="s">
        <v>231</v>
      </c>
      <c r="AQ245" t="s">
        <v>231</v>
      </c>
      <c r="AR245" t="s">
        <v>231</v>
      </c>
      <c r="AS245" t="s">
        <v>231</v>
      </c>
      <c r="AT245" t="s">
        <v>231</v>
      </c>
      <c r="AU245" t="s">
        <v>231</v>
      </c>
      <c r="AV245" t="s">
        <v>231</v>
      </c>
      <c r="AW245" t="s">
        <v>231</v>
      </c>
      <c r="AX245" t="s">
        <v>231</v>
      </c>
      <c r="AY245" t="s">
        <v>231</v>
      </c>
      <c r="AZ245" t="s">
        <v>231</v>
      </c>
      <c r="BA245" t="s">
        <v>231</v>
      </c>
      <c r="BB245" t="s">
        <v>231</v>
      </c>
      <c r="BC245" t="s">
        <v>231</v>
      </c>
      <c r="BD245" t="s">
        <v>231</v>
      </c>
      <c r="BE245" t="s">
        <v>4579</v>
      </c>
      <c r="BF245" t="s">
        <v>4580</v>
      </c>
      <c r="BG245" t="s">
        <v>111</v>
      </c>
      <c r="BH245" t="s">
        <v>3632</v>
      </c>
      <c r="BI245" t="s">
        <v>122</v>
      </c>
      <c r="BJ245" t="s">
        <v>231</v>
      </c>
      <c r="BK245" t="s">
        <v>4574</v>
      </c>
      <c r="BL245" t="s">
        <v>2260</v>
      </c>
      <c r="BM245" t="s">
        <v>2260</v>
      </c>
      <c r="BN245" t="s">
        <v>4687</v>
      </c>
      <c r="BO245" t="s">
        <v>4575</v>
      </c>
      <c r="BP245" t="s">
        <v>4688</v>
      </c>
      <c r="BQ245" t="s">
        <v>4575</v>
      </c>
      <c r="BR245" t="s">
        <v>4578</v>
      </c>
      <c r="BS245" t="s">
        <v>231</v>
      </c>
      <c r="BT245" t="s">
        <v>3694</v>
      </c>
      <c r="BU245" t="s">
        <v>4689</v>
      </c>
      <c r="BV245" t="s">
        <v>4690</v>
      </c>
      <c r="BW245" t="s">
        <v>4691</v>
      </c>
      <c r="BX245" t="s">
        <v>3532</v>
      </c>
      <c r="BY245" t="s">
        <v>4692</v>
      </c>
      <c r="BZ245" t="s">
        <v>4693</v>
      </c>
      <c r="CA245" t="s">
        <v>3641</v>
      </c>
      <c r="CB245" t="s">
        <v>231</v>
      </c>
      <c r="CC245" t="s">
        <v>231</v>
      </c>
      <c r="CD245" t="s">
        <v>231</v>
      </c>
      <c r="CE245" t="s">
        <v>231</v>
      </c>
      <c r="CF245" t="s">
        <v>231</v>
      </c>
      <c r="CG245" t="s">
        <v>3641</v>
      </c>
      <c r="CH245" t="s">
        <v>231</v>
      </c>
      <c r="CI245" t="s">
        <v>231</v>
      </c>
      <c r="CJ245" t="s">
        <v>231</v>
      </c>
      <c r="CK245" t="s">
        <v>231</v>
      </c>
      <c r="CL245" t="s">
        <v>231</v>
      </c>
      <c r="CM245" t="s">
        <v>4689</v>
      </c>
      <c r="CN245" t="s">
        <v>4690</v>
      </c>
      <c r="CO245" t="s">
        <v>4691</v>
      </c>
      <c r="CP245" t="s">
        <v>3532</v>
      </c>
      <c r="CQ245" t="s">
        <v>4692</v>
      </c>
      <c r="CR245" t="s">
        <v>4693</v>
      </c>
      <c r="CS245" t="s">
        <v>4694</v>
      </c>
      <c r="CT245" t="s">
        <v>3534</v>
      </c>
      <c r="CU245" t="s">
        <v>3535</v>
      </c>
      <c r="CV245" t="s">
        <v>3536</v>
      </c>
      <c r="CW245" t="s">
        <v>3537</v>
      </c>
      <c r="CX245" t="s">
        <v>223</v>
      </c>
      <c r="CY245" t="s">
        <v>3536</v>
      </c>
      <c r="CZ245" t="s">
        <v>3538</v>
      </c>
      <c r="DA245" t="s">
        <v>3539</v>
      </c>
      <c r="DB245" t="s">
        <v>3537</v>
      </c>
      <c r="DC245" t="s">
        <v>363</v>
      </c>
      <c r="DD245" t="s">
        <v>282</v>
      </c>
      <c r="DE245" t="s">
        <v>4695</v>
      </c>
    </row>
    <row r="246" spans="1:109" ht="11.25" customHeight="1">
      <c r="A246" s="1314" t="s">
        <v>231</v>
      </c>
      <c r="B246" t="s">
        <v>231</v>
      </c>
      <c r="C246" t="s">
        <v>231</v>
      </c>
      <c r="D246" t="s">
        <v>231</v>
      </c>
      <c r="E246" t="s">
        <v>231</v>
      </c>
      <c r="F246" t="s">
        <v>231</v>
      </c>
      <c r="G246" t="s">
        <v>231</v>
      </c>
      <c r="H246" t="s">
        <v>231</v>
      </c>
      <c r="I246" t="s">
        <v>3521</v>
      </c>
      <c r="J246" t="s">
        <v>231</v>
      </c>
      <c r="K246" t="s">
        <v>231</v>
      </c>
      <c r="L246" t="s">
        <v>231</v>
      </c>
      <c r="M246" t="s">
        <v>231</v>
      </c>
      <c r="N246" t="s">
        <v>231</v>
      </c>
      <c r="O246" t="s">
        <v>231</v>
      </c>
      <c r="P246" t="s">
        <v>231</v>
      </c>
      <c r="Q246" t="s">
        <v>231</v>
      </c>
      <c r="R246" t="s">
        <v>3651</v>
      </c>
      <c r="S246" t="s">
        <v>231</v>
      </c>
      <c r="T246" t="s">
        <v>231</v>
      </c>
      <c r="U246" t="s">
        <v>101</v>
      </c>
      <c r="V246" t="s">
        <v>231</v>
      </c>
      <c r="W246" t="s">
        <v>231</v>
      </c>
      <c r="X246" t="s">
        <v>3523</v>
      </c>
      <c r="Y246" t="s">
        <v>231</v>
      </c>
      <c r="Z246" t="s">
        <v>160</v>
      </c>
      <c r="AA246" t="s">
        <v>151</v>
      </c>
      <c r="AB246" t="s">
        <v>151</v>
      </c>
      <c r="AC246" t="s">
        <v>2283</v>
      </c>
      <c r="AD246" t="s">
        <v>2283</v>
      </c>
      <c r="AE246" t="s">
        <v>2284</v>
      </c>
      <c r="AF246" t="s">
        <v>4487</v>
      </c>
      <c r="AG246" t="s">
        <v>4488</v>
      </c>
      <c r="AH246" t="s">
        <v>4696</v>
      </c>
      <c r="AI246" t="s">
        <v>4697</v>
      </c>
      <c r="AJ246" t="s">
        <v>3546</v>
      </c>
      <c r="AK246" t="s">
        <v>3547</v>
      </c>
      <c r="AL246" t="s">
        <v>3548</v>
      </c>
      <c r="AM246" t="s">
        <v>3531</v>
      </c>
      <c r="AN246" t="s">
        <v>3549</v>
      </c>
      <c r="AO246" t="s">
        <v>3679</v>
      </c>
      <c r="AP246" t="s">
        <v>231</v>
      </c>
      <c r="AQ246" t="s">
        <v>231</v>
      </c>
      <c r="AR246" t="s">
        <v>231</v>
      </c>
      <c r="AS246" t="s">
        <v>231</v>
      </c>
      <c r="AT246" t="s">
        <v>231</v>
      </c>
      <c r="AU246" t="s">
        <v>231</v>
      </c>
      <c r="AV246" t="s">
        <v>231</v>
      </c>
      <c r="AW246" t="s">
        <v>231</v>
      </c>
      <c r="AX246" t="s">
        <v>231</v>
      </c>
      <c r="AY246" t="s">
        <v>231</v>
      </c>
      <c r="AZ246" t="s">
        <v>231</v>
      </c>
      <c r="BA246" t="s">
        <v>231</v>
      </c>
      <c r="BB246" t="s">
        <v>231</v>
      </c>
      <c r="BC246" t="s">
        <v>231</v>
      </c>
      <c r="BD246" t="s">
        <v>231</v>
      </c>
      <c r="BE246" t="s">
        <v>231</v>
      </c>
      <c r="BF246" t="s">
        <v>231</v>
      </c>
      <c r="BG246" t="s">
        <v>231</v>
      </c>
      <c r="BH246" t="s">
        <v>231</v>
      </c>
      <c r="BI246" t="s">
        <v>231</v>
      </c>
      <c r="BJ246" t="s">
        <v>231</v>
      </c>
      <c r="BK246" t="s">
        <v>231</v>
      </c>
      <c r="BL246" t="s">
        <v>231</v>
      </c>
      <c r="BM246" t="s">
        <v>231</v>
      </c>
      <c r="BN246" t="s">
        <v>231</v>
      </c>
      <c r="BO246" t="s">
        <v>231</v>
      </c>
      <c r="BP246" t="s">
        <v>231</v>
      </c>
      <c r="BQ246" t="s">
        <v>231</v>
      </c>
      <c r="BR246" t="s">
        <v>231</v>
      </c>
      <c r="BS246" t="s">
        <v>231</v>
      </c>
      <c r="BT246" t="s">
        <v>231</v>
      </c>
      <c r="BU246" t="s">
        <v>231</v>
      </c>
      <c r="BV246" t="s">
        <v>231</v>
      </c>
      <c r="BW246" t="s">
        <v>231</v>
      </c>
      <c r="BX246" t="s">
        <v>231</v>
      </c>
      <c r="BY246" t="s">
        <v>231</v>
      </c>
      <c r="BZ246" t="s">
        <v>231</v>
      </c>
      <c r="CA246" t="s">
        <v>231</v>
      </c>
      <c r="CB246" t="s">
        <v>231</v>
      </c>
      <c r="CC246" t="s">
        <v>231</v>
      </c>
      <c r="CD246" t="s">
        <v>231</v>
      </c>
      <c r="CE246" t="s">
        <v>231</v>
      </c>
      <c r="CF246" t="s">
        <v>231</v>
      </c>
      <c r="CG246" t="s">
        <v>231</v>
      </c>
      <c r="CH246" t="s">
        <v>231</v>
      </c>
      <c r="CI246" t="s">
        <v>231</v>
      </c>
      <c r="CJ246" t="s">
        <v>231</v>
      </c>
      <c r="CK246" t="s">
        <v>231</v>
      </c>
      <c r="CL246" t="s">
        <v>231</v>
      </c>
      <c r="CM246" t="s">
        <v>231</v>
      </c>
      <c r="CN246" t="s">
        <v>231</v>
      </c>
      <c r="CO246" t="s">
        <v>231</v>
      </c>
      <c r="CP246" t="s">
        <v>231</v>
      </c>
      <c r="CQ246" t="s">
        <v>231</v>
      </c>
      <c r="CR246" t="s">
        <v>231</v>
      </c>
      <c r="CS246" t="s">
        <v>231</v>
      </c>
      <c r="CT246" t="s">
        <v>3534</v>
      </c>
      <c r="CU246" t="s">
        <v>3535</v>
      </c>
      <c r="CV246" t="s">
        <v>3536</v>
      </c>
      <c r="CW246" t="s">
        <v>3551</v>
      </c>
      <c r="CX246" t="s">
        <v>223</v>
      </c>
      <c r="CY246" t="s">
        <v>3536</v>
      </c>
      <c r="CZ246" t="s">
        <v>3552</v>
      </c>
      <c r="DA246" t="s">
        <v>3553</v>
      </c>
      <c r="DB246" t="s">
        <v>3551</v>
      </c>
      <c r="DC246" t="s">
        <v>363</v>
      </c>
      <c r="DD246" t="s">
        <v>282</v>
      </c>
      <c r="DE246" t="s">
        <v>4698</v>
      </c>
    </row>
    <row r="247" spans="1:109" ht="11.25" customHeight="1">
      <c r="A247" s="1314" t="s">
        <v>231</v>
      </c>
      <c r="B247" t="s">
        <v>231</v>
      </c>
      <c r="C247" t="s">
        <v>231</v>
      </c>
      <c r="D247" t="s">
        <v>231</v>
      </c>
      <c r="E247" t="s">
        <v>231</v>
      </c>
      <c r="F247" t="s">
        <v>231</v>
      </c>
      <c r="G247" t="s">
        <v>231</v>
      </c>
      <c r="H247" t="s">
        <v>231</v>
      </c>
      <c r="I247" t="s">
        <v>3521</v>
      </c>
      <c r="J247" t="s">
        <v>231</v>
      </c>
      <c r="K247" t="s">
        <v>231</v>
      </c>
      <c r="L247" t="s">
        <v>231</v>
      </c>
      <c r="M247" t="s">
        <v>231</v>
      </c>
      <c r="N247" t="s">
        <v>231</v>
      </c>
      <c r="O247" t="s">
        <v>231</v>
      </c>
      <c r="P247" t="s">
        <v>231</v>
      </c>
      <c r="Q247" t="s">
        <v>231</v>
      </c>
      <c r="R247" t="s">
        <v>3651</v>
      </c>
      <c r="S247" t="s">
        <v>231</v>
      </c>
      <c r="T247" t="s">
        <v>231</v>
      </c>
      <c r="U247" t="s">
        <v>101</v>
      </c>
      <c r="V247" t="s">
        <v>231</v>
      </c>
      <c r="W247" t="s">
        <v>231</v>
      </c>
      <c r="X247" t="s">
        <v>3523</v>
      </c>
      <c r="Y247" t="s">
        <v>231</v>
      </c>
      <c r="Z247" t="s">
        <v>160</v>
      </c>
      <c r="AA247" t="s">
        <v>151</v>
      </c>
      <c r="AB247" t="s">
        <v>151</v>
      </c>
      <c r="AC247" t="s">
        <v>2283</v>
      </c>
      <c r="AD247" t="s">
        <v>2283</v>
      </c>
      <c r="AE247" t="s">
        <v>2284</v>
      </c>
      <c r="AF247" t="s">
        <v>4487</v>
      </c>
      <c r="AG247" t="s">
        <v>4488</v>
      </c>
      <c r="AH247" t="s">
        <v>4699</v>
      </c>
      <c r="AI247" t="s">
        <v>4700</v>
      </c>
      <c r="AJ247" t="s">
        <v>3546</v>
      </c>
      <c r="AK247" t="s">
        <v>3547</v>
      </c>
      <c r="AL247" t="s">
        <v>3548</v>
      </c>
      <c r="AM247" t="s">
        <v>3531</v>
      </c>
      <c r="AN247" t="s">
        <v>3549</v>
      </c>
      <c r="AO247" t="s">
        <v>3588</v>
      </c>
      <c r="AP247" t="s">
        <v>231</v>
      </c>
      <c r="AQ247" t="s">
        <v>231</v>
      </c>
      <c r="AR247" t="s">
        <v>231</v>
      </c>
      <c r="AS247" t="s">
        <v>231</v>
      </c>
      <c r="AT247" t="s">
        <v>231</v>
      </c>
      <c r="AU247" t="s">
        <v>231</v>
      </c>
      <c r="AV247" t="s">
        <v>231</v>
      </c>
      <c r="AW247" t="s">
        <v>231</v>
      </c>
      <c r="AX247" t="s">
        <v>231</v>
      </c>
      <c r="AY247" t="s">
        <v>231</v>
      </c>
      <c r="AZ247" t="s">
        <v>231</v>
      </c>
      <c r="BA247" t="s">
        <v>231</v>
      </c>
      <c r="BB247" t="s">
        <v>231</v>
      </c>
      <c r="BC247" t="s">
        <v>231</v>
      </c>
      <c r="BD247" t="s">
        <v>231</v>
      </c>
      <c r="BE247" t="s">
        <v>231</v>
      </c>
      <c r="BF247" t="s">
        <v>231</v>
      </c>
      <c r="BG247" t="s">
        <v>231</v>
      </c>
      <c r="BH247" t="s">
        <v>231</v>
      </c>
      <c r="BI247" t="s">
        <v>231</v>
      </c>
      <c r="BJ247" t="s">
        <v>231</v>
      </c>
      <c r="BK247" t="s">
        <v>231</v>
      </c>
      <c r="BL247" t="s">
        <v>231</v>
      </c>
      <c r="BM247" t="s">
        <v>231</v>
      </c>
      <c r="BN247" t="s">
        <v>231</v>
      </c>
      <c r="BO247" t="s">
        <v>231</v>
      </c>
      <c r="BP247" t="s">
        <v>231</v>
      </c>
      <c r="BQ247" t="s">
        <v>231</v>
      </c>
      <c r="BR247" t="s">
        <v>231</v>
      </c>
      <c r="BS247" t="s">
        <v>231</v>
      </c>
      <c r="BT247" t="s">
        <v>231</v>
      </c>
      <c r="BU247" t="s">
        <v>231</v>
      </c>
      <c r="BV247" t="s">
        <v>231</v>
      </c>
      <c r="BW247" t="s">
        <v>231</v>
      </c>
      <c r="BX247" t="s">
        <v>231</v>
      </c>
      <c r="BY247" t="s">
        <v>231</v>
      </c>
      <c r="BZ247" t="s">
        <v>231</v>
      </c>
      <c r="CA247" t="s">
        <v>231</v>
      </c>
      <c r="CB247" t="s">
        <v>231</v>
      </c>
      <c r="CC247" t="s">
        <v>231</v>
      </c>
      <c r="CD247" t="s">
        <v>231</v>
      </c>
      <c r="CE247" t="s">
        <v>231</v>
      </c>
      <c r="CF247" t="s">
        <v>231</v>
      </c>
      <c r="CG247" t="s">
        <v>231</v>
      </c>
      <c r="CH247" t="s">
        <v>231</v>
      </c>
      <c r="CI247" t="s">
        <v>231</v>
      </c>
      <c r="CJ247" t="s">
        <v>231</v>
      </c>
      <c r="CK247" t="s">
        <v>231</v>
      </c>
      <c r="CL247" t="s">
        <v>231</v>
      </c>
      <c r="CM247" t="s">
        <v>231</v>
      </c>
      <c r="CN247" t="s">
        <v>231</v>
      </c>
      <c r="CO247" t="s">
        <v>231</v>
      </c>
      <c r="CP247" t="s">
        <v>231</v>
      </c>
      <c r="CQ247" t="s">
        <v>231</v>
      </c>
      <c r="CR247" t="s">
        <v>231</v>
      </c>
      <c r="CS247" t="s">
        <v>231</v>
      </c>
      <c r="CT247" t="s">
        <v>3534</v>
      </c>
      <c r="CU247" t="s">
        <v>3535</v>
      </c>
      <c r="CV247" t="s">
        <v>3536</v>
      </c>
      <c r="CW247" t="s">
        <v>3551</v>
      </c>
      <c r="CX247" t="s">
        <v>223</v>
      </c>
      <c r="CY247" t="s">
        <v>3536</v>
      </c>
      <c r="CZ247" t="s">
        <v>3552</v>
      </c>
      <c r="DA247" t="s">
        <v>3553</v>
      </c>
      <c r="DB247" t="s">
        <v>3551</v>
      </c>
      <c r="DC247" t="s">
        <v>363</v>
      </c>
      <c r="DD247" t="s">
        <v>282</v>
      </c>
      <c r="DE247" t="s">
        <v>4701</v>
      </c>
    </row>
    <row r="248" spans="1:109" ht="11.25" customHeight="1">
      <c r="A248" s="1314" t="s">
        <v>231</v>
      </c>
      <c r="B248" t="s">
        <v>231</v>
      </c>
      <c r="C248" t="s">
        <v>231</v>
      </c>
      <c r="D248" t="s">
        <v>231</v>
      </c>
      <c r="E248" t="s">
        <v>231</v>
      </c>
      <c r="F248" t="s">
        <v>231</v>
      </c>
      <c r="G248" t="s">
        <v>231</v>
      </c>
      <c r="H248" t="s">
        <v>231</v>
      </c>
      <c r="I248" t="s">
        <v>3521</v>
      </c>
      <c r="J248" t="s">
        <v>231</v>
      </c>
      <c r="K248" t="s">
        <v>231</v>
      </c>
      <c r="L248" t="s">
        <v>231</v>
      </c>
      <c r="M248" t="s">
        <v>231</v>
      </c>
      <c r="N248" t="s">
        <v>231</v>
      </c>
      <c r="O248" t="s">
        <v>231</v>
      </c>
      <c r="P248" t="s">
        <v>231</v>
      </c>
      <c r="Q248" t="s">
        <v>231</v>
      </c>
      <c r="R248" t="s">
        <v>3615</v>
      </c>
      <c r="S248" t="s">
        <v>231</v>
      </c>
      <c r="T248" t="s">
        <v>231</v>
      </c>
      <c r="U248" t="s">
        <v>101</v>
      </c>
      <c r="V248" t="s">
        <v>231</v>
      </c>
      <c r="W248" t="s">
        <v>231</v>
      </c>
      <c r="X248" t="s">
        <v>3523</v>
      </c>
      <c r="Y248" t="s">
        <v>231</v>
      </c>
      <c r="Z248" t="s">
        <v>160</v>
      </c>
      <c r="AA248" t="s">
        <v>151</v>
      </c>
      <c r="AB248" t="s">
        <v>151</v>
      </c>
      <c r="AC248" t="s">
        <v>2287</v>
      </c>
      <c r="AD248" t="s">
        <v>2287</v>
      </c>
      <c r="AE248" t="s">
        <v>2288</v>
      </c>
      <c r="AF248" t="s">
        <v>4702</v>
      </c>
      <c r="AG248" t="s">
        <v>4703</v>
      </c>
      <c r="AH248" t="s">
        <v>4704</v>
      </c>
      <c r="AI248" t="s">
        <v>4705</v>
      </c>
      <c r="AJ248" t="s">
        <v>3619</v>
      </c>
      <c r="AK248" t="s">
        <v>4706</v>
      </c>
      <c r="AL248" t="s">
        <v>3548</v>
      </c>
      <c r="AM248" t="s">
        <v>3531</v>
      </c>
      <c r="AN248" t="s">
        <v>3621</v>
      </c>
      <c r="AO248" t="s">
        <v>3533</v>
      </c>
      <c r="AP248" t="s">
        <v>231</v>
      </c>
      <c r="AQ248" t="s">
        <v>231</v>
      </c>
      <c r="AR248" t="s">
        <v>231</v>
      </c>
      <c r="AS248" t="s">
        <v>231</v>
      </c>
      <c r="AT248" t="s">
        <v>231</v>
      </c>
      <c r="AU248" t="s">
        <v>231</v>
      </c>
      <c r="AV248" t="s">
        <v>231</v>
      </c>
      <c r="AW248" t="s">
        <v>231</v>
      </c>
      <c r="AX248" t="s">
        <v>231</v>
      </c>
      <c r="AY248" t="s">
        <v>231</v>
      </c>
      <c r="AZ248" t="s">
        <v>231</v>
      </c>
      <c r="BA248" t="s">
        <v>231</v>
      </c>
      <c r="BB248" t="s">
        <v>231</v>
      </c>
      <c r="BC248" t="s">
        <v>231</v>
      </c>
      <c r="BD248" t="s">
        <v>231</v>
      </c>
      <c r="BE248" t="s">
        <v>231</v>
      </c>
      <c r="BF248" t="s">
        <v>231</v>
      </c>
      <c r="BG248" t="s">
        <v>231</v>
      </c>
      <c r="BH248" t="s">
        <v>231</v>
      </c>
      <c r="BI248" t="s">
        <v>231</v>
      </c>
      <c r="BJ248" t="s">
        <v>231</v>
      </c>
      <c r="BK248" t="s">
        <v>231</v>
      </c>
      <c r="BL248" t="s">
        <v>231</v>
      </c>
      <c r="BM248" t="s">
        <v>231</v>
      </c>
      <c r="BN248" t="s">
        <v>231</v>
      </c>
      <c r="BO248" t="s">
        <v>231</v>
      </c>
      <c r="BP248" t="s">
        <v>231</v>
      </c>
      <c r="BQ248" t="s">
        <v>231</v>
      </c>
      <c r="BR248" t="s">
        <v>231</v>
      </c>
      <c r="BS248" t="s">
        <v>231</v>
      </c>
      <c r="BT248" t="s">
        <v>231</v>
      </c>
      <c r="BU248" t="s">
        <v>231</v>
      </c>
      <c r="BV248" t="s">
        <v>231</v>
      </c>
      <c r="BW248" t="s">
        <v>231</v>
      </c>
      <c r="BX248" t="s">
        <v>231</v>
      </c>
      <c r="BY248" t="s">
        <v>231</v>
      </c>
      <c r="BZ248" t="s">
        <v>231</v>
      </c>
      <c r="CA248" t="s">
        <v>231</v>
      </c>
      <c r="CB248" t="s">
        <v>231</v>
      </c>
      <c r="CC248" t="s">
        <v>231</v>
      </c>
      <c r="CD248" t="s">
        <v>231</v>
      </c>
      <c r="CE248" t="s">
        <v>231</v>
      </c>
      <c r="CF248" t="s">
        <v>231</v>
      </c>
      <c r="CG248" t="s">
        <v>231</v>
      </c>
      <c r="CH248" t="s">
        <v>231</v>
      </c>
      <c r="CI248" t="s">
        <v>231</v>
      </c>
      <c r="CJ248" t="s">
        <v>231</v>
      </c>
      <c r="CK248" t="s">
        <v>231</v>
      </c>
      <c r="CL248" t="s">
        <v>231</v>
      </c>
      <c r="CM248" t="s">
        <v>231</v>
      </c>
      <c r="CN248" t="s">
        <v>231</v>
      </c>
      <c r="CO248" t="s">
        <v>231</v>
      </c>
      <c r="CP248" t="s">
        <v>231</v>
      </c>
      <c r="CQ248" t="s">
        <v>231</v>
      </c>
      <c r="CR248" t="s">
        <v>231</v>
      </c>
      <c r="CS248" t="s">
        <v>231</v>
      </c>
      <c r="CT248" t="s">
        <v>3534</v>
      </c>
      <c r="CU248" t="s">
        <v>3535</v>
      </c>
      <c r="CV248" t="s">
        <v>3536</v>
      </c>
      <c r="CW248" t="s">
        <v>3623</v>
      </c>
      <c r="CX248" t="s">
        <v>223</v>
      </c>
      <c r="CY248" t="s">
        <v>3536</v>
      </c>
      <c r="CZ248" t="s">
        <v>3624</v>
      </c>
      <c r="DA248" t="s">
        <v>3625</v>
      </c>
      <c r="DB248" t="s">
        <v>3623</v>
      </c>
      <c r="DC248" t="s">
        <v>363</v>
      </c>
      <c r="DD248" t="s">
        <v>282</v>
      </c>
      <c r="DE248" t="s">
        <v>4707</v>
      </c>
    </row>
    <row r="249" spans="1:109" ht="11.25" customHeight="1">
      <c r="A249" s="1314" t="s">
        <v>231</v>
      </c>
      <c r="B249" t="s">
        <v>231</v>
      </c>
      <c r="C249" t="s">
        <v>231</v>
      </c>
      <c r="D249" t="s">
        <v>231</v>
      </c>
      <c r="E249" t="s">
        <v>231</v>
      </c>
      <c r="F249" t="s">
        <v>231</v>
      </c>
      <c r="G249" t="s">
        <v>231</v>
      </c>
      <c r="H249" t="s">
        <v>231</v>
      </c>
      <c r="I249" t="s">
        <v>3521</v>
      </c>
      <c r="J249" t="s">
        <v>231</v>
      </c>
      <c r="K249" t="s">
        <v>231</v>
      </c>
      <c r="L249" t="s">
        <v>231</v>
      </c>
      <c r="M249" t="s">
        <v>231</v>
      </c>
      <c r="N249" t="s">
        <v>231</v>
      </c>
      <c r="O249" t="s">
        <v>231</v>
      </c>
      <c r="P249" t="s">
        <v>231</v>
      </c>
      <c r="Q249" t="s">
        <v>231</v>
      </c>
      <c r="R249" t="s">
        <v>4708</v>
      </c>
      <c r="S249" t="s">
        <v>231</v>
      </c>
      <c r="T249" t="s">
        <v>231</v>
      </c>
      <c r="U249" t="s">
        <v>101</v>
      </c>
      <c r="V249" t="s">
        <v>231</v>
      </c>
      <c r="W249" t="s">
        <v>231</v>
      </c>
      <c r="X249" t="s">
        <v>3628</v>
      </c>
      <c r="Y249" t="s">
        <v>231</v>
      </c>
      <c r="Z249" t="s">
        <v>151</v>
      </c>
      <c r="AA249" t="s">
        <v>151</v>
      </c>
      <c r="AB249" t="s">
        <v>160</v>
      </c>
      <c r="AC249" t="s">
        <v>2289</v>
      </c>
      <c r="AD249" t="s">
        <v>2289</v>
      </c>
      <c r="AE249" t="s">
        <v>2290</v>
      </c>
      <c r="AF249" t="s">
        <v>4494</v>
      </c>
      <c r="AG249" t="s">
        <v>4495</v>
      </c>
      <c r="AH249" t="s">
        <v>3618</v>
      </c>
      <c r="AI249" t="s">
        <v>3618</v>
      </c>
      <c r="AJ249" t="s">
        <v>231</v>
      </c>
      <c r="AK249" t="s">
        <v>231</v>
      </c>
      <c r="AL249" t="s">
        <v>231</v>
      </c>
      <c r="AM249" t="s">
        <v>231</v>
      </c>
      <c r="AN249" t="s">
        <v>231</v>
      </c>
      <c r="AO249" t="s">
        <v>231</v>
      </c>
      <c r="AP249" t="s">
        <v>231</v>
      </c>
      <c r="AQ249" t="s">
        <v>231</v>
      </c>
      <c r="AR249" t="s">
        <v>231</v>
      </c>
      <c r="AS249" t="s">
        <v>231</v>
      </c>
      <c r="AT249" t="s">
        <v>231</v>
      </c>
      <c r="AU249" t="s">
        <v>231</v>
      </c>
      <c r="AV249" t="s">
        <v>231</v>
      </c>
      <c r="AW249" t="s">
        <v>231</v>
      </c>
      <c r="AX249" t="s">
        <v>231</v>
      </c>
      <c r="AY249" t="s">
        <v>231</v>
      </c>
      <c r="AZ249" t="s">
        <v>231</v>
      </c>
      <c r="BA249" t="s">
        <v>231</v>
      </c>
      <c r="BB249" t="s">
        <v>231</v>
      </c>
      <c r="BC249" t="s">
        <v>231</v>
      </c>
      <c r="BD249" t="s">
        <v>231</v>
      </c>
      <c r="BE249" t="s">
        <v>3594</v>
      </c>
      <c r="BF249" t="s">
        <v>3586</v>
      </c>
      <c r="BG249" t="s">
        <v>111</v>
      </c>
      <c r="BH249" t="s">
        <v>3632</v>
      </c>
      <c r="BI249" t="s">
        <v>122</v>
      </c>
      <c r="BJ249" t="s">
        <v>231</v>
      </c>
      <c r="BK249" t="s">
        <v>3651</v>
      </c>
      <c r="BL249" t="s">
        <v>2289</v>
      </c>
      <c r="BM249" t="s">
        <v>2289</v>
      </c>
      <c r="BN249" t="s">
        <v>3707</v>
      </c>
      <c r="BO249" t="s">
        <v>4494</v>
      </c>
      <c r="BP249" t="s">
        <v>4709</v>
      </c>
      <c r="BQ249" t="s">
        <v>3618</v>
      </c>
      <c r="BR249" t="s">
        <v>3618</v>
      </c>
      <c r="BS249" t="s">
        <v>231</v>
      </c>
      <c r="BT249" t="s">
        <v>3694</v>
      </c>
      <c r="BU249" t="s">
        <v>4710</v>
      </c>
      <c r="BV249" t="s">
        <v>4710</v>
      </c>
      <c r="BW249" t="s">
        <v>3641</v>
      </c>
      <c r="BX249" t="s">
        <v>3641</v>
      </c>
      <c r="BY249" t="s">
        <v>3641</v>
      </c>
      <c r="BZ249" t="s">
        <v>3641</v>
      </c>
      <c r="CA249" t="s">
        <v>3641</v>
      </c>
      <c r="CB249" t="s">
        <v>231</v>
      </c>
      <c r="CC249" t="s">
        <v>231</v>
      </c>
      <c r="CD249" t="s">
        <v>231</v>
      </c>
      <c r="CE249" t="s">
        <v>231</v>
      </c>
      <c r="CF249" t="s">
        <v>231</v>
      </c>
      <c r="CG249" t="s">
        <v>3641</v>
      </c>
      <c r="CH249" t="s">
        <v>231</v>
      </c>
      <c r="CI249" t="s">
        <v>231</v>
      </c>
      <c r="CJ249" t="s">
        <v>231</v>
      </c>
      <c r="CK249" t="s">
        <v>231</v>
      </c>
      <c r="CL249" t="s">
        <v>231</v>
      </c>
      <c r="CM249" t="s">
        <v>4710</v>
      </c>
      <c r="CN249" t="s">
        <v>4710</v>
      </c>
      <c r="CO249" t="s">
        <v>231</v>
      </c>
      <c r="CP249" t="s">
        <v>231</v>
      </c>
      <c r="CQ249" t="s">
        <v>231</v>
      </c>
      <c r="CR249" t="s">
        <v>231</v>
      </c>
      <c r="CS249" t="s">
        <v>3710</v>
      </c>
      <c r="CT249" t="s">
        <v>3534</v>
      </c>
      <c r="CU249" t="s">
        <v>3535</v>
      </c>
      <c r="CV249" t="s">
        <v>3536</v>
      </c>
      <c r="CW249" t="s">
        <v>3589</v>
      </c>
      <c r="CX249" t="s">
        <v>223</v>
      </c>
      <c r="CY249" t="s">
        <v>3536</v>
      </c>
      <c r="CZ249" t="s">
        <v>3590</v>
      </c>
      <c r="DA249" t="s">
        <v>3591</v>
      </c>
      <c r="DB249" t="s">
        <v>3589</v>
      </c>
      <c r="DC249" t="s">
        <v>363</v>
      </c>
      <c r="DD249" t="s">
        <v>282</v>
      </c>
      <c r="DE249" t="s">
        <v>4711</v>
      </c>
    </row>
    <row r="250" spans="1:109" ht="11.25" customHeight="1">
      <c r="A250" s="1314" t="s">
        <v>231</v>
      </c>
      <c r="B250" t="s">
        <v>231</v>
      </c>
      <c r="C250" t="s">
        <v>231</v>
      </c>
      <c r="D250" t="s">
        <v>231</v>
      </c>
      <c r="E250" t="s">
        <v>231</v>
      </c>
      <c r="F250" t="s">
        <v>231</v>
      </c>
      <c r="G250" t="s">
        <v>231</v>
      </c>
      <c r="H250" t="s">
        <v>231</v>
      </c>
      <c r="I250" t="s">
        <v>3521</v>
      </c>
      <c r="J250" t="s">
        <v>231</v>
      </c>
      <c r="K250" t="s">
        <v>231</v>
      </c>
      <c r="L250" t="s">
        <v>231</v>
      </c>
      <c r="M250" t="s">
        <v>231</v>
      </c>
      <c r="N250" t="s">
        <v>231</v>
      </c>
      <c r="O250" t="s">
        <v>231</v>
      </c>
      <c r="P250" t="s">
        <v>231</v>
      </c>
      <c r="Q250" t="s">
        <v>231</v>
      </c>
      <c r="R250" t="s">
        <v>3798</v>
      </c>
      <c r="S250" t="s">
        <v>231</v>
      </c>
      <c r="T250" t="s">
        <v>231</v>
      </c>
      <c r="U250" t="s">
        <v>101</v>
      </c>
      <c r="V250" t="s">
        <v>231</v>
      </c>
      <c r="W250" t="s">
        <v>231</v>
      </c>
      <c r="X250" t="s">
        <v>3523</v>
      </c>
      <c r="Y250" t="s">
        <v>231</v>
      </c>
      <c r="Z250" t="s">
        <v>160</v>
      </c>
      <c r="AA250" t="s">
        <v>151</v>
      </c>
      <c r="AB250" t="s">
        <v>151</v>
      </c>
      <c r="AC250" t="s">
        <v>2289</v>
      </c>
      <c r="AD250" t="s">
        <v>2289</v>
      </c>
      <c r="AE250" t="s">
        <v>2290</v>
      </c>
      <c r="AF250" t="s">
        <v>4712</v>
      </c>
      <c r="AG250" t="s">
        <v>4713</v>
      </c>
      <c r="AH250" t="s">
        <v>4714</v>
      </c>
      <c r="AI250" t="s">
        <v>4715</v>
      </c>
      <c r="AJ250" t="s">
        <v>3546</v>
      </c>
      <c r="AK250" t="s">
        <v>3716</v>
      </c>
      <c r="AL250" t="s">
        <v>3548</v>
      </c>
      <c r="AM250" t="s">
        <v>3531</v>
      </c>
      <c r="AN250" t="s">
        <v>3587</v>
      </c>
      <c r="AO250" t="s">
        <v>4500</v>
      </c>
      <c r="AP250" t="s">
        <v>231</v>
      </c>
      <c r="AQ250" t="s">
        <v>231</v>
      </c>
      <c r="AR250" t="s">
        <v>231</v>
      </c>
      <c r="AS250" t="s">
        <v>231</v>
      </c>
      <c r="AT250" t="s">
        <v>231</v>
      </c>
      <c r="AU250" t="s">
        <v>231</v>
      </c>
      <c r="AV250" t="s">
        <v>231</v>
      </c>
      <c r="AW250" t="s">
        <v>231</v>
      </c>
      <c r="AX250" t="s">
        <v>231</v>
      </c>
      <c r="AY250" t="s">
        <v>231</v>
      </c>
      <c r="AZ250" t="s">
        <v>231</v>
      </c>
      <c r="BA250" t="s">
        <v>231</v>
      </c>
      <c r="BB250" t="s">
        <v>231</v>
      </c>
      <c r="BC250" t="s">
        <v>231</v>
      </c>
      <c r="BD250" t="s">
        <v>231</v>
      </c>
      <c r="BE250" t="s">
        <v>231</v>
      </c>
      <c r="BF250" t="s">
        <v>231</v>
      </c>
      <c r="BG250" t="s">
        <v>231</v>
      </c>
      <c r="BH250" t="s">
        <v>231</v>
      </c>
      <c r="BI250" t="s">
        <v>231</v>
      </c>
      <c r="BJ250" t="s">
        <v>231</v>
      </c>
      <c r="BK250" t="s">
        <v>231</v>
      </c>
      <c r="BL250" t="s">
        <v>231</v>
      </c>
      <c r="BM250" t="s">
        <v>231</v>
      </c>
      <c r="BN250" t="s">
        <v>231</v>
      </c>
      <c r="BO250" t="s">
        <v>231</v>
      </c>
      <c r="BP250" t="s">
        <v>231</v>
      </c>
      <c r="BQ250" t="s">
        <v>231</v>
      </c>
      <c r="BR250" t="s">
        <v>231</v>
      </c>
      <c r="BS250" t="s">
        <v>231</v>
      </c>
      <c r="BT250" t="s">
        <v>231</v>
      </c>
      <c r="BU250" t="s">
        <v>231</v>
      </c>
      <c r="BV250" t="s">
        <v>231</v>
      </c>
      <c r="BW250" t="s">
        <v>231</v>
      </c>
      <c r="BX250" t="s">
        <v>231</v>
      </c>
      <c r="BY250" t="s">
        <v>231</v>
      </c>
      <c r="BZ250" t="s">
        <v>231</v>
      </c>
      <c r="CA250" t="s">
        <v>231</v>
      </c>
      <c r="CB250" t="s">
        <v>231</v>
      </c>
      <c r="CC250" t="s">
        <v>231</v>
      </c>
      <c r="CD250" t="s">
        <v>231</v>
      </c>
      <c r="CE250" t="s">
        <v>231</v>
      </c>
      <c r="CF250" t="s">
        <v>231</v>
      </c>
      <c r="CG250" t="s">
        <v>231</v>
      </c>
      <c r="CH250" t="s">
        <v>231</v>
      </c>
      <c r="CI250" t="s">
        <v>231</v>
      </c>
      <c r="CJ250" t="s">
        <v>231</v>
      </c>
      <c r="CK250" t="s">
        <v>231</v>
      </c>
      <c r="CL250" t="s">
        <v>231</v>
      </c>
      <c r="CM250" t="s">
        <v>231</v>
      </c>
      <c r="CN250" t="s">
        <v>231</v>
      </c>
      <c r="CO250" t="s">
        <v>231</v>
      </c>
      <c r="CP250" t="s">
        <v>231</v>
      </c>
      <c r="CQ250" t="s">
        <v>231</v>
      </c>
      <c r="CR250" t="s">
        <v>231</v>
      </c>
      <c r="CS250" t="s">
        <v>231</v>
      </c>
      <c r="CT250" t="s">
        <v>3534</v>
      </c>
      <c r="CU250" t="s">
        <v>3535</v>
      </c>
      <c r="CV250" t="s">
        <v>3536</v>
      </c>
      <c r="CW250" t="s">
        <v>3589</v>
      </c>
      <c r="CX250" t="s">
        <v>223</v>
      </c>
      <c r="CY250" t="s">
        <v>3536</v>
      </c>
      <c r="CZ250" t="s">
        <v>3590</v>
      </c>
      <c r="DA250" t="s">
        <v>3591</v>
      </c>
      <c r="DB250" t="s">
        <v>3589</v>
      </c>
      <c r="DC250" t="s">
        <v>363</v>
      </c>
      <c r="DD250" t="s">
        <v>282</v>
      </c>
      <c r="DE250" t="s">
        <v>4716</v>
      </c>
    </row>
    <row r="251" spans="1:109" ht="11.25" customHeight="1">
      <c r="A251" s="1314" t="s">
        <v>231</v>
      </c>
      <c r="B251" t="s">
        <v>231</v>
      </c>
      <c r="C251" t="s">
        <v>231</v>
      </c>
      <c r="D251" t="s">
        <v>231</v>
      </c>
      <c r="E251" t="s">
        <v>231</v>
      </c>
      <c r="F251" t="s">
        <v>231</v>
      </c>
      <c r="G251" t="s">
        <v>231</v>
      </c>
      <c r="H251" t="s">
        <v>231</v>
      </c>
      <c r="I251" t="s">
        <v>3521</v>
      </c>
      <c r="J251" t="s">
        <v>231</v>
      </c>
      <c r="K251" t="s">
        <v>231</v>
      </c>
      <c r="L251" t="s">
        <v>231</v>
      </c>
      <c r="M251" t="s">
        <v>231</v>
      </c>
      <c r="N251" t="s">
        <v>231</v>
      </c>
      <c r="O251" t="s">
        <v>231</v>
      </c>
      <c r="P251" t="s">
        <v>231</v>
      </c>
      <c r="Q251" t="s">
        <v>231</v>
      </c>
      <c r="R251" t="s">
        <v>3615</v>
      </c>
      <c r="S251" t="s">
        <v>231</v>
      </c>
      <c r="T251" t="s">
        <v>231</v>
      </c>
      <c r="U251" t="s">
        <v>101</v>
      </c>
      <c r="V251" t="s">
        <v>231</v>
      </c>
      <c r="W251" t="s">
        <v>231</v>
      </c>
      <c r="X251" t="s">
        <v>3523</v>
      </c>
      <c r="Y251" t="s">
        <v>231</v>
      </c>
      <c r="Z251" t="s">
        <v>160</v>
      </c>
      <c r="AA251" t="s">
        <v>151</v>
      </c>
      <c r="AB251" t="s">
        <v>151</v>
      </c>
      <c r="AC251" t="s">
        <v>2289</v>
      </c>
      <c r="AD251" t="s">
        <v>2289</v>
      </c>
      <c r="AE251" t="s">
        <v>2290</v>
      </c>
      <c r="AF251" t="s">
        <v>4454</v>
      </c>
      <c r="AG251" t="s">
        <v>4455</v>
      </c>
      <c r="AH251" t="s">
        <v>4717</v>
      </c>
      <c r="AI251" t="s">
        <v>4243</v>
      </c>
      <c r="AJ251" t="s">
        <v>3546</v>
      </c>
      <c r="AK251" t="s">
        <v>4718</v>
      </c>
      <c r="AL251" t="s">
        <v>3548</v>
      </c>
      <c r="AM251" t="s">
        <v>3531</v>
      </c>
      <c r="AN251" t="s">
        <v>3595</v>
      </c>
      <c r="AO251" t="s">
        <v>3679</v>
      </c>
      <c r="AP251" t="s">
        <v>231</v>
      </c>
      <c r="AQ251" t="s">
        <v>231</v>
      </c>
      <c r="AR251" t="s">
        <v>231</v>
      </c>
      <c r="AS251" t="s">
        <v>231</v>
      </c>
      <c r="AT251" t="s">
        <v>231</v>
      </c>
      <c r="AU251" t="s">
        <v>231</v>
      </c>
      <c r="AV251" t="s">
        <v>231</v>
      </c>
      <c r="AW251" t="s">
        <v>231</v>
      </c>
      <c r="AX251" t="s">
        <v>231</v>
      </c>
      <c r="AY251" t="s">
        <v>231</v>
      </c>
      <c r="AZ251" t="s">
        <v>231</v>
      </c>
      <c r="BA251" t="s">
        <v>231</v>
      </c>
      <c r="BB251" t="s">
        <v>231</v>
      </c>
      <c r="BC251" t="s">
        <v>231</v>
      </c>
      <c r="BD251" t="s">
        <v>231</v>
      </c>
      <c r="BE251" t="s">
        <v>231</v>
      </c>
      <c r="BF251" t="s">
        <v>231</v>
      </c>
      <c r="BG251" t="s">
        <v>231</v>
      </c>
      <c r="BH251" t="s">
        <v>231</v>
      </c>
      <c r="BI251" t="s">
        <v>231</v>
      </c>
      <c r="BJ251" t="s">
        <v>231</v>
      </c>
      <c r="BK251" t="s">
        <v>231</v>
      </c>
      <c r="BL251" t="s">
        <v>231</v>
      </c>
      <c r="BM251" t="s">
        <v>231</v>
      </c>
      <c r="BN251" t="s">
        <v>231</v>
      </c>
      <c r="BO251" t="s">
        <v>231</v>
      </c>
      <c r="BP251" t="s">
        <v>231</v>
      </c>
      <c r="BQ251" t="s">
        <v>231</v>
      </c>
      <c r="BR251" t="s">
        <v>231</v>
      </c>
      <c r="BS251" t="s">
        <v>231</v>
      </c>
      <c r="BT251" t="s">
        <v>231</v>
      </c>
      <c r="BU251" t="s">
        <v>231</v>
      </c>
      <c r="BV251" t="s">
        <v>231</v>
      </c>
      <c r="BW251" t="s">
        <v>231</v>
      </c>
      <c r="BX251" t="s">
        <v>231</v>
      </c>
      <c r="BY251" t="s">
        <v>231</v>
      </c>
      <c r="BZ251" t="s">
        <v>231</v>
      </c>
      <c r="CA251" t="s">
        <v>231</v>
      </c>
      <c r="CB251" t="s">
        <v>231</v>
      </c>
      <c r="CC251" t="s">
        <v>231</v>
      </c>
      <c r="CD251" t="s">
        <v>231</v>
      </c>
      <c r="CE251" t="s">
        <v>231</v>
      </c>
      <c r="CF251" t="s">
        <v>231</v>
      </c>
      <c r="CG251" t="s">
        <v>231</v>
      </c>
      <c r="CH251" t="s">
        <v>231</v>
      </c>
      <c r="CI251" t="s">
        <v>231</v>
      </c>
      <c r="CJ251" t="s">
        <v>231</v>
      </c>
      <c r="CK251" t="s">
        <v>231</v>
      </c>
      <c r="CL251" t="s">
        <v>231</v>
      </c>
      <c r="CM251" t="s">
        <v>231</v>
      </c>
      <c r="CN251" t="s">
        <v>231</v>
      </c>
      <c r="CO251" t="s">
        <v>231</v>
      </c>
      <c r="CP251" t="s">
        <v>231</v>
      </c>
      <c r="CQ251" t="s">
        <v>231</v>
      </c>
      <c r="CR251" t="s">
        <v>231</v>
      </c>
      <c r="CS251" t="s">
        <v>231</v>
      </c>
      <c r="CT251" t="s">
        <v>3534</v>
      </c>
      <c r="CU251" t="s">
        <v>3535</v>
      </c>
      <c r="CV251" t="s">
        <v>3536</v>
      </c>
      <c r="CW251" t="s">
        <v>3589</v>
      </c>
      <c r="CX251" t="s">
        <v>223</v>
      </c>
      <c r="CY251" t="s">
        <v>3536</v>
      </c>
      <c r="CZ251" t="s">
        <v>3590</v>
      </c>
      <c r="DA251" t="s">
        <v>3591</v>
      </c>
      <c r="DB251" t="s">
        <v>3589</v>
      </c>
      <c r="DC251" t="s">
        <v>363</v>
      </c>
      <c r="DD251" t="s">
        <v>282</v>
      </c>
      <c r="DE251" t="s">
        <v>4719</v>
      </c>
    </row>
    <row r="252" spans="1:109" ht="11.25" customHeight="1">
      <c r="A252" s="1314" t="s">
        <v>231</v>
      </c>
      <c r="B252" t="s">
        <v>231</v>
      </c>
      <c r="C252" t="s">
        <v>231</v>
      </c>
      <c r="D252" t="s">
        <v>231</v>
      </c>
      <c r="E252" t="s">
        <v>231</v>
      </c>
      <c r="F252" t="s">
        <v>231</v>
      </c>
      <c r="G252" t="s">
        <v>231</v>
      </c>
      <c r="H252" t="s">
        <v>231</v>
      </c>
      <c r="I252" t="s">
        <v>3521</v>
      </c>
      <c r="J252" t="s">
        <v>231</v>
      </c>
      <c r="K252" t="s">
        <v>231</v>
      </c>
      <c r="L252" t="s">
        <v>231</v>
      </c>
      <c r="M252" t="s">
        <v>231</v>
      </c>
      <c r="N252" t="s">
        <v>231</v>
      </c>
      <c r="O252" t="s">
        <v>231</v>
      </c>
      <c r="P252" t="s">
        <v>231</v>
      </c>
      <c r="Q252" t="s">
        <v>231</v>
      </c>
      <c r="R252" t="s">
        <v>4720</v>
      </c>
      <c r="S252" t="s">
        <v>231</v>
      </c>
      <c r="T252" t="s">
        <v>231</v>
      </c>
      <c r="U252" t="s">
        <v>101</v>
      </c>
      <c r="V252" t="s">
        <v>231</v>
      </c>
      <c r="W252" t="s">
        <v>231</v>
      </c>
      <c r="X252" t="s">
        <v>3628</v>
      </c>
      <c r="Y252" t="s">
        <v>231</v>
      </c>
      <c r="Z252" t="s">
        <v>151</v>
      </c>
      <c r="AA252" t="s">
        <v>151</v>
      </c>
      <c r="AB252" t="s">
        <v>160</v>
      </c>
      <c r="AC252" t="s">
        <v>2289</v>
      </c>
      <c r="AD252" t="s">
        <v>2289</v>
      </c>
      <c r="AE252" t="s">
        <v>2290</v>
      </c>
      <c r="AF252" t="s">
        <v>4238</v>
      </c>
      <c r="AG252" t="s">
        <v>4239</v>
      </c>
      <c r="AH252" t="s">
        <v>3618</v>
      </c>
      <c r="AI252" t="s">
        <v>3618</v>
      </c>
      <c r="AJ252" t="s">
        <v>231</v>
      </c>
      <c r="AK252" t="s">
        <v>231</v>
      </c>
      <c r="AL252" t="s">
        <v>231</v>
      </c>
      <c r="AM252" t="s">
        <v>231</v>
      </c>
      <c r="AN252" t="s">
        <v>231</v>
      </c>
      <c r="AO252" t="s">
        <v>231</v>
      </c>
      <c r="AP252" t="s">
        <v>231</v>
      </c>
      <c r="AQ252" t="s">
        <v>231</v>
      </c>
      <c r="AR252" t="s">
        <v>231</v>
      </c>
      <c r="AS252" t="s">
        <v>231</v>
      </c>
      <c r="AT252" t="s">
        <v>231</v>
      </c>
      <c r="AU252" t="s">
        <v>231</v>
      </c>
      <c r="AV252" t="s">
        <v>231</v>
      </c>
      <c r="AW252" t="s">
        <v>231</v>
      </c>
      <c r="AX252" t="s">
        <v>231</v>
      </c>
      <c r="AY252" t="s">
        <v>231</v>
      </c>
      <c r="AZ252" t="s">
        <v>231</v>
      </c>
      <c r="BA252" t="s">
        <v>231</v>
      </c>
      <c r="BB252" t="s">
        <v>231</v>
      </c>
      <c r="BC252" t="s">
        <v>231</v>
      </c>
      <c r="BD252" t="s">
        <v>231</v>
      </c>
      <c r="BE252" t="s">
        <v>3594</v>
      </c>
      <c r="BF252" t="s">
        <v>3716</v>
      </c>
      <c r="BG252" t="s">
        <v>111</v>
      </c>
      <c r="BH252" t="s">
        <v>3632</v>
      </c>
      <c r="BI252" t="s">
        <v>122</v>
      </c>
      <c r="BJ252" t="s">
        <v>231</v>
      </c>
      <c r="BK252" t="s">
        <v>3651</v>
      </c>
      <c r="BL252" t="s">
        <v>2289</v>
      </c>
      <c r="BM252" t="s">
        <v>2289</v>
      </c>
      <c r="BN252" t="s">
        <v>3707</v>
      </c>
      <c r="BO252" t="s">
        <v>4238</v>
      </c>
      <c r="BP252" t="s">
        <v>4721</v>
      </c>
      <c r="BQ252" t="s">
        <v>3618</v>
      </c>
      <c r="BR252" t="s">
        <v>3618</v>
      </c>
      <c r="BS252" t="s">
        <v>231</v>
      </c>
      <c r="BT252" t="s">
        <v>3694</v>
      </c>
      <c r="BU252" t="s">
        <v>4722</v>
      </c>
      <c r="BV252" t="s">
        <v>4722</v>
      </c>
      <c r="BW252" t="s">
        <v>3641</v>
      </c>
      <c r="BX252" t="s">
        <v>3641</v>
      </c>
      <c r="BY252" t="s">
        <v>3641</v>
      </c>
      <c r="BZ252" t="s">
        <v>3641</v>
      </c>
      <c r="CA252" t="s">
        <v>3641</v>
      </c>
      <c r="CB252" t="s">
        <v>231</v>
      </c>
      <c r="CC252" t="s">
        <v>231</v>
      </c>
      <c r="CD252" t="s">
        <v>231</v>
      </c>
      <c r="CE252" t="s">
        <v>231</v>
      </c>
      <c r="CF252" t="s">
        <v>231</v>
      </c>
      <c r="CG252" t="s">
        <v>3641</v>
      </c>
      <c r="CH252" t="s">
        <v>231</v>
      </c>
      <c r="CI252" t="s">
        <v>231</v>
      </c>
      <c r="CJ252" t="s">
        <v>231</v>
      </c>
      <c r="CK252" t="s">
        <v>231</v>
      </c>
      <c r="CL252" t="s">
        <v>231</v>
      </c>
      <c r="CM252" t="s">
        <v>4722</v>
      </c>
      <c r="CN252" t="s">
        <v>4722</v>
      </c>
      <c r="CO252" t="s">
        <v>231</v>
      </c>
      <c r="CP252" t="s">
        <v>231</v>
      </c>
      <c r="CQ252" t="s">
        <v>231</v>
      </c>
      <c r="CR252" t="s">
        <v>231</v>
      </c>
      <c r="CS252" t="s">
        <v>3710</v>
      </c>
      <c r="CT252" t="s">
        <v>3534</v>
      </c>
      <c r="CU252" t="s">
        <v>3535</v>
      </c>
      <c r="CV252" t="s">
        <v>3536</v>
      </c>
      <c r="CW252" t="s">
        <v>3589</v>
      </c>
      <c r="CX252" t="s">
        <v>223</v>
      </c>
      <c r="CY252" t="s">
        <v>3536</v>
      </c>
      <c r="CZ252" t="s">
        <v>3590</v>
      </c>
      <c r="DA252" t="s">
        <v>3591</v>
      </c>
      <c r="DB252" t="s">
        <v>3589</v>
      </c>
      <c r="DC252" t="s">
        <v>363</v>
      </c>
      <c r="DD252" t="s">
        <v>282</v>
      </c>
      <c r="DE252" t="s">
        <v>4723</v>
      </c>
    </row>
    <row r="253" spans="1:109" ht="11.25" customHeight="1">
      <c r="A253" s="1314" t="s">
        <v>231</v>
      </c>
      <c r="B253" t="s">
        <v>231</v>
      </c>
      <c r="C253" t="s">
        <v>231</v>
      </c>
      <c r="D253" t="s">
        <v>231</v>
      </c>
      <c r="E253" t="s">
        <v>231</v>
      </c>
      <c r="F253" t="s">
        <v>231</v>
      </c>
      <c r="G253" t="s">
        <v>231</v>
      </c>
      <c r="H253" t="s">
        <v>231</v>
      </c>
      <c r="I253" t="s">
        <v>3521</v>
      </c>
      <c r="J253" t="s">
        <v>231</v>
      </c>
      <c r="K253" t="s">
        <v>231</v>
      </c>
      <c r="L253" t="s">
        <v>231</v>
      </c>
      <c r="M253" t="s">
        <v>231</v>
      </c>
      <c r="N253" t="s">
        <v>231</v>
      </c>
      <c r="O253" t="s">
        <v>231</v>
      </c>
      <c r="P253" t="s">
        <v>231</v>
      </c>
      <c r="Q253" t="s">
        <v>231</v>
      </c>
      <c r="R253" t="s">
        <v>4724</v>
      </c>
      <c r="S253" t="s">
        <v>231</v>
      </c>
      <c r="T253" t="s">
        <v>231</v>
      </c>
      <c r="U253" t="s">
        <v>101</v>
      </c>
      <c r="V253" t="s">
        <v>231</v>
      </c>
      <c r="W253" t="s">
        <v>231</v>
      </c>
      <c r="X253" t="s">
        <v>3628</v>
      </c>
      <c r="Y253" t="s">
        <v>231</v>
      </c>
      <c r="Z253" t="s">
        <v>151</v>
      </c>
      <c r="AA253" t="s">
        <v>151</v>
      </c>
      <c r="AB253" t="s">
        <v>160</v>
      </c>
      <c r="AC253" t="s">
        <v>2289</v>
      </c>
      <c r="AD253" t="s">
        <v>2289</v>
      </c>
      <c r="AE253" t="s">
        <v>2290</v>
      </c>
      <c r="AF253" t="s">
        <v>3880</v>
      </c>
      <c r="AG253" t="s">
        <v>3881</v>
      </c>
      <c r="AH253" t="s">
        <v>3618</v>
      </c>
      <c r="AI253" t="s">
        <v>3618</v>
      </c>
      <c r="AJ253" t="s">
        <v>231</v>
      </c>
      <c r="AK253" t="s">
        <v>231</v>
      </c>
      <c r="AL253" t="s">
        <v>231</v>
      </c>
      <c r="AM253" t="s">
        <v>231</v>
      </c>
      <c r="AN253" t="s">
        <v>231</v>
      </c>
      <c r="AO253" t="s">
        <v>231</v>
      </c>
      <c r="AP253" t="s">
        <v>231</v>
      </c>
      <c r="AQ253" t="s">
        <v>231</v>
      </c>
      <c r="AR253" t="s">
        <v>231</v>
      </c>
      <c r="AS253" t="s">
        <v>231</v>
      </c>
      <c r="AT253" t="s">
        <v>231</v>
      </c>
      <c r="AU253" t="s">
        <v>231</v>
      </c>
      <c r="AV253" t="s">
        <v>231</v>
      </c>
      <c r="AW253" t="s">
        <v>231</v>
      </c>
      <c r="AX253" t="s">
        <v>231</v>
      </c>
      <c r="AY253" t="s">
        <v>231</v>
      </c>
      <c r="AZ253" t="s">
        <v>231</v>
      </c>
      <c r="BA253" t="s">
        <v>231</v>
      </c>
      <c r="BB253" t="s">
        <v>231</v>
      </c>
      <c r="BC253" t="s">
        <v>231</v>
      </c>
      <c r="BD253" t="s">
        <v>231</v>
      </c>
      <c r="BE253" t="s">
        <v>3546</v>
      </c>
      <c r="BF253" t="s">
        <v>3716</v>
      </c>
      <c r="BG253" t="s">
        <v>111</v>
      </c>
      <c r="BH253" t="s">
        <v>3632</v>
      </c>
      <c r="BI253" t="s">
        <v>122</v>
      </c>
      <c r="BJ253" t="s">
        <v>231</v>
      </c>
      <c r="BK253" t="s">
        <v>3651</v>
      </c>
      <c r="BL253" t="s">
        <v>2289</v>
      </c>
      <c r="BM253" t="s">
        <v>2289</v>
      </c>
      <c r="BN253" t="s">
        <v>3707</v>
      </c>
      <c r="BO253" t="s">
        <v>3880</v>
      </c>
      <c r="BP253" t="s">
        <v>4725</v>
      </c>
      <c r="BQ253" t="s">
        <v>3618</v>
      </c>
      <c r="BR253" t="s">
        <v>3618</v>
      </c>
      <c r="BS253" t="s">
        <v>231</v>
      </c>
      <c r="BT253" t="s">
        <v>3694</v>
      </c>
      <c r="BU253" t="s">
        <v>4726</v>
      </c>
      <c r="BV253" t="s">
        <v>4726</v>
      </c>
      <c r="BW253" t="s">
        <v>3641</v>
      </c>
      <c r="BX253" t="s">
        <v>3641</v>
      </c>
      <c r="BY253" t="s">
        <v>3641</v>
      </c>
      <c r="BZ253" t="s">
        <v>3641</v>
      </c>
      <c r="CA253" t="s">
        <v>3641</v>
      </c>
      <c r="CB253" t="s">
        <v>231</v>
      </c>
      <c r="CC253" t="s">
        <v>231</v>
      </c>
      <c r="CD253" t="s">
        <v>231</v>
      </c>
      <c r="CE253" t="s">
        <v>231</v>
      </c>
      <c r="CF253" t="s">
        <v>231</v>
      </c>
      <c r="CG253" t="s">
        <v>3641</v>
      </c>
      <c r="CH253" t="s">
        <v>231</v>
      </c>
      <c r="CI253" t="s">
        <v>231</v>
      </c>
      <c r="CJ253" t="s">
        <v>231</v>
      </c>
      <c r="CK253" t="s">
        <v>231</v>
      </c>
      <c r="CL253" t="s">
        <v>231</v>
      </c>
      <c r="CM253" t="s">
        <v>4726</v>
      </c>
      <c r="CN253" t="s">
        <v>4726</v>
      </c>
      <c r="CO253" t="s">
        <v>231</v>
      </c>
      <c r="CP253" t="s">
        <v>231</v>
      </c>
      <c r="CQ253" t="s">
        <v>231</v>
      </c>
      <c r="CR253" t="s">
        <v>231</v>
      </c>
      <c r="CS253" t="s">
        <v>3710</v>
      </c>
      <c r="CT253" t="s">
        <v>3534</v>
      </c>
      <c r="CU253" t="s">
        <v>3535</v>
      </c>
      <c r="CV253" t="s">
        <v>3536</v>
      </c>
      <c r="CW253" t="s">
        <v>3589</v>
      </c>
      <c r="CX253" t="s">
        <v>223</v>
      </c>
      <c r="CY253" t="s">
        <v>3536</v>
      </c>
      <c r="CZ253" t="s">
        <v>3590</v>
      </c>
      <c r="DA253" t="s">
        <v>3591</v>
      </c>
      <c r="DB253" t="s">
        <v>3589</v>
      </c>
      <c r="DC253" t="s">
        <v>363</v>
      </c>
      <c r="DD253" t="s">
        <v>282</v>
      </c>
      <c r="DE253" t="s">
        <v>4727</v>
      </c>
    </row>
    <row r="254" spans="1:109" ht="11.25" customHeight="1">
      <c r="A254" s="1314" t="s">
        <v>231</v>
      </c>
      <c r="B254" t="s">
        <v>231</v>
      </c>
      <c r="C254" t="s">
        <v>231</v>
      </c>
      <c r="D254" t="s">
        <v>231</v>
      </c>
      <c r="E254" t="s">
        <v>231</v>
      </c>
      <c r="F254" t="s">
        <v>231</v>
      </c>
      <c r="G254" t="s">
        <v>231</v>
      </c>
      <c r="H254" t="s">
        <v>231</v>
      </c>
      <c r="I254" t="s">
        <v>3521</v>
      </c>
      <c r="J254" t="s">
        <v>231</v>
      </c>
      <c r="K254" t="s">
        <v>231</v>
      </c>
      <c r="L254" t="s">
        <v>231</v>
      </c>
      <c r="M254" t="s">
        <v>231</v>
      </c>
      <c r="N254" t="s">
        <v>231</v>
      </c>
      <c r="O254" t="s">
        <v>231</v>
      </c>
      <c r="P254" t="s">
        <v>231</v>
      </c>
      <c r="Q254" t="s">
        <v>231</v>
      </c>
      <c r="R254" t="s">
        <v>4728</v>
      </c>
      <c r="S254" t="s">
        <v>231</v>
      </c>
      <c r="T254" t="s">
        <v>231</v>
      </c>
      <c r="U254" t="s">
        <v>101</v>
      </c>
      <c r="V254" t="s">
        <v>231</v>
      </c>
      <c r="W254" t="s">
        <v>231</v>
      </c>
      <c r="X254" t="s">
        <v>3628</v>
      </c>
      <c r="Y254" t="s">
        <v>231</v>
      </c>
      <c r="Z254" t="s">
        <v>151</v>
      </c>
      <c r="AA254" t="s">
        <v>151</v>
      </c>
      <c r="AB254" t="s">
        <v>160</v>
      </c>
      <c r="AC254" t="s">
        <v>2287</v>
      </c>
      <c r="AD254" t="s">
        <v>2287</v>
      </c>
      <c r="AE254" t="s">
        <v>2288</v>
      </c>
      <c r="AF254" t="s">
        <v>4702</v>
      </c>
      <c r="AG254" t="s">
        <v>4703</v>
      </c>
      <c r="AH254" t="s">
        <v>3618</v>
      </c>
      <c r="AI254" t="s">
        <v>3618</v>
      </c>
      <c r="AJ254" t="s">
        <v>231</v>
      </c>
      <c r="AK254" t="s">
        <v>231</v>
      </c>
      <c r="AL254" t="s">
        <v>231</v>
      </c>
      <c r="AM254" t="s">
        <v>231</v>
      </c>
      <c r="AN254" t="s">
        <v>231</v>
      </c>
      <c r="AO254" t="s">
        <v>231</v>
      </c>
      <c r="AP254" t="s">
        <v>231</v>
      </c>
      <c r="AQ254" t="s">
        <v>231</v>
      </c>
      <c r="AR254" t="s">
        <v>231</v>
      </c>
      <c r="AS254" t="s">
        <v>231</v>
      </c>
      <c r="AT254" t="s">
        <v>231</v>
      </c>
      <c r="AU254" t="s">
        <v>231</v>
      </c>
      <c r="AV254" t="s">
        <v>231</v>
      </c>
      <c r="AW254" t="s">
        <v>231</v>
      </c>
      <c r="AX254" t="s">
        <v>231</v>
      </c>
      <c r="AY254" t="s">
        <v>231</v>
      </c>
      <c r="AZ254" t="s">
        <v>231</v>
      </c>
      <c r="BA254" t="s">
        <v>231</v>
      </c>
      <c r="BB254" t="s">
        <v>231</v>
      </c>
      <c r="BC254" t="s">
        <v>231</v>
      </c>
      <c r="BD254" t="s">
        <v>231</v>
      </c>
      <c r="BE254" t="s">
        <v>3619</v>
      </c>
      <c r="BF254" t="s">
        <v>4706</v>
      </c>
      <c r="BG254" t="s">
        <v>111</v>
      </c>
      <c r="BH254" t="s">
        <v>3632</v>
      </c>
      <c r="BI254" t="s">
        <v>122</v>
      </c>
      <c r="BJ254" t="s">
        <v>231</v>
      </c>
      <c r="BK254" t="s">
        <v>3651</v>
      </c>
      <c r="BL254" t="s">
        <v>2287</v>
      </c>
      <c r="BM254" t="s">
        <v>2287</v>
      </c>
      <c r="BN254" t="s">
        <v>3842</v>
      </c>
      <c r="BO254" t="s">
        <v>4702</v>
      </c>
      <c r="BP254" t="s">
        <v>4729</v>
      </c>
      <c r="BQ254" t="s">
        <v>3618</v>
      </c>
      <c r="BR254" t="s">
        <v>3618</v>
      </c>
      <c r="BS254" t="s">
        <v>231</v>
      </c>
      <c r="BT254" t="s">
        <v>3694</v>
      </c>
      <c r="BU254" t="s">
        <v>4730</v>
      </c>
      <c r="BV254" t="s">
        <v>4730</v>
      </c>
      <c r="BW254" t="s">
        <v>3641</v>
      </c>
      <c r="BX254" t="s">
        <v>3641</v>
      </c>
      <c r="BY254" t="s">
        <v>3641</v>
      </c>
      <c r="BZ254" t="s">
        <v>3641</v>
      </c>
      <c r="CA254" t="s">
        <v>3641</v>
      </c>
      <c r="CB254" t="s">
        <v>231</v>
      </c>
      <c r="CC254" t="s">
        <v>231</v>
      </c>
      <c r="CD254" t="s">
        <v>231</v>
      </c>
      <c r="CE254" t="s">
        <v>231</v>
      </c>
      <c r="CF254" t="s">
        <v>231</v>
      </c>
      <c r="CG254" t="s">
        <v>3641</v>
      </c>
      <c r="CH254" t="s">
        <v>231</v>
      </c>
      <c r="CI254" t="s">
        <v>231</v>
      </c>
      <c r="CJ254" t="s">
        <v>231</v>
      </c>
      <c r="CK254" t="s">
        <v>231</v>
      </c>
      <c r="CL254" t="s">
        <v>231</v>
      </c>
      <c r="CM254" t="s">
        <v>4730</v>
      </c>
      <c r="CN254" t="s">
        <v>4730</v>
      </c>
      <c r="CO254" t="s">
        <v>231</v>
      </c>
      <c r="CP254" t="s">
        <v>231</v>
      </c>
      <c r="CQ254" t="s">
        <v>231</v>
      </c>
      <c r="CR254" t="s">
        <v>231</v>
      </c>
      <c r="CS254" t="s">
        <v>3595</v>
      </c>
      <c r="CT254" t="s">
        <v>3534</v>
      </c>
      <c r="CU254" t="s">
        <v>3535</v>
      </c>
      <c r="CV254" t="s">
        <v>3536</v>
      </c>
      <c r="CW254" t="s">
        <v>3623</v>
      </c>
      <c r="CX254" t="s">
        <v>223</v>
      </c>
      <c r="CY254" t="s">
        <v>3536</v>
      </c>
      <c r="CZ254" t="s">
        <v>3624</v>
      </c>
      <c r="DA254" t="s">
        <v>3625</v>
      </c>
      <c r="DB254" t="s">
        <v>3623</v>
      </c>
      <c r="DC254" t="s">
        <v>363</v>
      </c>
      <c r="DD254" t="s">
        <v>282</v>
      </c>
      <c r="DE254" t="s">
        <v>4731</v>
      </c>
    </row>
    <row r="255" spans="1:109" ht="11.25" customHeight="1">
      <c r="A255" s="1314" t="s">
        <v>231</v>
      </c>
      <c r="B255" t="s">
        <v>231</v>
      </c>
      <c r="C255" t="s">
        <v>231</v>
      </c>
      <c r="D255" t="s">
        <v>231</v>
      </c>
      <c r="E255" t="s">
        <v>231</v>
      </c>
      <c r="F255" t="s">
        <v>231</v>
      </c>
      <c r="G255" t="s">
        <v>231</v>
      </c>
      <c r="H255" t="s">
        <v>231</v>
      </c>
      <c r="I255" t="s">
        <v>3521</v>
      </c>
      <c r="J255" t="s">
        <v>231</v>
      </c>
      <c r="K255" t="s">
        <v>231</v>
      </c>
      <c r="L255" t="s">
        <v>231</v>
      </c>
      <c r="M255" t="s">
        <v>231</v>
      </c>
      <c r="N255" t="s">
        <v>231</v>
      </c>
      <c r="O255" t="s">
        <v>231</v>
      </c>
      <c r="P255" t="s">
        <v>231</v>
      </c>
      <c r="Q255" t="s">
        <v>231</v>
      </c>
      <c r="R255" t="s">
        <v>3615</v>
      </c>
      <c r="S255" t="s">
        <v>231</v>
      </c>
      <c r="T255" t="s">
        <v>231</v>
      </c>
      <c r="U255" t="s">
        <v>101</v>
      </c>
      <c r="V255" t="s">
        <v>231</v>
      </c>
      <c r="W255" t="s">
        <v>231</v>
      </c>
      <c r="X255" t="s">
        <v>3523</v>
      </c>
      <c r="Y255" t="s">
        <v>231</v>
      </c>
      <c r="Z255" t="s">
        <v>160</v>
      </c>
      <c r="AA255" t="s">
        <v>151</v>
      </c>
      <c r="AB255" t="s">
        <v>151</v>
      </c>
      <c r="AC255" t="s">
        <v>2287</v>
      </c>
      <c r="AD255" t="s">
        <v>2287</v>
      </c>
      <c r="AE255" t="s">
        <v>2288</v>
      </c>
      <c r="AF255" t="s">
        <v>4732</v>
      </c>
      <c r="AG255" t="s">
        <v>4733</v>
      </c>
      <c r="AH255" t="s">
        <v>4734</v>
      </c>
      <c r="AI255" t="s">
        <v>3618</v>
      </c>
      <c r="AJ255" t="s">
        <v>3619</v>
      </c>
      <c r="AK255" t="s">
        <v>4735</v>
      </c>
      <c r="AL255" t="s">
        <v>3548</v>
      </c>
      <c r="AM255" t="s">
        <v>3531</v>
      </c>
      <c r="AN255" t="s">
        <v>3621</v>
      </c>
      <c r="AO255" t="s">
        <v>3901</v>
      </c>
      <c r="AP255" t="s">
        <v>231</v>
      </c>
      <c r="AQ255" t="s">
        <v>231</v>
      </c>
      <c r="AR255" t="s">
        <v>231</v>
      </c>
      <c r="AS255" t="s">
        <v>231</v>
      </c>
      <c r="AT255" t="s">
        <v>231</v>
      </c>
      <c r="AU255" t="s">
        <v>231</v>
      </c>
      <c r="AV255" t="s">
        <v>231</v>
      </c>
      <c r="AW255" t="s">
        <v>231</v>
      </c>
      <c r="AX255" t="s">
        <v>231</v>
      </c>
      <c r="AY255" t="s">
        <v>231</v>
      </c>
      <c r="AZ255" t="s">
        <v>231</v>
      </c>
      <c r="BA255" t="s">
        <v>231</v>
      </c>
      <c r="BB255" t="s">
        <v>231</v>
      </c>
      <c r="BC255" t="s">
        <v>231</v>
      </c>
      <c r="BD255" t="s">
        <v>231</v>
      </c>
      <c r="BE255" t="s">
        <v>231</v>
      </c>
      <c r="BF255" t="s">
        <v>231</v>
      </c>
      <c r="BG255" t="s">
        <v>231</v>
      </c>
      <c r="BH255" t="s">
        <v>231</v>
      </c>
      <c r="BI255" t="s">
        <v>231</v>
      </c>
      <c r="BJ255" t="s">
        <v>231</v>
      </c>
      <c r="BK255" t="s">
        <v>231</v>
      </c>
      <c r="BL255" t="s">
        <v>231</v>
      </c>
      <c r="BM255" t="s">
        <v>231</v>
      </c>
      <c r="BN255" t="s">
        <v>231</v>
      </c>
      <c r="BO255" t="s">
        <v>231</v>
      </c>
      <c r="BP255" t="s">
        <v>231</v>
      </c>
      <c r="BQ255" t="s">
        <v>231</v>
      </c>
      <c r="BR255" t="s">
        <v>231</v>
      </c>
      <c r="BS255" t="s">
        <v>231</v>
      </c>
      <c r="BT255" t="s">
        <v>231</v>
      </c>
      <c r="BU255" t="s">
        <v>231</v>
      </c>
      <c r="BV255" t="s">
        <v>231</v>
      </c>
      <c r="BW255" t="s">
        <v>231</v>
      </c>
      <c r="BX255" t="s">
        <v>231</v>
      </c>
      <c r="BY255" t="s">
        <v>231</v>
      </c>
      <c r="BZ255" t="s">
        <v>231</v>
      </c>
      <c r="CA255" t="s">
        <v>231</v>
      </c>
      <c r="CB255" t="s">
        <v>231</v>
      </c>
      <c r="CC255" t="s">
        <v>231</v>
      </c>
      <c r="CD255" t="s">
        <v>231</v>
      </c>
      <c r="CE255" t="s">
        <v>231</v>
      </c>
      <c r="CF255" t="s">
        <v>231</v>
      </c>
      <c r="CG255" t="s">
        <v>231</v>
      </c>
      <c r="CH255" t="s">
        <v>231</v>
      </c>
      <c r="CI255" t="s">
        <v>231</v>
      </c>
      <c r="CJ255" t="s">
        <v>231</v>
      </c>
      <c r="CK255" t="s">
        <v>231</v>
      </c>
      <c r="CL255" t="s">
        <v>231</v>
      </c>
      <c r="CM255" t="s">
        <v>231</v>
      </c>
      <c r="CN255" t="s">
        <v>231</v>
      </c>
      <c r="CO255" t="s">
        <v>231</v>
      </c>
      <c r="CP255" t="s">
        <v>231</v>
      </c>
      <c r="CQ255" t="s">
        <v>231</v>
      </c>
      <c r="CR255" t="s">
        <v>231</v>
      </c>
      <c r="CS255" t="s">
        <v>231</v>
      </c>
      <c r="CT255" t="s">
        <v>3534</v>
      </c>
      <c r="CU255" t="s">
        <v>3535</v>
      </c>
      <c r="CV255" t="s">
        <v>3536</v>
      </c>
      <c r="CW255" t="s">
        <v>3623</v>
      </c>
      <c r="CX255" t="s">
        <v>223</v>
      </c>
      <c r="CY255" t="s">
        <v>3536</v>
      </c>
      <c r="CZ255" t="s">
        <v>3624</v>
      </c>
      <c r="DA255" t="s">
        <v>3625</v>
      </c>
      <c r="DB255" t="s">
        <v>3623</v>
      </c>
      <c r="DC255" t="s">
        <v>363</v>
      </c>
      <c r="DD255" t="s">
        <v>282</v>
      </c>
      <c r="DE255" t="s">
        <v>4736</v>
      </c>
    </row>
    <row r="256" spans="1:109" ht="11.25" customHeight="1">
      <c r="A256" s="1314" t="s">
        <v>231</v>
      </c>
      <c r="B256" t="s">
        <v>231</v>
      </c>
      <c r="C256" t="s">
        <v>231</v>
      </c>
      <c r="D256" t="s">
        <v>231</v>
      </c>
      <c r="E256" t="s">
        <v>231</v>
      </c>
      <c r="F256" t="s">
        <v>231</v>
      </c>
      <c r="G256" t="s">
        <v>231</v>
      </c>
      <c r="H256" t="s">
        <v>231</v>
      </c>
      <c r="I256" t="s">
        <v>3521</v>
      </c>
      <c r="J256" t="s">
        <v>231</v>
      </c>
      <c r="K256" t="s">
        <v>231</v>
      </c>
      <c r="L256" t="s">
        <v>231</v>
      </c>
      <c r="M256" t="s">
        <v>231</v>
      </c>
      <c r="N256" t="s">
        <v>231</v>
      </c>
      <c r="O256" t="s">
        <v>231</v>
      </c>
      <c r="P256" t="s">
        <v>231</v>
      </c>
      <c r="Q256" t="s">
        <v>231</v>
      </c>
      <c r="R256" t="s">
        <v>4737</v>
      </c>
      <c r="S256" t="s">
        <v>231</v>
      </c>
      <c r="T256" t="s">
        <v>231</v>
      </c>
      <c r="U256" t="s">
        <v>101</v>
      </c>
      <c r="V256" t="s">
        <v>231</v>
      </c>
      <c r="W256" t="s">
        <v>231</v>
      </c>
      <c r="X256" t="s">
        <v>3523</v>
      </c>
      <c r="Y256" t="s">
        <v>231</v>
      </c>
      <c r="Z256" t="s">
        <v>160</v>
      </c>
      <c r="AA256" t="s">
        <v>151</v>
      </c>
      <c r="AB256" t="s">
        <v>151</v>
      </c>
      <c r="AC256" t="s">
        <v>2691</v>
      </c>
      <c r="AD256" t="s">
        <v>2691</v>
      </c>
      <c r="AE256" t="s">
        <v>2692</v>
      </c>
      <c r="AF256" t="s">
        <v>3991</v>
      </c>
      <c r="AG256" t="s">
        <v>3992</v>
      </c>
      <c r="AH256" t="s">
        <v>4738</v>
      </c>
      <c r="AI256" t="s">
        <v>151</v>
      </c>
      <c r="AJ256" t="s">
        <v>3866</v>
      </c>
      <c r="AK256" t="s">
        <v>4150</v>
      </c>
      <c r="AL256" t="s">
        <v>3548</v>
      </c>
      <c r="AM256" t="s">
        <v>3531</v>
      </c>
      <c r="AN256" t="s">
        <v>3595</v>
      </c>
      <c r="AO256" t="s">
        <v>4739</v>
      </c>
      <c r="AP256" t="s">
        <v>231</v>
      </c>
      <c r="AQ256" t="s">
        <v>231</v>
      </c>
      <c r="AR256" t="s">
        <v>231</v>
      </c>
      <c r="AS256" t="s">
        <v>231</v>
      </c>
      <c r="AT256" t="s">
        <v>231</v>
      </c>
      <c r="AU256" t="s">
        <v>231</v>
      </c>
      <c r="AV256" t="s">
        <v>231</v>
      </c>
      <c r="AW256" t="s">
        <v>231</v>
      </c>
      <c r="AX256" t="s">
        <v>231</v>
      </c>
      <c r="AY256" t="s">
        <v>231</v>
      </c>
      <c r="AZ256" t="s">
        <v>231</v>
      </c>
      <c r="BA256" t="s">
        <v>231</v>
      </c>
      <c r="BB256" t="s">
        <v>231</v>
      </c>
      <c r="BC256" t="s">
        <v>231</v>
      </c>
      <c r="BD256" t="s">
        <v>231</v>
      </c>
      <c r="BE256" t="s">
        <v>231</v>
      </c>
      <c r="BF256" t="s">
        <v>231</v>
      </c>
      <c r="BG256" t="s">
        <v>231</v>
      </c>
      <c r="BH256" t="s">
        <v>231</v>
      </c>
      <c r="BI256" t="s">
        <v>231</v>
      </c>
      <c r="BJ256" t="s">
        <v>231</v>
      </c>
      <c r="BK256" t="s">
        <v>231</v>
      </c>
      <c r="BL256" t="s">
        <v>231</v>
      </c>
      <c r="BM256" t="s">
        <v>231</v>
      </c>
      <c r="BN256" t="s">
        <v>231</v>
      </c>
      <c r="BO256" t="s">
        <v>231</v>
      </c>
      <c r="BP256" t="s">
        <v>231</v>
      </c>
      <c r="BQ256" t="s">
        <v>231</v>
      </c>
      <c r="BR256" t="s">
        <v>231</v>
      </c>
      <c r="BS256" t="s">
        <v>231</v>
      </c>
      <c r="BT256" t="s">
        <v>231</v>
      </c>
      <c r="BU256" t="s">
        <v>231</v>
      </c>
      <c r="BV256" t="s">
        <v>231</v>
      </c>
      <c r="BW256" t="s">
        <v>231</v>
      </c>
      <c r="BX256" t="s">
        <v>231</v>
      </c>
      <c r="BY256" t="s">
        <v>231</v>
      </c>
      <c r="BZ256" t="s">
        <v>231</v>
      </c>
      <c r="CA256" t="s">
        <v>231</v>
      </c>
      <c r="CB256" t="s">
        <v>231</v>
      </c>
      <c r="CC256" t="s">
        <v>231</v>
      </c>
      <c r="CD256" t="s">
        <v>231</v>
      </c>
      <c r="CE256" t="s">
        <v>231</v>
      </c>
      <c r="CF256" t="s">
        <v>231</v>
      </c>
      <c r="CG256" t="s">
        <v>231</v>
      </c>
      <c r="CH256" t="s">
        <v>231</v>
      </c>
      <c r="CI256" t="s">
        <v>231</v>
      </c>
      <c r="CJ256" t="s">
        <v>231</v>
      </c>
      <c r="CK256" t="s">
        <v>231</v>
      </c>
      <c r="CL256" t="s">
        <v>231</v>
      </c>
      <c r="CM256" t="s">
        <v>231</v>
      </c>
      <c r="CN256" t="s">
        <v>231</v>
      </c>
      <c r="CO256" t="s">
        <v>231</v>
      </c>
      <c r="CP256" t="s">
        <v>231</v>
      </c>
      <c r="CQ256" t="s">
        <v>231</v>
      </c>
      <c r="CR256" t="s">
        <v>231</v>
      </c>
      <c r="CS256" t="s">
        <v>231</v>
      </c>
      <c r="CT256" t="s">
        <v>3534</v>
      </c>
      <c r="CU256" t="s">
        <v>3535</v>
      </c>
      <c r="CV256" t="s">
        <v>3997</v>
      </c>
      <c r="CW256" t="s">
        <v>3998</v>
      </c>
      <c r="CX256" t="s">
        <v>3570</v>
      </c>
      <c r="CY256" t="s">
        <v>3997</v>
      </c>
      <c r="CZ256" t="s">
        <v>3575</v>
      </c>
      <c r="DA256" t="s">
        <v>3999</v>
      </c>
      <c r="DB256" t="s">
        <v>3643</v>
      </c>
      <c r="DC256" t="s">
        <v>363</v>
      </c>
      <c r="DD256" t="s">
        <v>282</v>
      </c>
      <c r="DE256" t="s">
        <v>4740</v>
      </c>
    </row>
    <row r="257" spans="1:109" ht="11.25" customHeight="1">
      <c r="A257" s="1314" t="s">
        <v>231</v>
      </c>
      <c r="B257" t="s">
        <v>231</v>
      </c>
      <c r="C257" t="s">
        <v>231</v>
      </c>
      <c r="D257" t="s">
        <v>231</v>
      </c>
      <c r="E257" t="s">
        <v>231</v>
      </c>
      <c r="F257" t="s">
        <v>231</v>
      </c>
      <c r="G257" t="s">
        <v>231</v>
      </c>
      <c r="H257" t="s">
        <v>231</v>
      </c>
      <c r="I257" t="s">
        <v>3521</v>
      </c>
      <c r="J257" t="s">
        <v>231</v>
      </c>
      <c r="K257" t="s">
        <v>231</v>
      </c>
      <c r="L257" t="s">
        <v>231</v>
      </c>
      <c r="M257" t="s">
        <v>231</v>
      </c>
      <c r="N257" t="s">
        <v>231</v>
      </c>
      <c r="O257" t="s">
        <v>231</v>
      </c>
      <c r="P257" t="s">
        <v>231</v>
      </c>
      <c r="Q257" t="s">
        <v>231</v>
      </c>
      <c r="R257" t="s">
        <v>4741</v>
      </c>
      <c r="S257" t="s">
        <v>231</v>
      </c>
      <c r="T257" t="s">
        <v>231</v>
      </c>
      <c r="U257" t="s">
        <v>101</v>
      </c>
      <c r="V257" t="s">
        <v>231</v>
      </c>
      <c r="W257" t="s">
        <v>231</v>
      </c>
      <c r="X257" t="s">
        <v>3523</v>
      </c>
      <c r="Y257" t="s">
        <v>231</v>
      </c>
      <c r="Z257" t="s">
        <v>160</v>
      </c>
      <c r="AA257" t="s">
        <v>151</v>
      </c>
      <c r="AB257" t="s">
        <v>151</v>
      </c>
      <c r="AC257" t="s">
        <v>2691</v>
      </c>
      <c r="AD257" t="s">
        <v>2691</v>
      </c>
      <c r="AE257" t="s">
        <v>2692</v>
      </c>
      <c r="AF257" t="s">
        <v>3991</v>
      </c>
      <c r="AG257" t="s">
        <v>3992</v>
      </c>
      <c r="AH257" t="s">
        <v>4742</v>
      </c>
      <c r="AI257" t="s">
        <v>482</v>
      </c>
      <c r="AJ257" t="s">
        <v>4743</v>
      </c>
      <c r="AK257" t="s">
        <v>4744</v>
      </c>
      <c r="AL257" t="s">
        <v>3566</v>
      </c>
      <c r="AM257" t="s">
        <v>3531</v>
      </c>
      <c r="AN257" t="s">
        <v>3621</v>
      </c>
      <c r="AO257" t="s">
        <v>4745</v>
      </c>
      <c r="AP257" t="s">
        <v>231</v>
      </c>
      <c r="AQ257" t="s">
        <v>231</v>
      </c>
      <c r="AR257" t="s">
        <v>231</v>
      </c>
      <c r="AS257" t="s">
        <v>231</v>
      </c>
      <c r="AT257" t="s">
        <v>231</v>
      </c>
      <c r="AU257" t="s">
        <v>231</v>
      </c>
      <c r="AV257" t="s">
        <v>231</v>
      </c>
      <c r="AW257" t="s">
        <v>231</v>
      </c>
      <c r="AX257" t="s">
        <v>231</v>
      </c>
      <c r="AY257" t="s">
        <v>231</v>
      </c>
      <c r="AZ257" t="s">
        <v>231</v>
      </c>
      <c r="BA257" t="s">
        <v>231</v>
      </c>
      <c r="BB257" t="s">
        <v>231</v>
      </c>
      <c r="BC257" t="s">
        <v>231</v>
      </c>
      <c r="BD257" t="s">
        <v>231</v>
      </c>
      <c r="BE257" t="s">
        <v>231</v>
      </c>
      <c r="BF257" t="s">
        <v>231</v>
      </c>
      <c r="BG257" t="s">
        <v>231</v>
      </c>
      <c r="BH257" t="s">
        <v>231</v>
      </c>
      <c r="BI257" t="s">
        <v>231</v>
      </c>
      <c r="BJ257" t="s">
        <v>231</v>
      </c>
      <c r="BK257" t="s">
        <v>231</v>
      </c>
      <c r="BL257" t="s">
        <v>231</v>
      </c>
      <c r="BM257" t="s">
        <v>231</v>
      </c>
      <c r="BN257" t="s">
        <v>231</v>
      </c>
      <c r="BO257" t="s">
        <v>231</v>
      </c>
      <c r="BP257" t="s">
        <v>231</v>
      </c>
      <c r="BQ257" t="s">
        <v>231</v>
      </c>
      <c r="BR257" t="s">
        <v>231</v>
      </c>
      <c r="BS257" t="s">
        <v>231</v>
      </c>
      <c r="BT257" t="s">
        <v>231</v>
      </c>
      <c r="BU257" t="s">
        <v>231</v>
      </c>
      <c r="BV257" t="s">
        <v>231</v>
      </c>
      <c r="BW257" t="s">
        <v>231</v>
      </c>
      <c r="BX257" t="s">
        <v>231</v>
      </c>
      <c r="BY257" t="s">
        <v>231</v>
      </c>
      <c r="BZ257" t="s">
        <v>231</v>
      </c>
      <c r="CA257" t="s">
        <v>231</v>
      </c>
      <c r="CB257" t="s">
        <v>231</v>
      </c>
      <c r="CC257" t="s">
        <v>231</v>
      </c>
      <c r="CD257" t="s">
        <v>231</v>
      </c>
      <c r="CE257" t="s">
        <v>231</v>
      </c>
      <c r="CF257" t="s">
        <v>231</v>
      </c>
      <c r="CG257" t="s">
        <v>231</v>
      </c>
      <c r="CH257" t="s">
        <v>231</v>
      </c>
      <c r="CI257" t="s">
        <v>231</v>
      </c>
      <c r="CJ257" t="s">
        <v>231</v>
      </c>
      <c r="CK257" t="s">
        <v>231</v>
      </c>
      <c r="CL257" t="s">
        <v>231</v>
      </c>
      <c r="CM257" t="s">
        <v>231</v>
      </c>
      <c r="CN257" t="s">
        <v>231</v>
      </c>
      <c r="CO257" t="s">
        <v>231</v>
      </c>
      <c r="CP257" t="s">
        <v>231</v>
      </c>
      <c r="CQ257" t="s">
        <v>231</v>
      </c>
      <c r="CR257" t="s">
        <v>231</v>
      </c>
      <c r="CS257" t="s">
        <v>231</v>
      </c>
      <c r="CT257" t="s">
        <v>3534</v>
      </c>
      <c r="CU257" t="s">
        <v>3535</v>
      </c>
      <c r="CV257" t="s">
        <v>3997</v>
      </c>
      <c r="CW257" t="s">
        <v>3998</v>
      </c>
      <c r="CX257" t="s">
        <v>3570</v>
      </c>
      <c r="CY257" t="s">
        <v>3997</v>
      </c>
      <c r="CZ257" t="s">
        <v>3575</v>
      </c>
      <c r="DA257" t="s">
        <v>3999</v>
      </c>
      <c r="DB257" t="s">
        <v>3643</v>
      </c>
      <c r="DC257" t="s">
        <v>363</v>
      </c>
      <c r="DD257" t="s">
        <v>282</v>
      </c>
      <c r="DE257" t="s">
        <v>4746</v>
      </c>
    </row>
    <row r="258" spans="1:109" ht="11.25" customHeight="1">
      <c r="A258" s="1314" t="s">
        <v>231</v>
      </c>
      <c r="B258" t="s">
        <v>231</v>
      </c>
      <c r="C258" t="s">
        <v>231</v>
      </c>
      <c r="D258" t="s">
        <v>231</v>
      </c>
      <c r="E258" t="s">
        <v>231</v>
      </c>
      <c r="F258" t="s">
        <v>231</v>
      </c>
      <c r="G258" t="s">
        <v>231</v>
      </c>
      <c r="H258" t="s">
        <v>231</v>
      </c>
      <c r="I258" t="s">
        <v>3521</v>
      </c>
      <c r="J258" t="s">
        <v>231</v>
      </c>
      <c r="K258" t="s">
        <v>231</v>
      </c>
      <c r="L258" t="s">
        <v>231</v>
      </c>
      <c r="M258" t="s">
        <v>231</v>
      </c>
      <c r="N258" t="s">
        <v>231</v>
      </c>
      <c r="O258" t="s">
        <v>231</v>
      </c>
      <c r="P258" t="s">
        <v>231</v>
      </c>
      <c r="Q258" t="s">
        <v>231</v>
      </c>
      <c r="R258" t="s">
        <v>3615</v>
      </c>
      <c r="S258" t="s">
        <v>231</v>
      </c>
      <c r="T258" t="s">
        <v>231</v>
      </c>
      <c r="U258" t="s">
        <v>101</v>
      </c>
      <c r="V258" t="s">
        <v>231</v>
      </c>
      <c r="W258" t="s">
        <v>231</v>
      </c>
      <c r="X258" t="s">
        <v>3523</v>
      </c>
      <c r="Y258" t="s">
        <v>231</v>
      </c>
      <c r="Z258" t="s">
        <v>160</v>
      </c>
      <c r="AA258" t="s">
        <v>151</v>
      </c>
      <c r="AB258" t="s">
        <v>151</v>
      </c>
      <c r="AC258" t="s">
        <v>2289</v>
      </c>
      <c r="AD258" t="s">
        <v>2289</v>
      </c>
      <c r="AE258" t="s">
        <v>2290</v>
      </c>
      <c r="AF258" t="s">
        <v>4454</v>
      </c>
      <c r="AG258" t="s">
        <v>4455</v>
      </c>
      <c r="AH258" t="s">
        <v>3925</v>
      </c>
      <c r="AI258" t="s">
        <v>3893</v>
      </c>
      <c r="AJ258" t="s">
        <v>3546</v>
      </c>
      <c r="AK258" t="s">
        <v>3586</v>
      </c>
      <c r="AL258" t="s">
        <v>3548</v>
      </c>
      <c r="AM258" t="s">
        <v>3531</v>
      </c>
      <c r="AN258" t="s">
        <v>3595</v>
      </c>
      <c r="AO258" t="s">
        <v>3668</v>
      </c>
      <c r="AP258" t="s">
        <v>231</v>
      </c>
      <c r="AQ258" t="s">
        <v>231</v>
      </c>
      <c r="AR258" t="s">
        <v>231</v>
      </c>
      <c r="AS258" t="s">
        <v>231</v>
      </c>
      <c r="AT258" t="s">
        <v>231</v>
      </c>
      <c r="AU258" t="s">
        <v>231</v>
      </c>
      <c r="AV258" t="s">
        <v>231</v>
      </c>
      <c r="AW258" t="s">
        <v>231</v>
      </c>
      <c r="AX258" t="s">
        <v>231</v>
      </c>
      <c r="AY258" t="s">
        <v>231</v>
      </c>
      <c r="AZ258" t="s">
        <v>231</v>
      </c>
      <c r="BA258" t="s">
        <v>231</v>
      </c>
      <c r="BB258" t="s">
        <v>231</v>
      </c>
      <c r="BC258" t="s">
        <v>231</v>
      </c>
      <c r="BD258" t="s">
        <v>231</v>
      </c>
      <c r="BE258" t="s">
        <v>231</v>
      </c>
      <c r="BF258" t="s">
        <v>231</v>
      </c>
      <c r="BG258" t="s">
        <v>231</v>
      </c>
      <c r="BH258" t="s">
        <v>231</v>
      </c>
      <c r="BI258" t="s">
        <v>231</v>
      </c>
      <c r="BJ258" t="s">
        <v>231</v>
      </c>
      <c r="BK258" t="s">
        <v>231</v>
      </c>
      <c r="BL258" t="s">
        <v>231</v>
      </c>
      <c r="BM258" t="s">
        <v>231</v>
      </c>
      <c r="BN258" t="s">
        <v>231</v>
      </c>
      <c r="BO258" t="s">
        <v>231</v>
      </c>
      <c r="BP258" t="s">
        <v>231</v>
      </c>
      <c r="BQ258" t="s">
        <v>231</v>
      </c>
      <c r="BR258" t="s">
        <v>231</v>
      </c>
      <c r="BS258" t="s">
        <v>231</v>
      </c>
      <c r="BT258" t="s">
        <v>231</v>
      </c>
      <c r="BU258" t="s">
        <v>231</v>
      </c>
      <c r="BV258" t="s">
        <v>231</v>
      </c>
      <c r="BW258" t="s">
        <v>231</v>
      </c>
      <c r="BX258" t="s">
        <v>231</v>
      </c>
      <c r="BY258" t="s">
        <v>231</v>
      </c>
      <c r="BZ258" t="s">
        <v>231</v>
      </c>
      <c r="CA258" t="s">
        <v>231</v>
      </c>
      <c r="CB258" t="s">
        <v>231</v>
      </c>
      <c r="CC258" t="s">
        <v>231</v>
      </c>
      <c r="CD258" t="s">
        <v>231</v>
      </c>
      <c r="CE258" t="s">
        <v>231</v>
      </c>
      <c r="CF258" t="s">
        <v>231</v>
      </c>
      <c r="CG258" t="s">
        <v>231</v>
      </c>
      <c r="CH258" t="s">
        <v>231</v>
      </c>
      <c r="CI258" t="s">
        <v>231</v>
      </c>
      <c r="CJ258" t="s">
        <v>231</v>
      </c>
      <c r="CK258" t="s">
        <v>231</v>
      </c>
      <c r="CL258" t="s">
        <v>231</v>
      </c>
      <c r="CM258" t="s">
        <v>231</v>
      </c>
      <c r="CN258" t="s">
        <v>231</v>
      </c>
      <c r="CO258" t="s">
        <v>231</v>
      </c>
      <c r="CP258" t="s">
        <v>231</v>
      </c>
      <c r="CQ258" t="s">
        <v>231</v>
      </c>
      <c r="CR258" t="s">
        <v>231</v>
      </c>
      <c r="CS258" t="s">
        <v>231</v>
      </c>
      <c r="CT258" t="s">
        <v>3534</v>
      </c>
      <c r="CU258" t="s">
        <v>3535</v>
      </c>
      <c r="CV258" t="s">
        <v>3536</v>
      </c>
      <c r="CW258" t="s">
        <v>3589</v>
      </c>
      <c r="CX258" t="s">
        <v>223</v>
      </c>
      <c r="CY258" t="s">
        <v>3536</v>
      </c>
      <c r="CZ258" t="s">
        <v>3590</v>
      </c>
      <c r="DA258" t="s">
        <v>3591</v>
      </c>
      <c r="DB258" t="s">
        <v>3589</v>
      </c>
      <c r="DC258" t="s">
        <v>363</v>
      </c>
      <c r="DD258" t="s">
        <v>282</v>
      </c>
      <c r="DE258" t="s">
        <v>4747</v>
      </c>
    </row>
    <row r="259" spans="1:109" ht="11.25" customHeight="1">
      <c r="A259" s="1314" t="s">
        <v>231</v>
      </c>
      <c r="B259" t="s">
        <v>231</v>
      </c>
      <c r="C259" t="s">
        <v>231</v>
      </c>
      <c r="D259" t="s">
        <v>231</v>
      </c>
      <c r="E259" t="s">
        <v>231</v>
      </c>
      <c r="F259" t="s">
        <v>231</v>
      </c>
      <c r="G259" t="s">
        <v>231</v>
      </c>
      <c r="H259" t="s">
        <v>231</v>
      </c>
      <c r="I259" t="s">
        <v>3521</v>
      </c>
      <c r="J259" t="s">
        <v>231</v>
      </c>
      <c r="K259" t="s">
        <v>231</v>
      </c>
      <c r="L259" t="s">
        <v>231</v>
      </c>
      <c r="M259" t="s">
        <v>231</v>
      </c>
      <c r="N259" t="s">
        <v>231</v>
      </c>
      <c r="O259" t="s">
        <v>231</v>
      </c>
      <c r="P259" t="s">
        <v>231</v>
      </c>
      <c r="Q259" t="s">
        <v>231</v>
      </c>
      <c r="R259" t="s">
        <v>3615</v>
      </c>
      <c r="S259" t="s">
        <v>231</v>
      </c>
      <c r="T259" t="s">
        <v>231</v>
      </c>
      <c r="U259" t="s">
        <v>101</v>
      </c>
      <c r="V259" t="s">
        <v>231</v>
      </c>
      <c r="W259" t="s">
        <v>231</v>
      </c>
      <c r="X259" t="s">
        <v>3523</v>
      </c>
      <c r="Y259" t="s">
        <v>231</v>
      </c>
      <c r="Z259" t="s">
        <v>160</v>
      </c>
      <c r="AA259" t="s">
        <v>151</v>
      </c>
      <c r="AB259" t="s">
        <v>151</v>
      </c>
      <c r="AC259" t="s">
        <v>2289</v>
      </c>
      <c r="AD259" t="s">
        <v>2289</v>
      </c>
      <c r="AE259" t="s">
        <v>2290</v>
      </c>
      <c r="AF259" t="s">
        <v>4454</v>
      </c>
      <c r="AG259" t="s">
        <v>4455</v>
      </c>
      <c r="AH259" t="s">
        <v>4671</v>
      </c>
      <c r="AI259" t="s">
        <v>4016</v>
      </c>
      <c r="AJ259" t="s">
        <v>3546</v>
      </c>
      <c r="AK259" t="s">
        <v>4718</v>
      </c>
      <c r="AL259" t="s">
        <v>3548</v>
      </c>
      <c r="AM259" t="s">
        <v>3531</v>
      </c>
      <c r="AN259" t="s">
        <v>3595</v>
      </c>
      <c r="AO259" t="s">
        <v>3679</v>
      </c>
      <c r="AP259" t="s">
        <v>231</v>
      </c>
      <c r="AQ259" t="s">
        <v>231</v>
      </c>
      <c r="AR259" t="s">
        <v>231</v>
      </c>
      <c r="AS259" t="s">
        <v>231</v>
      </c>
      <c r="AT259" t="s">
        <v>231</v>
      </c>
      <c r="AU259" t="s">
        <v>231</v>
      </c>
      <c r="AV259" t="s">
        <v>231</v>
      </c>
      <c r="AW259" t="s">
        <v>231</v>
      </c>
      <c r="AX259" t="s">
        <v>231</v>
      </c>
      <c r="AY259" t="s">
        <v>231</v>
      </c>
      <c r="AZ259" t="s">
        <v>231</v>
      </c>
      <c r="BA259" t="s">
        <v>231</v>
      </c>
      <c r="BB259" t="s">
        <v>231</v>
      </c>
      <c r="BC259" t="s">
        <v>231</v>
      </c>
      <c r="BD259" t="s">
        <v>231</v>
      </c>
      <c r="BE259" t="s">
        <v>231</v>
      </c>
      <c r="BF259" t="s">
        <v>231</v>
      </c>
      <c r="BG259" t="s">
        <v>231</v>
      </c>
      <c r="BH259" t="s">
        <v>231</v>
      </c>
      <c r="BI259" t="s">
        <v>231</v>
      </c>
      <c r="BJ259" t="s">
        <v>231</v>
      </c>
      <c r="BK259" t="s">
        <v>231</v>
      </c>
      <c r="BL259" t="s">
        <v>231</v>
      </c>
      <c r="BM259" t="s">
        <v>231</v>
      </c>
      <c r="BN259" t="s">
        <v>231</v>
      </c>
      <c r="BO259" t="s">
        <v>231</v>
      </c>
      <c r="BP259" t="s">
        <v>231</v>
      </c>
      <c r="BQ259" t="s">
        <v>231</v>
      </c>
      <c r="BR259" t="s">
        <v>231</v>
      </c>
      <c r="BS259" t="s">
        <v>231</v>
      </c>
      <c r="BT259" t="s">
        <v>231</v>
      </c>
      <c r="BU259" t="s">
        <v>231</v>
      </c>
      <c r="BV259" t="s">
        <v>231</v>
      </c>
      <c r="BW259" t="s">
        <v>231</v>
      </c>
      <c r="BX259" t="s">
        <v>231</v>
      </c>
      <c r="BY259" t="s">
        <v>231</v>
      </c>
      <c r="BZ259" t="s">
        <v>231</v>
      </c>
      <c r="CA259" t="s">
        <v>231</v>
      </c>
      <c r="CB259" t="s">
        <v>231</v>
      </c>
      <c r="CC259" t="s">
        <v>231</v>
      </c>
      <c r="CD259" t="s">
        <v>231</v>
      </c>
      <c r="CE259" t="s">
        <v>231</v>
      </c>
      <c r="CF259" t="s">
        <v>231</v>
      </c>
      <c r="CG259" t="s">
        <v>231</v>
      </c>
      <c r="CH259" t="s">
        <v>231</v>
      </c>
      <c r="CI259" t="s">
        <v>231</v>
      </c>
      <c r="CJ259" t="s">
        <v>231</v>
      </c>
      <c r="CK259" t="s">
        <v>231</v>
      </c>
      <c r="CL259" t="s">
        <v>231</v>
      </c>
      <c r="CM259" t="s">
        <v>231</v>
      </c>
      <c r="CN259" t="s">
        <v>231</v>
      </c>
      <c r="CO259" t="s">
        <v>231</v>
      </c>
      <c r="CP259" t="s">
        <v>231</v>
      </c>
      <c r="CQ259" t="s">
        <v>231</v>
      </c>
      <c r="CR259" t="s">
        <v>231</v>
      </c>
      <c r="CS259" t="s">
        <v>231</v>
      </c>
      <c r="CT259" t="s">
        <v>3534</v>
      </c>
      <c r="CU259" t="s">
        <v>3535</v>
      </c>
      <c r="CV259" t="s">
        <v>3536</v>
      </c>
      <c r="CW259" t="s">
        <v>3589</v>
      </c>
      <c r="CX259" t="s">
        <v>223</v>
      </c>
      <c r="CY259" t="s">
        <v>3536</v>
      </c>
      <c r="CZ259" t="s">
        <v>3590</v>
      </c>
      <c r="DA259" t="s">
        <v>3591</v>
      </c>
      <c r="DB259" t="s">
        <v>3589</v>
      </c>
      <c r="DC259" t="s">
        <v>363</v>
      </c>
      <c r="DD259" t="s">
        <v>282</v>
      </c>
      <c r="DE259" t="s">
        <v>4748</v>
      </c>
    </row>
    <row r="260" spans="1:109" ht="11.25" customHeight="1">
      <c r="A260" s="1314" t="s">
        <v>231</v>
      </c>
      <c r="B260" t="s">
        <v>231</v>
      </c>
      <c r="C260" t="s">
        <v>231</v>
      </c>
      <c r="D260" t="s">
        <v>231</v>
      </c>
      <c r="E260" t="s">
        <v>231</v>
      </c>
      <c r="F260" t="s">
        <v>231</v>
      </c>
      <c r="G260" t="s">
        <v>231</v>
      </c>
      <c r="H260" t="s">
        <v>231</v>
      </c>
      <c r="I260" t="s">
        <v>3521</v>
      </c>
      <c r="J260" t="s">
        <v>231</v>
      </c>
      <c r="K260" t="s">
        <v>231</v>
      </c>
      <c r="L260" t="s">
        <v>231</v>
      </c>
      <c r="M260" t="s">
        <v>231</v>
      </c>
      <c r="N260" t="s">
        <v>231</v>
      </c>
      <c r="O260" t="s">
        <v>231</v>
      </c>
      <c r="P260" t="s">
        <v>231</v>
      </c>
      <c r="Q260" t="s">
        <v>231</v>
      </c>
      <c r="R260" t="s">
        <v>4749</v>
      </c>
      <c r="S260" t="s">
        <v>231</v>
      </c>
      <c r="T260" t="s">
        <v>231</v>
      </c>
      <c r="U260" t="s">
        <v>101</v>
      </c>
      <c r="V260" t="s">
        <v>231</v>
      </c>
      <c r="W260" t="s">
        <v>231</v>
      </c>
      <c r="X260" t="s">
        <v>3628</v>
      </c>
      <c r="Y260" t="s">
        <v>231</v>
      </c>
      <c r="Z260" t="s">
        <v>151</v>
      </c>
      <c r="AA260" t="s">
        <v>151</v>
      </c>
      <c r="AB260" t="s">
        <v>160</v>
      </c>
      <c r="AC260" t="s">
        <v>2287</v>
      </c>
      <c r="AD260" t="s">
        <v>2287</v>
      </c>
      <c r="AE260" t="s">
        <v>2288</v>
      </c>
      <c r="AF260" t="s">
        <v>4554</v>
      </c>
      <c r="AG260" t="s">
        <v>4555</v>
      </c>
      <c r="AH260" t="s">
        <v>3618</v>
      </c>
      <c r="AI260" t="s">
        <v>3618</v>
      </c>
      <c r="AJ260" t="s">
        <v>231</v>
      </c>
      <c r="AK260" t="s">
        <v>231</v>
      </c>
      <c r="AL260" t="s">
        <v>231</v>
      </c>
      <c r="AM260" t="s">
        <v>231</v>
      </c>
      <c r="AN260" t="s">
        <v>231</v>
      </c>
      <c r="AO260" t="s">
        <v>231</v>
      </c>
      <c r="AP260" t="s">
        <v>231</v>
      </c>
      <c r="AQ260" t="s">
        <v>231</v>
      </c>
      <c r="AR260" t="s">
        <v>231</v>
      </c>
      <c r="AS260" t="s">
        <v>231</v>
      </c>
      <c r="AT260" t="s">
        <v>231</v>
      </c>
      <c r="AU260" t="s">
        <v>231</v>
      </c>
      <c r="AV260" t="s">
        <v>231</v>
      </c>
      <c r="AW260" t="s">
        <v>231</v>
      </c>
      <c r="AX260" t="s">
        <v>231</v>
      </c>
      <c r="AY260" t="s">
        <v>231</v>
      </c>
      <c r="AZ260" t="s">
        <v>231</v>
      </c>
      <c r="BA260" t="s">
        <v>231</v>
      </c>
      <c r="BB260" t="s">
        <v>231</v>
      </c>
      <c r="BC260" t="s">
        <v>231</v>
      </c>
      <c r="BD260" t="s">
        <v>231</v>
      </c>
      <c r="BE260" t="s">
        <v>3619</v>
      </c>
      <c r="BF260" t="s">
        <v>3858</v>
      </c>
      <c r="BG260" t="s">
        <v>111</v>
      </c>
      <c r="BH260" t="s">
        <v>3632</v>
      </c>
      <c r="BI260" t="s">
        <v>122</v>
      </c>
      <c r="BJ260" t="s">
        <v>231</v>
      </c>
      <c r="BK260" t="s">
        <v>3651</v>
      </c>
      <c r="BL260" t="s">
        <v>2287</v>
      </c>
      <c r="BM260" t="s">
        <v>2287</v>
      </c>
      <c r="BN260" t="s">
        <v>3842</v>
      </c>
      <c r="BO260" t="s">
        <v>4554</v>
      </c>
      <c r="BP260" t="s">
        <v>4750</v>
      </c>
      <c r="BQ260" t="s">
        <v>3618</v>
      </c>
      <c r="BR260" t="s">
        <v>3618</v>
      </c>
      <c r="BS260" t="s">
        <v>231</v>
      </c>
      <c r="BT260" t="s">
        <v>3694</v>
      </c>
      <c r="BU260" t="s">
        <v>4751</v>
      </c>
      <c r="BV260" t="s">
        <v>4751</v>
      </c>
      <c r="BW260" t="s">
        <v>3641</v>
      </c>
      <c r="BX260" t="s">
        <v>3641</v>
      </c>
      <c r="BY260" t="s">
        <v>3641</v>
      </c>
      <c r="BZ260" t="s">
        <v>3641</v>
      </c>
      <c r="CA260" t="s">
        <v>3641</v>
      </c>
      <c r="CB260" t="s">
        <v>231</v>
      </c>
      <c r="CC260" t="s">
        <v>231</v>
      </c>
      <c r="CD260" t="s">
        <v>231</v>
      </c>
      <c r="CE260" t="s">
        <v>231</v>
      </c>
      <c r="CF260" t="s">
        <v>231</v>
      </c>
      <c r="CG260" t="s">
        <v>3641</v>
      </c>
      <c r="CH260" t="s">
        <v>231</v>
      </c>
      <c r="CI260" t="s">
        <v>231</v>
      </c>
      <c r="CJ260" t="s">
        <v>231</v>
      </c>
      <c r="CK260" t="s">
        <v>231</v>
      </c>
      <c r="CL260" t="s">
        <v>231</v>
      </c>
      <c r="CM260" t="s">
        <v>4751</v>
      </c>
      <c r="CN260" t="s">
        <v>4751</v>
      </c>
      <c r="CO260" t="s">
        <v>231</v>
      </c>
      <c r="CP260" t="s">
        <v>231</v>
      </c>
      <c r="CQ260" t="s">
        <v>231</v>
      </c>
      <c r="CR260" t="s">
        <v>231</v>
      </c>
      <c r="CS260" t="s">
        <v>3621</v>
      </c>
      <c r="CT260" t="s">
        <v>3534</v>
      </c>
      <c r="CU260" t="s">
        <v>3535</v>
      </c>
      <c r="CV260" t="s">
        <v>3536</v>
      </c>
      <c r="CW260" t="s">
        <v>3623</v>
      </c>
      <c r="CX260" t="s">
        <v>223</v>
      </c>
      <c r="CY260" t="s">
        <v>3536</v>
      </c>
      <c r="CZ260" t="s">
        <v>3624</v>
      </c>
      <c r="DA260" t="s">
        <v>3625</v>
      </c>
      <c r="DB260" t="s">
        <v>3623</v>
      </c>
      <c r="DC260" t="s">
        <v>363</v>
      </c>
      <c r="DD260" t="s">
        <v>282</v>
      </c>
      <c r="DE260" t="s">
        <v>4752</v>
      </c>
    </row>
    <row r="261" spans="1:109" ht="11.25" customHeight="1">
      <c r="A261" s="1314" t="s">
        <v>231</v>
      </c>
      <c r="B261" t="s">
        <v>231</v>
      </c>
      <c r="C261" t="s">
        <v>231</v>
      </c>
      <c r="D261" t="s">
        <v>231</v>
      </c>
      <c r="E261" t="s">
        <v>231</v>
      </c>
      <c r="F261" t="s">
        <v>231</v>
      </c>
      <c r="G261" t="s">
        <v>231</v>
      </c>
      <c r="H261" t="s">
        <v>231</v>
      </c>
      <c r="I261" t="s">
        <v>3521</v>
      </c>
      <c r="J261" t="s">
        <v>231</v>
      </c>
      <c r="K261" t="s">
        <v>231</v>
      </c>
      <c r="L261" t="s">
        <v>231</v>
      </c>
      <c r="M261" t="s">
        <v>231</v>
      </c>
      <c r="N261" t="s">
        <v>231</v>
      </c>
      <c r="O261" t="s">
        <v>231</v>
      </c>
      <c r="P261" t="s">
        <v>231</v>
      </c>
      <c r="Q261" t="s">
        <v>231</v>
      </c>
      <c r="R261" t="s">
        <v>4753</v>
      </c>
      <c r="S261" t="s">
        <v>231</v>
      </c>
      <c r="T261" t="s">
        <v>231</v>
      </c>
      <c r="U261" t="s">
        <v>101</v>
      </c>
      <c r="V261" t="s">
        <v>231</v>
      </c>
      <c r="W261" t="s">
        <v>231</v>
      </c>
      <c r="X261" t="s">
        <v>3523</v>
      </c>
      <c r="Y261" t="s">
        <v>231</v>
      </c>
      <c r="Z261" t="s">
        <v>160</v>
      </c>
      <c r="AA261" t="s">
        <v>151</v>
      </c>
      <c r="AB261" t="s">
        <v>151</v>
      </c>
      <c r="AC261" t="s">
        <v>2287</v>
      </c>
      <c r="AD261" t="s">
        <v>2287</v>
      </c>
      <c r="AE261" t="s">
        <v>2288</v>
      </c>
      <c r="AF261" t="s">
        <v>4754</v>
      </c>
      <c r="AG261" t="s">
        <v>4755</v>
      </c>
      <c r="AH261" t="s">
        <v>4034</v>
      </c>
      <c r="AI261" t="s">
        <v>4756</v>
      </c>
      <c r="AJ261" t="s">
        <v>3619</v>
      </c>
      <c r="AK261" t="s">
        <v>4757</v>
      </c>
      <c r="AL261" t="s">
        <v>3548</v>
      </c>
      <c r="AM261" t="s">
        <v>3531</v>
      </c>
      <c r="AN261" t="s">
        <v>3621</v>
      </c>
      <c r="AO261" t="s">
        <v>4151</v>
      </c>
      <c r="AP261" t="s">
        <v>231</v>
      </c>
      <c r="AQ261" t="s">
        <v>231</v>
      </c>
      <c r="AR261" t="s">
        <v>231</v>
      </c>
      <c r="AS261" t="s">
        <v>231</v>
      </c>
      <c r="AT261" t="s">
        <v>231</v>
      </c>
      <c r="AU261" t="s">
        <v>231</v>
      </c>
      <c r="AV261" t="s">
        <v>231</v>
      </c>
      <c r="AW261" t="s">
        <v>231</v>
      </c>
      <c r="AX261" t="s">
        <v>231</v>
      </c>
      <c r="AY261" t="s">
        <v>231</v>
      </c>
      <c r="AZ261" t="s">
        <v>231</v>
      </c>
      <c r="BA261" t="s">
        <v>231</v>
      </c>
      <c r="BB261" t="s">
        <v>231</v>
      </c>
      <c r="BC261" t="s">
        <v>231</v>
      </c>
      <c r="BD261" t="s">
        <v>231</v>
      </c>
      <c r="BE261" t="s">
        <v>231</v>
      </c>
      <c r="BF261" t="s">
        <v>231</v>
      </c>
      <c r="BG261" t="s">
        <v>231</v>
      </c>
      <c r="BH261" t="s">
        <v>231</v>
      </c>
      <c r="BI261" t="s">
        <v>231</v>
      </c>
      <c r="BJ261" t="s">
        <v>231</v>
      </c>
      <c r="BK261" t="s">
        <v>231</v>
      </c>
      <c r="BL261" t="s">
        <v>231</v>
      </c>
      <c r="BM261" t="s">
        <v>231</v>
      </c>
      <c r="BN261" t="s">
        <v>231</v>
      </c>
      <c r="BO261" t="s">
        <v>231</v>
      </c>
      <c r="BP261" t="s">
        <v>231</v>
      </c>
      <c r="BQ261" t="s">
        <v>231</v>
      </c>
      <c r="BR261" t="s">
        <v>231</v>
      </c>
      <c r="BS261" t="s">
        <v>231</v>
      </c>
      <c r="BT261" t="s">
        <v>231</v>
      </c>
      <c r="BU261" t="s">
        <v>231</v>
      </c>
      <c r="BV261" t="s">
        <v>231</v>
      </c>
      <c r="BW261" t="s">
        <v>231</v>
      </c>
      <c r="BX261" t="s">
        <v>231</v>
      </c>
      <c r="BY261" t="s">
        <v>231</v>
      </c>
      <c r="BZ261" t="s">
        <v>231</v>
      </c>
      <c r="CA261" t="s">
        <v>231</v>
      </c>
      <c r="CB261" t="s">
        <v>231</v>
      </c>
      <c r="CC261" t="s">
        <v>231</v>
      </c>
      <c r="CD261" t="s">
        <v>231</v>
      </c>
      <c r="CE261" t="s">
        <v>231</v>
      </c>
      <c r="CF261" t="s">
        <v>231</v>
      </c>
      <c r="CG261" t="s">
        <v>231</v>
      </c>
      <c r="CH261" t="s">
        <v>231</v>
      </c>
      <c r="CI261" t="s">
        <v>231</v>
      </c>
      <c r="CJ261" t="s">
        <v>231</v>
      </c>
      <c r="CK261" t="s">
        <v>231</v>
      </c>
      <c r="CL261" t="s">
        <v>231</v>
      </c>
      <c r="CM261" t="s">
        <v>231</v>
      </c>
      <c r="CN261" t="s">
        <v>231</v>
      </c>
      <c r="CO261" t="s">
        <v>231</v>
      </c>
      <c r="CP261" t="s">
        <v>231</v>
      </c>
      <c r="CQ261" t="s">
        <v>231</v>
      </c>
      <c r="CR261" t="s">
        <v>231</v>
      </c>
      <c r="CS261" t="s">
        <v>231</v>
      </c>
      <c r="CT261" t="s">
        <v>3534</v>
      </c>
      <c r="CU261" t="s">
        <v>3535</v>
      </c>
      <c r="CV261" t="s">
        <v>3536</v>
      </c>
      <c r="CW261" t="s">
        <v>3623</v>
      </c>
      <c r="CX261" t="s">
        <v>223</v>
      </c>
      <c r="CY261" t="s">
        <v>3536</v>
      </c>
      <c r="CZ261" t="s">
        <v>3624</v>
      </c>
      <c r="DA261" t="s">
        <v>3625</v>
      </c>
      <c r="DB261" t="s">
        <v>3623</v>
      </c>
      <c r="DC261" t="s">
        <v>363</v>
      </c>
      <c r="DD261" t="s">
        <v>282</v>
      </c>
      <c r="DE261" t="s">
        <v>4758</v>
      </c>
    </row>
    <row r="262" spans="1:109" ht="11.25" customHeight="1">
      <c r="A262" s="1314" t="s">
        <v>231</v>
      </c>
      <c r="B262" t="s">
        <v>231</v>
      </c>
      <c r="C262" t="s">
        <v>231</v>
      </c>
      <c r="D262" t="s">
        <v>231</v>
      </c>
      <c r="E262" t="s">
        <v>231</v>
      </c>
      <c r="F262" t="s">
        <v>231</v>
      </c>
      <c r="G262" t="s">
        <v>231</v>
      </c>
      <c r="H262" t="s">
        <v>231</v>
      </c>
      <c r="I262" t="s">
        <v>3521</v>
      </c>
      <c r="J262" t="s">
        <v>231</v>
      </c>
      <c r="K262" t="s">
        <v>231</v>
      </c>
      <c r="L262" t="s">
        <v>231</v>
      </c>
      <c r="M262" t="s">
        <v>231</v>
      </c>
      <c r="N262" t="s">
        <v>231</v>
      </c>
      <c r="O262" t="s">
        <v>231</v>
      </c>
      <c r="P262" t="s">
        <v>231</v>
      </c>
      <c r="Q262" t="s">
        <v>231</v>
      </c>
      <c r="R262" t="s">
        <v>4759</v>
      </c>
      <c r="S262" t="s">
        <v>231</v>
      </c>
      <c r="T262" t="s">
        <v>231</v>
      </c>
      <c r="U262" t="s">
        <v>101</v>
      </c>
      <c r="V262" t="s">
        <v>231</v>
      </c>
      <c r="W262" t="s">
        <v>231</v>
      </c>
      <c r="X262" t="s">
        <v>3628</v>
      </c>
      <c r="Y262" t="s">
        <v>231</v>
      </c>
      <c r="Z262" t="s">
        <v>151</v>
      </c>
      <c r="AA262" t="s">
        <v>151</v>
      </c>
      <c r="AB262" t="s">
        <v>160</v>
      </c>
      <c r="AC262" t="s">
        <v>2287</v>
      </c>
      <c r="AD262" t="s">
        <v>2287</v>
      </c>
      <c r="AE262" t="s">
        <v>2288</v>
      </c>
      <c r="AF262" t="s">
        <v>4563</v>
      </c>
      <c r="AG262" t="s">
        <v>4564</v>
      </c>
      <c r="AH262" t="s">
        <v>3618</v>
      </c>
      <c r="AI262" t="s">
        <v>3618</v>
      </c>
      <c r="AJ262" t="s">
        <v>231</v>
      </c>
      <c r="AK262" t="s">
        <v>231</v>
      </c>
      <c r="AL262" t="s">
        <v>231</v>
      </c>
      <c r="AM262" t="s">
        <v>231</v>
      </c>
      <c r="AN262" t="s">
        <v>231</v>
      </c>
      <c r="AO262" t="s">
        <v>231</v>
      </c>
      <c r="AP262" t="s">
        <v>231</v>
      </c>
      <c r="AQ262" t="s">
        <v>231</v>
      </c>
      <c r="AR262" t="s">
        <v>231</v>
      </c>
      <c r="AS262" t="s">
        <v>231</v>
      </c>
      <c r="AT262" t="s">
        <v>231</v>
      </c>
      <c r="AU262" t="s">
        <v>231</v>
      </c>
      <c r="AV262" t="s">
        <v>231</v>
      </c>
      <c r="AW262" t="s">
        <v>231</v>
      </c>
      <c r="AX262" t="s">
        <v>231</v>
      </c>
      <c r="AY262" t="s">
        <v>231</v>
      </c>
      <c r="AZ262" t="s">
        <v>231</v>
      </c>
      <c r="BA262" t="s">
        <v>231</v>
      </c>
      <c r="BB262" t="s">
        <v>231</v>
      </c>
      <c r="BC262" t="s">
        <v>231</v>
      </c>
      <c r="BD262" t="s">
        <v>231</v>
      </c>
      <c r="BE262" t="s">
        <v>3619</v>
      </c>
      <c r="BF262" t="s">
        <v>4565</v>
      </c>
      <c r="BG262" t="s">
        <v>111</v>
      </c>
      <c r="BH262" t="s">
        <v>3632</v>
      </c>
      <c r="BI262" t="s">
        <v>122</v>
      </c>
      <c r="BJ262" t="s">
        <v>231</v>
      </c>
      <c r="BK262" t="s">
        <v>3651</v>
      </c>
      <c r="BL262" t="s">
        <v>2287</v>
      </c>
      <c r="BM262" t="s">
        <v>2287</v>
      </c>
      <c r="BN262" t="s">
        <v>3842</v>
      </c>
      <c r="BO262" t="s">
        <v>4563</v>
      </c>
      <c r="BP262" t="s">
        <v>4760</v>
      </c>
      <c r="BQ262" t="s">
        <v>3618</v>
      </c>
      <c r="BR262" t="s">
        <v>3618</v>
      </c>
      <c r="BS262" t="s">
        <v>231</v>
      </c>
      <c r="BT262" t="s">
        <v>3694</v>
      </c>
      <c r="BU262" t="s">
        <v>4761</v>
      </c>
      <c r="BV262" t="s">
        <v>4761</v>
      </c>
      <c r="BW262" t="s">
        <v>3641</v>
      </c>
      <c r="BX262" t="s">
        <v>3641</v>
      </c>
      <c r="BY262" t="s">
        <v>3641</v>
      </c>
      <c r="BZ262" t="s">
        <v>3641</v>
      </c>
      <c r="CA262" t="s">
        <v>3641</v>
      </c>
      <c r="CB262" t="s">
        <v>231</v>
      </c>
      <c r="CC262" t="s">
        <v>231</v>
      </c>
      <c r="CD262" t="s">
        <v>231</v>
      </c>
      <c r="CE262" t="s">
        <v>231</v>
      </c>
      <c r="CF262" t="s">
        <v>231</v>
      </c>
      <c r="CG262" t="s">
        <v>3641</v>
      </c>
      <c r="CH262" t="s">
        <v>231</v>
      </c>
      <c r="CI262" t="s">
        <v>231</v>
      </c>
      <c r="CJ262" t="s">
        <v>231</v>
      </c>
      <c r="CK262" t="s">
        <v>231</v>
      </c>
      <c r="CL262" t="s">
        <v>231</v>
      </c>
      <c r="CM262" t="s">
        <v>4761</v>
      </c>
      <c r="CN262" t="s">
        <v>4761</v>
      </c>
      <c r="CO262" t="s">
        <v>231</v>
      </c>
      <c r="CP262" t="s">
        <v>231</v>
      </c>
      <c r="CQ262" t="s">
        <v>231</v>
      </c>
      <c r="CR262" t="s">
        <v>231</v>
      </c>
      <c r="CS262" t="s">
        <v>3595</v>
      </c>
      <c r="CT262" t="s">
        <v>3534</v>
      </c>
      <c r="CU262" t="s">
        <v>3535</v>
      </c>
      <c r="CV262" t="s">
        <v>3536</v>
      </c>
      <c r="CW262" t="s">
        <v>3623</v>
      </c>
      <c r="CX262" t="s">
        <v>223</v>
      </c>
      <c r="CY262" t="s">
        <v>3536</v>
      </c>
      <c r="CZ262" t="s">
        <v>3624</v>
      </c>
      <c r="DA262" t="s">
        <v>3625</v>
      </c>
      <c r="DB262" t="s">
        <v>3623</v>
      </c>
      <c r="DC262" t="s">
        <v>363</v>
      </c>
      <c r="DD262" t="s">
        <v>282</v>
      </c>
      <c r="DE262" t="s">
        <v>4566</v>
      </c>
    </row>
    <row r="263" spans="1:109" ht="11.25" customHeight="1">
      <c r="A263" s="1314" t="s">
        <v>231</v>
      </c>
      <c r="B263" t="s">
        <v>231</v>
      </c>
      <c r="C263" t="s">
        <v>231</v>
      </c>
      <c r="D263" t="s">
        <v>231</v>
      </c>
      <c r="E263" t="s">
        <v>231</v>
      </c>
      <c r="F263" t="s">
        <v>231</v>
      </c>
      <c r="G263" t="s">
        <v>231</v>
      </c>
      <c r="H263" t="s">
        <v>231</v>
      </c>
      <c r="I263" t="s">
        <v>3521</v>
      </c>
      <c r="J263" t="s">
        <v>231</v>
      </c>
      <c r="K263" t="s">
        <v>231</v>
      </c>
      <c r="L263" t="s">
        <v>231</v>
      </c>
      <c r="M263" t="s">
        <v>231</v>
      </c>
      <c r="N263" t="s">
        <v>231</v>
      </c>
      <c r="O263" t="s">
        <v>231</v>
      </c>
      <c r="P263" t="s">
        <v>231</v>
      </c>
      <c r="Q263" t="s">
        <v>231</v>
      </c>
      <c r="R263" t="s">
        <v>4762</v>
      </c>
      <c r="S263" t="s">
        <v>231</v>
      </c>
      <c r="T263" t="s">
        <v>231</v>
      </c>
      <c r="U263" t="s">
        <v>101</v>
      </c>
      <c r="V263" t="s">
        <v>231</v>
      </c>
      <c r="W263" t="s">
        <v>231</v>
      </c>
      <c r="X263" t="s">
        <v>3523</v>
      </c>
      <c r="Y263" t="s">
        <v>231</v>
      </c>
      <c r="Z263" t="s">
        <v>160</v>
      </c>
      <c r="AA263" t="s">
        <v>151</v>
      </c>
      <c r="AB263" t="s">
        <v>151</v>
      </c>
      <c r="AC263" t="s">
        <v>2260</v>
      </c>
      <c r="AD263" t="s">
        <v>2260</v>
      </c>
      <c r="AE263" t="s">
        <v>2261</v>
      </c>
      <c r="AF263" t="s">
        <v>4575</v>
      </c>
      <c r="AG263" t="s">
        <v>4576</v>
      </c>
      <c r="AH263" t="s">
        <v>4763</v>
      </c>
      <c r="AI263" t="s">
        <v>3575</v>
      </c>
      <c r="AJ263" t="s">
        <v>4764</v>
      </c>
      <c r="AK263" t="s">
        <v>4580</v>
      </c>
      <c r="AL263" t="s">
        <v>3648</v>
      </c>
      <c r="AM263" t="s">
        <v>4581</v>
      </c>
      <c r="AN263" t="s">
        <v>3532</v>
      </c>
      <c r="AO263" t="s">
        <v>3821</v>
      </c>
      <c r="AP263" t="s">
        <v>231</v>
      </c>
      <c r="AQ263" t="s">
        <v>231</v>
      </c>
      <c r="AR263" t="s">
        <v>231</v>
      </c>
      <c r="AS263" t="s">
        <v>231</v>
      </c>
      <c r="AT263" t="s">
        <v>231</v>
      </c>
      <c r="AU263" t="s">
        <v>231</v>
      </c>
      <c r="AV263" t="s">
        <v>231</v>
      </c>
      <c r="AW263" t="s">
        <v>231</v>
      </c>
      <c r="AX263" t="s">
        <v>231</v>
      </c>
      <c r="AY263" t="s">
        <v>231</v>
      </c>
      <c r="AZ263" t="s">
        <v>231</v>
      </c>
      <c r="BA263" t="s">
        <v>231</v>
      </c>
      <c r="BB263" t="s">
        <v>231</v>
      </c>
      <c r="BC263" t="s">
        <v>231</v>
      </c>
      <c r="BD263" t="s">
        <v>231</v>
      </c>
      <c r="BE263" t="s">
        <v>231</v>
      </c>
      <c r="BF263" t="s">
        <v>231</v>
      </c>
      <c r="BG263" t="s">
        <v>231</v>
      </c>
      <c r="BH263" t="s">
        <v>231</v>
      </c>
      <c r="BI263" t="s">
        <v>231</v>
      </c>
      <c r="BJ263" t="s">
        <v>231</v>
      </c>
      <c r="BK263" t="s">
        <v>231</v>
      </c>
      <c r="BL263" t="s">
        <v>231</v>
      </c>
      <c r="BM263" t="s">
        <v>231</v>
      </c>
      <c r="BN263" t="s">
        <v>231</v>
      </c>
      <c r="BO263" t="s">
        <v>231</v>
      </c>
      <c r="BP263" t="s">
        <v>231</v>
      </c>
      <c r="BQ263" t="s">
        <v>231</v>
      </c>
      <c r="BR263" t="s">
        <v>231</v>
      </c>
      <c r="BS263" t="s">
        <v>231</v>
      </c>
      <c r="BT263" t="s">
        <v>231</v>
      </c>
      <c r="BU263" t="s">
        <v>231</v>
      </c>
      <c r="BV263" t="s">
        <v>231</v>
      </c>
      <c r="BW263" t="s">
        <v>231</v>
      </c>
      <c r="BX263" t="s">
        <v>231</v>
      </c>
      <c r="BY263" t="s">
        <v>231</v>
      </c>
      <c r="BZ263" t="s">
        <v>231</v>
      </c>
      <c r="CA263" t="s">
        <v>231</v>
      </c>
      <c r="CB263" t="s">
        <v>231</v>
      </c>
      <c r="CC263" t="s">
        <v>231</v>
      </c>
      <c r="CD263" t="s">
        <v>231</v>
      </c>
      <c r="CE263" t="s">
        <v>231</v>
      </c>
      <c r="CF263" t="s">
        <v>231</v>
      </c>
      <c r="CG263" t="s">
        <v>231</v>
      </c>
      <c r="CH263" t="s">
        <v>231</v>
      </c>
      <c r="CI263" t="s">
        <v>231</v>
      </c>
      <c r="CJ263" t="s">
        <v>231</v>
      </c>
      <c r="CK263" t="s">
        <v>231</v>
      </c>
      <c r="CL263" t="s">
        <v>231</v>
      </c>
      <c r="CM263" t="s">
        <v>231</v>
      </c>
      <c r="CN263" t="s">
        <v>231</v>
      </c>
      <c r="CO263" t="s">
        <v>231</v>
      </c>
      <c r="CP263" t="s">
        <v>231</v>
      </c>
      <c r="CQ263" t="s">
        <v>231</v>
      </c>
      <c r="CR263" t="s">
        <v>231</v>
      </c>
      <c r="CS263" t="s">
        <v>231</v>
      </c>
      <c r="CT263" t="s">
        <v>3534</v>
      </c>
      <c r="CU263" t="s">
        <v>3535</v>
      </c>
      <c r="CV263" t="s">
        <v>3536</v>
      </c>
      <c r="CW263" t="s">
        <v>3537</v>
      </c>
      <c r="CX263" t="s">
        <v>223</v>
      </c>
      <c r="CY263" t="s">
        <v>3536</v>
      </c>
      <c r="CZ263" t="s">
        <v>3538</v>
      </c>
      <c r="DA263" t="s">
        <v>3539</v>
      </c>
      <c r="DB263" t="s">
        <v>3537</v>
      </c>
      <c r="DC263" t="s">
        <v>363</v>
      </c>
      <c r="DD263" t="s">
        <v>282</v>
      </c>
      <c r="DE263" t="s">
        <v>4765</v>
      </c>
    </row>
    <row r="264" spans="1:109" ht="11.25" customHeight="1">
      <c r="A264" s="1314" t="s">
        <v>231</v>
      </c>
      <c r="B264" t="s">
        <v>231</v>
      </c>
      <c r="C264" t="s">
        <v>231</v>
      </c>
      <c r="D264" t="s">
        <v>231</v>
      </c>
      <c r="E264" t="s">
        <v>231</v>
      </c>
      <c r="F264" t="s">
        <v>231</v>
      </c>
      <c r="G264" t="s">
        <v>231</v>
      </c>
      <c r="H264" t="s">
        <v>231</v>
      </c>
      <c r="I264" t="s">
        <v>3521</v>
      </c>
      <c r="J264" t="s">
        <v>231</v>
      </c>
      <c r="K264" t="s">
        <v>231</v>
      </c>
      <c r="L264" t="s">
        <v>231</v>
      </c>
      <c r="M264" t="s">
        <v>231</v>
      </c>
      <c r="N264" t="s">
        <v>231</v>
      </c>
      <c r="O264" t="s">
        <v>231</v>
      </c>
      <c r="P264" t="s">
        <v>231</v>
      </c>
      <c r="Q264" t="s">
        <v>231</v>
      </c>
      <c r="R264" t="s">
        <v>4766</v>
      </c>
      <c r="S264" t="s">
        <v>231</v>
      </c>
      <c r="T264" t="s">
        <v>231</v>
      </c>
      <c r="U264" t="s">
        <v>101</v>
      </c>
      <c r="V264" t="s">
        <v>231</v>
      </c>
      <c r="W264" t="s">
        <v>231</v>
      </c>
      <c r="X264" t="s">
        <v>3523</v>
      </c>
      <c r="Y264" t="s">
        <v>231</v>
      </c>
      <c r="Z264" t="s">
        <v>160</v>
      </c>
      <c r="AA264" t="s">
        <v>151</v>
      </c>
      <c r="AB264" t="s">
        <v>151</v>
      </c>
      <c r="AC264" t="s">
        <v>2260</v>
      </c>
      <c r="AD264" t="s">
        <v>2260</v>
      </c>
      <c r="AE264" t="s">
        <v>2261</v>
      </c>
      <c r="AF264" t="s">
        <v>4575</v>
      </c>
      <c r="AG264" t="s">
        <v>4576</v>
      </c>
      <c r="AH264" t="s">
        <v>4767</v>
      </c>
      <c r="AI264" t="s">
        <v>3575</v>
      </c>
      <c r="AJ264" t="s">
        <v>4768</v>
      </c>
      <c r="AK264" t="s">
        <v>4580</v>
      </c>
      <c r="AL264" t="s">
        <v>3648</v>
      </c>
      <c r="AM264" t="s">
        <v>4581</v>
      </c>
      <c r="AN264" t="s">
        <v>3532</v>
      </c>
      <c r="AO264" t="s">
        <v>3821</v>
      </c>
      <c r="AP264" t="s">
        <v>231</v>
      </c>
      <c r="AQ264" t="s">
        <v>231</v>
      </c>
      <c r="AR264" t="s">
        <v>231</v>
      </c>
      <c r="AS264" t="s">
        <v>231</v>
      </c>
      <c r="AT264" t="s">
        <v>231</v>
      </c>
      <c r="AU264" t="s">
        <v>231</v>
      </c>
      <c r="AV264" t="s">
        <v>231</v>
      </c>
      <c r="AW264" t="s">
        <v>231</v>
      </c>
      <c r="AX264" t="s">
        <v>231</v>
      </c>
      <c r="AY264" t="s">
        <v>231</v>
      </c>
      <c r="AZ264" t="s">
        <v>231</v>
      </c>
      <c r="BA264" t="s">
        <v>231</v>
      </c>
      <c r="BB264" t="s">
        <v>231</v>
      </c>
      <c r="BC264" t="s">
        <v>231</v>
      </c>
      <c r="BD264" t="s">
        <v>231</v>
      </c>
      <c r="BE264" t="s">
        <v>231</v>
      </c>
      <c r="BF264" t="s">
        <v>231</v>
      </c>
      <c r="BG264" t="s">
        <v>231</v>
      </c>
      <c r="BH264" t="s">
        <v>231</v>
      </c>
      <c r="BI264" t="s">
        <v>231</v>
      </c>
      <c r="BJ264" t="s">
        <v>231</v>
      </c>
      <c r="BK264" t="s">
        <v>231</v>
      </c>
      <c r="BL264" t="s">
        <v>231</v>
      </c>
      <c r="BM264" t="s">
        <v>231</v>
      </c>
      <c r="BN264" t="s">
        <v>231</v>
      </c>
      <c r="BO264" t="s">
        <v>231</v>
      </c>
      <c r="BP264" t="s">
        <v>231</v>
      </c>
      <c r="BQ264" t="s">
        <v>231</v>
      </c>
      <c r="BR264" t="s">
        <v>231</v>
      </c>
      <c r="BS264" t="s">
        <v>231</v>
      </c>
      <c r="BT264" t="s">
        <v>231</v>
      </c>
      <c r="BU264" t="s">
        <v>231</v>
      </c>
      <c r="BV264" t="s">
        <v>231</v>
      </c>
      <c r="BW264" t="s">
        <v>231</v>
      </c>
      <c r="BX264" t="s">
        <v>231</v>
      </c>
      <c r="BY264" t="s">
        <v>231</v>
      </c>
      <c r="BZ264" t="s">
        <v>231</v>
      </c>
      <c r="CA264" t="s">
        <v>231</v>
      </c>
      <c r="CB264" t="s">
        <v>231</v>
      </c>
      <c r="CC264" t="s">
        <v>231</v>
      </c>
      <c r="CD264" t="s">
        <v>231</v>
      </c>
      <c r="CE264" t="s">
        <v>231</v>
      </c>
      <c r="CF264" t="s">
        <v>231</v>
      </c>
      <c r="CG264" t="s">
        <v>231</v>
      </c>
      <c r="CH264" t="s">
        <v>231</v>
      </c>
      <c r="CI264" t="s">
        <v>231</v>
      </c>
      <c r="CJ264" t="s">
        <v>231</v>
      </c>
      <c r="CK264" t="s">
        <v>231</v>
      </c>
      <c r="CL264" t="s">
        <v>231</v>
      </c>
      <c r="CM264" t="s">
        <v>231</v>
      </c>
      <c r="CN264" t="s">
        <v>231</v>
      </c>
      <c r="CO264" t="s">
        <v>231</v>
      </c>
      <c r="CP264" t="s">
        <v>231</v>
      </c>
      <c r="CQ264" t="s">
        <v>231</v>
      </c>
      <c r="CR264" t="s">
        <v>231</v>
      </c>
      <c r="CS264" t="s">
        <v>231</v>
      </c>
      <c r="CT264" t="s">
        <v>3534</v>
      </c>
      <c r="CU264" t="s">
        <v>3535</v>
      </c>
      <c r="CV264" t="s">
        <v>3536</v>
      </c>
      <c r="CW264" t="s">
        <v>3537</v>
      </c>
      <c r="CX264" t="s">
        <v>223</v>
      </c>
      <c r="CY264" t="s">
        <v>3536</v>
      </c>
      <c r="CZ264" t="s">
        <v>3538</v>
      </c>
      <c r="DA264" t="s">
        <v>3539</v>
      </c>
      <c r="DB264" t="s">
        <v>3537</v>
      </c>
      <c r="DC264" t="s">
        <v>363</v>
      </c>
      <c r="DD264" t="s">
        <v>282</v>
      </c>
      <c r="DE264" t="s">
        <v>4769</v>
      </c>
    </row>
    <row r="265" spans="1:109" ht="11.25" customHeight="1">
      <c r="A265" s="1314" t="s">
        <v>231</v>
      </c>
      <c r="B265" t="s">
        <v>231</v>
      </c>
      <c r="C265" t="s">
        <v>231</v>
      </c>
      <c r="D265" t="s">
        <v>231</v>
      </c>
      <c r="E265" t="s">
        <v>231</v>
      </c>
      <c r="F265" t="s">
        <v>231</v>
      </c>
      <c r="G265" t="s">
        <v>231</v>
      </c>
      <c r="H265" t="s">
        <v>231</v>
      </c>
      <c r="I265" t="s">
        <v>3521</v>
      </c>
      <c r="J265" t="s">
        <v>231</v>
      </c>
      <c r="K265" t="s">
        <v>231</v>
      </c>
      <c r="L265" t="s">
        <v>231</v>
      </c>
      <c r="M265" t="s">
        <v>231</v>
      </c>
      <c r="N265" t="s">
        <v>231</v>
      </c>
      <c r="O265" t="s">
        <v>231</v>
      </c>
      <c r="P265" t="s">
        <v>231</v>
      </c>
      <c r="Q265" t="s">
        <v>231</v>
      </c>
      <c r="R265" t="s">
        <v>4770</v>
      </c>
      <c r="S265" t="s">
        <v>231</v>
      </c>
      <c r="T265" t="s">
        <v>231</v>
      </c>
      <c r="U265" t="s">
        <v>101</v>
      </c>
      <c r="V265" t="s">
        <v>231</v>
      </c>
      <c r="W265" t="s">
        <v>231</v>
      </c>
      <c r="X265" t="s">
        <v>3523</v>
      </c>
      <c r="Y265" t="s">
        <v>231</v>
      </c>
      <c r="Z265" t="s">
        <v>160</v>
      </c>
      <c r="AA265" t="s">
        <v>151</v>
      </c>
      <c r="AB265" t="s">
        <v>151</v>
      </c>
      <c r="AC265" t="s">
        <v>2289</v>
      </c>
      <c r="AD265" t="s">
        <v>2289</v>
      </c>
      <c r="AE265" t="s">
        <v>2290</v>
      </c>
      <c r="AF265" t="s">
        <v>4712</v>
      </c>
      <c r="AG265" t="s">
        <v>4713</v>
      </c>
      <c r="AH265" t="s">
        <v>3714</v>
      </c>
      <c r="AI265" t="s">
        <v>4593</v>
      </c>
      <c r="AJ265" t="s">
        <v>3546</v>
      </c>
      <c r="AK265" t="s">
        <v>3586</v>
      </c>
      <c r="AL265" t="s">
        <v>3548</v>
      </c>
      <c r="AM265" t="s">
        <v>3531</v>
      </c>
      <c r="AN265" t="s">
        <v>3595</v>
      </c>
      <c r="AO265" t="s">
        <v>4244</v>
      </c>
      <c r="AP265" t="s">
        <v>231</v>
      </c>
      <c r="AQ265" t="s">
        <v>231</v>
      </c>
      <c r="AR265" t="s">
        <v>231</v>
      </c>
      <c r="AS265" t="s">
        <v>231</v>
      </c>
      <c r="AT265" t="s">
        <v>231</v>
      </c>
      <c r="AU265" t="s">
        <v>231</v>
      </c>
      <c r="AV265" t="s">
        <v>231</v>
      </c>
      <c r="AW265" t="s">
        <v>231</v>
      </c>
      <c r="AX265" t="s">
        <v>231</v>
      </c>
      <c r="AY265" t="s">
        <v>231</v>
      </c>
      <c r="AZ265" t="s">
        <v>231</v>
      </c>
      <c r="BA265" t="s">
        <v>231</v>
      </c>
      <c r="BB265" t="s">
        <v>231</v>
      </c>
      <c r="BC265" t="s">
        <v>231</v>
      </c>
      <c r="BD265" t="s">
        <v>231</v>
      </c>
      <c r="BE265" t="s">
        <v>231</v>
      </c>
      <c r="BF265" t="s">
        <v>231</v>
      </c>
      <c r="BG265" t="s">
        <v>231</v>
      </c>
      <c r="BH265" t="s">
        <v>231</v>
      </c>
      <c r="BI265" t="s">
        <v>231</v>
      </c>
      <c r="BJ265" t="s">
        <v>231</v>
      </c>
      <c r="BK265" t="s">
        <v>231</v>
      </c>
      <c r="BL265" t="s">
        <v>231</v>
      </c>
      <c r="BM265" t="s">
        <v>231</v>
      </c>
      <c r="BN265" t="s">
        <v>231</v>
      </c>
      <c r="BO265" t="s">
        <v>231</v>
      </c>
      <c r="BP265" t="s">
        <v>231</v>
      </c>
      <c r="BQ265" t="s">
        <v>231</v>
      </c>
      <c r="BR265" t="s">
        <v>231</v>
      </c>
      <c r="BS265" t="s">
        <v>231</v>
      </c>
      <c r="BT265" t="s">
        <v>231</v>
      </c>
      <c r="BU265" t="s">
        <v>231</v>
      </c>
      <c r="BV265" t="s">
        <v>231</v>
      </c>
      <c r="BW265" t="s">
        <v>231</v>
      </c>
      <c r="BX265" t="s">
        <v>231</v>
      </c>
      <c r="BY265" t="s">
        <v>231</v>
      </c>
      <c r="BZ265" t="s">
        <v>231</v>
      </c>
      <c r="CA265" t="s">
        <v>231</v>
      </c>
      <c r="CB265" t="s">
        <v>231</v>
      </c>
      <c r="CC265" t="s">
        <v>231</v>
      </c>
      <c r="CD265" t="s">
        <v>231</v>
      </c>
      <c r="CE265" t="s">
        <v>231</v>
      </c>
      <c r="CF265" t="s">
        <v>231</v>
      </c>
      <c r="CG265" t="s">
        <v>231</v>
      </c>
      <c r="CH265" t="s">
        <v>231</v>
      </c>
      <c r="CI265" t="s">
        <v>231</v>
      </c>
      <c r="CJ265" t="s">
        <v>231</v>
      </c>
      <c r="CK265" t="s">
        <v>231</v>
      </c>
      <c r="CL265" t="s">
        <v>231</v>
      </c>
      <c r="CM265" t="s">
        <v>231</v>
      </c>
      <c r="CN265" t="s">
        <v>231</v>
      </c>
      <c r="CO265" t="s">
        <v>231</v>
      </c>
      <c r="CP265" t="s">
        <v>231</v>
      </c>
      <c r="CQ265" t="s">
        <v>231</v>
      </c>
      <c r="CR265" t="s">
        <v>231</v>
      </c>
      <c r="CS265" t="s">
        <v>231</v>
      </c>
      <c r="CT265" t="s">
        <v>3534</v>
      </c>
      <c r="CU265" t="s">
        <v>3831</v>
      </c>
      <c r="CV265" t="s">
        <v>3536</v>
      </c>
      <c r="CW265" t="s">
        <v>3589</v>
      </c>
      <c r="CX265" t="s">
        <v>223</v>
      </c>
      <c r="CY265" t="s">
        <v>3536</v>
      </c>
      <c r="CZ265" t="s">
        <v>3590</v>
      </c>
      <c r="DA265" t="s">
        <v>3591</v>
      </c>
      <c r="DB265" t="s">
        <v>3589</v>
      </c>
      <c r="DC265" t="s">
        <v>363</v>
      </c>
      <c r="DD265" t="s">
        <v>282</v>
      </c>
      <c r="DE265" t="s">
        <v>4771</v>
      </c>
    </row>
    <row r="266" spans="1:109" ht="11.25" customHeight="1">
      <c r="A266" s="1314" t="s">
        <v>231</v>
      </c>
      <c r="B266" t="s">
        <v>231</v>
      </c>
      <c r="C266" t="s">
        <v>231</v>
      </c>
      <c r="D266" t="s">
        <v>231</v>
      </c>
      <c r="E266" t="s">
        <v>231</v>
      </c>
      <c r="F266" t="s">
        <v>231</v>
      </c>
      <c r="G266" t="s">
        <v>231</v>
      </c>
      <c r="H266" t="s">
        <v>231</v>
      </c>
      <c r="I266" t="s">
        <v>3521</v>
      </c>
      <c r="J266" t="s">
        <v>231</v>
      </c>
      <c r="K266" t="s">
        <v>231</v>
      </c>
      <c r="L266" t="s">
        <v>231</v>
      </c>
      <c r="M266" t="s">
        <v>231</v>
      </c>
      <c r="N266" t="s">
        <v>231</v>
      </c>
      <c r="O266" t="s">
        <v>231</v>
      </c>
      <c r="P266" t="s">
        <v>231</v>
      </c>
      <c r="Q266" t="s">
        <v>231</v>
      </c>
      <c r="R266" t="s">
        <v>3615</v>
      </c>
      <c r="S266" t="s">
        <v>231</v>
      </c>
      <c r="T266" t="s">
        <v>231</v>
      </c>
      <c r="U266" t="s">
        <v>101</v>
      </c>
      <c r="V266" t="s">
        <v>231</v>
      </c>
      <c r="W266" t="s">
        <v>231</v>
      </c>
      <c r="X266" t="s">
        <v>3523</v>
      </c>
      <c r="Y266" t="s">
        <v>231</v>
      </c>
      <c r="Z266" t="s">
        <v>160</v>
      </c>
      <c r="AA266" t="s">
        <v>151</v>
      </c>
      <c r="AB266" t="s">
        <v>151</v>
      </c>
      <c r="AC266" t="s">
        <v>2289</v>
      </c>
      <c r="AD266" t="s">
        <v>2289</v>
      </c>
      <c r="AE266" t="s">
        <v>2290</v>
      </c>
      <c r="AF266" t="s">
        <v>4511</v>
      </c>
      <c r="AG266" t="s">
        <v>4512</v>
      </c>
      <c r="AH266" t="s">
        <v>4772</v>
      </c>
      <c r="AI266" t="s">
        <v>3738</v>
      </c>
      <c r="AJ266" t="s">
        <v>3546</v>
      </c>
      <c r="AK266" t="s">
        <v>3586</v>
      </c>
      <c r="AL266" t="s">
        <v>3548</v>
      </c>
      <c r="AM266" t="s">
        <v>3531</v>
      </c>
      <c r="AN266" t="s">
        <v>3587</v>
      </c>
      <c r="AO266" t="s">
        <v>3739</v>
      </c>
      <c r="AP266" t="s">
        <v>231</v>
      </c>
      <c r="AQ266" t="s">
        <v>231</v>
      </c>
      <c r="AR266" t="s">
        <v>231</v>
      </c>
      <c r="AS266" t="s">
        <v>231</v>
      </c>
      <c r="AT266" t="s">
        <v>231</v>
      </c>
      <c r="AU266" t="s">
        <v>231</v>
      </c>
      <c r="AV266" t="s">
        <v>231</v>
      </c>
      <c r="AW266" t="s">
        <v>231</v>
      </c>
      <c r="AX266" t="s">
        <v>231</v>
      </c>
      <c r="AY266" t="s">
        <v>231</v>
      </c>
      <c r="AZ266" t="s">
        <v>231</v>
      </c>
      <c r="BA266" t="s">
        <v>231</v>
      </c>
      <c r="BB266" t="s">
        <v>231</v>
      </c>
      <c r="BC266" t="s">
        <v>231</v>
      </c>
      <c r="BD266" t="s">
        <v>231</v>
      </c>
      <c r="BE266" t="s">
        <v>231</v>
      </c>
      <c r="BF266" t="s">
        <v>231</v>
      </c>
      <c r="BG266" t="s">
        <v>231</v>
      </c>
      <c r="BH266" t="s">
        <v>231</v>
      </c>
      <c r="BI266" t="s">
        <v>231</v>
      </c>
      <c r="BJ266" t="s">
        <v>231</v>
      </c>
      <c r="BK266" t="s">
        <v>231</v>
      </c>
      <c r="BL266" t="s">
        <v>231</v>
      </c>
      <c r="BM266" t="s">
        <v>231</v>
      </c>
      <c r="BN266" t="s">
        <v>231</v>
      </c>
      <c r="BO266" t="s">
        <v>231</v>
      </c>
      <c r="BP266" t="s">
        <v>231</v>
      </c>
      <c r="BQ266" t="s">
        <v>231</v>
      </c>
      <c r="BR266" t="s">
        <v>231</v>
      </c>
      <c r="BS266" t="s">
        <v>231</v>
      </c>
      <c r="BT266" t="s">
        <v>231</v>
      </c>
      <c r="BU266" t="s">
        <v>231</v>
      </c>
      <c r="BV266" t="s">
        <v>231</v>
      </c>
      <c r="BW266" t="s">
        <v>231</v>
      </c>
      <c r="BX266" t="s">
        <v>231</v>
      </c>
      <c r="BY266" t="s">
        <v>231</v>
      </c>
      <c r="BZ266" t="s">
        <v>231</v>
      </c>
      <c r="CA266" t="s">
        <v>231</v>
      </c>
      <c r="CB266" t="s">
        <v>231</v>
      </c>
      <c r="CC266" t="s">
        <v>231</v>
      </c>
      <c r="CD266" t="s">
        <v>231</v>
      </c>
      <c r="CE266" t="s">
        <v>231</v>
      </c>
      <c r="CF266" t="s">
        <v>231</v>
      </c>
      <c r="CG266" t="s">
        <v>231</v>
      </c>
      <c r="CH266" t="s">
        <v>231</v>
      </c>
      <c r="CI266" t="s">
        <v>231</v>
      </c>
      <c r="CJ266" t="s">
        <v>231</v>
      </c>
      <c r="CK266" t="s">
        <v>231</v>
      </c>
      <c r="CL266" t="s">
        <v>231</v>
      </c>
      <c r="CM266" t="s">
        <v>231</v>
      </c>
      <c r="CN266" t="s">
        <v>231</v>
      </c>
      <c r="CO266" t="s">
        <v>231</v>
      </c>
      <c r="CP266" t="s">
        <v>231</v>
      </c>
      <c r="CQ266" t="s">
        <v>231</v>
      </c>
      <c r="CR266" t="s">
        <v>231</v>
      </c>
      <c r="CS266" t="s">
        <v>231</v>
      </c>
      <c r="CT266" t="s">
        <v>3534</v>
      </c>
      <c r="CU266" t="s">
        <v>3535</v>
      </c>
      <c r="CV266" t="s">
        <v>3536</v>
      </c>
      <c r="CW266" t="s">
        <v>3589</v>
      </c>
      <c r="CX266" t="s">
        <v>223</v>
      </c>
      <c r="CY266" t="s">
        <v>3536</v>
      </c>
      <c r="CZ266" t="s">
        <v>3590</v>
      </c>
      <c r="DA266" t="s">
        <v>3591</v>
      </c>
      <c r="DB266" t="s">
        <v>3589</v>
      </c>
      <c r="DC266" t="s">
        <v>363</v>
      </c>
      <c r="DD266" t="s">
        <v>282</v>
      </c>
      <c r="DE266" t="s">
        <v>4773</v>
      </c>
    </row>
    <row r="267" spans="1:109" ht="11.25" customHeight="1">
      <c r="A267" s="1314" t="s">
        <v>231</v>
      </c>
      <c r="B267" t="s">
        <v>231</v>
      </c>
      <c r="C267" t="s">
        <v>231</v>
      </c>
      <c r="D267" t="s">
        <v>231</v>
      </c>
      <c r="E267" t="s">
        <v>231</v>
      </c>
      <c r="F267" t="s">
        <v>231</v>
      </c>
      <c r="G267" t="s">
        <v>231</v>
      </c>
      <c r="H267" t="s">
        <v>231</v>
      </c>
      <c r="I267" t="s">
        <v>3521</v>
      </c>
      <c r="J267" t="s">
        <v>231</v>
      </c>
      <c r="K267" t="s">
        <v>231</v>
      </c>
      <c r="L267" t="s">
        <v>231</v>
      </c>
      <c r="M267" t="s">
        <v>231</v>
      </c>
      <c r="N267" t="s">
        <v>231</v>
      </c>
      <c r="O267" t="s">
        <v>231</v>
      </c>
      <c r="P267" t="s">
        <v>231</v>
      </c>
      <c r="Q267" t="s">
        <v>231</v>
      </c>
      <c r="R267" t="s">
        <v>4774</v>
      </c>
      <c r="S267" t="s">
        <v>231</v>
      </c>
      <c r="T267" t="s">
        <v>231</v>
      </c>
      <c r="U267" t="s">
        <v>101</v>
      </c>
      <c r="V267" t="s">
        <v>231</v>
      </c>
      <c r="W267" t="s">
        <v>231</v>
      </c>
      <c r="X267" t="s">
        <v>3523</v>
      </c>
      <c r="Y267" t="s">
        <v>231</v>
      </c>
      <c r="Z267" t="s">
        <v>160</v>
      </c>
      <c r="AA267" t="s">
        <v>151</v>
      </c>
      <c r="AB267" t="s">
        <v>151</v>
      </c>
      <c r="AC267" t="s">
        <v>2289</v>
      </c>
      <c r="AD267" t="s">
        <v>2289</v>
      </c>
      <c r="AE267" t="s">
        <v>2290</v>
      </c>
      <c r="AF267" t="s">
        <v>4775</v>
      </c>
      <c r="AG267" t="s">
        <v>4776</v>
      </c>
      <c r="AH267" t="s">
        <v>3714</v>
      </c>
      <c r="AI267" t="s">
        <v>4715</v>
      </c>
      <c r="AJ267" t="s">
        <v>3546</v>
      </c>
      <c r="AK267" t="s">
        <v>3716</v>
      </c>
      <c r="AL267" t="s">
        <v>3548</v>
      </c>
      <c r="AM267" t="s">
        <v>3531</v>
      </c>
      <c r="AN267" t="s">
        <v>3595</v>
      </c>
      <c r="AO267" t="s">
        <v>3668</v>
      </c>
      <c r="AP267" t="s">
        <v>231</v>
      </c>
      <c r="AQ267" t="s">
        <v>231</v>
      </c>
      <c r="AR267" t="s">
        <v>231</v>
      </c>
      <c r="AS267" t="s">
        <v>231</v>
      </c>
      <c r="AT267" t="s">
        <v>231</v>
      </c>
      <c r="AU267" t="s">
        <v>231</v>
      </c>
      <c r="AV267" t="s">
        <v>231</v>
      </c>
      <c r="AW267" t="s">
        <v>231</v>
      </c>
      <c r="AX267" t="s">
        <v>231</v>
      </c>
      <c r="AY267" t="s">
        <v>231</v>
      </c>
      <c r="AZ267" t="s">
        <v>231</v>
      </c>
      <c r="BA267" t="s">
        <v>231</v>
      </c>
      <c r="BB267" t="s">
        <v>231</v>
      </c>
      <c r="BC267" t="s">
        <v>231</v>
      </c>
      <c r="BD267" t="s">
        <v>231</v>
      </c>
      <c r="BE267" t="s">
        <v>231</v>
      </c>
      <c r="BF267" t="s">
        <v>231</v>
      </c>
      <c r="BG267" t="s">
        <v>231</v>
      </c>
      <c r="BH267" t="s">
        <v>231</v>
      </c>
      <c r="BI267" t="s">
        <v>231</v>
      </c>
      <c r="BJ267" t="s">
        <v>231</v>
      </c>
      <c r="BK267" t="s">
        <v>231</v>
      </c>
      <c r="BL267" t="s">
        <v>231</v>
      </c>
      <c r="BM267" t="s">
        <v>231</v>
      </c>
      <c r="BN267" t="s">
        <v>231</v>
      </c>
      <c r="BO267" t="s">
        <v>231</v>
      </c>
      <c r="BP267" t="s">
        <v>231</v>
      </c>
      <c r="BQ267" t="s">
        <v>231</v>
      </c>
      <c r="BR267" t="s">
        <v>231</v>
      </c>
      <c r="BS267" t="s">
        <v>231</v>
      </c>
      <c r="BT267" t="s">
        <v>231</v>
      </c>
      <c r="BU267" t="s">
        <v>231</v>
      </c>
      <c r="BV267" t="s">
        <v>231</v>
      </c>
      <c r="BW267" t="s">
        <v>231</v>
      </c>
      <c r="BX267" t="s">
        <v>231</v>
      </c>
      <c r="BY267" t="s">
        <v>231</v>
      </c>
      <c r="BZ267" t="s">
        <v>231</v>
      </c>
      <c r="CA267" t="s">
        <v>231</v>
      </c>
      <c r="CB267" t="s">
        <v>231</v>
      </c>
      <c r="CC267" t="s">
        <v>231</v>
      </c>
      <c r="CD267" t="s">
        <v>231</v>
      </c>
      <c r="CE267" t="s">
        <v>231</v>
      </c>
      <c r="CF267" t="s">
        <v>231</v>
      </c>
      <c r="CG267" t="s">
        <v>231</v>
      </c>
      <c r="CH267" t="s">
        <v>231</v>
      </c>
      <c r="CI267" t="s">
        <v>231</v>
      </c>
      <c r="CJ267" t="s">
        <v>231</v>
      </c>
      <c r="CK267" t="s">
        <v>231</v>
      </c>
      <c r="CL267" t="s">
        <v>231</v>
      </c>
      <c r="CM267" t="s">
        <v>231</v>
      </c>
      <c r="CN267" t="s">
        <v>231</v>
      </c>
      <c r="CO267" t="s">
        <v>231</v>
      </c>
      <c r="CP267" t="s">
        <v>231</v>
      </c>
      <c r="CQ267" t="s">
        <v>231</v>
      </c>
      <c r="CR267" t="s">
        <v>231</v>
      </c>
      <c r="CS267" t="s">
        <v>231</v>
      </c>
      <c r="CT267" t="s">
        <v>3534</v>
      </c>
      <c r="CU267" t="s">
        <v>3535</v>
      </c>
      <c r="CV267" t="s">
        <v>3536</v>
      </c>
      <c r="CW267" t="s">
        <v>3589</v>
      </c>
      <c r="CX267" t="s">
        <v>223</v>
      </c>
      <c r="CY267" t="s">
        <v>3536</v>
      </c>
      <c r="CZ267" t="s">
        <v>3590</v>
      </c>
      <c r="DA267" t="s">
        <v>3591</v>
      </c>
      <c r="DB267" t="s">
        <v>3589</v>
      </c>
      <c r="DC267" t="s">
        <v>363</v>
      </c>
      <c r="DD267" t="s">
        <v>282</v>
      </c>
      <c r="DE267" t="s">
        <v>4777</v>
      </c>
    </row>
    <row r="268" spans="1:109" ht="11.25" customHeight="1">
      <c r="A268" s="1314" t="s">
        <v>231</v>
      </c>
      <c r="B268" t="s">
        <v>231</v>
      </c>
      <c r="C268" t="s">
        <v>231</v>
      </c>
      <c r="D268" t="s">
        <v>231</v>
      </c>
      <c r="E268" t="s">
        <v>231</v>
      </c>
      <c r="F268" t="s">
        <v>231</v>
      </c>
      <c r="G268" t="s">
        <v>231</v>
      </c>
      <c r="H268" t="s">
        <v>231</v>
      </c>
      <c r="I268" t="s">
        <v>3521</v>
      </c>
      <c r="J268" t="s">
        <v>231</v>
      </c>
      <c r="K268" t="s">
        <v>231</v>
      </c>
      <c r="L268" t="s">
        <v>231</v>
      </c>
      <c r="M268" t="s">
        <v>231</v>
      </c>
      <c r="N268" t="s">
        <v>231</v>
      </c>
      <c r="O268" t="s">
        <v>231</v>
      </c>
      <c r="P268" t="s">
        <v>231</v>
      </c>
      <c r="Q268" t="s">
        <v>231</v>
      </c>
      <c r="R268" t="s">
        <v>4778</v>
      </c>
      <c r="S268" t="s">
        <v>231</v>
      </c>
      <c r="T268" t="s">
        <v>231</v>
      </c>
      <c r="U268" t="s">
        <v>101</v>
      </c>
      <c r="V268" t="s">
        <v>231</v>
      </c>
      <c r="W268" t="s">
        <v>231</v>
      </c>
      <c r="X268" t="s">
        <v>3628</v>
      </c>
      <c r="Y268" t="s">
        <v>231</v>
      </c>
      <c r="Z268" t="s">
        <v>151</v>
      </c>
      <c r="AA268" t="s">
        <v>151</v>
      </c>
      <c r="AB268" t="s">
        <v>160</v>
      </c>
      <c r="AC268" t="s">
        <v>2289</v>
      </c>
      <c r="AD268" t="s">
        <v>2289</v>
      </c>
      <c r="AE268" t="s">
        <v>2290</v>
      </c>
      <c r="AF268" t="s">
        <v>4511</v>
      </c>
      <c r="AG268" t="s">
        <v>4512</v>
      </c>
      <c r="AH268" t="s">
        <v>3618</v>
      </c>
      <c r="AI268" t="s">
        <v>3618</v>
      </c>
      <c r="AJ268" t="s">
        <v>231</v>
      </c>
      <c r="AK268" t="s">
        <v>231</v>
      </c>
      <c r="AL268" t="s">
        <v>231</v>
      </c>
      <c r="AM268" t="s">
        <v>231</v>
      </c>
      <c r="AN268" t="s">
        <v>231</v>
      </c>
      <c r="AO268" t="s">
        <v>231</v>
      </c>
      <c r="AP268" t="s">
        <v>231</v>
      </c>
      <c r="AQ268" t="s">
        <v>231</v>
      </c>
      <c r="AR268" t="s">
        <v>231</v>
      </c>
      <c r="AS268" t="s">
        <v>231</v>
      </c>
      <c r="AT268" t="s">
        <v>231</v>
      </c>
      <c r="AU268" t="s">
        <v>231</v>
      </c>
      <c r="AV268" t="s">
        <v>231</v>
      </c>
      <c r="AW268" t="s">
        <v>231</v>
      </c>
      <c r="AX268" t="s">
        <v>231</v>
      </c>
      <c r="AY268" t="s">
        <v>231</v>
      </c>
      <c r="AZ268" t="s">
        <v>231</v>
      </c>
      <c r="BA268" t="s">
        <v>231</v>
      </c>
      <c r="BB268" t="s">
        <v>231</v>
      </c>
      <c r="BC268" t="s">
        <v>231</v>
      </c>
      <c r="BD268" t="s">
        <v>231</v>
      </c>
      <c r="BE268" t="s">
        <v>3619</v>
      </c>
      <c r="BF268" t="s">
        <v>3586</v>
      </c>
      <c r="BG268" t="s">
        <v>111</v>
      </c>
      <c r="BH268" t="s">
        <v>3632</v>
      </c>
      <c r="BI268" t="s">
        <v>122</v>
      </c>
      <c r="BJ268" t="s">
        <v>231</v>
      </c>
      <c r="BK268" t="s">
        <v>3651</v>
      </c>
      <c r="BL268" t="s">
        <v>2289</v>
      </c>
      <c r="BM268" t="s">
        <v>2289</v>
      </c>
      <c r="BN268" t="s">
        <v>3707</v>
      </c>
      <c r="BO268" t="s">
        <v>4511</v>
      </c>
      <c r="BP268" t="s">
        <v>4779</v>
      </c>
      <c r="BQ268" t="s">
        <v>3618</v>
      </c>
      <c r="BR268" t="s">
        <v>3618</v>
      </c>
      <c r="BS268" t="s">
        <v>231</v>
      </c>
      <c r="BT268" t="s">
        <v>3694</v>
      </c>
      <c r="BU268" t="s">
        <v>4780</v>
      </c>
      <c r="BV268" t="s">
        <v>4780</v>
      </c>
      <c r="BW268" t="s">
        <v>3641</v>
      </c>
      <c r="BX268" t="s">
        <v>3641</v>
      </c>
      <c r="BY268" t="s">
        <v>3641</v>
      </c>
      <c r="BZ268" t="s">
        <v>3641</v>
      </c>
      <c r="CA268" t="s">
        <v>3641</v>
      </c>
      <c r="CB268" t="s">
        <v>231</v>
      </c>
      <c r="CC268" t="s">
        <v>231</v>
      </c>
      <c r="CD268" t="s">
        <v>231</v>
      </c>
      <c r="CE268" t="s">
        <v>231</v>
      </c>
      <c r="CF268" t="s">
        <v>231</v>
      </c>
      <c r="CG268" t="s">
        <v>3641</v>
      </c>
      <c r="CH268" t="s">
        <v>231</v>
      </c>
      <c r="CI268" t="s">
        <v>231</v>
      </c>
      <c r="CJ268" t="s">
        <v>231</v>
      </c>
      <c r="CK268" t="s">
        <v>231</v>
      </c>
      <c r="CL268" t="s">
        <v>231</v>
      </c>
      <c r="CM268" t="s">
        <v>4780</v>
      </c>
      <c r="CN268" t="s">
        <v>4780</v>
      </c>
      <c r="CO268" t="s">
        <v>231</v>
      </c>
      <c r="CP268" t="s">
        <v>231</v>
      </c>
      <c r="CQ268" t="s">
        <v>231</v>
      </c>
      <c r="CR268" t="s">
        <v>231</v>
      </c>
      <c r="CS268" t="s">
        <v>3710</v>
      </c>
      <c r="CT268" t="s">
        <v>3534</v>
      </c>
      <c r="CU268" t="s">
        <v>3535</v>
      </c>
      <c r="CV268" t="s">
        <v>3536</v>
      </c>
      <c r="CW268" t="s">
        <v>3589</v>
      </c>
      <c r="CX268" t="s">
        <v>223</v>
      </c>
      <c r="CY268" t="s">
        <v>3536</v>
      </c>
      <c r="CZ268" t="s">
        <v>3590</v>
      </c>
      <c r="DA268" t="s">
        <v>3591</v>
      </c>
      <c r="DB268" t="s">
        <v>3589</v>
      </c>
      <c r="DC268" t="s">
        <v>363</v>
      </c>
      <c r="DD268" t="s">
        <v>282</v>
      </c>
      <c r="DE268" t="s">
        <v>4781</v>
      </c>
    </row>
    <row r="269" spans="1:109" ht="11.25" customHeight="1">
      <c r="A269" s="1314" t="s">
        <v>231</v>
      </c>
      <c r="B269" t="s">
        <v>231</v>
      </c>
      <c r="C269" t="s">
        <v>231</v>
      </c>
      <c r="D269" t="s">
        <v>231</v>
      </c>
      <c r="E269" t="s">
        <v>231</v>
      </c>
      <c r="F269" t="s">
        <v>231</v>
      </c>
      <c r="G269" t="s">
        <v>231</v>
      </c>
      <c r="H269" t="s">
        <v>231</v>
      </c>
      <c r="I269" t="s">
        <v>3521</v>
      </c>
      <c r="J269" t="s">
        <v>231</v>
      </c>
      <c r="K269" t="s">
        <v>231</v>
      </c>
      <c r="L269" t="s">
        <v>231</v>
      </c>
      <c r="M269" t="s">
        <v>231</v>
      </c>
      <c r="N269" t="s">
        <v>231</v>
      </c>
      <c r="O269" t="s">
        <v>231</v>
      </c>
      <c r="P269" t="s">
        <v>231</v>
      </c>
      <c r="Q269" t="s">
        <v>231</v>
      </c>
      <c r="R269" t="s">
        <v>3615</v>
      </c>
      <c r="S269" t="s">
        <v>231</v>
      </c>
      <c r="T269" t="s">
        <v>231</v>
      </c>
      <c r="U269" t="s">
        <v>101</v>
      </c>
      <c r="V269" t="s">
        <v>231</v>
      </c>
      <c r="W269" t="s">
        <v>231</v>
      </c>
      <c r="X269" t="s">
        <v>3523</v>
      </c>
      <c r="Y269" t="s">
        <v>231</v>
      </c>
      <c r="Z269" t="s">
        <v>160</v>
      </c>
      <c r="AA269" t="s">
        <v>151</v>
      </c>
      <c r="AB269" t="s">
        <v>151</v>
      </c>
      <c r="AC269" t="s">
        <v>2289</v>
      </c>
      <c r="AD269" t="s">
        <v>2289</v>
      </c>
      <c r="AE269" t="s">
        <v>2290</v>
      </c>
      <c r="AF269" t="s">
        <v>4782</v>
      </c>
      <c r="AG269" t="s">
        <v>4783</v>
      </c>
      <c r="AH269" t="s">
        <v>3728</v>
      </c>
      <c r="AI269" t="s">
        <v>3618</v>
      </c>
      <c r="AJ269" t="s">
        <v>3546</v>
      </c>
      <c r="AK269" t="s">
        <v>3586</v>
      </c>
      <c r="AL269" t="s">
        <v>3548</v>
      </c>
      <c r="AM269" t="s">
        <v>3531</v>
      </c>
      <c r="AN269" t="s">
        <v>3595</v>
      </c>
      <c r="AO269" t="s">
        <v>3668</v>
      </c>
      <c r="AP269" t="s">
        <v>231</v>
      </c>
      <c r="AQ269" t="s">
        <v>231</v>
      </c>
      <c r="AR269" t="s">
        <v>231</v>
      </c>
      <c r="AS269" t="s">
        <v>231</v>
      </c>
      <c r="AT269" t="s">
        <v>231</v>
      </c>
      <c r="AU269" t="s">
        <v>231</v>
      </c>
      <c r="AV269" t="s">
        <v>231</v>
      </c>
      <c r="AW269" t="s">
        <v>231</v>
      </c>
      <c r="AX269" t="s">
        <v>231</v>
      </c>
      <c r="AY269" t="s">
        <v>231</v>
      </c>
      <c r="AZ269" t="s">
        <v>231</v>
      </c>
      <c r="BA269" t="s">
        <v>231</v>
      </c>
      <c r="BB269" t="s">
        <v>231</v>
      </c>
      <c r="BC269" t="s">
        <v>231</v>
      </c>
      <c r="BD269" t="s">
        <v>231</v>
      </c>
      <c r="BE269" t="s">
        <v>231</v>
      </c>
      <c r="BF269" t="s">
        <v>231</v>
      </c>
      <c r="BG269" t="s">
        <v>231</v>
      </c>
      <c r="BH269" t="s">
        <v>231</v>
      </c>
      <c r="BI269" t="s">
        <v>231</v>
      </c>
      <c r="BJ269" t="s">
        <v>231</v>
      </c>
      <c r="BK269" t="s">
        <v>231</v>
      </c>
      <c r="BL269" t="s">
        <v>231</v>
      </c>
      <c r="BM269" t="s">
        <v>231</v>
      </c>
      <c r="BN269" t="s">
        <v>231</v>
      </c>
      <c r="BO269" t="s">
        <v>231</v>
      </c>
      <c r="BP269" t="s">
        <v>231</v>
      </c>
      <c r="BQ269" t="s">
        <v>231</v>
      </c>
      <c r="BR269" t="s">
        <v>231</v>
      </c>
      <c r="BS269" t="s">
        <v>231</v>
      </c>
      <c r="BT269" t="s">
        <v>231</v>
      </c>
      <c r="BU269" t="s">
        <v>231</v>
      </c>
      <c r="BV269" t="s">
        <v>231</v>
      </c>
      <c r="BW269" t="s">
        <v>231</v>
      </c>
      <c r="BX269" t="s">
        <v>231</v>
      </c>
      <c r="BY269" t="s">
        <v>231</v>
      </c>
      <c r="BZ269" t="s">
        <v>231</v>
      </c>
      <c r="CA269" t="s">
        <v>231</v>
      </c>
      <c r="CB269" t="s">
        <v>231</v>
      </c>
      <c r="CC269" t="s">
        <v>231</v>
      </c>
      <c r="CD269" t="s">
        <v>231</v>
      </c>
      <c r="CE269" t="s">
        <v>231</v>
      </c>
      <c r="CF269" t="s">
        <v>231</v>
      </c>
      <c r="CG269" t="s">
        <v>231</v>
      </c>
      <c r="CH269" t="s">
        <v>231</v>
      </c>
      <c r="CI269" t="s">
        <v>231</v>
      </c>
      <c r="CJ269" t="s">
        <v>231</v>
      </c>
      <c r="CK269" t="s">
        <v>231</v>
      </c>
      <c r="CL269" t="s">
        <v>231</v>
      </c>
      <c r="CM269" t="s">
        <v>231</v>
      </c>
      <c r="CN269" t="s">
        <v>231</v>
      </c>
      <c r="CO269" t="s">
        <v>231</v>
      </c>
      <c r="CP269" t="s">
        <v>231</v>
      </c>
      <c r="CQ269" t="s">
        <v>231</v>
      </c>
      <c r="CR269" t="s">
        <v>231</v>
      </c>
      <c r="CS269" t="s">
        <v>231</v>
      </c>
      <c r="CT269" t="s">
        <v>3534</v>
      </c>
      <c r="CU269" t="s">
        <v>3535</v>
      </c>
      <c r="CV269" t="s">
        <v>3536</v>
      </c>
      <c r="CW269" t="s">
        <v>3589</v>
      </c>
      <c r="CX269" t="s">
        <v>223</v>
      </c>
      <c r="CY269" t="s">
        <v>3536</v>
      </c>
      <c r="CZ269" t="s">
        <v>3590</v>
      </c>
      <c r="DA269" t="s">
        <v>3591</v>
      </c>
      <c r="DB269" t="s">
        <v>3589</v>
      </c>
      <c r="DC269" t="s">
        <v>363</v>
      </c>
      <c r="DD269" t="s">
        <v>282</v>
      </c>
      <c r="DE269" t="s">
        <v>4784</v>
      </c>
    </row>
    <row r="270" spans="1:109" ht="11.25" customHeight="1">
      <c r="A270" s="1314" t="s">
        <v>231</v>
      </c>
      <c r="B270" t="s">
        <v>231</v>
      </c>
      <c r="C270" t="s">
        <v>231</v>
      </c>
      <c r="D270" t="s">
        <v>231</v>
      </c>
      <c r="E270" t="s">
        <v>231</v>
      </c>
      <c r="F270" t="s">
        <v>231</v>
      </c>
      <c r="G270" t="s">
        <v>231</v>
      </c>
      <c r="H270" t="s">
        <v>231</v>
      </c>
      <c r="I270" t="s">
        <v>3521</v>
      </c>
      <c r="J270" t="s">
        <v>231</v>
      </c>
      <c r="K270" t="s">
        <v>231</v>
      </c>
      <c r="L270" t="s">
        <v>231</v>
      </c>
      <c r="M270" t="s">
        <v>231</v>
      </c>
      <c r="N270" t="s">
        <v>231</v>
      </c>
      <c r="O270" t="s">
        <v>231</v>
      </c>
      <c r="P270" t="s">
        <v>231</v>
      </c>
      <c r="Q270" t="s">
        <v>231</v>
      </c>
      <c r="R270" t="s">
        <v>3615</v>
      </c>
      <c r="S270" t="s">
        <v>231</v>
      </c>
      <c r="T270" t="s">
        <v>231</v>
      </c>
      <c r="U270" t="s">
        <v>101</v>
      </c>
      <c r="V270" t="s">
        <v>231</v>
      </c>
      <c r="W270" t="s">
        <v>231</v>
      </c>
      <c r="X270" t="s">
        <v>3523</v>
      </c>
      <c r="Y270" t="s">
        <v>231</v>
      </c>
      <c r="Z270" t="s">
        <v>160</v>
      </c>
      <c r="AA270" t="s">
        <v>151</v>
      </c>
      <c r="AB270" t="s">
        <v>151</v>
      </c>
      <c r="AC270" t="s">
        <v>2289</v>
      </c>
      <c r="AD270" t="s">
        <v>2289</v>
      </c>
      <c r="AE270" t="s">
        <v>2290</v>
      </c>
      <c r="AF270" t="s">
        <v>4782</v>
      </c>
      <c r="AG270" t="s">
        <v>4783</v>
      </c>
      <c r="AH270" t="s">
        <v>4785</v>
      </c>
      <c r="AI270" t="s">
        <v>3618</v>
      </c>
      <c r="AJ270" t="s">
        <v>3546</v>
      </c>
      <c r="AK270" t="s">
        <v>3716</v>
      </c>
      <c r="AL270" t="s">
        <v>3548</v>
      </c>
      <c r="AM270" t="s">
        <v>3531</v>
      </c>
      <c r="AN270" t="s">
        <v>3595</v>
      </c>
      <c r="AO270" t="s">
        <v>4786</v>
      </c>
      <c r="AP270" t="s">
        <v>231</v>
      </c>
      <c r="AQ270" t="s">
        <v>231</v>
      </c>
      <c r="AR270" t="s">
        <v>231</v>
      </c>
      <c r="AS270" t="s">
        <v>231</v>
      </c>
      <c r="AT270" t="s">
        <v>231</v>
      </c>
      <c r="AU270" t="s">
        <v>231</v>
      </c>
      <c r="AV270" t="s">
        <v>231</v>
      </c>
      <c r="AW270" t="s">
        <v>231</v>
      </c>
      <c r="AX270" t="s">
        <v>231</v>
      </c>
      <c r="AY270" t="s">
        <v>231</v>
      </c>
      <c r="AZ270" t="s">
        <v>231</v>
      </c>
      <c r="BA270" t="s">
        <v>231</v>
      </c>
      <c r="BB270" t="s">
        <v>231</v>
      </c>
      <c r="BC270" t="s">
        <v>231</v>
      </c>
      <c r="BD270" t="s">
        <v>231</v>
      </c>
      <c r="BE270" t="s">
        <v>231</v>
      </c>
      <c r="BF270" t="s">
        <v>231</v>
      </c>
      <c r="BG270" t="s">
        <v>231</v>
      </c>
      <c r="BH270" t="s">
        <v>231</v>
      </c>
      <c r="BI270" t="s">
        <v>231</v>
      </c>
      <c r="BJ270" t="s">
        <v>231</v>
      </c>
      <c r="BK270" t="s">
        <v>231</v>
      </c>
      <c r="BL270" t="s">
        <v>231</v>
      </c>
      <c r="BM270" t="s">
        <v>231</v>
      </c>
      <c r="BN270" t="s">
        <v>231</v>
      </c>
      <c r="BO270" t="s">
        <v>231</v>
      </c>
      <c r="BP270" t="s">
        <v>231</v>
      </c>
      <c r="BQ270" t="s">
        <v>231</v>
      </c>
      <c r="BR270" t="s">
        <v>231</v>
      </c>
      <c r="BS270" t="s">
        <v>231</v>
      </c>
      <c r="BT270" t="s">
        <v>231</v>
      </c>
      <c r="BU270" t="s">
        <v>231</v>
      </c>
      <c r="BV270" t="s">
        <v>231</v>
      </c>
      <c r="BW270" t="s">
        <v>231</v>
      </c>
      <c r="BX270" t="s">
        <v>231</v>
      </c>
      <c r="BY270" t="s">
        <v>231</v>
      </c>
      <c r="BZ270" t="s">
        <v>231</v>
      </c>
      <c r="CA270" t="s">
        <v>231</v>
      </c>
      <c r="CB270" t="s">
        <v>231</v>
      </c>
      <c r="CC270" t="s">
        <v>231</v>
      </c>
      <c r="CD270" t="s">
        <v>231</v>
      </c>
      <c r="CE270" t="s">
        <v>231</v>
      </c>
      <c r="CF270" t="s">
        <v>231</v>
      </c>
      <c r="CG270" t="s">
        <v>231</v>
      </c>
      <c r="CH270" t="s">
        <v>231</v>
      </c>
      <c r="CI270" t="s">
        <v>231</v>
      </c>
      <c r="CJ270" t="s">
        <v>231</v>
      </c>
      <c r="CK270" t="s">
        <v>231</v>
      </c>
      <c r="CL270" t="s">
        <v>231</v>
      </c>
      <c r="CM270" t="s">
        <v>231</v>
      </c>
      <c r="CN270" t="s">
        <v>231</v>
      </c>
      <c r="CO270" t="s">
        <v>231</v>
      </c>
      <c r="CP270" t="s">
        <v>231</v>
      </c>
      <c r="CQ270" t="s">
        <v>231</v>
      </c>
      <c r="CR270" t="s">
        <v>231</v>
      </c>
      <c r="CS270" t="s">
        <v>231</v>
      </c>
      <c r="CT270" t="s">
        <v>3534</v>
      </c>
      <c r="CU270" t="s">
        <v>3535</v>
      </c>
      <c r="CV270" t="s">
        <v>3536</v>
      </c>
      <c r="CW270" t="s">
        <v>3589</v>
      </c>
      <c r="CX270" t="s">
        <v>223</v>
      </c>
      <c r="CY270" t="s">
        <v>3536</v>
      </c>
      <c r="CZ270" t="s">
        <v>3590</v>
      </c>
      <c r="DA270" t="s">
        <v>3591</v>
      </c>
      <c r="DB270" t="s">
        <v>3589</v>
      </c>
      <c r="DC270" t="s">
        <v>363</v>
      </c>
      <c r="DD270" t="s">
        <v>282</v>
      </c>
      <c r="DE270" t="s">
        <v>4787</v>
      </c>
    </row>
    <row r="271" spans="1:109" ht="11.25" customHeight="1">
      <c r="A271" s="1314" t="s">
        <v>231</v>
      </c>
      <c r="B271" t="s">
        <v>231</v>
      </c>
      <c r="C271" t="s">
        <v>231</v>
      </c>
      <c r="D271" t="s">
        <v>231</v>
      </c>
      <c r="E271" t="s">
        <v>231</v>
      </c>
      <c r="F271" t="s">
        <v>231</v>
      </c>
      <c r="G271" t="s">
        <v>231</v>
      </c>
      <c r="H271" t="s">
        <v>231</v>
      </c>
      <c r="I271" t="s">
        <v>3521</v>
      </c>
      <c r="J271" t="s">
        <v>231</v>
      </c>
      <c r="K271" t="s">
        <v>231</v>
      </c>
      <c r="L271" t="s">
        <v>231</v>
      </c>
      <c r="M271" t="s">
        <v>231</v>
      </c>
      <c r="N271" t="s">
        <v>231</v>
      </c>
      <c r="O271" t="s">
        <v>231</v>
      </c>
      <c r="P271" t="s">
        <v>231</v>
      </c>
      <c r="Q271" t="s">
        <v>231</v>
      </c>
      <c r="R271" t="s">
        <v>3615</v>
      </c>
      <c r="S271" t="s">
        <v>231</v>
      </c>
      <c r="T271" t="s">
        <v>231</v>
      </c>
      <c r="U271" t="s">
        <v>101</v>
      </c>
      <c r="V271" t="s">
        <v>231</v>
      </c>
      <c r="W271" t="s">
        <v>231</v>
      </c>
      <c r="X271" t="s">
        <v>3523</v>
      </c>
      <c r="Y271" t="s">
        <v>231</v>
      </c>
      <c r="Z271" t="s">
        <v>160</v>
      </c>
      <c r="AA271" t="s">
        <v>151</v>
      </c>
      <c r="AB271" t="s">
        <v>151</v>
      </c>
      <c r="AC271" t="s">
        <v>2287</v>
      </c>
      <c r="AD271" t="s">
        <v>2287</v>
      </c>
      <c r="AE271" t="s">
        <v>2288</v>
      </c>
      <c r="AF271" t="s">
        <v>4788</v>
      </c>
      <c r="AG271" t="s">
        <v>4789</v>
      </c>
      <c r="AH271" t="s">
        <v>4790</v>
      </c>
      <c r="AI271" t="s">
        <v>3618</v>
      </c>
      <c r="AJ271" t="s">
        <v>4568</v>
      </c>
      <c r="AK271" t="s">
        <v>4467</v>
      </c>
      <c r="AL271" t="s">
        <v>3548</v>
      </c>
      <c r="AM271" t="s">
        <v>3531</v>
      </c>
      <c r="AN271" t="s">
        <v>3621</v>
      </c>
      <c r="AO271" t="s">
        <v>3901</v>
      </c>
      <c r="AP271" t="s">
        <v>231</v>
      </c>
      <c r="AQ271" t="s">
        <v>231</v>
      </c>
      <c r="AR271" t="s">
        <v>231</v>
      </c>
      <c r="AS271" t="s">
        <v>231</v>
      </c>
      <c r="AT271" t="s">
        <v>231</v>
      </c>
      <c r="AU271" t="s">
        <v>231</v>
      </c>
      <c r="AV271" t="s">
        <v>231</v>
      </c>
      <c r="AW271" t="s">
        <v>231</v>
      </c>
      <c r="AX271" t="s">
        <v>231</v>
      </c>
      <c r="AY271" t="s">
        <v>231</v>
      </c>
      <c r="AZ271" t="s">
        <v>231</v>
      </c>
      <c r="BA271" t="s">
        <v>231</v>
      </c>
      <c r="BB271" t="s">
        <v>231</v>
      </c>
      <c r="BC271" t="s">
        <v>231</v>
      </c>
      <c r="BD271" t="s">
        <v>231</v>
      </c>
      <c r="BE271" t="s">
        <v>231</v>
      </c>
      <c r="BF271" t="s">
        <v>231</v>
      </c>
      <c r="BG271" t="s">
        <v>231</v>
      </c>
      <c r="BH271" t="s">
        <v>231</v>
      </c>
      <c r="BI271" t="s">
        <v>231</v>
      </c>
      <c r="BJ271" t="s">
        <v>231</v>
      </c>
      <c r="BK271" t="s">
        <v>231</v>
      </c>
      <c r="BL271" t="s">
        <v>231</v>
      </c>
      <c r="BM271" t="s">
        <v>231</v>
      </c>
      <c r="BN271" t="s">
        <v>231</v>
      </c>
      <c r="BO271" t="s">
        <v>231</v>
      </c>
      <c r="BP271" t="s">
        <v>231</v>
      </c>
      <c r="BQ271" t="s">
        <v>231</v>
      </c>
      <c r="BR271" t="s">
        <v>231</v>
      </c>
      <c r="BS271" t="s">
        <v>231</v>
      </c>
      <c r="BT271" t="s">
        <v>231</v>
      </c>
      <c r="BU271" t="s">
        <v>231</v>
      </c>
      <c r="BV271" t="s">
        <v>231</v>
      </c>
      <c r="BW271" t="s">
        <v>231</v>
      </c>
      <c r="BX271" t="s">
        <v>231</v>
      </c>
      <c r="BY271" t="s">
        <v>231</v>
      </c>
      <c r="BZ271" t="s">
        <v>231</v>
      </c>
      <c r="CA271" t="s">
        <v>231</v>
      </c>
      <c r="CB271" t="s">
        <v>231</v>
      </c>
      <c r="CC271" t="s">
        <v>231</v>
      </c>
      <c r="CD271" t="s">
        <v>231</v>
      </c>
      <c r="CE271" t="s">
        <v>231</v>
      </c>
      <c r="CF271" t="s">
        <v>231</v>
      </c>
      <c r="CG271" t="s">
        <v>231</v>
      </c>
      <c r="CH271" t="s">
        <v>231</v>
      </c>
      <c r="CI271" t="s">
        <v>231</v>
      </c>
      <c r="CJ271" t="s">
        <v>231</v>
      </c>
      <c r="CK271" t="s">
        <v>231</v>
      </c>
      <c r="CL271" t="s">
        <v>231</v>
      </c>
      <c r="CM271" t="s">
        <v>231</v>
      </c>
      <c r="CN271" t="s">
        <v>231</v>
      </c>
      <c r="CO271" t="s">
        <v>231</v>
      </c>
      <c r="CP271" t="s">
        <v>231</v>
      </c>
      <c r="CQ271" t="s">
        <v>231</v>
      </c>
      <c r="CR271" t="s">
        <v>231</v>
      </c>
      <c r="CS271" t="s">
        <v>231</v>
      </c>
      <c r="CT271" t="s">
        <v>3534</v>
      </c>
      <c r="CU271" t="s">
        <v>3535</v>
      </c>
      <c r="CV271" t="s">
        <v>3536</v>
      </c>
      <c r="CW271" t="s">
        <v>3623</v>
      </c>
      <c r="CX271" t="s">
        <v>223</v>
      </c>
      <c r="CY271" t="s">
        <v>3536</v>
      </c>
      <c r="CZ271" t="s">
        <v>3624</v>
      </c>
      <c r="DA271" t="s">
        <v>3625</v>
      </c>
      <c r="DB271" t="s">
        <v>3623</v>
      </c>
      <c r="DC271" t="s">
        <v>363</v>
      </c>
      <c r="DD271" t="s">
        <v>282</v>
      </c>
      <c r="DE271" t="s">
        <v>4791</v>
      </c>
    </row>
    <row r="272" spans="1:109" ht="11.25" customHeight="1">
      <c r="A272" s="1314" t="s">
        <v>231</v>
      </c>
      <c r="B272" t="s">
        <v>231</v>
      </c>
      <c r="C272" t="s">
        <v>231</v>
      </c>
      <c r="D272" t="s">
        <v>231</v>
      </c>
      <c r="E272" t="s">
        <v>231</v>
      </c>
      <c r="F272" t="s">
        <v>231</v>
      </c>
      <c r="G272" t="s">
        <v>231</v>
      </c>
      <c r="H272" t="s">
        <v>231</v>
      </c>
      <c r="I272" t="s">
        <v>3521</v>
      </c>
      <c r="J272" t="s">
        <v>231</v>
      </c>
      <c r="K272" t="s">
        <v>231</v>
      </c>
      <c r="L272" t="s">
        <v>231</v>
      </c>
      <c r="M272" t="s">
        <v>231</v>
      </c>
      <c r="N272" t="s">
        <v>231</v>
      </c>
      <c r="O272" t="s">
        <v>231</v>
      </c>
      <c r="P272" t="s">
        <v>231</v>
      </c>
      <c r="Q272" t="s">
        <v>231</v>
      </c>
      <c r="R272" t="s">
        <v>4792</v>
      </c>
      <c r="S272" t="s">
        <v>231</v>
      </c>
      <c r="T272" t="s">
        <v>231</v>
      </c>
      <c r="U272" t="s">
        <v>101</v>
      </c>
      <c r="V272" t="s">
        <v>231</v>
      </c>
      <c r="W272" t="s">
        <v>231</v>
      </c>
      <c r="X272" t="s">
        <v>3523</v>
      </c>
      <c r="Y272" t="s">
        <v>231</v>
      </c>
      <c r="Z272" t="s">
        <v>160</v>
      </c>
      <c r="AA272" t="s">
        <v>151</v>
      </c>
      <c r="AB272" t="s">
        <v>151</v>
      </c>
      <c r="AC272" t="s">
        <v>343</v>
      </c>
      <c r="AD272" t="s">
        <v>343</v>
      </c>
      <c r="AE272" t="s">
        <v>344</v>
      </c>
      <c r="AF272" t="s">
        <v>3561</v>
      </c>
      <c r="AG272" t="s">
        <v>3562</v>
      </c>
      <c r="AH272" t="s">
        <v>3609</v>
      </c>
      <c r="AI272" t="s">
        <v>3610</v>
      </c>
      <c r="AJ272" t="s">
        <v>3611</v>
      </c>
      <c r="AK272" t="s">
        <v>4793</v>
      </c>
      <c r="AL272" t="s">
        <v>3648</v>
      </c>
      <c r="AM272" t="s">
        <v>3531</v>
      </c>
      <c r="AN272" t="s">
        <v>4794</v>
      </c>
      <c r="AO272" t="s">
        <v>4795</v>
      </c>
      <c r="AP272" t="s">
        <v>231</v>
      </c>
      <c r="AQ272" t="s">
        <v>231</v>
      </c>
      <c r="AR272" t="s">
        <v>231</v>
      </c>
      <c r="AS272" t="s">
        <v>231</v>
      </c>
      <c r="AT272" t="s">
        <v>231</v>
      </c>
      <c r="AU272" t="s">
        <v>231</v>
      </c>
      <c r="AV272" t="s">
        <v>231</v>
      </c>
      <c r="AW272" t="s">
        <v>231</v>
      </c>
      <c r="AX272" t="s">
        <v>231</v>
      </c>
      <c r="AY272" t="s">
        <v>231</v>
      </c>
      <c r="AZ272" t="s">
        <v>231</v>
      </c>
      <c r="BA272" t="s">
        <v>231</v>
      </c>
      <c r="BB272" t="s">
        <v>231</v>
      </c>
      <c r="BC272" t="s">
        <v>231</v>
      </c>
      <c r="BD272" t="s">
        <v>231</v>
      </c>
      <c r="BE272" t="s">
        <v>231</v>
      </c>
      <c r="BF272" t="s">
        <v>231</v>
      </c>
      <c r="BG272" t="s">
        <v>231</v>
      </c>
      <c r="BH272" t="s">
        <v>231</v>
      </c>
      <c r="BI272" t="s">
        <v>231</v>
      </c>
      <c r="BJ272" t="s">
        <v>231</v>
      </c>
      <c r="BK272" t="s">
        <v>231</v>
      </c>
      <c r="BL272" t="s">
        <v>231</v>
      </c>
      <c r="BM272" t="s">
        <v>231</v>
      </c>
      <c r="BN272" t="s">
        <v>231</v>
      </c>
      <c r="BO272" t="s">
        <v>231</v>
      </c>
      <c r="BP272" t="s">
        <v>231</v>
      </c>
      <c r="BQ272" t="s">
        <v>231</v>
      </c>
      <c r="BR272" t="s">
        <v>231</v>
      </c>
      <c r="BS272" t="s">
        <v>231</v>
      </c>
      <c r="BT272" t="s">
        <v>231</v>
      </c>
      <c r="BU272" t="s">
        <v>231</v>
      </c>
      <c r="BV272" t="s">
        <v>231</v>
      </c>
      <c r="BW272" t="s">
        <v>231</v>
      </c>
      <c r="BX272" t="s">
        <v>231</v>
      </c>
      <c r="BY272" t="s">
        <v>231</v>
      </c>
      <c r="BZ272" t="s">
        <v>231</v>
      </c>
      <c r="CA272" t="s">
        <v>231</v>
      </c>
      <c r="CB272" t="s">
        <v>231</v>
      </c>
      <c r="CC272" t="s">
        <v>231</v>
      </c>
      <c r="CD272" t="s">
        <v>231</v>
      </c>
      <c r="CE272" t="s">
        <v>231</v>
      </c>
      <c r="CF272" t="s">
        <v>231</v>
      </c>
      <c r="CG272" t="s">
        <v>231</v>
      </c>
      <c r="CH272" t="s">
        <v>231</v>
      </c>
      <c r="CI272" t="s">
        <v>231</v>
      </c>
      <c r="CJ272" t="s">
        <v>231</v>
      </c>
      <c r="CK272" t="s">
        <v>231</v>
      </c>
      <c r="CL272" t="s">
        <v>231</v>
      </c>
      <c r="CM272" t="s">
        <v>231</v>
      </c>
      <c r="CN272" t="s">
        <v>231</v>
      </c>
      <c r="CO272" t="s">
        <v>231</v>
      </c>
      <c r="CP272" t="s">
        <v>231</v>
      </c>
      <c r="CQ272" t="s">
        <v>231</v>
      </c>
      <c r="CR272" t="s">
        <v>231</v>
      </c>
      <c r="CS272" t="s">
        <v>231</v>
      </c>
      <c r="CT272" t="s">
        <v>3534</v>
      </c>
      <c r="CU272" t="s">
        <v>3535</v>
      </c>
      <c r="CV272" t="s">
        <v>3536</v>
      </c>
      <c r="CW272" t="s">
        <v>3569</v>
      </c>
      <c r="CX272" t="s">
        <v>3570</v>
      </c>
      <c r="CY272" t="s">
        <v>3536</v>
      </c>
      <c r="CZ272" t="s">
        <v>224</v>
      </c>
      <c r="DA272" t="s">
        <v>3571</v>
      </c>
      <c r="DB272" t="s">
        <v>3569</v>
      </c>
      <c r="DC272" t="s">
        <v>363</v>
      </c>
      <c r="DD272" t="s">
        <v>282</v>
      </c>
      <c r="DE272" t="s">
        <v>3614</v>
      </c>
    </row>
    <row r="273" spans="1:109" ht="11.25" customHeight="1">
      <c r="A273" s="1314" t="s">
        <v>231</v>
      </c>
      <c r="B273" t="s">
        <v>231</v>
      </c>
      <c r="C273" t="s">
        <v>231</v>
      </c>
      <c r="D273" t="s">
        <v>231</v>
      </c>
      <c r="E273" t="s">
        <v>231</v>
      </c>
      <c r="F273" t="s">
        <v>231</v>
      </c>
      <c r="G273" t="s">
        <v>231</v>
      </c>
      <c r="H273" t="s">
        <v>231</v>
      </c>
      <c r="I273" t="s">
        <v>3521</v>
      </c>
      <c r="J273" t="s">
        <v>231</v>
      </c>
      <c r="K273" t="s">
        <v>231</v>
      </c>
      <c r="L273" t="s">
        <v>231</v>
      </c>
      <c r="M273" t="s">
        <v>231</v>
      </c>
      <c r="N273" t="s">
        <v>231</v>
      </c>
      <c r="O273" t="s">
        <v>231</v>
      </c>
      <c r="P273" t="s">
        <v>231</v>
      </c>
      <c r="Q273" t="s">
        <v>231</v>
      </c>
      <c r="R273" t="s">
        <v>3651</v>
      </c>
      <c r="S273" t="s">
        <v>231</v>
      </c>
      <c r="T273" t="s">
        <v>231</v>
      </c>
      <c r="U273" t="s">
        <v>101</v>
      </c>
      <c r="V273" t="s">
        <v>231</v>
      </c>
      <c r="W273" t="s">
        <v>231</v>
      </c>
      <c r="X273" t="s">
        <v>3523</v>
      </c>
      <c r="Y273" t="s">
        <v>231</v>
      </c>
      <c r="Z273" t="s">
        <v>160</v>
      </c>
      <c r="AA273" t="s">
        <v>151</v>
      </c>
      <c r="AB273" t="s">
        <v>151</v>
      </c>
      <c r="AC273" t="s">
        <v>2283</v>
      </c>
      <c r="AD273" t="s">
        <v>2283</v>
      </c>
      <c r="AE273" t="s">
        <v>2284</v>
      </c>
      <c r="AF273" t="s">
        <v>4534</v>
      </c>
      <c r="AG273" t="s">
        <v>4535</v>
      </c>
      <c r="AH273" t="s">
        <v>4796</v>
      </c>
      <c r="AI273" t="s">
        <v>3688</v>
      </c>
      <c r="AJ273" t="s">
        <v>4322</v>
      </c>
      <c r="AK273" t="s">
        <v>3775</v>
      </c>
      <c r="AL273" t="s">
        <v>3648</v>
      </c>
      <c r="AM273" t="s">
        <v>3531</v>
      </c>
      <c r="AN273" t="s">
        <v>3549</v>
      </c>
      <c r="AO273" t="s">
        <v>4541</v>
      </c>
      <c r="AP273" t="s">
        <v>231</v>
      </c>
      <c r="AQ273" t="s">
        <v>231</v>
      </c>
      <c r="AR273" t="s">
        <v>231</v>
      </c>
      <c r="AS273" t="s">
        <v>231</v>
      </c>
      <c r="AT273" t="s">
        <v>231</v>
      </c>
      <c r="AU273" t="s">
        <v>231</v>
      </c>
      <c r="AV273" t="s">
        <v>231</v>
      </c>
      <c r="AW273" t="s">
        <v>231</v>
      </c>
      <c r="AX273" t="s">
        <v>231</v>
      </c>
      <c r="AY273" t="s">
        <v>231</v>
      </c>
      <c r="AZ273" t="s">
        <v>231</v>
      </c>
      <c r="BA273" t="s">
        <v>231</v>
      </c>
      <c r="BB273" t="s">
        <v>231</v>
      </c>
      <c r="BC273" t="s">
        <v>231</v>
      </c>
      <c r="BD273" t="s">
        <v>231</v>
      </c>
      <c r="BE273" t="s">
        <v>231</v>
      </c>
      <c r="BF273" t="s">
        <v>231</v>
      </c>
      <c r="BG273" t="s">
        <v>231</v>
      </c>
      <c r="BH273" t="s">
        <v>231</v>
      </c>
      <c r="BI273" t="s">
        <v>231</v>
      </c>
      <c r="BJ273" t="s">
        <v>231</v>
      </c>
      <c r="BK273" t="s">
        <v>231</v>
      </c>
      <c r="BL273" t="s">
        <v>231</v>
      </c>
      <c r="BM273" t="s">
        <v>231</v>
      </c>
      <c r="BN273" t="s">
        <v>231</v>
      </c>
      <c r="BO273" t="s">
        <v>231</v>
      </c>
      <c r="BP273" t="s">
        <v>231</v>
      </c>
      <c r="BQ273" t="s">
        <v>231</v>
      </c>
      <c r="BR273" t="s">
        <v>231</v>
      </c>
      <c r="BS273" t="s">
        <v>231</v>
      </c>
      <c r="BT273" t="s">
        <v>231</v>
      </c>
      <c r="BU273" t="s">
        <v>231</v>
      </c>
      <c r="BV273" t="s">
        <v>231</v>
      </c>
      <c r="BW273" t="s">
        <v>231</v>
      </c>
      <c r="BX273" t="s">
        <v>231</v>
      </c>
      <c r="BY273" t="s">
        <v>231</v>
      </c>
      <c r="BZ273" t="s">
        <v>231</v>
      </c>
      <c r="CA273" t="s">
        <v>231</v>
      </c>
      <c r="CB273" t="s">
        <v>231</v>
      </c>
      <c r="CC273" t="s">
        <v>231</v>
      </c>
      <c r="CD273" t="s">
        <v>231</v>
      </c>
      <c r="CE273" t="s">
        <v>231</v>
      </c>
      <c r="CF273" t="s">
        <v>231</v>
      </c>
      <c r="CG273" t="s">
        <v>231</v>
      </c>
      <c r="CH273" t="s">
        <v>231</v>
      </c>
      <c r="CI273" t="s">
        <v>231</v>
      </c>
      <c r="CJ273" t="s">
        <v>231</v>
      </c>
      <c r="CK273" t="s">
        <v>231</v>
      </c>
      <c r="CL273" t="s">
        <v>231</v>
      </c>
      <c r="CM273" t="s">
        <v>231</v>
      </c>
      <c r="CN273" t="s">
        <v>231</v>
      </c>
      <c r="CO273" t="s">
        <v>231</v>
      </c>
      <c r="CP273" t="s">
        <v>231</v>
      </c>
      <c r="CQ273" t="s">
        <v>231</v>
      </c>
      <c r="CR273" t="s">
        <v>231</v>
      </c>
      <c r="CS273" t="s">
        <v>231</v>
      </c>
      <c r="CT273" t="s">
        <v>3534</v>
      </c>
      <c r="CU273" t="s">
        <v>3535</v>
      </c>
      <c r="CV273" t="s">
        <v>3536</v>
      </c>
      <c r="CW273" t="s">
        <v>3551</v>
      </c>
      <c r="CX273" t="s">
        <v>223</v>
      </c>
      <c r="CY273" t="s">
        <v>3536</v>
      </c>
      <c r="CZ273" t="s">
        <v>3552</v>
      </c>
      <c r="DA273" t="s">
        <v>3553</v>
      </c>
      <c r="DB273" t="s">
        <v>3551</v>
      </c>
      <c r="DC273" t="s">
        <v>363</v>
      </c>
      <c r="DD273" t="s">
        <v>282</v>
      </c>
      <c r="DE273" t="s">
        <v>4797</v>
      </c>
    </row>
    <row r="274" spans="1:109" ht="11.25" customHeight="1">
      <c r="A274" s="1314" t="s">
        <v>231</v>
      </c>
      <c r="B274" t="s">
        <v>231</v>
      </c>
      <c r="C274" t="s">
        <v>231</v>
      </c>
      <c r="D274" t="s">
        <v>231</v>
      </c>
      <c r="E274" t="s">
        <v>231</v>
      </c>
      <c r="F274" t="s">
        <v>231</v>
      </c>
      <c r="G274" t="s">
        <v>231</v>
      </c>
      <c r="H274" t="s">
        <v>231</v>
      </c>
      <c r="I274" t="s">
        <v>3521</v>
      </c>
      <c r="J274" t="s">
        <v>231</v>
      </c>
      <c r="K274" t="s">
        <v>231</v>
      </c>
      <c r="L274" t="s">
        <v>231</v>
      </c>
      <c r="M274" t="s">
        <v>231</v>
      </c>
      <c r="N274" t="s">
        <v>231</v>
      </c>
      <c r="O274" t="s">
        <v>231</v>
      </c>
      <c r="P274" t="s">
        <v>231</v>
      </c>
      <c r="Q274" t="s">
        <v>231</v>
      </c>
      <c r="R274" t="s">
        <v>3685</v>
      </c>
      <c r="S274" t="s">
        <v>231</v>
      </c>
      <c r="T274" t="s">
        <v>231</v>
      </c>
      <c r="U274" t="s">
        <v>101</v>
      </c>
      <c r="V274" t="s">
        <v>231</v>
      </c>
      <c r="W274" t="s">
        <v>231</v>
      </c>
      <c r="X274" t="s">
        <v>3628</v>
      </c>
      <c r="Y274" t="s">
        <v>231</v>
      </c>
      <c r="Z274" t="s">
        <v>151</v>
      </c>
      <c r="AA274" t="s">
        <v>151</v>
      </c>
      <c r="AB274" t="s">
        <v>160</v>
      </c>
      <c r="AC274" t="s">
        <v>2283</v>
      </c>
      <c r="AD274" t="s">
        <v>2283</v>
      </c>
      <c r="AE274" t="s">
        <v>2284</v>
      </c>
      <c r="AF274" t="s">
        <v>3675</v>
      </c>
      <c r="AG274" t="s">
        <v>3676</v>
      </c>
      <c r="AH274" t="s">
        <v>3675</v>
      </c>
      <c r="AI274" t="s">
        <v>3688</v>
      </c>
      <c r="AJ274" t="s">
        <v>231</v>
      </c>
      <c r="AK274" t="s">
        <v>231</v>
      </c>
      <c r="AL274" t="s">
        <v>231</v>
      </c>
      <c r="AM274" t="s">
        <v>231</v>
      </c>
      <c r="AN274" t="s">
        <v>231</v>
      </c>
      <c r="AO274" t="s">
        <v>231</v>
      </c>
      <c r="AP274" t="s">
        <v>231</v>
      </c>
      <c r="AQ274" t="s">
        <v>231</v>
      </c>
      <c r="AR274" t="s">
        <v>231</v>
      </c>
      <c r="AS274" t="s">
        <v>231</v>
      </c>
      <c r="AT274" t="s">
        <v>231</v>
      </c>
      <c r="AU274" t="s">
        <v>231</v>
      </c>
      <c r="AV274" t="s">
        <v>231</v>
      </c>
      <c r="AW274" t="s">
        <v>231</v>
      </c>
      <c r="AX274" t="s">
        <v>231</v>
      </c>
      <c r="AY274" t="s">
        <v>231</v>
      </c>
      <c r="AZ274" t="s">
        <v>231</v>
      </c>
      <c r="BA274" t="s">
        <v>231</v>
      </c>
      <c r="BB274" t="s">
        <v>231</v>
      </c>
      <c r="BC274" t="s">
        <v>231</v>
      </c>
      <c r="BD274" t="s">
        <v>231</v>
      </c>
      <c r="BE274" t="s">
        <v>3689</v>
      </c>
      <c r="BF274" t="s">
        <v>3689</v>
      </c>
      <c r="BG274" t="s">
        <v>111</v>
      </c>
      <c r="BH274" t="s">
        <v>3632</v>
      </c>
      <c r="BI274" t="s">
        <v>122</v>
      </c>
      <c r="BJ274" t="s">
        <v>231</v>
      </c>
      <c r="BK274" t="s">
        <v>3651</v>
      </c>
      <c r="BL274" t="s">
        <v>2283</v>
      </c>
      <c r="BM274" t="s">
        <v>2283</v>
      </c>
      <c r="BN274" t="s">
        <v>3690</v>
      </c>
      <c r="BO274" t="s">
        <v>3675</v>
      </c>
      <c r="BP274" t="s">
        <v>4798</v>
      </c>
      <c r="BQ274" t="s">
        <v>3677</v>
      </c>
      <c r="BR274" t="s">
        <v>4799</v>
      </c>
      <c r="BS274" t="s">
        <v>231</v>
      </c>
      <c r="BT274" t="s">
        <v>3694</v>
      </c>
      <c r="BU274" t="s">
        <v>4800</v>
      </c>
      <c r="BV274" t="s">
        <v>4800</v>
      </c>
      <c r="BW274" t="s">
        <v>3641</v>
      </c>
      <c r="BX274" t="s">
        <v>3641</v>
      </c>
      <c r="BY274" t="s">
        <v>3641</v>
      </c>
      <c r="BZ274" t="s">
        <v>3641</v>
      </c>
      <c r="CA274" t="s">
        <v>3641</v>
      </c>
      <c r="CB274" t="s">
        <v>231</v>
      </c>
      <c r="CC274" t="s">
        <v>231</v>
      </c>
      <c r="CD274" t="s">
        <v>231</v>
      </c>
      <c r="CE274" t="s">
        <v>231</v>
      </c>
      <c r="CF274" t="s">
        <v>231</v>
      </c>
      <c r="CG274" t="s">
        <v>3641</v>
      </c>
      <c r="CH274" t="s">
        <v>231</v>
      </c>
      <c r="CI274" t="s">
        <v>231</v>
      </c>
      <c r="CJ274" t="s">
        <v>231</v>
      </c>
      <c r="CK274" t="s">
        <v>231</v>
      </c>
      <c r="CL274" t="s">
        <v>231</v>
      </c>
      <c r="CM274" t="s">
        <v>4800</v>
      </c>
      <c r="CN274" t="s">
        <v>4800</v>
      </c>
      <c r="CO274" t="s">
        <v>231</v>
      </c>
      <c r="CP274" t="s">
        <v>231</v>
      </c>
      <c r="CQ274" t="s">
        <v>231</v>
      </c>
      <c r="CR274" t="s">
        <v>231</v>
      </c>
      <c r="CS274" t="s">
        <v>3549</v>
      </c>
      <c r="CT274" t="s">
        <v>3534</v>
      </c>
      <c r="CU274" t="s">
        <v>3535</v>
      </c>
      <c r="CV274" t="s">
        <v>3536</v>
      </c>
      <c r="CW274" t="s">
        <v>3551</v>
      </c>
      <c r="CX274" t="s">
        <v>223</v>
      </c>
      <c r="CY274" t="s">
        <v>3536</v>
      </c>
      <c r="CZ274" t="s">
        <v>3552</v>
      </c>
      <c r="DA274" t="s">
        <v>3553</v>
      </c>
      <c r="DB274" t="s">
        <v>3551</v>
      </c>
      <c r="DC274" t="s">
        <v>363</v>
      </c>
      <c r="DD274" t="s">
        <v>282</v>
      </c>
      <c r="DE274" t="s">
        <v>4801</v>
      </c>
    </row>
    <row r="275" spans="1:109" ht="11.25" customHeight="1">
      <c r="A275" s="1314" t="s">
        <v>231</v>
      </c>
      <c r="B275" t="s">
        <v>231</v>
      </c>
      <c r="C275" t="s">
        <v>231</v>
      </c>
      <c r="D275" t="s">
        <v>231</v>
      </c>
      <c r="E275" t="s">
        <v>231</v>
      </c>
      <c r="F275" t="s">
        <v>231</v>
      </c>
      <c r="G275" t="s">
        <v>231</v>
      </c>
      <c r="H275" t="s">
        <v>231</v>
      </c>
      <c r="I275" t="s">
        <v>3521</v>
      </c>
      <c r="J275" t="s">
        <v>231</v>
      </c>
      <c r="K275" t="s">
        <v>231</v>
      </c>
      <c r="L275" t="s">
        <v>231</v>
      </c>
      <c r="M275" t="s">
        <v>231</v>
      </c>
      <c r="N275" t="s">
        <v>231</v>
      </c>
      <c r="O275" t="s">
        <v>231</v>
      </c>
      <c r="P275" t="s">
        <v>231</v>
      </c>
      <c r="Q275" t="s">
        <v>231</v>
      </c>
      <c r="R275" t="s">
        <v>4802</v>
      </c>
      <c r="S275" t="s">
        <v>231</v>
      </c>
      <c r="T275" t="s">
        <v>231</v>
      </c>
      <c r="U275" t="s">
        <v>101</v>
      </c>
      <c r="V275" t="s">
        <v>231</v>
      </c>
      <c r="W275" t="s">
        <v>231</v>
      </c>
      <c r="X275" t="s">
        <v>3523</v>
      </c>
      <c r="Y275" t="s">
        <v>231</v>
      </c>
      <c r="Z275" t="s">
        <v>160</v>
      </c>
      <c r="AA275" t="s">
        <v>151</v>
      </c>
      <c r="AB275" t="s">
        <v>151</v>
      </c>
      <c r="AC275" t="s">
        <v>2289</v>
      </c>
      <c r="AD275" t="s">
        <v>2289</v>
      </c>
      <c r="AE275" t="s">
        <v>2290</v>
      </c>
      <c r="AF275" t="s">
        <v>3793</v>
      </c>
      <c r="AG275" t="s">
        <v>3794</v>
      </c>
      <c r="AH275" t="s">
        <v>4803</v>
      </c>
      <c r="AI275" t="s">
        <v>4360</v>
      </c>
      <c r="AJ275" t="s">
        <v>3546</v>
      </c>
      <c r="AK275" t="s">
        <v>3775</v>
      </c>
      <c r="AL275" t="s">
        <v>3548</v>
      </c>
      <c r="AM275" t="s">
        <v>3531</v>
      </c>
      <c r="AN275" t="s">
        <v>3595</v>
      </c>
      <c r="AO275" t="s">
        <v>3724</v>
      </c>
      <c r="AP275" t="s">
        <v>231</v>
      </c>
      <c r="AQ275" t="s">
        <v>231</v>
      </c>
      <c r="AR275" t="s">
        <v>231</v>
      </c>
      <c r="AS275" t="s">
        <v>231</v>
      </c>
      <c r="AT275" t="s">
        <v>231</v>
      </c>
      <c r="AU275" t="s">
        <v>231</v>
      </c>
      <c r="AV275" t="s">
        <v>231</v>
      </c>
      <c r="AW275" t="s">
        <v>231</v>
      </c>
      <c r="AX275" t="s">
        <v>231</v>
      </c>
      <c r="AY275" t="s">
        <v>231</v>
      </c>
      <c r="AZ275" t="s">
        <v>231</v>
      </c>
      <c r="BA275" t="s">
        <v>231</v>
      </c>
      <c r="BB275" t="s">
        <v>231</v>
      </c>
      <c r="BC275" t="s">
        <v>231</v>
      </c>
      <c r="BD275" t="s">
        <v>231</v>
      </c>
      <c r="BE275" t="s">
        <v>231</v>
      </c>
      <c r="BF275" t="s">
        <v>231</v>
      </c>
      <c r="BG275" t="s">
        <v>231</v>
      </c>
      <c r="BH275" t="s">
        <v>231</v>
      </c>
      <c r="BI275" t="s">
        <v>231</v>
      </c>
      <c r="BJ275" t="s">
        <v>231</v>
      </c>
      <c r="BK275" t="s">
        <v>231</v>
      </c>
      <c r="BL275" t="s">
        <v>231</v>
      </c>
      <c r="BM275" t="s">
        <v>231</v>
      </c>
      <c r="BN275" t="s">
        <v>231</v>
      </c>
      <c r="BO275" t="s">
        <v>231</v>
      </c>
      <c r="BP275" t="s">
        <v>231</v>
      </c>
      <c r="BQ275" t="s">
        <v>231</v>
      </c>
      <c r="BR275" t="s">
        <v>231</v>
      </c>
      <c r="BS275" t="s">
        <v>231</v>
      </c>
      <c r="BT275" t="s">
        <v>231</v>
      </c>
      <c r="BU275" t="s">
        <v>231</v>
      </c>
      <c r="BV275" t="s">
        <v>231</v>
      </c>
      <c r="BW275" t="s">
        <v>231</v>
      </c>
      <c r="BX275" t="s">
        <v>231</v>
      </c>
      <c r="BY275" t="s">
        <v>231</v>
      </c>
      <c r="BZ275" t="s">
        <v>231</v>
      </c>
      <c r="CA275" t="s">
        <v>231</v>
      </c>
      <c r="CB275" t="s">
        <v>231</v>
      </c>
      <c r="CC275" t="s">
        <v>231</v>
      </c>
      <c r="CD275" t="s">
        <v>231</v>
      </c>
      <c r="CE275" t="s">
        <v>231</v>
      </c>
      <c r="CF275" t="s">
        <v>231</v>
      </c>
      <c r="CG275" t="s">
        <v>231</v>
      </c>
      <c r="CH275" t="s">
        <v>231</v>
      </c>
      <c r="CI275" t="s">
        <v>231</v>
      </c>
      <c r="CJ275" t="s">
        <v>231</v>
      </c>
      <c r="CK275" t="s">
        <v>231</v>
      </c>
      <c r="CL275" t="s">
        <v>231</v>
      </c>
      <c r="CM275" t="s">
        <v>231</v>
      </c>
      <c r="CN275" t="s">
        <v>231</v>
      </c>
      <c r="CO275" t="s">
        <v>231</v>
      </c>
      <c r="CP275" t="s">
        <v>231</v>
      </c>
      <c r="CQ275" t="s">
        <v>231</v>
      </c>
      <c r="CR275" t="s">
        <v>231</v>
      </c>
      <c r="CS275" t="s">
        <v>231</v>
      </c>
      <c r="CT275" t="s">
        <v>3534</v>
      </c>
      <c r="CU275" t="s">
        <v>3535</v>
      </c>
      <c r="CV275" t="s">
        <v>3536</v>
      </c>
      <c r="CW275" t="s">
        <v>3589</v>
      </c>
      <c r="CX275" t="s">
        <v>223</v>
      </c>
      <c r="CY275" t="s">
        <v>3536</v>
      </c>
      <c r="CZ275" t="s">
        <v>3590</v>
      </c>
      <c r="DA275" t="s">
        <v>3591</v>
      </c>
      <c r="DB275" t="s">
        <v>3589</v>
      </c>
      <c r="DC275" t="s">
        <v>363</v>
      </c>
      <c r="DD275" t="s">
        <v>282</v>
      </c>
      <c r="DE275" t="s">
        <v>4804</v>
      </c>
    </row>
    <row r="276" spans="1:109" ht="11.25" customHeight="1">
      <c r="A276" s="1314" t="s">
        <v>231</v>
      </c>
      <c r="B276" t="s">
        <v>231</v>
      </c>
      <c r="C276" t="s">
        <v>231</v>
      </c>
      <c r="D276" t="s">
        <v>231</v>
      </c>
      <c r="E276" t="s">
        <v>231</v>
      </c>
      <c r="F276" t="s">
        <v>231</v>
      </c>
      <c r="G276" t="s">
        <v>231</v>
      </c>
      <c r="H276" t="s">
        <v>231</v>
      </c>
      <c r="I276" t="s">
        <v>3521</v>
      </c>
      <c r="J276" t="s">
        <v>231</v>
      </c>
      <c r="K276" t="s">
        <v>231</v>
      </c>
      <c r="L276" t="s">
        <v>231</v>
      </c>
      <c r="M276" t="s">
        <v>231</v>
      </c>
      <c r="N276" t="s">
        <v>231</v>
      </c>
      <c r="O276" t="s">
        <v>231</v>
      </c>
      <c r="P276" t="s">
        <v>231</v>
      </c>
      <c r="Q276" t="s">
        <v>231</v>
      </c>
      <c r="R276" t="s">
        <v>4805</v>
      </c>
      <c r="S276" t="s">
        <v>231</v>
      </c>
      <c r="T276" t="s">
        <v>231</v>
      </c>
      <c r="U276" t="s">
        <v>101</v>
      </c>
      <c r="V276" t="s">
        <v>231</v>
      </c>
      <c r="W276" t="s">
        <v>231</v>
      </c>
      <c r="X276" t="s">
        <v>3523</v>
      </c>
      <c r="Y276" t="s">
        <v>231</v>
      </c>
      <c r="Z276" t="s">
        <v>160</v>
      </c>
      <c r="AA276" t="s">
        <v>151</v>
      </c>
      <c r="AB276" t="s">
        <v>151</v>
      </c>
      <c r="AC276" t="s">
        <v>2289</v>
      </c>
      <c r="AD276" t="s">
        <v>2289</v>
      </c>
      <c r="AE276" t="s">
        <v>2290</v>
      </c>
      <c r="AF276" t="s">
        <v>3793</v>
      </c>
      <c r="AG276" t="s">
        <v>3794</v>
      </c>
      <c r="AH276" t="s">
        <v>4806</v>
      </c>
      <c r="AI276" t="s">
        <v>4593</v>
      </c>
      <c r="AJ276" t="s">
        <v>3546</v>
      </c>
      <c r="AK276" t="s">
        <v>3586</v>
      </c>
      <c r="AL276" t="s">
        <v>3548</v>
      </c>
      <c r="AM276" t="s">
        <v>3531</v>
      </c>
      <c r="AN276" t="s">
        <v>3595</v>
      </c>
      <c r="AO276" t="s">
        <v>3662</v>
      </c>
      <c r="AP276" t="s">
        <v>231</v>
      </c>
      <c r="AQ276" t="s">
        <v>231</v>
      </c>
      <c r="AR276" t="s">
        <v>231</v>
      </c>
      <c r="AS276" t="s">
        <v>231</v>
      </c>
      <c r="AT276" t="s">
        <v>231</v>
      </c>
      <c r="AU276" t="s">
        <v>231</v>
      </c>
      <c r="AV276" t="s">
        <v>231</v>
      </c>
      <c r="AW276" t="s">
        <v>231</v>
      </c>
      <c r="AX276" t="s">
        <v>231</v>
      </c>
      <c r="AY276" t="s">
        <v>231</v>
      </c>
      <c r="AZ276" t="s">
        <v>231</v>
      </c>
      <c r="BA276" t="s">
        <v>231</v>
      </c>
      <c r="BB276" t="s">
        <v>231</v>
      </c>
      <c r="BC276" t="s">
        <v>231</v>
      </c>
      <c r="BD276" t="s">
        <v>231</v>
      </c>
      <c r="BE276" t="s">
        <v>231</v>
      </c>
      <c r="BF276" t="s">
        <v>231</v>
      </c>
      <c r="BG276" t="s">
        <v>231</v>
      </c>
      <c r="BH276" t="s">
        <v>231</v>
      </c>
      <c r="BI276" t="s">
        <v>231</v>
      </c>
      <c r="BJ276" t="s">
        <v>231</v>
      </c>
      <c r="BK276" t="s">
        <v>231</v>
      </c>
      <c r="BL276" t="s">
        <v>231</v>
      </c>
      <c r="BM276" t="s">
        <v>231</v>
      </c>
      <c r="BN276" t="s">
        <v>231</v>
      </c>
      <c r="BO276" t="s">
        <v>231</v>
      </c>
      <c r="BP276" t="s">
        <v>231</v>
      </c>
      <c r="BQ276" t="s">
        <v>231</v>
      </c>
      <c r="BR276" t="s">
        <v>231</v>
      </c>
      <c r="BS276" t="s">
        <v>231</v>
      </c>
      <c r="BT276" t="s">
        <v>231</v>
      </c>
      <c r="BU276" t="s">
        <v>231</v>
      </c>
      <c r="BV276" t="s">
        <v>231</v>
      </c>
      <c r="BW276" t="s">
        <v>231</v>
      </c>
      <c r="BX276" t="s">
        <v>231</v>
      </c>
      <c r="BY276" t="s">
        <v>231</v>
      </c>
      <c r="BZ276" t="s">
        <v>231</v>
      </c>
      <c r="CA276" t="s">
        <v>231</v>
      </c>
      <c r="CB276" t="s">
        <v>231</v>
      </c>
      <c r="CC276" t="s">
        <v>231</v>
      </c>
      <c r="CD276" t="s">
        <v>231</v>
      </c>
      <c r="CE276" t="s">
        <v>231</v>
      </c>
      <c r="CF276" t="s">
        <v>231</v>
      </c>
      <c r="CG276" t="s">
        <v>231</v>
      </c>
      <c r="CH276" t="s">
        <v>231</v>
      </c>
      <c r="CI276" t="s">
        <v>231</v>
      </c>
      <c r="CJ276" t="s">
        <v>231</v>
      </c>
      <c r="CK276" t="s">
        <v>231</v>
      </c>
      <c r="CL276" t="s">
        <v>231</v>
      </c>
      <c r="CM276" t="s">
        <v>231</v>
      </c>
      <c r="CN276" t="s">
        <v>231</v>
      </c>
      <c r="CO276" t="s">
        <v>231</v>
      </c>
      <c r="CP276" t="s">
        <v>231</v>
      </c>
      <c r="CQ276" t="s">
        <v>231</v>
      </c>
      <c r="CR276" t="s">
        <v>231</v>
      </c>
      <c r="CS276" t="s">
        <v>231</v>
      </c>
      <c r="CT276" t="s">
        <v>3534</v>
      </c>
      <c r="CU276" t="s">
        <v>3535</v>
      </c>
      <c r="CV276" t="s">
        <v>3536</v>
      </c>
      <c r="CW276" t="s">
        <v>3589</v>
      </c>
      <c r="CX276" t="s">
        <v>223</v>
      </c>
      <c r="CY276" t="s">
        <v>3536</v>
      </c>
      <c r="CZ276" t="s">
        <v>3590</v>
      </c>
      <c r="DA276" t="s">
        <v>3591</v>
      </c>
      <c r="DB276" t="s">
        <v>3589</v>
      </c>
      <c r="DC276" t="s">
        <v>363</v>
      </c>
      <c r="DD276" t="s">
        <v>282</v>
      </c>
      <c r="DE276" t="s">
        <v>4807</v>
      </c>
    </row>
    <row r="277" spans="1:109" ht="11.25" customHeight="1">
      <c r="A277" s="1314" t="s">
        <v>231</v>
      </c>
      <c r="B277" t="s">
        <v>231</v>
      </c>
      <c r="C277" t="s">
        <v>231</v>
      </c>
      <c r="D277" t="s">
        <v>231</v>
      </c>
      <c r="E277" t="s">
        <v>231</v>
      </c>
      <c r="F277" t="s">
        <v>231</v>
      </c>
      <c r="G277" t="s">
        <v>231</v>
      </c>
      <c r="H277" t="s">
        <v>231</v>
      </c>
      <c r="I277" t="s">
        <v>3521</v>
      </c>
      <c r="J277" t="s">
        <v>231</v>
      </c>
      <c r="K277" t="s">
        <v>231</v>
      </c>
      <c r="L277" t="s">
        <v>231</v>
      </c>
      <c r="M277" t="s">
        <v>231</v>
      </c>
      <c r="N277" t="s">
        <v>231</v>
      </c>
      <c r="O277" t="s">
        <v>231</v>
      </c>
      <c r="P277" t="s">
        <v>231</v>
      </c>
      <c r="Q277" t="s">
        <v>231</v>
      </c>
      <c r="R277" t="s">
        <v>3942</v>
      </c>
      <c r="S277" t="s">
        <v>231</v>
      </c>
      <c r="T277" t="s">
        <v>231</v>
      </c>
      <c r="U277" t="s">
        <v>101</v>
      </c>
      <c r="V277" t="s">
        <v>231</v>
      </c>
      <c r="W277" t="s">
        <v>231</v>
      </c>
      <c r="X277" t="s">
        <v>3523</v>
      </c>
      <c r="Y277" t="s">
        <v>231</v>
      </c>
      <c r="Z277" t="s">
        <v>160</v>
      </c>
      <c r="AA277" t="s">
        <v>151</v>
      </c>
      <c r="AB277" t="s">
        <v>151</v>
      </c>
      <c r="AC277" t="s">
        <v>2289</v>
      </c>
      <c r="AD277" t="s">
        <v>2289</v>
      </c>
      <c r="AE277" t="s">
        <v>2290</v>
      </c>
      <c r="AF277" t="s">
        <v>3816</v>
      </c>
      <c r="AG277" t="s">
        <v>3817</v>
      </c>
      <c r="AH277" t="s">
        <v>3795</v>
      </c>
      <c r="AI277" t="s">
        <v>4624</v>
      </c>
      <c r="AJ277" t="s">
        <v>3546</v>
      </c>
      <c r="AK277" t="s">
        <v>3775</v>
      </c>
      <c r="AL277" t="s">
        <v>3548</v>
      </c>
      <c r="AM277" t="s">
        <v>3531</v>
      </c>
      <c r="AN277" t="s">
        <v>3595</v>
      </c>
      <c r="AO277" t="s">
        <v>3656</v>
      </c>
      <c r="AP277" t="s">
        <v>231</v>
      </c>
      <c r="AQ277" t="s">
        <v>231</v>
      </c>
      <c r="AR277" t="s">
        <v>231</v>
      </c>
      <c r="AS277" t="s">
        <v>231</v>
      </c>
      <c r="AT277" t="s">
        <v>231</v>
      </c>
      <c r="AU277" t="s">
        <v>231</v>
      </c>
      <c r="AV277" t="s">
        <v>231</v>
      </c>
      <c r="AW277" t="s">
        <v>231</v>
      </c>
      <c r="AX277" t="s">
        <v>231</v>
      </c>
      <c r="AY277" t="s">
        <v>231</v>
      </c>
      <c r="AZ277" t="s">
        <v>231</v>
      </c>
      <c r="BA277" t="s">
        <v>231</v>
      </c>
      <c r="BB277" t="s">
        <v>231</v>
      </c>
      <c r="BC277" t="s">
        <v>231</v>
      </c>
      <c r="BD277" t="s">
        <v>231</v>
      </c>
      <c r="BE277" t="s">
        <v>231</v>
      </c>
      <c r="BF277" t="s">
        <v>231</v>
      </c>
      <c r="BG277" t="s">
        <v>231</v>
      </c>
      <c r="BH277" t="s">
        <v>231</v>
      </c>
      <c r="BI277" t="s">
        <v>231</v>
      </c>
      <c r="BJ277" t="s">
        <v>231</v>
      </c>
      <c r="BK277" t="s">
        <v>231</v>
      </c>
      <c r="BL277" t="s">
        <v>231</v>
      </c>
      <c r="BM277" t="s">
        <v>231</v>
      </c>
      <c r="BN277" t="s">
        <v>231</v>
      </c>
      <c r="BO277" t="s">
        <v>231</v>
      </c>
      <c r="BP277" t="s">
        <v>231</v>
      </c>
      <c r="BQ277" t="s">
        <v>231</v>
      </c>
      <c r="BR277" t="s">
        <v>231</v>
      </c>
      <c r="BS277" t="s">
        <v>231</v>
      </c>
      <c r="BT277" t="s">
        <v>231</v>
      </c>
      <c r="BU277" t="s">
        <v>231</v>
      </c>
      <c r="BV277" t="s">
        <v>231</v>
      </c>
      <c r="BW277" t="s">
        <v>231</v>
      </c>
      <c r="BX277" t="s">
        <v>231</v>
      </c>
      <c r="BY277" t="s">
        <v>231</v>
      </c>
      <c r="BZ277" t="s">
        <v>231</v>
      </c>
      <c r="CA277" t="s">
        <v>231</v>
      </c>
      <c r="CB277" t="s">
        <v>231</v>
      </c>
      <c r="CC277" t="s">
        <v>231</v>
      </c>
      <c r="CD277" t="s">
        <v>231</v>
      </c>
      <c r="CE277" t="s">
        <v>231</v>
      </c>
      <c r="CF277" t="s">
        <v>231</v>
      </c>
      <c r="CG277" t="s">
        <v>231</v>
      </c>
      <c r="CH277" t="s">
        <v>231</v>
      </c>
      <c r="CI277" t="s">
        <v>231</v>
      </c>
      <c r="CJ277" t="s">
        <v>231</v>
      </c>
      <c r="CK277" t="s">
        <v>231</v>
      </c>
      <c r="CL277" t="s">
        <v>231</v>
      </c>
      <c r="CM277" t="s">
        <v>231</v>
      </c>
      <c r="CN277" t="s">
        <v>231</v>
      </c>
      <c r="CO277" t="s">
        <v>231</v>
      </c>
      <c r="CP277" t="s">
        <v>231</v>
      </c>
      <c r="CQ277" t="s">
        <v>231</v>
      </c>
      <c r="CR277" t="s">
        <v>231</v>
      </c>
      <c r="CS277" t="s">
        <v>231</v>
      </c>
      <c r="CT277" t="s">
        <v>3534</v>
      </c>
      <c r="CU277" t="s">
        <v>3535</v>
      </c>
      <c r="CV277" t="s">
        <v>3536</v>
      </c>
      <c r="CW277" t="s">
        <v>3589</v>
      </c>
      <c r="CX277" t="s">
        <v>223</v>
      </c>
      <c r="CY277" t="s">
        <v>3536</v>
      </c>
      <c r="CZ277" t="s">
        <v>3590</v>
      </c>
      <c r="DA277" t="s">
        <v>3591</v>
      </c>
      <c r="DB277" t="s">
        <v>3589</v>
      </c>
      <c r="DC277" t="s">
        <v>363</v>
      </c>
      <c r="DD277" t="s">
        <v>282</v>
      </c>
      <c r="DE277" t="s">
        <v>4808</v>
      </c>
    </row>
    <row r="278" spans="1:109" ht="11.25" customHeight="1">
      <c r="A278" s="1314" t="s">
        <v>231</v>
      </c>
      <c r="B278" t="s">
        <v>231</v>
      </c>
      <c r="C278" t="s">
        <v>231</v>
      </c>
      <c r="D278" t="s">
        <v>231</v>
      </c>
      <c r="E278" t="s">
        <v>231</v>
      </c>
      <c r="F278" t="s">
        <v>231</v>
      </c>
      <c r="G278" t="s">
        <v>231</v>
      </c>
      <c r="H278" t="s">
        <v>231</v>
      </c>
      <c r="I278" t="s">
        <v>3521</v>
      </c>
      <c r="J278" t="s">
        <v>231</v>
      </c>
      <c r="K278" t="s">
        <v>231</v>
      </c>
      <c r="L278" t="s">
        <v>231</v>
      </c>
      <c r="M278" t="s">
        <v>231</v>
      </c>
      <c r="N278" t="s">
        <v>231</v>
      </c>
      <c r="O278" t="s">
        <v>231</v>
      </c>
      <c r="P278" t="s">
        <v>231</v>
      </c>
      <c r="Q278" t="s">
        <v>231</v>
      </c>
      <c r="R278" t="s">
        <v>4809</v>
      </c>
      <c r="S278" t="s">
        <v>231</v>
      </c>
      <c r="T278" t="s">
        <v>231</v>
      </c>
      <c r="U278" t="s">
        <v>101</v>
      </c>
      <c r="V278" t="s">
        <v>231</v>
      </c>
      <c r="W278" t="s">
        <v>231</v>
      </c>
      <c r="X278" t="s">
        <v>3523</v>
      </c>
      <c r="Y278" t="s">
        <v>231</v>
      </c>
      <c r="Z278" t="s">
        <v>160</v>
      </c>
      <c r="AA278" t="s">
        <v>151</v>
      </c>
      <c r="AB278" t="s">
        <v>151</v>
      </c>
      <c r="AC278" t="s">
        <v>2289</v>
      </c>
      <c r="AD278" t="s">
        <v>2289</v>
      </c>
      <c r="AE278" t="s">
        <v>2290</v>
      </c>
      <c r="AF278" t="s">
        <v>3816</v>
      </c>
      <c r="AG278" t="s">
        <v>3817</v>
      </c>
      <c r="AH278" t="s">
        <v>3818</v>
      </c>
      <c r="AI278" t="s">
        <v>4810</v>
      </c>
      <c r="AJ278" t="s">
        <v>3546</v>
      </c>
      <c r="AK278" t="s">
        <v>3775</v>
      </c>
      <c r="AL278" t="s">
        <v>3548</v>
      </c>
      <c r="AM278" t="s">
        <v>3531</v>
      </c>
      <c r="AN278" t="s">
        <v>3587</v>
      </c>
      <c r="AO278" t="s">
        <v>4811</v>
      </c>
      <c r="AP278" t="s">
        <v>231</v>
      </c>
      <c r="AQ278" t="s">
        <v>231</v>
      </c>
      <c r="AR278" t="s">
        <v>231</v>
      </c>
      <c r="AS278" t="s">
        <v>231</v>
      </c>
      <c r="AT278" t="s">
        <v>231</v>
      </c>
      <c r="AU278" t="s">
        <v>231</v>
      </c>
      <c r="AV278" t="s">
        <v>231</v>
      </c>
      <c r="AW278" t="s">
        <v>231</v>
      </c>
      <c r="AX278" t="s">
        <v>231</v>
      </c>
      <c r="AY278" t="s">
        <v>231</v>
      </c>
      <c r="AZ278" t="s">
        <v>231</v>
      </c>
      <c r="BA278" t="s">
        <v>231</v>
      </c>
      <c r="BB278" t="s">
        <v>231</v>
      </c>
      <c r="BC278" t="s">
        <v>231</v>
      </c>
      <c r="BD278" t="s">
        <v>231</v>
      </c>
      <c r="BE278" t="s">
        <v>231</v>
      </c>
      <c r="BF278" t="s">
        <v>231</v>
      </c>
      <c r="BG278" t="s">
        <v>231</v>
      </c>
      <c r="BH278" t="s">
        <v>231</v>
      </c>
      <c r="BI278" t="s">
        <v>231</v>
      </c>
      <c r="BJ278" t="s">
        <v>231</v>
      </c>
      <c r="BK278" t="s">
        <v>231</v>
      </c>
      <c r="BL278" t="s">
        <v>231</v>
      </c>
      <c r="BM278" t="s">
        <v>231</v>
      </c>
      <c r="BN278" t="s">
        <v>231</v>
      </c>
      <c r="BO278" t="s">
        <v>231</v>
      </c>
      <c r="BP278" t="s">
        <v>231</v>
      </c>
      <c r="BQ278" t="s">
        <v>231</v>
      </c>
      <c r="BR278" t="s">
        <v>231</v>
      </c>
      <c r="BS278" t="s">
        <v>231</v>
      </c>
      <c r="BT278" t="s">
        <v>231</v>
      </c>
      <c r="BU278" t="s">
        <v>231</v>
      </c>
      <c r="BV278" t="s">
        <v>231</v>
      </c>
      <c r="BW278" t="s">
        <v>231</v>
      </c>
      <c r="BX278" t="s">
        <v>231</v>
      </c>
      <c r="BY278" t="s">
        <v>231</v>
      </c>
      <c r="BZ278" t="s">
        <v>231</v>
      </c>
      <c r="CA278" t="s">
        <v>231</v>
      </c>
      <c r="CB278" t="s">
        <v>231</v>
      </c>
      <c r="CC278" t="s">
        <v>231</v>
      </c>
      <c r="CD278" t="s">
        <v>231</v>
      </c>
      <c r="CE278" t="s">
        <v>231</v>
      </c>
      <c r="CF278" t="s">
        <v>231</v>
      </c>
      <c r="CG278" t="s">
        <v>231</v>
      </c>
      <c r="CH278" t="s">
        <v>231</v>
      </c>
      <c r="CI278" t="s">
        <v>231</v>
      </c>
      <c r="CJ278" t="s">
        <v>231</v>
      </c>
      <c r="CK278" t="s">
        <v>231</v>
      </c>
      <c r="CL278" t="s">
        <v>231</v>
      </c>
      <c r="CM278" t="s">
        <v>231</v>
      </c>
      <c r="CN278" t="s">
        <v>231</v>
      </c>
      <c r="CO278" t="s">
        <v>231</v>
      </c>
      <c r="CP278" t="s">
        <v>231</v>
      </c>
      <c r="CQ278" t="s">
        <v>231</v>
      </c>
      <c r="CR278" t="s">
        <v>231</v>
      </c>
      <c r="CS278" t="s">
        <v>231</v>
      </c>
      <c r="CT278" t="s">
        <v>3534</v>
      </c>
      <c r="CU278" t="s">
        <v>3535</v>
      </c>
      <c r="CV278" t="s">
        <v>3536</v>
      </c>
      <c r="CW278" t="s">
        <v>3589</v>
      </c>
      <c r="CX278" t="s">
        <v>223</v>
      </c>
      <c r="CY278" t="s">
        <v>3536</v>
      </c>
      <c r="CZ278" t="s">
        <v>3590</v>
      </c>
      <c r="DA278" t="s">
        <v>3591</v>
      </c>
      <c r="DB278" t="s">
        <v>3589</v>
      </c>
      <c r="DC278" t="s">
        <v>363</v>
      </c>
      <c r="DD278" t="s">
        <v>282</v>
      </c>
      <c r="DE278" t="s">
        <v>4812</v>
      </c>
    </row>
    <row r="279" spans="1:109" ht="11.25" customHeight="1">
      <c r="A279" s="1314" t="s">
        <v>231</v>
      </c>
      <c r="B279" t="s">
        <v>231</v>
      </c>
      <c r="C279" t="s">
        <v>231</v>
      </c>
      <c r="D279" t="s">
        <v>231</v>
      </c>
      <c r="E279" t="s">
        <v>231</v>
      </c>
      <c r="F279" t="s">
        <v>231</v>
      </c>
      <c r="G279" t="s">
        <v>231</v>
      </c>
      <c r="H279" t="s">
        <v>231</v>
      </c>
      <c r="I279" t="s">
        <v>3521</v>
      </c>
      <c r="J279" t="s">
        <v>231</v>
      </c>
      <c r="K279" t="s">
        <v>231</v>
      </c>
      <c r="L279" t="s">
        <v>231</v>
      </c>
      <c r="M279" t="s">
        <v>231</v>
      </c>
      <c r="N279" t="s">
        <v>231</v>
      </c>
      <c r="O279" t="s">
        <v>231</v>
      </c>
      <c r="P279" t="s">
        <v>231</v>
      </c>
      <c r="Q279" t="s">
        <v>231</v>
      </c>
      <c r="R279" t="s">
        <v>4813</v>
      </c>
      <c r="S279" t="s">
        <v>231</v>
      </c>
      <c r="T279" t="s">
        <v>231</v>
      </c>
      <c r="U279" t="s">
        <v>101</v>
      </c>
      <c r="V279" t="s">
        <v>231</v>
      </c>
      <c r="W279" t="s">
        <v>231</v>
      </c>
      <c r="X279" t="s">
        <v>3523</v>
      </c>
      <c r="Y279" t="s">
        <v>231</v>
      </c>
      <c r="Z279" t="s">
        <v>160</v>
      </c>
      <c r="AA279" t="s">
        <v>151</v>
      </c>
      <c r="AB279" t="s">
        <v>151</v>
      </c>
      <c r="AC279" t="s">
        <v>2262</v>
      </c>
      <c r="AD279" t="s">
        <v>2262</v>
      </c>
      <c r="AE279" t="s">
        <v>2264</v>
      </c>
      <c r="AF279" t="s">
        <v>4814</v>
      </c>
      <c r="AG279" t="s">
        <v>4815</v>
      </c>
      <c r="AH279" t="s">
        <v>4816</v>
      </c>
      <c r="AI279" t="s">
        <v>4817</v>
      </c>
      <c r="AJ279" t="s">
        <v>3611</v>
      </c>
      <c r="AK279" t="s">
        <v>4580</v>
      </c>
      <c r="AL279" t="s">
        <v>3613</v>
      </c>
      <c r="AM279" t="s">
        <v>3531</v>
      </c>
      <c r="AN279" t="s">
        <v>4155</v>
      </c>
      <c r="AO279" t="s">
        <v>3821</v>
      </c>
      <c r="AP279" t="s">
        <v>231</v>
      </c>
      <c r="AQ279" t="s">
        <v>231</v>
      </c>
      <c r="AR279" t="s">
        <v>231</v>
      </c>
      <c r="AS279" t="s">
        <v>231</v>
      </c>
      <c r="AT279" t="s">
        <v>231</v>
      </c>
      <c r="AU279" t="s">
        <v>231</v>
      </c>
      <c r="AV279" t="s">
        <v>231</v>
      </c>
      <c r="AW279" t="s">
        <v>231</v>
      </c>
      <c r="AX279" t="s">
        <v>231</v>
      </c>
      <c r="AY279" t="s">
        <v>231</v>
      </c>
      <c r="AZ279" t="s">
        <v>231</v>
      </c>
      <c r="BA279" t="s">
        <v>231</v>
      </c>
      <c r="BB279" t="s">
        <v>231</v>
      </c>
      <c r="BC279" t="s">
        <v>231</v>
      </c>
      <c r="BD279" t="s">
        <v>231</v>
      </c>
      <c r="BE279" t="s">
        <v>231</v>
      </c>
      <c r="BF279" t="s">
        <v>231</v>
      </c>
      <c r="BG279" t="s">
        <v>231</v>
      </c>
      <c r="BH279" t="s">
        <v>231</v>
      </c>
      <c r="BI279" t="s">
        <v>231</v>
      </c>
      <c r="BJ279" t="s">
        <v>231</v>
      </c>
      <c r="BK279" t="s">
        <v>231</v>
      </c>
      <c r="BL279" t="s">
        <v>231</v>
      </c>
      <c r="BM279" t="s">
        <v>231</v>
      </c>
      <c r="BN279" t="s">
        <v>231</v>
      </c>
      <c r="BO279" t="s">
        <v>231</v>
      </c>
      <c r="BP279" t="s">
        <v>231</v>
      </c>
      <c r="BQ279" t="s">
        <v>231</v>
      </c>
      <c r="BR279" t="s">
        <v>231</v>
      </c>
      <c r="BS279" t="s">
        <v>231</v>
      </c>
      <c r="BT279" t="s">
        <v>231</v>
      </c>
      <c r="BU279" t="s">
        <v>231</v>
      </c>
      <c r="BV279" t="s">
        <v>231</v>
      </c>
      <c r="BW279" t="s">
        <v>231</v>
      </c>
      <c r="BX279" t="s">
        <v>231</v>
      </c>
      <c r="BY279" t="s">
        <v>231</v>
      </c>
      <c r="BZ279" t="s">
        <v>231</v>
      </c>
      <c r="CA279" t="s">
        <v>231</v>
      </c>
      <c r="CB279" t="s">
        <v>231</v>
      </c>
      <c r="CC279" t="s">
        <v>231</v>
      </c>
      <c r="CD279" t="s">
        <v>231</v>
      </c>
      <c r="CE279" t="s">
        <v>231</v>
      </c>
      <c r="CF279" t="s">
        <v>231</v>
      </c>
      <c r="CG279" t="s">
        <v>231</v>
      </c>
      <c r="CH279" t="s">
        <v>231</v>
      </c>
      <c r="CI279" t="s">
        <v>231</v>
      </c>
      <c r="CJ279" t="s">
        <v>231</v>
      </c>
      <c r="CK279" t="s">
        <v>231</v>
      </c>
      <c r="CL279" t="s">
        <v>231</v>
      </c>
      <c r="CM279" t="s">
        <v>231</v>
      </c>
      <c r="CN279" t="s">
        <v>231</v>
      </c>
      <c r="CO279" t="s">
        <v>231</v>
      </c>
      <c r="CP279" t="s">
        <v>231</v>
      </c>
      <c r="CQ279" t="s">
        <v>231</v>
      </c>
      <c r="CR279" t="s">
        <v>231</v>
      </c>
      <c r="CS279" t="s">
        <v>231</v>
      </c>
      <c r="CT279" t="s">
        <v>3534</v>
      </c>
      <c r="CU279" t="s">
        <v>3535</v>
      </c>
      <c r="CV279" t="s">
        <v>3536</v>
      </c>
      <c r="CW279" t="s">
        <v>3537</v>
      </c>
      <c r="CX279" t="s">
        <v>223</v>
      </c>
      <c r="CY279" t="s">
        <v>3536</v>
      </c>
      <c r="CZ279" t="s">
        <v>3538</v>
      </c>
      <c r="DA279" t="s">
        <v>3539</v>
      </c>
      <c r="DB279" t="s">
        <v>3537</v>
      </c>
      <c r="DC279" t="s">
        <v>363</v>
      </c>
      <c r="DD279" t="s">
        <v>282</v>
      </c>
      <c r="DE279" t="s">
        <v>4818</v>
      </c>
    </row>
    <row r="280" spans="1:109" ht="11.25" customHeight="1">
      <c r="A280" s="1314" t="s">
        <v>231</v>
      </c>
      <c r="B280" t="s">
        <v>231</v>
      </c>
      <c r="C280" t="s">
        <v>231</v>
      </c>
      <c r="D280" t="s">
        <v>231</v>
      </c>
      <c r="E280" t="s">
        <v>231</v>
      </c>
      <c r="F280" t="s">
        <v>231</v>
      </c>
      <c r="G280" t="s">
        <v>231</v>
      </c>
      <c r="H280" t="s">
        <v>231</v>
      </c>
      <c r="I280" t="s">
        <v>3521</v>
      </c>
      <c r="J280" t="s">
        <v>231</v>
      </c>
      <c r="K280" t="s">
        <v>231</v>
      </c>
      <c r="L280" t="s">
        <v>231</v>
      </c>
      <c r="M280" t="s">
        <v>231</v>
      </c>
      <c r="N280" t="s">
        <v>231</v>
      </c>
      <c r="O280" t="s">
        <v>231</v>
      </c>
      <c r="P280" t="s">
        <v>231</v>
      </c>
      <c r="Q280" t="s">
        <v>231</v>
      </c>
      <c r="R280" t="s">
        <v>4819</v>
      </c>
      <c r="S280" t="s">
        <v>231</v>
      </c>
      <c r="T280" t="s">
        <v>231</v>
      </c>
      <c r="U280" t="s">
        <v>101</v>
      </c>
      <c r="V280" t="s">
        <v>231</v>
      </c>
      <c r="W280" t="s">
        <v>231</v>
      </c>
      <c r="X280" t="s">
        <v>3523</v>
      </c>
      <c r="Y280" t="s">
        <v>231</v>
      </c>
      <c r="Z280" t="s">
        <v>160</v>
      </c>
      <c r="AA280" t="s">
        <v>151</v>
      </c>
      <c r="AB280" t="s">
        <v>151</v>
      </c>
      <c r="AC280" t="s">
        <v>2262</v>
      </c>
      <c r="AD280" t="s">
        <v>2262</v>
      </c>
      <c r="AE280" t="s">
        <v>2264</v>
      </c>
      <c r="AF280" t="s">
        <v>4814</v>
      </c>
      <c r="AG280" t="s">
        <v>4815</v>
      </c>
      <c r="AH280" t="s">
        <v>4820</v>
      </c>
      <c r="AI280" t="s">
        <v>4821</v>
      </c>
      <c r="AJ280" t="s">
        <v>4822</v>
      </c>
      <c r="AK280" t="s">
        <v>3641</v>
      </c>
      <c r="AL280" t="s">
        <v>3566</v>
      </c>
      <c r="AM280" t="s">
        <v>3531</v>
      </c>
      <c r="AN280" t="s">
        <v>4156</v>
      </c>
      <c r="AO280" t="s">
        <v>4823</v>
      </c>
      <c r="AP280" t="s">
        <v>231</v>
      </c>
      <c r="AQ280" t="s">
        <v>231</v>
      </c>
      <c r="AR280" t="s">
        <v>231</v>
      </c>
      <c r="AS280" t="s">
        <v>231</v>
      </c>
      <c r="AT280" t="s">
        <v>231</v>
      </c>
      <c r="AU280" t="s">
        <v>231</v>
      </c>
      <c r="AV280" t="s">
        <v>231</v>
      </c>
      <c r="AW280" t="s">
        <v>231</v>
      </c>
      <c r="AX280" t="s">
        <v>231</v>
      </c>
      <c r="AY280" t="s">
        <v>231</v>
      </c>
      <c r="AZ280" t="s">
        <v>231</v>
      </c>
      <c r="BA280" t="s">
        <v>231</v>
      </c>
      <c r="BB280" t="s">
        <v>231</v>
      </c>
      <c r="BC280" t="s">
        <v>231</v>
      </c>
      <c r="BD280" t="s">
        <v>231</v>
      </c>
      <c r="BE280" t="s">
        <v>231</v>
      </c>
      <c r="BF280" t="s">
        <v>231</v>
      </c>
      <c r="BG280" t="s">
        <v>231</v>
      </c>
      <c r="BH280" t="s">
        <v>231</v>
      </c>
      <c r="BI280" t="s">
        <v>231</v>
      </c>
      <c r="BJ280" t="s">
        <v>231</v>
      </c>
      <c r="BK280" t="s">
        <v>231</v>
      </c>
      <c r="BL280" t="s">
        <v>231</v>
      </c>
      <c r="BM280" t="s">
        <v>231</v>
      </c>
      <c r="BN280" t="s">
        <v>231</v>
      </c>
      <c r="BO280" t="s">
        <v>231</v>
      </c>
      <c r="BP280" t="s">
        <v>231</v>
      </c>
      <c r="BQ280" t="s">
        <v>231</v>
      </c>
      <c r="BR280" t="s">
        <v>231</v>
      </c>
      <c r="BS280" t="s">
        <v>231</v>
      </c>
      <c r="BT280" t="s">
        <v>231</v>
      </c>
      <c r="BU280" t="s">
        <v>231</v>
      </c>
      <c r="BV280" t="s">
        <v>231</v>
      </c>
      <c r="BW280" t="s">
        <v>231</v>
      </c>
      <c r="BX280" t="s">
        <v>231</v>
      </c>
      <c r="BY280" t="s">
        <v>231</v>
      </c>
      <c r="BZ280" t="s">
        <v>231</v>
      </c>
      <c r="CA280" t="s">
        <v>231</v>
      </c>
      <c r="CB280" t="s">
        <v>231</v>
      </c>
      <c r="CC280" t="s">
        <v>231</v>
      </c>
      <c r="CD280" t="s">
        <v>231</v>
      </c>
      <c r="CE280" t="s">
        <v>231</v>
      </c>
      <c r="CF280" t="s">
        <v>231</v>
      </c>
      <c r="CG280" t="s">
        <v>231</v>
      </c>
      <c r="CH280" t="s">
        <v>231</v>
      </c>
      <c r="CI280" t="s">
        <v>231</v>
      </c>
      <c r="CJ280" t="s">
        <v>231</v>
      </c>
      <c r="CK280" t="s">
        <v>231</v>
      </c>
      <c r="CL280" t="s">
        <v>231</v>
      </c>
      <c r="CM280" t="s">
        <v>231</v>
      </c>
      <c r="CN280" t="s">
        <v>231</v>
      </c>
      <c r="CO280" t="s">
        <v>231</v>
      </c>
      <c r="CP280" t="s">
        <v>231</v>
      </c>
      <c r="CQ280" t="s">
        <v>231</v>
      </c>
      <c r="CR280" t="s">
        <v>231</v>
      </c>
      <c r="CS280" t="s">
        <v>231</v>
      </c>
      <c r="CT280" t="s">
        <v>3534</v>
      </c>
      <c r="CU280" t="s">
        <v>3535</v>
      </c>
      <c r="CV280" t="s">
        <v>3536</v>
      </c>
      <c r="CW280" t="s">
        <v>3537</v>
      </c>
      <c r="CX280" t="s">
        <v>223</v>
      </c>
      <c r="CY280" t="s">
        <v>3536</v>
      </c>
      <c r="CZ280" t="s">
        <v>3538</v>
      </c>
      <c r="DA280" t="s">
        <v>3539</v>
      </c>
      <c r="DB280" t="s">
        <v>3537</v>
      </c>
      <c r="DC280" t="s">
        <v>363</v>
      </c>
      <c r="DD280" t="s">
        <v>282</v>
      </c>
      <c r="DE280" t="s">
        <v>4824</v>
      </c>
    </row>
    <row r="281" spans="1:109" ht="11.25" customHeight="1">
      <c r="A281" s="1314" t="s">
        <v>231</v>
      </c>
      <c r="B281" t="s">
        <v>231</v>
      </c>
      <c r="C281" t="s">
        <v>231</v>
      </c>
      <c r="D281" t="s">
        <v>231</v>
      </c>
      <c r="E281" t="s">
        <v>231</v>
      </c>
      <c r="F281" t="s">
        <v>231</v>
      </c>
      <c r="G281" t="s">
        <v>231</v>
      </c>
      <c r="H281" t="s">
        <v>231</v>
      </c>
      <c r="I281" t="s">
        <v>3521</v>
      </c>
      <c r="J281" t="s">
        <v>231</v>
      </c>
      <c r="K281" t="s">
        <v>231</v>
      </c>
      <c r="L281" t="s">
        <v>231</v>
      </c>
      <c r="M281" t="s">
        <v>231</v>
      </c>
      <c r="N281" t="s">
        <v>231</v>
      </c>
      <c r="O281" t="s">
        <v>231</v>
      </c>
      <c r="P281" t="s">
        <v>231</v>
      </c>
      <c r="Q281" t="s">
        <v>231</v>
      </c>
      <c r="R281" t="s">
        <v>3685</v>
      </c>
      <c r="S281" t="s">
        <v>231</v>
      </c>
      <c r="T281" t="s">
        <v>231</v>
      </c>
      <c r="U281" t="s">
        <v>101</v>
      </c>
      <c r="V281" t="s">
        <v>231</v>
      </c>
      <c r="W281" t="s">
        <v>231</v>
      </c>
      <c r="X281" t="s">
        <v>3628</v>
      </c>
      <c r="Y281" t="s">
        <v>231</v>
      </c>
      <c r="Z281" t="s">
        <v>151</v>
      </c>
      <c r="AA281" t="s">
        <v>151</v>
      </c>
      <c r="AB281" t="s">
        <v>160</v>
      </c>
      <c r="AC281" t="s">
        <v>2283</v>
      </c>
      <c r="AD281" t="s">
        <v>2283</v>
      </c>
      <c r="AE281" t="s">
        <v>2284</v>
      </c>
      <c r="AF281" t="s">
        <v>4676</v>
      </c>
      <c r="AG281" t="s">
        <v>4677</v>
      </c>
      <c r="AH281" t="s">
        <v>4379</v>
      </c>
      <c r="AI281" t="s">
        <v>4825</v>
      </c>
      <c r="AJ281" t="s">
        <v>231</v>
      </c>
      <c r="AK281" t="s">
        <v>231</v>
      </c>
      <c r="AL281" t="s">
        <v>231</v>
      </c>
      <c r="AM281" t="s">
        <v>231</v>
      </c>
      <c r="AN281" t="s">
        <v>231</v>
      </c>
      <c r="AO281" t="s">
        <v>231</v>
      </c>
      <c r="AP281" t="s">
        <v>231</v>
      </c>
      <c r="AQ281" t="s">
        <v>231</v>
      </c>
      <c r="AR281" t="s">
        <v>231</v>
      </c>
      <c r="AS281" t="s">
        <v>231</v>
      </c>
      <c r="AT281" t="s">
        <v>231</v>
      </c>
      <c r="AU281" t="s">
        <v>231</v>
      </c>
      <c r="AV281" t="s">
        <v>231</v>
      </c>
      <c r="AW281" t="s">
        <v>231</v>
      </c>
      <c r="AX281" t="s">
        <v>231</v>
      </c>
      <c r="AY281" t="s">
        <v>231</v>
      </c>
      <c r="AZ281" t="s">
        <v>231</v>
      </c>
      <c r="BA281" t="s">
        <v>231</v>
      </c>
      <c r="BB281" t="s">
        <v>231</v>
      </c>
      <c r="BC281" t="s">
        <v>231</v>
      </c>
      <c r="BD281" t="s">
        <v>231</v>
      </c>
      <c r="BE281" t="s">
        <v>3689</v>
      </c>
      <c r="BF281" t="s">
        <v>3689</v>
      </c>
      <c r="BG281" t="s">
        <v>111</v>
      </c>
      <c r="BH281" t="s">
        <v>3632</v>
      </c>
      <c r="BI281" t="s">
        <v>122</v>
      </c>
      <c r="BJ281" t="s">
        <v>231</v>
      </c>
      <c r="BK281" t="s">
        <v>3651</v>
      </c>
      <c r="BL281" t="s">
        <v>2283</v>
      </c>
      <c r="BM281" t="s">
        <v>2283</v>
      </c>
      <c r="BN281" t="s">
        <v>3690</v>
      </c>
      <c r="BO281" t="s">
        <v>4676</v>
      </c>
      <c r="BP281" t="s">
        <v>4826</v>
      </c>
      <c r="BQ281" t="s">
        <v>4382</v>
      </c>
      <c r="BR281" t="s">
        <v>4383</v>
      </c>
      <c r="BS281" t="s">
        <v>231</v>
      </c>
      <c r="BT281" t="s">
        <v>3694</v>
      </c>
      <c r="BU281" t="s">
        <v>4827</v>
      </c>
      <c r="BV281" t="s">
        <v>4827</v>
      </c>
      <c r="BW281" t="s">
        <v>3641</v>
      </c>
      <c r="BX281" t="s">
        <v>3641</v>
      </c>
      <c r="BY281" t="s">
        <v>3641</v>
      </c>
      <c r="BZ281" t="s">
        <v>3641</v>
      </c>
      <c r="CA281" t="s">
        <v>3641</v>
      </c>
      <c r="CB281" t="s">
        <v>231</v>
      </c>
      <c r="CC281" t="s">
        <v>231</v>
      </c>
      <c r="CD281" t="s">
        <v>231</v>
      </c>
      <c r="CE281" t="s">
        <v>231</v>
      </c>
      <c r="CF281" t="s">
        <v>231</v>
      </c>
      <c r="CG281" t="s">
        <v>3641</v>
      </c>
      <c r="CH281" t="s">
        <v>231</v>
      </c>
      <c r="CI281" t="s">
        <v>231</v>
      </c>
      <c r="CJ281" t="s">
        <v>231</v>
      </c>
      <c r="CK281" t="s">
        <v>231</v>
      </c>
      <c r="CL281" t="s">
        <v>231</v>
      </c>
      <c r="CM281" t="s">
        <v>4827</v>
      </c>
      <c r="CN281" t="s">
        <v>4827</v>
      </c>
      <c r="CO281" t="s">
        <v>231</v>
      </c>
      <c r="CP281" t="s">
        <v>231</v>
      </c>
      <c r="CQ281" t="s">
        <v>231</v>
      </c>
      <c r="CR281" t="s">
        <v>231</v>
      </c>
      <c r="CS281" t="s">
        <v>3549</v>
      </c>
      <c r="CT281" t="s">
        <v>3534</v>
      </c>
      <c r="CU281" t="s">
        <v>3535</v>
      </c>
      <c r="CV281" t="s">
        <v>3536</v>
      </c>
      <c r="CW281" t="s">
        <v>3551</v>
      </c>
      <c r="CX281" t="s">
        <v>223</v>
      </c>
      <c r="CY281" t="s">
        <v>3536</v>
      </c>
      <c r="CZ281" t="s">
        <v>3552</v>
      </c>
      <c r="DA281" t="s">
        <v>3553</v>
      </c>
      <c r="DB281" t="s">
        <v>3551</v>
      </c>
      <c r="DC281" t="s">
        <v>363</v>
      </c>
      <c r="DD281" t="s">
        <v>282</v>
      </c>
      <c r="DE281" t="s">
        <v>4828</v>
      </c>
    </row>
    <row r="282" spans="1:109" ht="11.25" customHeight="1">
      <c r="A282" s="1314" t="s">
        <v>231</v>
      </c>
      <c r="B282" t="s">
        <v>231</v>
      </c>
      <c r="C282" t="s">
        <v>231</v>
      </c>
      <c r="D282" t="s">
        <v>231</v>
      </c>
      <c r="E282" t="s">
        <v>231</v>
      </c>
      <c r="F282" t="s">
        <v>231</v>
      </c>
      <c r="G282" t="s">
        <v>231</v>
      </c>
      <c r="H282" t="s">
        <v>231</v>
      </c>
      <c r="I282" t="s">
        <v>3521</v>
      </c>
      <c r="J282" t="s">
        <v>231</v>
      </c>
      <c r="K282" t="s">
        <v>231</v>
      </c>
      <c r="L282" t="s">
        <v>231</v>
      </c>
      <c r="M282" t="s">
        <v>231</v>
      </c>
      <c r="N282" t="s">
        <v>231</v>
      </c>
      <c r="O282" t="s">
        <v>231</v>
      </c>
      <c r="P282" t="s">
        <v>231</v>
      </c>
      <c r="Q282" t="s">
        <v>231</v>
      </c>
      <c r="R282" t="s">
        <v>4829</v>
      </c>
      <c r="S282" t="s">
        <v>231</v>
      </c>
      <c r="T282" t="s">
        <v>231</v>
      </c>
      <c r="U282" t="s">
        <v>101</v>
      </c>
      <c r="V282" t="s">
        <v>231</v>
      </c>
      <c r="W282" t="s">
        <v>231</v>
      </c>
      <c r="X282" t="s">
        <v>3523</v>
      </c>
      <c r="Y282" t="s">
        <v>231</v>
      </c>
      <c r="Z282" t="s">
        <v>160</v>
      </c>
      <c r="AA282" t="s">
        <v>151</v>
      </c>
      <c r="AB282" t="s">
        <v>151</v>
      </c>
      <c r="AC282" t="s">
        <v>2283</v>
      </c>
      <c r="AD282" t="s">
        <v>2283</v>
      </c>
      <c r="AE282" t="s">
        <v>2284</v>
      </c>
      <c r="AF282" t="s">
        <v>4676</v>
      </c>
      <c r="AG282" t="s">
        <v>4677</v>
      </c>
      <c r="AH282" t="s">
        <v>4382</v>
      </c>
      <c r="AI282" t="s">
        <v>4830</v>
      </c>
      <c r="AJ282" t="s">
        <v>3546</v>
      </c>
      <c r="AK282" t="s">
        <v>3547</v>
      </c>
      <c r="AL282" t="s">
        <v>3548</v>
      </c>
      <c r="AM282" t="s">
        <v>3531</v>
      </c>
      <c r="AN282" t="s">
        <v>3549</v>
      </c>
      <c r="AO282" t="s">
        <v>4831</v>
      </c>
      <c r="AP282" t="s">
        <v>231</v>
      </c>
      <c r="AQ282" t="s">
        <v>231</v>
      </c>
      <c r="AR282" t="s">
        <v>231</v>
      </c>
      <c r="AS282" t="s">
        <v>231</v>
      </c>
      <c r="AT282" t="s">
        <v>231</v>
      </c>
      <c r="AU282" t="s">
        <v>231</v>
      </c>
      <c r="AV282" t="s">
        <v>231</v>
      </c>
      <c r="AW282" t="s">
        <v>231</v>
      </c>
      <c r="AX282" t="s">
        <v>231</v>
      </c>
      <c r="AY282" t="s">
        <v>231</v>
      </c>
      <c r="AZ282" t="s">
        <v>231</v>
      </c>
      <c r="BA282" t="s">
        <v>231</v>
      </c>
      <c r="BB282" t="s">
        <v>231</v>
      </c>
      <c r="BC282" t="s">
        <v>231</v>
      </c>
      <c r="BD282" t="s">
        <v>231</v>
      </c>
      <c r="BE282" t="s">
        <v>231</v>
      </c>
      <c r="BF282" t="s">
        <v>231</v>
      </c>
      <c r="BG282" t="s">
        <v>231</v>
      </c>
      <c r="BH282" t="s">
        <v>231</v>
      </c>
      <c r="BI282" t="s">
        <v>231</v>
      </c>
      <c r="BJ282" t="s">
        <v>231</v>
      </c>
      <c r="BK282" t="s">
        <v>231</v>
      </c>
      <c r="BL282" t="s">
        <v>231</v>
      </c>
      <c r="BM282" t="s">
        <v>231</v>
      </c>
      <c r="BN282" t="s">
        <v>231</v>
      </c>
      <c r="BO282" t="s">
        <v>231</v>
      </c>
      <c r="BP282" t="s">
        <v>231</v>
      </c>
      <c r="BQ282" t="s">
        <v>231</v>
      </c>
      <c r="BR282" t="s">
        <v>231</v>
      </c>
      <c r="BS282" t="s">
        <v>231</v>
      </c>
      <c r="BT282" t="s">
        <v>231</v>
      </c>
      <c r="BU282" t="s">
        <v>231</v>
      </c>
      <c r="BV282" t="s">
        <v>231</v>
      </c>
      <c r="BW282" t="s">
        <v>231</v>
      </c>
      <c r="BX282" t="s">
        <v>231</v>
      </c>
      <c r="BY282" t="s">
        <v>231</v>
      </c>
      <c r="BZ282" t="s">
        <v>231</v>
      </c>
      <c r="CA282" t="s">
        <v>231</v>
      </c>
      <c r="CB282" t="s">
        <v>231</v>
      </c>
      <c r="CC282" t="s">
        <v>231</v>
      </c>
      <c r="CD282" t="s">
        <v>231</v>
      </c>
      <c r="CE282" t="s">
        <v>231</v>
      </c>
      <c r="CF282" t="s">
        <v>231</v>
      </c>
      <c r="CG282" t="s">
        <v>231</v>
      </c>
      <c r="CH282" t="s">
        <v>231</v>
      </c>
      <c r="CI282" t="s">
        <v>231</v>
      </c>
      <c r="CJ282" t="s">
        <v>231</v>
      </c>
      <c r="CK282" t="s">
        <v>231</v>
      </c>
      <c r="CL282" t="s">
        <v>231</v>
      </c>
      <c r="CM282" t="s">
        <v>231</v>
      </c>
      <c r="CN282" t="s">
        <v>231</v>
      </c>
      <c r="CO282" t="s">
        <v>231</v>
      </c>
      <c r="CP282" t="s">
        <v>231</v>
      </c>
      <c r="CQ282" t="s">
        <v>231</v>
      </c>
      <c r="CR282" t="s">
        <v>231</v>
      </c>
      <c r="CS282" t="s">
        <v>231</v>
      </c>
      <c r="CT282" t="s">
        <v>3534</v>
      </c>
      <c r="CU282" t="s">
        <v>3535</v>
      </c>
      <c r="CV282" t="s">
        <v>3536</v>
      </c>
      <c r="CW282" t="s">
        <v>3551</v>
      </c>
      <c r="CX282" t="s">
        <v>223</v>
      </c>
      <c r="CY282" t="s">
        <v>3536</v>
      </c>
      <c r="CZ282" t="s">
        <v>3552</v>
      </c>
      <c r="DA282" t="s">
        <v>3553</v>
      </c>
      <c r="DB282" t="s">
        <v>3551</v>
      </c>
      <c r="DC282" t="s">
        <v>363</v>
      </c>
      <c r="DD282" t="s">
        <v>282</v>
      </c>
      <c r="DE282" t="s">
        <v>4832</v>
      </c>
    </row>
    <row r="283" spans="1:109" ht="11.25" customHeight="1">
      <c r="A283" s="1314" t="s">
        <v>231</v>
      </c>
      <c r="B283" t="s">
        <v>231</v>
      </c>
      <c r="C283" t="s">
        <v>231</v>
      </c>
      <c r="D283" t="s">
        <v>231</v>
      </c>
      <c r="E283" t="s">
        <v>231</v>
      </c>
      <c r="F283" t="s">
        <v>231</v>
      </c>
      <c r="G283" t="s">
        <v>231</v>
      </c>
      <c r="H283" t="s">
        <v>231</v>
      </c>
      <c r="I283" t="s">
        <v>3521</v>
      </c>
      <c r="J283" t="s">
        <v>231</v>
      </c>
      <c r="K283" t="s">
        <v>231</v>
      </c>
      <c r="L283" t="s">
        <v>231</v>
      </c>
      <c r="M283" t="s">
        <v>231</v>
      </c>
      <c r="N283" t="s">
        <v>231</v>
      </c>
      <c r="O283" t="s">
        <v>231</v>
      </c>
      <c r="P283" t="s">
        <v>231</v>
      </c>
      <c r="Q283" t="s">
        <v>231</v>
      </c>
      <c r="R283" t="s">
        <v>3685</v>
      </c>
      <c r="S283" t="s">
        <v>231</v>
      </c>
      <c r="T283" t="s">
        <v>231</v>
      </c>
      <c r="U283" t="s">
        <v>101</v>
      </c>
      <c r="V283" t="s">
        <v>231</v>
      </c>
      <c r="W283" t="s">
        <v>231</v>
      </c>
      <c r="X283" t="s">
        <v>3628</v>
      </c>
      <c r="Y283" t="s">
        <v>231</v>
      </c>
      <c r="Z283" t="s">
        <v>151</v>
      </c>
      <c r="AA283" t="s">
        <v>151</v>
      </c>
      <c r="AB283" t="s">
        <v>160</v>
      </c>
      <c r="AC283" t="s">
        <v>2283</v>
      </c>
      <c r="AD283" t="s">
        <v>2283</v>
      </c>
      <c r="AE283" t="s">
        <v>2284</v>
      </c>
      <c r="AF283" t="s">
        <v>3542</v>
      </c>
      <c r="AG283" t="s">
        <v>3543</v>
      </c>
      <c r="AH283" t="s">
        <v>3544</v>
      </c>
      <c r="AI283" t="s">
        <v>3545</v>
      </c>
      <c r="AJ283" t="s">
        <v>231</v>
      </c>
      <c r="AK283" t="s">
        <v>231</v>
      </c>
      <c r="AL283" t="s">
        <v>231</v>
      </c>
      <c r="AM283" t="s">
        <v>231</v>
      </c>
      <c r="AN283" t="s">
        <v>231</v>
      </c>
      <c r="AO283" t="s">
        <v>231</v>
      </c>
      <c r="AP283" t="s">
        <v>231</v>
      </c>
      <c r="AQ283" t="s">
        <v>231</v>
      </c>
      <c r="AR283" t="s">
        <v>231</v>
      </c>
      <c r="AS283" t="s">
        <v>231</v>
      </c>
      <c r="AT283" t="s">
        <v>231</v>
      </c>
      <c r="AU283" t="s">
        <v>231</v>
      </c>
      <c r="AV283" t="s">
        <v>231</v>
      </c>
      <c r="AW283" t="s">
        <v>231</v>
      </c>
      <c r="AX283" t="s">
        <v>231</v>
      </c>
      <c r="AY283" t="s">
        <v>231</v>
      </c>
      <c r="AZ283" t="s">
        <v>231</v>
      </c>
      <c r="BA283" t="s">
        <v>231</v>
      </c>
      <c r="BB283" t="s">
        <v>231</v>
      </c>
      <c r="BC283" t="s">
        <v>231</v>
      </c>
      <c r="BD283" t="s">
        <v>231</v>
      </c>
      <c r="BE283" t="s">
        <v>3689</v>
      </c>
      <c r="BF283" t="s">
        <v>3689</v>
      </c>
      <c r="BG283" t="s">
        <v>111</v>
      </c>
      <c r="BH283" t="s">
        <v>3632</v>
      </c>
      <c r="BI283" t="s">
        <v>122</v>
      </c>
      <c r="BJ283" t="s">
        <v>231</v>
      </c>
      <c r="BK283" t="s">
        <v>3651</v>
      </c>
      <c r="BL283" t="s">
        <v>2283</v>
      </c>
      <c r="BM283" t="s">
        <v>2283</v>
      </c>
      <c r="BN283" t="s">
        <v>3690</v>
      </c>
      <c r="BO283" t="s">
        <v>3542</v>
      </c>
      <c r="BP283" t="s">
        <v>4833</v>
      </c>
      <c r="BQ283" t="s">
        <v>3544</v>
      </c>
      <c r="BR283" t="s">
        <v>4452</v>
      </c>
      <c r="BS283" t="s">
        <v>231</v>
      </c>
      <c r="BT283" t="s">
        <v>3694</v>
      </c>
      <c r="BU283" t="s">
        <v>4834</v>
      </c>
      <c r="BV283" t="s">
        <v>4834</v>
      </c>
      <c r="BW283" t="s">
        <v>3641</v>
      </c>
      <c r="BX283" t="s">
        <v>3641</v>
      </c>
      <c r="BY283" t="s">
        <v>3641</v>
      </c>
      <c r="BZ283" t="s">
        <v>3641</v>
      </c>
      <c r="CA283" t="s">
        <v>3641</v>
      </c>
      <c r="CB283" t="s">
        <v>231</v>
      </c>
      <c r="CC283" t="s">
        <v>231</v>
      </c>
      <c r="CD283" t="s">
        <v>231</v>
      </c>
      <c r="CE283" t="s">
        <v>231</v>
      </c>
      <c r="CF283" t="s">
        <v>231</v>
      </c>
      <c r="CG283" t="s">
        <v>3641</v>
      </c>
      <c r="CH283" t="s">
        <v>231</v>
      </c>
      <c r="CI283" t="s">
        <v>231</v>
      </c>
      <c r="CJ283" t="s">
        <v>231</v>
      </c>
      <c r="CK283" t="s">
        <v>231</v>
      </c>
      <c r="CL283" t="s">
        <v>231</v>
      </c>
      <c r="CM283" t="s">
        <v>4834</v>
      </c>
      <c r="CN283" t="s">
        <v>4834</v>
      </c>
      <c r="CO283" t="s">
        <v>231</v>
      </c>
      <c r="CP283" t="s">
        <v>231</v>
      </c>
      <c r="CQ283" t="s">
        <v>231</v>
      </c>
      <c r="CR283" t="s">
        <v>231</v>
      </c>
      <c r="CS283" t="s">
        <v>3549</v>
      </c>
      <c r="CT283" t="s">
        <v>3534</v>
      </c>
      <c r="CU283" t="s">
        <v>3535</v>
      </c>
      <c r="CV283" t="s">
        <v>3536</v>
      </c>
      <c r="CW283" t="s">
        <v>3551</v>
      </c>
      <c r="CX283" t="s">
        <v>223</v>
      </c>
      <c r="CY283" t="s">
        <v>3536</v>
      </c>
      <c r="CZ283" t="s">
        <v>3552</v>
      </c>
      <c r="DA283" t="s">
        <v>3553</v>
      </c>
      <c r="DB283" t="s">
        <v>3551</v>
      </c>
      <c r="DC283" t="s">
        <v>363</v>
      </c>
      <c r="DD283" t="s">
        <v>282</v>
      </c>
      <c r="DE283" t="s">
        <v>3554</v>
      </c>
    </row>
    <row r="284" spans="1:109" ht="11.25" customHeight="1">
      <c r="A284" s="1314" t="s">
        <v>231</v>
      </c>
      <c r="B284" t="s">
        <v>231</v>
      </c>
      <c r="C284" t="s">
        <v>231</v>
      </c>
      <c r="D284" t="s">
        <v>231</v>
      </c>
      <c r="E284" t="s">
        <v>231</v>
      </c>
      <c r="F284" t="s">
        <v>231</v>
      </c>
      <c r="G284" t="s">
        <v>231</v>
      </c>
      <c r="H284" t="s">
        <v>231</v>
      </c>
      <c r="I284" t="s">
        <v>3521</v>
      </c>
      <c r="J284" t="s">
        <v>231</v>
      </c>
      <c r="K284" t="s">
        <v>231</v>
      </c>
      <c r="L284" t="s">
        <v>231</v>
      </c>
      <c r="M284" t="s">
        <v>231</v>
      </c>
      <c r="N284" t="s">
        <v>231</v>
      </c>
      <c r="O284" t="s">
        <v>231</v>
      </c>
      <c r="P284" t="s">
        <v>231</v>
      </c>
      <c r="Q284" t="s">
        <v>231</v>
      </c>
      <c r="R284" t="s">
        <v>3615</v>
      </c>
      <c r="S284" t="s">
        <v>231</v>
      </c>
      <c r="T284" t="s">
        <v>231</v>
      </c>
      <c r="U284" t="s">
        <v>101</v>
      </c>
      <c r="V284" t="s">
        <v>231</v>
      </c>
      <c r="W284" t="s">
        <v>231</v>
      </c>
      <c r="X284" t="s">
        <v>3523</v>
      </c>
      <c r="Y284" t="s">
        <v>231</v>
      </c>
      <c r="Z284" t="s">
        <v>160</v>
      </c>
      <c r="AA284" t="s">
        <v>151</v>
      </c>
      <c r="AB284" t="s">
        <v>151</v>
      </c>
      <c r="AC284" t="s">
        <v>2289</v>
      </c>
      <c r="AD284" t="s">
        <v>2289</v>
      </c>
      <c r="AE284" t="s">
        <v>2290</v>
      </c>
      <c r="AF284" t="s">
        <v>3793</v>
      </c>
      <c r="AG284" t="s">
        <v>3794</v>
      </c>
      <c r="AH284" t="s">
        <v>4835</v>
      </c>
      <c r="AI284" t="s">
        <v>4836</v>
      </c>
      <c r="AJ284" t="s">
        <v>3546</v>
      </c>
      <c r="AK284" t="s">
        <v>3800</v>
      </c>
      <c r="AL284" t="s">
        <v>3548</v>
      </c>
      <c r="AM284" t="s">
        <v>3531</v>
      </c>
      <c r="AN284" t="s">
        <v>3587</v>
      </c>
      <c r="AO284" t="s">
        <v>3812</v>
      </c>
      <c r="AP284" t="s">
        <v>231</v>
      </c>
      <c r="AQ284" t="s">
        <v>231</v>
      </c>
      <c r="AR284" t="s">
        <v>231</v>
      </c>
      <c r="AS284" t="s">
        <v>231</v>
      </c>
      <c r="AT284" t="s">
        <v>231</v>
      </c>
      <c r="AU284" t="s">
        <v>231</v>
      </c>
      <c r="AV284" t="s">
        <v>231</v>
      </c>
      <c r="AW284" t="s">
        <v>231</v>
      </c>
      <c r="AX284" t="s">
        <v>231</v>
      </c>
      <c r="AY284" t="s">
        <v>231</v>
      </c>
      <c r="AZ284" t="s">
        <v>231</v>
      </c>
      <c r="BA284" t="s">
        <v>231</v>
      </c>
      <c r="BB284" t="s">
        <v>231</v>
      </c>
      <c r="BC284" t="s">
        <v>231</v>
      </c>
      <c r="BD284" t="s">
        <v>231</v>
      </c>
      <c r="BE284" t="s">
        <v>231</v>
      </c>
      <c r="BF284" t="s">
        <v>231</v>
      </c>
      <c r="BG284" t="s">
        <v>231</v>
      </c>
      <c r="BH284" t="s">
        <v>231</v>
      </c>
      <c r="BI284" t="s">
        <v>231</v>
      </c>
      <c r="BJ284" t="s">
        <v>231</v>
      </c>
      <c r="BK284" t="s">
        <v>231</v>
      </c>
      <c r="BL284" t="s">
        <v>231</v>
      </c>
      <c r="BM284" t="s">
        <v>231</v>
      </c>
      <c r="BN284" t="s">
        <v>231</v>
      </c>
      <c r="BO284" t="s">
        <v>231</v>
      </c>
      <c r="BP284" t="s">
        <v>231</v>
      </c>
      <c r="BQ284" t="s">
        <v>231</v>
      </c>
      <c r="BR284" t="s">
        <v>231</v>
      </c>
      <c r="BS284" t="s">
        <v>231</v>
      </c>
      <c r="BT284" t="s">
        <v>231</v>
      </c>
      <c r="BU284" t="s">
        <v>231</v>
      </c>
      <c r="BV284" t="s">
        <v>231</v>
      </c>
      <c r="BW284" t="s">
        <v>231</v>
      </c>
      <c r="BX284" t="s">
        <v>231</v>
      </c>
      <c r="BY284" t="s">
        <v>231</v>
      </c>
      <c r="BZ284" t="s">
        <v>231</v>
      </c>
      <c r="CA284" t="s">
        <v>231</v>
      </c>
      <c r="CB284" t="s">
        <v>231</v>
      </c>
      <c r="CC284" t="s">
        <v>231</v>
      </c>
      <c r="CD284" t="s">
        <v>231</v>
      </c>
      <c r="CE284" t="s">
        <v>231</v>
      </c>
      <c r="CF284" t="s">
        <v>231</v>
      </c>
      <c r="CG284" t="s">
        <v>231</v>
      </c>
      <c r="CH284" t="s">
        <v>231</v>
      </c>
      <c r="CI284" t="s">
        <v>231</v>
      </c>
      <c r="CJ284" t="s">
        <v>231</v>
      </c>
      <c r="CK284" t="s">
        <v>231</v>
      </c>
      <c r="CL284" t="s">
        <v>231</v>
      </c>
      <c r="CM284" t="s">
        <v>231</v>
      </c>
      <c r="CN284" t="s">
        <v>231</v>
      </c>
      <c r="CO284" t="s">
        <v>231</v>
      </c>
      <c r="CP284" t="s">
        <v>231</v>
      </c>
      <c r="CQ284" t="s">
        <v>231</v>
      </c>
      <c r="CR284" t="s">
        <v>231</v>
      </c>
      <c r="CS284" t="s">
        <v>231</v>
      </c>
      <c r="CT284" t="s">
        <v>3534</v>
      </c>
      <c r="CU284" t="s">
        <v>3535</v>
      </c>
      <c r="CV284" t="s">
        <v>3536</v>
      </c>
      <c r="CW284" t="s">
        <v>3589</v>
      </c>
      <c r="CX284" t="s">
        <v>223</v>
      </c>
      <c r="CY284" t="s">
        <v>3536</v>
      </c>
      <c r="CZ284" t="s">
        <v>3590</v>
      </c>
      <c r="DA284" t="s">
        <v>3591</v>
      </c>
      <c r="DB284" t="s">
        <v>3589</v>
      </c>
      <c r="DC284" t="s">
        <v>363</v>
      </c>
      <c r="DD284" t="s">
        <v>282</v>
      </c>
      <c r="DE284" t="s">
        <v>4837</v>
      </c>
    </row>
    <row r="285" spans="1:109" ht="11.25" customHeight="1">
      <c r="A285" s="1314" t="s">
        <v>231</v>
      </c>
      <c r="B285" t="s">
        <v>231</v>
      </c>
      <c r="C285" t="s">
        <v>231</v>
      </c>
      <c r="D285" t="s">
        <v>231</v>
      </c>
      <c r="E285" t="s">
        <v>231</v>
      </c>
      <c r="F285" t="s">
        <v>231</v>
      </c>
      <c r="G285" t="s">
        <v>231</v>
      </c>
      <c r="H285" t="s">
        <v>231</v>
      </c>
      <c r="I285" t="s">
        <v>3521</v>
      </c>
      <c r="J285" t="s">
        <v>231</v>
      </c>
      <c r="K285" t="s">
        <v>231</v>
      </c>
      <c r="L285" t="s">
        <v>231</v>
      </c>
      <c r="M285" t="s">
        <v>231</v>
      </c>
      <c r="N285" t="s">
        <v>231</v>
      </c>
      <c r="O285" t="s">
        <v>231</v>
      </c>
      <c r="P285" t="s">
        <v>231</v>
      </c>
      <c r="Q285" t="s">
        <v>231</v>
      </c>
      <c r="R285" t="s">
        <v>3615</v>
      </c>
      <c r="S285" t="s">
        <v>231</v>
      </c>
      <c r="T285" t="s">
        <v>231</v>
      </c>
      <c r="U285" t="s">
        <v>101</v>
      </c>
      <c r="V285" t="s">
        <v>231</v>
      </c>
      <c r="W285" t="s">
        <v>231</v>
      </c>
      <c r="X285" t="s">
        <v>3523</v>
      </c>
      <c r="Y285" t="s">
        <v>231</v>
      </c>
      <c r="Z285" t="s">
        <v>160</v>
      </c>
      <c r="AA285" t="s">
        <v>151</v>
      </c>
      <c r="AB285" t="s">
        <v>151</v>
      </c>
      <c r="AC285" t="s">
        <v>2289</v>
      </c>
      <c r="AD285" t="s">
        <v>2289</v>
      </c>
      <c r="AE285" t="s">
        <v>2290</v>
      </c>
      <c r="AF285" t="s">
        <v>3793</v>
      </c>
      <c r="AG285" t="s">
        <v>3794</v>
      </c>
      <c r="AH285" t="s">
        <v>4137</v>
      </c>
      <c r="AI285" t="s">
        <v>4838</v>
      </c>
      <c r="AJ285" t="s">
        <v>3594</v>
      </c>
      <c r="AK285" t="s">
        <v>3586</v>
      </c>
      <c r="AL285" t="s">
        <v>3548</v>
      </c>
      <c r="AM285" t="s">
        <v>3531</v>
      </c>
      <c r="AN285" t="s">
        <v>3595</v>
      </c>
      <c r="AO285" t="s">
        <v>3796</v>
      </c>
      <c r="AP285" t="s">
        <v>231</v>
      </c>
      <c r="AQ285" t="s">
        <v>231</v>
      </c>
      <c r="AR285" t="s">
        <v>231</v>
      </c>
      <c r="AS285" t="s">
        <v>231</v>
      </c>
      <c r="AT285" t="s">
        <v>231</v>
      </c>
      <c r="AU285" t="s">
        <v>231</v>
      </c>
      <c r="AV285" t="s">
        <v>231</v>
      </c>
      <c r="AW285" t="s">
        <v>231</v>
      </c>
      <c r="AX285" t="s">
        <v>231</v>
      </c>
      <c r="AY285" t="s">
        <v>231</v>
      </c>
      <c r="AZ285" t="s">
        <v>231</v>
      </c>
      <c r="BA285" t="s">
        <v>231</v>
      </c>
      <c r="BB285" t="s">
        <v>231</v>
      </c>
      <c r="BC285" t="s">
        <v>231</v>
      </c>
      <c r="BD285" t="s">
        <v>231</v>
      </c>
      <c r="BE285" t="s">
        <v>231</v>
      </c>
      <c r="BF285" t="s">
        <v>231</v>
      </c>
      <c r="BG285" t="s">
        <v>231</v>
      </c>
      <c r="BH285" t="s">
        <v>231</v>
      </c>
      <c r="BI285" t="s">
        <v>231</v>
      </c>
      <c r="BJ285" t="s">
        <v>231</v>
      </c>
      <c r="BK285" t="s">
        <v>231</v>
      </c>
      <c r="BL285" t="s">
        <v>231</v>
      </c>
      <c r="BM285" t="s">
        <v>231</v>
      </c>
      <c r="BN285" t="s">
        <v>231</v>
      </c>
      <c r="BO285" t="s">
        <v>231</v>
      </c>
      <c r="BP285" t="s">
        <v>231</v>
      </c>
      <c r="BQ285" t="s">
        <v>231</v>
      </c>
      <c r="BR285" t="s">
        <v>231</v>
      </c>
      <c r="BS285" t="s">
        <v>231</v>
      </c>
      <c r="BT285" t="s">
        <v>231</v>
      </c>
      <c r="BU285" t="s">
        <v>231</v>
      </c>
      <c r="BV285" t="s">
        <v>231</v>
      </c>
      <c r="BW285" t="s">
        <v>231</v>
      </c>
      <c r="BX285" t="s">
        <v>231</v>
      </c>
      <c r="BY285" t="s">
        <v>231</v>
      </c>
      <c r="BZ285" t="s">
        <v>231</v>
      </c>
      <c r="CA285" t="s">
        <v>231</v>
      </c>
      <c r="CB285" t="s">
        <v>231</v>
      </c>
      <c r="CC285" t="s">
        <v>231</v>
      </c>
      <c r="CD285" t="s">
        <v>231</v>
      </c>
      <c r="CE285" t="s">
        <v>231</v>
      </c>
      <c r="CF285" t="s">
        <v>231</v>
      </c>
      <c r="CG285" t="s">
        <v>231</v>
      </c>
      <c r="CH285" t="s">
        <v>231</v>
      </c>
      <c r="CI285" t="s">
        <v>231</v>
      </c>
      <c r="CJ285" t="s">
        <v>231</v>
      </c>
      <c r="CK285" t="s">
        <v>231</v>
      </c>
      <c r="CL285" t="s">
        <v>231</v>
      </c>
      <c r="CM285" t="s">
        <v>231</v>
      </c>
      <c r="CN285" t="s">
        <v>231</v>
      </c>
      <c r="CO285" t="s">
        <v>231</v>
      </c>
      <c r="CP285" t="s">
        <v>231</v>
      </c>
      <c r="CQ285" t="s">
        <v>231</v>
      </c>
      <c r="CR285" t="s">
        <v>231</v>
      </c>
      <c r="CS285" t="s">
        <v>231</v>
      </c>
      <c r="CT285" t="s">
        <v>3534</v>
      </c>
      <c r="CU285" t="s">
        <v>3535</v>
      </c>
      <c r="CV285" t="s">
        <v>3536</v>
      </c>
      <c r="CW285" t="s">
        <v>3589</v>
      </c>
      <c r="CX285" t="s">
        <v>223</v>
      </c>
      <c r="CY285" t="s">
        <v>3536</v>
      </c>
      <c r="CZ285" t="s">
        <v>3590</v>
      </c>
      <c r="DA285" t="s">
        <v>3591</v>
      </c>
      <c r="DB285" t="s">
        <v>3589</v>
      </c>
      <c r="DC285" t="s">
        <v>363</v>
      </c>
      <c r="DD285" t="s">
        <v>282</v>
      </c>
      <c r="DE285" t="s">
        <v>4839</v>
      </c>
    </row>
    <row r="286" spans="1:109" ht="11.25" customHeight="1">
      <c r="A286" s="1314" t="s">
        <v>231</v>
      </c>
      <c r="B286" t="s">
        <v>231</v>
      </c>
      <c r="C286" t="s">
        <v>231</v>
      </c>
      <c r="D286" t="s">
        <v>231</v>
      </c>
      <c r="E286" t="s">
        <v>231</v>
      </c>
      <c r="F286" t="s">
        <v>231</v>
      </c>
      <c r="G286" t="s">
        <v>231</v>
      </c>
      <c r="H286" t="s">
        <v>231</v>
      </c>
      <c r="I286" t="s">
        <v>3521</v>
      </c>
      <c r="J286" t="s">
        <v>231</v>
      </c>
      <c r="K286" t="s">
        <v>231</v>
      </c>
      <c r="L286" t="s">
        <v>231</v>
      </c>
      <c r="M286" t="s">
        <v>231</v>
      </c>
      <c r="N286" t="s">
        <v>231</v>
      </c>
      <c r="O286" t="s">
        <v>231</v>
      </c>
      <c r="P286" t="s">
        <v>231</v>
      </c>
      <c r="Q286" t="s">
        <v>231</v>
      </c>
      <c r="R286" t="s">
        <v>4840</v>
      </c>
      <c r="S286" t="s">
        <v>231</v>
      </c>
      <c r="T286" t="s">
        <v>231</v>
      </c>
      <c r="U286" t="s">
        <v>101</v>
      </c>
      <c r="V286" t="s">
        <v>231</v>
      </c>
      <c r="W286" t="s">
        <v>231</v>
      </c>
      <c r="X286" t="s">
        <v>3628</v>
      </c>
      <c r="Y286" t="s">
        <v>231</v>
      </c>
      <c r="Z286" t="s">
        <v>151</v>
      </c>
      <c r="AA286" t="s">
        <v>151</v>
      </c>
      <c r="AB286" t="s">
        <v>160</v>
      </c>
      <c r="AC286" t="s">
        <v>2287</v>
      </c>
      <c r="AD286" t="s">
        <v>2287</v>
      </c>
      <c r="AE286" t="s">
        <v>2288</v>
      </c>
      <c r="AF286" t="s">
        <v>4607</v>
      </c>
      <c r="AG286" t="s">
        <v>4608</v>
      </c>
      <c r="AH286" t="s">
        <v>3618</v>
      </c>
      <c r="AI286" t="s">
        <v>3618</v>
      </c>
      <c r="AJ286" t="s">
        <v>231</v>
      </c>
      <c r="AK286" t="s">
        <v>231</v>
      </c>
      <c r="AL286" t="s">
        <v>231</v>
      </c>
      <c r="AM286" t="s">
        <v>231</v>
      </c>
      <c r="AN286" t="s">
        <v>231</v>
      </c>
      <c r="AO286" t="s">
        <v>231</v>
      </c>
      <c r="AP286" t="s">
        <v>231</v>
      </c>
      <c r="AQ286" t="s">
        <v>231</v>
      </c>
      <c r="AR286" t="s">
        <v>231</v>
      </c>
      <c r="AS286" t="s">
        <v>231</v>
      </c>
      <c r="AT286" t="s">
        <v>231</v>
      </c>
      <c r="AU286" t="s">
        <v>231</v>
      </c>
      <c r="AV286" t="s">
        <v>231</v>
      </c>
      <c r="AW286" t="s">
        <v>231</v>
      </c>
      <c r="AX286" t="s">
        <v>231</v>
      </c>
      <c r="AY286" t="s">
        <v>231</v>
      </c>
      <c r="AZ286" t="s">
        <v>231</v>
      </c>
      <c r="BA286" t="s">
        <v>231</v>
      </c>
      <c r="BB286" t="s">
        <v>231</v>
      </c>
      <c r="BC286" t="s">
        <v>231</v>
      </c>
      <c r="BD286" t="s">
        <v>231</v>
      </c>
      <c r="BE286" t="s">
        <v>3619</v>
      </c>
      <c r="BF286" t="s">
        <v>4609</v>
      </c>
      <c r="BG286" t="s">
        <v>111</v>
      </c>
      <c r="BH286" t="s">
        <v>3632</v>
      </c>
      <c r="BI286" t="s">
        <v>122</v>
      </c>
      <c r="BJ286" t="s">
        <v>231</v>
      </c>
      <c r="BK286" t="s">
        <v>3651</v>
      </c>
      <c r="BL286" t="s">
        <v>2287</v>
      </c>
      <c r="BM286" t="s">
        <v>2287</v>
      </c>
      <c r="BN286" t="s">
        <v>3842</v>
      </c>
      <c r="BO286" t="s">
        <v>4607</v>
      </c>
      <c r="BP286" t="s">
        <v>4841</v>
      </c>
      <c r="BQ286" t="s">
        <v>3618</v>
      </c>
      <c r="BR286" t="s">
        <v>3618</v>
      </c>
      <c r="BS286" t="s">
        <v>231</v>
      </c>
      <c r="BT286" t="s">
        <v>3694</v>
      </c>
      <c r="BU286" t="s">
        <v>4842</v>
      </c>
      <c r="BV286" t="s">
        <v>4842</v>
      </c>
      <c r="BW286" t="s">
        <v>3641</v>
      </c>
      <c r="BX286" t="s">
        <v>3641</v>
      </c>
      <c r="BY286" t="s">
        <v>3641</v>
      </c>
      <c r="BZ286" t="s">
        <v>3641</v>
      </c>
      <c r="CA286" t="s">
        <v>3641</v>
      </c>
      <c r="CB286" t="s">
        <v>231</v>
      </c>
      <c r="CC286" t="s">
        <v>231</v>
      </c>
      <c r="CD286" t="s">
        <v>231</v>
      </c>
      <c r="CE286" t="s">
        <v>231</v>
      </c>
      <c r="CF286" t="s">
        <v>231</v>
      </c>
      <c r="CG286" t="s">
        <v>3641</v>
      </c>
      <c r="CH286" t="s">
        <v>231</v>
      </c>
      <c r="CI286" t="s">
        <v>231</v>
      </c>
      <c r="CJ286" t="s">
        <v>231</v>
      </c>
      <c r="CK286" t="s">
        <v>231</v>
      </c>
      <c r="CL286" t="s">
        <v>231</v>
      </c>
      <c r="CM286" t="s">
        <v>4842</v>
      </c>
      <c r="CN286" t="s">
        <v>4842</v>
      </c>
      <c r="CO286" t="s">
        <v>231</v>
      </c>
      <c r="CP286" t="s">
        <v>231</v>
      </c>
      <c r="CQ286" t="s">
        <v>231</v>
      </c>
      <c r="CR286" t="s">
        <v>231</v>
      </c>
      <c r="CS286" t="s">
        <v>3595</v>
      </c>
      <c r="CT286" t="s">
        <v>3534</v>
      </c>
      <c r="CU286" t="s">
        <v>3535</v>
      </c>
      <c r="CV286" t="s">
        <v>3536</v>
      </c>
      <c r="CW286" t="s">
        <v>3623</v>
      </c>
      <c r="CX286" t="s">
        <v>223</v>
      </c>
      <c r="CY286" t="s">
        <v>3536</v>
      </c>
      <c r="CZ286" t="s">
        <v>3624</v>
      </c>
      <c r="DA286" t="s">
        <v>3625</v>
      </c>
      <c r="DB286" t="s">
        <v>3623</v>
      </c>
      <c r="DC286" t="s">
        <v>363</v>
      </c>
      <c r="DD286" t="s">
        <v>282</v>
      </c>
      <c r="DE286" t="s">
        <v>4610</v>
      </c>
    </row>
    <row r="287" spans="1:109" ht="11.25" customHeight="1">
      <c r="A287" s="1314" t="s">
        <v>231</v>
      </c>
      <c r="B287" t="s">
        <v>231</v>
      </c>
      <c r="C287" t="s">
        <v>231</v>
      </c>
      <c r="D287" t="s">
        <v>231</v>
      </c>
      <c r="E287" t="s">
        <v>231</v>
      </c>
      <c r="F287" t="s">
        <v>231</v>
      </c>
      <c r="G287" t="s">
        <v>231</v>
      </c>
      <c r="H287" t="s">
        <v>231</v>
      </c>
      <c r="I287" t="s">
        <v>3521</v>
      </c>
      <c r="J287" t="s">
        <v>231</v>
      </c>
      <c r="K287" t="s">
        <v>231</v>
      </c>
      <c r="L287" t="s">
        <v>231</v>
      </c>
      <c r="M287" t="s">
        <v>231</v>
      </c>
      <c r="N287" t="s">
        <v>231</v>
      </c>
      <c r="O287" t="s">
        <v>231</v>
      </c>
      <c r="P287" t="s">
        <v>231</v>
      </c>
      <c r="Q287" t="s">
        <v>231</v>
      </c>
      <c r="R287" t="s">
        <v>4843</v>
      </c>
      <c r="S287" t="s">
        <v>231</v>
      </c>
      <c r="T287" t="s">
        <v>231</v>
      </c>
      <c r="U287" t="s">
        <v>101</v>
      </c>
      <c r="V287" t="s">
        <v>231</v>
      </c>
      <c r="W287" t="s">
        <v>231</v>
      </c>
      <c r="X287" t="s">
        <v>3628</v>
      </c>
      <c r="Y287" t="s">
        <v>231</v>
      </c>
      <c r="Z287" t="s">
        <v>151</v>
      </c>
      <c r="AA287" t="s">
        <v>151</v>
      </c>
      <c r="AB287" t="s">
        <v>160</v>
      </c>
      <c r="AC287" t="s">
        <v>2287</v>
      </c>
      <c r="AD287" t="s">
        <v>2287</v>
      </c>
      <c r="AE287" t="s">
        <v>2288</v>
      </c>
      <c r="AF287" t="s">
        <v>4788</v>
      </c>
      <c r="AG287" t="s">
        <v>4789</v>
      </c>
      <c r="AH287" t="s">
        <v>3618</v>
      </c>
      <c r="AI287" t="s">
        <v>3618</v>
      </c>
      <c r="AJ287" t="s">
        <v>231</v>
      </c>
      <c r="AK287" t="s">
        <v>231</v>
      </c>
      <c r="AL287" t="s">
        <v>231</v>
      </c>
      <c r="AM287" t="s">
        <v>231</v>
      </c>
      <c r="AN287" t="s">
        <v>231</v>
      </c>
      <c r="AO287" t="s">
        <v>231</v>
      </c>
      <c r="AP287" t="s">
        <v>231</v>
      </c>
      <c r="AQ287" t="s">
        <v>231</v>
      </c>
      <c r="AR287" t="s">
        <v>231</v>
      </c>
      <c r="AS287" t="s">
        <v>231</v>
      </c>
      <c r="AT287" t="s">
        <v>231</v>
      </c>
      <c r="AU287" t="s">
        <v>231</v>
      </c>
      <c r="AV287" t="s">
        <v>231</v>
      </c>
      <c r="AW287" t="s">
        <v>231</v>
      </c>
      <c r="AX287" t="s">
        <v>231</v>
      </c>
      <c r="AY287" t="s">
        <v>231</v>
      </c>
      <c r="AZ287" t="s">
        <v>231</v>
      </c>
      <c r="BA287" t="s">
        <v>231</v>
      </c>
      <c r="BB287" t="s">
        <v>231</v>
      </c>
      <c r="BC287" t="s">
        <v>231</v>
      </c>
      <c r="BD287" t="s">
        <v>231</v>
      </c>
      <c r="BE287" t="s">
        <v>4568</v>
      </c>
      <c r="BF287" t="s">
        <v>4467</v>
      </c>
      <c r="BG287" t="s">
        <v>111</v>
      </c>
      <c r="BH287" t="s">
        <v>3632</v>
      </c>
      <c r="BI287" t="s">
        <v>122</v>
      </c>
      <c r="BJ287" t="s">
        <v>231</v>
      </c>
      <c r="BK287" t="s">
        <v>3651</v>
      </c>
      <c r="BL287" t="s">
        <v>2287</v>
      </c>
      <c r="BM287" t="s">
        <v>2287</v>
      </c>
      <c r="BN287" t="s">
        <v>3842</v>
      </c>
      <c r="BO287" t="s">
        <v>4788</v>
      </c>
      <c r="BP287" t="s">
        <v>4844</v>
      </c>
      <c r="BQ287" t="s">
        <v>3618</v>
      </c>
      <c r="BR287" t="s">
        <v>3618</v>
      </c>
      <c r="BS287" t="s">
        <v>231</v>
      </c>
      <c r="BT287" t="s">
        <v>3694</v>
      </c>
      <c r="BU287" t="s">
        <v>4845</v>
      </c>
      <c r="BV287" t="s">
        <v>4845</v>
      </c>
      <c r="BW287" t="s">
        <v>3641</v>
      </c>
      <c r="BX287" t="s">
        <v>3641</v>
      </c>
      <c r="BY287" t="s">
        <v>3641</v>
      </c>
      <c r="BZ287" t="s">
        <v>3641</v>
      </c>
      <c r="CA287" t="s">
        <v>3641</v>
      </c>
      <c r="CB287" t="s">
        <v>231</v>
      </c>
      <c r="CC287" t="s">
        <v>231</v>
      </c>
      <c r="CD287" t="s">
        <v>231</v>
      </c>
      <c r="CE287" t="s">
        <v>231</v>
      </c>
      <c r="CF287" t="s">
        <v>231</v>
      </c>
      <c r="CG287" t="s">
        <v>3641</v>
      </c>
      <c r="CH287" t="s">
        <v>231</v>
      </c>
      <c r="CI287" t="s">
        <v>231</v>
      </c>
      <c r="CJ287" t="s">
        <v>231</v>
      </c>
      <c r="CK287" t="s">
        <v>231</v>
      </c>
      <c r="CL287" t="s">
        <v>231</v>
      </c>
      <c r="CM287" t="s">
        <v>4845</v>
      </c>
      <c r="CN287" t="s">
        <v>4845</v>
      </c>
      <c r="CO287" t="s">
        <v>231</v>
      </c>
      <c r="CP287" t="s">
        <v>231</v>
      </c>
      <c r="CQ287" t="s">
        <v>231</v>
      </c>
      <c r="CR287" t="s">
        <v>231</v>
      </c>
      <c r="CS287" t="s">
        <v>3529</v>
      </c>
      <c r="CT287" t="s">
        <v>3534</v>
      </c>
      <c r="CU287" t="s">
        <v>3535</v>
      </c>
      <c r="CV287" t="s">
        <v>3536</v>
      </c>
      <c r="CW287" t="s">
        <v>3623</v>
      </c>
      <c r="CX287" t="s">
        <v>223</v>
      </c>
      <c r="CY287" t="s">
        <v>3536</v>
      </c>
      <c r="CZ287" t="s">
        <v>3624</v>
      </c>
      <c r="DA287" t="s">
        <v>3625</v>
      </c>
      <c r="DB287" t="s">
        <v>3623</v>
      </c>
      <c r="DC287" t="s">
        <v>363</v>
      </c>
      <c r="DD287" t="s">
        <v>282</v>
      </c>
      <c r="DE287" t="s">
        <v>4846</v>
      </c>
    </row>
    <row r="288" spans="1:109" ht="11.25" customHeight="1">
      <c r="A288" s="1314" t="s">
        <v>231</v>
      </c>
      <c r="B288" t="s">
        <v>231</v>
      </c>
      <c r="C288" t="s">
        <v>231</v>
      </c>
      <c r="D288" t="s">
        <v>231</v>
      </c>
      <c r="E288" t="s">
        <v>231</v>
      </c>
      <c r="F288" t="s">
        <v>231</v>
      </c>
      <c r="G288" t="s">
        <v>231</v>
      </c>
      <c r="H288" t="s">
        <v>231</v>
      </c>
      <c r="I288" t="s">
        <v>3521</v>
      </c>
      <c r="J288" t="s">
        <v>231</v>
      </c>
      <c r="K288" t="s">
        <v>231</v>
      </c>
      <c r="L288" t="s">
        <v>231</v>
      </c>
      <c r="M288" t="s">
        <v>231</v>
      </c>
      <c r="N288" t="s">
        <v>231</v>
      </c>
      <c r="O288" t="s">
        <v>231</v>
      </c>
      <c r="P288" t="s">
        <v>231</v>
      </c>
      <c r="Q288" t="s">
        <v>231</v>
      </c>
      <c r="R288" t="s">
        <v>4847</v>
      </c>
      <c r="S288" t="s">
        <v>231</v>
      </c>
      <c r="T288" t="s">
        <v>231</v>
      </c>
      <c r="U288" t="s">
        <v>101</v>
      </c>
      <c r="V288" t="s">
        <v>231</v>
      </c>
      <c r="W288" t="s">
        <v>231</v>
      </c>
      <c r="X288" t="s">
        <v>3523</v>
      </c>
      <c r="Y288" t="s">
        <v>231</v>
      </c>
      <c r="Z288" t="s">
        <v>160</v>
      </c>
      <c r="AA288" t="s">
        <v>151</v>
      </c>
      <c r="AB288" t="s">
        <v>151</v>
      </c>
      <c r="AC288" t="s">
        <v>2283</v>
      </c>
      <c r="AD288" t="s">
        <v>2283</v>
      </c>
      <c r="AE288" t="s">
        <v>2284</v>
      </c>
      <c r="AF288" t="s">
        <v>4083</v>
      </c>
      <c r="AG288" t="s">
        <v>4084</v>
      </c>
      <c r="AH288" t="s">
        <v>4848</v>
      </c>
      <c r="AI288" t="s">
        <v>3893</v>
      </c>
      <c r="AJ288" t="s">
        <v>3619</v>
      </c>
      <c r="AK288" t="s">
        <v>3619</v>
      </c>
      <c r="AL288" t="s">
        <v>3548</v>
      </c>
      <c r="AM288" t="s">
        <v>3531</v>
      </c>
      <c r="AN288" t="s">
        <v>3595</v>
      </c>
      <c r="AO288" t="s">
        <v>4151</v>
      </c>
      <c r="AP288" t="s">
        <v>231</v>
      </c>
      <c r="AQ288" t="s">
        <v>231</v>
      </c>
      <c r="AR288" t="s">
        <v>231</v>
      </c>
      <c r="AS288" t="s">
        <v>231</v>
      </c>
      <c r="AT288" t="s">
        <v>231</v>
      </c>
      <c r="AU288" t="s">
        <v>231</v>
      </c>
      <c r="AV288" t="s">
        <v>231</v>
      </c>
      <c r="AW288" t="s">
        <v>231</v>
      </c>
      <c r="AX288" t="s">
        <v>231</v>
      </c>
      <c r="AY288" t="s">
        <v>231</v>
      </c>
      <c r="AZ288" t="s">
        <v>231</v>
      </c>
      <c r="BA288" t="s">
        <v>231</v>
      </c>
      <c r="BB288" t="s">
        <v>231</v>
      </c>
      <c r="BC288" t="s">
        <v>231</v>
      </c>
      <c r="BD288" t="s">
        <v>231</v>
      </c>
      <c r="BE288" t="s">
        <v>231</v>
      </c>
      <c r="BF288" t="s">
        <v>231</v>
      </c>
      <c r="BG288" t="s">
        <v>231</v>
      </c>
      <c r="BH288" t="s">
        <v>231</v>
      </c>
      <c r="BI288" t="s">
        <v>231</v>
      </c>
      <c r="BJ288" t="s">
        <v>231</v>
      </c>
      <c r="BK288" t="s">
        <v>231</v>
      </c>
      <c r="BL288" t="s">
        <v>231</v>
      </c>
      <c r="BM288" t="s">
        <v>231</v>
      </c>
      <c r="BN288" t="s">
        <v>231</v>
      </c>
      <c r="BO288" t="s">
        <v>231</v>
      </c>
      <c r="BP288" t="s">
        <v>231</v>
      </c>
      <c r="BQ288" t="s">
        <v>231</v>
      </c>
      <c r="BR288" t="s">
        <v>231</v>
      </c>
      <c r="BS288" t="s">
        <v>231</v>
      </c>
      <c r="BT288" t="s">
        <v>231</v>
      </c>
      <c r="BU288" t="s">
        <v>231</v>
      </c>
      <c r="BV288" t="s">
        <v>231</v>
      </c>
      <c r="BW288" t="s">
        <v>231</v>
      </c>
      <c r="BX288" t="s">
        <v>231</v>
      </c>
      <c r="BY288" t="s">
        <v>231</v>
      </c>
      <c r="BZ288" t="s">
        <v>231</v>
      </c>
      <c r="CA288" t="s">
        <v>231</v>
      </c>
      <c r="CB288" t="s">
        <v>231</v>
      </c>
      <c r="CC288" t="s">
        <v>231</v>
      </c>
      <c r="CD288" t="s">
        <v>231</v>
      </c>
      <c r="CE288" t="s">
        <v>231</v>
      </c>
      <c r="CF288" t="s">
        <v>231</v>
      </c>
      <c r="CG288" t="s">
        <v>231</v>
      </c>
      <c r="CH288" t="s">
        <v>231</v>
      </c>
      <c r="CI288" t="s">
        <v>231</v>
      </c>
      <c r="CJ288" t="s">
        <v>231</v>
      </c>
      <c r="CK288" t="s">
        <v>231</v>
      </c>
      <c r="CL288" t="s">
        <v>231</v>
      </c>
      <c r="CM288" t="s">
        <v>231</v>
      </c>
      <c r="CN288" t="s">
        <v>231</v>
      </c>
      <c r="CO288" t="s">
        <v>231</v>
      </c>
      <c r="CP288" t="s">
        <v>231</v>
      </c>
      <c r="CQ288" t="s">
        <v>231</v>
      </c>
      <c r="CR288" t="s">
        <v>231</v>
      </c>
      <c r="CS288" t="s">
        <v>231</v>
      </c>
      <c r="CT288" t="s">
        <v>3534</v>
      </c>
      <c r="CU288" t="s">
        <v>3535</v>
      </c>
      <c r="CV288" t="s">
        <v>3536</v>
      </c>
      <c r="CW288" t="s">
        <v>3551</v>
      </c>
      <c r="CX288" t="s">
        <v>223</v>
      </c>
      <c r="CY288" t="s">
        <v>3536</v>
      </c>
      <c r="CZ288" t="s">
        <v>3552</v>
      </c>
      <c r="DA288" t="s">
        <v>3553</v>
      </c>
      <c r="DB288" t="s">
        <v>3551</v>
      </c>
      <c r="DC288" t="s">
        <v>363</v>
      </c>
      <c r="DD288" t="s">
        <v>282</v>
      </c>
      <c r="DE288" t="s">
        <v>4849</v>
      </c>
    </row>
    <row r="289" spans="1:109" ht="11.25" customHeight="1">
      <c r="A289" s="1314" t="s">
        <v>231</v>
      </c>
      <c r="B289" t="s">
        <v>231</v>
      </c>
      <c r="C289" t="s">
        <v>231</v>
      </c>
      <c r="D289" t="s">
        <v>231</v>
      </c>
      <c r="E289" t="s">
        <v>231</v>
      </c>
      <c r="F289" t="s">
        <v>231</v>
      </c>
      <c r="G289" t="s">
        <v>231</v>
      </c>
      <c r="H289" t="s">
        <v>231</v>
      </c>
      <c r="I289" t="s">
        <v>3521</v>
      </c>
      <c r="J289" t="s">
        <v>231</v>
      </c>
      <c r="K289" t="s">
        <v>231</v>
      </c>
      <c r="L289" t="s">
        <v>231</v>
      </c>
      <c r="M289" t="s">
        <v>231</v>
      </c>
      <c r="N289" t="s">
        <v>231</v>
      </c>
      <c r="O289" t="s">
        <v>231</v>
      </c>
      <c r="P289" t="s">
        <v>231</v>
      </c>
      <c r="Q289" t="s">
        <v>231</v>
      </c>
      <c r="R289" t="s">
        <v>4850</v>
      </c>
      <c r="S289" t="s">
        <v>231</v>
      </c>
      <c r="T289" t="s">
        <v>231</v>
      </c>
      <c r="U289" t="s">
        <v>101</v>
      </c>
      <c r="V289" t="s">
        <v>231</v>
      </c>
      <c r="W289" t="s">
        <v>231</v>
      </c>
      <c r="X289" t="s">
        <v>3628</v>
      </c>
      <c r="Y289" t="s">
        <v>231</v>
      </c>
      <c r="Z289" t="s">
        <v>151</v>
      </c>
      <c r="AA289" t="s">
        <v>151</v>
      </c>
      <c r="AB289" t="s">
        <v>160</v>
      </c>
      <c r="AC289" t="s">
        <v>343</v>
      </c>
      <c r="AD289" t="s">
        <v>343</v>
      </c>
      <c r="AE289" t="s">
        <v>344</v>
      </c>
      <c r="AF289" t="s">
        <v>3561</v>
      </c>
      <c r="AG289" t="s">
        <v>3562</v>
      </c>
      <c r="AH289" t="s">
        <v>3609</v>
      </c>
      <c r="AI289" t="s">
        <v>3610</v>
      </c>
      <c r="AJ289" t="s">
        <v>231</v>
      </c>
      <c r="AK289" t="s">
        <v>231</v>
      </c>
      <c r="AL289" t="s">
        <v>231</v>
      </c>
      <c r="AM289" t="s">
        <v>231</v>
      </c>
      <c r="AN289" t="s">
        <v>231</v>
      </c>
      <c r="AO289" t="s">
        <v>231</v>
      </c>
      <c r="AP289" t="s">
        <v>231</v>
      </c>
      <c r="AQ289" t="s">
        <v>231</v>
      </c>
      <c r="AR289" t="s">
        <v>231</v>
      </c>
      <c r="AS289" t="s">
        <v>231</v>
      </c>
      <c r="AT289" t="s">
        <v>231</v>
      </c>
      <c r="AU289" t="s">
        <v>231</v>
      </c>
      <c r="AV289" t="s">
        <v>231</v>
      </c>
      <c r="AW289" t="s">
        <v>231</v>
      </c>
      <c r="AX289" t="s">
        <v>231</v>
      </c>
      <c r="AY289" t="s">
        <v>231</v>
      </c>
      <c r="AZ289" t="s">
        <v>231</v>
      </c>
      <c r="BA289" t="s">
        <v>231</v>
      </c>
      <c r="BB289" t="s">
        <v>231</v>
      </c>
      <c r="BC289" t="s">
        <v>231</v>
      </c>
      <c r="BD289" t="s">
        <v>231</v>
      </c>
      <c r="BE289" t="s">
        <v>4851</v>
      </c>
      <c r="BF289" t="s">
        <v>4852</v>
      </c>
      <c r="BG289" t="s">
        <v>111</v>
      </c>
      <c r="BH289" t="s">
        <v>3632</v>
      </c>
      <c r="BI289" t="s">
        <v>122</v>
      </c>
      <c r="BJ289" t="s">
        <v>231</v>
      </c>
      <c r="BK289" t="s">
        <v>4853</v>
      </c>
      <c r="BL289" t="s">
        <v>343</v>
      </c>
      <c r="BM289" t="s">
        <v>343</v>
      </c>
      <c r="BN289" t="s">
        <v>3634</v>
      </c>
      <c r="BO289" t="s">
        <v>3561</v>
      </c>
      <c r="BP289" t="s">
        <v>3635</v>
      </c>
      <c r="BQ289" t="s">
        <v>3983</v>
      </c>
      <c r="BR289" t="s">
        <v>3610</v>
      </c>
      <c r="BS289" t="s">
        <v>231</v>
      </c>
      <c r="BT289" t="s">
        <v>3637</v>
      </c>
      <c r="BU289" t="s">
        <v>4854</v>
      </c>
      <c r="BV289" t="s">
        <v>4855</v>
      </c>
      <c r="BW289" t="s">
        <v>4856</v>
      </c>
      <c r="BX289" t="s">
        <v>4857</v>
      </c>
      <c r="BY289" t="s">
        <v>4858</v>
      </c>
      <c r="BZ289" t="s">
        <v>4859</v>
      </c>
      <c r="CA289" t="s">
        <v>4860</v>
      </c>
      <c r="CB289" t="s">
        <v>3641</v>
      </c>
      <c r="CC289" t="s">
        <v>3641</v>
      </c>
      <c r="CD289" t="s">
        <v>3641</v>
      </c>
      <c r="CE289" t="s">
        <v>3641</v>
      </c>
      <c r="CF289" t="s">
        <v>4860</v>
      </c>
      <c r="CG289" t="s">
        <v>4861</v>
      </c>
      <c r="CH289" t="s">
        <v>4861</v>
      </c>
      <c r="CI289" t="s">
        <v>3641</v>
      </c>
      <c r="CJ289" t="s">
        <v>3641</v>
      </c>
      <c r="CK289" t="s">
        <v>3641</v>
      </c>
      <c r="CL289" t="s">
        <v>3641</v>
      </c>
      <c r="CM289" t="s">
        <v>4862</v>
      </c>
      <c r="CN289" t="s">
        <v>4863</v>
      </c>
      <c r="CO289" t="s">
        <v>4856</v>
      </c>
      <c r="CP289" t="s">
        <v>4857</v>
      </c>
      <c r="CQ289" t="s">
        <v>4858</v>
      </c>
      <c r="CR289" t="s">
        <v>4864</v>
      </c>
      <c r="CS289" t="s">
        <v>3642</v>
      </c>
      <c r="CT289" t="s">
        <v>3534</v>
      </c>
      <c r="CU289" t="s">
        <v>3535</v>
      </c>
      <c r="CV289" t="s">
        <v>3536</v>
      </c>
      <c r="CW289" t="s">
        <v>3643</v>
      </c>
      <c r="CX289" t="s">
        <v>3570</v>
      </c>
      <c r="CY289" t="s">
        <v>3536</v>
      </c>
      <c r="CZ289" t="s">
        <v>224</v>
      </c>
      <c r="DA289" t="s">
        <v>3571</v>
      </c>
      <c r="DB289" t="s">
        <v>3643</v>
      </c>
      <c r="DC289" t="s">
        <v>363</v>
      </c>
      <c r="DD289" t="s">
        <v>282</v>
      </c>
      <c r="DE289" t="s">
        <v>3614</v>
      </c>
    </row>
    <row r="290" spans="1:109" ht="11.25" customHeight="1">
      <c r="A290" s="1314" t="s">
        <v>231</v>
      </c>
      <c r="B290" t="s">
        <v>231</v>
      </c>
      <c r="C290" t="s">
        <v>231</v>
      </c>
      <c r="D290" t="s">
        <v>231</v>
      </c>
      <c r="E290" t="s">
        <v>231</v>
      </c>
      <c r="F290" t="s">
        <v>231</v>
      </c>
      <c r="G290" t="s">
        <v>231</v>
      </c>
      <c r="H290" t="s">
        <v>231</v>
      </c>
      <c r="I290" t="s">
        <v>3521</v>
      </c>
      <c r="J290" t="s">
        <v>231</v>
      </c>
      <c r="K290" t="s">
        <v>231</v>
      </c>
      <c r="L290" t="s">
        <v>231</v>
      </c>
      <c r="M290" t="s">
        <v>231</v>
      </c>
      <c r="N290" t="s">
        <v>231</v>
      </c>
      <c r="O290" t="s">
        <v>231</v>
      </c>
      <c r="P290" t="s">
        <v>231</v>
      </c>
      <c r="Q290" t="s">
        <v>231</v>
      </c>
      <c r="R290" t="s">
        <v>4865</v>
      </c>
      <c r="S290" t="s">
        <v>231</v>
      </c>
      <c r="T290" t="s">
        <v>231</v>
      </c>
      <c r="U290" t="s">
        <v>101</v>
      </c>
      <c r="V290" t="s">
        <v>231</v>
      </c>
      <c r="W290" t="s">
        <v>231</v>
      </c>
      <c r="X290" t="s">
        <v>3628</v>
      </c>
      <c r="Y290" t="s">
        <v>231</v>
      </c>
      <c r="Z290" t="s">
        <v>151</v>
      </c>
      <c r="AA290" t="s">
        <v>151</v>
      </c>
      <c r="AB290" t="s">
        <v>160</v>
      </c>
      <c r="AC290" t="s">
        <v>343</v>
      </c>
      <c r="AD290" t="s">
        <v>343</v>
      </c>
      <c r="AE290" t="s">
        <v>344</v>
      </c>
      <c r="AF290" t="s">
        <v>3561</v>
      </c>
      <c r="AG290" t="s">
        <v>3562</v>
      </c>
      <c r="AH290" t="s">
        <v>3636</v>
      </c>
      <c r="AI290" t="s">
        <v>3575</v>
      </c>
      <c r="AJ290" t="s">
        <v>231</v>
      </c>
      <c r="AK290" t="s">
        <v>231</v>
      </c>
      <c r="AL290" t="s">
        <v>231</v>
      </c>
      <c r="AM290" t="s">
        <v>231</v>
      </c>
      <c r="AN290" t="s">
        <v>231</v>
      </c>
      <c r="AO290" t="s">
        <v>231</v>
      </c>
      <c r="AP290" t="s">
        <v>231</v>
      </c>
      <c r="AQ290" t="s">
        <v>231</v>
      </c>
      <c r="AR290" t="s">
        <v>231</v>
      </c>
      <c r="AS290" t="s">
        <v>231</v>
      </c>
      <c r="AT290" t="s">
        <v>231</v>
      </c>
      <c r="AU290" t="s">
        <v>231</v>
      </c>
      <c r="AV290" t="s">
        <v>231</v>
      </c>
      <c r="AW290" t="s">
        <v>231</v>
      </c>
      <c r="AX290" t="s">
        <v>231</v>
      </c>
      <c r="AY290" t="s">
        <v>231</v>
      </c>
      <c r="AZ290" t="s">
        <v>231</v>
      </c>
      <c r="BA290" t="s">
        <v>231</v>
      </c>
      <c r="BB290" t="s">
        <v>231</v>
      </c>
      <c r="BC290" t="s">
        <v>231</v>
      </c>
      <c r="BD290" t="s">
        <v>231</v>
      </c>
      <c r="BE290" t="s">
        <v>3646</v>
      </c>
      <c r="BF290" t="s">
        <v>4866</v>
      </c>
      <c r="BG290" t="s">
        <v>111</v>
      </c>
      <c r="BH290" t="s">
        <v>3632</v>
      </c>
      <c r="BI290" t="s">
        <v>122</v>
      </c>
      <c r="BJ290" t="s">
        <v>231</v>
      </c>
      <c r="BK290" t="s">
        <v>4867</v>
      </c>
      <c r="BL290" t="s">
        <v>343</v>
      </c>
      <c r="BM290" t="s">
        <v>343</v>
      </c>
      <c r="BN290" t="s">
        <v>3634</v>
      </c>
      <c r="BO290" t="s">
        <v>3561</v>
      </c>
      <c r="BP290" t="s">
        <v>3635</v>
      </c>
      <c r="BQ290" t="s">
        <v>3636</v>
      </c>
      <c r="BR290" t="s">
        <v>3575</v>
      </c>
      <c r="BS290" t="s">
        <v>231</v>
      </c>
      <c r="BT290" t="s">
        <v>3637</v>
      </c>
      <c r="BU290" t="s">
        <v>4868</v>
      </c>
      <c r="BV290" t="s">
        <v>4869</v>
      </c>
      <c r="BW290" t="s">
        <v>4870</v>
      </c>
      <c r="BX290" t="s">
        <v>4871</v>
      </c>
      <c r="BY290" t="s">
        <v>3641</v>
      </c>
      <c r="BZ290" t="s">
        <v>3641</v>
      </c>
      <c r="CA290" t="s">
        <v>4872</v>
      </c>
      <c r="CB290" t="s">
        <v>3641</v>
      </c>
      <c r="CC290" t="s">
        <v>4872</v>
      </c>
      <c r="CD290" t="s">
        <v>3641</v>
      </c>
      <c r="CE290" t="s">
        <v>3641</v>
      </c>
      <c r="CF290" t="s">
        <v>3641</v>
      </c>
      <c r="CG290" t="s">
        <v>3641</v>
      </c>
      <c r="CH290" t="s">
        <v>3641</v>
      </c>
      <c r="CI290" t="s">
        <v>3641</v>
      </c>
      <c r="CJ290" t="s">
        <v>3641</v>
      </c>
      <c r="CK290" t="s">
        <v>3641</v>
      </c>
      <c r="CL290" t="s">
        <v>3641</v>
      </c>
      <c r="CM290" t="s">
        <v>4873</v>
      </c>
      <c r="CN290" t="s">
        <v>4869</v>
      </c>
      <c r="CO290" t="s">
        <v>4874</v>
      </c>
      <c r="CP290" t="s">
        <v>4871</v>
      </c>
      <c r="CQ290" t="s">
        <v>3641</v>
      </c>
      <c r="CR290" t="s">
        <v>3641</v>
      </c>
      <c r="CS290" t="s">
        <v>3642</v>
      </c>
      <c r="CT290" t="s">
        <v>3534</v>
      </c>
      <c r="CU290" t="s">
        <v>3535</v>
      </c>
      <c r="CV290" t="s">
        <v>3536</v>
      </c>
      <c r="CW290" t="s">
        <v>3643</v>
      </c>
      <c r="CX290" t="s">
        <v>3570</v>
      </c>
      <c r="CY290" t="s">
        <v>3536</v>
      </c>
      <c r="CZ290" t="s">
        <v>224</v>
      </c>
      <c r="DA290" t="s">
        <v>3571</v>
      </c>
      <c r="DB290" t="s">
        <v>3643</v>
      </c>
      <c r="DC290" t="s">
        <v>363</v>
      </c>
      <c r="DD290" t="s">
        <v>282</v>
      </c>
      <c r="DE290" t="s">
        <v>3650</v>
      </c>
    </row>
    <row r="291" spans="1:109" ht="11.25" customHeight="1">
      <c r="A291" s="1314" t="s">
        <v>231</v>
      </c>
      <c r="B291" t="s">
        <v>231</v>
      </c>
      <c r="C291" t="s">
        <v>231</v>
      </c>
      <c r="D291" t="s">
        <v>231</v>
      </c>
      <c r="E291" t="s">
        <v>231</v>
      </c>
      <c r="F291" t="s">
        <v>231</v>
      </c>
      <c r="G291" t="s">
        <v>231</v>
      </c>
      <c r="H291" t="s">
        <v>231</v>
      </c>
      <c r="I291" t="s">
        <v>3521</v>
      </c>
      <c r="J291" t="s">
        <v>231</v>
      </c>
      <c r="K291" t="s">
        <v>231</v>
      </c>
      <c r="L291" t="s">
        <v>231</v>
      </c>
      <c r="M291" t="s">
        <v>231</v>
      </c>
      <c r="N291" t="s">
        <v>231</v>
      </c>
      <c r="O291" t="s">
        <v>231</v>
      </c>
      <c r="P291" t="s">
        <v>231</v>
      </c>
      <c r="Q291" t="s">
        <v>231</v>
      </c>
      <c r="R291" t="s">
        <v>4426</v>
      </c>
      <c r="S291" t="s">
        <v>231</v>
      </c>
      <c r="T291" t="s">
        <v>231</v>
      </c>
      <c r="U291" t="s">
        <v>101</v>
      </c>
      <c r="V291" t="s">
        <v>231</v>
      </c>
      <c r="W291" t="s">
        <v>231</v>
      </c>
      <c r="X291" t="s">
        <v>3523</v>
      </c>
      <c r="Y291" t="s">
        <v>231</v>
      </c>
      <c r="Z291" t="s">
        <v>160</v>
      </c>
      <c r="AA291" t="s">
        <v>151</v>
      </c>
      <c r="AB291" t="s">
        <v>151</v>
      </c>
      <c r="AC291" t="s">
        <v>343</v>
      </c>
      <c r="AD291" t="s">
        <v>343</v>
      </c>
      <c r="AE291" t="s">
        <v>344</v>
      </c>
      <c r="AF291" t="s">
        <v>3561</v>
      </c>
      <c r="AG291" t="s">
        <v>3562</v>
      </c>
      <c r="AH291" t="s">
        <v>4875</v>
      </c>
      <c r="AI291" t="s">
        <v>3575</v>
      </c>
      <c r="AJ291" t="s">
        <v>4876</v>
      </c>
      <c r="AK291" t="s">
        <v>4427</v>
      </c>
      <c r="AL291" t="s">
        <v>3648</v>
      </c>
      <c r="AM291" t="s">
        <v>3531</v>
      </c>
      <c r="AN291" t="s">
        <v>4877</v>
      </c>
      <c r="AO291" t="s">
        <v>4040</v>
      </c>
      <c r="AP291" t="s">
        <v>231</v>
      </c>
      <c r="AQ291" t="s">
        <v>231</v>
      </c>
      <c r="AR291" t="s">
        <v>231</v>
      </c>
      <c r="AS291" t="s">
        <v>231</v>
      </c>
      <c r="AT291" t="s">
        <v>231</v>
      </c>
      <c r="AU291" t="s">
        <v>231</v>
      </c>
      <c r="AV291" t="s">
        <v>231</v>
      </c>
      <c r="AW291" t="s">
        <v>231</v>
      </c>
      <c r="AX291" t="s">
        <v>231</v>
      </c>
      <c r="AY291" t="s">
        <v>231</v>
      </c>
      <c r="AZ291" t="s">
        <v>231</v>
      </c>
      <c r="BA291" t="s">
        <v>231</v>
      </c>
      <c r="BB291" t="s">
        <v>231</v>
      </c>
      <c r="BC291" t="s">
        <v>231</v>
      </c>
      <c r="BD291" t="s">
        <v>231</v>
      </c>
      <c r="BE291" t="s">
        <v>231</v>
      </c>
      <c r="BF291" t="s">
        <v>231</v>
      </c>
      <c r="BG291" t="s">
        <v>231</v>
      </c>
      <c r="BH291" t="s">
        <v>231</v>
      </c>
      <c r="BI291" t="s">
        <v>231</v>
      </c>
      <c r="BJ291" t="s">
        <v>231</v>
      </c>
      <c r="BK291" t="s">
        <v>231</v>
      </c>
      <c r="BL291" t="s">
        <v>231</v>
      </c>
      <c r="BM291" t="s">
        <v>231</v>
      </c>
      <c r="BN291" t="s">
        <v>231</v>
      </c>
      <c r="BO291" t="s">
        <v>231</v>
      </c>
      <c r="BP291" t="s">
        <v>231</v>
      </c>
      <c r="BQ291" t="s">
        <v>231</v>
      </c>
      <c r="BR291" t="s">
        <v>231</v>
      </c>
      <c r="BS291" t="s">
        <v>231</v>
      </c>
      <c r="BT291" t="s">
        <v>231</v>
      </c>
      <c r="BU291" t="s">
        <v>231</v>
      </c>
      <c r="BV291" t="s">
        <v>231</v>
      </c>
      <c r="BW291" t="s">
        <v>231</v>
      </c>
      <c r="BX291" t="s">
        <v>231</v>
      </c>
      <c r="BY291" t="s">
        <v>231</v>
      </c>
      <c r="BZ291" t="s">
        <v>231</v>
      </c>
      <c r="CA291" t="s">
        <v>231</v>
      </c>
      <c r="CB291" t="s">
        <v>231</v>
      </c>
      <c r="CC291" t="s">
        <v>231</v>
      </c>
      <c r="CD291" t="s">
        <v>231</v>
      </c>
      <c r="CE291" t="s">
        <v>231</v>
      </c>
      <c r="CF291" t="s">
        <v>231</v>
      </c>
      <c r="CG291" t="s">
        <v>231</v>
      </c>
      <c r="CH291" t="s">
        <v>231</v>
      </c>
      <c r="CI291" t="s">
        <v>231</v>
      </c>
      <c r="CJ291" t="s">
        <v>231</v>
      </c>
      <c r="CK291" t="s">
        <v>231</v>
      </c>
      <c r="CL291" t="s">
        <v>231</v>
      </c>
      <c r="CM291" t="s">
        <v>231</v>
      </c>
      <c r="CN291" t="s">
        <v>231</v>
      </c>
      <c r="CO291" t="s">
        <v>231</v>
      </c>
      <c r="CP291" t="s">
        <v>231</v>
      </c>
      <c r="CQ291" t="s">
        <v>231</v>
      </c>
      <c r="CR291" t="s">
        <v>231</v>
      </c>
      <c r="CS291" t="s">
        <v>231</v>
      </c>
      <c r="CT291" t="s">
        <v>3534</v>
      </c>
      <c r="CU291" t="s">
        <v>3535</v>
      </c>
      <c r="CV291" t="s">
        <v>3536</v>
      </c>
      <c r="CW291" t="s">
        <v>3569</v>
      </c>
      <c r="CX291" t="s">
        <v>3570</v>
      </c>
      <c r="CY291" t="s">
        <v>3536</v>
      </c>
      <c r="CZ291" t="s">
        <v>224</v>
      </c>
      <c r="DA291" t="s">
        <v>3571</v>
      </c>
      <c r="DB291" t="s">
        <v>3569</v>
      </c>
      <c r="DC291" t="s">
        <v>363</v>
      </c>
      <c r="DD291" t="s">
        <v>282</v>
      </c>
      <c r="DE291" t="s">
        <v>4878</v>
      </c>
    </row>
    <row r="292" spans="1:109" ht="11.25" customHeight="1">
      <c r="A292" s="1314" t="s">
        <v>231</v>
      </c>
      <c r="B292" t="s">
        <v>231</v>
      </c>
      <c r="C292" t="s">
        <v>231</v>
      </c>
      <c r="D292" t="s">
        <v>231</v>
      </c>
      <c r="E292" t="s">
        <v>231</v>
      </c>
      <c r="F292" t="s">
        <v>231</v>
      </c>
      <c r="G292" t="s">
        <v>231</v>
      </c>
      <c r="H292" t="s">
        <v>231</v>
      </c>
      <c r="I292" t="s">
        <v>3521</v>
      </c>
      <c r="J292" t="s">
        <v>231</v>
      </c>
      <c r="K292" t="s">
        <v>231</v>
      </c>
      <c r="L292" t="s">
        <v>231</v>
      </c>
      <c r="M292" t="s">
        <v>231</v>
      </c>
      <c r="N292" t="s">
        <v>231</v>
      </c>
      <c r="O292" t="s">
        <v>231</v>
      </c>
      <c r="P292" t="s">
        <v>231</v>
      </c>
      <c r="Q292" t="s">
        <v>231</v>
      </c>
      <c r="R292" t="s">
        <v>3685</v>
      </c>
      <c r="S292" t="s">
        <v>231</v>
      </c>
      <c r="T292" t="s">
        <v>231</v>
      </c>
      <c r="U292" t="s">
        <v>101</v>
      </c>
      <c r="V292" t="s">
        <v>231</v>
      </c>
      <c r="W292" t="s">
        <v>231</v>
      </c>
      <c r="X292" t="s">
        <v>3628</v>
      </c>
      <c r="Y292" t="s">
        <v>231</v>
      </c>
      <c r="Z292" t="s">
        <v>151</v>
      </c>
      <c r="AA292" t="s">
        <v>151</v>
      </c>
      <c r="AB292" t="s">
        <v>160</v>
      </c>
      <c r="AC292" t="s">
        <v>2262</v>
      </c>
      <c r="AD292" t="s">
        <v>2262</v>
      </c>
      <c r="AE292" t="s">
        <v>2264</v>
      </c>
      <c r="AF292" t="s">
        <v>4879</v>
      </c>
      <c r="AG292" t="s">
        <v>4880</v>
      </c>
      <c r="AH292" t="s">
        <v>4881</v>
      </c>
      <c r="AI292" t="s">
        <v>3618</v>
      </c>
      <c r="AJ292" t="s">
        <v>231</v>
      </c>
      <c r="AK292" t="s">
        <v>231</v>
      </c>
      <c r="AL292" t="s">
        <v>231</v>
      </c>
      <c r="AM292" t="s">
        <v>231</v>
      </c>
      <c r="AN292" t="s">
        <v>231</v>
      </c>
      <c r="AO292" t="s">
        <v>231</v>
      </c>
      <c r="AP292" t="s">
        <v>231</v>
      </c>
      <c r="AQ292" t="s">
        <v>231</v>
      </c>
      <c r="AR292" t="s">
        <v>231</v>
      </c>
      <c r="AS292" t="s">
        <v>231</v>
      </c>
      <c r="AT292" t="s">
        <v>231</v>
      </c>
      <c r="AU292" t="s">
        <v>231</v>
      </c>
      <c r="AV292" t="s">
        <v>231</v>
      </c>
      <c r="AW292" t="s">
        <v>231</v>
      </c>
      <c r="AX292" t="s">
        <v>231</v>
      </c>
      <c r="AY292" t="s">
        <v>231</v>
      </c>
      <c r="AZ292" t="s">
        <v>231</v>
      </c>
      <c r="BA292" t="s">
        <v>231</v>
      </c>
      <c r="BB292" t="s">
        <v>231</v>
      </c>
      <c r="BC292" t="s">
        <v>231</v>
      </c>
      <c r="BD292" t="s">
        <v>231</v>
      </c>
      <c r="BE292" t="s">
        <v>4882</v>
      </c>
      <c r="BF292" t="s">
        <v>4883</v>
      </c>
      <c r="BG292" t="s">
        <v>111</v>
      </c>
      <c r="BH292" t="s">
        <v>3632</v>
      </c>
      <c r="BI292" t="s">
        <v>122</v>
      </c>
      <c r="BJ292" t="s">
        <v>231</v>
      </c>
      <c r="BK292" t="s">
        <v>3618</v>
      </c>
      <c r="BL292" t="s">
        <v>2262</v>
      </c>
      <c r="BM292" t="s">
        <v>2262</v>
      </c>
      <c r="BN292" t="s">
        <v>4884</v>
      </c>
      <c r="BO292" t="s">
        <v>4879</v>
      </c>
      <c r="BP292" t="s">
        <v>4885</v>
      </c>
      <c r="BQ292" t="s">
        <v>4881</v>
      </c>
      <c r="BR292" t="s">
        <v>3618</v>
      </c>
      <c r="BS292" t="s">
        <v>231</v>
      </c>
      <c r="BT292" t="s">
        <v>3694</v>
      </c>
      <c r="BU292" t="s">
        <v>4886</v>
      </c>
      <c r="BV292" t="s">
        <v>4887</v>
      </c>
      <c r="BW292" t="s">
        <v>3641</v>
      </c>
      <c r="BX292" t="s">
        <v>4888</v>
      </c>
      <c r="BY292" t="s">
        <v>3641</v>
      </c>
      <c r="BZ292" t="s">
        <v>4889</v>
      </c>
      <c r="CA292" t="s">
        <v>3641</v>
      </c>
      <c r="CB292" t="s">
        <v>231</v>
      </c>
      <c r="CC292" t="s">
        <v>231</v>
      </c>
      <c r="CD292" t="s">
        <v>231</v>
      </c>
      <c r="CE292" t="s">
        <v>231</v>
      </c>
      <c r="CF292" t="s">
        <v>231</v>
      </c>
      <c r="CG292" t="s">
        <v>3641</v>
      </c>
      <c r="CH292" t="s">
        <v>231</v>
      </c>
      <c r="CI292" t="s">
        <v>231</v>
      </c>
      <c r="CJ292" t="s">
        <v>231</v>
      </c>
      <c r="CK292" t="s">
        <v>231</v>
      </c>
      <c r="CL292" t="s">
        <v>231</v>
      </c>
      <c r="CM292" t="s">
        <v>4886</v>
      </c>
      <c r="CN292" t="s">
        <v>4887</v>
      </c>
      <c r="CO292" t="s">
        <v>3641</v>
      </c>
      <c r="CP292" t="s">
        <v>4888</v>
      </c>
      <c r="CQ292" t="s">
        <v>3641</v>
      </c>
      <c r="CR292" t="s">
        <v>4889</v>
      </c>
      <c r="CS292" t="s">
        <v>4155</v>
      </c>
      <c r="CT292" t="s">
        <v>3534</v>
      </c>
      <c r="CU292" t="s">
        <v>3535</v>
      </c>
      <c r="CV292" t="s">
        <v>3536</v>
      </c>
      <c r="CW292" t="s">
        <v>4890</v>
      </c>
      <c r="CX292" t="s">
        <v>223</v>
      </c>
      <c r="CY292" t="s">
        <v>3536</v>
      </c>
      <c r="CZ292" t="s">
        <v>321</v>
      </c>
      <c r="DA292" t="s">
        <v>3539</v>
      </c>
      <c r="DB292" t="s">
        <v>4891</v>
      </c>
      <c r="DC292" t="s">
        <v>363</v>
      </c>
      <c r="DD292" t="s">
        <v>282</v>
      </c>
      <c r="DE292" t="s">
        <v>4892</v>
      </c>
    </row>
    <row r="293" spans="1:109" ht="11.25" customHeight="1">
      <c r="A293" s="1314" t="s">
        <v>231</v>
      </c>
      <c r="B293" t="s">
        <v>231</v>
      </c>
      <c r="C293" t="s">
        <v>231</v>
      </c>
      <c r="D293" t="s">
        <v>231</v>
      </c>
      <c r="E293" t="s">
        <v>231</v>
      </c>
      <c r="F293" t="s">
        <v>231</v>
      </c>
      <c r="G293" t="s">
        <v>231</v>
      </c>
      <c r="H293" t="s">
        <v>231</v>
      </c>
      <c r="I293" t="s">
        <v>3521</v>
      </c>
      <c r="J293" t="s">
        <v>231</v>
      </c>
      <c r="K293" t="s">
        <v>231</v>
      </c>
      <c r="L293" t="s">
        <v>231</v>
      </c>
      <c r="M293" t="s">
        <v>231</v>
      </c>
      <c r="N293" t="s">
        <v>231</v>
      </c>
      <c r="O293" t="s">
        <v>231</v>
      </c>
      <c r="P293" t="s">
        <v>231</v>
      </c>
      <c r="Q293" t="s">
        <v>231</v>
      </c>
      <c r="R293" t="s">
        <v>4893</v>
      </c>
      <c r="S293" t="s">
        <v>231</v>
      </c>
      <c r="T293" t="s">
        <v>231</v>
      </c>
      <c r="U293" t="s">
        <v>101</v>
      </c>
      <c r="V293" t="s">
        <v>231</v>
      </c>
      <c r="W293" t="s">
        <v>231</v>
      </c>
      <c r="X293" t="s">
        <v>3628</v>
      </c>
      <c r="Y293" t="s">
        <v>231</v>
      </c>
      <c r="Z293" t="s">
        <v>151</v>
      </c>
      <c r="AA293" t="s">
        <v>151</v>
      </c>
      <c r="AB293" t="s">
        <v>160</v>
      </c>
      <c r="AC293" t="s">
        <v>2289</v>
      </c>
      <c r="AD293" t="s">
        <v>2289</v>
      </c>
      <c r="AE293" t="s">
        <v>2290</v>
      </c>
      <c r="AF293" t="s">
        <v>3930</v>
      </c>
      <c r="AG293" t="s">
        <v>3931</v>
      </c>
      <c r="AH293" t="s">
        <v>3618</v>
      </c>
      <c r="AI293" t="s">
        <v>3618</v>
      </c>
      <c r="AJ293" t="s">
        <v>231</v>
      </c>
      <c r="AK293" t="s">
        <v>231</v>
      </c>
      <c r="AL293" t="s">
        <v>231</v>
      </c>
      <c r="AM293" t="s">
        <v>231</v>
      </c>
      <c r="AN293" t="s">
        <v>231</v>
      </c>
      <c r="AO293" t="s">
        <v>231</v>
      </c>
      <c r="AP293" t="s">
        <v>231</v>
      </c>
      <c r="AQ293" t="s">
        <v>231</v>
      </c>
      <c r="AR293" t="s">
        <v>231</v>
      </c>
      <c r="AS293" t="s">
        <v>231</v>
      </c>
      <c r="AT293" t="s">
        <v>231</v>
      </c>
      <c r="AU293" t="s">
        <v>231</v>
      </c>
      <c r="AV293" t="s">
        <v>231</v>
      </c>
      <c r="AW293" t="s">
        <v>231</v>
      </c>
      <c r="AX293" t="s">
        <v>231</v>
      </c>
      <c r="AY293" t="s">
        <v>231</v>
      </c>
      <c r="AZ293" t="s">
        <v>231</v>
      </c>
      <c r="BA293" t="s">
        <v>231</v>
      </c>
      <c r="BB293" t="s">
        <v>231</v>
      </c>
      <c r="BC293" t="s">
        <v>231</v>
      </c>
      <c r="BD293" t="s">
        <v>231</v>
      </c>
      <c r="BE293" t="s">
        <v>3594</v>
      </c>
      <c r="BF293" t="s">
        <v>3820</v>
      </c>
      <c r="BG293" t="s">
        <v>111</v>
      </c>
      <c r="BH293" t="s">
        <v>3632</v>
      </c>
      <c r="BI293" t="s">
        <v>122</v>
      </c>
      <c r="BJ293" t="s">
        <v>231</v>
      </c>
      <c r="BK293" t="s">
        <v>3651</v>
      </c>
      <c r="BL293" t="s">
        <v>2289</v>
      </c>
      <c r="BM293" t="s">
        <v>2289</v>
      </c>
      <c r="BN293" t="s">
        <v>3707</v>
      </c>
      <c r="BO293" t="s">
        <v>3930</v>
      </c>
      <c r="BP293" t="s">
        <v>4894</v>
      </c>
      <c r="BQ293" t="s">
        <v>3618</v>
      </c>
      <c r="BR293" t="s">
        <v>3618</v>
      </c>
      <c r="BS293" t="s">
        <v>231</v>
      </c>
      <c r="BT293" t="s">
        <v>3694</v>
      </c>
      <c r="BU293" t="s">
        <v>4895</v>
      </c>
      <c r="BV293" t="s">
        <v>4895</v>
      </c>
      <c r="BW293" t="s">
        <v>3641</v>
      </c>
      <c r="BX293" t="s">
        <v>3641</v>
      </c>
      <c r="BY293" t="s">
        <v>3641</v>
      </c>
      <c r="BZ293" t="s">
        <v>3641</v>
      </c>
      <c r="CA293" t="s">
        <v>3641</v>
      </c>
      <c r="CB293" t="s">
        <v>231</v>
      </c>
      <c r="CC293" t="s">
        <v>231</v>
      </c>
      <c r="CD293" t="s">
        <v>231</v>
      </c>
      <c r="CE293" t="s">
        <v>231</v>
      </c>
      <c r="CF293" t="s">
        <v>231</v>
      </c>
      <c r="CG293" t="s">
        <v>3641</v>
      </c>
      <c r="CH293" t="s">
        <v>231</v>
      </c>
      <c r="CI293" t="s">
        <v>231</v>
      </c>
      <c r="CJ293" t="s">
        <v>231</v>
      </c>
      <c r="CK293" t="s">
        <v>231</v>
      </c>
      <c r="CL293" t="s">
        <v>231</v>
      </c>
      <c r="CM293" t="s">
        <v>4895</v>
      </c>
      <c r="CN293" t="s">
        <v>4895</v>
      </c>
      <c r="CO293" t="s">
        <v>231</v>
      </c>
      <c r="CP293" t="s">
        <v>231</v>
      </c>
      <c r="CQ293" t="s">
        <v>231</v>
      </c>
      <c r="CR293" t="s">
        <v>231</v>
      </c>
      <c r="CS293" t="s">
        <v>3710</v>
      </c>
      <c r="CT293" t="s">
        <v>3534</v>
      </c>
      <c r="CU293" t="s">
        <v>3535</v>
      </c>
      <c r="CV293" t="s">
        <v>3536</v>
      </c>
      <c r="CW293" t="s">
        <v>3589</v>
      </c>
      <c r="CX293" t="s">
        <v>223</v>
      </c>
      <c r="CY293" t="s">
        <v>3536</v>
      </c>
      <c r="CZ293" t="s">
        <v>3590</v>
      </c>
      <c r="DA293" t="s">
        <v>3591</v>
      </c>
      <c r="DB293" t="s">
        <v>3589</v>
      </c>
      <c r="DC293" t="s">
        <v>363</v>
      </c>
      <c r="DD293" t="s">
        <v>282</v>
      </c>
      <c r="DE293" t="s">
        <v>4896</v>
      </c>
    </row>
    <row r="294" spans="1:109" ht="11.25" customHeight="1">
      <c r="A294" s="1314" t="s">
        <v>231</v>
      </c>
      <c r="B294" t="s">
        <v>231</v>
      </c>
      <c r="C294" t="s">
        <v>231</v>
      </c>
      <c r="D294" t="s">
        <v>231</v>
      </c>
      <c r="E294" t="s">
        <v>231</v>
      </c>
      <c r="F294" t="s">
        <v>231</v>
      </c>
      <c r="G294" t="s">
        <v>231</v>
      </c>
      <c r="H294" t="s">
        <v>231</v>
      </c>
      <c r="I294" t="s">
        <v>3521</v>
      </c>
      <c r="J294" t="s">
        <v>231</v>
      </c>
      <c r="K294" t="s">
        <v>231</v>
      </c>
      <c r="L294" t="s">
        <v>231</v>
      </c>
      <c r="M294" t="s">
        <v>231</v>
      </c>
      <c r="N294" t="s">
        <v>231</v>
      </c>
      <c r="O294" t="s">
        <v>231</v>
      </c>
      <c r="P294" t="s">
        <v>231</v>
      </c>
      <c r="Q294" t="s">
        <v>231</v>
      </c>
      <c r="R294" t="s">
        <v>4897</v>
      </c>
      <c r="S294" t="s">
        <v>231</v>
      </c>
      <c r="T294" t="s">
        <v>231</v>
      </c>
      <c r="U294" t="s">
        <v>101</v>
      </c>
      <c r="V294" t="s">
        <v>231</v>
      </c>
      <c r="W294" t="s">
        <v>231</v>
      </c>
      <c r="X294" t="s">
        <v>3628</v>
      </c>
      <c r="Y294" t="s">
        <v>231</v>
      </c>
      <c r="Z294" t="s">
        <v>151</v>
      </c>
      <c r="AA294" t="s">
        <v>151</v>
      </c>
      <c r="AB294" t="s">
        <v>160</v>
      </c>
      <c r="AC294" t="s">
        <v>2289</v>
      </c>
      <c r="AD294" t="s">
        <v>2289</v>
      </c>
      <c r="AE294" t="s">
        <v>2290</v>
      </c>
      <c r="AF294" t="s">
        <v>3930</v>
      </c>
      <c r="AG294" t="s">
        <v>3931</v>
      </c>
      <c r="AH294" t="s">
        <v>3618</v>
      </c>
      <c r="AI294" t="s">
        <v>3618</v>
      </c>
      <c r="AJ294" t="s">
        <v>231</v>
      </c>
      <c r="AK294" t="s">
        <v>231</v>
      </c>
      <c r="AL294" t="s">
        <v>231</v>
      </c>
      <c r="AM294" t="s">
        <v>231</v>
      </c>
      <c r="AN294" t="s">
        <v>231</v>
      </c>
      <c r="AO294" t="s">
        <v>231</v>
      </c>
      <c r="AP294" t="s">
        <v>231</v>
      </c>
      <c r="AQ294" t="s">
        <v>231</v>
      </c>
      <c r="AR294" t="s">
        <v>231</v>
      </c>
      <c r="AS294" t="s">
        <v>231</v>
      </c>
      <c r="AT294" t="s">
        <v>231</v>
      </c>
      <c r="AU294" t="s">
        <v>231</v>
      </c>
      <c r="AV294" t="s">
        <v>231</v>
      </c>
      <c r="AW294" t="s">
        <v>231</v>
      </c>
      <c r="AX294" t="s">
        <v>231</v>
      </c>
      <c r="AY294" t="s">
        <v>231</v>
      </c>
      <c r="AZ294" t="s">
        <v>231</v>
      </c>
      <c r="BA294" t="s">
        <v>231</v>
      </c>
      <c r="BB294" t="s">
        <v>231</v>
      </c>
      <c r="BC294" t="s">
        <v>231</v>
      </c>
      <c r="BD294" t="s">
        <v>231</v>
      </c>
      <c r="BE294" t="s">
        <v>3594</v>
      </c>
      <c r="BF294" t="s">
        <v>3820</v>
      </c>
      <c r="BG294" t="s">
        <v>111</v>
      </c>
      <c r="BH294" t="s">
        <v>3632</v>
      </c>
      <c r="BI294" t="s">
        <v>122</v>
      </c>
      <c r="BJ294" t="s">
        <v>231</v>
      </c>
      <c r="BK294" t="s">
        <v>3651</v>
      </c>
      <c r="BL294" t="s">
        <v>2289</v>
      </c>
      <c r="BM294" t="s">
        <v>2289</v>
      </c>
      <c r="BN294" t="s">
        <v>3707</v>
      </c>
      <c r="BO294" t="s">
        <v>3930</v>
      </c>
      <c r="BP294" t="s">
        <v>4894</v>
      </c>
      <c r="BQ294" t="s">
        <v>3618</v>
      </c>
      <c r="BR294" t="s">
        <v>3618</v>
      </c>
      <c r="BS294" t="s">
        <v>231</v>
      </c>
      <c r="BT294" t="s">
        <v>4205</v>
      </c>
      <c r="BU294" t="s">
        <v>4898</v>
      </c>
      <c r="BV294" t="s">
        <v>4898</v>
      </c>
      <c r="BW294" t="s">
        <v>3641</v>
      </c>
      <c r="BX294" t="s">
        <v>3641</v>
      </c>
      <c r="BY294" t="s">
        <v>3641</v>
      </c>
      <c r="BZ294" t="s">
        <v>3641</v>
      </c>
      <c r="CA294" t="s">
        <v>3641</v>
      </c>
      <c r="CB294" t="s">
        <v>231</v>
      </c>
      <c r="CC294" t="s">
        <v>231</v>
      </c>
      <c r="CD294" t="s">
        <v>231</v>
      </c>
      <c r="CE294" t="s">
        <v>231</v>
      </c>
      <c r="CF294" t="s">
        <v>231</v>
      </c>
      <c r="CG294" t="s">
        <v>3641</v>
      </c>
      <c r="CH294" t="s">
        <v>231</v>
      </c>
      <c r="CI294" t="s">
        <v>231</v>
      </c>
      <c r="CJ294" t="s">
        <v>231</v>
      </c>
      <c r="CK294" t="s">
        <v>231</v>
      </c>
      <c r="CL294" t="s">
        <v>231</v>
      </c>
      <c r="CM294" t="s">
        <v>4898</v>
      </c>
      <c r="CN294" t="s">
        <v>4898</v>
      </c>
      <c r="CO294" t="s">
        <v>231</v>
      </c>
      <c r="CP294" t="s">
        <v>231</v>
      </c>
      <c r="CQ294" t="s">
        <v>231</v>
      </c>
      <c r="CR294" t="s">
        <v>231</v>
      </c>
      <c r="CS294" t="s">
        <v>3710</v>
      </c>
      <c r="CT294" t="s">
        <v>3534</v>
      </c>
      <c r="CU294" t="s">
        <v>3535</v>
      </c>
      <c r="CV294" t="s">
        <v>3536</v>
      </c>
      <c r="CW294" t="s">
        <v>3589</v>
      </c>
      <c r="CX294" t="s">
        <v>223</v>
      </c>
      <c r="CY294" t="s">
        <v>3536</v>
      </c>
      <c r="CZ294" t="s">
        <v>3590</v>
      </c>
      <c r="DA294" t="s">
        <v>3591</v>
      </c>
      <c r="DB294" t="s">
        <v>3589</v>
      </c>
      <c r="DC294" t="s">
        <v>363</v>
      </c>
      <c r="DD294" t="s">
        <v>282</v>
      </c>
      <c r="DE294" t="s">
        <v>4896</v>
      </c>
    </row>
    <row r="295" spans="1:109" ht="11.25" customHeight="1">
      <c r="A295" s="1314" t="s">
        <v>231</v>
      </c>
      <c r="B295" t="s">
        <v>231</v>
      </c>
      <c r="C295" t="s">
        <v>231</v>
      </c>
      <c r="D295" t="s">
        <v>231</v>
      </c>
      <c r="E295" t="s">
        <v>231</v>
      </c>
      <c r="F295" t="s">
        <v>231</v>
      </c>
      <c r="G295" t="s">
        <v>231</v>
      </c>
      <c r="H295" t="s">
        <v>231</v>
      </c>
      <c r="I295" t="s">
        <v>3521</v>
      </c>
      <c r="J295" t="s">
        <v>231</v>
      </c>
      <c r="K295" t="s">
        <v>231</v>
      </c>
      <c r="L295" t="s">
        <v>231</v>
      </c>
      <c r="M295" t="s">
        <v>231</v>
      </c>
      <c r="N295" t="s">
        <v>231</v>
      </c>
      <c r="O295" t="s">
        <v>231</v>
      </c>
      <c r="P295" t="s">
        <v>231</v>
      </c>
      <c r="Q295" t="s">
        <v>231</v>
      </c>
      <c r="R295" t="s">
        <v>3555</v>
      </c>
      <c r="S295" t="s">
        <v>231</v>
      </c>
      <c r="T295" t="s">
        <v>231</v>
      </c>
      <c r="U295" t="s">
        <v>101</v>
      </c>
      <c r="V295" t="s">
        <v>231</v>
      </c>
      <c r="W295" t="s">
        <v>231</v>
      </c>
      <c r="X295" t="s">
        <v>3523</v>
      </c>
      <c r="Y295" t="s">
        <v>231</v>
      </c>
      <c r="Z295" t="s">
        <v>160</v>
      </c>
      <c r="AA295" t="s">
        <v>151</v>
      </c>
      <c r="AB295" t="s">
        <v>151</v>
      </c>
      <c r="AC295" t="s">
        <v>2289</v>
      </c>
      <c r="AD295" t="s">
        <v>2289</v>
      </c>
      <c r="AE295" t="s">
        <v>2290</v>
      </c>
      <c r="AF295" t="s">
        <v>3930</v>
      </c>
      <c r="AG295" t="s">
        <v>3931</v>
      </c>
      <c r="AH295" t="s">
        <v>4439</v>
      </c>
      <c r="AI295" t="s">
        <v>4613</v>
      </c>
      <c r="AJ295" t="s">
        <v>3594</v>
      </c>
      <c r="AK295" t="s">
        <v>3820</v>
      </c>
      <c r="AL295" t="s">
        <v>3548</v>
      </c>
      <c r="AM295" t="s">
        <v>3531</v>
      </c>
      <c r="AN295" t="s">
        <v>3595</v>
      </c>
      <c r="AO295" t="s">
        <v>3790</v>
      </c>
      <c r="AP295" t="s">
        <v>231</v>
      </c>
      <c r="AQ295" t="s">
        <v>231</v>
      </c>
      <c r="AR295" t="s">
        <v>231</v>
      </c>
      <c r="AS295" t="s">
        <v>231</v>
      </c>
      <c r="AT295" t="s">
        <v>231</v>
      </c>
      <c r="AU295" t="s">
        <v>231</v>
      </c>
      <c r="AV295" t="s">
        <v>231</v>
      </c>
      <c r="AW295" t="s">
        <v>231</v>
      </c>
      <c r="AX295" t="s">
        <v>231</v>
      </c>
      <c r="AY295" t="s">
        <v>231</v>
      </c>
      <c r="AZ295" t="s">
        <v>231</v>
      </c>
      <c r="BA295" t="s">
        <v>231</v>
      </c>
      <c r="BB295" t="s">
        <v>231</v>
      </c>
      <c r="BC295" t="s">
        <v>231</v>
      </c>
      <c r="BD295" t="s">
        <v>231</v>
      </c>
      <c r="BE295" t="s">
        <v>231</v>
      </c>
      <c r="BF295" t="s">
        <v>231</v>
      </c>
      <c r="BG295" t="s">
        <v>231</v>
      </c>
      <c r="BH295" t="s">
        <v>231</v>
      </c>
      <c r="BI295" t="s">
        <v>231</v>
      </c>
      <c r="BJ295" t="s">
        <v>231</v>
      </c>
      <c r="BK295" t="s">
        <v>231</v>
      </c>
      <c r="BL295" t="s">
        <v>231</v>
      </c>
      <c r="BM295" t="s">
        <v>231</v>
      </c>
      <c r="BN295" t="s">
        <v>231</v>
      </c>
      <c r="BO295" t="s">
        <v>231</v>
      </c>
      <c r="BP295" t="s">
        <v>231</v>
      </c>
      <c r="BQ295" t="s">
        <v>231</v>
      </c>
      <c r="BR295" t="s">
        <v>231</v>
      </c>
      <c r="BS295" t="s">
        <v>231</v>
      </c>
      <c r="BT295" t="s">
        <v>231</v>
      </c>
      <c r="BU295" t="s">
        <v>231</v>
      </c>
      <c r="BV295" t="s">
        <v>231</v>
      </c>
      <c r="BW295" t="s">
        <v>231</v>
      </c>
      <c r="BX295" t="s">
        <v>231</v>
      </c>
      <c r="BY295" t="s">
        <v>231</v>
      </c>
      <c r="BZ295" t="s">
        <v>231</v>
      </c>
      <c r="CA295" t="s">
        <v>231</v>
      </c>
      <c r="CB295" t="s">
        <v>231</v>
      </c>
      <c r="CC295" t="s">
        <v>231</v>
      </c>
      <c r="CD295" t="s">
        <v>231</v>
      </c>
      <c r="CE295" t="s">
        <v>231</v>
      </c>
      <c r="CF295" t="s">
        <v>231</v>
      </c>
      <c r="CG295" t="s">
        <v>231</v>
      </c>
      <c r="CH295" t="s">
        <v>231</v>
      </c>
      <c r="CI295" t="s">
        <v>231</v>
      </c>
      <c r="CJ295" t="s">
        <v>231</v>
      </c>
      <c r="CK295" t="s">
        <v>231</v>
      </c>
      <c r="CL295" t="s">
        <v>231</v>
      </c>
      <c r="CM295" t="s">
        <v>231</v>
      </c>
      <c r="CN295" t="s">
        <v>231</v>
      </c>
      <c r="CO295" t="s">
        <v>231</v>
      </c>
      <c r="CP295" t="s">
        <v>231</v>
      </c>
      <c r="CQ295" t="s">
        <v>231</v>
      </c>
      <c r="CR295" t="s">
        <v>231</v>
      </c>
      <c r="CS295" t="s">
        <v>231</v>
      </c>
      <c r="CT295" t="s">
        <v>3534</v>
      </c>
      <c r="CU295" t="s">
        <v>3535</v>
      </c>
      <c r="CV295" t="s">
        <v>3536</v>
      </c>
      <c r="CW295" t="s">
        <v>3589</v>
      </c>
      <c r="CX295" t="s">
        <v>223</v>
      </c>
      <c r="CY295" t="s">
        <v>3536</v>
      </c>
      <c r="CZ295" t="s">
        <v>3590</v>
      </c>
      <c r="DA295" t="s">
        <v>3591</v>
      </c>
      <c r="DB295" t="s">
        <v>3589</v>
      </c>
      <c r="DC295" t="s">
        <v>363</v>
      </c>
      <c r="DD295" t="s">
        <v>282</v>
      </c>
      <c r="DE295" t="s">
        <v>4638</v>
      </c>
    </row>
    <row r="296" spans="1:109" ht="11.25" customHeight="1">
      <c r="A296" s="1314" t="s">
        <v>231</v>
      </c>
      <c r="B296" t="s">
        <v>231</v>
      </c>
      <c r="C296" t="s">
        <v>231</v>
      </c>
      <c r="D296" t="s">
        <v>231</v>
      </c>
      <c r="E296" t="s">
        <v>231</v>
      </c>
      <c r="F296" t="s">
        <v>231</v>
      </c>
      <c r="G296" t="s">
        <v>231</v>
      </c>
      <c r="H296" t="s">
        <v>231</v>
      </c>
      <c r="I296" t="s">
        <v>3521</v>
      </c>
      <c r="J296" t="s">
        <v>231</v>
      </c>
      <c r="K296" t="s">
        <v>231</v>
      </c>
      <c r="L296" t="s">
        <v>231</v>
      </c>
      <c r="M296" t="s">
        <v>231</v>
      </c>
      <c r="N296" t="s">
        <v>231</v>
      </c>
      <c r="O296" t="s">
        <v>231</v>
      </c>
      <c r="P296" t="s">
        <v>231</v>
      </c>
      <c r="Q296" t="s">
        <v>231</v>
      </c>
      <c r="R296" t="s">
        <v>4899</v>
      </c>
      <c r="S296" t="s">
        <v>231</v>
      </c>
      <c r="T296" t="s">
        <v>231</v>
      </c>
      <c r="U296" t="s">
        <v>101</v>
      </c>
      <c r="V296" t="s">
        <v>231</v>
      </c>
      <c r="W296" t="s">
        <v>231</v>
      </c>
      <c r="X296" t="s">
        <v>3628</v>
      </c>
      <c r="Y296" t="s">
        <v>231</v>
      </c>
      <c r="Z296" t="s">
        <v>151</v>
      </c>
      <c r="AA296" t="s">
        <v>151</v>
      </c>
      <c r="AB296" t="s">
        <v>160</v>
      </c>
      <c r="AC296" t="s">
        <v>2287</v>
      </c>
      <c r="AD296" t="s">
        <v>2287</v>
      </c>
      <c r="AE296" t="s">
        <v>2288</v>
      </c>
      <c r="AF296" t="s">
        <v>4732</v>
      </c>
      <c r="AG296" t="s">
        <v>4733</v>
      </c>
      <c r="AH296" t="s">
        <v>3618</v>
      </c>
      <c r="AI296" t="s">
        <v>3618</v>
      </c>
      <c r="AJ296" t="s">
        <v>231</v>
      </c>
      <c r="AK296" t="s">
        <v>231</v>
      </c>
      <c r="AL296" t="s">
        <v>231</v>
      </c>
      <c r="AM296" t="s">
        <v>231</v>
      </c>
      <c r="AN296" t="s">
        <v>231</v>
      </c>
      <c r="AO296" t="s">
        <v>231</v>
      </c>
      <c r="AP296" t="s">
        <v>231</v>
      </c>
      <c r="AQ296" t="s">
        <v>231</v>
      </c>
      <c r="AR296" t="s">
        <v>231</v>
      </c>
      <c r="AS296" t="s">
        <v>231</v>
      </c>
      <c r="AT296" t="s">
        <v>231</v>
      </c>
      <c r="AU296" t="s">
        <v>231</v>
      </c>
      <c r="AV296" t="s">
        <v>231</v>
      </c>
      <c r="AW296" t="s">
        <v>231</v>
      </c>
      <c r="AX296" t="s">
        <v>231</v>
      </c>
      <c r="AY296" t="s">
        <v>231</v>
      </c>
      <c r="AZ296" t="s">
        <v>231</v>
      </c>
      <c r="BA296" t="s">
        <v>231</v>
      </c>
      <c r="BB296" t="s">
        <v>231</v>
      </c>
      <c r="BC296" t="s">
        <v>231</v>
      </c>
      <c r="BD296" t="s">
        <v>231</v>
      </c>
      <c r="BE296" t="s">
        <v>3619</v>
      </c>
      <c r="BF296" t="s">
        <v>4735</v>
      </c>
      <c r="BG296" t="s">
        <v>111</v>
      </c>
      <c r="BH296" t="s">
        <v>3632</v>
      </c>
      <c r="BI296" t="s">
        <v>122</v>
      </c>
      <c r="BJ296" t="s">
        <v>231</v>
      </c>
      <c r="BK296" t="s">
        <v>3651</v>
      </c>
      <c r="BL296" t="s">
        <v>2287</v>
      </c>
      <c r="BM296" t="s">
        <v>2287</v>
      </c>
      <c r="BN296" t="s">
        <v>3842</v>
      </c>
      <c r="BO296" t="s">
        <v>4732</v>
      </c>
      <c r="BP296" t="s">
        <v>4900</v>
      </c>
      <c r="BQ296" t="s">
        <v>3618</v>
      </c>
      <c r="BR296" t="s">
        <v>3618</v>
      </c>
      <c r="BS296" t="s">
        <v>231</v>
      </c>
      <c r="BT296" t="s">
        <v>3694</v>
      </c>
      <c r="BU296" t="s">
        <v>4901</v>
      </c>
      <c r="BV296" t="s">
        <v>4901</v>
      </c>
      <c r="BW296" t="s">
        <v>3641</v>
      </c>
      <c r="BX296" t="s">
        <v>3641</v>
      </c>
      <c r="BY296" t="s">
        <v>3641</v>
      </c>
      <c r="BZ296" t="s">
        <v>3641</v>
      </c>
      <c r="CA296" t="s">
        <v>3641</v>
      </c>
      <c r="CB296" t="s">
        <v>231</v>
      </c>
      <c r="CC296" t="s">
        <v>231</v>
      </c>
      <c r="CD296" t="s">
        <v>231</v>
      </c>
      <c r="CE296" t="s">
        <v>231</v>
      </c>
      <c r="CF296" t="s">
        <v>231</v>
      </c>
      <c r="CG296" t="s">
        <v>3641</v>
      </c>
      <c r="CH296" t="s">
        <v>231</v>
      </c>
      <c r="CI296" t="s">
        <v>231</v>
      </c>
      <c r="CJ296" t="s">
        <v>231</v>
      </c>
      <c r="CK296" t="s">
        <v>231</v>
      </c>
      <c r="CL296" t="s">
        <v>231</v>
      </c>
      <c r="CM296" t="s">
        <v>4901</v>
      </c>
      <c r="CN296" t="s">
        <v>4901</v>
      </c>
      <c r="CO296" t="s">
        <v>231</v>
      </c>
      <c r="CP296" t="s">
        <v>231</v>
      </c>
      <c r="CQ296" t="s">
        <v>231</v>
      </c>
      <c r="CR296" t="s">
        <v>231</v>
      </c>
      <c r="CS296" t="s">
        <v>3529</v>
      </c>
      <c r="CT296" t="s">
        <v>3534</v>
      </c>
      <c r="CU296" t="s">
        <v>3535</v>
      </c>
      <c r="CV296" t="s">
        <v>3536</v>
      </c>
      <c r="CW296" t="s">
        <v>3623</v>
      </c>
      <c r="CX296" t="s">
        <v>223</v>
      </c>
      <c r="CY296" t="s">
        <v>3536</v>
      </c>
      <c r="CZ296" t="s">
        <v>3624</v>
      </c>
      <c r="DA296" t="s">
        <v>3625</v>
      </c>
      <c r="DB296" t="s">
        <v>3623</v>
      </c>
      <c r="DC296" t="s">
        <v>363</v>
      </c>
      <c r="DD296" t="s">
        <v>282</v>
      </c>
      <c r="DE296" t="s">
        <v>4902</v>
      </c>
    </row>
    <row r="297" spans="1:109" ht="11.25" customHeight="1">
      <c r="A297" s="1314" t="s">
        <v>231</v>
      </c>
      <c r="B297" t="s">
        <v>231</v>
      </c>
      <c r="C297" t="s">
        <v>231</v>
      </c>
      <c r="D297" t="s">
        <v>231</v>
      </c>
      <c r="E297" t="s">
        <v>231</v>
      </c>
      <c r="F297" t="s">
        <v>231</v>
      </c>
      <c r="G297" t="s">
        <v>231</v>
      </c>
      <c r="H297" t="s">
        <v>231</v>
      </c>
      <c r="I297" t="s">
        <v>3521</v>
      </c>
      <c r="J297" t="s">
        <v>231</v>
      </c>
      <c r="K297" t="s">
        <v>231</v>
      </c>
      <c r="L297" t="s">
        <v>231</v>
      </c>
      <c r="M297" t="s">
        <v>231</v>
      </c>
      <c r="N297" t="s">
        <v>231</v>
      </c>
      <c r="O297" t="s">
        <v>231</v>
      </c>
      <c r="P297" t="s">
        <v>231</v>
      </c>
      <c r="Q297" t="s">
        <v>231</v>
      </c>
      <c r="R297" t="s">
        <v>4903</v>
      </c>
      <c r="S297" t="s">
        <v>231</v>
      </c>
      <c r="T297" t="s">
        <v>231</v>
      </c>
      <c r="U297" t="s">
        <v>101</v>
      </c>
      <c r="V297" t="s">
        <v>231</v>
      </c>
      <c r="W297" t="s">
        <v>231</v>
      </c>
      <c r="X297" t="s">
        <v>3628</v>
      </c>
      <c r="Y297" t="s">
        <v>231</v>
      </c>
      <c r="Z297" t="s">
        <v>151</v>
      </c>
      <c r="AA297" t="s">
        <v>151</v>
      </c>
      <c r="AB297" t="s">
        <v>160</v>
      </c>
      <c r="AC297" t="s">
        <v>2691</v>
      </c>
      <c r="AD297" t="s">
        <v>2691</v>
      </c>
      <c r="AE297" t="s">
        <v>2692</v>
      </c>
      <c r="AF297" t="s">
        <v>3991</v>
      </c>
      <c r="AG297" t="s">
        <v>3992</v>
      </c>
      <c r="AH297" t="s">
        <v>4113</v>
      </c>
      <c r="AI297" t="s">
        <v>151</v>
      </c>
      <c r="AJ297" t="s">
        <v>231</v>
      </c>
      <c r="AK297" t="s">
        <v>231</v>
      </c>
      <c r="AL297" t="s">
        <v>231</v>
      </c>
      <c r="AM297" t="s">
        <v>231</v>
      </c>
      <c r="AN297" t="s">
        <v>231</v>
      </c>
      <c r="AO297" t="s">
        <v>231</v>
      </c>
      <c r="AP297" t="s">
        <v>231</v>
      </c>
      <c r="AQ297" t="s">
        <v>231</v>
      </c>
      <c r="AR297" t="s">
        <v>231</v>
      </c>
      <c r="AS297" t="s">
        <v>231</v>
      </c>
      <c r="AT297" t="s">
        <v>231</v>
      </c>
      <c r="AU297" t="s">
        <v>231</v>
      </c>
      <c r="AV297" t="s">
        <v>231</v>
      </c>
      <c r="AW297" t="s">
        <v>231</v>
      </c>
      <c r="AX297" t="s">
        <v>231</v>
      </c>
      <c r="AY297" t="s">
        <v>231</v>
      </c>
      <c r="AZ297" t="s">
        <v>231</v>
      </c>
      <c r="BA297" t="s">
        <v>231</v>
      </c>
      <c r="BB297" t="s">
        <v>231</v>
      </c>
      <c r="BC297" t="s">
        <v>231</v>
      </c>
      <c r="BD297" t="s">
        <v>231</v>
      </c>
      <c r="BE297" t="s">
        <v>4904</v>
      </c>
      <c r="BF297" t="s">
        <v>4905</v>
      </c>
      <c r="BG297" t="s">
        <v>111</v>
      </c>
      <c r="BH297" t="s">
        <v>3632</v>
      </c>
      <c r="BI297" t="s">
        <v>122</v>
      </c>
      <c r="BJ297" t="s">
        <v>231</v>
      </c>
      <c r="BK297" t="s">
        <v>4906</v>
      </c>
      <c r="BL297" t="s">
        <v>2691</v>
      </c>
      <c r="BM297" t="s">
        <v>2691</v>
      </c>
      <c r="BN297" t="s">
        <v>4116</v>
      </c>
      <c r="BO297" t="s">
        <v>3991</v>
      </c>
      <c r="BP297" t="s">
        <v>4117</v>
      </c>
      <c r="BQ297" t="s">
        <v>4907</v>
      </c>
      <c r="BR297" t="s">
        <v>482</v>
      </c>
      <c r="BS297" t="s">
        <v>231</v>
      </c>
      <c r="BT297" t="s">
        <v>3637</v>
      </c>
      <c r="BU297" t="s">
        <v>4908</v>
      </c>
      <c r="BV297" t="s">
        <v>4909</v>
      </c>
      <c r="BW297" t="s">
        <v>4910</v>
      </c>
      <c r="BX297" t="s">
        <v>4911</v>
      </c>
      <c r="BY297" t="s">
        <v>3641</v>
      </c>
      <c r="BZ297" t="s">
        <v>3641</v>
      </c>
      <c r="CA297" t="s">
        <v>3641</v>
      </c>
      <c r="CB297" t="s">
        <v>3641</v>
      </c>
      <c r="CC297" t="s">
        <v>3641</v>
      </c>
      <c r="CD297" t="s">
        <v>3641</v>
      </c>
      <c r="CE297" t="s">
        <v>3641</v>
      </c>
      <c r="CF297" t="s">
        <v>3641</v>
      </c>
      <c r="CG297" t="s">
        <v>3641</v>
      </c>
      <c r="CH297" t="s">
        <v>3641</v>
      </c>
      <c r="CI297" t="s">
        <v>3641</v>
      </c>
      <c r="CJ297" t="s">
        <v>3641</v>
      </c>
      <c r="CK297" t="s">
        <v>3641</v>
      </c>
      <c r="CL297" t="s">
        <v>3641</v>
      </c>
      <c r="CM297" t="s">
        <v>4908</v>
      </c>
      <c r="CN297" t="s">
        <v>4909</v>
      </c>
      <c r="CO297" t="s">
        <v>4910</v>
      </c>
      <c r="CP297" t="s">
        <v>4911</v>
      </c>
      <c r="CQ297" t="s">
        <v>3641</v>
      </c>
      <c r="CR297" t="s">
        <v>3641</v>
      </c>
      <c r="CS297" t="s">
        <v>4573</v>
      </c>
      <c r="CT297" t="s">
        <v>3534</v>
      </c>
      <c r="CU297" t="s">
        <v>3535</v>
      </c>
      <c r="CV297" t="s">
        <v>3997</v>
      </c>
      <c r="CW297" t="s">
        <v>3998</v>
      </c>
      <c r="CX297" t="s">
        <v>3570</v>
      </c>
      <c r="CY297" t="s">
        <v>3997</v>
      </c>
      <c r="CZ297" t="s">
        <v>3575</v>
      </c>
      <c r="DA297" t="s">
        <v>3999</v>
      </c>
      <c r="DB297" t="s">
        <v>3643</v>
      </c>
      <c r="DC297" t="s">
        <v>363</v>
      </c>
      <c r="DD297" t="s">
        <v>282</v>
      </c>
      <c r="DE297" t="s">
        <v>4123</v>
      </c>
    </row>
    <row r="298" spans="1:109" ht="11.25" customHeight="1">
      <c r="A298" s="1314" t="s">
        <v>231</v>
      </c>
      <c r="B298" t="s">
        <v>231</v>
      </c>
      <c r="C298" t="s">
        <v>231</v>
      </c>
      <c r="D298" t="s">
        <v>231</v>
      </c>
      <c r="E298" t="s">
        <v>231</v>
      </c>
      <c r="F298" t="s">
        <v>231</v>
      </c>
      <c r="G298" t="s">
        <v>231</v>
      </c>
      <c r="H298" t="s">
        <v>231</v>
      </c>
      <c r="I298" t="s">
        <v>3521</v>
      </c>
      <c r="J298" t="s">
        <v>231</v>
      </c>
      <c r="K298" t="s">
        <v>231</v>
      </c>
      <c r="L298" t="s">
        <v>231</v>
      </c>
      <c r="M298" t="s">
        <v>231</v>
      </c>
      <c r="N298" t="s">
        <v>231</v>
      </c>
      <c r="O298" t="s">
        <v>231</v>
      </c>
      <c r="P298" t="s">
        <v>231</v>
      </c>
      <c r="Q298" t="s">
        <v>231</v>
      </c>
      <c r="R298" t="s">
        <v>4912</v>
      </c>
      <c r="S298" t="s">
        <v>231</v>
      </c>
      <c r="T298" t="s">
        <v>231</v>
      </c>
      <c r="U298" t="s">
        <v>101</v>
      </c>
      <c r="V298" t="s">
        <v>231</v>
      </c>
      <c r="W298" t="s">
        <v>231</v>
      </c>
      <c r="X298" t="s">
        <v>3628</v>
      </c>
      <c r="Y298" t="s">
        <v>231</v>
      </c>
      <c r="Z298" t="s">
        <v>151</v>
      </c>
      <c r="AA298" t="s">
        <v>151</v>
      </c>
      <c r="AB298" t="s">
        <v>160</v>
      </c>
      <c r="AC298" t="s">
        <v>2691</v>
      </c>
      <c r="AD298" t="s">
        <v>2691</v>
      </c>
      <c r="AE298" t="s">
        <v>2692</v>
      </c>
      <c r="AF298" t="s">
        <v>3991</v>
      </c>
      <c r="AG298" t="s">
        <v>3992</v>
      </c>
      <c r="AH298" t="s">
        <v>4113</v>
      </c>
      <c r="AI298" t="s">
        <v>151</v>
      </c>
      <c r="AJ298" t="s">
        <v>231</v>
      </c>
      <c r="AK298" t="s">
        <v>231</v>
      </c>
      <c r="AL298" t="s">
        <v>231</v>
      </c>
      <c r="AM298" t="s">
        <v>231</v>
      </c>
      <c r="AN298" t="s">
        <v>231</v>
      </c>
      <c r="AO298" t="s">
        <v>231</v>
      </c>
      <c r="AP298" t="s">
        <v>231</v>
      </c>
      <c r="AQ298" t="s">
        <v>231</v>
      </c>
      <c r="AR298" t="s">
        <v>231</v>
      </c>
      <c r="AS298" t="s">
        <v>231</v>
      </c>
      <c r="AT298" t="s">
        <v>231</v>
      </c>
      <c r="AU298" t="s">
        <v>231</v>
      </c>
      <c r="AV298" t="s">
        <v>231</v>
      </c>
      <c r="AW298" t="s">
        <v>231</v>
      </c>
      <c r="AX298" t="s">
        <v>231</v>
      </c>
      <c r="AY298" t="s">
        <v>231</v>
      </c>
      <c r="AZ298" t="s">
        <v>231</v>
      </c>
      <c r="BA298" t="s">
        <v>231</v>
      </c>
      <c r="BB298" t="s">
        <v>231</v>
      </c>
      <c r="BC298" t="s">
        <v>231</v>
      </c>
      <c r="BD298" t="s">
        <v>231</v>
      </c>
      <c r="BE298" t="s">
        <v>3994</v>
      </c>
      <c r="BF298" t="s">
        <v>4263</v>
      </c>
      <c r="BG298" t="s">
        <v>111</v>
      </c>
      <c r="BH298" t="s">
        <v>3632</v>
      </c>
      <c r="BI298" t="s">
        <v>122</v>
      </c>
      <c r="BJ298" t="s">
        <v>231</v>
      </c>
      <c r="BK298" t="s">
        <v>4262</v>
      </c>
      <c r="BL298" t="s">
        <v>2691</v>
      </c>
      <c r="BM298" t="s">
        <v>2691</v>
      </c>
      <c r="BN298" t="s">
        <v>4116</v>
      </c>
      <c r="BO298" t="s">
        <v>3991</v>
      </c>
      <c r="BP298" t="s">
        <v>4117</v>
      </c>
      <c r="BQ298" t="s">
        <v>4913</v>
      </c>
      <c r="BR298" t="s">
        <v>151</v>
      </c>
      <c r="BS298" t="s">
        <v>231</v>
      </c>
      <c r="BT298" t="s">
        <v>3637</v>
      </c>
      <c r="BU298" t="s">
        <v>4914</v>
      </c>
      <c r="BV298" t="s">
        <v>4915</v>
      </c>
      <c r="BW298" t="s">
        <v>4916</v>
      </c>
      <c r="BX298" t="s">
        <v>3641</v>
      </c>
      <c r="BY298" t="s">
        <v>3641</v>
      </c>
      <c r="BZ298" t="s">
        <v>3641</v>
      </c>
      <c r="CA298" t="s">
        <v>3641</v>
      </c>
      <c r="CB298" t="s">
        <v>3641</v>
      </c>
      <c r="CC298" t="s">
        <v>3641</v>
      </c>
      <c r="CD298" t="s">
        <v>3641</v>
      </c>
      <c r="CE298" t="s">
        <v>3641</v>
      </c>
      <c r="CF298" t="s">
        <v>3641</v>
      </c>
      <c r="CG298" t="s">
        <v>3641</v>
      </c>
      <c r="CH298" t="s">
        <v>3641</v>
      </c>
      <c r="CI298" t="s">
        <v>3641</v>
      </c>
      <c r="CJ298" t="s">
        <v>3641</v>
      </c>
      <c r="CK298" t="s">
        <v>3641</v>
      </c>
      <c r="CL298" t="s">
        <v>3641</v>
      </c>
      <c r="CM298" t="s">
        <v>4914</v>
      </c>
      <c r="CN298" t="s">
        <v>4915</v>
      </c>
      <c r="CO298" t="s">
        <v>4916</v>
      </c>
      <c r="CP298" t="s">
        <v>3641</v>
      </c>
      <c r="CQ298" t="s">
        <v>3641</v>
      </c>
      <c r="CR298" t="s">
        <v>3641</v>
      </c>
      <c r="CS298" t="s">
        <v>4917</v>
      </c>
      <c r="CT298" t="s">
        <v>3534</v>
      </c>
      <c r="CU298" t="s">
        <v>3535</v>
      </c>
      <c r="CV298" t="s">
        <v>3997</v>
      </c>
      <c r="CW298" t="s">
        <v>3998</v>
      </c>
      <c r="CX298" t="s">
        <v>3570</v>
      </c>
      <c r="CY298" t="s">
        <v>3997</v>
      </c>
      <c r="CZ298" t="s">
        <v>3575</v>
      </c>
      <c r="DA298" t="s">
        <v>3999</v>
      </c>
      <c r="DB298" t="s">
        <v>3643</v>
      </c>
      <c r="DC298" t="s">
        <v>363</v>
      </c>
      <c r="DD298" t="s">
        <v>282</v>
      </c>
      <c r="DE298" t="s">
        <v>4123</v>
      </c>
    </row>
    <row r="299" spans="1:109" ht="11.25" customHeight="1">
      <c r="A299" s="1314" t="s">
        <v>231</v>
      </c>
      <c r="B299" t="s">
        <v>231</v>
      </c>
      <c r="C299" t="s">
        <v>231</v>
      </c>
      <c r="D299" t="s">
        <v>231</v>
      </c>
      <c r="E299" t="s">
        <v>231</v>
      </c>
      <c r="F299" t="s">
        <v>231</v>
      </c>
      <c r="G299" t="s">
        <v>231</v>
      </c>
      <c r="H299" t="s">
        <v>231</v>
      </c>
      <c r="I299" t="s">
        <v>3521</v>
      </c>
      <c r="J299" t="s">
        <v>231</v>
      </c>
      <c r="K299" t="s">
        <v>231</v>
      </c>
      <c r="L299" t="s">
        <v>231</v>
      </c>
      <c r="M299" t="s">
        <v>231</v>
      </c>
      <c r="N299" t="s">
        <v>231</v>
      </c>
      <c r="O299" t="s">
        <v>231</v>
      </c>
      <c r="P299" t="s">
        <v>231</v>
      </c>
      <c r="Q299" t="s">
        <v>231</v>
      </c>
      <c r="R299" t="s">
        <v>4918</v>
      </c>
      <c r="S299" t="s">
        <v>231</v>
      </c>
      <c r="T299" t="s">
        <v>231</v>
      </c>
      <c r="U299" t="s">
        <v>101</v>
      </c>
      <c r="V299" t="s">
        <v>231</v>
      </c>
      <c r="W299" t="s">
        <v>231</v>
      </c>
      <c r="X299" t="s">
        <v>3628</v>
      </c>
      <c r="Y299" t="s">
        <v>231</v>
      </c>
      <c r="Z299" t="s">
        <v>151</v>
      </c>
      <c r="AA299" t="s">
        <v>151</v>
      </c>
      <c r="AB299" t="s">
        <v>160</v>
      </c>
      <c r="AC299" t="s">
        <v>2289</v>
      </c>
      <c r="AD299" t="s">
        <v>2289</v>
      </c>
      <c r="AE299" t="s">
        <v>2290</v>
      </c>
      <c r="AF299" t="s">
        <v>3793</v>
      </c>
      <c r="AG299" t="s">
        <v>3794</v>
      </c>
      <c r="AH299" t="s">
        <v>3618</v>
      </c>
      <c r="AI299" t="s">
        <v>3618</v>
      </c>
      <c r="AJ299" t="s">
        <v>231</v>
      </c>
      <c r="AK299" t="s">
        <v>231</v>
      </c>
      <c r="AL299" t="s">
        <v>231</v>
      </c>
      <c r="AM299" t="s">
        <v>231</v>
      </c>
      <c r="AN299" t="s">
        <v>231</v>
      </c>
      <c r="AO299" t="s">
        <v>231</v>
      </c>
      <c r="AP299" t="s">
        <v>231</v>
      </c>
      <c r="AQ299" t="s">
        <v>231</v>
      </c>
      <c r="AR299" t="s">
        <v>231</v>
      </c>
      <c r="AS299" t="s">
        <v>231</v>
      </c>
      <c r="AT299" t="s">
        <v>231</v>
      </c>
      <c r="AU299" t="s">
        <v>231</v>
      </c>
      <c r="AV299" t="s">
        <v>231</v>
      </c>
      <c r="AW299" t="s">
        <v>231</v>
      </c>
      <c r="AX299" t="s">
        <v>231</v>
      </c>
      <c r="AY299" t="s">
        <v>231</v>
      </c>
      <c r="AZ299" t="s">
        <v>231</v>
      </c>
      <c r="BA299" t="s">
        <v>231</v>
      </c>
      <c r="BB299" t="s">
        <v>231</v>
      </c>
      <c r="BC299" t="s">
        <v>231</v>
      </c>
      <c r="BD299" t="s">
        <v>231</v>
      </c>
      <c r="BE299" t="s">
        <v>3621</v>
      </c>
      <c r="BF299" t="s">
        <v>3529</v>
      </c>
      <c r="BG299" t="s">
        <v>111</v>
      </c>
      <c r="BH299" t="s">
        <v>3632</v>
      </c>
      <c r="BI299" t="s">
        <v>122</v>
      </c>
      <c r="BJ299" t="s">
        <v>231</v>
      </c>
      <c r="BK299" t="s">
        <v>4919</v>
      </c>
      <c r="BL299" t="s">
        <v>2289</v>
      </c>
      <c r="BM299" t="s">
        <v>2289</v>
      </c>
      <c r="BN299" t="s">
        <v>3707</v>
      </c>
      <c r="BO299" t="s">
        <v>3793</v>
      </c>
      <c r="BP299" t="s">
        <v>4920</v>
      </c>
      <c r="BQ299" t="s">
        <v>3618</v>
      </c>
      <c r="BR299" t="s">
        <v>3618</v>
      </c>
      <c r="BS299" t="s">
        <v>231</v>
      </c>
      <c r="BT299" t="s">
        <v>3694</v>
      </c>
      <c r="BU299" t="s">
        <v>4921</v>
      </c>
      <c r="BV299" t="s">
        <v>4921</v>
      </c>
      <c r="BW299" t="s">
        <v>3641</v>
      </c>
      <c r="BX299" t="s">
        <v>3641</v>
      </c>
      <c r="BY299" t="s">
        <v>3641</v>
      </c>
      <c r="BZ299" t="s">
        <v>3641</v>
      </c>
      <c r="CA299" t="s">
        <v>3641</v>
      </c>
      <c r="CB299" t="s">
        <v>231</v>
      </c>
      <c r="CC299" t="s">
        <v>231</v>
      </c>
      <c r="CD299" t="s">
        <v>231</v>
      </c>
      <c r="CE299" t="s">
        <v>231</v>
      </c>
      <c r="CF299" t="s">
        <v>231</v>
      </c>
      <c r="CG299" t="s">
        <v>3641</v>
      </c>
      <c r="CH299" t="s">
        <v>231</v>
      </c>
      <c r="CI299" t="s">
        <v>231</v>
      </c>
      <c r="CJ299" t="s">
        <v>231</v>
      </c>
      <c r="CK299" t="s">
        <v>231</v>
      </c>
      <c r="CL299" t="s">
        <v>231</v>
      </c>
      <c r="CM299" t="s">
        <v>4921</v>
      </c>
      <c r="CN299" t="s">
        <v>4921</v>
      </c>
      <c r="CO299" t="s">
        <v>231</v>
      </c>
      <c r="CP299" t="s">
        <v>231</v>
      </c>
      <c r="CQ299" t="s">
        <v>231</v>
      </c>
      <c r="CR299" t="s">
        <v>231</v>
      </c>
      <c r="CS299" t="s">
        <v>3595</v>
      </c>
      <c r="CT299" t="s">
        <v>3534</v>
      </c>
      <c r="CU299" t="s">
        <v>3535</v>
      </c>
      <c r="CV299" t="s">
        <v>3536</v>
      </c>
      <c r="CW299" t="s">
        <v>3589</v>
      </c>
      <c r="CX299" t="s">
        <v>223</v>
      </c>
      <c r="CY299" t="s">
        <v>3536</v>
      </c>
      <c r="CZ299" t="s">
        <v>3590</v>
      </c>
      <c r="DA299" t="s">
        <v>3591</v>
      </c>
      <c r="DB299" t="s">
        <v>3589</v>
      </c>
      <c r="DC299" t="s">
        <v>363</v>
      </c>
      <c r="DD299" t="s">
        <v>282</v>
      </c>
      <c r="DE299" t="s">
        <v>4922</v>
      </c>
    </row>
    <row r="300" spans="1:109" ht="11.25" customHeight="1">
      <c r="A300" s="1314" t="s">
        <v>231</v>
      </c>
      <c r="B300" t="s">
        <v>231</v>
      </c>
      <c r="C300" t="s">
        <v>231</v>
      </c>
      <c r="D300" t="s">
        <v>231</v>
      </c>
      <c r="E300" t="s">
        <v>231</v>
      </c>
      <c r="F300" t="s">
        <v>231</v>
      </c>
      <c r="G300" t="s">
        <v>231</v>
      </c>
      <c r="H300" t="s">
        <v>231</v>
      </c>
      <c r="I300" t="s">
        <v>3521</v>
      </c>
      <c r="J300" t="s">
        <v>231</v>
      </c>
      <c r="K300" t="s">
        <v>231</v>
      </c>
      <c r="L300" t="s">
        <v>231</v>
      </c>
      <c r="M300" t="s">
        <v>231</v>
      </c>
      <c r="N300" t="s">
        <v>231</v>
      </c>
      <c r="O300" t="s">
        <v>231</v>
      </c>
      <c r="P300" t="s">
        <v>231</v>
      </c>
      <c r="Q300" t="s">
        <v>231</v>
      </c>
      <c r="R300" t="s">
        <v>3615</v>
      </c>
      <c r="S300" t="s">
        <v>231</v>
      </c>
      <c r="T300" t="s">
        <v>231</v>
      </c>
      <c r="U300" t="s">
        <v>101</v>
      </c>
      <c r="V300" t="s">
        <v>231</v>
      </c>
      <c r="W300" t="s">
        <v>231</v>
      </c>
      <c r="X300" t="s">
        <v>3523</v>
      </c>
      <c r="Y300" t="s">
        <v>231</v>
      </c>
      <c r="Z300" t="s">
        <v>160</v>
      </c>
      <c r="AA300" t="s">
        <v>151</v>
      </c>
      <c r="AB300" t="s">
        <v>151</v>
      </c>
      <c r="AC300" t="s">
        <v>2289</v>
      </c>
      <c r="AD300" t="s">
        <v>2289</v>
      </c>
      <c r="AE300" t="s">
        <v>2290</v>
      </c>
      <c r="AF300" t="s">
        <v>3705</v>
      </c>
      <c r="AG300" t="s">
        <v>3706</v>
      </c>
      <c r="AH300" t="s">
        <v>4923</v>
      </c>
      <c r="AI300" t="s">
        <v>3593</v>
      </c>
      <c r="AJ300" t="s">
        <v>3546</v>
      </c>
      <c r="AK300" t="s">
        <v>3716</v>
      </c>
      <c r="AL300" t="s">
        <v>3548</v>
      </c>
      <c r="AM300" t="s">
        <v>3531</v>
      </c>
      <c r="AN300" t="s">
        <v>3587</v>
      </c>
      <c r="AO300" t="s">
        <v>4497</v>
      </c>
      <c r="AP300" t="s">
        <v>231</v>
      </c>
      <c r="AQ300" t="s">
        <v>231</v>
      </c>
      <c r="AR300" t="s">
        <v>231</v>
      </c>
      <c r="AS300" t="s">
        <v>231</v>
      </c>
      <c r="AT300" t="s">
        <v>231</v>
      </c>
      <c r="AU300" t="s">
        <v>231</v>
      </c>
      <c r="AV300" t="s">
        <v>231</v>
      </c>
      <c r="AW300" t="s">
        <v>231</v>
      </c>
      <c r="AX300" t="s">
        <v>231</v>
      </c>
      <c r="AY300" t="s">
        <v>231</v>
      </c>
      <c r="AZ300" t="s">
        <v>231</v>
      </c>
      <c r="BA300" t="s">
        <v>231</v>
      </c>
      <c r="BB300" t="s">
        <v>231</v>
      </c>
      <c r="BC300" t="s">
        <v>231</v>
      </c>
      <c r="BD300" t="s">
        <v>231</v>
      </c>
      <c r="BE300" t="s">
        <v>231</v>
      </c>
      <c r="BF300" t="s">
        <v>231</v>
      </c>
      <c r="BG300" t="s">
        <v>231</v>
      </c>
      <c r="BH300" t="s">
        <v>231</v>
      </c>
      <c r="BI300" t="s">
        <v>231</v>
      </c>
      <c r="BJ300" t="s">
        <v>231</v>
      </c>
      <c r="BK300" t="s">
        <v>231</v>
      </c>
      <c r="BL300" t="s">
        <v>231</v>
      </c>
      <c r="BM300" t="s">
        <v>231</v>
      </c>
      <c r="BN300" t="s">
        <v>231</v>
      </c>
      <c r="BO300" t="s">
        <v>231</v>
      </c>
      <c r="BP300" t="s">
        <v>231</v>
      </c>
      <c r="BQ300" t="s">
        <v>231</v>
      </c>
      <c r="BR300" t="s">
        <v>231</v>
      </c>
      <c r="BS300" t="s">
        <v>231</v>
      </c>
      <c r="BT300" t="s">
        <v>231</v>
      </c>
      <c r="BU300" t="s">
        <v>231</v>
      </c>
      <c r="BV300" t="s">
        <v>231</v>
      </c>
      <c r="BW300" t="s">
        <v>231</v>
      </c>
      <c r="BX300" t="s">
        <v>231</v>
      </c>
      <c r="BY300" t="s">
        <v>231</v>
      </c>
      <c r="BZ300" t="s">
        <v>231</v>
      </c>
      <c r="CA300" t="s">
        <v>231</v>
      </c>
      <c r="CB300" t="s">
        <v>231</v>
      </c>
      <c r="CC300" t="s">
        <v>231</v>
      </c>
      <c r="CD300" t="s">
        <v>231</v>
      </c>
      <c r="CE300" t="s">
        <v>231</v>
      </c>
      <c r="CF300" t="s">
        <v>231</v>
      </c>
      <c r="CG300" t="s">
        <v>231</v>
      </c>
      <c r="CH300" t="s">
        <v>231</v>
      </c>
      <c r="CI300" t="s">
        <v>231</v>
      </c>
      <c r="CJ300" t="s">
        <v>231</v>
      </c>
      <c r="CK300" t="s">
        <v>231</v>
      </c>
      <c r="CL300" t="s">
        <v>231</v>
      </c>
      <c r="CM300" t="s">
        <v>231</v>
      </c>
      <c r="CN300" t="s">
        <v>231</v>
      </c>
      <c r="CO300" t="s">
        <v>231</v>
      </c>
      <c r="CP300" t="s">
        <v>231</v>
      </c>
      <c r="CQ300" t="s">
        <v>231</v>
      </c>
      <c r="CR300" t="s">
        <v>231</v>
      </c>
      <c r="CS300" t="s">
        <v>231</v>
      </c>
      <c r="CT300" t="s">
        <v>3534</v>
      </c>
      <c r="CU300" t="s">
        <v>3535</v>
      </c>
      <c r="CV300" t="s">
        <v>3536</v>
      </c>
      <c r="CW300" t="s">
        <v>3589</v>
      </c>
      <c r="CX300" t="s">
        <v>223</v>
      </c>
      <c r="CY300" t="s">
        <v>3536</v>
      </c>
      <c r="CZ300" t="s">
        <v>3590</v>
      </c>
      <c r="DA300" t="s">
        <v>3591</v>
      </c>
      <c r="DB300" t="s">
        <v>3589</v>
      </c>
      <c r="DC300" t="s">
        <v>363</v>
      </c>
      <c r="DD300" t="s">
        <v>282</v>
      </c>
      <c r="DE300" t="s">
        <v>4924</v>
      </c>
    </row>
    <row r="301" spans="1:109" ht="11.25" customHeight="1">
      <c r="A301" s="1314" t="s">
        <v>231</v>
      </c>
      <c r="B301" t="s">
        <v>231</v>
      </c>
      <c r="C301" t="s">
        <v>231</v>
      </c>
      <c r="D301" t="s">
        <v>231</v>
      </c>
      <c r="E301" t="s">
        <v>231</v>
      </c>
      <c r="F301" t="s">
        <v>231</v>
      </c>
      <c r="G301" t="s">
        <v>231</v>
      </c>
      <c r="H301" t="s">
        <v>231</v>
      </c>
      <c r="I301" t="s">
        <v>3521</v>
      </c>
      <c r="J301" t="s">
        <v>231</v>
      </c>
      <c r="K301" t="s">
        <v>231</v>
      </c>
      <c r="L301" t="s">
        <v>231</v>
      </c>
      <c r="M301" t="s">
        <v>231</v>
      </c>
      <c r="N301" t="s">
        <v>231</v>
      </c>
      <c r="O301" t="s">
        <v>231</v>
      </c>
      <c r="P301" t="s">
        <v>231</v>
      </c>
      <c r="Q301" t="s">
        <v>231</v>
      </c>
      <c r="R301" t="s">
        <v>4925</v>
      </c>
      <c r="S301" t="s">
        <v>231</v>
      </c>
      <c r="T301" t="s">
        <v>231</v>
      </c>
      <c r="U301" t="s">
        <v>101</v>
      </c>
      <c r="V301" t="s">
        <v>231</v>
      </c>
      <c r="W301" t="s">
        <v>231</v>
      </c>
      <c r="X301" t="s">
        <v>3523</v>
      </c>
      <c r="Y301" t="s">
        <v>231</v>
      </c>
      <c r="Z301" t="s">
        <v>160</v>
      </c>
      <c r="AA301" t="s">
        <v>151</v>
      </c>
      <c r="AB301" t="s">
        <v>151</v>
      </c>
      <c r="AC301" t="s">
        <v>343</v>
      </c>
      <c r="AD301" t="s">
        <v>343</v>
      </c>
      <c r="AE301" t="s">
        <v>344</v>
      </c>
      <c r="AF301" t="s">
        <v>3561</v>
      </c>
      <c r="AG301" t="s">
        <v>3562</v>
      </c>
      <c r="AH301" t="s">
        <v>3698</v>
      </c>
      <c r="AI301" t="s">
        <v>4926</v>
      </c>
      <c r="AJ301" t="s">
        <v>3603</v>
      </c>
      <c r="AK301" t="s">
        <v>4927</v>
      </c>
      <c r="AL301" t="s">
        <v>3566</v>
      </c>
      <c r="AM301" t="s">
        <v>3531</v>
      </c>
      <c r="AN301" t="s">
        <v>4642</v>
      </c>
      <c r="AO301" t="s">
        <v>4643</v>
      </c>
      <c r="AP301" t="s">
        <v>231</v>
      </c>
      <c r="AQ301" t="s">
        <v>231</v>
      </c>
      <c r="AR301" t="s">
        <v>231</v>
      </c>
      <c r="AS301" t="s">
        <v>231</v>
      </c>
      <c r="AT301" t="s">
        <v>231</v>
      </c>
      <c r="AU301" t="s">
        <v>231</v>
      </c>
      <c r="AV301" t="s">
        <v>231</v>
      </c>
      <c r="AW301" t="s">
        <v>231</v>
      </c>
      <c r="AX301" t="s">
        <v>231</v>
      </c>
      <c r="AY301" t="s">
        <v>231</v>
      </c>
      <c r="AZ301" t="s">
        <v>231</v>
      </c>
      <c r="BA301" t="s">
        <v>231</v>
      </c>
      <c r="BB301" t="s">
        <v>231</v>
      </c>
      <c r="BC301" t="s">
        <v>231</v>
      </c>
      <c r="BD301" t="s">
        <v>231</v>
      </c>
      <c r="BE301" t="s">
        <v>231</v>
      </c>
      <c r="BF301" t="s">
        <v>231</v>
      </c>
      <c r="BG301" t="s">
        <v>231</v>
      </c>
      <c r="BH301" t="s">
        <v>231</v>
      </c>
      <c r="BI301" t="s">
        <v>231</v>
      </c>
      <c r="BJ301" t="s">
        <v>231</v>
      </c>
      <c r="BK301" t="s">
        <v>231</v>
      </c>
      <c r="BL301" t="s">
        <v>231</v>
      </c>
      <c r="BM301" t="s">
        <v>231</v>
      </c>
      <c r="BN301" t="s">
        <v>231</v>
      </c>
      <c r="BO301" t="s">
        <v>231</v>
      </c>
      <c r="BP301" t="s">
        <v>231</v>
      </c>
      <c r="BQ301" t="s">
        <v>231</v>
      </c>
      <c r="BR301" t="s">
        <v>231</v>
      </c>
      <c r="BS301" t="s">
        <v>231</v>
      </c>
      <c r="BT301" t="s">
        <v>231</v>
      </c>
      <c r="BU301" t="s">
        <v>231</v>
      </c>
      <c r="BV301" t="s">
        <v>231</v>
      </c>
      <c r="BW301" t="s">
        <v>231</v>
      </c>
      <c r="BX301" t="s">
        <v>231</v>
      </c>
      <c r="BY301" t="s">
        <v>231</v>
      </c>
      <c r="BZ301" t="s">
        <v>231</v>
      </c>
      <c r="CA301" t="s">
        <v>231</v>
      </c>
      <c r="CB301" t="s">
        <v>231</v>
      </c>
      <c r="CC301" t="s">
        <v>231</v>
      </c>
      <c r="CD301" t="s">
        <v>231</v>
      </c>
      <c r="CE301" t="s">
        <v>231</v>
      </c>
      <c r="CF301" t="s">
        <v>231</v>
      </c>
      <c r="CG301" t="s">
        <v>231</v>
      </c>
      <c r="CH301" t="s">
        <v>231</v>
      </c>
      <c r="CI301" t="s">
        <v>231</v>
      </c>
      <c r="CJ301" t="s">
        <v>231</v>
      </c>
      <c r="CK301" t="s">
        <v>231</v>
      </c>
      <c r="CL301" t="s">
        <v>231</v>
      </c>
      <c r="CM301" t="s">
        <v>231</v>
      </c>
      <c r="CN301" t="s">
        <v>231</v>
      </c>
      <c r="CO301" t="s">
        <v>231</v>
      </c>
      <c r="CP301" t="s">
        <v>231</v>
      </c>
      <c r="CQ301" t="s">
        <v>231</v>
      </c>
      <c r="CR301" t="s">
        <v>231</v>
      </c>
      <c r="CS301" t="s">
        <v>231</v>
      </c>
      <c r="CT301" t="s">
        <v>3534</v>
      </c>
      <c r="CU301" t="s">
        <v>3535</v>
      </c>
      <c r="CV301" t="s">
        <v>3536</v>
      </c>
      <c r="CW301" t="s">
        <v>3569</v>
      </c>
      <c r="CX301" t="s">
        <v>3570</v>
      </c>
      <c r="CY301" t="s">
        <v>3536</v>
      </c>
      <c r="CZ301" t="s">
        <v>224</v>
      </c>
      <c r="DA301" t="s">
        <v>3571</v>
      </c>
      <c r="DB301" t="s">
        <v>3569</v>
      </c>
      <c r="DC301" t="s">
        <v>363</v>
      </c>
      <c r="DD301" t="s">
        <v>282</v>
      </c>
      <c r="DE301" t="s">
        <v>4928</v>
      </c>
    </row>
    <row r="302" spans="1:109" ht="11.25" customHeight="1">
      <c r="A302" s="1314" t="s">
        <v>231</v>
      </c>
      <c r="B302" t="s">
        <v>231</v>
      </c>
      <c r="C302" t="s">
        <v>231</v>
      </c>
      <c r="D302" t="s">
        <v>231</v>
      </c>
      <c r="E302" t="s">
        <v>231</v>
      </c>
      <c r="F302" t="s">
        <v>231</v>
      </c>
      <c r="G302" t="s">
        <v>231</v>
      </c>
      <c r="H302" t="s">
        <v>231</v>
      </c>
      <c r="I302" t="s">
        <v>3521</v>
      </c>
      <c r="J302" t="s">
        <v>231</v>
      </c>
      <c r="K302" t="s">
        <v>231</v>
      </c>
      <c r="L302" t="s">
        <v>231</v>
      </c>
      <c r="M302" t="s">
        <v>231</v>
      </c>
      <c r="N302" t="s">
        <v>231</v>
      </c>
      <c r="O302" t="s">
        <v>231</v>
      </c>
      <c r="P302" t="s">
        <v>231</v>
      </c>
      <c r="Q302" t="s">
        <v>231</v>
      </c>
      <c r="R302" t="s">
        <v>4929</v>
      </c>
      <c r="S302" t="s">
        <v>231</v>
      </c>
      <c r="T302" t="s">
        <v>231</v>
      </c>
      <c r="U302" t="s">
        <v>101</v>
      </c>
      <c r="V302" t="s">
        <v>231</v>
      </c>
      <c r="W302" t="s">
        <v>231</v>
      </c>
      <c r="X302" t="s">
        <v>3523</v>
      </c>
      <c r="Y302" t="s">
        <v>231</v>
      </c>
      <c r="Z302" t="s">
        <v>160</v>
      </c>
      <c r="AA302" t="s">
        <v>151</v>
      </c>
      <c r="AB302" t="s">
        <v>151</v>
      </c>
      <c r="AC302" t="s">
        <v>2283</v>
      </c>
      <c r="AD302" t="s">
        <v>2283</v>
      </c>
      <c r="AE302" t="s">
        <v>2284</v>
      </c>
      <c r="AF302" t="s">
        <v>4001</v>
      </c>
      <c r="AG302" t="s">
        <v>4002</v>
      </c>
      <c r="AH302" t="s">
        <v>4006</v>
      </c>
      <c r="AI302" t="s">
        <v>4930</v>
      </c>
      <c r="AJ302" t="s">
        <v>3546</v>
      </c>
      <c r="AK302" t="s">
        <v>3546</v>
      </c>
      <c r="AL302" t="s">
        <v>3648</v>
      </c>
      <c r="AM302" t="s">
        <v>3531</v>
      </c>
      <c r="AN302" t="s">
        <v>3549</v>
      </c>
      <c r="AO302" t="s">
        <v>3790</v>
      </c>
      <c r="AP302" t="s">
        <v>231</v>
      </c>
      <c r="AQ302" t="s">
        <v>231</v>
      </c>
      <c r="AR302" t="s">
        <v>231</v>
      </c>
      <c r="AS302" t="s">
        <v>231</v>
      </c>
      <c r="AT302" t="s">
        <v>231</v>
      </c>
      <c r="AU302" t="s">
        <v>231</v>
      </c>
      <c r="AV302" t="s">
        <v>231</v>
      </c>
      <c r="AW302" t="s">
        <v>231</v>
      </c>
      <c r="AX302" t="s">
        <v>231</v>
      </c>
      <c r="AY302" t="s">
        <v>231</v>
      </c>
      <c r="AZ302" t="s">
        <v>231</v>
      </c>
      <c r="BA302" t="s">
        <v>231</v>
      </c>
      <c r="BB302" t="s">
        <v>231</v>
      </c>
      <c r="BC302" t="s">
        <v>231</v>
      </c>
      <c r="BD302" t="s">
        <v>231</v>
      </c>
      <c r="BE302" t="s">
        <v>231</v>
      </c>
      <c r="BF302" t="s">
        <v>231</v>
      </c>
      <c r="BG302" t="s">
        <v>231</v>
      </c>
      <c r="BH302" t="s">
        <v>231</v>
      </c>
      <c r="BI302" t="s">
        <v>231</v>
      </c>
      <c r="BJ302" t="s">
        <v>231</v>
      </c>
      <c r="BK302" t="s">
        <v>231</v>
      </c>
      <c r="BL302" t="s">
        <v>231</v>
      </c>
      <c r="BM302" t="s">
        <v>231</v>
      </c>
      <c r="BN302" t="s">
        <v>231</v>
      </c>
      <c r="BO302" t="s">
        <v>231</v>
      </c>
      <c r="BP302" t="s">
        <v>231</v>
      </c>
      <c r="BQ302" t="s">
        <v>231</v>
      </c>
      <c r="BR302" t="s">
        <v>231</v>
      </c>
      <c r="BS302" t="s">
        <v>231</v>
      </c>
      <c r="BT302" t="s">
        <v>231</v>
      </c>
      <c r="BU302" t="s">
        <v>231</v>
      </c>
      <c r="BV302" t="s">
        <v>231</v>
      </c>
      <c r="BW302" t="s">
        <v>231</v>
      </c>
      <c r="BX302" t="s">
        <v>231</v>
      </c>
      <c r="BY302" t="s">
        <v>231</v>
      </c>
      <c r="BZ302" t="s">
        <v>231</v>
      </c>
      <c r="CA302" t="s">
        <v>231</v>
      </c>
      <c r="CB302" t="s">
        <v>231</v>
      </c>
      <c r="CC302" t="s">
        <v>231</v>
      </c>
      <c r="CD302" t="s">
        <v>231</v>
      </c>
      <c r="CE302" t="s">
        <v>231</v>
      </c>
      <c r="CF302" t="s">
        <v>231</v>
      </c>
      <c r="CG302" t="s">
        <v>231</v>
      </c>
      <c r="CH302" t="s">
        <v>231</v>
      </c>
      <c r="CI302" t="s">
        <v>231</v>
      </c>
      <c r="CJ302" t="s">
        <v>231</v>
      </c>
      <c r="CK302" t="s">
        <v>231</v>
      </c>
      <c r="CL302" t="s">
        <v>231</v>
      </c>
      <c r="CM302" t="s">
        <v>231</v>
      </c>
      <c r="CN302" t="s">
        <v>231</v>
      </c>
      <c r="CO302" t="s">
        <v>231</v>
      </c>
      <c r="CP302" t="s">
        <v>231</v>
      </c>
      <c r="CQ302" t="s">
        <v>231</v>
      </c>
      <c r="CR302" t="s">
        <v>231</v>
      </c>
      <c r="CS302" t="s">
        <v>231</v>
      </c>
      <c r="CT302" t="s">
        <v>3534</v>
      </c>
      <c r="CU302" t="s">
        <v>3535</v>
      </c>
      <c r="CV302" t="s">
        <v>3536</v>
      </c>
      <c r="CW302" t="s">
        <v>3551</v>
      </c>
      <c r="CX302" t="s">
        <v>223</v>
      </c>
      <c r="CY302" t="s">
        <v>3536</v>
      </c>
      <c r="CZ302" t="s">
        <v>3552</v>
      </c>
      <c r="DA302" t="s">
        <v>3553</v>
      </c>
      <c r="DB302" t="s">
        <v>3551</v>
      </c>
      <c r="DC302" t="s">
        <v>363</v>
      </c>
      <c r="DD302" t="s">
        <v>282</v>
      </c>
      <c r="DE302" t="s">
        <v>4931</v>
      </c>
    </row>
    <row r="303" spans="1:109" ht="11.25" customHeight="1">
      <c r="A303" s="1314" t="s">
        <v>231</v>
      </c>
      <c r="B303" t="s">
        <v>231</v>
      </c>
      <c r="C303" t="s">
        <v>231</v>
      </c>
      <c r="D303" t="s">
        <v>231</v>
      </c>
      <c r="E303" t="s">
        <v>231</v>
      </c>
      <c r="F303" t="s">
        <v>231</v>
      </c>
      <c r="G303" t="s">
        <v>231</v>
      </c>
      <c r="H303" t="s">
        <v>231</v>
      </c>
      <c r="I303" t="s">
        <v>3521</v>
      </c>
      <c r="J303" t="s">
        <v>231</v>
      </c>
      <c r="K303" t="s">
        <v>231</v>
      </c>
      <c r="L303" t="s">
        <v>231</v>
      </c>
      <c r="M303" t="s">
        <v>231</v>
      </c>
      <c r="N303" t="s">
        <v>231</v>
      </c>
      <c r="O303" t="s">
        <v>231</v>
      </c>
      <c r="P303" t="s">
        <v>231</v>
      </c>
      <c r="Q303" t="s">
        <v>231</v>
      </c>
      <c r="R303" t="s">
        <v>4932</v>
      </c>
      <c r="S303" t="s">
        <v>231</v>
      </c>
      <c r="T303" t="s">
        <v>231</v>
      </c>
      <c r="U303" t="s">
        <v>101</v>
      </c>
      <c r="V303" t="s">
        <v>231</v>
      </c>
      <c r="W303" t="s">
        <v>231</v>
      </c>
      <c r="X303" t="s">
        <v>3628</v>
      </c>
      <c r="Y303" t="s">
        <v>231</v>
      </c>
      <c r="Z303" t="s">
        <v>151</v>
      </c>
      <c r="AA303" t="s">
        <v>151</v>
      </c>
      <c r="AB303" t="s">
        <v>160</v>
      </c>
      <c r="AC303" t="s">
        <v>2289</v>
      </c>
      <c r="AD303" t="s">
        <v>2289</v>
      </c>
      <c r="AE303" t="s">
        <v>2290</v>
      </c>
      <c r="AF303" t="s">
        <v>4454</v>
      </c>
      <c r="AG303" t="s">
        <v>4455</v>
      </c>
      <c r="AH303" t="s">
        <v>3618</v>
      </c>
      <c r="AI303" t="s">
        <v>3618</v>
      </c>
      <c r="AJ303" t="s">
        <v>231</v>
      </c>
      <c r="AK303" t="s">
        <v>231</v>
      </c>
      <c r="AL303" t="s">
        <v>231</v>
      </c>
      <c r="AM303" t="s">
        <v>231</v>
      </c>
      <c r="AN303" t="s">
        <v>231</v>
      </c>
      <c r="AO303" t="s">
        <v>231</v>
      </c>
      <c r="AP303" t="s">
        <v>231</v>
      </c>
      <c r="AQ303" t="s">
        <v>231</v>
      </c>
      <c r="AR303" t="s">
        <v>231</v>
      </c>
      <c r="AS303" t="s">
        <v>231</v>
      </c>
      <c r="AT303" t="s">
        <v>231</v>
      </c>
      <c r="AU303" t="s">
        <v>231</v>
      </c>
      <c r="AV303" t="s">
        <v>231</v>
      </c>
      <c r="AW303" t="s">
        <v>231</v>
      </c>
      <c r="AX303" t="s">
        <v>231</v>
      </c>
      <c r="AY303" t="s">
        <v>231</v>
      </c>
      <c r="AZ303" t="s">
        <v>231</v>
      </c>
      <c r="BA303" t="s">
        <v>231</v>
      </c>
      <c r="BB303" t="s">
        <v>231</v>
      </c>
      <c r="BC303" t="s">
        <v>231</v>
      </c>
      <c r="BD303" t="s">
        <v>231</v>
      </c>
      <c r="BE303" t="s">
        <v>3546</v>
      </c>
      <c r="BF303" t="s">
        <v>4718</v>
      </c>
      <c r="BG303" t="s">
        <v>111</v>
      </c>
      <c r="BH303" t="s">
        <v>3632</v>
      </c>
      <c r="BI303" t="s">
        <v>122</v>
      </c>
      <c r="BJ303" t="s">
        <v>231</v>
      </c>
      <c r="BK303" t="s">
        <v>3651</v>
      </c>
      <c r="BL303" t="s">
        <v>2289</v>
      </c>
      <c r="BM303" t="s">
        <v>2289</v>
      </c>
      <c r="BN303" t="s">
        <v>3707</v>
      </c>
      <c r="BO303" t="s">
        <v>4454</v>
      </c>
      <c r="BP303" t="s">
        <v>4933</v>
      </c>
      <c r="BQ303" t="s">
        <v>3618</v>
      </c>
      <c r="BR303" t="s">
        <v>3618</v>
      </c>
      <c r="BS303" t="s">
        <v>231</v>
      </c>
      <c r="BT303" t="s">
        <v>3694</v>
      </c>
      <c r="BU303" t="s">
        <v>4934</v>
      </c>
      <c r="BV303" t="s">
        <v>4934</v>
      </c>
      <c r="BW303" t="s">
        <v>3641</v>
      </c>
      <c r="BX303" t="s">
        <v>3641</v>
      </c>
      <c r="BY303" t="s">
        <v>3641</v>
      </c>
      <c r="BZ303" t="s">
        <v>3641</v>
      </c>
      <c r="CA303" t="s">
        <v>3641</v>
      </c>
      <c r="CB303" t="s">
        <v>231</v>
      </c>
      <c r="CC303" t="s">
        <v>231</v>
      </c>
      <c r="CD303" t="s">
        <v>231</v>
      </c>
      <c r="CE303" t="s">
        <v>231</v>
      </c>
      <c r="CF303" t="s">
        <v>231</v>
      </c>
      <c r="CG303" t="s">
        <v>3641</v>
      </c>
      <c r="CH303" t="s">
        <v>231</v>
      </c>
      <c r="CI303" t="s">
        <v>231</v>
      </c>
      <c r="CJ303" t="s">
        <v>231</v>
      </c>
      <c r="CK303" t="s">
        <v>231</v>
      </c>
      <c r="CL303" t="s">
        <v>231</v>
      </c>
      <c r="CM303" t="s">
        <v>4934</v>
      </c>
      <c r="CN303" t="s">
        <v>4934</v>
      </c>
      <c r="CO303" t="s">
        <v>231</v>
      </c>
      <c r="CP303" t="s">
        <v>231</v>
      </c>
      <c r="CQ303" t="s">
        <v>231</v>
      </c>
      <c r="CR303" t="s">
        <v>231</v>
      </c>
      <c r="CS303" t="s">
        <v>3710</v>
      </c>
      <c r="CT303" t="s">
        <v>3534</v>
      </c>
      <c r="CU303" t="s">
        <v>3535</v>
      </c>
      <c r="CV303" t="s">
        <v>3536</v>
      </c>
      <c r="CW303" t="s">
        <v>3589</v>
      </c>
      <c r="CX303" t="s">
        <v>223</v>
      </c>
      <c r="CY303" t="s">
        <v>3536</v>
      </c>
      <c r="CZ303" t="s">
        <v>3590</v>
      </c>
      <c r="DA303" t="s">
        <v>3591</v>
      </c>
      <c r="DB303" t="s">
        <v>3589</v>
      </c>
      <c r="DC303" t="s">
        <v>363</v>
      </c>
      <c r="DD303" t="s">
        <v>282</v>
      </c>
      <c r="DE303" t="s">
        <v>4935</v>
      </c>
    </row>
    <row r="304" spans="1:109" ht="11.25" customHeight="1">
      <c r="A304" s="1314" t="s">
        <v>231</v>
      </c>
      <c r="B304" t="s">
        <v>231</v>
      </c>
      <c r="C304" t="s">
        <v>231</v>
      </c>
      <c r="D304" t="s">
        <v>231</v>
      </c>
      <c r="E304" t="s">
        <v>231</v>
      </c>
      <c r="F304" t="s">
        <v>231</v>
      </c>
      <c r="G304" t="s">
        <v>231</v>
      </c>
      <c r="H304" t="s">
        <v>231</v>
      </c>
      <c r="I304" t="s">
        <v>3521</v>
      </c>
      <c r="J304" t="s">
        <v>231</v>
      </c>
      <c r="K304" t="s">
        <v>231</v>
      </c>
      <c r="L304" t="s">
        <v>231</v>
      </c>
      <c r="M304" t="s">
        <v>231</v>
      </c>
      <c r="N304" t="s">
        <v>231</v>
      </c>
      <c r="O304" t="s">
        <v>231</v>
      </c>
      <c r="P304" t="s">
        <v>231</v>
      </c>
      <c r="Q304" t="s">
        <v>231</v>
      </c>
      <c r="R304" t="s">
        <v>4936</v>
      </c>
      <c r="S304" t="s">
        <v>231</v>
      </c>
      <c r="T304" t="s">
        <v>231</v>
      </c>
      <c r="U304" t="s">
        <v>101</v>
      </c>
      <c r="V304" t="s">
        <v>231</v>
      </c>
      <c r="W304" t="s">
        <v>231</v>
      </c>
      <c r="X304" t="s">
        <v>3523</v>
      </c>
      <c r="Y304" t="s">
        <v>231</v>
      </c>
      <c r="Z304" t="s">
        <v>160</v>
      </c>
      <c r="AA304" t="s">
        <v>151</v>
      </c>
      <c r="AB304" t="s">
        <v>151</v>
      </c>
      <c r="AC304" t="s">
        <v>343</v>
      </c>
      <c r="AD304" t="s">
        <v>343</v>
      </c>
      <c r="AE304" t="s">
        <v>344</v>
      </c>
      <c r="AF304" t="s">
        <v>3561</v>
      </c>
      <c r="AG304" t="s">
        <v>3562</v>
      </c>
      <c r="AH304" t="s">
        <v>4937</v>
      </c>
      <c r="AI304" t="s">
        <v>4938</v>
      </c>
      <c r="AJ304" t="s">
        <v>3952</v>
      </c>
      <c r="AK304" t="s">
        <v>3641</v>
      </c>
      <c r="AL304" t="s">
        <v>3566</v>
      </c>
      <c r="AM304" t="s">
        <v>3531</v>
      </c>
      <c r="AN304" t="s">
        <v>4939</v>
      </c>
      <c r="AO304" t="s">
        <v>4940</v>
      </c>
      <c r="AP304" t="s">
        <v>231</v>
      </c>
      <c r="AQ304" t="s">
        <v>231</v>
      </c>
      <c r="AR304" t="s">
        <v>231</v>
      </c>
      <c r="AS304" t="s">
        <v>231</v>
      </c>
      <c r="AT304" t="s">
        <v>231</v>
      </c>
      <c r="AU304" t="s">
        <v>231</v>
      </c>
      <c r="AV304" t="s">
        <v>231</v>
      </c>
      <c r="AW304" t="s">
        <v>231</v>
      </c>
      <c r="AX304" t="s">
        <v>231</v>
      </c>
      <c r="AY304" t="s">
        <v>231</v>
      </c>
      <c r="AZ304" t="s">
        <v>231</v>
      </c>
      <c r="BA304" t="s">
        <v>231</v>
      </c>
      <c r="BB304" t="s">
        <v>231</v>
      </c>
      <c r="BC304" t="s">
        <v>231</v>
      </c>
      <c r="BD304" t="s">
        <v>231</v>
      </c>
      <c r="BE304" t="s">
        <v>231</v>
      </c>
      <c r="BF304" t="s">
        <v>231</v>
      </c>
      <c r="BG304" t="s">
        <v>231</v>
      </c>
      <c r="BH304" t="s">
        <v>231</v>
      </c>
      <c r="BI304" t="s">
        <v>231</v>
      </c>
      <c r="BJ304" t="s">
        <v>231</v>
      </c>
      <c r="BK304" t="s">
        <v>231</v>
      </c>
      <c r="BL304" t="s">
        <v>231</v>
      </c>
      <c r="BM304" t="s">
        <v>231</v>
      </c>
      <c r="BN304" t="s">
        <v>231</v>
      </c>
      <c r="BO304" t="s">
        <v>231</v>
      </c>
      <c r="BP304" t="s">
        <v>231</v>
      </c>
      <c r="BQ304" t="s">
        <v>231</v>
      </c>
      <c r="BR304" t="s">
        <v>231</v>
      </c>
      <c r="BS304" t="s">
        <v>231</v>
      </c>
      <c r="BT304" t="s">
        <v>231</v>
      </c>
      <c r="BU304" t="s">
        <v>231</v>
      </c>
      <c r="BV304" t="s">
        <v>231</v>
      </c>
      <c r="BW304" t="s">
        <v>231</v>
      </c>
      <c r="BX304" t="s">
        <v>231</v>
      </c>
      <c r="BY304" t="s">
        <v>231</v>
      </c>
      <c r="BZ304" t="s">
        <v>231</v>
      </c>
      <c r="CA304" t="s">
        <v>231</v>
      </c>
      <c r="CB304" t="s">
        <v>231</v>
      </c>
      <c r="CC304" t="s">
        <v>231</v>
      </c>
      <c r="CD304" t="s">
        <v>231</v>
      </c>
      <c r="CE304" t="s">
        <v>231</v>
      </c>
      <c r="CF304" t="s">
        <v>231</v>
      </c>
      <c r="CG304" t="s">
        <v>231</v>
      </c>
      <c r="CH304" t="s">
        <v>231</v>
      </c>
      <c r="CI304" t="s">
        <v>231</v>
      </c>
      <c r="CJ304" t="s">
        <v>231</v>
      </c>
      <c r="CK304" t="s">
        <v>231</v>
      </c>
      <c r="CL304" t="s">
        <v>231</v>
      </c>
      <c r="CM304" t="s">
        <v>231</v>
      </c>
      <c r="CN304" t="s">
        <v>231</v>
      </c>
      <c r="CO304" t="s">
        <v>231</v>
      </c>
      <c r="CP304" t="s">
        <v>231</v>
      </c>
      <c r="CQ304" t="s">
        <v>231</v>
      </c>
      <c r="CR304" t="s">
        <v>231</v>
      </c>
      <c r="CS304" t="s">
        <v>231</v>
      </c>
      <c r="CT304" t="s">
        <v>3534</v>
      </c>
      <c r="CU304" t="s">
        <v>3535</v>
      </c>
      <c r="CV304" t="s">
        <v>3536</v>
      </c>
      <c r="CW304" t="s">
        <v>3569</v>
      </c>
      <c r="CX304" t="s">
        <v>3570</v>
      </c>
      <c r="CY304" t="s">
        <v>3536</v>
      </c>
      <c r="CZ304" t="s">
        <v>224</v>
      </c>
      <c r="DA304" t="s">
        <v>3571</v>
      </c>
      <c r="DB304" t="s">
        <v>3569</v>
      </c>
      <c r="DC304" t="s">
        <v>363</v>
      </c>
      <c r="DD304" t="s">
        <v>282</v>
      </c>
      <c r="DE304" t="s">
        <v>4941</v>
      </c>
    </row>
    <row r="305" spans="1:109" ht="11.25" customHeight="1">
      <c r="A305" s="1314" t="s">
        <v>231</v>
      </c>
      <c r="B305" t="s">
        <v>231</v>
      </c>
      <c r="C305" t="s">
        <v>231</v>
      </c>
      <c r="D305" t="s">
        <v>231</v>
      </c>
      <c r="E305" t="s">
        <v>231</v>
      </c>
      <c r="F305" t="s">
        <v>231</v>
      </c>
      <c r="G305" t="s">
        <v>231</v>
      </c>
      <c r="H305" t="s">
        <v>231</v>
      </c>
      <c r="I305" t="s">
        <v>3521</v>
      </c>
      <c r="J305" t="s">
        <v>231</v>
      </c>
      <c r="K305" t="s">
        <v>231</v>
      </c>
      <c r="L305" t="s">
        <v>231</v>
      </c>
      <c r="M305" t="s">
        <v>231</v>
      </c>
      <c r="N305" t="s">
        <v>231</v>
      </c>
      <c r="O305" t="s">
        <v>231</v>
      </c>
      <c r="P305" t="s">
        <v>231</v>
      </c>
      <c r="Q305" t="s">
        <v>231</v>
      </c>
      <c r="R305" t="s">
        <v>3615</v>
      </c>
      <c r="S305" t="s">
        <v>231</v>
      </c>
      <c r="T305" t="s">
        <v>231</v>
      </c>
      <c r="U305" t="s">
        <v>101</v>
      </c>
      <c r="V305" t="s">
        <v>231</v>
      </c>
      <c r="W305" t="s">
        <v>231</v>
      </c>
      <c r="X305" t="s">
        <v>3523</v>
      </c>
      <c r="Y305" t="s">
        <v>231</v>
      </c>
      <c r="Z305" t="s">
        <v>160</v>
      </c>
      <c r="AA305" t="s">
        <v>151</v>
      </c>
      <c r="AB305" t="s">
        <v>151</v>
      </c>
      <c r="AC305" t="s">
        <v>2289</v>
      </c>
      <c r="AD305" t="s">
        <v>2289</v>
      </c>
      <c r="AE305" t="s">
        <v>2290</v>
      </c>
      <c r="AF305" t="s">
        <v>3726</v>
      </c>
      <c r="AG305" t="s">
        <v>3727</v>
      </c>
      <c r="AH305" t="s">
        <v>4942</v>
      </c>
      <c r="AI305" t="s">
        <v>4943</v>
      </c>
      <c r="AJ305" t="s">
        <v>4481</v>
      </c>
      <c r="AK305" t="s">
        <v>3716</v>
      </c>
      <c r="AL305" t="s">
        <v>3548</v>
      </c>
      <c r="AM305" t="s">
        <v>3531</v>
      </c>
      <c r="AN305" t="s">
        <v>3595</v>
      </c>
      <c r="AO305" t="s">
        <v>3679</v>
      </c>
      <c r="AP305" t="s">
        <v>231</v>
      </c>
      <c r="AQ305" t="s">
        <v>231</v>
      </c>
      <c r="AR305" t="s">
        <v>231</v>
      </c>
      <c r="AS305" t="s">
        <v>231</v>
      </c>
      <c r="AT305" t="s">
        <v>231</v>
      </c>
      <c r="AU305" t="s">
        <v>231</v>
      </c>
      <c r="AV305" t="s">
        <v>231</v>
      </c>
      <c r="AW305" t="s">
        <v>231</v>
      </c>
      <c r="AX305" t="s">
        <v>231</v>
      </c>
      <c r="AY305" t="s">
        <v>231</v>
      </c>
      <c r="AZ305" t="s">
        <v>231</v>
      </c>
      <c r="BA305" t="s">
        <v>231</v>
      </c>
      <c r="BB305" t="s">
        <v>231</v>
      </c>
      <c r="BC305" t="s">
        <v>231</v>
      </c>
      <c r="BD305" t="s">
        <v>231</v>
      </c>
      <c r="BE305" t="s">
        <v>231</v>
      </c>
      <c r="BF305" t="s">
        <v>231</v>
      </c>
      <c r="BG305" t="s">
        <v>231</v>
      </c>
      <c r="BH305" t="s">
        <v>231</v>
      </c>
      <c r="BI305" t="s">
        <v>231</v>
      </c>
      <c r="BJ305" t="s">
        <v>231</v>
      </c>
      <c r="BK305" t="s">
        <v>231</v>
      </c>
      <c r="BL305" t="s">
        <v>231</v>
      </c>
      <c r="BM305" t="s">
        <v>231</v>
      </c>
      <c r="BN305" t="s">
        <v>231</v>
      </c>
      <c r="BO305" t="s">
        <v>231</v>
      </c>
      <c r="BP305" t="s">
        <v>231</v>
      </c>
      <c r="BQ305" t="s">
        <v>231</v>
      </c>
      <c r="BR305" t="s">
        <v>231</v>
      </c>
      <c r="BS305" t="s">
        <v>231</v>
      </c>
      <c r="BT305" t="s">
        <v>231</v>
      </c>
      <c r="BU305" t="s">
        <v>231</v>
      </c>
      <c r="BV305" t="s">
        <v>231</v>
      </c>
      <c r="BW305" t="s">
        <v>231</v>
      </c>
      <c r="BX305" t="s">
        <v>231</v>
      </c>
      <c r="BY305" t="s">
        <v>231</v>
      </c>
      <c r="BZ305" t="s">
        <v>231</v>
      </c>
      <c r="CA305" t="s">
        <v>231</v>
      </c>
      <c r="CB305" t="s">
        <v>231</v>
      </c>
      <c r="CC305" t="s">
        <v>231</v>
      </c>
      <c r="CD305" t="s">
        <v>231</v>
      </c>
      <c r="CE305" t="s">
        <v>231</v>
      </c>
      <c r="CF305" t="s">
        <v>231</v>
      </c>
      <c r="CG305" t="s">
        <v>231</v>
      </c>
      <c r="CH305" t="s">
        <v>231</v>
      </c>
      <c r="CI305" t="s">
        <v>231</v>
      </c>
      <c r="CJ305" t="s">
        <v>231</v>
      </c>
      <c r="CK305" t="s">
        <v>231</v>
      </c>
      <c r="CL305" t="s">
        <v>231</v>
      </c>
      <c r="CM305" t="s">
        <v>231</v>
      </c>
      <c r="CN305" t="s">
        <v>231</v>
      </c>
      <c r="CO305" t="s">
        <v>231</v>
      </c>
      <c r="CP305" t="s">
        <v>231</v>
      </c>
      <c r="CQ305" t="s">
        <v>231</v>
      </c>
      <c r="CR305" t="s">
        <v>231</v>
      </c>
      <c r="CS305" t="s">
        <v>231</v>
      </c>
      <c r="CT305" t="s">
        <v>3534</v>
      </c>
      <c r="CU305" t="s">
        <v>3535</v>
      </c>
      <c r="CV305" t="s">
        <v>3536</v>
      </c>
      <c r="CW305" t="s">
        <v>3589</v>
      </c>
      <c r="CX305" t="s">
        <v>223</v>
      </c>
      <c r="CY305" t="s">
        <v>3536</v>
      </c>
      <c r="CZ305" t="s">
        <v>3590</v>
      </c>
      <c r="DA305" t="s">
        <v>3591</v>
      </c>
      <c r="DB305" t="s">
        <v>3589</v>
      </c>
      <c r="DC305" t="s">
        <v>363</v>
      </c>
      <c r="DD305" t="s">
        <v>282</v>
      </c>
      <c r="DE305" t="s">
        <v>4944</v>
      </c>
    </row>
    <row r="306" spans="1:109" ht="11.25" customHeight="1">
      <c r="A306" s="1314" t="s">
        <v>231</v>
      </c>
      <c r="B306" t="s">
        <v>231</v>
      </c>
      <c r="C306" t="s">
        <v>231</v>
      </c>
      <c r="D306" t="s">
        <v>231</v>
      </c>
      <c r="E306" t="s">
        <v>231</v>
      </c>
      <c r="F306" t="s">
        <v>231</v>
      </c>
      <c r="G306" t="s">
        <v>231</v>
      </c>
      <c r="H306" t="s">
        <v>231</v>
      </c>
      <c r="I306" t="s">
        <v>3521</v>
      </c>
      <c r="J306" t="s">
        <v>231</v>
      </c>
      <c r="K306" t="s">
        <v>231</v>
      </c>
      <c r="L306" t="s">
        <v>231</v>
      </c>
      <c r="M306" t="s">
        <v>231</v>
      </c>
      <c r="N306" t="s">
        <v>231</v>
      </c>
      <c r="O306" t="s">
        <v>231</v>
      </c>
      <c r="P306" t="s">
        <v>231</v>
      </c>
      <c r="Q306" t="s">
        <v>231</v>
      </c>
      <c r="R306" t="s">
        <v>4945</v>
      </c>
      <c r="S306" t="s">
        <v>231</v>
      </c>
      <c r="T306" t="s">
        <v>231</v>
      </c>
      <c r="U306" t="s">
        <v>101</v>
      </c>
      <c r="V306" t="s">
        <v>231</v>
      </c>
      <c r="W306" t="s">
        <v>231</v>
      </c>
      <c r="X306" t="s">
        <v>3628</v>
      </c>
      <c r="Y306" t="s">
        <v>231</v>
      </c>
      <c r="Z306" t="s">
        <v>151</v>
      </c>
      <c r="AA306" t="s">
        <v>151</v>
      </c>
      <c r="AB306" t="s">
        <v>160</v>
      </c>
      <c r="AC306" t="s">
        <v>2287</v>
      </c>
      <c r="AD306" t="s">
        <v>2287</v>
      </c>
      <c r="AE306" t="s">
        <v>2288</v>
      </c>
      <c r="AF306" t="s">
        <v>4754</v>
      </c>
      <c r="AG306" t="s">
        <v>4755</v>
      </c>
      <c r="AH306" t="s">
        <v>3618</v>
      </c>
      <c r="AI306" t="s">
        <v>3618</v>
      </c>
      <c r="AJ306" t="s">
        <v>231</v>
      </c>
      <c r="AK306" t="s">
        <v>231</v>
      </c>
      <c r="AL306" t="s">
        <v>231</v>
      </c>
      <c r="AM306" t="s">
        <v>231</v>
      </c>
      <c r="AN306" t="s">
        <v>231</v>
      </c>
      <c r="AO306" t="s">
        <v>231</v>
      </c>
      <c r="AP306" t="s">
        <v>231</v>
      </c>
      <c r="AQ306" t="s">
        <v>231</v>
      </c>
      <c r="AR306" t="s">
        <v>231</v>
      </c>
      <c r="AS306" t="s">
        <v>231</v>
      </c>
      <c r="AT306" t="s">
        <v>231</v>
      </c>
      <c r="AU306" t="s">
        <v>231</v>
      </c>
      <c r="AV306" t="s">
        <v>231</v>
      </c>
      <c r="AW306" t="s">
        <v>231</v>
      </c>
      <c r="AX306" t="s">
        <v>231</v>
      </c>
      <c r="AY306" t="s">
        <v>231</v>
      </c>
      <c r="AZ306" t="s">
        <v>231</v>
      </c>
      <c r="BA306" t="s">
        <v>231</v>
      </c>
      <c r="BB306" t="s">
        <v>231</v>
      </c>
      <c r="BC306" t="s">
        <v>231</v>
      </c>
      <c r="BD306" t="s">
        <v>231</v>
      </c>
      <c r="BE306" t="s">
        <v>3619</v>
      </c>
      <c r="BF306" t="s">
        <v>4757</v>
      </c>
      <c r="BG306" t="s">
        <v>111</v>
      </c>
      <c r="BH306" t="s">
        <v>3632</v>
      </c>
      <c r="BI306" t="s">
        <v>122</v>
      </c>
      <c r="BJ306" t="s">
        <v>231</v>
      </c>
      <c r="BK306" t="s">
        <v>3651</v>
      </c>
      <c r="BL306" t="s">
        <v>2287</v>
      </c>
      <c r="BM306" t="s">
        <v>2287</v>
      </c>
      <c r="BN306" t="s">
        <v>3842</v>
      </c>
      <c r="BO306" t="s">
        <v>4754</v>
      </c>
      <c r="BP306" t="s">
        <v>4946</v>
      </c>
      <c r="BQ306" t="s">
        <v>3618</v>
      </c>
      <c r="BR306" t="s">
        <v>3618</v>
      </c>
      <c r="BS306" t="s">
        <v>231</v>
      </c>
      <c r="BT306" t="s">
        <v>3694</v>
      </c>
      <c r="BU306" t="s">
        <v>4947</v>
      </c>
      <c r="BV306" t="s">
        <v>4947</v>
      </c>
      <c r="BW306" t="s">
        <v>3641</v>
      </c>
      <c r="BX306" t="s">
        <v>3641</v>
      </c>
      <c r="BY306" t="s">
        <v>3641</v>
      </c>
      <c r="BZ306" t="s">
        <v>3641</v>
      </c>
      <c r="CA306" t="s">
        <v>3641</v>
      </c>
      <c r="CB306" t="s">
        <v>231</v>
      </c>
      <c r="CC306" t="s">
        <v>231</v>
      </c>
      <c r="CD306" t="s">
        <v>231</v>
      </c>
      <c r="CE306" t="s">
        <v>231</v>
      </c>
      <c r="CF306" t="s">
        <v>231</v>
      </c>
      <c r="CG306" t="s">
        <v>3641</v>
      </c>
      <c r="CH306" t="s">
        <v>231</v>
      </c>
      <c r="CI306" t="s">
        <v>231</v>
      </c>
      <c r="CJ306" t="s">
        <v>231</v>
      </c>
      <c r="CK306" t="s">
        <v>231</v>
      </c>
      <c r="CL306" t="s">
        <v>231</v>
      </c>
      <c r="CM306" t="s">
        <v>4947</v>
      </c>
      <c r="CN306" t="s">
        <v>4947</v>
      </c>
      <c r="CO306" t="s">
        <v>231</v>
      </c>
      <c r="CP306" t="s">
        <v>231</v>
      </c>
      <c r="CQ306" t="s">
        <v>231</v>
      </c>
      <c r="CR306" t="s">
        <v>231</v>
      </c>
      <c r="CS306" t="s">
        <v>3621</v>
      </c>
      <c r="CT306" t="s">
        <v>3534</v>
      </c>
      <c r="CU306" t="s">
        <v>3535</v>
      </c>
      <c r="CV306" t="s">
        <v>3536</v>
      </c>
      <c r="CW306" t="s">
        <v>3623</v>
      </c>
      <c r="CX306" t="s">
        <v>223</v>
      </c>
      <c r="CY306" t="s">
        <v>3536</v>
      </c>
      <c r="CZ306" t="s">
        <v>3624</v>
      </c>
      <c r="DA306" t="s">
        <v>3625</v>
      </c>
      <c r="DB306" t="s">
        <v>3623</v>
      </c>
      <c r="DC306" t="s">
        <v>363</v>
      </c>
      <c r="DD306" t="s">
        <v>282</v>
      </c>
      <c r="DE306" t="s">
        <v>4948</v>
      </c>
    </row>
    <row r="307" spans="1:109" ht="11.25" customHeight="1">
      <c r="A307" s="1314" t="s">
        <v>231</v>
      </c>
      <c r="B307" t="s">
        <v>231</v>
      </c>
      <c r="C307" t="s">
        <v>231</v>
      </c>
      <c r="D307" t="s">
        <v>231</v>
      </c>
      <c r="E307" t="s">
        <v>231</v>
      </c>
      <c r="F307" t="s">
        <v>231</v>
      </c>
      <c r="G307" t="s">
        <v>231</v>
      </c>
      <c r="H307" t="s">
        <v>231</v>
      </c>
      <c r="I307" t="s">
        <v>3521</v>
      </c>
      <c r="J307" t="s">
        <v>231</v>
      </c>
      <c r="K307" t="s">
        <v>231</v>
      </c>
      <c r="L307" t="s">
        <v>231</v>
      </c>
      <c r="M307" t="s">
        <v>231</v>
      </c>
      <c r="N307" t="s">
        <v>231</v>
      </c>
      <c r="O307" t="s">
        <v>231</v>
      </c>
      <c r="P307" t="s">
        <v>231</v>
      </c>
      <c r="Q307" t="s">
        <v>231</v>
      </c>
      <c r="R307" t="s">
        <v>4949</v>
      </c>
      <c r="S307" t="s">
        <v>231</v>
      </c>
      <c r="T307" t="s">
        <v>231</v>
      </c>
      <c r="U307" t="s">
        <v>101</v>
      </c>
      <c r="V307" t="s">
        <v>231</v>
      </c>
      <c r="W307" t="s">
        <v>231</v>
      </c>
      <c r="X307" t="s">
        <v>3523</v>
      </c>
      <c r="Y307" t="s">
        <v>231</v>
      </c>
      <c r="Z307" t="s">
        <v>160</v>
      </c>
      <c r="AA307" t="s">
        <v>151</v>
      </c>
      <c r="AB307" t="s">
        <v>151</v>
      </c>
      <c r="AC307" t="s">
        <v>2262</v>
      </c>
      <c r="AD307" t="s">
        <v>2262</v>
      </c>
      <c r="AE307" t="s">
        <v>2264</v>
      </c>
      <c r="AF307" t="s">
        <v>4879</v>
      </c>
      <c r="AG307" t="s">
        <v>4880</v>
      </c>
      <c r="AH307" t="s">
        <v>4950</v>
      </c>
      <c r="AI307" t="s">
        <v>4951</v>
      </c>
      <c r="AJ307" t="s">
        <v>4952</v>
      </c>
      <c r="AK307" t="s">
        <v>4953</v>
      </c>
      <c r="AL307" t="s">
        <v>3613</v>
      </c>
      <c r="AM307" t="s">
        <v>3531</v>
      </c>
      <c r="AN307" t="s">
        <v>3549</v>
      </c>
      <c r="AO307" t="s">
        <v>3790</v>
      </c>
      <c r="AP307" t="s">
        <v>231</v>
      </c>
      <c r="AQ307" t="s">
        <v>231</v>
      </c>
      <c r="AR307" t="s">
        <v>231</v>
      </c>
      <c r="AS307" t="s">
        <v>231</v>
      </c>
      <c r="AT307" t="s">
        <v>231</v>
      </c>
      <c r="AU307" t="s">
        <v>231</v>
      </c>
      <c r="AV307" t="s">
        <v>231</v>
      </c>
      <c r="AW307" t="s">
        <v>231</v>
      </c>
      <c r="AX307" t="s">
        <v>231</v>
      </c>
      <c r="AY307" t="s">
        <v>231</v>
      </c>
      <c r="AZ307" t="s">
        <v>231</v>
      </c>
      <c r="BA307" t="s">
        <v>231</v>
      </c>
      <c r="BB307" t="s">
        <v>231</v>
      </c>
      <c r="BC307" t="s">
        <v>231</v>
      </c>
      <c r="BD307" t="s">
        <v>231</v>
      </c>
      <c r="BE307" t="s">
        <v>231</v>
      </c>
      <c r="BF307" t="s">
        <v>231</v>
      </c>
      <c r="BG307" t="s">
        <v>231</v>
      </c>
      <c r="BH307" t="s">
        <v>231</v>
      </c>
      <c r="BI307" t="s">
        <v>231</v>
      </c>
      <c r="BJ307" t="s">
        <v>231</v>
      </c>
      <c r="BK307" t="s">
        <v>231</v>
      </c>
      <c r="BL307" t="s">
        <v>231</v>
      </c>
      <c r="BM307" t="s">
        <v>231</v>
      </c>
      <c r="BN307" t="s">
        <v>231</v>
      </c>
      <c r="BO307" t="s">
        <v>231</v>
      </c>
      <c r="BP307" t="s">
        <v>231</v>
      </c>
      <c r="BQ307" t="s">
        <v>231</v>
      </c>
      <c r="BR307" t="s">
        <v>231</v>
      </c>
      <c r="BS307" t="s">
        <v>231</v>
      </c>
      <c r="BT307" t="s">
        <v>231</v>
      </c>
      <c r="BU307" t="s">
        <v>231</v>
      </c>
      <c r="BV307" t="s">
        <v>231</v>
      </c>
      <c r="BW307" t="s">
        <v>231</v>
      </c>
      <c r="BX307" t="s">
        <v>231</v>
      </c>
      <c r="BY307" t="s">
        <v>231</v>
      </c>
      <c r="BZ307" t="s">
        <v>231</v>
      </c>
      <c r="CA307" t="s">
        <v>231</v>
      </c>
      <c r="CB307" t="s">
        <v>231</v>
      </c>
      <c r="CC307" t="s">
        <v>231</v>
      </c>
      <c r="CD307" t="s">
        <v>231</v>
      </c>
      <c r="CE307" t="s">
        <v>231</v>
      </c>
      <c r="CF307" t="s">
        <v>231</v>
      </c>
      <c r="CG307" t="s">
        <v>231</v>
      </c>
      <c r="CH307" t="s">
        <v>231</v>
      </c>
      <c r="CI307" t="s">
        <v>231</v>
      </c>
      <c r="CJ307" t="s">
        <v>231</v>
      </c>
      <c r="CK307" t="s">
        <v>231</v>
      </c>
      <c r="CL307" t="s">
        <v>231</v>
      </c>
      <c r="CM307" t="s">
        <v>231</v>
      </c>
      <c r="CN307" t="s">
        <v>231</v>
      </c>
      <c r="CO307" t="s">
        <v>231</v>
      </c>
      <c r="CP307" t="s">
        <v>231</v>
      </c>
      <c r="CQ307" t="s">
        <v>231</v>
      </c>
      <c r="CR307" t="s">
        <v>231</v>
      </c>
      <c r="CS307" t="s">
        <v>231</v>
      </c>
      <c r="CT307" t="s">
        <v>3534</v>
      </c>
      <c r="CU307" t="s">
        <v>3535</v>
      </c>
      <c r="CV307" t="s">
        <v>3536</v>
      </c>
      <c r="CW307" t="s">
        <v>4891</v>
      </c>
      <c r="CX307" t="s">
        <v>223</v>
      </c>
      <c r="CY307" t="s">
        <v>3536</v>
      </c>
      <c r="CZ307" t="s">
        <v>321</v>
      </c>
      <c r="DA307" t="s">
        <v>3539</v>
      </c>
      <c r="DB307" t="s">
        <v>4891</v>
      </c>
      <c r="DC307" t="s">
        <v>363</v>
      </c>
      <c r="DD307" t="s">
        <v>282</v>
      </c>
      <c r="DE307" t="s">
        <v>4954</v>
      </c>
    </row>
    <row r="308" spans="1:109" ht="11.25" customHeight="1">
      <c r="A308" s="1314" t="s">
        <v>231</v>
      </c>
      <c r="B308" t="s">
        <v>231</v>
      </c>
      <c r="C308" t="s">
        <v>231</v>
      </c>
      <c r="D308" t="s">
        <v>231</v>
      </c>
      <c r="E308" t="s">
        <v>231</v>
      </c>
      <c r="F308" t="s">
        <v>231</v>
      </c>
      <c r="G308" t="s">
        <v>231</v>
      </c>
      <c r="H308" t="s">
        <v>231</v>
      </c>
      <c r="I308" t="s">
        <v>3521</v>
      </c>
      <c r="J308" t="s">
        <v>231</v>
      </c>
      <c r="K308" t="s">
        <v>231</v>
      </c>
      <c r="L308" t="s">
        <v>231</v>
      </c>
      <c r="M308" t="s">
        <v>231</v>
      </c>
      <c r="N308" t="s">
        <v>231</v>
      </c>
      <c r="O308" t="s">
        <v>231</v>
      </c>
      <c r="P308" t="s">
        <v>231</v>
      </c>
      <c r="Q308" t="s">
        <v>231</v>
      </c>
      <c r="R308" t="s">
        <v>4955</v>
      </c>
      <c r="S308" t="s">
        <v>231</v>
      </c>
      <c r="T308" t="s">
        <v>231</v>
      </c>
      <c r="U308" t="s">
        <v>101</v>
      </c>
      <c r="V308" t="s">
        <v>231</v>
      </c>
      <c r="W308" t="s">
        <v>231</v>
      </c>
      <c r="X308" t="s">
        <v>3523</v>
      </c>
      <c r="Y308" t="s">
        <v>231</v>
      </c>
      <c r="Z308" t="s">
        <v>160</v>
      </c>
      <c r="AA308" t="s">
        <v>151</v>
      </c>
      <c r="AB308" t="s">
        <v>151</v>
      </c>
      <c r="AC308" t="s">
        <v>2262</v>
      </c>
      <c r="AD308" t="s">
        <v>2262</v>
      </c>
      <c r="AE308" t="s">
        <v>2264</v>
      </c>
      <c r="AF308" t="s">
        <v>4956</v>
      </c>
      <c r="AG308" t="s">
        <v>4957</v>
      </c>
      <c r="AH308" t="s">
        <v>4958</v>
      </c>
      <c r="AI308" t="s">
        <v>4959</v>
      </c>
      <c r="AJ308" t="s">
        <v>4960</v>
      </c>
      <c r="AK308" t="s">
        <v>4961</v>
      </c>
      <c r="AL308" t="s">
        <v>3613</v>
      </c>
      <c r="AM308" t="s">
        <v>3531</v>
      </c>
      <c r="AN308" t="s">
        <v>3549</v>
      </c>
      <c r="AO308" t="s">
        <v>3790</v>
      </c>
      <c r="AP308" t="s">
        <v>231</v>
      </c>
      <c r="AQ308" t="s">
        <v>231</v>
      </c>
      <c r="AR308" t="s">
        <v>231</v>
      </c>
      <c r="AS308" t="s">
        <v>231</v>
      </c>
      <c r="AT308" t="s">
        <v>231</v>
      </c>
      <c r="AU308" t="s">
        <v>231</v>
      </c>
      <c r="AV308" t="s">
        <v>231</v>
      </c>
      <c r="AW308" t="s">
        <v>231</v>
      </c>
      <c r="AX308" t="s">
        <v>231</v>
      </c>
      <c r="AY308" t="s">
        <v>231</v>
      </c>
      <c r="AZ308" t="s">
        <v>231</v>
      </c>
      <c r="BA308" t="s">
        <v>231</v>
      </c>
      <c r="BB308" t="s">
        <v>231</v>
      </c>
      <c r="BC308" t="s">
        <v>231</v>
      </c>
      <c r="BD308" t="s">
        <v>231</v>
      </c>
      <c r="BE308" t="s">
        <v>231</v>
      </c>
      <c r="BF308" t="s">
        <v>231</v>
      </c>
      <c r="BG308" t="s">
        <v>231</v>
      </c>
      <c r="BH308" t="s">
        <v>231</v>
      </c>
      <c r="BI308" t="s">
        <v>231</v>
      </c>
      <c r="BJ308" t="s">
        <v>231</v>
      </c>
      <c r="BK308" t="s">
        <v>231</v>
      </c>
      <c r="BL308" t="s">
        <v>231</v>
      </c>
      <c r="BM308" t="s">
        <v>231</v>
      </c>
      <c r="BN308" t="s">
        <v>231</v>
      </c>
      <c r="BO308" t="s">
        <v>231</v>
      </c>
      <c r="BP308" t="s">
        <v>231</v>
      </c>
      <c r="BQ308" t="s">
        <v>231</v>
      </c>
      <c r="BR308" t="s">
        <v>231</v>
      </c>
      <c r="BS308" t="s">
        <v>231</v>
      </c>
      <c r="BT308" t="s">
        <v>231</v>
      </c>
      <c r="BU308" t="s">
        <v>231</v>
      </c>
      <c r="BV308" t="s">
        <v>231</v>
      </c>
      <c r="BW308" t="s">
        <v>231</v>
      </c>
      <c r="BX308" t="s">
        <v>231</v>
      </c>
      <c r="BY308" t="s">
        <v>231</v>
      </c>
      <c r="BZ308" t="s">
        <v>231</v>
      </c>
      <c r="CA308" t="s">
        <v>231</v>
      </c>
      <c r="CB308" t="s">
        <v>231</v>
      </c>
      <c r="CC308" t="s">
        <v>231</v>
      </c>
      <c r="CD308" t="s">
        <v>231</v>
      </c>
      <c r="CE308" t="s">
        <v>231</v>
      </c>
      <c r="CF308" t="s">
        <v>231</v>
      </c>
      <c r="CG308" t="s">
        <v>231</v>
      </c>
      <c r="CH308" t="s">
        <v>231</v>
      </c>
      <c r="CI308" t="s">
        <v>231</v>
      </c>
      <c r="CJ308" t="s">
        <v>231</v>
      </c>
      <c r="CK308" t="s">
        <v>231</v>
      </c>
      <c r="CL308" t="s">
        <v>231</v>
      </c>
      <c r="CM308" t="s">
        <v>231</v>
      </c>
      <c r="CN308" t="s">
        <v>231</v>
      </c>
      <c r="CO308" t="s">
        <v>231</v>
      </c>
      <c r="CP308" t="s">
        <v>231</v>
      </c>
      <c r="CQ308" t="s">
        <v>231</v>
      </c>
      <c r="CR308" t="s">
        <v>231</v>
      </c>
      <c r="CS308" t="s">
        <v>231</v>
      </c>
      <c r="CT308" t="s">
        <v>3534</v>
      </c>
      <c r="CU308" t="s">
        <v>3535</v>
      </c>
      <c r="CV308" t="s">
        <v>3536</v>
      </c>
      <c r="CW308" t="s">
        <v>4891</v>
      </c>
      <c r="CX308" t="s">
        <v>223</v>
      </c>
      <c r="CY308" t="s">
        <v>3536</v>
      </c>
      <c r="CZ308" t="s">
        <v>321</v>
      </c>
      <c r="DA308" t="s">
        <v>3539</v>
      </c>
      <c r="DB308" t="s">
        <v>4891</v>
      </c>
      <c r="DC308" t="s">
        <v>363</v>
      </c>
      <c r="DD308" t="s">
        <v>282</v>
      </c>
      <c r="DE308" t="s">
        <v>4962</v>
      </c>
    </row>
    <row r="309" spans="1:109" ht="11.25" customHeight="1">
      <c r="A309" s="1314" t="s">
        <v>231</v>
      </c>
      <c r="B309" t="s">
        <v>231</v>
      </c>
      <c r="C309" t="s">
        <v>231</v>
      </c>
      <c r="D309" t="s">
        <v>231</v>
      </c>
      <c r="E309" t="s">
        <v>231</v>
      </c>
      <c r="F309" t="s">
        <v>231</v>
      </c>
      <c r="G309" t="s">
        <v>231</v>
      </c>
      <c r="H309" t="s">
        <v>231</v>
      </c>
      <c r="I309" t="s">
        <v>3521</v>
      </c>
      <c r="J309" t="s">
        <v>231</v>
      </c>
      <c r="K309" t="s">
        <v>231</v>
      </c>
      <c r="L309" t="s">
        <v>231</v>
      </c>
      <c r="M309" t="s">
        <v>231</v>
      </c>
      <c r="N309" t="s">
        <v>231</v>
      </c>
      <c r="O309" t="s">
        <v>231</v>
      </c>
      <c r="P309" t="s">
        <v>231</v>
      </c>
      <c r="Q309" t="s">
        <v>231</v>
      </c>
      <c r="R309" t="s">
        <v>3651</v>
      </c>
      <c r="S309" t="s">
        <v>231</v>
      </c>
      <c r="T309" t="s">
        <v>231</v>
      </c>
      <c r="U309" t="s">
        <v>101</v>
      </c>
      <c r="V309" t="s">
        <v>231</v>
      </c>
      <c r="W309" t="s">
        <v>231</v>
      </c>
      <c r="X309" t="s">
        <v>3523</v>
      </c>
      <c r="Y309" t="s">
        <v>231</v>
      </c>
      <c r="Z309" t="s">
        <v>160</v>
      </c>
      <c r="AA309" t="s">
        <v>151</v>
      </c>
      <c r="AB309" t="s">
        <v>151</v>
      </c>
      <c r="AC309" t="s">
        <v>2283</v>
      </c>
      <c r="AD309" t="s">
        <v>2283</v>
      </c>
      <c r="AE309" t="s">
        <v>2284</v>
      </c>
      <c r="AF309" t="s">
        <v>4487</v>
      </c>
      <c r="AG309" t="s">
        <v>4488</v>
      </c>
      <c r="AH309" t="s">
        <v>4490</v>
      </c>
      <c r="AI309" t="s">
        <v>4963</v>
      </c>
      <c r="AJ309" t="s">
        <v>3546</v>
      </c>
      <c r="AK309" t="s">
        <v>3547</v>
      </c>
      <c r="AL309" t="s">
        <v>3548</v>
      </c>
      <c r="AM309" t="s">
        <v>3531</v>
      </c>
      <c r="AN309" t="s">
        <v>3549</v>
      </c>
      <c r="AO309" t="s">
        <v>3739</v>
      </c>
      <c r="AP309" t="s">
        <v>231</v>
      </c>
      <c r="AQ309" t="s">
        <v>231</v>
      </c>
      <c r="AR309" t="s">
        <v>231</v>
      </c>
      <c r="AS309" t="s">
        <v>231</v>
      </c>
      <c r="AT309" t="s">
        <v>231</v>
      </c>
      <c r="AU309" t="s">
        <v>231</v>
      </c>
      <c r="AV309" t="s">
        <v>231</v>
      </c>
      <c r="AW309" t="s">
        <v>231</v>
      </c>
      <c r="AX309" t="s">
        <v>231</v>
      </c>
      <c r="AY309" t="s">
        <v>231</v>
      </c>
      <c r="AZ309" t="s">
        <v>231</v>
      </c>
      <c r="BA309" t="s">
        <v>231</v>
      </c>
      <c r="BB309" t="s">
        <v>231</v>
      </c>
      <c r="BC309" t="s">
        <v>231</v>
      </c>
      <c r="BD309" t="s">
        <v>231</v>
      </c>
      <c r="BE309" t="s">
        <v>231</v>
      </c>
      <c r="BF309" t="s">
        <v>231</v>
      </c>
      <c r="BG309" t="s">
        <v>231</v>
      </c>
      <c r="BH309" t="s">
        <v>231</v>
      </c>
      <c r="BI309" t="s">
        <v>231</v>
      </c>
      <c r="BJ309" t="s">
        <v>231</v>
      </c>
      <c r="BK309" t="s">
        <v>231</v>
      </c>
      <c r="BL309" t="s">
        <v>231</v>
      </c>
      <c r="BM309" t="s">
        <v>231</v>
      </c>
      <c r="BN309" t="s">
        <v>231</v>
      </c>
      <c r="BO309" t="s">
        <v>231</v>
      </c>
      <c r="BP309" t="s">
        <v>231</v>
      </c>
      <c r="BQ309" t="s">
        <v>231</v>
      </c>
      <c r="BR309" t="s">
        <v>231</v>
      </c>
      <c r="BS309" t="s">
        <v>231</v>
      </c>
      <c r="BT309" t="s">
        <v>231</v>
      </c>
      <c r="BU309" t="s">
        <v>231</v>
      </c>
      <c r="BV309" t="s">
        <v>231</v>
      </c>
      <c r="BW309" t="s">
        <v>231</v>
      </c>
      <c r="BX309" t="s">
        <v>231</v>
      </c>
      <c r="BY309" t="s">
        <v>231</v>
      </c>
      <c r="BZ309" t="s">
        <v>231</v>
      </c>
      <c r="CA309" t="s">
        <v>231</v>
      </c>
      <c r="CB309" t="s">
        <v>231</v>
      </c>
      <c r="CC309" t="s">
        <v>231</v>
      </c>
      <c r="CD309" t="s">
        <v>231</v>
      </c>
      <c r="CE309" t="s">
        <v>231</v>
      </c>
      <c r="CF309" t="s">
        <v>231</v>
      </c>
      <c r="CG309" t="s">
        <v>231</v>
      </c>
      <c r="CH309" t="s">
        <v>231</v>
      </c>
      <c r="CI309" t="s">
        <v>231</v>
      </c>
      <c r="CJ309" t="s">
        <v>231</v>
      </c>
      <c r="CK309" t="s">
        <v>231</v>
      </c>
      <c r="CL309" t="s">
        <v>231</v>
      </c>
      <c r="CM309" t="s">
        <v>231</v>
      </c>
      <c r="CN309" t="s">
        <v>231</v>
      </c>
      <c r="CO309" t="s">
        <v>231</v>
      </c>
      <c r="CP309" t="s">
        <v>231</v>
      </c>
      <c r="CQ309" t="s">
        <v>231</v>
      </c>
      <c r="CR309" t="s">
        <v>231</v>
      </c>
      <c r="CS309" t="s">
        <v>231</v>
      </c>
      <c r="CT309" t="s">
        <v>3534</v>
      </c>
      <c r="CU309" t="s">
        <v>3535</v>
      </c>
      <c r="CV309" t="s">
        <v>3536</v>
      </c>
      <c r="CW309" t="s">
        <v>3551</v>
      </c>
      <c r="CX309" t="s">
        <v>223</v>
      </c>
      <c r="CY309" t="s">
        <v>3536</v>
      </c>
      <c r="CZ309" t="s">
        <v>3552</v>
      </c>
      <c r="DA309" t="s">
        <v>3553</v>
      </c>
      <c r="DB309" t="s">
        <v>3551</v>
      </c>
      <c r="DC309" t="s">
        <v>363</v>
      </c>
      <c r="DD309" t="s">
        <v>282</v>
      </c>
      <c r="DE309" t="s">
        <v>4964</v>
      </c>
    </row>
    <row r="310" spans="1:109" ht="11.25" customHeight="1">
      <c r="A310" s="1314" t="s">
        <v>231</v>
      </c>
      <c r="B310" t="s">
        <v>231</v>
      </c>
      <c r="C310" t="s">
        <v>231</v>
      </c>
      <c r="D310" t="s">
        <v>231</v>
      </c>
      <c r="E310" t="s">
        <v>231</v>
      </c>
      <c r="F310" t="s">
        <v>231</v>
      </c>
      <c r="G310" t="s">
        <v>231</v>
      </c>
      <c r="H310" t="s">
        <v>231</v>
      </c>
      <c r="I310" t="s">
        <v>3521</v>
      </c>
      <c r="J310" t="s">
        <v>231</v>
      </c>
      <c r="K310" t="s">
        <v>231</v>
      </c>
      <c r="L310" t="s">
        <v>231</v>
      </c>
      <c r="M310" t="s">
        <v>231</v>
      </c>
      <c r="N310" t="s">
        <v>231</v>
      </c>
      <c r="O310" t="s">
        <v>231</v>
      </c>
      <c r="P310" t="s">
        <v>231</v>
      </c>
      <c r="Q310" t="s">
        <v>231</v>
      </c>
      <c r="R310" t="s">
        <v>3749</v>
      </c>
      <c r="S310" t="s">
        <v>231</v>
      </c>
      <c r="T310" t="s">
        <v>231</v>
      </c>
      <c r="U310" t="s">
        <v>101</v>
      </c>
      <c r="V310" t="s">
        <v>231</v>
      </c>
      <c r="W310" t="s">
        <v>231</v>
      </c>
      <c r="X310" t="s">
        <v>3628</v>
      </c>
      <c r="Y310" t="s">
        <v>231</v>
      </c>
      <c r="Z310" t="s">
        <v>151</v>
      </c>
      <c r="AA310" t="s">
        <v>151</v>
      </c>
      <c r="AB310" t="s">
        <v>160</v>
      </c>
      <c r="AC310" t="s">
        <v>2283</v>
      </c>
      <c r="AD310" t="s">
        <v>2283</v>
      </c>
      <c r="AE310" t="s">
        <v>2284</v>
      </c>
      <c r="AF310" t="s">
        <v>3664</v>
      </c>
      <c r="AG310" t="s">
        <v>3665</v>
      </c>
      <c r="AH310" t="s">
        <v>3664</v>
      </c>
      <c r="AI310" t="s">
        <v>3688</v>
      </c>
      <c r="AJ310" t="s">
        <v>231</v>
      </c>
      <c r="AK310" t="s">
        <v>231</v>
      </c>
      <c r="AL310" t="s">
        <v>231</v>
      </c>
      <c r="AM310" t="s">
        <v>231</v>
      </c>
      <c r="AN310" t="s">
        <v>231</v>
      </c>
      <c r="AO310" t="s">
        <v>231</v>
      </c>
      <c r="AP310" t="s">
        <v>231</v>
      </c>
      <c r="AQ310" t="s">
        <v>231</v>
      </c>
      <c r="AR310" t="s">
        <v>231</v>
      </c>
      <c r="AS310" t="s">
        <v>231</v>
      </c>
      <c r="AT310" t="s">
        <v>231</v>
      </c>
      <c r="AU310" t="s">
        <v>231</v>
      </c>
      <c r="AV310" t="s">
        <v>231</v>
      </c>
      <c r="AW310" t="s">
        <v>231</v>
      </c>
      <c r="AX310" t="s">
        <v>231</v>
      </c>
      <c r="AY310" t="s">
        <v>231</v>
      </c>
      <c r="AZ310" t="s">
        <v>231</v>
      </c>
      <c r="BA310" t="s">
        <v>231</v>
      </c>
      <c r="BB310" t="s">
        <v>231</v>
      </c>
      <c r="BC310" t="s">
        <v>231</v>
      </c>
      <c r="BD310" t="s">
        <v>231</v>
      </c>
      <c r="BE310" t="s">
        <v>3689</v>
      </c>
      <c r="BF310" t="s">
        <v>3689</v>
      </c>
      <c r="BG310" t="s">
        <v>111</v>
      </c>
      <c r="BH310" t="s">
        <v>3632</v>
      </c>
      <c r="BI310" t="s">
        <v>122</v>
      </c>
      <c r="BJ310" t="s">
        <v>231</v>
      </c>
      <c r="BK310" t="s">
        <v>3651</v>
      </c>
      <c r="BL310" t="s">
        <v>2283</v>
      </c>
      <c r="BM310" t="s">
        <v>2283</v>
      </c>
      <c r="BN310" t="s">
        <v>3690</v>
      </c>
      <c r="BO310" t="s">
        <v>3664</v>
      </c>
      <c r="BP310" t="s">
        <v>4965</v>
      </c>
      <c r="BQ310" t="s">
        <v>3666</v>
      </c>
      <c r="BR310" t="s">
        <v>4660</v>
      </c>
      <c r="BS310" t="s">
        <v>231</v>
      </c>
      <c r="BT310" t="s">
        <v>3694</v>
      </c>
      <c r="BU310" t="s">
        <v>4966</v>
      </c>
      <c r="BV310" t="s">
        <v>4966</v>
      </c>
      <c r="BW310" t="s">
        <v>3641</v>
      </c>
      <c r="BX310" t="s">
        <v>3641</v>
      </c>
      <c r="BY310" t="s">
        <v>3641</v>
      </c>
      <c r="BZ310" t="s">
        <v>3641</v>
      </c>
      <c r="CA310" t="s">
        <v>3641</v>
      </c>
      <c r="CB310" t="s">
        <v>231</v>
      </c>
      <c r="CC310" t="s">
        <v>231</v>
      </c>
      <c r="CD310" t="s">
        <v>231</v>
      </c>
      <c r="CE310" t="s">
        <v>231</v>
      </c>
      <c r="CF310" t="s">
        <v>231</v>
      </c>
      <c r="CG310" t="s">
        <v>3641</v>
      </c>
      <c r="CH310" t="s">
        <v>231</v>
      </c>
      <c r="CI310" t="s">
        <v>231</v>
      </c>
      <c r="CJ310" t="s">
        <v>231</v>
      </c>
      <c r="CK310" t="s">
        <v>231</v>
      </c>
      <c r="CL310" t="s">
        <v>231</v>
      </c>
      <c r="CM310" t="s">
        <v>4966</v>
      </c>
      <c r="CN310" t="s">
        <v>4966</v>
      </c>
      <c r="CO310" t="s">
        <v>231</v>
      </c>
      <c r="CP310" t="s">
        <v>231</v>
      </c>
      <c r="CQ310" t="s">
        <v>231</v>
      </c>
      <c r="CR310" t="s">
        <v>231</v>
      </c>
      <c r="CS310" t="s">
        <v>3549</v>
      </c>
      <c r="CT310" t="s">
        <v>3534</v>
      </c>
      <c r="CU310" t="s">
        <v>3535</v>
      </c>
      <c r="CV310" t="s">
        <v>3536</v>
      </c>
      <c r="CW310" t="s">
        <v>3551</v>
      </c>
      <c r="CX310" t="s">
        <v>223</v>
      </c>
      <c r="CY310" t="s">
        <v>3536</v>
      </c>
      <c r="CZ310" t="s">
        <v>3552</v>
      </c>
      <c r="DA310" t="s">
        <v>3553</v>
      </c>
      <c r="DB310" t="s">
        <v>3551</v>
      </c>
      <c r="DC310" t="s">
        <v>363</v>
      </c>
      <c r="DD310" t="s">
        <v>282</v>
      </c>
      <c r="DE310" t="s">
        <v>4967</v>
      </c>
    </row>
    <row r="311" spans="1:109" ht="11.25" customHeight="1">
      <c r="A311" s="1314" t="s">
        <v>231</v>
      </c>
      <c r="B311" t="s">
        <v>231</v>
      </c>
      <c r="C311" t="s">
        <v>231</v>
      </c>
      <c r="D311" t="s">
        <v>231</v>
      </c>
      <c r="E311" t="s">
        <v>231</v>
      </c>
      <c r="F311" t="s">
        <v>231</v>
      </c>
      <c r="G311" t="s">
        <v>231</v>
      </c>
      <c r="H311" t="s">
        <v>231</v>
      </c>
      <c r="I311" t="s">
        <v>3521</v>
      </c>
      <c r="J311" t="s">
        <v>231</v>
      </c>
      <c r="K311" t="s">
        <v>231</v>
      </c>
      <c r="L311" t="s">
        <v>231</v>
      </c>
      <c r="M311" t="s">
        <v>231</v>
      </c>
      <c r="N311" t="s">
        <v>231</v>
      </c>
      <c r="O311" t="s">
        <v>231</v>
      </c>
      <c r="P311" t="s">
        <v>231</v>
      </c>
      <c r="Q311" t="s">
        <v>231</v>
      </c>
      <c r="R311" t="s">
        <v>4968</v>
      </c>
      <c r="S311" t="s">
        <v>231</v>
      </c>
      <c r="T311" t="s">
        <v>231</v>
      </c>
      <c r="U311" t="s">
        <v>101</v>
      </c>
      <c r="V311" t="s">
        <v>231</v>
      </c>
      <c r="W311" t="s">
        <v>231</v>
      </c>
      <c r="X311" t="s">
        <v>3628</v>
      </c>
      <c r="Y311" t="s">
        <v>231</v>
      </c>
      <c r="Z311" t="s">
        <v>151</v>
      </c>
      <c r="AA311" t="s">
        <v>151</v>
      </c>
      <c r="AB311" t="s">
        <v>160</v>
      </c>
      <c r="AC311" t="s">
        <v>2289</v>
      </c>
      <c r="AD311" t="s">
        <v>2289</v>
      </c>
      <c r="AE311" t="s">
        <v>2290</v>
      </c>
      <c r="AF311" t="s">
        <v>4712</v>
      </c>
      <c r="AG311" t="s">
        <v>4713</v>
      </c>
      <c r="AH311" t="s">
        <v>3618</v>
      </c>
      <c r="AI311" t="s">
        <v>3618</v>
      </c>
      <c r="AJ311" t="s">
        <v>231</v>
      </c>
      <c r="AK311" t="s">
        <v>231</v>
      </c>
      <c r="AL311" t="s">
        <v>231</v>
      </c>
      <c r="AM311" t="s">
        <v>231</v>
      </c>
      <c r="AN311" t="s">
        <v>231</v>
      </c>
      <c r="AO311" t="s">
        <v>231</v>
      </c>
      <c r="AP311" t="s">
        <v>231</v>
      </c>
      <c r="AQ311" t="s">
        <v>231</v>
      </c>
      <c r="AR311" t="s">
        <v>231</v>
      </c>
      <c r="AS311" t="s">
        <v>231</v>
      </c>
      <c r="AT311" t="s">
        <v>231</v>
      </c>
      <c r="AU311" t="s">
        <v>231</v>
      </c>
      <c r="AV311" t="s">
        <v>231</v>
      </c>
      <c r="AW311" t="s">
        <v>231</v>
      </c>
      <c r="AX311" t="s">
        <v>231</v>
      </c>
      <c r="AY311" t="s">
        <v>231</v>
      </c>
      <c r="AZ311" t="s">
        <v>231</v>
      </c>
      <c r="BA311" t="s">
        <v>231</v>
      </c>
      <c r="BB311" t="s">
        <v>231</v>
      </c>
      <c r="BC311" t="s">
        <v>231</v>
      </c>
      <c r="BD311" t="s">
        <v>231</v>
      </c>
      <c r="BE311" t="s">
        <v>3546</v>
      </c>
      <c r="BF311" t="s">
        <v>3586</v>
      </c>
      <c r="BG311" t="s">
        <v>111</v>
      </c>
      <c r="BH311" t="s">
        <v>3632</v>
      </c>
      <c r="BI311" t="s">
        <v>122</v>
      </c>
      <c r="BJ311" t="s">
        <v>231</v>
      </c>
      <c r="BK311" t="s">
        <v>3651</v>
      </c>
      <c r="BL311" t="s">
        <v>2289</v>
      </c>
      <c r="BM311" t="s">
        <v>2289</v>
      </c>
      <c r="BN311" t="s">
        <v>3707</v>
      </c>
      <c r="BO311" t="s">
        <v>4712</v>
      </c>
      <c r="BP311" t="s">
        <v>4969</v>
      </c>
      <c r="BQ311" t="s">
        <v>3618</v>
      </c>
      <c r="BR311" t="s">
        <v>3618</v>
      </c>
      <c r="BS311" t="s">
        <v>231</v>
      </c>
      <c r="BT311" t="s">
        <v>3694</v>
      </c>
      <c r="BU311" t="s">
        <v>4970</v>
      </c>
      <c r="BV311" t="s">
        <v>4970</v>
      </c>
      <c r="BW311" t="s">
        <v>3641</v>
      </c>
      <c r="BX311" t="s">
        <v>3641</v>
      </c>
      <c r="BY311" t="s">
        <v>3641</v>
      </c>
      <c r="BZ311" t="s">
        <v>3641</v>
      </c>
      <c r="CA311" t="s">
        <v>3641</v>
      </c>
      <c r="CB311" t="s">
        <v>231</v>
      </c>
      <c r="CC311" t="s">
        <v>231</v>
      </c>
      <c r="CD311" t="s">
        <v>231</v>
      </c>
      <c r="CE311" t="s">
        <v>231</v>
      </c>
      <c r="CF311" t="s">
        <v>231</v>
      </c>
      <c r="CG311" t="s">
        <v>3641</v>
      </c>
      <c r="CH311" t="s">
        <v>231</v>
      </c>
      <c r="CI311" t="s">
        <v>231</v>
      </c>
      <c r="CJ311" t="s">
        <v>231</v>
      </c>
      <c r="CK311" t="s">
        <v>231</v>
      </c>
      <c r="CL311" t="s">
        <v>231</v>
      </c>
      <c r="CM311" t="s">
        <v>4970</v>
      </c>
      <c r="CN311" t="s">
        <v>4970</v>
      </c>
      <c r="CO311" t="s">
        <v>231</v>
      </c>
      <c r="CP311" t="s">
        <v>231</v>
      </c>
      <c r="CQ311" t="s">
        <v>231</v>
      </c>
      <c r="CR311" t="s">
        <v>231</v>
      </c>
      <c r="CS311" t="s">
        <v>3710</v>
      </c>
      <c r="CT311" t="s">
        <v>3534</v>
      </c>
      <c r="CU311" t="s">
        <v>3535</v>
      </c>
      <c r="CV311" t="s">
        <v>3536</v>
      </c>
      <c r="CW311" t="s">
        <v>3589</v>
      </c>
      <c r="CX311" t="s">
        <v>223</v>
      </c>
      <c r="CY311" t="s">
        <v>3536</v>
      </c>
      <c r="CZ311" t="s">
        <v>3590</v>
      </c>
      <c r="DA311" t="s">
        <v>3591</v>
      </c>
      <c r="DB311" t="s">
        <v>3589</v>
      </c>
      <c r="DC311" t="s">
        <v>363</v>
      </c>
      <c r="DD311" t="s">
        <v>282</v>
      </c>
      <c r="DE311" t="s">
        <v>4971</v>
      </c>
    </row>
    <row r="312" spans="1:109" ht="11.25" customHeight="1">
      <c r="A312" s="1314" t="s">
        <v>231</v>
      </c>
      <c r="B312" t="s">
        <v>231</v>
      </c>
      <c r="C312" t="s">
        <v>231</v>
      </c>
      <c r="D312" t="s">
        <v>231</v>
      </c>
      <c r="E312" t="s">
        <v>231</v>
      </c>
      <c r="F312" t="s">
        <v>231</v>
      </c>
      <c r="G312" t="s">
        <v>231</v>
      </c>
      <c r="H312" t="s">
        <v>231</v>
      </c>
      <c r="I312" t="s">
        <v>3521</v>
      </c>
      <c r="J312" t="s">
        <v>231</v>
      </c>
      <c r="K312" t="s">
        <v>231</v>
      </c>
      <c r="L312" t="s">
        <v>231</v>
      </c>
      <c r="M312" t="s">
        <v>231</v>
      </c>
      <c r="N312" t="s">
        <v>231</v>
      </c>
      <c r="O312" t="s">
        <v>231</v>
      </c>
      <c r="P312" t="s">
        <v>231</v>
      </c>
      <c r="Q312" t="s">
        <v>231</v>
      </c>
      <c r="R312" t="s">
        <v>4972</v>
      </c>
      <c r="S312" t="s">
        <v>231</v>
      </c>
      <c r="T312" t="s">
        <v>231</v>
      </c>
      <c r="U312" t="s">
        <v>101</v>
      </c>
      <c r="V312" t="s">
        <v>231</v>
      </c>
      <c r="W312" t="s">
        <v>231</v>
      </c>
      <c r="X312" t="s">
        <v>3523</v>
      </c>
      <c r="Y312" t="s">
        <v>231</v>
      </c>
      <c r="Z312" t="s">
        <v>160</v>
      </c>
      <c r="AA312" t="s">
        <v>151</v>
      </c>
      <c r="AB312" t="s">
        <v>151</v>
      </c>
      <c r="AC312" t="s">
        <v>2289</v>
      </c>
      <c r="AD312" t="s">
        <v>2289</v>
      </c>
      <c r="AE312" t="s">
        <v>2290</v>
      </c>
      <c r="AF312" t="s">
        <v>3766</v>
      </c>
      <c r="AG312" t="s">
        <v>3767</v>
      </c>
      <c r="AH312" t="s">
        <v>4973</v>
      </c>
      <c r="AI312" t="s">
        <v>4016</v>
      </c>
      <c r="AJ312" t="s">
        <v>3594</v>
      </c>
      <c r="AK312" t="s">
        <v>3716</v>
      </c>
      <c r="AL312" t="s">
        <v>3548</v>
      </c>
      <c r="AM312" t="s">
        <v>3531</v>
      </c>
      <c r="AN312" t="s">
        <v>3529</v>
      </c>
      <c r="AO312" t="s">
        <v>4500</v>
      </c>
      <c r="AP312" t="s">
        <v>231</v>
      </c>
      <c r="AQ312" t="s">
        <v>231</v>
      </c>
      <c r="AR312" t="s">
        <v>231</v>
      </c>
      <c r="AS312" t="s">
        <v>231</v>
      </c>
      <c r="AT312" t="s">
        <v>231</v>
      </c>
      <c r="AU312" t="s">
        <v>231</v>
      </c>
      <c r="AV312" t="s">
        <v>231</v>
      </c>
      <c r="AW312" t="s">
        <v>231</v>
      </c>
      <c r="AX312" t="s">
        <v>231</v>
      </c>
      <c r="AY312" t="s">
        <v>231</v>
      </c>
      <c r="AZ312" t="s">
        <v>231</v>
      </c>
      <c r="BA312" t="s">
        <v>231</v>
      </c>
      <c r="BB312" t="s">
        <v>231</v>
      </c>
      <c r="BC312" t="s">
        <v>231</v>
      </c>
      <c r="BD312" t="s">
        <v>231</v>
      </c>
      <c r="BE312" t="s">
        <v>231</v>
      </c>
      <c r="BF312" t="s">
        <v>231</v>
      </c>
      <c r="BG312" t="s">
        <v>231</v>
      </c>
      <c r="BH312" t="s">
        <v>231</v>
      </c>
      <c r="BI312" t="s">
        <v>231</v>
      </c>
      <c r="BJ312" t="s">
        <v>231</v>
      </c>
      <c r="BK312" t="s">
        <v>231</v>
      </c>
      <c r="BL312" t="s">
        <v>231</v>
      </c>
      <c r="BM312" t="s">
        <v>231</v>
      </c>
      <c r="BN312" t="s">
        <v>231</v>
      </c>
      <c r="BO312" t="s">
        <v>231</v>
      </c>
      <c r="BP312" t="s">
        <v>231</v>
      </c>
      <c r="BQ312" t="s">
        <v>231</v>
      </c>
      <c r="BR312" t="s">
        <v>231</v>
      </c>
      <c r="BS312" t="s">
        <v>231</v>
      </c>
      <c r="BT312" t="s">
        <v>231</v>
      </c>
      <c r="BU312" t="s">
        <v>231</v>
      </c>
      <c r="BV312" t="s">
        <v>231</v>
      </c>
      <c r="BW312" t="s">
        <v>231</v>
      </c>
      <c r="BX312" t="s">
        <v>231</v>
      </c>
      <c r="BY312" t="s">
        <v>231</v>
      </c>
      <c r="BZ312" t="s">
        <v>231</v>
      </c>
      <c r="CA312" t="s">
        <v>231</v>
      </c>
      <c r="CB312" t="s">
        <v>231</v>
      </c>
      <c r="CC312" t="s">
        <v>231</v>
      </c>
      <c r="CD312" t="s">
        <v>231</v>
      </c>
      <c r="CE312" t="s">
        <v>231</v>
      </c>
      <c r="CF312" t="s">
        <v>231</v>
      </c>
      <c r="CG312" t="s">
        <v>231</v>
      </c>
      <c r="CH312" t="s">
        <v>231</v>
      </c>
      <c r="CI312" t="s">
        <v>231</v>
      </c>
      <c r="CJ312" t="s">
        <v>231</v>
      </c>
      <c r="CK312" t="s">
        <v>231</v>
      </c>
      <c r="CL312" t="s">
        <v>231</v>
      </c>
      <c r="CM312" t="s">
        <v>231</v>
      </c>
      <c r="CN312" t="s">
        <v>231</v>
      </c>
      <c r="CO312" t="s">
        <v>231</v>
      </c>
      <c r="CP312" t="s">
        <v>231</v>
      </c>
      <c r="CQ312" t="s">
        <v>231</v>
      </c>
      <c r="CR312" t="s">
        <v>231</v>
      </c>
      <c r="CS312" t="s">
        <v>231</v>
      </c>
      <c r="CT312" t="s">
        <v>3534</v>
      </c>
      <c r="CU312" t="s">
        <v>3535</v>
      </c>
      <c r="CV312" t="s">
        <v>3536</v>
      </c>
      <c r="CW312" t="s">
        <v>3589</v>
      </c>
      <c r="CX312" t="s">
        <v>223</v>
      </c>
      <c r="CY312" t="s">
        <v>3536</v>
      </c>
      <c r="CZ312" t="s">
        <v>3590</v>
      </c>
      <c r="DA312" t="s">
        <v>3591</v>
      </c>
      <c r="DB312" t="s">
        <v>3589</v>
      </c>
      <c r="DC312" t="s">
        <v>363</v>
      </c>
      <c r="DD312" t="s">
        <v>282</v>
      </c>
      <c r="DE312" t="s">
        <v>4974</v>
      </c>
    </row>
    <row r="313" spans="1:109" ht="11.25" customHeight="1">
      <c r="A313" s="1314" t="s">
        <v>231</v>
      </c>
      <c r="B313" t="s">
        <v>231</v>
      </c>
      <c r="C313" t="s">
        <v>231</v>
      </c>
      <c r="D313" t="s">
        <v>231</v>
      </c>
      <c r="E313" t="s">
        <v>231</v>
      </c>
      <c r="F313" t="s">
        <v>231</v>
      </c>
      <c r="G313" t="s">
        <v>231</v>
      </c>
      <c r="H313" t="s">
        <v>231</v>
      </c>
      <c r="I313" t="s">
        <v>3521</v>
      </c>
      <c r="J313" t="s">
        <v>231</v>
      </c>
      <c r="K313" t="s">
        <v>231</v>
      </c>
      <c r="L313" t="s">
        <v>231</v>
      </c>
      <c r="M313" t="s">
        <v>231</v>
      </c>
      <c r="N313" t="s">
        <v>231</v>
      </c>
      <c r="O313" t="s">
        <v>231</v>
      </c>
      <c r="P313" t="s">
        <v>231</v>
      </c>
      <c r="Q313" t="s">
        <v>231</v>
      </c>
      <c r="R313" t="s">
        <v>3615</v>
      </c>
      <c r="S313" t="s">
        <v>231</v>
      </c>
      <c r="T313" t="s">
        <v>231</v>
      </c>
      <c r="U313" t="s">
        <v>101</v>
      </c>
      <c r="V313" t="s">
        <v>231</v>
      </c>
      <c r="W313" t="s">
        <v>231</v>
      </c>
      <c r="X313" t="s">
        <v>3523</v>
      </c>
      <c r="Y313" t="s">
        <v>231</v>
      </c>
      <c r="Z313" t="s">
        <v>160</v>
      </c>
      <c r="AA313" t="s">
        <v>151</v>
      </c>
      <c r="AB313" t="s">
        <v>151</v>
      </c>
      <c r="AC313" t="s">
        <v>2287</v>
      </c>
      <c r="AD313" t="s">
        <v>2287</v>
      </c>
      <c r="AE313" t="s">
        <v>2288</v>
      </c>
      <c r="AF313" t="s">
        <v>3838</v>
      </c>
      <c r="AG313" t="s">
        <v>3839</v>
      </c>
      <c r="AH313" t="s">
        <v>3660</v>
      </c>
      <c r="AI313" t="s">
        <v>4975</v>
      </c>
      <c r="AJ313" t="s">
        <v>3820</v>
      </c>
      <c r="AK313" t="s">
        <v>3858</v>
      </c>
      <c r="AL313" t="s">
        <v>3548</v>
      </c>
      <c r="AM313" t="s">
        <v>3531</v>
      </c>
      <c r="AN313" t="s">
        <v>3621</v>
      </c>
      <c r="AO313" t="s">
        <v>3622</v>
      </c>
      <c r="AP313" t="s">
        <v>231</v>
      </c>
      <c r="AQ313" t="s">
        <v>231</v>
      </c>
      <c r="AR313" t="s">
        <v>231</v>
      </c>
      <c r="AS313" t="s">
        <v>231</v>
      </c>
      <c r="AT313" t="s">
        <v>231</v>
      </c>
      <c r="AU313" t="s">
        <v>231</v>
      </c>
      <c r="AV313" t="s">
        <v>231</v>
      </c>
      <c r="AW313" t="s">
        <v>231</v>
      </c>
      <c r="AX313" t="s">
        <v>231</v>
      </c>
      <c r="AY313" t="s">
        <v>231</v>
      </c>
      <c r="AZ313" t="s">
        <v>231</v>
      </c>
      <c r="BA313" t="s">
        <v>231</v>
      </c>
      <c r="BB313" t="s">
        <v>231</v>
      </c>
      <c r="BC313" t="s">
        <v>231</v>
      </c>
      <c r="BD313" t="s">
        <v>231</v>
      </c>
      <c r="BE313" t="s">
        <v>231</v>
      </c>
      <c r="BF313" t="s">
        <v>231</v>
      </c>
      <c r="BG313" t="s">
        <v>231</v>
      </c>
      <c r="BH313" t="s">
        <v>231</v>
      </c>
      <c r="BI313" t="s">
        <v>231</v>
      </c>
      <c r="BJ313" t="s">
        <v>231</v>
      </c>
      <c r="BK313" t="s">
        <v>231</v>
      </c>
      <c r="BL313" t="s">
        <v>231</v>
      </c>
      <c r="BM313" t="s">
        <v>231</v>
      </c>
      <c r="BN313" t="s">
        <v>231</v>
      </c>
      <c r="BO313" t="s">
        <v>231</v>
      </c>
      <c r="BP313" t="s">
        <v>231</v>
      </c>
      <c r="BQ313" t="s">
        <v>231</v>
      </c>
      <c r="BR313" t="s">
        <v>231</v>
      </c>
      <c r="BS313" t="s">
        <v>231</v>
      </c>
      <c r="BT313" t="s">
        <v>231</v>
      </c>
      <c r="BU313" t="s">
        <v>231</v>
      </c>
      <c r="BV313" t="s">
        <v>231</v>
      </c>
      <c r="BW313" t="s">
        <v>231</v>
      </c>
      <c r="BX313" t="s">
        <v>231</v>
      </c>
      <c r="BY313" t="s">
        <v>231</v>
      </c>
      <c r="BZ313" t="s">
        <v>231</v>
      </c>
      <c r="CA313" t="s">
        <v>231</v>
      </c>
      <c r="CB313" t="s">
        <v>231</v>
      </c>
      <c r="CC313" t="s">
        <v>231</v>
      </c>
      <c r="CD313" t="s">
        <v>231</v>
      </c>
      <c r="CE313" t="s">
        <v>231</v>
      </c>
      <c r="CF313" t="s">
        <v>231</v>
      </c>
      <c r="CG313" t="s">
        <v>231</v>
      </c>
      <c r="CH313" t="s">
        <v>231</v>
      </c>
      <c r="CI313" t="s">
        <v>231</v>
      </c>
      <c r="CJ313" t="s">
        <v>231</v>
      </c>
      <c r="CK313" t="s">
        <v>231</v>
      </c>
      <c r="CL313" t="s">
        <v>231</v>
      </c>
      <c r="CM313" t="s">
        <v>231</v>
      </c>
      <c r="CN313" t="s">
        <v>231</v>
      </c>
      <c r="CO313" t="s">
        <v>231</v>
      </c>
      <c r="CP313" t="s">
        <v>231</v>
      </c>
      <c r="CQ313" t="s">
        <v>231</v>
      </c>
      <c r="CR313" t="s">
        <v>231</v>
      </c>
      <c r="CS313" t="s">
        <v>231</v>
      </c>
      <c r="CT313" t="s">
        <v>3534</v>
      </c>
      <c r="CU313" t="s">
        <v>3535</v>
      </c>
      <c r="CV313" t="s">
        <v>3536</v>
      </c>
      <c r="CW313" t="s">
        <v>3623</v>
      </c>
      <c r="CX313" t="s">
        <v>223</v>
      </c>
      <c r="CY313" t="s">
        <v>3536</v>
      </c>
      <c r="CZ313" t="s">
        <v>3624</v>
      </c>
      <c r="DA313" t="s">
        <v>3625</v>
      </c>
      <c r="DB313" t="s">
        <v>3623</v>
      </c>
      <c r="DC313" t="s">
        <v>363</v>
      </c>
      <c r="DD313" t="s">
        <v>282</v>
      </c>
      <c r="DE313" t="s">
        <v>4976</v>
      </c>
    </row>
    <row r="314" spans="1:109" ht="11.25" customHeight="1">
      <c r="A314" s="1314" t="s">
        <v>231</v>
      </c>
      <c r="B314" t="s">
        <v>231</v>
      </c>
      <c r="C314" t="s">
        <v>231</v>
      </c>
      <c r="D314" t="s">
        <v>231</v>
      </c>
      <c r="E314" t="s">
        <v>231</v>
      </c>
      <c r="F314" t="s">
        <v>231</v>
      </c>
      <c r="G314" t="s">
        <v>231</v>
      </c>
      <c r="H314" t="s">
        <v>231</v>
      </c>
      <c r="I314" t="s">
        <v>3521</v>
      </c>
      <c r="J314" t="s">
        <v>231</v>
      </c>
      <c r="K314" t="s">
        <v>231</v>
      </c>
      <c r="L314" t="s">
        <v>231</v>
      </c>
      <c r="M314" t="s">
        <v>231</v>
      </c>
      <c r="N314" t="s">
        <v>231</v>
      </c>
      <c r="O314" t="s">
        <v>231</v>
      </c>
      <c r="P314" t="s">
        <v>231</v>
      </c>
      <c r="Q314" t="s">
        <v>231</v>
      </c>
      <c r="R314" t="s">
        <v>3615</v>
      </c>
      <c r="S314" t="s">
        <v>231</v>
      </c>
      <c r="T314" t="s">
        <v>231</v>
      </c>
      <c r="U314" t="s">
        <v>101</v>
      </c>
      <c r="V314" t="s">
        <v>231</v>
      </c>
      <c r="W314" t="s">
        <v>231</v>
      </c>
      <c r="X314" t="s">
        <v>3523</v>
      </c>
      <c r="Y314" t="s">
        <v>231</v>
      </c>
      <c r="Z314" t="s">
        <v>160</v>
      </c>
      <c r="AA314" t="s">
        <v>151</v>
      </c>
      <c r="AB314" t="s">
        <v>151</v>
      </c>
      <c r="AC314" t="s">
        <v>2287</v>
      </c>
      <c r="AD314" t="s">
        <v>2287</v>
      </c>
      <c r="AE314" t="s">
        <v>2288</v>
      </c>
      <c r="AF314" t="s">
        <v>3838</v>
      </c>
      <c r="AG314" t="s">
        <v>3839</v>
      </c>
      <c r="AH314" t="s">
        <v>4977</v>
      </c>
      <c r="AI314" t="s">
        <v>4978</v>
      </c>
      <c r="AJ314" t="s">
        <v>3619</v>
      </c>
      <c r="AK314" t="s">
        <v>4979</v>
      </c>
      <c r="AL314" t="s">
        <v>3548</v>
      </c>
      <c r="AM314" t="s">
        <v>3531</v>
      </c>
      <c r="AN314" t="s">
        <v>3621</v>
      </c>
      <c r="AO314" t="s">
        <v>3622</v>
      </c>
      <c r="AP314" t="s">
        <v>231</v>
      </c>
      <c r="AQ314" t="s">
        <v>231</v>
      </c>
      <c r="AR314" t="s">
        <v>231</v>
      </c>
      <c r="AS314" t="s">
        <v>231</v>
      </c>
      <c r="AT314" t="s">
        <v>231</v>
      </c>
      <c r="AU314" t="s">
        <v>231</v>
      </c>
      <c r="AV314" t="s">
        <v>231</v>
      </c>
      <c r="AW314" t="s">
        <v>231</v>
      </c>
      <c r="AX314" t="s">
        <v>231</v>
      </c>
      <c r="AY314" t="s">
        <v>231</v>
      </c>
      <c r="AZ314" t="s">
        <v>231</v>
      </c>
      <c r="BA314" t="s">
        <v>231</v>
      </c>
      <c r="BB314" t="s">
        <v>231</v>
      </c>
      <c r="BC314" t="s">
        <v>231</v>
      </c>
      <c r="BD314" t="s">
        <v>231</v>
      </c>
      <c r="BE314" t="s">
        <v>231</v>
      </c>
      <c r="BF314" t="s">
        <v>231</v>
      </c>
      <c r="BG314" t="s">
        <v>231</v>
      </c>
      <c r="BH314" t="s">
        <v>231</v>
      </c>
      <c r="BI314" t="s">
        <v>231</v>
      </c>
      <c r="BJ314" t="s">
        <v>231</v>
      </c>
      <c r="BK314" t="s">
        <v>231</v>
      </c>
      <c r="BL314" t="s">
        <v>231</v>
      </c>
      <c r="BM314" t="s">
        <v>231</v>
      </c>
      <c r="BN314" t="s">
        <v>231</v>
      </c>
      <c r="BO314" t="s">
        <v>231</v>
      </c>
      <c r="BP314" t="s">
        <v>231</v>
      </c>
      <c r="BQ314" t="s">
        <v>231</v>
      </c>
      <c r="BR314" t="s">
        <v>231</v>
      </c>
      <c r="BS314" t="s">
        <v>231</v>
      </c>
      <c r="BT314" t="s">
        <v>231</v>
      </c>
      <c r="BU314" t="s">
        <v>231</v>
      </c>
      <c r="BV314" t="s">
        <v>231</v>
      </c>
      <c r="BW314" t="s">
        <v>231</v>
      </c>
      <c r="BX314" t="s">
        <v>231</v>
      </c>
      <c r="BY314" t="s">
        <v>231</v>
      </c>
      <c r="BZ314" t="s">
        <v>231</v>
      </c>
      <c r="CA314" t="s">
        <v>231</v>
      </c>
      <c r="CB314" t="s">
        <v>231</v>
      </c>
      <c r="CC314" t="s">
        <v>231</v>
      </c>
      <c r="CD314" t="s">
        <v>231</v>
      </c>
      <c r="CE314" t="s">
        <v>231</v>
      </c>
      <c r="CF314" t="s">
        <v>231</v>
      </c>
      <c r="CG314" t="s">
        <v>231</v>
      </c>
      <c r="CH314" t="s">
        <v>231</v>
      </c>
      <c r="CI314" t="s">
        <v>231</v>
      </c>
      <c r="CJ314" t="s">
        <v>231</v>
      </c>
      <c r="CK314" t="s">
        <v>231</v>
      </c>
      <c r="CL314" t="s">
        <v>231</v>
      </c>
      <c r="CM314" t="s">
        <v>231</v>
      </c>
      <c r="CN314" t="s">
        <v>231</v>
      </c>
      <c r="CO314" t="s">
        <v>231</v>
      </c>
      <c r="CP314" t="s">
        <v>231</v>
      </c>
      <c r="CQ314" t="s">
        <v>231</v>
      </c>
      <c r="CR314" t="s">
        <v>231</v>
      </c>
      <c r="CS314" t="s">
        <v>231</v>
      </c>
      <c r="CT314" t="s">
        <v>3534</v>
      </c>
      <c r="CU314" t="s">
        <v>3535</v>
      </c>
      <c r="CV314" t="s">
        <v>3536</v>
      </c>
      <c r="CW314" t="s">
        <v>3623</v>
      </c>
      <c r="CX314" t="s">
        <v>223</v>
      </c>
      <c r="CY314" t="s">
        <v>3536</v>
      </c>
      <c r="CZ314" t="s">
        <v>3624</v>
      </c>
      <c r="DA314" t="s">
        <v>3625</v>
      </c>
      <c r="DB314" t="s">
        <v>3623</v>
      </c>
      <c r="DC314" t="s">
        <v>363</v>
      </c>
      <c r="DD314" t="s">
        <v>282</v>
      </c>
      <c r="DE314" t="s">
        <v>4980</v>
      </c>
    </row>
    <row r="315" spans="1:109" ht="11.25" customHeight="1">
      <c r="A315" s="1314" t="s">
        <v>231</v>
      </c>
      <c r="B315" t="s">
        <v>231</v>
      </c>
      <c r="C315" t="s">
        <v>231</v>
      </c>
      <c r="D315" t="s">
        <v>231</v>
      </c>
      <c r="E315" t="s">
        <v>231</v>
      </c>
      <c r="F315" t="s">
        <v>231</v>
      </c>
      <c r="G315" t="s">
        <v>231</v>
      </c>
      <c r="H315" t="s">
        <v>231</v>
      </c>
      <c r="I315" t="s">
        <v>3521</v>
      </c>
      <c r="J315" t="s">
        <v>231</v>
      </c>
      <c r="K315" t="s">
        <v>231</v>
      </c>
      <c r="L315" t="s">
        <v>231</v>
      </c>
      <c r="M315" t="s">
        <v>231</v>
      </c>
      <c r="N315" t="s">
        <v>231</v>
      </c>
      <c r="O315" t="s">
        <v>231</v>
      </c>
      <c r="P315" t="s">
        <v>231</v>
      </c>
      <c r="Q315" t="s">
        <v>231</v>
      </c>
      <c r="R315" t="s">
        <v>3615</v>
      </c>
      <c r="S315" t="s">
        <v>231</v>
      </c>
      <c r="T315" t="s">
        <v>231</v>
      </c>
      <c r="U315" t="s">
        <v>101</v>
      </c>
      <c r="V315" t="s">
        <v>231</v>
      </c>
      <c r="W315" t="s">
        <v>231</v>
      </c>
      <c r="X315" t="s">
        <v>3523</v>
      </c>
      <c r="Y315" t="s">
        <v>231</v>
      </c>
      <c r="Z315" t="s">
        <v>160</v>
      </c>
      <c r="AA315" t="s">
        <v>151</v>
      </c>
      <c r="AB315" t="s">
        <v>151</v>
      </c>
      <c r="AC315" t="s">
        <v>2287</v>
      </c>
      <c r="AD315" t="s">
        <v>2287</v>
      </c>
      <c r="AE315" t="s">
        <v>2288</v>
      </c>
      <c r="AF315" t="s">
        <v>3847</v>
      </c>
      <c r="AG315" t="s">
        <v>3848</v>
      </c>
      <c r="AH315" t="s">
        <v>3660</v>
      </c>
      <c r="AI315" t="s">
        <v>4981</v>
      </c>
      <c r="AJ315" t="s">
        <v>3619</v>
      </c>
      <c r="AK315" t="s">
        <v>3858</v>
      </c>
      <c r="AL315" t="s">
        <v>3548</v>
      </c>
      <c r="AM315" t="s">
        <v>3531</v>
      </c>
      <c r="AN315" t="s">
        <v>3621</v>
      </c>
      <c r="AO315" t="s">
        <v>3668</v>
      </c>
      <c r="AP315" t="s">
        <v>231</v>
      </c>
      <c r="AQ315" t="s">
        <v>231</v>
      </c>
      <c r="AR315" t="s">
        <v>231</v>
      </c>
      <c r="AS315" t="s">
        <v>231</v>
      </c>
      <c r="AT315" t="s">
        <v>231</v>
      </c>
      <c r="AU315" t="s">
        <v>231</v>
      </c>
      <c r="AV315" t="s">
        <v>231</v>
      </c>
      <c r="AW315" t="s">
        <v>231</v>
      </c>
      <c r="AX315" t="s">
        <v>231</v>
      </c>
      <c r="AY315" t="s">
        <v>231</v>
      </c>
      <c r="AZ315" t="s">
        <v>231</v>
      </c>
      <c r="BA315" t="s">
        <v>231</v>
      </c>
      <c r="BB315" t="s">
        <v>231</v>
      </c>
      <c r="BC315" t="s">
        <v>231</v>
      </c>
      <c r="BD315" t="s">
        <v>231</v>
      </c>
      <c r="BE315" t="s">
        <v>231</v>
      </c>
      <c r="BF315" t="s">
        <v>231</v>
      </c>
      <c r="BG315" t="s">
        <v>231</v>
      </c>
      <c r="BH315" t="s">
        <v>231</v>
      </c>
      <c r="BI315" t="s">
        <v>231</v>
      </c>
      <c r="BJ315" t="s">
        <v>231</v>
      </c>
      <c r="BK315" t="s">
        <v>231</v>
      </c>
      <c r="BL315" t="s">
        <v>231</v>
      </c>
      <c r="BM315" t="s">
        <v>231</v>
      </c>
      <c r="BN315" t="s">
        <v>231</v>
      </c>
      <c r="BO315" t="s">
        <v>231</v>
      </c>
      <c r="BP315" t="s">
        <v>231</v>
      </c>
      <c r="BQ315" t="s">
        <v>231</v>
      </c>
      <c r="BR315" t="s">
        <v>231</v>
      </c>
      <c r="BS315" t="s">
        <v>231</v>
      </c>
      <c r="BT315" t="s">
        <v>231</v>
      </c>
      <c r="BU315" t="s">
        <v>231</v>
      </c>
      <c r="BV315" t="s">
        <v>231</v>
      </c>
      <c r="BW315" t="s">
        <v>231</v>
      </c>
      <c r="BX315" t="s">
        <v>231</v>
      </c>
      <c r="BY315" t="s">
        <v>231</v>
      </c>
      <c r="BZ315" t="s">
        <v>231</v>
      </c>
      <c r="CA315" t="s">
        <v>231</v>
      </c>
      <c r="CB315" t="s">
        <v>231</v>
      </c>
      <c r="CC315" t="s">
        <v>231</v>
      </c>
      <c r="CD315" t="s">
        <v>231</v>
      </c>
      <c r="CE315" t="s">
        <v>231</v>
      </c>
      <c r="CF315" t="s">
        <v>231</v>
      </c>
      <c r="CG315" t="s">
        <v>231</v>
      </c>
      <c r="CH315" t="s">
        <v>231</v>
      </c>
      <c r="CI315" t="s">
        <v>231</v>
      </c>
      <c r="CJ315" t="s">
        <v>231</v>
      </c>
      <c r="CK315" t="s">
        <v>231</v>
      </c>
      <c r="CL315" t="s">
        <v>231</v>
      </c>
      <c r="CM315" t="s">
        <v>231</v>
      </c>
      <c r="CN315" t="s">
        <v>231</v>
      </c>
      <c r="CO315" t="s">
        <v>231</v>
      </c>
      <c r="CP315" t="s">
        <v>231</v>
      </c>
      <c r="CQ315" t="s">
        <v>231</v>
      </c>
      <c r="CR315" t="s">
        <v>231</v>
      </c>
      <c r="CS315" t="s">
        <v>231</v>
      </c>
      <c r="CT315" t="s">
        <v>3534</v>
      </c>
      <c r="CU315" t="s">
        <v>3535</v>
      </c>
      <c r="CV315" t="s">
        <v>3536</v>
      </c>
      <c r="CW315" t="s">
        <v>3623</v>
      </c>
      <c r="CX315" t="s">
        <v>223</v>
      </c>
      <c r="CY315" t="s">
        <v>3536</v>
      </c>
      <c r="CZ315" t="s">
        <v>3624</v>
      </c>
      <c r="DA315" t="s">
        <v>3625</v>
      </c>
      <c r="DB315" t="s">
        <v>3623</v>
      </c>
      <c r="DC315" t="s">
        <v>363</v>
      </c>
      <c r="DD315" t="s">
        <v>282</v>
      </c>
      <c r="DE315" t="s">
        <v>4982</v>
      </c>
    </row>
    <row r="316" spans="1:109" ht="11.25" customHeight="1">
      <c r="A316" s="1314" t="s">
        <v>231</v>
      </c>
      <c r="B316" t="s">
        <v>231</v>
      </c>
      <c r="C316" t="s">
        <v>231</v>
      </c>
      <c r="D316" t="s">
        <v>231</v>
      </c>
      <c r="E316" t="s">
        <v>231</v>
      </c>
      <c r="F316" t="s">
        <v>231</v>
      </c>
      <c r="G316" t="s">
        <v>231</v>
      </c>
      <c r="H316" t="s">
        <v>231</v>
      </c>
      <c r="I316" t="s">
        <v>3521</v>
      </c>
      <c r="J316" t="s">
        <v>231</v>
      </c>
      <c r="K316" t="s">
        <v>231</v>
      </c>
      <c r="L316" t="s">
        <v>231</v>
      </c>
      <c r="M316" t="s">
        <v>231</v>
      </c>
      <c r="N316" t="s">
        <v>231</v>
      </c>
      <c r="O316" t="s">
        <v>231</v>
      </c>
      <c r="P316" t="s">
        <v>231</v>
      </c>
      <c r="Q316" t="s">
        <v>231</v>
      </c>
      <c r="R316" t="s">
        <v>3615</v>
      </c>
      <c r="S316" t="s">
        <v>231</v>
      </c>
      <c r="T316" t="s">
        <v>231</v>
      </c>
      <c r="U316" t="s">
        <v>101</v>
      </c>
      <c r="V316" t="s">
        <v>231</v>
      </c>
      <c r="W316" t="s">
        <v>231</v>
      </c>
      <c r="X316" t="s">
        <v>3523</v>
      </c>
      <c r="Y316" t="s">
        <v>231</v>
      </c>
      <c r="Z316" t="s">
        <v>160</v>
      </c>
      <c r="AA316" t="s">
        <v>151</v>
      </c>
      <c r="AB316" t="s">
        <v>151</v>
      </c>
      <c r="AC316" t="s">
        <v>2287</v>
      </c>
      <c r="AD316" t="s">
        <v>2287</v>
      </c>
      <c r="AE316" t="s">
        <v>2288</v>
      </c>
      <c r="AF316" t="s">
        <v>3847</v>
      </c>
      <c r="AG316" t="s">
        <v>3848</v>
      </c>
      <c r="AH316" t="s">
        <v>3660</v>
      </c>
      <c r="AI316" t="s">
        <v>4983</v>
      </c>
      <c r="AJ316" t="s">
        <v>3619</v>
      </c>
      <c r="AK316" t="s">
        <v>4984</v>
      </c>
      <c r="AL316" t="s">
        <v>3548</v>
      </c>
      <c r="AM316" t="s">
        <v>3531</v>
      </c>
      <c r="AN316" t="s">
        <v>3621</v>
      </c>
      <c r="AO316" t="s">
        <v>3622</v>
      </c>
      <c r="AP316" t="s">
        <v>231</v>
      </c>
      <c r="AQ316" t="s">
        <v>231</v>
      </c>
      <c r="AR316" t="s">
        <v>231</v>
      </c>
      <c r="AS316" t="s">
        <v>231</v>
      </c>
      <c r="AT316" t="s">
        <v>231</v>
      </c>
      <c r="AU316" t="s">
        <v>231</v>
      </c>
      <c r="AV316" t="s">
        <v>231</v>
      </c>
      <c r="AW316" t="s">
        <v>231</v>
      </c>
      <c r="AX316" t="s">
        <v>231</v>
      </c>
      <c r="AY316" t="s">
        <v>231</v>
      </c>
      <c r="AZ316" t="s">
        <v>231</v>
      </c>
      <c r="BA316" t="s">
        <v>231</v>
      </c>
      <c r="BB316" t="s">
        <v>231</v>
      </c>
      <c r="BC316" t="s">
        <v>231</v>
      </c>
      <c r="BD316" t="s">
        <v>231</v>
      </c>
      <c r="BE316" t="s">
        <v>231</v>
      </c>
      <c r="BF316" t="s">
        <v>231</v>
      </c>
      <c r="BG316" t="s">
        <v>231</v>
      </c>
      <c r="BH316" t="s">
        <v>231</v>
      </c>
      <c r="BI316" t="s">
        <v>231</v>
      </c>
      <c r="BJ316" t="s">
        <v>231</v>
      </c>
      <c r="BK316" t="s">
        <v>231</v>
      </c>
      <c r="BL316" t="s">
        <v>231</v>
      </c>
      <c r="BM316" t="s">
        <v>231</v>
      </c>
      <c r="BN316" t="s">
        <v>231</v>
      </c>
      <c r="BO316" t="s">
        <v>231</v>
      </c>
      <c r="BP316" t="s">
        <v>231</v>
      </c>
      <c r="BQ316" t="s">
        <v>231</v>
      </c>
      <c r="BR316" t="s">
        <v>231</v>
      </c>
      <c r="BS316" t="s">
        <v>231</v>
      </c>
      <c r="BT316" t="s">
        <v>231</v>
      </c>
      <c r="BU316" t="s">
        <v>231</v>
      </c>
      <c r="BV316" t="s">
        <v>231</v>
      </c>
      <c r="BW316" t="s">
        <v>231</v>
      </c>
      <c r="BX316" t="s">
        <v>231</v>
      </c>
      <c r="BY316" t="s">
        <v>231</v>
      </c>
      <c r="BZ316" t="s">
        <v>231</v>
      </c>
      <c r="CA316" t="s">
        <v>231</v>
      </c>
      <c r="CB316" t="s">
        <v>231</v>
      </c>
      <c r="CC316" t="s">
        <v>231</v>
      </c>
      <c r="CD316" t="s">
        <v>231</v>
      </c>
      <c r="CE316" t="s">
        <v>231</v>
      </c>
      <c r="CF316" t="s">
        <v>231</v>
      </c>
      <c r="CG316" t="s">
        <v>231</v>
      </c>
      <c r="CH316" t="s">
        <v>231</v>
      </c>
      <c r="CI316" t="s">
        <v>231</v>
      </c>
      <c r="CJ316" t="s">
        <v>231</v>
      </c>
      <c r="CK316" t="s">
        <v>231</v>
      </c>
      <c r="CL316" t="s">
        <v>231</v>
      </c>
      <c r="CM316" t="s">
        <v>231</v>
      </c>
      <c r="CN316" t="s">
        <v>231</v>
      </c>
      <c r="CO316" t="s">
        <v>231</v>
      </c>
      <c r="CP316" t="s">
        <v>231</v>
      </c>
      <c r="CQ316" t="s">
        <v>231</v>
      </c>
      <c r="CR316" t="s">
        <v>231</v>
      </c>
      <c r="CS316" t="s">
        <v>231</v>
      </c>
      <c r="CT316" t="s">
        <v>3534</v>
      </c>
      <c r="CU316" t="s">
        <v>3535</v>
      </c>
      <c r="CV316" t="s">
        <v>3536</v>
      </c>
      <c r="CW316" t="s">
        <v>3623</v>
      </c>
      <c r="CX316" t="s">
        <v>223</v>
      </c>
      <c r="CY316" t="s">
        <v>3536</v>
      </c>
      <c r="CZ316" t="s">
        <v>3624</v>
      </c>
      <c r="DA316" t="s">
        <v>3625</v>
      </c>
      <c r="DB316" t="s">
        <v>3623</v>
      </c>
      <c r="DC316" t="s">
        <v>363</v>
      </c>
      <c r="DD316" t="s">
        <v>282</v>
      </c>
      <c r="DE316" t="s">
        <v>4985</v>
      </c>
    </row>
    <row r="317" spans="1:109" ht="11.25" customHeight="1">
      <c r="A317" s="1314" t="s">
        <v>231</v>
      </c>
      <c r="B317" t="s">
        <v>231</v>
      </c>
      <c r="C317" t="s">
        <v>231</v>
      </c>
      <c r="D317" t="s">
        <v>231</v>
      </c>
      <c r="E317" t="s">
        <v>231</v>
      </c>
      <c r="F317" t="s">
        <v>231</v>
      </c>
      <c r="G317" t="s">
        <v>231</v>
      </c>
      <c r="H317" t="s">
        <v>231</v>
      </c>
      <c r="I317" t="s">
        <v>3521</v>
      </c>
      <c r="J317" t="s">
        <v>231</v>
      </c>
      <c r="K317" t="s">
        <v>231</v>
      </c>
      <c r="L317" t="s">
        <v>231</v>
      </c>
      <c r="M317" t="s">
        <v>231</v>
      </c>
      <c r="N317" t="s">
        <v>231</v>
      </c>
      <c r="O317" t="s">
        <v>231</v>
      </c>
      <c r="P317" t="s">
        <v>231</v>
      </c>
      <c r="Q317" t="s">
        <v>231</v>
      </c>
      <c r="R317" t="s">
        <v>3615</v>
      </c>
      <c r="S317" t="s">
        <v>231</v>
      </c>
      <c r="T317" t="s">
        <v>231</v>
      </c>
      <c r="U317" t="s">
        <v>101</v>
      </c>
      <c r="V317" t="s">
        <v>231</v>
      </c>
      <c r="W317" t="s">
        <v>231</v>
      </c>
      <c r="X317" t="s">
        <v>3523</v>
      </c>
      <c r="Y317" t="s">
        <v>231</v>
      </c>
      <c r="Z317" t="s">
        <v>160</v>
      </c>
      <c r="AA317" t="s">
        <v>151</v>
      </c>
      <c r="AB317" t="s">
        <v>151</v>
      </c>
      <c r="AC317" t="s">
        <v>2287</v>
      </c>
      <c r="AD317" t="s">
        <v>2287</v>
      </c>
      <c r="AE317" t="s">
        <v>2288</v>
      </c>
      <c r="AF317" t="s">
        <v>3847</v>
      </c>
      <c r="AG317" t="s">
        <v>3848</v>
      </c>
      <c r="AH317" t="s">
        <v>4986</v>
      </c>
      <c r="AI317" t="s">
        <v>4987</v>
      </c>
      <c r="AJ317" t="s">
        <v>3619</v>
      </c>
      <c r="AK317" t="s">
        <v>4461</v>
      </c>
      <c r="AL317" t="s">
        <v>3548</v>
      </c>
      <c r="AM317" t="s">
        <v>3531</v>
      </c>
      <c r="AN317" t="s">
        <v>3621</v>
      </c>
      <c r="AO317" t="s">
        <v>3668</v>
      </c>
      <c r="AP317" t="s">
        <v>231</v>
      </c>
      <c r="AQ317" t="s">
        <v>231</v>
      </c>
      <c r="AR317" t="s">
        <v>231</v>
      </c>
      <c r="AS317" t="s">
        <v>231</v>
      </c>
      <c r="AT317" t="s">
        <v>231</v>
      </c>
      <c r="AU317" t="s">
        <v>231</v>
      </c>
      <c r="AV317" t="s">
        <v>231</v>
      </c>
      <c r="AW317" t="s">
        <v>231</v>
      </c>
      <c r="AX317" t="s">
        <v>231</v>
      </c>
      <c r="AY317" t="s">
        <v>231</v>
      </c>
      <c r="AZ317" t="s">
        <v>231</v>
      </c>
      <c r="BA317" t="s">
        <v>231</v>
      </c>
      <c r="BB317" t="s">
        <v>231</v>
      </c>
      <c r="BC317" t="s">
        <v>231</v>
      </c>
      <c r="BD317" t="s">
        <v>231</v>
      </c>
      <c r="BE317" t="s">
        <v>231</v>
      </c>
      <c r="BF317" t="s">
        <v>231</v>
      </c>
      <c r="BG317" t="s">
        <v>231</v>
      </c>
      <c r="BH317" t="s">
        <v>231</v>
      </c>
      <c r="BI317" t="s">
        <v>231</v>
      </c>
      <c r="BJ317" t="s">
        <v>231</v>
      </c>
      <c r="BK317" t="s">
        <v>231</v>
      </c>
      <c r="BL317" t="s">
        <v>231</v>
      </c>
      <c r="BM317" t="s">
        <v>231</v>
      </c>
      <c r="BN317" t="s">
        <v>231</v>
      </c>
      <c r="BO317" t="s">
        <v>231</v>
      </c>
      <c r="BP317" t="s">
        <v>231</v>
      </c>
      <c r="BQ317" t="s">
        <v>231</v>
      </c>
      <c r="BR317" t="s">
        <v>231</v>
      </c>
      <c r="BS317" t="s">
        <v>231</v>
      </c>
      <c r="BT317" t="s">
        <v>231</v>
      </c>
      <c r="BU317" t="s">
        <v>231</v>
      </c>
      <c r="BV317" t="s">
        <v>231</v>
      </c>
      <c r="BW317" t="s">
        <v>231</v>
      </c>
      <c r="BX317" t="s">
        <v>231</v>
      </c>
      <c r="BY317" t="s">
        <v>231</v>
      </c>
      <c r="BZ317" t="s">
        <v>231</v>
      </c>
      <c r="CA317" t="s">
        <v>231</v>
      </c>
      <c r="CB317" t="s">
        <v>231</v>
      </c>
      <c r="CC317" t="s">
        <v>231</v>
      </c>
      <c r="CD317" t="s">
        <v>231</v>
      </c>
      <c r="CE317" t="s">
        <v>231</v>
      </c>
      <c r="CF317" t="s">
        <v>231</v>
      </c>
      <c r="CG317" t="s">
        <v>231</v>
      </c>
      <c r="CH317" t="s">
        <v>231</v>
      </c>
      <c r="CI317" t="s">
        <v>231</v>
      </c>
      <c r="CJ317" t="s">
        <v>231</v>
      </c>
      <c r="CK317" t="s">
        <v>231</v>
      </c>
      <c r="CL317" t="s">
        <v>231</v>
      </c>
      <c r="CM317" t="s">
        <v>231</v>
      </c>
      <c r="CN317" t="s">
        <v>231</v>
      </c>
      <c r="CO317" t="s">
        <v>231</v>
      </c>
      <c r="CP317" t="s">
        <v>231</v>
      </c>
      <c r="CQ317" t="s">
        <v>231</v>
      </c>
      <c r="CR317" t="s">
        <v>231</v>
      </c>
      <c r="CS317" t="s">
        <v>231</v>
      </c>
      <c r="CT317" t="s">
        <v>3534</v>
      </c>
      <c r="CU317" t="s">
        <v>3535</v>
      </c>
      <c r="CV317" t="s">
        <v>3536</v>
      </c>
      <c r="CW317" t="s">
        <v>3623</v>
      </c>
      <c r="CX317" t="s">
        <v>223</v>
      </c>
      <c r="CY317" t="s">
        <v>3536</v>
      </c>
      <c r="CZ317" t="s">
        <v>3624</v>
      </c>
      <c r="DA317" t="s">
        <v>3625</v>
      </c>
      <c r="DB317" t="s">
        <v>3623</v>
      </c>
      <c r="DC317" t="s">
        <v>363</v>
      </c>
      <c r="DD317" t="s">
        <v>282</v>
      </c>
      <c r="DE317" t="s">
        <v>4988</v>
      </c>
    </row>
    <row r="318" spans="1:109" ht="11.25" customHeight="1">
      <c r="A318" s="1314" t="s">
        <v>231</v>
      </c>
      <c r="B318" t="s">
        <v>231</v>
      </c>
      <c r="C318" t="s">
        <v>231</v>
      </c>
      <c r="D318" t="s">
        <v>231</v>
      </c>
      <c r="E318" t="s">
        <v>231</v>
      </c>
      <c r="F318" t="s">
        <v>231</v>
      </c>
      <c r="G318" t="s">
        <v>231</v>
      </c>
      <c r="H318" t="s">
        <v>231</v>
      </c>
      <c r="I318" t="s">
        <v>3521</v>
      </c>
      <c r="J318" t="s">
        <v>231</v>
      </c>
      <c r="K318" t="s">
        <v>231</v>
      </c>
      <c r="L318" t="s">
        <v>231</v>
      </c>
      <c r="M318" t="s">
        <v>231</v>
      </c>
      <c r="N318" t="s">
        <v>231</v>
      </c>
      <c r="O318" t="s">
        <v>231</v>
      </c>
      <c r="P318" t="s">
        <v>231</v>
      </c>
      <c r="Q318" t="s">
        <v>231</v>
      </c>
      <c r="R318" t="s">
        <v>4989</v>
      </c>
      <c r="S318" t="s">
        <v>231</v>
      </c>
      <c r="T318" t="s">
        <v>231</v>
      </c>
      <c r="U318" t="s">
        <v>101</v>
      </c>
      <c r="V318" t="s">
        <v>231</v>
      </c>
      <c r="W318" t="s">
        <v>231</v>
      </c>
      <c r="X318" t="s">
        <v>3523</v>
      </c>
      <c r="Y318" t="s">
        <v>231</v>
      </c>
      <c r="Z318" t="s">
        <v>160</v>
      </c>
      <c r="AA318" t="s">
        <v>151</v>
      </c>
      <c r="AB318" t="s">
        <v>151</v>
      </c>
      <c r="AC318" t="s">
        <v>2262</v>
      </c>
      <c r="AD318" t="s">
        <v>2262</v>
      </c>
      <c r="AE318" t="s">
        <v>2264</v>
      </c>
      <c r="AF318" t="s">
        <v>3524</v>
      </c>
      <c r="AG318" t="s">
        <v>3525</v>
      </c>
      <c r="AH318" t="s">
        <v>4990</v>
      </c>
      <c r="AI318" t="s">
        <v>1668</v>
      </c>
      <c r="AJ318" t="s">
        <v>4991</v>
      </c>
      <c r="AK318" t="s">
        <v>4580</v>
      </c>
      <c r="AL318" t="s">
        <v>3530</v>
      </c>
      <c r="AM318" t="s">
        <v>3531</v>
      </c>
      <c r="AN318" t="s">
        <v>3867</v>
      </c>
      <c r="AO318" t="s">
        <v>3821</v>
      </c>
      <c r="AP318" t="s">
        <v>231</v>
      </c>
      <c r="AQ318" t="s">
        <v>231</v>
      </c>
      <c r="AR318" t="s">
        <v>231</v>
      </c>
      <c r="AS318" t="s">
        <v>231</v>
      </c>
      <c r="AT318" t="s">
        <v>231</v>
      </c>
      <c r="AU318" t="s">
        <v>231</v>
      </c>
      <c r="AV318" t="s">
        <v>231</v>
      </c>
      <c r="AW318" t="s">
        <v>231</v>
      </c>
      <c r="AX318" t="s">
        <v>231</v>
      </c>
      <c r="AY318" t="s">
        <v>231</v>
      </c>
      <c r="AZ318" t="s">
        <v>231</v>
      </c>
      <c r="BA318" t="s">
        <v>231</v>
      </c>
      <c r="BB318" t="s">
        <v>231</v>
      </c>
      <c r="BC318" t="s">
        <v>231</v>
      </c>
      <c r="BD318" t="s">
        <v>231</v>
      </c>
      <c r="BE318" t="s">
        <v>231</v>
      </c>
      <c r="BF318" t="s">
        <v>231</v>
      </c>
      <c r="BG318" t="s">
        <v>231</v>
      </c>
      <c r="BH318" t="s">
        <v>231</v>
      </c>
      <c r="BI318" t="s">
        <v>231</v>
      </c>
      <c r="BJ318" t="s">
        <v>231</v>
      </c>
      <c r="BK318" t="s">
        <v>231</v>
      </c>
      <c r="BL318" t="s">
        <v>231</v>
      </c>
      <c r="BM318" t="s">
        <v>231</v>
      </c>
      <c r="BN318" t="s">
        <v>231</v>
      </c>
      <c r="BO318" t="s">
        <v>231</v>
      </c>
      <c r="BP318" t="s">
        <v>231</v>
      </c>
      <c r="BQ318" t="s">
        <v>231</v>
      </c>
      <c r="BR318" t="s">
        <v>231</v>
      </c>
      <c r="BS318" t="s">
        <v>231</v>
      </c>
      <c r="BT318" t="s">
        <v>231</v>
      </c>
      <c r="BU318" t="s">
        <v>231</v>
      </c>
      <c r="BV318" t="s">
        <v>231</v>
      </c>
      <c r="BW318" t="s">
        <v>231</v>
      </c>
      <c r="BX318" t="s">
        <v>231</v>
      </c>
      <c r="BY318" t="s">
        <v>231</v>
      </c>
      <c r="BZ318" t="s">
        <v>231</v>
      </c>
      <c r="CA318" t="s">
        <v>231</v>
      </c>
      <c r="CB318" t="s">
        <v>231</v>
      </c>
      <c r="CC318" t="s">
        <v>231</v>
      </c>
      <c r="CD318" t="s">
        <v>231</v>
      </c>
      <c r="CE318" t="s">
        <v>231</v>
      </c>
      <c r="CF318" t="s">
        <v>231</v>
      </c>
      <c r="CG318" t="s">
        <v>231</v>
      </c>
      <c r="CH318" t="s">
        <v>231</v>
      </c>
      <c r="CI318" t="s">
        <v>231</v>
      </c>
      <c r="CJ318" t="s">
        <v>231</v>
      </c>
      <c r="CK318" t="s">
        <v>231</v>
      </c>
      <c r="CL318" t="s">
        <v>231</v>
      </c>
      <c r="CM318" t="s">
        <v>231</v>
      </c>
      <c r="CN318" t="s">
        <v>231</v>
      </c>
      <c r="CO318" t="s">
        <v>231</v>
      </c>
      <c r="CP318" t="s">
        <v>231</v>
      </c>
      <c r="CQ318" t="s">
        <v>231</v>
      </c>
      <c r="CR318" t="s">
        <v>231</v>
      </c>
      <c r="CS318" t="s">
        <v>231</v>
      </c>
      <c r="CT318" t="s">
        <v>3534</v>
      </c>
      <c r="CU318" t="s">
        <v>3535</v>
      </c>
      <c r="CV318" t="s">
        <v>3536</v>
      </c>
      <c r="CW318" t="s">
        <v>3537</v>
      </c>
      <c r="CX318" t="s">
        <v>223</v>
      </c>
      <c r="CY318" t="s">
        <v>3536</v>
      </c>
      <c r="CZ318" t="s">
        <v>3538</v>
      </c>
      <c r="DA318" t="s">
        <v>3539</v>
      </c>
      <c r="DB318" t="s">
        <v>3537</v>
      </c>
      <c r="DC318" t="s">
        <v>363</v>
      </c>
      <c r="DD318" t="s">
        <v>282</v>
      </c>
      <c r="DE318" t="s">
        <v>4992</v>
      </c>
    </row>
    <row r="319" spans="1:109" ht="11.25" customHeight="1">
      <c r="A319" s="1314" t="s">
        <v>231</v>
      </c>
      <c r="B319" t="s">
        <v>231</v>
      </c>
      <c r="C319" t="s">
        <v>231</v>
      </c>
      <c r="D319" t="s">
        <v>231</v>
      </c>
      <c r="E319" t="s">
        <v>231</v>
      </c>
      <c r="F319" t="s">
        <v>231</v>
      </c>
      <c r="G319" t="s">
        <v>231</v>
      </c>
      <c r="H319" t="s">
        <v>231</v>
      </c>
      <c r="I319" t="s">
        <v>3521</v>
      </c>
      <c r="J319" t="s">
        <v>231</v>
      </c>
      <c r="K319" t="s">
        <v>231</v>
      </c>
      <c r="L319" t="s">
        <v>231</v>
      </c>
      <c r="M319" t="s">
        <v>231</v>
      </c>
      <c r="N319" t="s">
        <v>231</v>
      </c>
      <c r="O319" t="s">
        <v>231</v>
      </c>
      <c r="P319" t="s">
        <v>231</v>
      </c>
      <c r="Q319" t="s">
        <v>231</v>
      </c>
      <c r="R319" t="s">
        <v>4993</v>
      </c>
      <c r="S319" t="s">
        <v>231</v>
      </c>
      <c r="T319" t="s">
        <v>231</v>
      </c>
      <c r="U319" t="s">
        <v>101</v>
      </c>
      <c r="V319" t="s">
        <v>231</v>
      </c>
      <c r="W319" t="s">
        <v>231</v>
      </c>
      <c r="X319" t="s">
        <v>3523</v>
      </c>
      <c r="Y319" t="s">
        <v>231</v>
      </c>
      <c r="Z319" t="s">
        <v>160</v>
      </c>
      <c r="AA319" t="s">
        <v>151</v>
      </c>
      <c r="AB319" t="s">
        <v>151</v>
      </c>
      <c r="AC319" t="s">
        <v>2262</v>
      </c>
      <c r="AD319" t="s">
        <v>2262</v>
      </c>
      <c r="AE319" t="s">
        <v>2264</v>
      </c>
      <c r="AF319" t="s">
        <v>3524</v>
      </c>
      <c r="AG319" t="s">
        <v>3525</v>
      </c>
      <c r="AH319" t="s">
        <v>4994</v>
      </c>
      <c r="AI319" t="s">
        <v>4995</v>
      </c>
      <c r="AJ319" t="s">
        <v>4996</v>
      </c>
      <c r="AK319" t="s">
        <v>3528</v>
      </c>
      <c r="AL319" t="s">
        <v>3530</v>
      </c>
      <c r="AM319" t="s">
        <v>3531</v>
      </c>
      <c r="AN319" t="s">
        <v>3867</v>
      </c>
      <c r="AO319" t="s">
        <v>3923</v>
      </c>
      <c r="AP319" t="s">
        <v>231</v>
      </c>
      <c r="AQ319" t="s">
        <v>231</v>
      </c>
      <c r="AR319" t="s">
        <v>231</v>
      </c>
      <c r="AS319" t="s">
        <v>231</v>
      </c>
      <c r="AT319" t="s">
        <v>231</v>
      </c>
      <c r="AU319" t="s">
        <v>231</v>
      </c>
      <c r="AV319" t="s">
        <v>231</v>
      </c>
      <c r="AW319" t="s">
        <v>231</v>
      </c>
      <c r="AX319" t="s">
        <v>231</v>
      </c>
      <c r="AY319" t="s">
        <v>231</v>
      </c>
      <c r="AZ319" t="s">
        <v>231</v>
      </c>
      <c r="BA319" t="s">
        <v>231</v>
      </c>
      <c r="BB319" t="s">
        <v>231</v>
      </c>
      <c r="BC319" t="s">
        <v>231</v>
      </c>
      <c r="BD319" t="s">
        <v>231</v>
      </c>
      <c r="BE319" t="s">
        <v>231</v>
      </c>
      <c r="BF319" t="s">
        <v>231</v>
      </c>
      <c r="BG319" t="s">
        <v>231</v>
      </c>
      <c r="BH319" t="s">
        <v>231</v>
      </c>
      <c r="BI319" t="s">
        <v>231</v>
      </c>
      <c r="BJ319" t="s">
        <v>231</v>
      </c>
      <c r="BK319" t="s">
        <v>231</v>
      </c>
      <c r="BL319" t="s">
        <v>231</v>
      </c>
      <c r="BM319" t="s">
        <v>231</v>
      </c>
      <c r="BN319" t="s">
        <v>231</v>
      </c>
      <c r="BO319" t="s">
        <v>231</v>
      </c>
      <c r="BP319" t="s">
        <v>231</v>
      </c>
      <c r="BQ319" t="s">
        <v>231</v>
      </c>
      <c r="BR319" t="s">
        <v>231</v>
      </c>
      <c r="BS319" t="s">
        <v>231</v>
      </c>
      <c r="BT319" t="s">
        <v>231</v>
      </c>
      <c r="BU319" t="s">
        <v>231</v>
      </c>
      <c r="BV319" t="s">
        <v>231</v>
      </c>
      <c r="BW319" t="s">
        <v>231</v>
      </c>
      <c r="BX319" t="s">
        <v>231</v>
      </c>
      <c r="BY319" t="s">
        <v>231</v>
      </c>
      <c r="BZ319" t="s">
        <v>231</v>
      </c>
      <c r="CA319" t="s">
        <v>231</v>
      </c>
      <c r="CB319" t="s">
        <v>231</v>
      </c>
      <c r="CC319" t="s">
        <v>231</v>
      </c>
      <c r="CD319" t="s">
        <v>231</v>
      </c>
      <c r="CE319" t="s">
        <v>231</v>
      </c>
      <c r="CF319" t="s">
        <v>231</v>
      </c>
      <c r="CG319" t="s">
        <v>231</v>
      </c>
      <c r="CH319" t="s">
        <v>231</v>
      </c>
      <c r="CI319" t="s">
        <v>231</v>
      </c>
      <c r="CJ319" t="s">
        <v>231</v>
      </c>
      <c r="CK319" t="s">
        <v>231</v>
      </c>
      <c r="CL319" t="s">
        <v>231</v>
      </c>
      <c r="CM319" t="s">
        <v>231</v>
      </c>
      <c r="CN319" t="s">
        <v>231</v>
      </c>
      <c r="CO319" t="s">
        <v>231</v>
      </c>
      <c r="CP319" t="s">
        <v>231</v>
      </c>
      <c r="CQ319" t="s">
        <v>231</v>
      </c>
      <c r="CR319" t="s">
        <v>231</v>
      </c>
      <c r="CS319" t="s">
        <v>231</v>
      </c>
      <c r="CT319" t="s">
        <v>3534</v>
      </c>
      <c r="CU319" t="s">
        <v>3535</v>
      </c>
      <c r="CV319" t="s">
        <v>3536</v>
      </c>
      <c r="CW319" t="s">
        <v>3537</v>
      </c>
      <c r="CX319" t="s">
        <v>223</v>
      </c>
      <c r="CY319" t="s">
        <v>3536</v>
      </c>
      <c r="CZ319" t="s">
        <v>3538</v>
      </c>
      <c r="DA319" t="s">
        <v>3539</v>
      </c>
      <c r="DB319" t="s">
        <v>3537</v>
      </c>
      <c r="DC319" t="s">
        <v>363</v>
      </c>
      <c r="DD319" t="s">
        <v>282</v>
      </c>
      <c r="DE319" t="s">
        <v>4997</v>
      </c>
    </row>
    <row r="320" spans="1:109" ht="11.25" customHeight="1">
      <c r="A320" s="1314" t="s">
        <v>231</v>
      </c>
      <c r="B320" t="s">
        <v>231</v>
      </c>
      <c r="C320" t="s">
        <v>231</v>
      </c>
      <c r="D320" t="s">
        <v>231</v>
      </c>
      <c r="E320" t="s">
        <v>231</v>
      </c>
      <c r="F320" t="s">
        <v>231</v>
      </c>
      <c r="G320" t="s">
        <v>231</v>
      </c>
      <c r="H320" t="s">
        <v>231</v>
      </c>
      <c r="I320" t="s">
        <v>3521</v>
      </c>
      <c r="J320" t="s">
        <v>231</v>
      </c>
      <c r="K320" t="s">
        <v>231</v>
      </c>
      <c r="L320" t="s">
        <v>231</v>
      </c>
      <c r="M320" t="s">
        <v>231</v>
      </c>
      <c r="N320" t="s">
        <v>231</v>
      </c>
      <c r="O320" t="s">
        <v>231</v>
      </c>
      <c r="P320" t="s">
        <v>231</v>
      </c>
      <c r="Q320" t="s">
        <v>231</v>
      </c>
      <c r="R320" t="s">
        <v>4998</v>
      </c>
      <c r="S320" t="s">
        <v>231</v>
      </c>
      <c r="T320" t="s">
        <v>231</v>
      </c>
      <c r="U320" t="s">
        <v>101</v>
      </c>
      <c r="V320" t="s">
        <v>231</v>
      </c>
      <c r="W320" t="s">
        <v>231</v>
      </c>
      <c r="X320" t="s">
        <v>3628</v>
      </c>
      <c r="Y320" t="s">
        <v>231</v>
      </c>
      <c r="Z320" t="s">
        <v>151</v>
      </c>
      <c r="AA320" t="s">
        <v>151</v>
      </c>
      <c r="AB320" t="s">
        <v>160</v>
      </c>
      <c r="AC320" t="s">
        <v>2289</v>
      </c>
      <c r="AD320" t="s">
        <v>2289</v>
      </c>
      <c r="AE320" t="s">
        <v>2290</v>
      </c>
      <c r="AF320" t="s">
        <v>4775</v>
      </c>
      <c r="AG320" t="s">
        <v>4776</v>
      </c>
      <c r="AH320" t="s">
        <v>3618</v>
      </c>
      <c r="AI320" t="s">
        <v>3618</v>
      </c>
      <c r="AJ320" t="s">
        <v>231</v>
      </c>
      <c r="AK320" t="s">
        <v>231</v>
      </c>
      <c r="AL320" t="s">
        <v>231</v>
      </c>
      <c r="AM320" t="s">
        <v>231</v>
      </c>
      <c r="AN320" t="s">
        <v>231</v>
      </c>
      <c r="AO320" t="s">
        <v>231</v>
      </c>
      <c r="AP320" t="s">
        <v>231</v>
      </c>
      <c r="AQ320" t="s">
        <v>231</v>
      </c>
      <c r="AR320" t="s">
        <v>231</v>
      </c>
      <c r="AS320" t="s">
        <v>231</v>
      </c>
      <c r="AT320" t="s">
        <v>231</v>
      </c>
      <c r="AU320" t="s">
        <v>231</v>
      </c>
      <c r="AV320" t="s">
        <v>231</v>
      </c>
      <c r="AW320" t="s">
        <v>231</v>
      </c>
      <c r="AX320" t="s">
        <v>231</v>
      </c>
      <c r="AY320" t="s">
        <v>231</v>
      </c>
      <c r="AZ320" t="s">
        <v>231</v>
      </c>
      <c r="BA320" t="s">
        <v>231</v>
      </c>
      <c r="BB320" t="s">
        <v>231</v>
      </c>
      <c r="BC320" t="s">
        <v>231</v>
      </c>
      <c r="BD320" t="s">
        <v>231</v>
      </c>
      <c r="BE320" t="s">
        <v>3546</v>
      </c>
      <c r="BF320" t="s">
        <v>3716</v>
      </c>
      <c r="BG320" t="s">
        <v>111</v>
      </c>
      <c r="BH320" t="s">
        <v>3632</v>
      </c>
      <c r="BI320" t="s">
        <v>122</v>
      </c>
      <c r="BJ320" t="s">
        <v>231</v>
      </c>
      <c r="BK320" t="s">
        <v>3651</v>
      </c>
      <c r="BL320" t="s">
        <v>2289</v>
      </c>
      <c r="BM320" t="s">
        <v>2289</v>
      </c>
      <c r="BN320" t="s">
        <v>3707</v>
      </c>
      <c r="BO320" t="s">
        <v>4775</v>
      </c>
      <c r="BP320" t="s">
        <v>4999</v>
      </c>
      <c r="BQ320" t="s">
        <v>3618</v>
      </c>
      <c r="BR320" t="s">
        <v>3618</v>
      </c>
      <c r="BS320" t="s">
        <v>231</v>
      </c>
      <c r="BT320" t="s">
        <v>3694</v>
      </c>
      <c r="BU320" t="s">
        <v>5000</v>
      </c>
      <c r="BV320" t="s">
        <v>5000</v>
      </c>
      <c r="BW320" t="s">
        <v>3641</v>
      </c>
      <c r="BX320" t="s">
        <v>3641</v>
      </c>
      <c r="BY320" t="s">
        <v>3641</v>
      </c>
      <c r="BZ320" t="s">
        <v>3641</v>
      </c>
      <c r="CA320" t="s">
        <v>3641</v>
      </c>
      <c r="CB320" t="s">
        <v>231</v>
      </c>
      <c r="CC320" t="s">
        <v>231</v>
      </c>
      <c r="CD320" t="s">
        <v>231</v>
      </c>
      <c r="CE320" t="s">
        <v>231</v>
      </c>
      <c r="CF320" t="s">
        <v>231</v>
      </c>
      <c r="CG320" t="s">
        <v>3641</v>
      </c>
      <c r="CH320" t="s">
        <v>231</v>
      </c>
      <c r="CI320" t="s">
        <v>231</v>
      </c>
      <c r="CJ320" t="s">
        <v>231</v>
      </c>
      <c r="CK320" t="s">
        <v>231</v>
      </c>
      <c r="CL320" t="s">
        <v>231</v>
      </c>
      <c r="CM320" t="s">
        <v>5000</v>
      </c>
      <c r="CN320" t="s">
        <v>5000</v>
      </c>
      <c r="CO320" t="s">
        <v>231</v>
      </c>
      <c r="CP320" t="s">
        <v>231</v>
      </c>
      <c r="CQ320" t="s">
        <v>231</v>
      </c>
      <c r="CR320" t="s">
        <v>231</v>
      </c>
      <c r="CS320" t="s">
        <v>3710</v>
      </c>
      <c r="CT320" t="s">
        <v>3534</v>
      </c>
      <c r="CU320" t="s">
        <v>3535</v>
      </c>
      <c r="CV320" t="s">
        <v>3536</v>
      </c>
      <c r="CW320" t="s">
        <v>3589</v>
      </c>
      <c r="CX320" t="s">
        <v>223</v>
      </c>
      <c r="CY320" t="s">
        <v>3536</v>
      </c>
      <c r="CZ320" t="s">
        <v>3590</v>
      </c>
      <c r="DA320" t="s">
        <v>3591</v>
      </c>
      <c r="DB320" t="s">
        <v>3589</v>
      </c>
      <c r="DC320" t="s">
        <v>363</v>
      </c>
      <c r="DD320" t="s">
        <v>282</v>
      </c>
      <c r="DE320" t="s">
        <v>5001</v>
      </c>
    </row>
    <row r="321" spans="1:109" ht="11.25" customHeight="1">
      <c r="A321" s="1314" t="s">
        <v>231</v>
      </c>
      <c r="B321" t="s">
        <v>231</v>
      </c>
      <c r="C321" t="s">
        <v>231</v>
      </c>
      <c r="D321" t="s">
        <v>231</v>
      </c>
      <c r="E321" t="s">
        <v>231</v>
      </c>
      <c r="F321" t="s">
        <v>231</v>
      </c>
      <c r="G321" t="s">
        <v>231</v>
      </c>
      <c r="H321" t="s">
        <v>231</v>
      </c>
      <c r="I321" t="s">
        <v>3521</v>
      </c>
      <c r="J321" t="s">
        <v>231</v>
      </c>
      <c r="K321" t="s">
        <v>231</v>
      </c>
      <c r="L321" t="s">
        <v>231</v>
      </c>
      <c r="M321" t="s">
        <v>231</v>
      </c>
      <c r="N321" t="s">
        <v>231</v>
      </c>
      <c r="O321" t="s">
        <v>231</v>
      </c>
      <c r="P321" t="s">
        <v>231</v>
      </c>
      <c r="Q321" t="s">
        <v>231</v>
      </c>
      <c r="R321" t="s">
        <v>5002</v>
      </c>
      <c r="S321" t="s">
        <v>231</v>
      </c>
      <c r="T321" t="s">
        <v>231</v>
      </c>
      <c r="U321" t="s">
        <v>101</v>
      </c>
      <c r="V321" t="s">
        <v>231</v>
      </c>
      <c r="W321" t="s">
        <v>231</v>
      </c>
      <c r="X321" t="s">
        <v>3628</v>
      </c>
      <c r="Y321" t="s">
        <v>231</v>
      </c>
      <c r="Z321" t="s">
        <v>151</v>
      </c>
      <c r="AA321" t="s">
        <v>151</v>
      </c>
      <c r="AB321" t="s">
        <v>160</v>
      </c>
      <c r="AC321" t="s">
        <v>2289</v>
      </c>
      <c r="AD321" t="s">
        <v>2289</v>
      </c>
      <c r="AE321" t="s">
        <v>2290</v>
      </c>
      <c r="AF321" t="s">
        <v>4782</v>
      </c>
      <c r="AG321" t="s">
        <v>4783</v>
      </c>
      <c r="AH321" t="s">
        <v>3618</v>
      </c>
      <c r="AI321" t="s">
        <v>3618</v>
      </c>
      <c r="AJ321" t="s">
        <v>231</v>
      </c>
      <c r="AK321" t="s">
        <v>231</v>
      </c>
      <c r="AL321" t="s">
        <v>231</v>
      </c>
      <c r="AM321" t="s">
        <v>231</v>
      </c>
      <c r="AN321" t="s">
        <v>231</v>
      </c>
      <c r="AO321" t="s">
        <v>231</v>
      </c>
      <c r="AP321" t="s">
        <v>231</v>
      </c>
      <c r="AQ321" t="s">
        <v>231</v>
      </c>
      <c r="AR321" t="s">
        <v>231</v>
      </c>
      <c r="AS321" t="s">
        <v>231</v>
      </c>
      <c r="AT321" t="s">
        <v>231</v>
      </c>
      <c r="AU321" t="s">
        <v>231</v>
      </c>
      <c r="AV321" t="s">
        <v>231</v>
      </c>
      <c r="AW321" t="s">
        <v>231</v>
      </c>
      <c r="AX321" t="s">
        <v>231</v>
      </c>
      <c r="AY321" t="s">
        <v>231</v>
      </c>
      <c r="AZ321" t="s">
        <v>231</v>
      </c>
      <c r="BA321" t="s">
        <v>231</v>
      </c>
      <c r="BB321" t="s">
        <v>231</v>
      </c>
      <c r="BC321" t="s">
        <v>231</v>
      </c>
      <c r="BD321" t="s">
        <v>231</v>
      </c>
      <c r="BE321" t="s">
        <v>3619</v>
      </c>
      <c r="BF321" t="s">
        <v>3586</v>
      </c>
      <c r="BG321" t="s">
        <v>111</v>
      </c>
      <c r="BH321" t="s">
        <v>3632</v>
      </c>
      <c r="BI321" t="s">
        <v>122</v>
      </c>
      <c r="BJ321" t="s">
        <v>231</v>
      </c>
      <c r="BK321" t="s">
        <v>3651</v>
      </c>
      <c r="BL321" t="s">
        <v>2289</v>
      </c>
      <c r="BM321" t="s">
        <v>2289</v>
      </c>
      <c r="BN321" t="s">
        <v>3707</v>
      </c>
      <c r="BO321" t="s">
        <v>4782</v>
      </c>
      <c r="BP321" t="s">
        <v>5003</v>
      </c>
      <c r="BQ321" t="s">
        <v>3618</v>
      </c>
      <c r="BR321" t="s">
        <v>3618</v>
      </c>
      <c r="BS321" t="s">
        <v>231</v>
      </c>
      <c r="BT321" t="s">
        <v>3694</v>
      </c>
      <c r="BU321" t="s">
        <v>5004</v>
      </c>
      <c r="BV321" t="s">
        <v>5004</v>
      </c>
      <c r="BW321" t="s">
        <v>3641</v>
      </c>
      <c r="BX321" t="s">
        <v>3641</v>
      </c>
      <c r="BY321" t="s">
        <v>3641</v>
      </c>
      <c r="BZ321" t="s">
        <v>3641</v>
      </c>
      <c r="CA321" t="s">
        <v>3641</v>
      </c>
      <c r="CB321" t="s">
        <v>231</v>
      </c>
      <c r="CC321" t="s">
        <v>231</v>
      </c>
      <c r="CD321" t="s">
        <v>231</v>
      </c>
      <c r="CE321" t="s">
        <v>231</v>
      </c>
      <c r="CF321" t="s">
        <v>231</v>
      </c>
      <c r="CG321" t="s">
        <v>3641</v>
      </c>
      <c r="CH321" t="s">
        <v>231</v>
      </c>
      <c r="CI321" t="s">
        <v>231</v>
      </c>
      <c r="CJ321" t="s">
        <v>231</v>
      </c>
      <c r="CK321" t="s">
        <v>231</v>
      </c>
      <c r="CL321" t="s">
        <v>231</v>
      </c>
      <c r="CM321" t="s">
        <v>5004</v>
      </c>
      <c r="CN321" t="s">
        <v>5004</v>
      </c>
      <c r="CO321" t="s">
        <v>231</v>
      </c>
      <c r="CP321" t="s">
        <v>231</v>
      </c>
      <c r="CQ321" t="s">
        <v>231</v>
      </c>
      <c r="CR321" t="s">
        <v>231</v>
      </c>
      <c r="CS321" t="s">
        <v>3710</v>
      </c>
      <c r="CT321" t="s">
        <v>3534</v>
      </c>
      <c r="CU321" t="s">
        <v>3535</v>
      </c>
      <c r="CV321" t="s">
        <v>3536</v>
      </c>
      <c r="CW321" t="s">
        <v>3589</v>
      </c>
      <c r="CX321" t="s">
        <v>223</v>
      </c>
      <c r="CY321" t="s">
        <v>3536</v>
      </c>
      <c r="CZ321" t="s">
        <v>3590</v>
      </c>
      <c r="DA321" t="s">
        <v>3591</v>
      </c>
      <c r="DB321" t="s">
        <v>3589</v>
      </c>
      <c r="DC321" t="s">
        <v>363</v>
      </c>
      <c r="DD321" t="s">
        <v>282</v>
      </c>
      <c r="DE321" t="s">
        <v>5005</v>
      </c>
    </row>
    <row r="322" spans="1:109" ht="11.25" customHeight="1">
      <c r="A322" s="1314" t="s">
        <v>231</v>
      </c>
      <c r="B322" t="s">
        <v>231</v>
      </c>
      <c r="C322" t="s">
        <v>231</v>
      </c>
      <c r="D322" t="s">
        <v>231</v>
      </c>
      <c r="E322" t="s">
        <v>231</v>
      </c>
      <c r="F322" t="s">
        <v>231</v>
      </c>
      <c r="G322" t="s">
        <v>231</v>
      </c>
      <c r="H322" t="s">
        <v>231</v>
      </c>
      <c r="I322" t="s">
        <v>3521</v>
      </c>
      <c r="J322" t="s">
        <v>231</v>
      </c>
      <c r="K322" t="s">
        <v>231</v>
      </c>
      <c r="L322" t="s">
        <v>231</v>
      </c>
      <c r="M322" t="s">
        <v>231</v>
      </c>
      <c r="N322" t="s">
        <v>231</v>
      </c>
      <c r="O322" t="s">
        <v>231</v>
      </c>
      <c r="P322" t="s">
        <v>231</v>
      </c>
      <c r="Q322" t="s">
        <v>231</v>
      </c>
      <c r="R322" t="s">
        <v>3615</v>
      </c>
      <c r="S322" t="s">
        <v>231</v>
      </c>
      <c r="T322" t="s">
        <v>231</v>
      </c>
      <c r="U322" t="s">
        <v>101</v>
      </c>
      <c r="V322" t="s">
        <v>231</v>
      </c>
      <c r="W322" t="s">
        <v>231</v>
      </c>
      <c r="X322" t="s">
        <v>3523</v>
      </c>
      <c r="Y322" t="s">
        <v>231</v>
      </c>
      <c r="Z322" t="s">
        <v>160</v>
      </c>
      <c r="AA322" t="s">
        <v>151</v>
      </c>
      <c r="AB322" t="s">
        <v>151</v>
      </c>
      <c r="AC322" t="s">
        <v>2289</v>
      </c>
      <c r="AD322" t="s">
        <v>2289</v>
      </c>
      <c r="AE322" t="s">
        <v>2290</v>
      </c>
      <c r="AF322" t="s">
        <v>4782</v>
      </c>
      <c r="AG322" t="s">
        <v>4783</v>
      </c>
      <c r="AH322" t="s">
        <v>4174</v>
      </c>
      <c r="AI322" t="s">
        <v>3618</v>
      </c>
      <c r="AJ322" t="s">
        <v>3546</v>
      </c>
      <c r="AK322" t="s">
        <v>3586</v>
      </c>
      <c r="AL322" t="s">
        <v>3548</v>
      </c>
      <c r="AM322" t="s">
        <v>3531</v>
      </c>
      <c r="AN322" t="s">
        <v>3587</v>
      </c>
      <c r="AO322" t="s">
        <v>3550</v>
      </c>
      <c r="AP322" t="s">
        <v>231</v>
      </c>
      <c r="AQ322" t="s">
        <v>231</v>
      </c>
      <c r="AR322" t="s">
        <v>231</v>
      </c>
      <c r="AS322" t="s">
        <v>231</v>
      </c>
      <c r="AT322" t="s">
        <v>231</v>
      </c>
      <c r="AU322" t="s">
        <v>231</v>
      </c>
      <c r="AV322" t="s">
        <v>231</v>
      </c>
      <c r="AW322" t="s">
        <v>231</v>
      </c>
      <c r="AX322" t="s">
        <v>231</v>
      </c>
      <c r="AY322" t="s">
        <v>231</v>
      </c>
      <c r="AZ322" t="s">
        <v>231</v>
      </c>
      <c r="BA322" t="s">
        <v>231</v>
      </c>
      <c r="BB322" t="s">
        <v>231</v>
      </c>
      <c r="BC322" t="s">
        <v>231</v>
      </c>
      <c r="BD322" t="s">
        <v>231</v>
      </c>
      <c r="BE322" t="s">
        <v>231</v>
      </c>
      <c r="BF322" t="s">
        <v>231</v>
      </c>
      <c r="BG322" t="s">
        <v>231</v>
      </c>
      <c r="BH322" t="s">
        <v>231</v>
      </c>
      <c r="BI322" t="s">
        <v>231</v>
      </c>
      <c r="BJ322" t="s">
        <v>231</v>
      </c>
      <c r="BK322" t="s">
        <v>231</v>
      </c>
      <c r="BL322" t="s">
        <v>231</v>
      </c>
      <c r="BM322" t="s">
        <v>231</v>
      </c>
      <c r="BN322" t="s">
        <v>231</v>
      </c>
      <c r="BO322" t="s">
        <v>231</v>
      </c>
      <c r="BP322" t="s">
        <v>231</v>
      </c>
      <c r="BQ322" t="s">
        <v>231</v>
      </c>
      <c r="BR322" t="s">
        <v>231</v>
      </c>
      <c r="BS322" t="s">
        <v>231</v>
      </c>
      <c r="BT322" t="s">
        <v>231</v>
      </c>
      <c r="BU322" t="s">
        <v>231</v>
      </c>
      <c r="BV322" t="s">
        <v>231</v>
      </c>
      <c r="BW322" t="s">
        <v>231</v>
      </c>
      <c r="BX322" t="s">
        <v>231</v>
      </c>
      <c r="BY322" t="s">
        <v>231</v>
      </c>
      <c r="BZ322" t="s">
        <v>231</v>
      </c>
      <c r="CA322" t="s">
        <v>231</v>
      </c>
      <c r="CB322" t="s">
        <v>231</v>
      </c>
      <c r="CC322" t="s">
        <v>231</v>
      </c>
      <c r="CD322" t="s">
        <v>231</v>
      </c>
      <c r="CE322" t="s">
        <v>231</v>
      </c>
      <c r="CF322" t="s">
        <v>231</v>
      </c>
      <c r="CG322" t="s">
        <v>231</v>
      </c>
      <c r="CH322" t="s">
        <v>231</v>
      </c>
      <c r="CI322" t="s">
        <v>231</v>
      </c>
      <c r="CJ322" t="s">
        <v>231</v>
      </c>
      <c r="CK322" t="s">
        <v>231</v>
      </c>
      <c r="CL322" t="s">
        <v>231</v>
      </c>
      <c r="CM322" t="s">
        <v>231</v>
      </c>
      <c r="CN322" t="s">
        <v>231</v>
      </c>
      <c r="CO322" t="s">
        <v>231</v>
      </c>
      <c r="CP322" t="s">
        <v>231</v>
      </c>
      <c r="CQ322" t="s">
        <v>231</v>
      </c>
      <c r="CR322" t="s">
        <v>231</v>
      </c>
      <c r="CS322" t="s">
        <v>231</v>
      </c>
      <c r="CT322" t="s">
        <v>3534</v>
      </c>
      <c r="CU322" t="s">
        <v>3535</v>
      </c>
      <c r="CV322" t="s">
        <v>3536</v>
      </c>
      <c r="CW322" t="s">
        <v>3589</v>
      </c>
      <c r="CX322" t="s">
        <v>223</v>
      </c>
      <c r="CY322" t="s">
        <v>3536</v>
      </c>
      <c r="CZ322" t="s">
        <v>3590</v>
      </c>
      <c r="DA322" t="s">
        <v>3591</v>
      </c>
      <c r="DB322" t="s">
        <v>3589</v>
      </c>
      <c r="DC322" t="s">
        <v>363</v>
      </c>
      <c r="DD322" t="s">
        <v>282</v>
      </c>
      <c r="DE322" t="s">
        <v>5006</v>
      </c>
    </row>
    <row r="323" spans="1:109" ht="11.25" customHeight="1">
      <c r="A323" s="1314" t="s">
        <v>231</v>
      </c>
      <c r="B323" t="s">
        <v>231</v>
      </c>
      <c r="C323" t="s">
        <v>231</v>
      </c>
      <c r="D323" t="s">
        <v>231</v>
      </c>
      <c r="E323" t="s">
        <v>231</v>
      </c>
      <c r="F323" t="s">
        <v>231</v>
      </c>
      <c r="G323" t="s">
        <v>231</v>
      </c>
      <c r="H323" t="s">
        <v>231</v>
      </c>
      <c r="I323" t="s">
        <v>3521</v>
      </c>
      <c r="J323" t="s">
        <v>231</v>
      </c>
      <c r="K323" t="s">
        <v>231</v>
      </c>
      <c r="L323" t="s">
        <v>231</v>
      </c>
      <c r="M323" t="s">
        <v>231</v>
      </c>
      <c r="N323" t="s">
        <v>231</v>
      </c>
      <c r="O323" t="s">
        <v>231</v>
      </c>
      <c r="P323" t="s">
        <v>231</v>
      </c>
      <c r="Q323" t="s">
        <v>231</v>
      </c>
      <c r="R323" t="s">
        <v>3615</v>
      </c>
      <c r="S323" t="s">
        <v>231</v>
      </c>
      <c r="T323" t="s">
        <v>231</v>
      </c>
      <c r="U323" t="s">
        <v>101</v>
      </c>
      <c r="V323" t="s">
        <v>231</v>
      </c>
      <c r="W323" t="s">
        <v>231</v>
      </c>
      <c r="X323" t="s">
        <v>3523</v>
      </c>
      <c r="Y323" t="s">
        <v>231</v>
      </c>
      <c r="Z323" t="s">
        <v>160</v>
      </c>
      <c r="AA323" t="s">
        <v>151</v>
      </c>
      <c r="AB323" t="s">
        <v>151</v>
      </c>
      <c r="AC323" t="s">
        <v>2289</v>
      </c>
      <c r="AD323" t="s">
        <v>2289</v>
      </c>
      <c r="AE323" t="s">
        <v>2290</v>
      </c>
      <c r="AF323" t="s">
        <v>3885</v>
      </c>
      <c r="AG323" t="s">
        <v>3886</v>
      </c>
      <c r="AH323" t="s">
        <v>3932</v>
      </c>
      <c r="AI323" t="s">
        <v>4624</v>
      </c>
      <c r="AJ323" t="s">
        <v>3546</v>
      </c>
      <c r="AK323" t="s">
        <v>3586</v>
      </c>
      <c r="AL323" t="s">
        <v>3548</v>
      </c>
      <c r="AM323" t="s">
        <v>3531</v>
      </c>
      <c r="AN323" t="s">
        <v>3587</v>
      </c>
      <c r="AO323" t="s">
        <v>3882</v>
      </c>
      <c r="AP323" t="s">
        <v>231</v>
      </c>
      <c r="AQ323" t="s">
        <v>231</v>
      </c>
      <c r="AR323" t="s">
        <v>231</v>
      </c>
      <c r="AS323" t="s">
        <v>231</v>
      </c>
      <c r="AT323" t="s">
        <v>231</v>
      </c>
      <c r="AU323" t="s">
        <v>231</v>
      </c>
      <c r="AV323" t="s">
        <v>231</v>
      </c>
      <c r="AW323" t="s">
        <v>231</v>
      </c>
      <c r="AX323" t="s">
        <v>231</v>
      </c>
      <c r="AY323" t="s">
        <v>231</v>
      </c>
      <c r="AZ323" t="s">
        <v>231</v>
      </c>
      <c r="BA323" t="s">
        <v>231</v>
      </c>
      <c r="BB323" t="s">
        <v>231</v>
      </c>
      <c r="BC323" t="s">
        <v>231</v>
      </c>
      <c r="BD323" t="s">
        <v>231</v>
      </c>
      <c r="BE323" t="s">
        <v>231</v>
      </c>
      <c r="BF323" t="s">
        <v>231</v>
      </c>
      <c r="BG323" t="s">
        <v>231</v>
      </c>
      <c r="BH323" t="s">
        <v>231</v>
      </c>
      <c r="BI323" t="s">
        <v>231</v>
      </c>
      <c r="BJ323" t="s">
        <v>231</v>
      </c>
      <c r="BK323" t="s">
        <v>231</v>
      </c>
      <c r="BL323" t="s">
        <v>231</v>
      </c>
      <c r="BM323" t="s">
        <v>231</v>
      </c>
      <c r="BN323" t="s">
        <v>231</v>
      </c>
      <c r="BO323" t="s">
        <v>231</v>
      </c>
      <c r="BP323" t="s">
        <v>231</v>
      </c>
      <c r="BQ323" t="s">
        <v>231</v>
      </c>
      <c r="BR323" t="s">
        <v>231</v>
      </c>
      <c r="BS323" t="s">
        <v>231</v>
      </c>
      <c r="BT323" t="s">
        <v>231</v>
      </c>
      <c r="BU323" t="s">
        <v>231</v>
      </c>
      <c r="BV323" t="s">
        <v>231</v>
      </c>
      <c r="BW323" t="s">
        <v>231</v>
      </c>
      <c r="BX323" t="s">
        <v>231</v>
      </c>
      <c r="BY323" t="s">
        <v>231</v>
      </c>
      <c r="BZ323" t="s">
        <v>231</v>
      </c>
      <c r="CA323" t="s">
        <v>231</v>
      </c>
      <c r="CB323" t="s">
        <v>231</v>
      </c>
      <c r="CC323" t="s">
        <v>231</v>
      </c>
      <c r="CD323" t="s">
        <v>231</v>
      </c>
      <c r="CE323" t="s">
        <v>231</v>
      </c>
      <c r="CF323" t="s">
        <v>231</v>
      </c>
      <c r="CG323" t="s">
        <v>231</v>
      </c>
      <c r="CH323" t="s">
        <v>231</v>
      </c>
      <c r="CI323" t="s">
        <v>231</v>
      </c>
      <c r="CJ323" t="s">
        <v>231</v>
      </c>
      <c r="CK323" t="s">
        <v>231</v>
      </c>
      <c r="CL323" t="s">
        <v>231</v>
      </c>
      <c r="CM323" t="s">
        <v>231</v>
      </c>
      <c r="CN323" t="s">
        <v>231</v>
      </c>
      <c r="CO323" t="s">
        <v>231</v>
      </c>
      <c r="CP323" t="s">
        <v>231</v>
      </c>
      <c r="CQ323" t="s">
        <v>231</v>
      </c>
      <c r="CR323" t="s">
        <v>231</v>
      </c>
      <c r="CS323" t="s">
        <v>231</v>
      </c>
      <c r="CT323" t="s">
        <v>3534</v>
      </c>
      <c r="CU323" t="s">
        <v>3535</v>
      </c>
      <c r="CV323" t="s">
        <v>3536</v>
      </c>
      <c r="CW323" t="s">
        <v>3589</v>
      </c>
      <c r="CX323" t="s">
        <v>223</v>
      </c>
      <c r="CY323" t="s">
        <v>3536</v>
      </c>
      <c r="CZ323" t="s">
        <v>3590</v>
      </c>
      <c r="DA323" t="s">
        <v>3591</v>
      </c>
      <c r="DB323" t="s">
        <v>3589</v>
      </c>
      <c r="DC323" t="s">
        <v>363</v>
      </c>
      <c r="DD323" t="s">
        <v>282</v>
      </c>
      <c r="DE323" t="s">
        <v>5007</v>
      </c>
    </row>
    <row r="324" spans="1:109" ht="11.25" customHeight="1">
      <c r="A324" s="1314" t="s">
        <v>231</v>
      </c>
      <c r="B324" t="s">
        <v>231</v>
      </c>
      <c r="C324" t="s">
        <v>231</v>
      </c>
      <c r="D324" t="s">
        <v>231</v>
      </c>
      <c r="E324" t="s">
        <v>231</v>
      </c>
      <c r="F324" t="s">
        <v>231</v>
      </c>
      <c r="G324" t="s">
        <v>231</v>
      </c>
      <c r="H324" t="s">
        <v>231</v>
      </c>
      <c r="I324" t="s">
        <v>3521</v>
      </c>
      <c r="J324" t="s">
        <v>231</v>
      </c>
      <c r="K324" t="s">
        <v>231</v>
      </c>
      <c r="L324" t="s">
        <v>231</v>
      </c>
      <c r="M324" t="s">
        <v>231</v>
      </c>
      <c r="N324" t="s">
        <v>231</v>
      </c>
      <c r="O324" t="s">
        <v>231</v>
      </c>
      <c r="P324" t="s">
        <v>231</v>
      </c>
      <c r="Q324" t="s">
        <v>231</v>
      </c>
      <c r="R324" t="s">
        <v>3615</v>
      </c>
      <c r="S324" t="s">
        <v>231</v>
      </c>
      <c r="T324" t="s">
        <v>231</v>
      </c>
      <c r="U324" t="s">
        <v>101</v>
      </c>
      <c r="V324" t="s">
        <v>231</v>
      </c>
      <c r="W324" t="s">
        <v>231</v>
      </c>
      <c r="X324" t="s">
        <v>3523</v>
      </c>
      <c r="Y324" t="s">
        <v>231</v>
      </c>
      <c r="Z324" t="s">
        <v>160</v>
      </c>
      <c r="AA324" t="s">
        <v>151</v>
      </c>
      <c r="AB324" t="s">
        <v>151</v>
      </c>
      <c r="AC324" t="s">
        <v>2289</v>
      </c>
      <c r="AD324" t="s">
        <v>2289</v>
      </c>
      <c r="AE324" t="s">
        <v>2290</v>
      </c>
      <c r="AF324" t="s">
        <v>3885</v>
      </c>
      <c r="AG324" t="s">
        <v>3886</v>
      </c>
      <c r="AH324" t="s">
        <v>4170</v>
      </c>
      <c r="AI324" t="s">
        <v>4016</v>
      </c>
      <c r="AJ324" t="s">
        <v>3546</v>
      </c>
      <c r="AK324" t="s">
        <v>3586</v>
      </c>
      <c r="AL324" t="s">
        <v>3548</v>
      </c>
      <c r="AM324" t="s">
        <v>3531</v>
      </c>
      <c r="AN324" t="s">
        <v>3867</v>
      </c>
      <c r="AO324" t="s">
        <v>4545</v>
      </c>
      <c r="AP324" t="s">
        <v>231</v>
      </c>
      <c r="AQ324" t="s">
        <v>231</v>
      </c>
      <c r="AR324" t="s">
        <v>231</v>
      </c>
      <c r="AS324" t="s">
        <v>231</v>
      </c>
      <c r="AT324" t="s">
        <v>231</v>
      </c>
      <c r="AU324" t="s">
        <v>231</v>
      </c>
      <c r="AV324" t="s">
        <v>231</v>
      </c>
      <c r="AW324" t="s">
        <v>231</v>
      </c>
      <c r="AX324" t="s">
        <v>231</v>
      </c>
      <c r="AY324" t="s">
        <v>231</v>
      </c>
      <c r="AZ324" t="s">
        <v>231</v>
      </c>
      <c r="BA324" t="s">
        <v>231</v>
      </c>
      <c r="BB324" t="s">
        <v>231</v>
      </c>
      <c r="BC324" t="s">
        <v>231</v>
      </c>
      <c r="BD324" t="s">
        <v>231</v>
      </c>
      <c r="BE324" t="s">
        <v>231</v>
      </c>
      <c r="BF324" t="s">
        <v>231</v>
      </c>
      <c r="BG324" t="s">
        <v>231</v>
      </c>
      <c r="BH324" t="s">
        <v>231</v>
      </c>
      <c r="BI324" t="s">
        <v>231</v>
      </c>
      <c r="BJ324" t="s">
        <v>231</v>
      </c>
      <c r="BK324" t="s">
        <v>231</v>
      </c>
      <c r="BL324" t="s">
        <v>231</v>
      </c>
      <c r="BM324" t="s">
        <v>231</v>
      </c>
      <c r="BN324" t="s">
        <v>231</v>
      </c>
      <c r="BO324" t="s">
        <v>231</v>
      </c>
      <c r="BP324" t="s">
        <v>231</v>
      </c>
      <c r="BQ324" t="s">
        <v>231</v>
      </c>
      <c r="BR324" t="s">
        <v>231</v>
      </c>
      <c r="BS324" t="s">
        <v>231</v>
      </c>
      <c r="BT324" t="s">
        <v>231</v>
      </c>
      <c r="BU324" t="s">
        <v>231</v>
      </c>
      <c r="BV324" t="s">
        <v>231</v>
      </c>
      <c r="BW324" t="s">
        <v>231</v>
      </c>
      <c r="BX324" t="s">
        <v>231</v>
      </c>
      <c r="BY324" t="s">
        <v>231</v>
      </c>
      <c r="BZ324" t="s">
        <v>231</v>
      </c>
      <c r="CA324" t="s">
        <v>231</v>
      </c>
      <c r="CB324" t="s">
        <v>231</v>
      </c>
      <c r="CC324" t="s">
        <v>231</v>
      </c>
      <c r="CD324" t="s">
        <v>231</v>
      </c>
      <c r="CE324" t="s">
        <v>231</v>
      </c>
      <c r="CF324" t="s">
        <v>231</v>
      </c>
      <c r="CG324" t="s">
        <v>231</v>
      </c>
      <c r="CH324" t="s">
        <v>231</v>
      </c>
      <c r="CI324" t="s">
        <v>231</v>
      </c>
      <c r="CJ324" t="s">
        <v>231</v>
      </c>
      <c r="CK324" t="s">
        <v>231</v>
      </c>
      <c r="CL324" t="s">
        <v>231</v>
      </c>
      <c r="CM324" t="s">
        <v>231</v>
      </c>
      <c r="CN324" t="s">
        <v>231</v>
      </c>
      <c r="CO324" t="s">
        <v>231</v>
      </c>
      <c r="CP324" t="s">
        <v>231</v>
      </c>
      <c r="CQ324" t="s">
        <v>231</v>
      </c>
      <c r="CR324" t="s">
        <v>231</v>
      </c>
      <c r="CS324" t="s">
        <v>231</v>
      </c>
      <c r="CT324" t="s">
        <v>3534</v>
      </c>
      <c r="CU324" t="s">
        <v>3535</v>
      </c>
      <c r="CV324" t="s">
        <v>3536</v>
      </c>
      <c r="CW324" t="s">
        <v>3589</v>
      </c>
      <c r="CX324" t="s">
        <v>223</v>
      </c>
      <c r="CY324" t="s">
        <v>3536</v>
      </c>
      <c r="CZ324" t="s">
        <v>3590</v>
      </c>
      <c r="DA324" t="s">
        <v>3591</v>
      </c>
      <c r="DB324" t="s">
        <v>3589</v>
      </c>
      <c r="DC324" t="s">
        <v>363</v>
      </c>
      <c r="DD324" t="s">
        <v>282</v>
      </c>
      <c r="DE324" t="s">
        <v>5008</v>
      </c>
    </row>
    <row r="325" spans="1:109" ht="11.25" customHeight="1">
      <c r="A325" s="1314" t="s">
        <v>231</v>
      </c>
      <c r="B325" t="s">
        <v>231</v>
      </c>
      <c r="C325" t="s">
        <v>231</v>
      </c>
      <c r="D325" t="s">
        <v>231</v>
      </c>
      <c r="E325" t="s">
        <v>231</v>
      </c>
      <c r="F325" t="s">
        <v>231</v>
      </c>
      <c r="G325" t="s">
        <v>231</v>
      </c>
      <c r="H325" t="s">
        <v>231</v>
      </c>
      <c r="I325" t="s">
        <v>3521</v>
      </c>
      <c r="J325" t="s">
        <v>231</v>
      </c>
      <c r="K325" t="s">
        <v>231</v>
      </c>
      <c r="L325" t="s">
        <v>231</v>
      </c>
      <c r="M325" t="s">
        <v>231</v>
      </c>
      <c r="N325" t="s">
        <v>231</v>
      </c>
      <c r="O325" t="s">
        <v>231</v>
      </c>
      <c r="P325" t="s">
        <v>231</v>
      </c>
      <c r="Q325" t="s">
        <v>231</v>
      </c>
      <c r="R325" t="s">
        <v>3615</v>
      </c>
      <c r="S325" t="s">
        <v>231</v>
      </c>
      <c r="T325" t="s">
        <v>231</v>
      </c>
      <c r="U325" t="s">
        <v>101</v>
      </c>
      <c r="V325" t="s">
        <v>231</v>
      </c>
      <c r="W325" t="s">
        <v>231</v>
      </c>
      <c r="X325" t="s">
        <v>3523</v>
      </c>
      <c r="Y325" t="s">
        <v>231</v>
      </c>
      <c r="Z325" t="s">
        <v>160</v>
      </c>
      <c r="AA325" t="s">
        <v>151</v>
      </c>
      <c r="AB325" t="s">
        <v>151</v>
      </c>
      <c r="AC325" t="s">
        <v>2287</v>
      </c>
      <c r="AD325" t="s">
        <v>2287</v>
      </c>
      <c r="AE325" t="s">
        <v>2288</v>
      </c>
      <c r="AF325" t="s">
        <v>5009</v>
      </c>
      <c r="AG325" t="s">
        <v>5010</v>
      </c>
      <c r="AH325" t="s">
        <v>3618</v>
      </c>
      <c r="AI325" t="s">
        <v>3618</v>
      </c>
      <c r="AJ325" t="s">
        <v>4568</v>
      </c>
      <c r="AK325" t="s">
        <v>3620</v>
      </c>
      <c r="AL325" t="s">
        <v>3548</v>
      </c>
      <c r="AM325" t="s">
        <v>3531</v>
      </c>
      <c r="AN325" t="s">
        <v>3621</v>
      </c>
      <c r="AO325" t="s">
        <v>3622</v>
      </c>
      <c r="AP325" t="s">
        <v>231</v>
      </c>
      <c r="AQ325" t="s">
        <v>231</v>
      </c>
      <c r="AR325" t="s">
        <v>231</v>
      </c>
      <c r="AS325" t="s">
        <v>231</v>
      </c>
      <c r="AT325" t="s">
        <v>231</v>
      </c>
      <c r="AU325" t="s">
        <v>231</v>
      </c>
      <c r="AV325" t="s">
        <v>231</v>
      </c>
      <c r="AW325" t="s">
        <v>231</v>
      </c>
      <c r="AX325" t="s">
        <v>231</v>
      </c>
      <c r="AY325" t="s">
        <v>231</v>
      </c>
      <c r="AZ325" t="s">
        <v>231</v>
      </c>
      <c r="BA325" t="s">
        <v>231</v>
      </c>
      <c r="BB325" t="s">
        <v>231</v>
      </c>
      <c r="BC325" t="s">
        <v>231</v>
      </c>
      <c r="BD325" t="s">
        <v>231</v>
      </c>
      <c r="BE325" t="s">
        <v>231</v>
      </c>
      <c r="BF325" t="s">
        <v>231</v>
      </c>
      <c r="BG325" t="s">
        <v>231</v>
      </c>
      <c r="BH325" t="s">
        <v>231</v>
      </c>
      <c r="BI325" t="s">
        <v>231</v>
      </c>
      <c r="BJ325" t="s">
        <v>231</v>
      </c>
      <c r="BK325" t="s">
        <v>231</v>
      </c>
      <c r="BL325" t="s">
        <v>231</v>
      </c>
      <c r="BM325" t="s">
        <v>231</v>
      </c>
      <c r="BN325" t="s">
        <v>231</v>
      </c>
      <c r="BO325" t="s">
        <v>231</v>
      </c>
      <c r="BP325" t="s">
        <v>231</v>
      </c>
      <c r="BQ325" t="s">
        <v>231</v>
      </c>
      <c r="BR325" t="s">
        <v>231</v>
      </c>
      <c r="BS325" t="s">
        <v>231</v>
      </c>
      <c r="BT325" t="s">
        <v>231</v>
      </c>
      <c r="BU325" t="s">
        <v>231</v>
      </c>
      <c r="BV325" t="s">
        <v>231</v>
      </c>
      <c r="BW325" t="s">
        <v>231</v>
      </c>
      <c r="BX325" t="s">
        <v>231</v>
      </c>
      <c r="BY325" t="s">
        <v>231</v>
      </c>
      <c r="BZ325" t="s">
        <v>231</v>
      </c>
      <c r="CA325" t="s">
        <v>231</v>
      </c>
      <c r="CB325" t="s">
        <v>231</v>
      </c>
      <c r="CC325" t="s">
        <v>231</v>
      </c>
      <c r="CD325" t="s">
        <v>231</v>
      </c>
      <c r="CE325" t="s">
        <v>231</v>
      </c>
      <c r="CF325" t="s">
        <v>231</v>
      </c>
      <c r="CG325" t="s">
        <v>231</v>
      </c>
      <c r="CH325" t="s">
        <v>231</v>
      </c>
      <c r="CI325" t="s">
        <v>231</v>
      </c>
      <c r="CJ325" t="s">
        <v>231</v>
      </c>
      <c r="CK325" t="s">
        <v>231</v>
      </c>
      <c r="CL325" t="s">
        <v>231</v>
      </c>
      <c r="CM325" t="s">
        <v>231</v>
      </c>
      <c r="CN325" t="s">
        <v>231</v>
      </c>
      <c r="CO325" t="s">
        <v>231</v>
      </c>
      <c r="CP325" t="s">
        <v>231</v>
      </c>
      <c r="CQ325" t="s">
        <v>231</v>
      </c>
      <c r="CR325" t="s">
        <v>231</v>
      </c>
      <c r="CS325" t="s">
        <v>231</v>
      </c>
      <c r="CT325" t="s">
        <v>3534</v>
      </c>
      <c r="CU325" t="s">
        <v>3535</v>
      </c>
      <c r="CV325" t="s">
        <v>3536</v>
      </c>
      <c r="CW325" t="s">
        <v>3623</v>
      </c>
      <c r="CX325" t="s">
        <v>223</v>
      </c>
      <c r="CY325" t="s">
        <v>3536</v>
      </c>
      <c r="CZ325" t="s">
        <v>3624</v>
      </c>
      <c r="DA325" t="s">
        <v>3625</v>
      </c>
      <c r="DB325" t="s">
        <v>3623</v>
      </c>
      <c r="DC325" t="s">
        <v>363</v>
      </c>
      <c r="DD325" t="s">
        <v>282</v>
      </c>
      <c r="DE325" t="s">
        <v>5011</v>
      </c>
    </row>
    <row r="326" spans="1:109" ht="11.25" customHeight="1">
      <c r="A326" s="1314" t="s">
        <v>231</v>
      </c>
      <c r="B326" t="s">
        <v>231</v>
      </c>
      <c r="C326" t="s">
        <v>231</v>
      </c>
      <c r="D326" t="s">
        <v>231</v>
      </c>
      <c r="E326" t="s">
        <v>231</v>
      </c>
      <c r="F326" t="s">
        <v>231</v>
      </c>
      <c r="G326" t="s">
        <v>231</v>
      </c>
      <c r="H326" t="s">
        <v>231</v>
      </c>
      <c r="I326" t="s">
        <v>3521</v>
      </c>
      <c r="J326" t="s">
        <v>231</v>
      </c>
      <c r="K326" t="s">
        <v>231</v>
      </c>
      <c r="L326" t="s">
        <v>231</v>
      </c>
      <c r="M326" t="s">
        <v>231</v>
      </c>
      <c r="N326" t="s">
        <v>231</v>
      </c>
      <c r="O326" t="s">
        <v>231</v>
      </c>
      <c r="P326" t="s">
        <v>231</v>
      </c>
      <c r="Q326" t="s">
        <v>231</v>
      </c>
      <c r="R326" t="s">
        <v>5012</v>
      </c>
      <c r="S326" t="s">
        <v>231</v>
      </c>
      <c r="T326" t="s">
        <v>231</v>
      </c>
      <c r="U326" t="s">
        <v>101</v>
      </c>
      <c r="V326" t="s">
        <v>231</v>
      </c>
      <c r="W326" t="s">
        <v>231</v>
      </c>
      <c r="X326" t="s">
        <v>3628</v>
      </c>
      <c r="Y326" t="s">
        <v>231</v>
      </c>
      <c r="Z326" t="s">
        <v>151</v>
      </c>
      <c r="AA326" t="s">
        <v>151</v>
      </c>
      <c r="AB326" t="s">
        <v>160</v>
      </c>
      <c r="AC326" t="s">
        <v>2287</v>
      </c>
      <c r="AD326" t="s">
        <v>2287</v>
      </c>
      <c r="AE326" t="s">
        <v>2288</v>
      </c>
      <c r="AF326" t="s">
        <v>5009</v>
      </c>
      <c r="AG326" t="s">
        <v>5010</v>
      </c>
      <c r="AH326" t="s">
        <v>3618</v>
      </c>
      <c r="AI326" t="s">
        <v>3618</v>
      </c>
      <c r="AJ326" t="s">
        <v>231</v>
      </c>
      <c r="AK326" t="s">
        <v>231</v>
      </c>
      <c r="AL326" t="s">
        <v>231</v>
      </c>
      <c r="AM326" t="s">
        <v>231</v>
      </c>
      <c r="AN326" t="s">
        <v>231</v>
      </c>
      <c r="AO326" t="s">
        <v>231</v>
      </c>
      <c r="AP326" t="s">
        <v>231</v>
      </c>
      <c r="AQ326" t="s">
        <v>231</v>
      </c>
      <c r="AR326" t="s">
        <v>231</v>
      </c>
      <c r="AS326" t="s">
        <v>231</v>
      </c>
      <c r="AT326" t="s">
        <v>231</v>
      </c>
      <c r="AU326" t="s">
        <v>231</v>
      </c>
      <c r="AV326" t="s">
        <v>231</v>
      </c>
      <c r="AW326" t="s">
        <v>231</v>
      </c>
      <c r="AX326" t="s">
        <v>231</v>
      </c>
      <c r="AY326" t="s">
        <v>231</v>
      </c>
      <c r="AZ326" t="s">
        <v>231</v>
      </c>
      <c r="BA326" t="s">
        <v>231</v>
      </c>
      <c r="BB326" t="s">
        <v>231</v>
      </c>
      <c r="BC326" t="s">
        <v>231</v>
      </c>
      <c r="BD326" t="s">
        <v>231</v>
      </c>
      <c r="BE326" t="s">
        <v>4568</v>
      </c>
      <c r="BF326" t="s">
        <v>3620</v>
      </c>
      <c r="BG326" t="s">
        <v>111</v>
      </c>
      <c r="BH326" t="s">
        <v>3632</v>
      </c>
      <c r="BI326" t="s">
        <v>122</v>
      </c>
      <c r="BJ326" t="s">
        <v>231</v>
      </c>
      <c r="BK326" t="s">
        <v>3651</v>
      </c>
      <c r="BL326" t="s">
        <v>2287</v>
      </c>
      <c r="BM326" t="s">
        <v>2287</v>
      </c>
      <c r="BN326" t="s">
        <v>3842</v>
      </c>
      <c r="BO326" t="s">
        <v>5009</v>
      </c>
      <c r="BP326" t="s">
        <v>5013</v>
      </c>
      <c r="BQ326" t="s">
        <v>3618</v>
      </c>
      <c r="BR326" t="s">
        <v>3618</v>
      </c>
      <c r="BS326" t="s">
        <v>231</v>
      </c>
      <c r="BT326" t="s">
        <v>3694</v>
      </c>
      <c r="BU326" t="s">
        <v>5014</v>
      </c>
      <c r="BV326" t="s">
        <v>5014</v>
      </c>
      <c r="BW326" t="s">
        <v>3641</v>
      </c>
      <c r="BX326" t="s">
        <v>3641</v>
      </c>
      <c r="BY326" t="s">
        <v>3641</v>
      </c>
      <c r="BZ326" t="s">
        <v>3641</v>
      </c>
      <c r="CA326" t="s">
        <v>3641</v>
      </c>
      <c r="CB326" t="s">
        <v>231</v>
      </c>
      <c r="CC326" t="s">
        <v>231</v>
      </c>
      <c r="CD326" t="s">
        <v>231</v>
      </c>
      <c r="CE326" t="s">
        <v>231</v>
      </c>
      <c r="CF326" t="s">
        <v>231</v>
      </c>
      <c r="CG326" t="s">
        <v>3641</v>
      </c>
      <c r="CH326" t="s">
        <v>231</v>
      </c>
      <c r="CI326" t="s">
        <v>231</v>
      </c>
      <c r="CJ326" t="s">
        <v>231</v>
      </c>
      <c r="CK326" t="s">
        <v>231</v>
      </c>
      <c r="CL326" t="s">
        <v>231</v>
      </c>
      <c r="CM326" t="s">
        <v>5014</v>
      </c>
      <c r="CN326" t="s">
        <v>5014</v>
      </c>
      <c r="CO326" t="s">
        <v>231</v>
      </c>
      <c r="CP326" t="s">
        <v>231</v>
      </c>
      <c r="CQ326" t="s">
        <v>231</v>
      </c>
      <c r="CR326" t="s">
        <v>231</v>
      </c>
      <c r="CS326" t="s">
        <v>3529</v>
      </c>
      <c r="CT326" t="s">
        <v>3534</v>
      </c>
      <c r="CU326" t="s">
        <v>3535</v>
      </c>
      <c r="CV326" t="s">
        <v>3536</v>
      </c>
      <c r="CW326" t="s">
        <v>3623</v>
      </c>
      <c r="CX326" t="s">
        <v>223</v>
      </c>
      <c r="CY326" t="s">
        <v>3536</v>
      </c>
      <c r="CZ326" t="s">
        <v>3624</v>
      </c>
      <c r="DA326" t="s">
        <v>3625</v>
      </c>
      <c r="DB326" t="s">
        <v>3623</v>
      </c>
      <c r="DC326" t="s">
        <v>363</v>
      </c>
      <c r="DD326" t="s">
        <v>282</v>
      </c>
      <c r="DE326" t="s">
        <v>5011</v>
      </c>
    </row>
    <row r="327" spans="1:109" ht="11.25" customHeight="1">
      <c r="A327" s="1314" t="s">
        <v>231</v>
      </c>
      <c r="B327" t="s">
        <v>231</v>
      </c>
      <c r="C327" t="s">
        <v>231</v>
      </c>
      <c r="D327" t="s">
        <v>231</v>
      </c>
      <c r="E327" t="s">
        <v>231</v>
      </c>
      <c r="F327" t="s">
        <v>231</v>
      </c>
      <c r="G327" t="s">
        <v>231</v>
      </c>
      <c r="H327" t="s">
        <v>231</v>
      </c>
      <c r="I327" t="s">
        <v>3521</v>
      </c>
      <c r="J327" t="s">
        <v>231</v>
      </c>
      <c r="K327" t="s">
        <v>231</v>
      </c>
      <c r="L327" t="s">
        <v>231</v>
      </c>
      <c r="M327" t="s">
        <v>231</v>
      </c>
      <c r="N327" t="s">
        <v>231</v>
      </c>
      <c r="O327" t="s">
        <v>231</v>
      </c>
      <c r="P327" t="s">
        <v>231</v>
      </c>
      <c r="Q327" t="s">
        <v>231</v>
      </c>
      <c r="R327" t="s">
        <v>5015</v>
      </c>
      <c r="S327" t="s">
        <v>231</v>
      </c>
      <c r="T327" t="s">
        <v>231</v>
      </c>
      <c r="U327" t="s">
        <v>101</v>
      </c>
      <c r="V327" t="s">
        <v>231</v>
      </c>
      <c r="W327" t="s">
        <v>231</v>
      </c>
      <c r="X327" t="s">
        <v>3523</v>
      </c>
      <c r="Y327" t="s">
        <v>231</v>
      </c>
      <c r="Z327" t="s">
        <v>160</v>
      </c>
      <c r="AA327" t="s">
        <v>151</v>
      </c>
      <c r="AB327" t="s">
        <v>151</v>
      </c>
      <c r="AC327" t="s">
        <v>343</v>
      </c>
      <c r="AD327" t="s">
        <v>343</v>
      </c>
      <c r="AE327" t="s">
        <v>344</v>
      </c>
      <c r="AF327" t="s">
        <v>3561</v>
      </c>
      <c r="AG327" t="s">
        <v>3562</v>
      </c>
      <c r="AH327" t="s">
        <v>4227</v>
      </c>
      <c r="AI327" t="s">
        <v>4228</v>
      </c>
      <c r="AJ327" t="s">
        <v>3760</v>
      </c>
      <c r="AK327" t="s">
        <v>4229</v>
      </c>
      <c r="AL327" t="s">
        <v>3530</v>
      </c>
      <c r="AM327" t="s">
        <v>3531</v>
      </c>
      <c r="AN327" t="s">
        <v>4230</v>
      </c>
      <c r="AO327" t="s">
        <v>4231</v>
      </c>
      <c r="AP327" t="s">
        <v>231</v>
      </c>
      <c r="AQ327" t="s">
        <v>231</v>
      </c>
      <c r="AR327" t="s">
        <v>231</v>
      </c>
      <c r="AS327" t="s">
        <v>231</v>
      </c>
      <c r="AT327" t="s">
        <v>231</v>
      </c>
      <c r="AU327" t="s">
        <v>231</v>
      </c>
      <c r="AV327" t="s">
        <v>231</v>
      </c>
      <c r="AW327" t="s">
        <v>231</v>
      </c>
      <c r="AX327" t="s">
        <v>231</v>
      </c>
      <c r="AY327" t="s">
        <v>231</v>
      </c>
      <c r="AZ327" t="s">
        <v>231</v>
      </c>
      <c r="BA327" t="s">
        <v>231</v>
      </c>
      <c r="BB327" t="s">
        <v>231</v>
      </c>
      <c r="BC327" t="s">
        <v>231</v>
      </c>
      <c r="BD327" t="s">
        <v>231</v>
      </c>
      <c r="BE327" t="s">
        <v>231</v>
      </c>
      <c r="BF327" t="s">
        <v>231</v>
      </c>
      <c r="BG327" t="s">
        <v>231</v>
      </c>
      <c r="BH327" t="s">
        <v>231</v>
      </c>
      <c r="BI327" t="s">
        <v>231</v>
      </c>
      <c r="BJ327" t="s">
        <v>231</v>
      </c>
      <c r="BK327" t="s">
        <v>231</v>
      </c>
      <c r="BL327" t="s">
        <v>231</v>
      </c>
      <c r="BM327" t="s">
        <v>231</v>
      </c>
      <c r="BN327" t="s">
        <v>231</v>
      </c>
      <c r="BO327" t="s">
        <v>231</v>
      </c>
      <c r="BP327" t="s">
        <v>231</v>
      </c>
      <c r="BQ327" t="s">
        <v>231</v>
      </c>
      <c r="BR327" t="s">
        <v>231</v>
      </c>
      <c r="BS327" t="s">
        <v>231</v>
      </c>
      <c r="BT327" t="s">
        <v>231</v>
      </c>
      <c r="BU327" t="s">
        <v>231</v>
      </c>
      <c r="BV327" t="s">
        <v>231</v>
      </c>
      <c r="BW327" t="s">
        <v>231</v>
      </c>
      <c r="BX327" t="s">
        <v>231</v>
      </c>
      <c r="BY327" t="s">
        <v>231</v>
      </c>
      <c r="BZ327" t="s">
        <v>231</v>
      </c>
      <c r="CA327" t="s">
        <v>231</v>
      </c>
      <c r="CB327" t="s">
        <v>231</v>
      </c>
      <c r="CC327" t="s">
        <v>231</v>
      </c>
      <c r="CD327" t="s">
        <v>231</v>
      </c>
      <c r="CE327" t="s">
        <v>231</v>
      </c>
      <c r="CF327" t="s">
        <v>231</v>
      </c>
      <c r="CG327" t="s">
        <v>231</v>
      </c>
      <c r="CH327" t="s">
        <v>231</v>
      </c>
      <c r="CI327" t="s">
        <v>231</v>
      </c>
      <c r="CJ327" t="s">
        <v>231</v>
      </c>
      <c r="CK327" t="s">
        <v>231</v>
      </c>
      <c r="CL327" t="s">
        <v>231</v>
      </c>
      <c r="CM327" t="s">
        <v>231</v>
      </c>
      <c r="CN327" t="s">
        <v>231</v>
      </c>
      <c r="CO327" t="s">
        <v>231</v>
      </c>
      <c r="CP327" t="s">
        <v>231</v>
      </c>
      <c r="CQ327" t="s">
        <v>231</v>
      </c>
      <c r="CR327" t="s">
        <v>231</v>
      </c>
      <c r="CS327" t="s">
        <v>231</v>
      </c>
      <c r="CT327" t="s">
        <v>3534</v>
      </c>
      <c r="CU327" t="s">
        <v>3535</v>
      </c>
      <c r="CV327" t="s">
        <v>3536</v>
      </c>
      <c r="CW327" t="s">
        <v>3569</v>
      </c>
      <c r="CX327" t="s">
        <v>3570</v>
      </c>
      <c r="CY327" t="s">
        <v>3536</v>
      </c>
      <c r="CZ327" t="s">
        <v>224</v>
      </c>
      <c r="DA327" t="s">
        <v>3571</v>
      </c>
      <c r="DB327" t="s">
        <v>3569</v>
      </c>
      <c r="DC327" t="s">
        <v>363</v>
      </c>
      <c r="DD327" t="s">
        <v>282</v>
      </c>
      <c r="DE327" t="s">
        <v>4232</v>
      </c>
    </row>
    <row r="328" spans="1:109" ht="11.25" customHeight="1">
      <c r="A328" s="1314" t="s">
        <v>231</v>
      </c>
      <c r="B328" t="s">
        <v>231</v>
      </c>
      <c r="C328" t="s">
        <v>231</v>
      </c>
      <c r="D328" t="s">
        <v>231</v>
      </c>
      <c r="E328" t="s">
        <v>231</v>
      </c>
      <c r="F328" t="s">
        <v>231</v>
      </c>
      <c r="G328" t="s">
        <v>231</v>
      </c>
      <c r="H328" t="s">
        <v>231</v>
      </c>
      <c r="I328" t="s">
        <v>3521</v>
      </c>
      <c r="J328" t="s">
        <v>231</v>
      </c>
      <c r="K328" t="s">
        <v>231</v>
      </c>
      <c r="L328" t="s">
        <v>231</v>
      </c>
      <c r="M328" t="s">
        <v>231</v>
      </c>
      <c r="N328" t="s">
        <v>231</v>
      </c>
      <c r="O328" t="s">
        <v>231</v>
      </c>
      <c r="P328" t="s">
        <v>231</v>
      </c>
      <c r="Q328" t="s">
        <v>231</v>
      </c>
      <c r="R328" t="s">
        <v>5016</v>
      </c>
      <c r="S328" t="s">
        <v>231</v>
      </c>
      <c r="T328" t="s">
        <v>231</v>
      </c>
      <c r="U328" t="s">
        <v>101</v>
      </c>
      <c r="V328" t="s">
        <v>231</v>
      </c>
      <c r="W328" t="s">
        <v>231</v>
      </c>
      <c r="X328" t="s">
        <v>3523</v>
      </c>
      <c r="Y328" t="s">
        <v>231</v>
      </c>
      <c r="Z328" t="s">
        <v>160</v>
      </c>
      <c r="AA328" t="s">
        <v>151</v>
      </c>
      <c r="AB328" t="s">
        <v>151</v>
      </c>
      <c r="AC328" t="s">
        <v>343</v>
      </c>
      <c r="AD328" t="s">
        <v>343</v>
      </c>
      <c r="AE328" t="s">
        <v>344</v>
      </c>
      <c r="AF328" t="s">
        <v>3561</v>
      </c>
      <c r="AG328" t="s">
        <v>3562</v>
      </c>
      <c r="AH328" t="s">
        <v>3698</v>
      </c>
      <c r="AI328" t="s">
        <v>4926</v>
      </c>
      <c r="AJ328" t="s">
        <v>3603</v>
      </c>
      <c r="AK328" t="s">
        <v>4927</v>
      </c>
      <c r="AL328" t="s">
        <v>3566</v>
      </c>
      <c r="AM328" t="s">
        <v>3531</v>
      </c>
      <c r="AN328" t="s">
        <v>4642</v>
      </c>
      <c r="AO328" t="s">
        <v>4643</v>
      </c>
      <c r="AP328" t="s">
        <v>231</v>
      </c>
      <c r="AQ328" t="s">
        <v>231</v>
      </c>
      <c r="AR328" t="s">
        <v>231</v>
      </c>
      <c r="AS328" t="s">
        <v>231</v>
      </c>
      <c r="AT328" t="s">
        <v>231</v>
      </c>
      <c r="AU328" t="s">
        <v>231</v>
      </c>
      <c r="AV328" t="s">
        <v>231</v>
      </c>
      <c r="AW328" t="s">
        <v>231</v>
      </c>
      <c r="AX328" t="s">
        <v>231</v>
      </c>
      <c r="AY328" t="s">
        <v>231</v>
      </c>
      <c r="AZ328" t="s">
        <v>231</v>
      </c>
      <c r="BA328" t="s">
        <v>231</v>
      </c>
      <c r="BB328" t="s">
        <v>231</v>
      </c>
      <c r="BC328" t="s">
        <v>231</v>
      </c>
      <c r="BD328" t="s">
        <v>231</v>
      </c>
      <c r="BE328" t="s">
        <v>231</v>
      </c>
      <c r="BF328" t="s">
        <v>231</v>
      </c>
      <c r="BG328" t="s">
        <v>231</v>
      </c>
      <c r="BH328" t="s">
        <v>231</v>
      </c>
      <c r="BI328" t="s">
        <v>231</v>
      </c>
      <c r="BJ328" t="s">
        <v>231</v>
      </c>
      <c r="BK328" t="s">
        <v>231</v>
      </c>
      <c r="BL328" t="s">
        <v>231</v>
      </c>
      <c r="BM328" t="s">
        <v>231</v>
      </c>
      <c r="BN328" t="s">
        <v>231</v>
      </c>
      <c r="BO328" t="s">
        <v>231</v>
      </c>
      <c r="BP328" t="s">
        <v>231</v>
      </c>
      <c r="BQ328" t="s">
        <v>231</v>
      </c>
      <c r="BR328" t="s">
        <v>231</v>
      </c>
      <c r="BS328" t="s">
        <v>231</v>
      </c>
      <c r="BT328" t="s">
        <v>231</v>
      </c>
      <c r="BU328" t="s">
        <v>231</v>
      </c>
      <c r="BV328" t="s">
        <v>231</v>
      </c>
      <c r="BW328" t="s">
        <v>231</v>
      </c>
      <c r="BX328" t="s">
        <v>231</v>
      </c>
      <c r="BY328" t="s">
        <v>231</v>
      </c>
      <c r="BZ328" t="s">
        <v>231</v>
      </c>
      <c r="CA328" t="s">
        <v>231</v>
      </c>
      <c r="CB328" t="s">
        <v>231</v>
      </c>
      <c r="CC328" t="s">
        <v>231</v>
      </c>
      <c r="CD328" t="s">
        <v>231</v>
      </c>
      <c r="CE328" t="s">
        <v>231</v>
      </c>
      <c r="CF328" t="s">
        <v>231</v>
      </c>
      <c r="CG328" t="s">
        <v>231</v>
      </c>
      <c r="CH328" t="s">
        <v>231</v>
      </c>
      <c r="CI328" t="s">
        <v>231</v>
      </c>
      <c r="CJ328" t="s">
        <v>231</v>
      </c>
      <c r="CK328" t="s">
        <v>231</v>
      </c>
      <c r="CL328" t="s">
        <v>231</v>
      </c>
      <c r="CM328" t="s">
        <v>231</v>
      </c>
      <c r="CN328" t="s">
        <v>231</v>
      </c>
      <c r="CO328" t="s">
        <v>231</v>
      </c>
      <c r="CP328" t="s">
        <v>231</v>
      </c>
      <c r="CQ328" t="s">
        <v>231</v>
      </c>
      <c r="CR328" t="s">
        <v>231</v>
      </c>
      <c r="CS328" t="s">
        <v>231</v>
      </c>
      <c r="CT328" t="s">
        <v>3534</v>
      </c>
      <c r="CU328" t="s">
        <v>3535</v>
      </c>
      <c r="CV328" t="s">
        <v>3536</v>
      </c>
      <c r="CW328" t="s">
        <v>3569</v>
      </c>
      <c r="CX328" t="s">
        <v>3570</v>
      </c>
      <c r="CY328" t="s">
        <v>3536</v>
      </c>
      <c r="CZ328" t="s">
        <v>224</v>
      </c>
      <c r="DA328" t="s">
        <v>3571</v>
      </c>
      <c r="DB328" t="s">
        <v>3569</v>
      </c>
      <c r="DC328" t="s">
        <v>363</v>
      </c>
      <c r="DD328" t="s">
        <v>282</v>
      </c>
      <c r="DE328" t="s">
        <v>4928</v>
      </c>
    </row>
    <row r="329" spans="1:109" ht="11.25" customHeight="1">
      <c r="A329" s="1314" t="s">
        <v>231</v>
      </c>
      <c r="B329" t="s">
        <v>231</v>
      </c>
      <c r="C329" t="s">
        <v>231</v>
      </c>
      <c r="D329" t="s">
        <v>231</v>
      </c>
      <c r="E329" t="s">
        <v>231</v>
      </c>
      <c r="F329" t="s">
        <v>231</v>
      </c>
      <c r="G329" t="s">
        <v>231</v>
      </c>
      <c r="H329" t="s">
        <v>231</v>
      </c>
      <c r="I329" t="s">
        <v>3521</v>
      </c>
      <c r="J329" t="s">
        <v>231</v>
      </c>
      <c r="K329" t="s">
        <v>231</v>
      </c>
      <c r="L329" t="s">
        <v>231</v>
      </c>
      <c r="M329" t="s">
        <v>231</v>
      </c>
      <c r="N329" t="s">
        <v>231</v>
      </c>
      <c r="O329" t="s">
        <v>231</v>
      </c>
      <c r="P329" t="s">
        <v>231</v>
      </c>
      <c r="Q329" t="s">
        <v>231</v>
      </c>
      <c r="R329" t="s">
        <v>3541</v>
      </c>
      <c r="S329" t="s">
        <v>231</v>
      </c>
      <c r="T329" t="s">
        <v>231</v>
      </c>
      <c r="U329" t="s">
        <v>101</v>
      </c>
      <c r="V329" t="s">
        <v>231</v>
      </c>
      <c r="W329" t="s">
        <v>231</v>
      </c>
      <c r="X329" t="s">
        <v>3523</v>
      </c>
      <c r="Y329" t="s">
        <v>231</v>
      </c>
      <c r="Z329" t="s">
        <v>160</v>
      </c>
      <c r="AA329" t="s">
        <v>151</v>
      </c>
      <c r="AB329" t="s">
        <v>151</v>
      </c>
      <c r="AC329" t="s">
        <v>2289</v>
      </c>
      <c r="AD329" t="s">
        <v>2289</v>
      </c>
      <c r="AE329" t="s">
        <v>2290</v>
      </c>
      <c r="AF329" t="s">
        <v>4020</v>
      </c>
      <c r="AG329" t="s">
        <v>4021</v>
      </c>
      <c r="AH329" t="s">
        <v>4022</v>
      </c>
      <c r="AI329" t="s">
        <v>3774</v>
      </c>
      <c r="AJ329" t="s">
        <v>3546</v>
      </c>
      <c r="AK329" t="s">
        <v>3775</v>
      </c>
      <c r="AL329" t="s">
        <v>3548</v>
      </c>
      <c r="AM329" t="s">
        <v>3531</v>
      </c>
      <c r="AN329" t="s">
        <v>3587</v>
      </c>
      <c r="AO329" t="s">
        <v>3679</v>
      </c>
      <c r="AP329" t="s">
        <v>231</v>
      </c>
      <c r="AQ329" t="s">
        <v>231</v>
      </c>
      <c r="AR329" t="s">
        <v>231</v>
      </c>
      <c r="AS329" t="s">
        <v>231</v>
      </c>
      <c r="AT329" t="s">
        <v>231</v>
      </c>
      <c r="AU329" t="s">
        <v>231</v>
      </c>
      <c r="AV329" t="s">
        <v>231</v>
      </c>
      <c r="AW329" t="s">
        <v>231</v>
      </c>
      <c r="AX329" t="s">
        <v>231</v>
      </c>
      <c r="AY329" t="s">
        <v>231</v>
      </c>
      <c r="AZ329" t="s">
        <v>231</v>
      </c>
      <c r="BA329" t="s">
        <v>231</v>
      </c>
      <c r="BB329" t="s">
        <v>231</v>
      </c>
      <c r="BC329" t="s">
        <v>231</v>
      </c>
      <c r="BD329" t="s">
        <v>231</v>
      </c>
      <c r="BE329" t="s">
        <v>231</v>
      </c>
      <c r="BF329" t="s">
        <v>231</v>
      </c>
      <c r="BG329" t="s">
        <v>231</v>
      </c>
      <c r="BH329" t="s">
        <v>231</v>
      </c>
      <c r="BI329" t="s">
        <v>231</v>
      </c>
      <c r="BJ329" t="s">
        <v>231</v>
      </c>
      <c r="BK329" t="s">
        <v>231</v>
      </c>
      <c r="BL329" t="s">
        <v>231</v>
      </c>
      <c r="BM329" t="s">
        <v>231</v>
      </c>
      <c r="BN329" t="s">
        <v>231</v>
      </c>
      <c r="BO329" t="s">
        <v>231</v>
      </c>
      <c r="BP329" t="s">
        <v>231</v>
      </c>
      <c r="BQ329" t="s">
        <v>231</v>
      </c>
      <c r="BR329" t="s">
        <v>231</v>
      </c>
      <c r="BS329" t="s">
        <v>231</v>
      </c>
      <c r="BT329" t="s">
        <v>231</v>
      </c>
      <c r="BU329" t="s">
        <v>231</v>
      </c>
      <c r="BV329" t="s">
        <v>231</v>
      </c>
      <c r="BW329" t="s">
        <v>231</v>
      </c>
      <c r="BX329" t="s">
        <v>231</v>
      </c>
      <c r="BY329" t="s">
        <v>231</v>
      </c>
      <c r="BZ329" t="s">
        <v>231</v>
      </c>
      <c r="CA329" t="s">
        <v>231</v>
      </c>
      <c r="CB329" t="s">
        <v>231</v>
      </c>
      <c r="CC329" t="s">
        <v>231</v>
      </c>
      <c r="CD329" t="s">
        <v>231</v>
      </c>
      <c r="CE329" t="s">
        <v>231</v>
      </c>
      <c r="CF329" t="s">
        <v>231</v>
      </c>
      <c r="CG329" t="s">
        <v>231</v>
      </c>
      <c r="CH329" t="s">
        <v>231</v>
      </c>
      <c r="CI329" t="s">
        <v>231</v>
      </c>
      <c r="CJ329" t="s">
        <v>231</v>
      </c>
      <c r="CK329" t="s">
        <v>231</v>
      </c>
      <c r="CL329" t="s">
        <v>231</v>
      </c>
      <c r="CM329" t="s">
        <v>231</v>
      </c>
      <c r="CN329" t="s">
        <v>231</v>
      </c>
      <c r="CO329" t="s">
        <v>231</v>
      </c>
      <c r="CP329" t="s">
        <v>231</v>
      </c>
      <c r="CQ329" t="s">
        <v>231</v>
      </c>
      <c r="CR329" t="s">
        <v>231</v>
      </c>
      <c r="CS329" t="s">
        <v>231</v>
      </c>
      <c r="CT329" t="s">
        <v>3534</v>
      </c>
      <c r="CU329" t="s">
        <v>3535</v>
      </c>
      <c r="CV329" t="s">
        <v>3536</v>
      </c>
      <c r="CW329" t="s">
        <v>3589</v>
      </c>
      <c r="CX329" t="s">
        <v>223</v>
      </c>
      <c r="CY329" t="s">
        <v>3536</v>
      </c>
      <c r="CZ329" t="s">
        <v>3590</v>
      </c>
      <c r="DA329" t="s">
        <v>3591</v>
      </c>
      <c r="DB329" t="s">
        <v>3589</v>
      </c>
      <c r="DC329" t="s">
        <v>363</v>
      </c>
      <c r="DD329" t="s">
        <v>282</v>
      </c>
      <c r="DE329" t="s">
        <v>4023</v>
      </c>
    </row>
    <row r="330" spans="1:109" ht="11.25" customHeight="1">
      <c r="A330" s="1314" t="s">
        <v>231</v>
      </c>
      <c r="B330" t="s">
        <v>231</v>
      </c>
      <c r="C330" t="s">
        <v>231</v>
      </c>
      <c r="D330" t="s">
        <v>231</v>
      </c>
      <c r="E330" t="s">
        <v>231</v>
      </c>
      <c r="F330" t="s">
        <v>231</v>
      </c>
      <c r="G330" t="s">
        <v>231</v>
      </c>
      <c r="H330" t="s">
        <v>231</v>
      </c>
      <c r="I330" t="s">
        <v>3521</v>
      </c>
      <c r="J330" t="s">
        <v>231</v>
      </c>
      <c r="K330" t="s">
        <v>231</v>
      </c>
      <c r="L330" t="s">
        <v>231</v>
      </c>
      <c r="M330" t="s">
        <v>231</v>
      </c>
      <c r="N330" t="s">
        <v>231</v>
      </c>
      <c r="O330" t="s">
        <v>231</v>
      </c>
      <c r="P330" t="s">
        <v>231</v>
      </c>
      <c r="Q330" t="s">
        <v>231</v>
      </c>
      <c r="R330" t="s">
        <v>4469</v>
      </c>
      <c r="S330" t="s">
        <v>231</v>
      </c>
      <c r="T330" t="s">
        <v>231</v>
      </c>
      <c r="U330" t="s">
        <v>101</v>
      </c>
      <c r="V330" t="s">
        <v>231</v>
      </c>
      <c r="W330" t="s">
        <v>231</v>
      </c>
      <c r="X330" t="s">
        <v>3628</v>
      </c>
      <c r="Y330" t="s">
        <v>231</v>
      </c>
      <c r="Z330" t="s">
        <v>151</v>
      </c>
      <c r="AA330" t="s">
        <v>151</v>
      </c>
      <c r="AB330" t="s">
        <v>160</v>
      </c>
      <c r="AC330" t="s">
        <v>2289</v>
      </c>
      <c r="AD330" t="s">
        <v>2289</v>
      </c>
      <c r="AE330" t="s">
        <v>2290</v>
      </c>
      <c r="AF330" t="s">
        <v>4020</v>
      </c>
      <c r="AG330" t="s">
        <v>4021</v>
      </c>
      <c r="AH330" t="s">
        <v>3618</v>
      </c>
      <c r="AI330" t="s">
        <v>3618</v>
      </c>
      <c r="AJ330" t="s">
        <v>231</v>
      </c>
      <c r="AK330" t="s">
        <v>231</v>
      </c>
      <c r="AL330" t="s">
        <v>231</v>
      </c>
      <c r="AM330" t="s">
        <v>231</v>
      </c>
      <c r="AN330" t="s">
        <v>231</v>
      </c>
      <c r="AO330" t="s">
        <v>231</v>
      </c>
      <c r="AP330" t="s">
        <v>231</v>
      </c>
      <c r="AQ330" t="s">
        <v>231</v>
      </c>
      <c r="AR330" t="s">
        <v>231</v>
      </c>
      <c r="AS330" t="s">
        <v>231</v>
      </c>
      <c r="AT330" t="s">
        <v>231</v>
      </c>
      <c r="AU330" t="s">
        <v>231</v>
      </c>
      <c r="AV330" t="s">
        <v>231</v>
      </c>
      <c r="AW330" t="s">
        <v>231</v>
      </c>
      <c r="AX330" t="s">
        <v>231</v>
      </c>
      <c r="AY330" t="s">
        <v>231</v>
      </c>
      <c r="AZ330" t="s">
        <v>231</v>
      </c>
      <c r="BA330" t="s">
        <v>231</v>
      </c>
      <c r="BB330" t="s">
        <v>231</v>
      </c>
      <c r="BC330" t="s">
        <v>231</v>
      </c>
      <c r="BD330" t="s">
        <v>231</v>
      </c>
      <c r="BE330" t="s">
        <v>3594</v>
      </c>
      <c r="BF330" t="s">
        <v>3586</v>
      </c>
      <c r="BG330" t="s">
        <v>111</v>
      </c>
      <c r="BH330" t="s">
        <v>3632</v>
      </c>
      <c r="BI330" t="s">
        <v>122</v>
      </c>
      <c r="BJ330" t="s">
        <v>231</v>
      </c>
      <c r="BK330" t="s">
        <v>3651</v>
      </c>
      <c r="BL330" t="s">
        <v>2289</v>
      </c>
      <c r="BM330" t="s">
        <v>2289</v>
      </c>
      <c r="BN330" t="s">
        <v>3707</v>
      </c>
      <c r="BO330" t="s">
        <v>4020</v>
      </c>
      <c r="BP330" t="s">
        <v>4470</v>
      </c>
      <c r="BQ330" t="s">
        <v>3618</v>
      </c>
      <c r="BR330" t="s">
        <v>3618</v>
      </c>
      <c r="BS330" t="s">
        <v>231</v>
      </c>
      <c r="BT330" t="s">
        <v>3694</v>
      </c>
      <c r="BU330" t="s">
        <v>4471</v>
      </c>
      <c r="BV330" t="s">
        <v>4471</v>
      </c>
      <c r="BW330" t="s">
        <v>3641</v>
      </c>
      <c r="BX330" t="s">
        <v>3641</v>
      </c>
      <c r="BY330" t="s">
        <v>3641</v>
      </c>
      <c r="BZ330" t="s">
        <v>3641</v>
      </c>
      <c r="CA330" t="s">
        <v>3641</v>
      </c>
      <c r="CB330" t="s">
        <v>231</v>
      </c>
      <c r="CC330" t="s">
        <v>231</v>
      </c>
      <c r="CD330" t="s">
        <v>231</v>
      </c>
      <c r="CE330" t="s">
        <v>231</v>
      </c>
      <c r="CF330" t="s">
        <v>231</v>
      </c>
      <c r="CG330" t="s">
        <v>3641</v>
      </c>
      <c r="CH330" t="s">
        <v>231</v>
      </c>
      <c r="CI330" t="s">
        <v>231</v>
      </c>
      <c r="CJ330" t="s">
        <v>231</v>
      </c>
      <c r="CK330" t="s">
        <v>231</v>
      </c>
      <c r="CL330" t="s">
        <v>231</v>
      </c>
      <c r="CM330" t="s">
        <v>4471</v>
      </c>
      <c r="CN330" t="s">
        <v>4471</v>
      </c>
      <c r="CO330" t="s">
        <v>231</v>
      </c>
      <c r="CP330" t="s">
        <v>231</v>
      </c>
      <c r="CQ330" t="s">
        <v>231</v>
      </c>
      <c r="CR330" t="s">
        <v>231</v>
      </c>
      <c r="CS330" t="s">
        <v>3710</v>
      </c>
      <c r="CT330" t="s">
        <v>3534</v>
      </c>
      <c r="CU330" t="s">
        <v>3535</v>
      </c>
      <c r="CV330" t="s">
        <v>3536</v>
      </c>
      <c r="CW330" t="s">
        <v>3589</v>
      </c>
      <c r="CX330" t="s">
        <v>223</v>
      </c>
      <c r="CY330" t="s">
        <v>3536</v>
      </c>
      <c r="CZ330" t="s">
        <v>3590</v>
      </c>
      <c r="DA330" t="s">
        <v>3591</v>
      </c>
      <c r="DB330" t="s">
        <v>3589</v>
      </c>
      <c r="DC330" t="s">
        <v>363</v>
      </c>
      <c r="DD330" t="s">
        <v>282</v>
      </c>
      <c r="DE330" t="s">
        <v>4472</v>
      </c>
    </row>
    <row r="331" spans="1:109" ht="11.25" customHeight="1">
      <c r="A331" s="1314" t="s">
        <v>231</v>
      </c>
      <c r="B331" t="s">
        <v>231</v>
      </c>
      <c r="C331" t="s">
        <v>231</v>
      </c>
      <c r="D331" t="s">
        <v>231</v>
      </c>
      <c r="E331" t="s">
        <v>231</v>
      </c>
      <c r="F331" t="s">
        <v>231</v>
      </c>
      <c r="G331" t="s">
        <v>231</v>
      </c>
      <c r="H331" t="s">
        <v>231</v>
      </c>
      <c r="I331" t="s">
        <v>3521</v>
      </c>
      <c r="J331" t="s">
        <v>231</v>
      </c>
      <c r="K331" t="s">
        <v>231</v>
      </c>
      <c r="L331" t="s">
        <v>231</v>
      </c>
      <c r="M331" t="s">
        <v>231</v>
      </c>
      <c r="N331" t="s">
        <v>231</v>
      </c>
      <c r="O331" t="s">
        <v>231</v>
      </c>
      <c r="P331" t="s">
        <v>231</v>
      </c>
      <c r="Q331" t="s">
        <v>231</v>
      </c>
      <c r="R331" t="s">
        <v>5017</v>
      </c>
      <c r="S331" t="s">
        <v>231</v>
      </c>
      <c r="T331" t="s">
        <v>231</v>
      </c>
      <c r="U331" t="s">
        <v>101</v>
      </c>
      <c r="V331" t="s">
        <v>231</v>
      </c>
      <c r="W331" t="s">
        <v>231</v>
      </c>
      <c r="X331" t="s">
        <v>3523</v>
      </c>
      <c r="Y331" t="s">
        <v>231</v>
      </c>
      <c r="Z331" t="s">
        <v>160</v>
      </c>
      <c r="AA331" t="s">
        <v>151</v>
      </c>
      <c r="AB331" t="s">
        <v>151</v>
      </c>
      <c r="AC331" t="s">
        <v>343</v>
      </c>
      <c r="AD331" t="s">
        <v>343</v>
      </c>
      <c r="AE331" t="s">
        <v>344</v>
      </c>
      <c r="AF331" t="s">
        <v>3561</v>
      </c>
      <c r="AG331" t="s">
        <v>3562</v>
      </c>
      <c r="AH331" t="s">
        <v>4194</v>
      </c>
      <c r="AI331" t="s">
        <v>4195</v>
      </c>
      <c r="AJ331" t="s">
        <v>3918</v>
      </c>
      <c r="AK331" t="s">
        <v>4196</v>
      </c>
      <c r="AL331" t="s">
        <v>3566</v>
      </c>
      <c r="AM331" t="s">
        <v>3531</v>
      </c>
      <c r="AN331" t="s">
        <v>4197</v>
      </c>
      <c r="AO331" t="s">
        <v>4198</v>
      </c>
      <c r="AP331" t="s">
        <v>231</v>
      </c>
      <c r="AQ331" t="s">
        <v>231</v>
      </c>
      <c r="AR331" t="s">
        <v>231</v>
      </c>
      <c r="AS331" t="s">
        <v>231</v>
      </c>
      <c r="AT331" t="s">
        <v>231</v>
      </c>
      <c r="AU331" t="s">
        <v>231</v>
      </c>
      <c r="AV331" t="s">
        <v>231</v>
      </c>
      <c r="AW331" t="s">
        <v>231</v>
      </c>
      <c r="AX331" t="s">
        <v>231</v>
      </c>
      <c r="AY331" t="s">
        <v>231</v>
      </c>
      <c r="AZ331" t="s">
        <v>231</v>
      </c>
      <c r="BA331" t="s">
        <v>231</v>
      </c>
      <c r="BB331" t="s">
        <v>231</v>
      </c>
      <c r="BC331" t="s">
        <v>231</v>
      </c>
      <c r="BD331" t="s">
        <v>231</v>
      </c>
      <c r="BE331" t="s">
        <v>231</v>
      </c>
      <c r="BF331" t="s">
        <v>231</v>
      </c>
      <c r="BG331" t="s">
        <v>231</v>
      </c>
      <c r="BH331" t="s">
        <v>231</v>
      </c>
      <c r="BI331" t="s">
        <v>231</v>
      </c>
      <c r="BJ331" t="s">
        <v>231</v>
      </c>
      <c r="BK331" t="s">
        <v>231</v>
      </c>
      <c r="BL331" t="s">
        <v>231</v>
      </c>
      <c r="BM331" t="s">
        <v>231</v>
      </c>
      <c r="BN331" t="s">
        <v>231</v>
      </c>
      <c r="BO331" t="s">
        <v>231</v>
      </c>
      <c r="BP331" t="s">
        <v>231</v>
      </c>
      <c r="BQ331" t="s">
        <v>231</v>
      </c>
      <c r="BR331" t="s">
        <v>231</v>
      </c>
      <c r="BS331" t="s">
        <v>231</v>
      </c>
      <c r="BT331" t="s">
        <v>231</v>
      </c>
      <c r="BU331" t="s">
        <v>231</v>
      </c>
      <c r="BV331" t="s">
        <v>231</v>
      </c>
      <c r="BW331" t="s">
        <v>231</v>
      </c>
      <c r="BX331" t="s">
        <v>231</v>
      </c>
      <c r="BY331" t="s">
        <v>231</v>
      </c>
      <c r="BZ331" t="s">
        <v>231</v>
      </c>
      <c r="CA331" t="s">
        <v>231</v>
      </c>
      <c r="CB331" t="s">
        <v>231</v>
      </c>
      <c r="CC331" t="s">
        <v>231</v>
      </c>
      <c r="CD331" t="s">
        <v>231</v>
      </c>
      <c r="CE331" t="s">
        <v>231</v>
      </c>
      <c r="CF331" t="s">
        <v>231</v>
      </c>
      <c r="CG331" t="s">
        <v>231</v>
      </c>
      <c r="CH331" t="s">
        <v>231</v>
      </c>
      <c r="CI331" t="s">
        <v>231</v>
      </c>
      <c r="CJ331" t="s">
        <v>231</v>
      </c>
      <c r="CK331" t="s">
        <v>231</v>
      </c>
      <c r="CL331" t="s">
        <v>231</v>
      </c>
      <c r="CM331" t="s">
        <v>231</v>
      </c>
      <c r="CN331" t="s">
        <v>231</v>
      </c>
      <c r="CO331" t="s">
        <v>231</v>
      </c>
      <c r="CP331" t="s">
        <v>231</v>
      </c>
      <c r="CQ331" t="s">
        <v>231</v>
      </c>
      <c r="CR331" t="s">
        <v>231</v>
      </c>
      <c r="CS331" t="s">
        <v>231</v>
      </c>
      <c r="CT331" t="s">
        <v>3534</v>
      </c>
      <c r="CU331" t="s">
        <v>3535</v>
      </c>
      <c r="CV331" t="s">
        <v>3536</v>
      </c>
      <c r="CW331" t="s">
        <v>3569</v>
      </c>
      <c r="CX331" t="s">
        <v>3570</v>
      </c>
      <c r="CY331" t="s">
        <v>3536</v>
      </c>
      <c r="CZ331" t="s">
        <v>224</v>
      </c>
      <c r="DA331" t="s">
        <v>3571</v>
      </c>
      <c r="DB331" t="s">
        <v>3569</v>
      </c>
      <c r="DC331" t="s">
        <v>363</v>
      </c>
      <c r="DD331" t="s">
        <v>282</v>
      </c>
      <c r="DE331" t="s">
        <v>4199</v>
      </c>
    </row>
    <row r="332" spans="1:109" ht="11.25" customHeight="1">
      <c r="A332" s="1314" t="s">
        <v>231</v>
      </c>
      <c r="B332" t="s">
        <v>231</v>
      </c>
      <c r="C332" t="s">
        <v>231</v>
      </c>
      <c r="D332" t="s">
        <v>231</v>
      </c>
      <c r="E332" t="s">
        <v>231</v>
      </c>
      <c r="F332" t="s">
        <v>231</v>
      </c>
      <c r="G332" t="s">
        <v>231</v>
      </c>
      <c r="H332" t="s">
        <v>231</v>
      </c>
      <c r="I332" t="s">
        <v>3521</v>
      </c>
      <c r="J332" t="s">
        <v>231</v>
      </c>
      <c r="K332" t="s">
        <v>231</v>
      </c>
      <c r="L332" t="s">
        <v>231</v>
      </c>
      <c r="M332" t="s">
        <v>231</v>
      </c>
      <c r="N332" t="s">
        <v>231</v>
      </c>
      <c r="O332" t="s">
        <v>231</v>
      </c>
      <c r="P332" t="s">
        <v>231</v>
      </c>
      <c r="Q332" t="s">
        <v>231</v>
      </c>
      <c r="R332" t="s">
        <v>3615</v>
      </c>
      <c r="S332" t="s">
        <v>231</v>
      </c>
      <c r="T332" t="s">
        <v>231</v>
      </c>
      <c r="U332" t="s">
        <v>101</v>
      </c>
      <c r="V332" t="s">
        <v>231</v>
      </c>
      <c r="W332" t="s">
        <v>231</v>
      </c>
      <c r="X332" t="s">
        <v>3523</v>
      </c>
      <c r="Y332" t="s">
        <v>231</v>
      </c>
      <c r="Z332" t="s">
        <v>160</v>
      </c>
      <c r="AA332" t="s">
        <v>151</v>
      </c>
      <c r="AB332" t="s">
        <v>151</v>
      </c>
      <c r="AC332" t="s">
        <v>2289</v>
      </c>
      <c r="AD332" t="s">
        <v>2289</v>
      </c>
      <c r="AE332" t="s">
        <v>2290</v>
      </c>
      <c r="AF332" t="s">
        <v>4662</v>
      </c>
      <c r="AG332" t="s">
        <v>4663</v>
      </c>
      <c r="AH332" t="s">
        <v>4507</v>
      </c>
      <c r="AI332" t="s">
        <v>3774</v>
      </c>
      <c r="AJ332" t="s">
        <v>3546</v>
      </c>
      <c r="AK332" t="s">
        <v>3716</v>
      </c>
      <c r="AL332" t="s">
        <v>3548</v>
      </c>
      <c r="AM332" t="s">
        <v>3531</v>
      </c>
      <c r="AN332" t="s">
        <v>3587</v>
      </c>
      <c r="AO332" t="s">
        <v>3724</v>
      </c>
      <c r="AP332" t="s">
        <v>231</v>
      </c>
      <c r="AQ332" t="s">
        <v>231</v>
      </c>
      <c r="AR332" t="s">
        <v>231</v>
      </c>
      <c r="AS332" t="s">
        <v>231</v>
      </c>
      <c r="AT332" t="s">
        <v>231</v>
      </c>
      <c r="AU332" t="s">
        <v>231</v>
      </c>
      <c r="AV332" t="s">
        <v>231</v>
      </c>
      <c r="AW332" t="s">
        <v>231</v>
      </c>
      <c r="AX332" t="s">
        <v>231</v>
      </c>
      <c r="AY332" t="s">
        <v>231</v>
      </c>
      <c r="AZ332" t="s">
        <v>231</v>
      </c>
      <c r="BA332" t="s">
        <v>231</v>
      </c>
      <c r="BB332" t="s">
        <v>231</v>
      </c>
      <c r="BC332" t="s">
        <v>231</v>
      </c>
      <c r="BD332" t="s">
        <v>231</v>
      </c>
      <c r="BE332" t="s">
        <v>231</v>
      </c>
      <c r="BF332" t="s">
        <v>231</v>
      </c>
      <c r="BG332" t="s">
        <v>231</v>
      </c>
      <c r="BH332" t="s">
        <v>231</v>
      </c>
      <c r="BI332" t="s">
        <v>231</v>
      </c>
      <c r="BJ332" t="s">
        <v>231</v>
      </c>
      <c r="BK332" t="s">
        <v>231</v>
      </c>
      <c r="BL332" t="s">
        <v>231</v>
      </c>
      <c r="BM332" t="s">
        <v>231</v>
      </c>
      <c r="BN332" t="s">
        <v>231</v>
      </c>
      <c r="BO332" t="s">
        <v>231</v>
      </c>
      <c r="BP332" t="s">
        <v>231</v>
      </c>
      <c r="BQ332" t="s">
        <v>231</v>
      </c>
      <c r="BR332" t="s">
        <v>231</v>
      </c>
      <c r="BS332" t="s">
        <v>231</v>
      </c>
      <c r="BT332" t="s">
        <v>231</v>
      </c>
      <c r="BU332" t="s">
        <v>231</v>
      </c>
      <c r="BV332" t="s">
        <v>231</v>
      </c>
      <c r="BW332" t="s">
        <v>231</v>
      </c>
      <c r="BX332" t="s">
        <v>231</v>
      </c>
      <c r="BY332" t="s">
        <v>231</v>
      </c>
      <c r="BZ332" t="s">
        <v>231</v>
      </c>
      <c r="CA332" t="s">
        <v>231</v>
      </c>
      <c r="CB332" t="s">
        <v>231</v>
      </c>
      <c r="CC332" t="s">
        <v>231</v>
      </c>
      <c r="CD332" t="s">
        <v>231</v>
      </c>
      <c r="CE332" t="s">
        <v>231</v>
      </c>
      <c r="CF332" t="s">
        <v>231</v>
      </c>
      <c r="CG332" t="s">
        <v>231</v>
      </c>
      <c r="CH332" t="s">
        <v>231</v>
      </c>
      <c r="CI332" t="s">
        <v>231</v>
      </c>
      <c r="CJ332" t="s">
        <v>231</v>
      </c>
      <c r="CK332" t="s">
        <v>231</v>
      </c>
      <c r="CL332" t="s">
        <v>231</v>
      </c>
      <c r="CM332" t="s">
        <v>231</v>
      </c>
      <c r="CN332" t="s">
        <v>231</v>
      </c>
      <c r="CO332" t="s">
        <v>231</v>
      </c>
      <c r="CP332" t="s">
        <v>231</v>
      </c>
      <c r="CQ332" t="s">
        <v>231</v>
      </c>
      <c r="CR332" t="s">
        <v>231</v>
      </c>
      <c r="CS332" t="s">
        <v>231</v>
      </c>
      <c r="CT332" t="s">
        <v>3534</v>
      </c>
      <c r="CU332" t="s">
        <v>3535</v>
      </c>
      <c r="CV332" t="s">
        <v>3536</v>
      </c>
      <c r="CW332" t="s">
        <v>3589</v>
      </c>
      <c r="CX332" t="s">
        <v>223</v>
      </c>
      <c r="CY332" t="s">
        <v>3536</v>
      </c>
      <c r="CZ332" t="s">
        <v>3590</v>
      </c>
      <c r="DA332" t="s">
        <v>3591</v>
      </c>
      <c r="DB332" t="s">
        <v>3589</v>
      </c>
      <c r="DC332" t="s">
        <v>363</v>
      </c>
      <c r="DD332" t="s">
        <v>282</v>
      </c>
      <c r="DE332" t="s">
        <v>4664</v>
      </c>
    </row>
    <row r="333" spans="1:109" ht="11.25" customHeight="1">
      <c r="A333" s="1314" t="s">
        <v>231</v>
      </c>
      <c r="B333" t="s">
        <v>231</v>
      </c>
      <c r="C333" t="s">
        <v>231</v>
      </c>
      <c r="D333" t="s">
        <v>231</v>
      </c>
      <c r="E333" t="s">
        <v>231</v>
      </c>
      <c r="F333" t="s">
        <v>231</v>
      </c>
      <c r="G333" t="s">
        <v>231</v>
      </c>
      <c r="H333" t="s">
        <v>231</v>
      </c>
      <c r="I333" t="s">
        <v>3521</v>
      </c>
      <c r="J333" t="s">
        <v>231</v>
      </c>
      <c r="K333" t="s">
        <v>231</v>
      </c>
      <c r="L333" t="s">
        <v>231</v>
      </c>
      <c r="M333" t="s">
        <v>231</v>
      </c>
      <c r="N333" t="s">
        <v>231</v>
      </c>
      <c r="O333" t="s">
        <v>231</v>
      </c>
      <c r="P333" t="s">
        <v>231</v>
      </c>
      <c r="Q333" t="s">
        <v>231</v>
      </c>
      <c r="R333" t="s">
        <v>4665</v>
      </c>
      <c r="S333" t="s">
        <v>231</v>
      </c>
      <c r="T333" t="s">
        <v>231</v>
      </c>
      <c r="U333" t="s">
        <v>101</v>
      </c>
      <c r="V333" t="s">
        <v>231</v>
      </c>
      <c r="W333" t="s">
        <v>231</v>
      </c>
      <c r="X333" t="s">
        <v>3628</v>
      </c>
      <c r="Y333" t="s">
        <v>231</v>
      </c>
      <c r="Z333" t="s">
        <v>151</v>
      </c>
      <c r="AA333" t="s">
        <v>151</v>
      </c>
      <c r="AB333" t="s">
        <v>160</v>
      </c>
      <c r="AC333" t="s">
        <v>2289</v>
      </c>
      <c r="AD333" t="s">
        <v>2289</v>
      </c>
      <c r="AE333" t="s">
        <v>2290</v>
      </c>
      <c r="AF333" t="s">
        <v>4662</v>
      </c>
      <c r="AG333" t="s">
        <v>4663</v>
      </c>
      <c r="AH333" t="s">
        <v>3618</v>
      </c>
      <c r="AI333" t="s">
        <v>3618</v>
      </c>
      <c r="AJ333" t="s">
        <v>231</v>
      </c>
      <c r="AK333" t="s">
        <v>231</v>
      </c>
      <c r="AL333" t="s">
        <v>231</v>
      </c>
      <c r="AM333" t="s">
        <v>231</v>
      </c>
      <c r="AN333" t="s">
        <v>231</v>
      </c>
      <c r="AO333" t="s">
        <v>231</v>
      </c>
      <c r="AP333" t="s">
        <v>231</v>
      </c>
      <c r="AQ333" t="s">
        <v>231</v>
      </c>
      <c r="AR333" t="s">
        <v>231</v>
      </c>
      <c r="AS333" t="s">
        <v>231</v>
      </c>
      <c r="AT333" t="s">
        <v>231</v>
      </c>
      <c r="AU333" t="s">
        <v>231</v>
      </c>
      <c r="AV333" t="s">
        <v>231</v>
      </c>
      <c r="AW333" t="s">
        <v>231</v>
      </c>
      <c r="AX333" t="s">
        <v>231</v>
      </c>
      <c r="AY333" t="s">
        <v>231</v>
      </c>
      <c r="AZ333" t="s">
        <v>231</v>
      </c>
      <c r="BA333" t="s">
        <v>231</v>
      </c>
      <c r="BB333" t="s">
        <v>231</v>
      </c>
      <c r="BC333" t="s">
        <v>231</v>
      </c>
      <c r="BD333" t="s">
        <v>231</v>
      </c>
      <c r="BE333" t="s">
        <v>3594</v>
      </c>
      <c r="BF333" t="s">
        <v>3586</v>
      </c>
      <c r="BG333" t="s">
        <v>111</v>
      </c>
      <c r="BH333" t="s">
        <v>3632</v>
      </c>
      <c r="BI333" t="s">
        <v>122</v>
      </c>
      <c r="BJ333" t="s">
        <v>231</v>
      </c>
      <c r="BK333" t="s">
        <v>3651</v>
      </c>
      <c r="BL333" t="s">
        <v>2289</v>
      </c>
      <c r="BM333" t="s">
        <v>2289</v>
      </c>
      <c r="BN333" t="s">
        <v>3707</v>
      </c>
      <c r="BO333" t="s">
        <v>4662</v>
      </c>
      <c r="BP333" t="s">
        <v>4666</v>
      </c>
      <c r="BQ333" t="s">
        <v>3618</v>
      </c>
      <c r="BR333" t="s">
        <v>3618</v>
      </c>
      <c r="BS333" t="s">
        <v>231</v>
      </c>
      <c r="BT333" t="s">
        <v>3694</v>
      </c>
      <c r="BU333" t="s">
        <v>4667</v>
      </c>
      <c r="BV333" t="s">
        <v>4667</v>
      </c>
      <c r="BW333" t="s">
        <v>3641</v>
      </c>
      <c r="BX333" t="s">
        <v>3641</v>
      </c>
      <c r="BY333" t="s">
        <v>3641</v>
      </c>
      <c r="BZ333" t="s">
        <v>3641</v>
      </c>
      <c r="CA333" t="s">
        <v>3641</v>
      </c>
      <c r="CB333" t="s">
        <v>231</v>
      </c>
      <c r="CC333" t="s">
        <v>231</v>
      </c>
      <c r="CD333" t="s">
        <v>231</v>
      </c>
      <c r="CE333" t="s">
        <v>231</v>
      </c>
      <c r="CF333" t="s">
        <v>231</v>
      </c>
      <c r="CG333" t="s">
        <v>3641</v>
      </c>
      <c r="CH333" t="s">
        <v>231</v>
      </c>
      <c r="CI333" t="s">
        <v>231</v>
      </c>
      <c r="CJ333" t="s">
        <v>231</v>
      </c>
      <c r="CK333" t="s">
        <v>231</v>
      </c>
      <c r="CL333" t="s">
        <v>231</v>
      </c>
      <c r="CM333" t="s">
        <v>4667</v>
      </c>
      <c r="CN333" t="s">
        <v>4667</v>
      </c>
      <c r="CO333" t="s">
        <v>231</v>
      </c>
      <c r="CP333" t="s">
        <v>231</v>
      </c>
      <c r="CQ333" t="s">
        <v>231</v>
      </c>
      <c r="CR333" t="s">
        <v>231</v>
      </c>
      <c r="CS333" t="s">
        <v>3710</v>
      </c>
      <c r="CT333" t="s">
        <v>3534</v>
      </c>
      <c r="CU333" t="s">
        <v>3535</v>
      </c>
      <c r="CV333" t="s">
        <v>3536</v>
      </c>
      <c r="CW333" t="s">
        <v>3589</v>
      </c>
      <c r="CX333" t="s">
        <v>223</v>
      </c>
      <c r="CY333" t="s">
        <v>3536</v>
      </c>
      <c r="CZ333" t="s">
        <v>3590</v>
      </c>
      <c r="DA333" t="s">
        <v>3591</v>
      </c>
      <c r="DB333" t="s">
        <v>3589</v>
      </c>
      <c r="DC333" t="s">
        <v>363</v>
      </c>
      <c r="DD333" t="s">
        <v>282</v>
      </c>
      <c r="DE333" t="s">
        <v>4668</v>
      </c>
    </row>
    <row r="334" spans="1:109" ht="11.25" customHeight="1">
      <c r="A334" s="1314" t="s">
        <v>231</v>
      </c>
      <c r="B334" t="s">
        <v>231</v>
      </c>
      <c r="C334" t="s">
        <v>231</v>
      </c>
      <c r="D334" t="s">
        <v>231</v>
      </c>
      <c r="E334" t="s">
        <v>231</v>
      </c>
      <c r="F334" t="s">
        <v>231</v>
      </c>
      <c r="G334" t="s">
        <v>231</v>
      </c>
      <c r="H334" t="s">
        <v>231</v>
      </c>
      <c r="I334" t="s">
        <v>3521</v>
      </c>
      <c r="J334" t="s">
        <v>231</v>
      </c>
      <c r="K334" t="s">
        <v>231</v>
      </c>
      <c r="L334" t="s">
        <v>231</v>
      </c>
      <c r="M334" t="s">
        <v>231</v>
      </c>
      <c r="N334" t="s">
        <v>231</v>
      </c>
      <c r="O334" t="s">
        <v>231</v>
      </c>
      <c r="P334" t="s">
        <v>231</v>
      </c>
      <c r="Q334" t="s">
        <v>231</v>
      </c>
      <c r="R334" t="s">
        <v>5018</v>
      </c>
      <c r="S334" t="s">
        <v>231</v>
      </c>
      <c r="T334" t="s">
        <v>231</v>
      </c>
      <c r="U334" t="s">
        <v>101</v>
      </c>
      <c r="V334" t="s">
        <v>231</v>
      </c>
      <c r="W334" t="s">
        <v>231</v>
      </c>
      <c r="X334" t="s">
        <v>3523</v>
      </c>
      <c r="Y334" t="s">
        <v>231</v>
      </c>
      <c r="Z334" t="s">
        <v>160</v>
      </c>
      <c r="AA334" t="s">
        <v>151</v>
      </c>
      <c r="AB334" t="s">
        <v>151</v>
      </c>
      <c r="AC334" t="s">
        <v>343</v>
      </c>
      <c r="AD334" t="s">
        <v>343</v>
      </c>
      <c r="AE334" t="s">
        <v>344</v>
      </c>
      <c r="AF334" t="s">
        <v>3561</v>
      </c>
      <c r="AG334" t="s">
        <v>3562</v>
      </c>
      <c r="AH334" t="s">
        <v>3609</v>
      </c>
      <c r="AI334" t="s">
        <v>3610</v>
      </c>
      <c r="AJ334" t="s">
        <v>4096</v>
      </c>
      <c r="AK334" t="s">
        <v>4097</v>
      </c>
      <c r="AL334" t="s">
        <v>3648</v>
      </c>
      <c r="AM334" t="s">
        <v>3531</v>
      </c>
      <c r="AN334" t="s">
        <v>4098</v>
      </c>
      <c r="AO334" t="s">
        <v>4099</v>
      </c>
      <c r="AP334" t="s">
        <v>231</v>
      </c>
      <c r="AQ334" t="s">
        <v>231</v>
      </c>
      <c r="AR334" t="s">
        <v>231</v>
      </c>
      <c r="AS334" t="s">
        <v>231</v>
      </c>
      <c r="AT334" t="s">
        <v>231</v>
      </c>
      <c r="AU334" t="s">
        <v>231</v>
      </c>
      <c r="AV334" t="s">
        <v>231</v>
      </c>
      <c r="AW334" t="s">
        <v>231</v>
      </c>
      <c r="AX334" t="s">
        <v>231</v>
      </c>
      <c r="AY334" t="s">
        <v>231</v>
      </c>
      <c r="AZ334" t="s">
        <v>231</v>
      </c>
      <c r="BA334" t="s">
        <v>231</v>
      </c>
      <c r="BB334" t="s">
        <v>231</v>
      </c>
      <c r="BC334" t="s">
        <v>231</v>
      </c>
      <c r="BD334" t="s">
        <v>231</v>
      </c>
      <c r="BE334" t="s">
        <v>231</v>
      </c>
      <c r="BF334" t="s">
        <v>231</v>
      </c>
      <c r="BG334" t="s">
        <v>231</v>
      </c>
      <c r="BH334" t="s">
        <v>231</v>
      </c>
      <c r="BI334" t="s">
        <v>231</v>
      </c>
      <c r="BJ334" t="s">
        <v>231</v>
      </c>
      <c r="BK334" t="s">
        <v>231</v>
      </c>
      <c r="BL334" t="s">
        <v>231</v>
      </c>
      <c r="BM334" t="s">
        <v>231</v>
      </c>
      <c r="BN334" t="s">
        <v>231</v>
      </c>
      <c r="BO334" t="s">
        <v>231</v>
      </c>
      <c r="BP334" t="s">
        <v>231</v>
      </c>
      <c r="BQ334" t="s">
        <v>231</v>
      </c>
      <c r="BR334" t="s">
        <v>231</v>
      </c>
      <c r="BS334" t="s">
        <v>231</v>
      </c>
      <c r="BT334" t="s">
        <v>231</v>
      </c>
      <c r="BU334" t="s">
        <v>231</v>
      </c>
      <c r="BV334" t="s">
        <v>231</v>
      </c>
      <c r="BW334" t="s">
        <v>231</v>
      </c>
      <c r="BX334" t="s">
        <v>231</v>
      </c>
      <c r="BY334" t="s">
        <v>231</v>
      </c>
      <c r="BZ334" t="s">
        <v>231</v>
      </c>
      <c r="CA334" t="s">
        <v>231</v>
      </c>
      <c r="CB334" t="s">
        <v>231</v>
      </c>
      <c r="CC334" t="s">
        <v>231</v>
      </c>
      <c r="CD334" t="s">
        <v>231</v>
      </c>
      <c r="CE334" t="s">
        <v>231</v>
      </c>
      <c r="CF334" t="s">
        <v>231</v>
      </c>
      <c r="CG334" t="s">
        <v>231</v>
      </c>
      <c r="CH334" t="s">
        <v>231</v>
      </c>
      <c r="CI334" t="s">
        <v>231</v>
      </c>
      <c r="CJ334" t="s">
        <v>231</v>
      </c>
      <c r="CK334" t="s">
        <v>231</v>
      </c>
      <c r="CL334" t="s">
        <v>231</v>
      </c>
      <c r="CM334" t="s">
        <v>231</v>
      </c>
      <c r="CN334" t="s">
        <v>231</v>
      </c>
      <c r="CO334" t="s">
        <v>231</v>
      </c>
      <c r="CP334" t="s">
        <v>231</v>
      </c>
      <c r="CQ334" t="s">
        <v>231</v>
      </c>
      <c r="CR334" t="s">
        <v>231</v>
      </c>
      <c r="CS334" t="s">
        <v>231</v>
      </c>
      <c r="CT334" t="s">
        <v>3534</v>
      </c>
      <c r="CU334" t="s">
        <v>3535</v>
      </c>
      <c r="CV334" t="s">
        <v>3536</v>
      </c>
      <c r="CW334" t="s">
        <v>3569</v>
      </c>
      <c r="CX334" t="s">
        <v>3570</v>
      </c>
      <c r="CY334" t="s">
        <v>3536</v>
      </c>
      <c r="CZ334" t="s">
        <v>224</v>
      </c>
      <c r="DA334" t="s">
        <v>3571</v>
      </c>
      <c r="DB334" t="s">
        <v>3569</v>
      </c>
      <c r="DC334" t="s">
        <v>363</v>
      </c>
      <c r="DD334" t="s">
        <v>282</v>
      </c>
      <c r="DE334" t="s">
        <v>3614</v>
      </c>
    </row>
    <row r="335" spans="1:109" ht="11.25" customHeight="1">
      <c r="A335" s="1314" t="s">
        <v>231</v>
      </c>
      <c r="B335" t="s">
        <v>231</v>
      </c>
      <c r="C335" t="s">
        <v>231</v>
      </c>
      <c r="D335" t="s">
        <v>231</v>
      </c>
      <c r="E335" t="s">
        <v>231</v>
      </c>
      <c r="F335" t="s">
        <v>231</v>
      </c>
      <c r="G335" t="s">
        <v>231</v>
      </c>
      <c r="H335" t="s">
        <v>231</v>
      </c>
      <c r="I335" t="s">
        <v>3521</v>
      </c>
      <c r="J335" t="s">
        <v>231</v>
      </c>
      <c r="K335" t="s">
        <v>231</v>
      </c>
      <c r="L335" t="s">
        <v>231</v>
      </c>
      <c r="M335" t="s">
        <v>231</v>
      </c>
      <c r="N335" t="s">
        <v>231</v>
      </c>
      <c r="O335" t="s">
        <v>231</v>
      </c>
      <c r="P335" t="s">
        <v>231</v>
      </c>
      <c r="Q335" t="s">
        <v>231</v>
      </c>
      <c r="R335" t="s">
        <v>3615</v>
      </c>
      <c r="S335" t="s">
        <v>231</v>
      </c>
      <c r="T335" t="s">
        <v>231</v>
      </c>
      <c r="U335" t="s">
        <v>101</v>
      </c>
      <c r="V335" t="s">
        <v>231</v>
      </c>
      <c r="W335" t="s">
        <v>231</v>
      </c>
      <c r="X335" t="s">
        <v>3523</v>
      </c>
      <c r="Y335" t="s">
        <v>231</v>
      </c>
      <c r="Z335" t="s">
        <v>160</v>
      </c>
      <c r="AA335" t="s">
        <v>151</v>
      </c>
      <c r="AB335" t="s">
        <v>151</v>
      </c>
      <c r="AC335" t="s">
        <v>2289</v>
      </c>
      <c r="AD335" t="s">
        <v>2289</v>
      </c>
      <c r="AE335" t="s">
        <v>2290</v>
      </c>
      <c r="AF335" t="s">
        <v>4454</v>
      </c>
      <c r="AG335" t="s">
        <v>4455</v>
      </c>
      <c r="AH335" t="s">
        <v>4479</v>
      </c>
      <c r="AI335" t="s">
        <v>4480</v>
      </c>
      <c r="AJ335" t="s">
        <v>4481</v>
      </c>
      <c r="AK335" t="s">
        <v>4482</v>
      </c>
      <c r="AL335" t="s">
        <v>4259</v>
      </c>
      <c r="AM335" t="s">
        <v>3531</v>
      </c>
      <c r="AN335" t="s">
        <v>3587</v>
      </c>
      <c r="AO335" t="s">
        <v>3679</v>
      </c>
      <c r="AP335" t="s">
        <v>231</v>
      </c>
      <c r="AQ335" t="s">
        <v>231</v>
      </c>
      <c r="AR335" t="s">
        <v>231</v>
      </c>
      <c r="AS335" t="s">
        <v>231</v>
      </c>
      <c r="AT335" t="s">
        <v>231</v>
      </c>
      <c r="AU335" t="s">
        <v>231</v>
      </c>
      <c r="AV335" t="s">
        <v>231</v>
      </c>
      <c r="AW335" t="s">
        <v>231</v>
      </c>
      <c r="AX335" t="s">
        <v>231</v>
      </c>
      <c r="AY335" t="s">
        <v>231</v>
      </c>
      <c r="AZ335" t="s">
        <v>231</v>
      </c>
      <c r="BA335" t="s">
        <v>231</v>
      </c>
      <c r="BB335" t="s">
        <v>231</v>
      </c>
      <c r="BC335" t="s">
        <v>231</v>
      </c>
      <c r="BD335" t="s">
        <v>231</v>
      </c>
      <c r="BE335" t="s">
        <v>231</v>
      </c>
      <c r="BF335" t="s">
        <v>231</v>
      </c>
      <c r="BG335" t="s">
        <v>231</v>
      </c>
      <c r="BH335" t="s">
        <v>231</v>
      </c>
      <c r="BI335" t="s">
        <v>231</v>
      </c>
      <c r="BJ335" t="s">
        <v>231</v>
      </c>
      <c r="BK335" t="s">
        <v>231</v>
      </c>
      <c r="BL335" t="s">
        <v>231</v>
      </c>
      <c r="BM335" t="s">
        <v>231</v>
      </c>
      <c r="BN335" t="s">
        <v>231</v>
      </c>
      <c r="BO335" t="s">
        <v>231</v>
      </c>
      <c r="BP335" t="s">
        <v>231</v>
      </c>
      <c r="BQ335" t="s">
        <v>231</v>
      </c>
      <c r="BR335" t="s">
        <v>231</v>
      </c>
      <c r="BS335" t="s">
        <v>231</v>
      </c>
      <c r="BT335" t="s">
        <v>231</v>
      </c>
      <c r="BU335" t="s">
        <v>231</v>
      </c>
      <c r="BV335" t="s">
        <v>231</v>
      </c>
      <c r="BW335" t="s">
        <v>231</v>
      </c>
      <c r="BX335" t="s">
        <v>231</v>
      </c>
      <c r="BY335" t="s">
        <v>231</v>
      </c>
      <c r="BZ335" t="s">
        <v>231</v>
      </c>
      <c r="CA335" t="s">
        <v>231</v>
      </c>
      <c r="CB335" t="s">
        <v>231</v>
      </c>
      <c r="CC335" t="s">
        <v>231</v>
      </c>
      <c r="CD335" t="s">
        <v>231</v>
      </c>
      <c r="CE335" t="s">
        <v>231</v>
      </c>
      <c r="CF335" t="s">
        <v>231</v>
      </c>
      <c r="CG335" t="s">
        <v>231</v>
      </c>
      <c r="CH335" t="s">
        <v>231</v>
      </c>
      <c r="CI335" t="s">
        <v>231</v>
      </c>
      <c r="CJ335" t="s">
        <v>231</v>
      </c>
      <c r="CK335" t="s">
        <v>231</v>
      </c>
      <c r="CL335" t="s">
        <v>231</v>
      </c>
      <c r="CM335" t="s">
        <v>231</v>
      </c>
      <c r="CN335" t="s">
        <v>231</v>
      </c>
      <c r="CO335" t="s">
        <v>231</v>
      </c>
      <c r="CP335" t="s">
        <v>231</v>
      </c>
      <c r="CQ335" t="s">
        <v>231</v>
      </c>
      <c r="CR335" t="s">
        <v>231</v>
      </c>
      <c r="CS335" t="s">
        <v>231</v>
      </c>
      <c r="CT335" t="s">
        <v>3534</v>
      </c>
      <c r="CU335" t="s">
        <v>3535</v>
      </c>
      <c r="CV335" t="s">
        <v>3536</v>
      </c>
      <c r="CW335" t="s">
        <v>3589</v>
      </c>
      <c r="CX335" t="s">
        <v>223</v>
      </c>
      <c r="CY335" t="s">
        <v>3536</v>
      </c>
      <c r="CZ335" t="s">
        <v>3590</v>
      </c>
      <c r="DA335" t="s">
        <v>3591</v>
      </c>
      <c r="DB335" t="s">
        <v>3589</v>
      </c>
      <c r="DC335" t="s">
        <v>363</v>
      </c>
      <c r="DD335" t="s">
        <v>282</v>
      </c>
      <c r="DE335" t="s">
        <v>4483</v>
      </c>
    </row>
    <row r="336" spans="1:109" ht="11.25" customHeight="1">
      <c r="A336" s="1314" t="s">
        <v>231</v>
      </c>
      <c r="B336" t="s">
        <v>231</v>
      </c>
      <c r="C336" t="s">
        <v>231</v>
      </c>
      <c r="D336" t="s">
        <v>231</v>
      </c>
      <c r="E336" t="s">
        <v>231</v>
      </c>
      <c r="F336" t="s">
        <v>231</v>
      </c>
      <c r="G336" t="s">
        <v>231</v>
      </c>
      <c r="H336" t="s">
        <v>231</v>
      </c>
      <c r="I336" t="s">
        <v>3521</v>
      </c>
      <c r="J336" t="s">
        <v>231</v>
      </c>
      <c r="K336" t="s">
        <v>231</v>
      </c>
      <c r="L336" t="s">
        <v>231</v>
      </c>
      <c r="M336" t="s">
        <v>231</v>
      </c>
      <c r="N336" t="s">
        <v>231</v>
      </c>
      <c r="O336" t="s">
        <v>231</v>
      </c>
      <c r="P336" t="s">
        <v>231</v>
      </c>
      <c r="Q336" t="s">
        <v>231</v>
      </c>
      <c r="R336" t="s">
        <v>3615</v>
      </c>
      <c r="S336" t="s">
        <v>231</v>
      </c>
      <c r="T336" t="s">
        <v>231</v>
      </c>
      <c r="U336" t="s">
        <v>101</v>
      </c>
      <c r="V336" t="s">
        <v>231</v>
      </c>
      <c r="W336" t="s">
        <v>231</v>
      </c>
      <c r="X336" t="s">
        <v>3523</v>
      </c>
      <c r="Y336" t="s">
        <v>231</v>
      </c>
      <c r="Z336" t="s">
        <v>160</v>
      </c>
      <c r="AA336" t="s">
        <v>151</v>
      </c>
      <c r="AB336" t="s">
        <v>151</v>
      </c>
      <c r="AC336" t="s">
        <v>2289</v>
      </c>
      <c r="AD336" t="s">
        <v>2289</v>
      </c>
      <c r="AE336" t="s">
        <v>2290</v>
      </c>
      <c r="AF336" t="s">
        <v>4454</v>
      </c>
      <c r="AG336" t="s">
        <v>4455</v>
      </c>
      <c r="AH336" t="s">
        <v>4669</v>
      </c>
      <c r="AI336" t="s">
        <v>4593</v>
      </c>
      <c r="AJ336" t="s">
        <v>3619</v>
      </c>
      <c r="AK336" t="s">
        <v>3716</v>
      </c>
      <c r="AL336" t="s">
        <v>3548</v>
      </c>
      <c r="AM336" t="s">
        <v>3531</v>
      </c>
      <c r="AN336" t="s">
        <v>3595</v>
      </c>
      <c r="AO336" t="s">
        <v>3668</v>
      </c>
      <c r="AP336" t="s">
        <v>231</v>
      </c>
      <c r="AQ336" t="s">
        <v>231</v>
      </c>
      <c r="AR336" t="s">
        <v>231</v>
      </c>
      <c r="AS336" t="s">
        <v>231</v>
      </c>
      <c r="AT336" t="s">
        <v>231</v>
      </c>
      <c r="AU336" t="s">
        <v>231</v>
      </c>
      <c r="AV336" t="s">
        <v>231</v>
      </c>
      <c r="AW336" t="s">
        <v>231</v>
      </c>
      <c r="AX336" t="s">
        <v>231</v>
      </c>
      <c r="AY336" t="s">
        <v>231</v>
      </c>
      <c r="AZ336" t="s">
        <v>231</v>
      </c>
      <c r="BA336" t="s">
        <v>231</v>
      </c>
      <c r="BB336" t="s">
        <v>231</v>
      </c>
      <c r="BC336" t="s">
        <v>231</v>
      </c>
      <c r="BD336" t="s">
        <v>231</v>
      </c>
      <c r="BE336" t="s">
        <v>231</v>
      </c>
      <c r="BF336" t="s">
        <v>231</v>
      </c>
      <c r="BG336" t="s">
        <v>231</v>
      </c>
      <c r="BH336" t="s">
        <v>231</v>
      </c>
      <c r="BI336" t="s">
        <v>231</v>
      </c>
      <c r="BJ336" t="s">
        <v>231</v>
      </c>
      <c r="BK336" t="s">
        <v>231</v>
      </c>
      <c r="BL336" t="s">
        <v>231</v>
      </c>
      <c r="BM336" t="s">
        <v>231</v>
      </c>
      <c r="BN336" t="s">
        <v>231</v>
      </c>
      <c r="BO336" t="s">
        <v>231</v>
      </c>
      <c r="BP336" t="s">
        <v>231</v>
      </c>
      <c r="BQ336" t="s">
        <v>231</v>
      </c>
      <c r="BR336" t="s">
        <v>231</v>
      </c>
      <c r="BS336" t="s">
        <v>231</v>
      </c>
      <c r="BT336" t="s">
        <v>231</v>
      </c>
      <c r="BU336" t="s">
        <v>231</v>
      </c>
      <c r="BV336" t="s">
        <v>231</v>
      </c>
      <c r="BW336" t="s">
        <v>231</v>
      </c>
      <c r="BX336" t="s">
        <v>231</v>
      </c>
      <c r="BY336" t="s">
        <v>231</v>
      </c>
      <c r="BZ336" t="s">
        <v>231</v>
      </c>
      <c r="CA336" t="s">
        <v>231</v>
      </c>
      <c r="CB336" t="s">
        <v>231</v>
      </c>
      <c r="CC336" t="s">
        <v>231</v>
      </c>
      <c r="CD336" t="s">
        <v>231</v>
      </c>
      <c r="CE336" t="s">
        <v>231</v>
      </c>
      <c r="CF336" t="s">
        <v>231</v>
      </c>
      <c r="CG336" t="s">
        <v>231</v>
      </c>
      <c r="CH336" t="s">
        <v>231</v>
      </c>
      <c r="CI336" t="s">
        <v>231</v>
      </c>
      <c r="CJ336" t="s">
        <v>231</v>
      </c>
      <c r="CK336" t="s">
        <v>231</v>
      </c>
      <c r="CL336" t="s">
        <v>231</v>
      </c>
      <c r="CM336" t="s">
        <v>231</v>
      </c>
      <c r="CN336" t="s">
        <v>231</v>
      </c>
      <c r="CO336" t="s">
        <v>231</v>
      </c>
      <c r="CP336" t="s">
        <v>231</v>
      </c>
      <c r="CQ336" t="s">
        <v>231</v>
      </c>
      <c r="CR336" t="s">
        <v>231</v>
      </c>
      <c r="CS336" t="s">
        <v>231</v>
      </c>
      <c r="CT336" t="s">
        <v>3534</v>
      </c>
      <c r="CU336" t="s">
        <v>3535</v>
      </c>
      <c r="CV336" t="s">
        <v>3536</v>
      </c>
      <c r="CW336" t="s">
        <v>3589</v>
      </c>
      <c r="CX336" t="s">
        <v>223</v>
      </c>
      <c r="CY336" t="s">
        <v>3536</v>
      </c>
      <c r="CZ336" t="s">
        <v>3590</v>
      </c>
      <c r="DA336" t="s">
        <v>3591</v>
      </c>
      <c r="DB336" t="s">
        <v>3589</v>
      </c>
      <c r="DC336" t="s">
        <v>363</v>
      </c>
      <c r="DD336" t="s">
        <v>282</v>
      </c>
      <c r="DE336" t="s">
        <v>4670</v>
      </c>
    </row>
    <row r="337" spans="1:109" ht="11.25" customHeight="1">
      <c r="A337" s="1314" t="s">
        <v>231</v>
      </c>
      <c r="B337" t="s">
        <v>231</v>
      </c>
      <c r="C337" t="s">
        <v>231</v>
      </c>
      <c r="D337" t="s">
        <v>231</v>
      </c>
      <c r="E337" t="s">
        <v>231</v>
      </c>
      <c r="F337" t="s">
        <v>231</v>
      </c>
      <c r="G337" t="s">
        <v>231</v>
      </c>
      <c r="H337" t="s">
        <v>231</v>
      </c>
      <c r="I337" t="s">
        <v>3521</v>
      </c>
      <c r="J337" t="s">
        <v>231</v>
      </c>
      <c r="K337" t="s">
        <v>231</v>
      </c>
      <c r="L337" t="s">
        <v>231</v>
      </c>
      <c r="M337" t="s">
        <v>231</v>
      </c>
      <c r="N337" t="s">
        <v>231</v>
      </c>
      <c r="O337" t="s">
        <v>231</v>
      </c>
      <c r="P337" t="s">
        <v>231</v>
      </c>
      <c r="Q337" t="s">
        <v>231</v>
      </c>
      <c r="R337" t="s">
        <v>3615</v>
      </c>
      <c r="S337" t="s">
        <v>231</v>
      </c>
      <c r="T337" t="s">
        <v>231</v>
      </c>
      <c r="U337" t="s">
        <v>101</v>
      </c>
      <c r="V337" t="s">
        <v>231</v>
      </c>
      <c r="W337" t="s">
        <v>231</v>
      </c>
      <c r="X337" t="s">
        <v>3523</v>
      </c>
      <c r="Y337" t="s">
        <v>231</v>
      </c>
      <c r="Z337" t="s">
        <v>160</v>
      </c>
      <c r="AA337" t="s">
        <v>151</v>
      </c>
      <c r="AB337" t="s">
        <v>151</v>
      </c>
      <c r="AC337" t="s">
        <v>2289</v>
      </c>
      <c r="AD337" t="s">
        <v>2289</v>
      </c>
      <c r="AE337" t="s">
        <v>2290</v>
      </c>
      <c r="AF337" t="s">
        <v>4454</v>
      </c>
      <c r="AG337" t="s">
        <v>4455</v>
      </c>
      <c r="AH337" t="s">
        <v>4671</v>
      </c>
      <c r="AI337" t="s">
        <v>4672</v>
      </c>
      <c r="AJ337" t="s">
        <v>3546</v>
      </c>
      <c r="AK337" t="s">
        <v>3586</v>
      </c>
      <c r="AL337" t="s">
        <v>3548</v>
      </c>
      <c r="AM337" t="s">
        <v>3531</v>
      </c>
      <c r="AN337" t="s">
        <v>3595</v>
      </c>
      <c r="AO337" t="s">
        <v>4673</v>
      </c>
      <c r="AP337" t="s">
        <v>231</v>
      </c>
      <c r="AQ337" t="s">
        <v>231</v>
      </c>
      <c r="AR337" t="s">
        <v>231</v>
      </c>
      <c r="AS337" t="s">
        <v>231</v>
      </c>
      <c r="AT337" t="s">
        <v>231</v>
      </c>
      <c r="AU337" t="s">
        <v>231</v>
      </c>
      <c r="AV337" t="s">
        <v>231</v>
      </c>
      <c r="AW337" t="s">
        <v>231</v>
      </c>
      <c r="AX337" t="s">
        <v>231</v>
      </c>
      <c r="AY337" t="s">
        <v>231</v>
      </c>
      <c r="AZ337" t="s">
        <v>231</v>
      </c>
      <c r="BA337" t="s">
        <v>231</v>
      </c>
      <c r="BB337" t="s">
        <v>231</v>
      </c>
      <c r="BC337" t="s">
        <v>231</v>
      </c>
      <c r="BD337" t="s">
        <v>231</v>
      </c>
      <c r="BE337" t="s">
        <v>231</v>
      </c>
      <c r="BF337" t="s">
        <v>231</v>
      </c>
      <c r="BG337" t="s">
        <v>231</v>
      </c>
      <c r="BH337" t="s">
        <v>231</v>
      </c>
      <c r="BI337" t="s">
        <v>231</v>
      </c>
      <c r="BJ337" t="s">
        <v>231</v>
      </c>
      <c r="BK337" t="s">
        <v>231</v>
      </c>
      <c r="BL337" t="s">
        <v>231</v>
      </c>
      <c r="BM337" t="s">
        <v>231</v>
      </c>
      <c r="BN337" t="s">
        <v>231</v>
      </c>
      <c r="BO337" t="s">
        <v>231</v>
      </c>
      <c r="BP337" t="s">
        <v>231</v>
      </c>
      <c r="BQ337" t="s">
        <v>231</v>
      </c>
      <c r="BR337" t="s">
        <v>231</v>
      </c>
      <c r="BS337" t="s">
        <v>231</v>
      </c>
      <c r="BT337" t="s">
        <v>231</v>
      </c>
      <c r="BU337" t="s">
        <v>231</v>
      </c>
      <c r="BV337" t="s">
        <v>231</v>
      </c>
      <c r="BW337" t="s">
        <v>231</v>
      </c>
      <c r="BX337" t="s">
        <v>231</v>
      </c>
      <c r="BY337" t="s">
        <v>231</v>
      </c>
      <c r="BZ337" t="s">
        <v>231</v>
      </c>
      <c r="CA337" t="s">
        <v>231</v>
      </c>
      <c r="CB337" t="s">
        <v>231</v>
      </c>
      <c r="CC337" t="s">
        <v>231</v>
      </c>
      <c r="CD337" t="s">
        <v>231</v>
      </c>
      <c r="CE337" t="s">
        <v>231</v>
      </c>
      <c r="CF337" t="s">
        <v>231</v>
      </c>
      <c r="CG337" t="s">
        <v>231</v>
      </c>
      <c r="CH337" t="s">
        <v>231</v>
      </c>
      <c r="CI337" t="s">
        <v>231</v>
      </c>
      <c r="CJ337" t="s">
        <v>231</v>
      </c>
      <c r="CK337" t="s">
        <v>231</v>
      </c>
      <c r="CL337" t="s">
        <v>231</v>
      </c>
      <c r="CM337" t="s">
        <v>231</v>
      </c>
      <c r="CN337" t="s">
        <v>231</v>
      </c>
      <c r="CO337" t="s">
        <v>231</v>
      </c>
      <c r="CP337" t="s">
        <v>231</v>
      </c>
      <c r="CQ337" t="s">
        <v>231</v>
      </c>
      <c r="CR337" t="s">
        <v>231</v>
      </c>
      <c r="CS337" t="s">
        <v>231</v>
      </c>
      <c r="CT337" t="s">
        <v>3534</v>
      </c>
      <c r="CU337" t="s">
        <v>3535</v>
      </c>
      <c r="CV337" t="s">
        <v>3536</v>
      </c>
      <c r="CW337" t="s">
        <v>3589</v>
      </c>
      <c r="CX337" t="s">
        <v>223</v>
      </c>
      <c r="CY337" t="s">
        <v>3536</v>
      </c>
      <c r="CZ337" t="s">
        <v>3590</v>
      </c>
      <c r="DA337" t="s">
        <v>3591</v>
      </c>
      <c r="DB337" t="s">
        <v>3589</v>
      </c>
      <c r="DC337" t="s">
        <v>363</v>
      </c>
      <c r="DD337" t="s">
        <v>282</v>
      </c>
      <c r="DE337" t="s">
        <v>4674</v>
      </c>
    </row>
    <row r="338" spans="1:109" ht="11.25" customHeight="1">
      <c r="A338" s="1314" t="s">
        <v>231</v>
      </c>
      <c r="B338" t="s">
        <v>231</v>
      </c>
      <c r="C338" t="s">
        <v>231</v>
      </c>
      <c r="D338" t="s">
        <v>231</v>
      </c>
      <c r="E338" t="s">
        <v>231</v>
      </c>
      <c r="F338" t="s">
        <v>231</v>
      </c>
      <c r="G338" t="s">
        <v>231</v>
      </c>
      <c r="H338" t="s">
        <v>231</v>
      </c>
      <c r="I338" t="s">
        <v>3521</v>
      </c>
      <c r="J338" t="s">
        <v>231</v>
      </c>
      <c r="K338" t="s">
        <v>231</v>
      </c>
      <c r="L338" t="s">
        <v>231</v>
      </c>
      <c r="M338" t="s">
        <v>231</v>
      </c>
      <c r="N338" t="s">
        <v>231</v>
      </c>
      <c r="O338" t="s">
        <v>231</v>
      </c>
      <c r="P338" t="s">
        <v>231</v>
      </c>
      <c r="Q338" t="s">
        <v>231</v>
      </c>
      <c r="R338" t="s">
        <v>3615</v>
      </c>
      <c r="S338" t="s">
        <v>231</v>
      </c>
      <c r="T338" t="s">
        <v>231</v>
      </c>
      <c r="U338" t="s">
        <v>101</v>
      </c>
      <c r="V338" t="s">
        <v>231</v>
      </c>
      <c r="W338" t="s">
        <v>231</v>
      </c>
      <c r="X338" t="s">
        <v>3523</v>
      </c>
      <c r="Y338" t="s">
        <v>231</v>
      </c>
      <c r="Z338" t="s">
        <v>160</v>
      </c>
      <c r="AA338" t="s">
        <v>151</v>
      </c>
      <c r="AB338" t="s">
        <v>151</v>
      </c>
      <c r="AC338" t="s">
        <v>2289</v>
      </c>
      <c r="AD338" t="s">
        <v>2289</v>
      </c>
      <c r="AE338" t="s">
        <v>2290</v>
      </c>
      <c r="AF338" t="s">
        <v>4454</v>
      </c>
      <c r="AG338" t="s">
        <v>4455</v>
      </c>
      <c r="AH338" t="s">
        <v>3925</v>
      </c>
      <c r="AI338" t="s">
        <v>3893</v>
      </c>
      <c r="AJ338" t="s">
        <v>3546</v>
      </c>
      <c r="AK338" t="s">
        <v>3586</v>
      </c>
      <c r="AL338" t="s">
        <v>3548</v>
      </c>
      <c r="AM338" t="s">
        <v>3531</v>
      </c>
      <c r="AN338" t="s">
        <v>3595</v>
      </c>
      <c r="AO338" t="s">
        <v>3668</v>
      </c>
      <c r="AP338" t="s">
        <v>231</v>
      </c>
      <c r="AQ338" t="s">
        <v>231</v>
      </c>
      <c r="AR338" t="s">
        <v>231</v>
      </c>
      <c r="AS338" t="s">
        <v>231</v>
      </c>
      <c r="AT338" t="s">
        <v>231</v>
      </c>
      <c r="AU338" t="s">
        <v>231</v>
      </c>
      <c r="AV338" t="s">
        <v>231</v>
      </c>
      <c r="AW338" t="s">
        <v>231</v>
      </c>
      <c r="AX338" t="s">
        <v>231</v>
      </c>
      <c r="AY338" t="s">
        <v>231</v>
      </c>
      <c r="AZ338" t="s">
        <v>231</v>
      </c>
      <c r="BA338" t="s">
        <v>231</v>
      </c>
      <c r="BB338" t="s">
        <v>231</v>
      </c>
      <c r="BC338" t="s">
        <v>231</v>
      </c>
      <c r="BD338" t="s">
        <v>231</v>
      </c>
      <c r="BE338" t="s">
        <v>231</v>
      </c>
      <c r="BF338" t="s">
        <v>231</v>
      </c>
      <c r="BG338" t="s">
        <v>231</v>
      </c>
      <c r="BH338" t="s">
        <v>231</v>
      </c>
      <c r="BI338" t="s">
        <v>231</v>
      </c>
      <c r="BJ338" t="s">
        <v>231</v>
      </c>
      <c r="BK338" t="s">
        <v>231</v>
      </c>
      <c r="BL338" t="s">
        <v>231</v>
      </c>
      <c r="BM338" t="s">
        <v>231</v>
      </c>
      <c r="BN338" t="s">
        <v>231</v>
      </c>
      <c r="BO338" t="s">
        <v>231</v>
      </c>
      <c r="BP338" t="s">
        <v>231</v>
      </c>
      <c r="BQ338" t="s">
        <v>231</v>
      </c>
      <c r="BR338" t="s">
        <v>231</v>
      </c>
      <c r="BS338" t="s">
        <v>231</v>
      </c>
      <c r="BT338" t="s">
        <v>231</v>
      </c>
      <c r="BU338" t="s">
        <v>231</v>
      </c>
      <c r="BV338" t="s">
        <v>231</v>
      </c>
      <c r="BW338" t="s">
        <v>231</v>
      </c>
      <c r="BX338" t="s">
        <v>231</v>
      </c>
      <c r="BY338" t="s">
        <v>231</v>
      </c>
      <c r="BZ338" t="s">
        <v>231</v>
      </c>
      <c r="CA338" t="s">
        <v>231</v>
      </c>
      <c r="CB338" t="s">
        <v>231</v>
      </c>
      <c r="CC338" t="s">
        <v>231</v>
      </c>
      <c r="CD338" t="s">
        <v>231</v>
      </c>
      <c r="CE338" t="s">
        <v>231</v>
      </c>
      <c r="CF338" t="s">
        <v>231</v>
      </c>
      <c r="CG338" t="s">
        <v>231</v>
      </c>
      <c r="CH338" t="s">
        <v>231</v>
      </c>
      <c r="CI338" t="s">
        <v>231</v>
      </c>
      <c r="CJ338" t="s">
        <v>231</v>
      </c>
      <c r="CK338" t="s">
        <v>231</v>
      </c>
      <c r="CL338" t="s">
        <v>231</v>
      </c>
      <c r="CM338" t="s">
        <v>231</v>
      </c>
      <c r="CN338" t="s">
        <v>231</v>
      </c>
      <c r="CO338" t="s">
        <v>231</v>
      </c>
      <c r="CP338" t="s">
        <v>231</v>
      </c>
      <c r="CQ338" t="s">
        <v>231</v>
      </c>
      <c r="CR338" t="s">
        <v>231</v>
      </c>
      <c r="CS338" t="s">
        <v>231</v>
      </c>
      <c r="CT338" t="s">
        <v>3534</v>
      </c>
      <c r="CU338" t="s">
        <v>3535</v>
      </c>
      <c r="CV338" t="s">
        <v>3536</v>
      </c>
      <c r="CW338" t="s">
        <v>3589</v>
      </c>
      <c r="CX338" t="s">
        <v>223</v>
      </c>
      <c r="CY338" t="s">
        <v>3536</v>
      </c>
      <c r="CZ338" t="s">
        <v>3590</v>
      </c>
      <c r="DA338" t="s">
        <v>3591</v>
      </c>
      <c r="DB338" t="s">
        <v>3589</v>
      </c>
      <c r="DC338" t="s">
        <v>363</v>
      </c>
      <c r="DD338" t="s">
        <v>282</v>
      </c>
      <c r="DE338" t="s">
        <v>4747</v>
      </c>
    </row>
    <row r="339" spans="1:109" ht="11.25" customHeight="1">
      <c r="A339" s="1314" t="s">
        <v>231</v>
      </c>
      <c r="B339" t="s">
        <v>231</v>
      </c>
      <c r="C339" t="s">
        <v>231</v>
      </c>
      <c r="D339" t="s">
        <v>231</v>
      </c>
      <c r="E339" t="s">
        <v>231</v>
      </c>
      <c r="F339" t="s">
        <v>231</v>
      </c>
      <c r="G339" t="s">
        <v>231</v>
      </c>
      <c r="H339" t="s">
        <v>231</v>
      </c>
      <c r="I339" t="s">
        <v>3521</v>
      </c>
      <c r="J339" t="s">
        <v>231</v>
      </c>
      <c r="K339" t="s">
        <v>231</v>
      </c>
      <c r="L339" t="s">
        <v>231</v>
      </c>
      <c r="M339" t="s">
        <v>231</v>
      </c>
      <c r="N339" t="s">
        <v>231</v>
      </c>
      <c r="O339" t="s">
        <v>231</v>
      </c>
      <c r="P339" t="s">
        <v>231</v>
      </c>
      <c r="Q339" t="s">
        <v>231</v>
      </c>
      <c r="R339" t="s">
        <v>3615</v>
      </c>
      <c r="S339" t="s">
        <v>231</v>
      </c>
      <c r="T339" t="s">
        <v>231</v>
      </c>
      <c r="U339" t="s">
        <v>101</v>
      </c>
      <c r="V339" t="s">
        <v>231</v>
      </c>
      <c r="W339" t="s">
        <v>231</v>
      </c>
      <c r="X339" t="s">
        <v>3523</v>
      </c>
      <c r="Y339" t="s">
        <v>231</v>
      </c>
      <c r="Z339" t="s">
        <v>160</v>
      </c>
      <c r="AA339" t="s">
        <v>151</v>
      </c>
      <c r="AB339" t="s">
        <v>151</v>
      </c>
      <c r="AC339" t="s">
        <v>2289</v>
      </c>
      <c r="AD339" t="s">
        <v>2289</v>
      </c>
      <c r="AE339" t="s">
        <v>2290</v>
      </c>
      <c r="AF339" t="s">
        <v>4454</v>
      </c>
      <c r="AG339" t="s">
        <v>4455</v>
      </c>
      <c r="AH339" t="s">
        <v>4671</v>
      </c>
      <c r="AI339" t="s">
        <v>4016</v>
      </c>
      <c r="AJ339" t="s">
        <v>3546</v>
      </c>
      <c r="AK339" t="s">
        <v>4718</v>
      </c>
      <c r="AL339" t="s">
        <v>3548</v>
      </c>
      <c r="AM339" t="s">
        <v>3531</v>
      </c>
      <c r="AN339" t="s">
        <v>3595</v>
      </c>
      <c r="AO339" t="s">
        <v>3679</v>
      </c>
      <c r="AP339" t="s">
        <v>231</v>
      </c>
      <c r="AQ339" t="s">
        <v>231</v>
      </c>
      <c r="AR339" t="s">
        <v>231</v>
      </c>
      <c r="AS339" t="s">
        <v>231</v>
      </c>
      <c r="AT339" t="s">
        <v>231</v>
      </c>
      <c r="AU339" t="s">
        <v>231</v>
      </c>
      <c r="AV339" t="s">
        <v>231</v>
      </c>
      <c r="AW339" t="s">
        <v>231</v>
      </c>
      <c r="AX339" t="s">
        <v>231</v>
      </c>
      <c r="AY339" t="s">
        <v>231</v>
      </c>
      <c r="AZ339" t="s">
        <v>231</v>
      </c>
      <c r="BA339" t="s">
        <v>231</v>
      </c>
      <c r="BB339" t="s">
        <v>231</v>
      </c>
      <c r="BC339" t="s">
        <v>231</v>
      </c>
      <c r="BD339" t="s">
        <v>231</v>
      </c>
      <c r="BE339" t="s">
        <v>231</v>
      </c>
      <c r="BF339" t="s">
        <v>231</v>
      </c>
      <c r="BG339" t="s">
        <v>231</v>
      </c>
      <c r="BH339" t="s">
        <v>231</v>
      </c>
      <c r="BI339" t="s">
        <v>231</v>
      </c>
      <c r="BJ339" t="s">
        <v>231</v>
      </c>
      <c r="BK339" t="s">
        <v>231</v>
      </c>
      <c r="BL339" t="s">
        <v>231</v>
      </c>
      <c r="BM339" t="s">
        <v>231</v>
      </c>
      <c r="BN339" t="s">
        <v>231</v>
      </c>
      <c r="BO339" t="s">
        <v>231</v>
      </c>
      <c r="BP339" t="s">
        <v>231</v>
      </c>
      <c r="BQ339" t="s">
        <v>231</v>
      </c>
      <c r="BR339" t="s">
        <v>231</v>
      </c>
      <c r="BS339" t="s">
        <v>231</v>
      </c>
      <c r="BT339" t="s">
        <v>231</v>
      </c>
      <c r="BU339" t="s">
        <v>231</v>
      </c>
      <c r="BV339" t="s">
        <v>231</v>
      </c>
      <c r="BW339" t="s">
        <v>231</v>
      </c>
      <c r="BX339" t="s">
        <v>231</v>
      </c>
      <c r="BY339" t="s">
        <v>231</v>
      </c>
      <c r="BZ339" t="s">
        <v>231</v>
      </c>
      <c r="CA339" t="s">
        <v>231</v>
      </c>
      <c r="CB339" t="s">
        <v>231</v>
      </c>
      <c r="CC339" t="s">
        <v>231</v>
      </c>
      <c r="CD339" t="s">
        <v>231</v>
      </c>
      <c r="CE339" t="s">
        <v>231</v>
      </c>
      <c r="CF339" t="s">
        <v>231</v>
      </c>
      <c r="CG339" t="s">
        <v>231</v>
      </c>
      <c r="CH339" t="s">
        <v>231</v>
      </c>
      <c r="CI339" t="s">
        <v>231</v>
      </c>
      <c r="CJ339" t="s">
        <v>231</v>
      </c>
      <c r="CK339" t="s">
        <v>231</v>
      </c>
      <c r="CL339" t="s">
        <v>231</v>
      </c>
      <c r="CM339" t="s">
        <v>231</v>
      </c>
      <c r="CN339" t="s">
        <v>231</v>
      </c>
      <c r="CO339" t="s">
        <v>231</v>
      </c>
      <c r="CP339" t="s">
        <v>231</v>
      </c>
      <c r="CQ339" t="s">
        <v>231</v>
      </c>
      <c r="CR339" t="s">
        <v>231</v>
      </c>
      <c r="CS339" t="s">
        <v>231</v>
      </c>
      <c r="CT339" t="s">
        <v>3534</v>
      </c>
      <c r="CU339" t="s">
        <v>3535</v>
      </c>
      <c r="CV339" t="s">
        <v>3536</v>
      </c>
      <c r="CW339" t="s">
        <v>3589</v>
      </c>
      <c r="CX339" t="s">
        <v>223</v>
      </c>
      <c r="CY339" t="s">
        <v>3536</v>
      </c>
      <c r="CZ339" t="s">
        <v>3590</v>
      </c>
      <c r="DA339" t="s">
        <v>3591</v>
      </c>
      <c r="DB339" t="s">
        <v>3589</v>
      </c>
      <c r="DC339" t="s">
        <v>363</v>
      </c>
      <c r="DD339" t="s">
        <v>282</v>
      </c>
      <c r="DE339" t="s">
        <v>4748</v>
      </c>
    </row>
    <row r="340" spans="1:109" ht="11.25" customHeight="1">
      <c r="A340" s="1314" t="s">
        <v>231</v>
      </c>
      <c r="B340" t="s">
        <v>231</v>
      </c>
      <c r="C340" t="s">
        <v>231</v>
      </c>
      <c r="D340" t="s">
        <v>231</v>
      </c>
      <c r="E340" t="s">
        <v>231</v>
      </c>
      <c r="F340" t="s">
        <v>231</v>
      </c>
      <c r="G340" t="s">
        <v>231</v>
      </c>
      <c r="H340" t="s">
        <v>231</v>
      </c>
      <c r="I340" t="s">
        <v>3521</v>
      </c>
      <c r="J340" t="s">
        <v>231</v>
      </c>
      <c r="K340" t="s">
        <v>231</v>
      </c>
      <c r="L340" t="s">
        <v>231</v>
      </c>
      <c r="M340" t="s">
        <v>231</v>
      </c>
      <c r="N340" t="s">
        <v>231</v>
      </c>
      <c r="O340" t="s">
        <v>231</v>
      </c>
      <c r="P340" t="s">
        <v>231</v>
      </c>
      <c r="Q340" t="s">
        <v>231</v>
      </c>
      <c r="R340" t="s">
        <v>5019</v>
      </c>
      <c r="S340" t="s">
        <v>231</v>
      </c>
      <c r="T340" t="s">
        <v>231</v>
      </c>
      <c r="U340" t="s">
        <v>101</v>
      </c>
      <c r="V340" t="s">
        <v>231</v>
      </c>
      <c r="W340" t="s">
        <v>231</v>
      </c>
      <c r="X340" t="s">
        <v>3523</v>
      </c>
      <c r="Y340" t="s">
        <v>231</v>
      </c>
      <c r="Z340" t="s">
        <v>160</v>
      </c>
      <c r="AA340" t="s">
        <v>151</v>
      </c>
      <c r="AB340" t="s">
        <v>151</v>
      </c>
      <c r="AC340" t="s">
        <v>343</v>
      </c>
      <c r="AD340" t="s">
        <v>343</v>
      </c>
      <c r="AE340" t="s">
        <v>344</v>
      </c>
      <c r="AF340" t="s">
        <v>3561</v>
      </c>
      <c r="AG340" t="s">
        <v>3562</v>
      </c>
      <c r="AH340" t="s">
        <v>3936</v>
      </c>
      <c r="AI340" t="s">
        <v>3937</v>
      </c>
      <c r="AJ340" t="s">
        <v>3630</v>
      </c>
      <c r="AK340" t="s">
        <v>3938</v>
      </c>
      <c r="AL340" t="s">
        <v>3530</v>
      </c>
      <c r="AM340" t="s">
        <v>3531</v>
      </c>
      <c r="AN340" t="s">
        <v>3939</v>
      </c>
      <c r="AO340" t="s">
        <v>3940</v>
      </c>
      <c r="AP340" t="s">
        <v>231</v>
      </c>
      <c r="AQ340" t="s">
        <v>231</v>
      </c>
      <c r="AR340" t="s">
        <v>231</v>
      </c>
      <c r="AS340" t="s">
        <v>231</v>
      </c>
      <c r="AT340" t="s">
        <v>231</v>
      </c>
      <c r="AU340" t="s">
        <v>231</v>
      </c>
      <c r="AV340" t="s">
        <v>231</v>
      </c>
      <c r="AW340" t="s">
        <v>231</v>
      </c>
      <c r="AX340" t="s">
        <v>231</v>
      </c>
      <c r="AY340" t="s">
        <v>231</v>
      </c>
      <c r="AZ340" t="s">
        <v>231</v>
      </c>
      <c r="BA340" t="s">
        <v>231</v>
      </c>
      <c r="BB340" t="s">
        <v>231</v>
      </c>
      <c r="BC340" t="s">
        <v>231</v>
      </c>
      <c r="BD340" t="s">
        <v>231</v>
      </c>
      <c r="BE340" t="s">
        <v>231</v>
      </c>
      <c r="BF340" t="s">
        <v>231</v>
      </c>
      <c r="BG340" t="s">
        <v>231</v>
      </c>
      <c r="BH340" t="s">
        <v>231</v>
      </c>
      <c r="BI340" t="s">
        <v>231</v>
      </c>
      <c r="BJ340" t="s">
        <v>231</v>
      </c>
      <c r="BK340" t="s">
        <v>231</v>
      </c>
      <c r="BL340" t="s">
        <v>231</v>
      </c>
      <c r="BM340" t="s">
        <v>231</v>
      </c>
      <c r="BN340" t="s">
        <v>231</v>
      </c>
      <c r="BO340" t="s">
        <v>231</v>
      </c>
      <c r="BP340" t="s">
        <v>231</v>
      </c>
      <c r="BQ340" t="s">
        <v>231</v>
      </c>
      <c r="BR340" t="s">
        <v>231</v>
      </c>
      <c r="BS340" t="s">
        <v>231</v>
      </c>
      <c r="BT340" t="s">
        <v>231</v>
      </c>
      <c r="BU340" t="s">
        <v>231</v>
      </c>
      <c r="BV340" t="s">
        <v>231</v>
      </c>
      <c r="BW340" t="s">
        <v>231</v>
      </c>
      <c r="BX340" t="s">
        <v>231</v>
      </c>
      <c r="BY340" t="s">
        <v>231</v>
      </c>
      <c r="BZ340" t="s">
        <v>231</v>
      </c>
      <c r="CA340" t="s">
        <v>231</v>
      </c>
      <c r="CB340" t="s">
        <v>231</v>
      </c>
      <c r="CC340" t="s">
        <v>231</v>
      </c>
      <c r="CD340" t="s">
        <v>231</v>
      </c>
      <c r="CE340" t="s">
        <v>231</v>
      </c>
      <c r="CF340" t="s">
        <v>231</v>
      </c>
      <c r="CG340" t="s">
        <v>231</v>
      </c>
      <c r="CH340" t="s">
        <v>231</v>
      </c>
      <c r="CI340" t="s">
        <v>231</v>
      </c>
      <c r="CJ340" t="s">
        <v>231</v>
      </c>
      <c r="CK340" t="s">
        <v>231</v>
      </c>
      <c r="CL340" t="s">
        <v>231</v>
      </c>
      <c r="CM340" t="s">
        <v>231</v>
      </c>
      <c r="CN340" t="s">
        <v>231</v>
      </c>
      <c r="CO340" t="s">
        <v>231</v>
      </c>
      <c r="CP340" t="s">
        <v>231</v>
      </c>
      <c r="CQ340" t="s">
        <v>231</v>
      </c>
      <c r="CR340" t="s">
        <v>231</v>
      </c>
      <c r="CS340" t="s">
        <v>231</v>
      </c>
      <c r="CT340" t="s">
        <v>3534</v>
      </c>
      <c r="CU340" t="s">
        <v>3535</v>
      </c>
      <c r="CV340" t="s">
        <v>3536</v>
      </c>
      <c r="CW340" t="s">
        <v>3569</v>
      </c>
      <c r="CX340" t="s">
        <v>3570</v>
      </c>
      <c r="CY340" t="s">
        <v>3536</v>
      </c>
      <c r="CZ340" t="s">
        <v>224</v>
      </c>
      <c r="DA340" t="s">
        <v>3571</v>
      </c>
      <c r="DB340" t="s">
        <v>3569</v>
      </c>
      <c r="DC340" t="s">
        <v>363</v>
      </c>
      <c r="DD340" t="s">
        <v>282</v>
      </c>
      <c r="DE340" t="s">
        <v>3941</v>
      </c>
    </row>
    <row r="341" spans="1:109" ht="11.25" customHeight="1">
      <c r="A341" s="1314" t="s">
        <v>231</v>
      </c>
      <c r="B341" t="s">
        <v>231</v>
      </c>
      <c r="C341" t="s">
        <v>231</v>
      </c>
      <c r="D341" t="s">
        <v>231</v>
      </c>
      <c r="E341" t="s">
        <v>231</v>
      </c>
      <c r="F341" t="s">
        <v>231</v>
      </c>
      <c r="G341" t="s">
        <v>231</v>
      </c>
      <c r="H341" t="s">
        <v>231</v>
      </c>
      <c r="I341" t="s">
        <v>3521</v>
      </c>
      <c r="J341" t="s">
        <v>231</v>
      </c>
      <c r="K341" t="s">
        <v>231</v>
      </c>
      <c r="L341" t="s">
        <v>231</v>
      </c>
      <c r="M341" t="s">
        <v>231</v>
      </c>
      <c r="N341" t="s">
        <v>231</v>
      </c>
      <c r="O341" t="s">
        <v>231</v>
      </c>
      <c r="P341" t="s">
        <v>231</v>
      </c>
      <c r="Q341" t="s">
        <v>231</v>
      </c>
      <c r="R341" t="s">
        <v>3555</v>
      </c>
      <c r="S341" t="s">
        <v>231</v>
      </c>
      <c r="T341" t="s">
        <v>231</v>
      </c>
      <c r="U341" t="s">
        <v>101</v>
      </c>
      <c r="V341" t="s">
        <v>231</v>
      </c>
      <c r="W341" t="s">
        <v>231</v>
      </c>
      <c r="X341" t="s">
        <v>3523</v>
      </c>
      <c r="Y341" t="s">
        <v>231</v>
      </c>
      <c r="Z341" t="s">
        <v>160</v>
      </c>
      <c r="AA341" t="s">
        <v>151</v>
      </c>
      <c r="AB341" t="s">
        <v>151</v>
      </c>
      <c r="AC341" t="s">
        <v>2289</v>
      </c>
      <c r="AD341" t="s">
        <v>2289</v>
      </c>
      <c r="AE341" t="s">
        <v>2290</v>
      </c>
      <c r="AF341" t="s">
        <v>4020</v>
      </c>
      <c r="AG341" t="s">
        <v>4021</v>
      </c>
      <c r="AH341" t="s">
        <v>4022</v>
      </c>
      <c r="AI341" t="s">
        <v>3774</v>
      </c>
      <c r="AJ341" t="s">
        <v>3546</v>
      </c>
      <c r="AK341" t="s">
        <v>3775</v>
      </c>
      <c r="AL341" t="s">
        <v>3548</v>
      </c>
      <c r="AM341" t="s">
        <v>3531</v>
      </c>
      <c r="AN341" t="s">
        <v>3587</v>
      </c>
      <c r="AO341" t="s">
        <v>3679</v>
      </c>
      <c r="AP341" t="s">
        <v>231</v>
      </c>
      <c r="AQ341" t="s">
        <v>231</v>
      </c>
      <c r="AR341" t="s">
        <v>231</v>
      </c>
      <c r="AS341" t="s">
        <v>231</v>
      </c>
      <c r="AT341" t="s">
        <v>231</v>
      </c>
      <c r="AU341" t="s">
        <v>231</v>
      </c>
      <c r="AV341" t="s">
        <v>231</v>
      </c>
      <c r="AW341" t="s">
        <v>231</v>
      </c>
      <c r="AX341" t="s">
        <v>231</v>
      </c>
      <c r="AY341" t="s">
        <v>231</v>
      </c>
      <c r="AZ341" t="s">
        <v>231</v>
      </c>
      <c r="BA341" t="s">
        <v>231</v>
      </c>
      <c r="BB341" t="s">
        <v>231</v>
      </c>
      <c r="BC341" t="s">
        <v>231</v>
      </c>
      <c r="BD341" t="s">
        <v>231</v>
      </c>
      <c r="BE341" t="s">
        <v>231</v>
      </c>
      <c r="BF341" t="s">
        <v>231</v>
      </c>
      <c r="BG341" t="s">
        <v>231</v>
      </c>
      <c r="BH341" t="s">
        <v>231</v>
      </c>
      <c r="BI341" t="s">
        <v>231</v>
      </c>
      <c r="BJ341" t="s">
        <v>231</v>
      </c>
      <c r="BK341" t="s">
        <v>231</v>
      </c>
      <c r="BL341" t="s">
        <v>231</v>
      </c>
      <c r="BM341" t="s">
        <v>231</v>
      </c>
      <c r="BN341" t="s">
        <v>231</v>
      </c>
      <c r="BO341" t="s">
        <v>231</v>
      </c>
      <c r="BP341" t="s">
        <v>231</v>
      </c>
      <c r="BQ341" t="s">
        <v>231</v>
      </c>
      <c r="BR341" t="s">
        <v>231</v>
      </c>
      <c r="BS341" t="s">
        <v>231</v>
      </c>
      <c r="BT341" t="s">
        <v>231</v>
      </c>
      <c r="BU341" t="s">
        <v>231</v>
      </c>
      <c r="BV341" t="s">
        <v>231</v>
      </c>
      <c r="BW341" t="s">
        <v>231</v>
      </c>
      <c r="BX341" t="s">
        <v>231</v>
      </c>
      <c r="BY341" t="s">
        <v>231</v>
      </c>
      <c r="BZ341" t="s">
        <v>231</v>
      </c>
      <c r="CA341" t="s">
        <v>231</v>
      </c>
      <c r="CB341" t="s">
        <v>231</v>
      </c>
      <c r="CC341" t="s">
        <v>231</v>
      </c>
      <c r="CD341" t="s">
        <v>231</v>
      </c>
      <c r="CE341" t="s">
        <v>231</v>
      </c>
      <c r="CF341" t="s">
        <v>231</v>
      </c>
      <c r="CG341" t="s">
        <v>231</v>
      </c>
      <c r="CH341" t="s">
        <v>231</v>
      </c>
      <c r="CI341" t="s">
        <v>231</v>
      </c>
      <c r="CJ341" t="s">
        <v>231</v>
      </c>
      <c r="CK341" t="s">
        <v>231</v>
      </c>
      <c r="CL341" t="s">
        <v>231</v>
      </c>
      <c r="CM341" t="s">
        <v>231</v>
      </c>
      <c r="CN341" t="s">
        <v>231</v>
      </c>
      <c r="CO341" t="s">
        <v>231</v>
      </c>
      <c r="CP341" t="s">
        <v>231</v>
      </c>
      <c r="CQ341" t="s">
        <v>231</v>
      </c>
      <c r="CR341" t="s">
        <v>231</v>
      </c>
      <c r="CS341" t="s">
        <v>231</v>
      </c>
      <c r="CT341" t="s">
        <v>3534</v>
      </c>
      <c r="CU341" t="s">
        <v>3535</v>
      </c>
      <c r="CV341" t="s">
        <v>3536</v>
      </c>
      <c r="CW341" t="s">
        <v>3589</v>
      </c>
      <c r="CX341" t="s">
        <v>223</v>
      </c>
      <c r="CY341" t="s">
        <v>3536</v>
      </c>
      <c r="CZ341" t="s">
        <v>3590</v>
      </c>
      <c r="DA341" t="s">
        <v>3591</v>
      </c>
      <c r="DB341" t="s">
        <v>3589</v>
      </c>
      <c r="DC341" t="s">
        <v>363</v>
      </c>
      <c r="DD341" t="s">
        <v>282</v>
      </c>
      <c r="DE341" t="s">
        <v>4023</v>
      </c>
    </row>
    <row r="342" spans="1:109" ht="11.25" customHeight="1">
      <c r="A342" s="1314" t="s">
        <v>231</v>
      </c>
      <c r="B342" t="s">
        <v>231</v>
      </c>
      <c r="C342" t="s">
        <v>231</v>
      </c>
      <c r="D342" t="s">
        <v>231</v>
      </c>
      <c r="E342" t="s">
        <v>231</v>
      </c>
      <c r="F342" t="s">
        <v>231</v>
      </c>
      <c r="G342" t="s">
        <v>231</v>
      </c>
      <c r="H342" t="s">
        <v>231</v>
      </c>
      <c r="I342" t="s">
        <v>3521</v>
      </c>
      <c r="J342" t="s">
        <v>231</v>
      </c>
      <c r="K342" t="s">
        <v>231</v>
      </c>
      <c r="L342" t="s">
        <v>231</v>
      </c>
      <c r="M342" t="s">
        <v>231</v>
      </c>
      <c r="N342" t="s">
        <v>231</v>
      </c>
      <c r="O342" t="s">
        <v>231</v>
      </c>
      <c r="P342" t="s">
        <v>231</v>
      </c>
      <c r="Q342" t="s">
        <v>231</v>
      </c>
      <c r="R342" t="s">
        <v>5020</v>
      </c>
      <c r="S342" t="s">
        <v>231</v>
      </c>
      <c r="T342" t="s">
        <v>231</v>
      </c>
      <c r="U342" t="s">
        <v>101</v>
      </c>
      <c r="V342" t="s">
        <v>231</v>
      </c>
      <c r="W342" t="s">
        <v>231</v>
      </c>
      <c r="X342" t="s">
        <v>3523</v>
      </c>
      <c r="Y342" t="s">
        <v>231</v>
      </c>
      <c r="Z342" t="s">
        <v>160</v>
      </c>
      <c r="AA342" t="s">
        <v>151</v>
      </c>
      <c r="AB342" t="s">
        <v>151</v>
      </c>
      <c r="AC342" t="s">
        <v>343</v>
      </c>
      <c r="AD342" t="s">
        <v>343</v>
      </c>
      <c r="AE342" t="s">
        <v>344</v>
      </c>
      <c r="AF342" t="s">
        <v>3561</v>
      </c>
      <c r="AG342" t="s">
        <v>3562</v>
      </c>
      <c r="AH342" t="s">
        <v>3609</v>
      </c>
      <c r="AI342" t="s">
        <v>3610</v>
      </c>
      <c r="AJ342" t="s">
        <v>4066</v>
      </c>
      <c r="AK342" t="s">
        <v>4067</v>
      </c>
      <c r="AL342" t="s">
        <v>3648</v>
      </c>
      <c r="AM342" t="s">
        <v>3531</v>
      </c>
      <c r="AN342" t="s">
        <v>3567</v>
      </c>
      <c r="AO342" t="s">
        <v>4068</v>
      </c>
      <c r="AP342" t="s">
        <v>231</v>
      </c>
      <c r="AQ342" t="s">
        <v>231</v>
      </c>
      <c r="AR342" t="s">
        <v>231</v>
      </c>
      <c r="AS342" t="s">
        <v>231</v>
      </c>
      <c r="AT342" t="s">
        <v>231</v>
      </c>
      <c r="AU342" t="s">
        <v>231</v>
      </c>
      <c r="AV342" t="s">
        <v>231</v>
      </c>
      <c r="AW342" t="s">
        <v>231</v>
      </c>
      <c r="AX342" t="s">
        <v>231</v>
      </c>
      <c r="AY342" t="s">
        <v>231</v>
      </c>
      <c r="AZ342" t="s">
        <v>231</v>
      </c>
      <c r="BA342" t="s">
        <v>231</v>
      </c>
      <c r="BB342" t="s">
        <v>231</v>
      </c>
      <c r="BC342" t="s">
        <v>231</v>
      </c>
      <c r="BD342" t="s">
        <v>231</v>
      </c>
      <c r="BE342" t="s">
        <v>231</v>
      </c>
      <c r="BF342" t="s">
        <v>231</v>
      </c>
      <c r="BG342" t="s">
        <v>231</v>
      </c>
      <c r="BH342" t="s">
        <v>231</v>
      </c>
      <c r="BI342" t="s">
        <v>231</v>
      </c>
      <c r="BJ342" t="s">
        <v>231</v>
      </c>
      <c r="BK342" t="s">
        <v>231</v>
      </c>
      <c r="BL342" t="s">
        <v>231</v>
      </c>
      <c r="BM342" t="s">
        <v>231</v>
      </c>
      <c r="BN342" t="s">
        <v>231</v>
      </c>
      <c r="BO342" t="s">
        <v>231</v>
      </c>
      <c r="BP342" t="s">
        <v>231</v>
      </c>
      <c r="BQ342" t="s">
        <v>231</v>
      </c>
      <c r="BR342" t="s">
        <v>231</v>
      </c>
      <c r="BS342" t="s">
        <v>231</v>
      </c>
      <c r="BT342" t="s">
        <v>231</v>
      </c>
      <c r="BU342" t="s">
        <v>231</v>
      </c>
      <c r="BV342" t="s">
        <v>231</v>
      </c>
      <c r="BW342" t="s">
        <v>231</v>
      </c>
      <c r="BX342" t="s">
        <v>231</v>
      </c>
      <c r="BY342" t="s">
        <v>231</v>
      </c>
      <c r="BZ342" t="s">
        <v>231</v>
      </c>
      <c r="CA342" t="s">
        <v>231</v>
      </c>
      <c r="CB342" t="s">
        <v>231</v>
      </c>
      <c r="CC342" t="s">
        <v>231</v>
      </c>
      <c r="CD342" t="s">
        <v>231</v>
      </c>
      <c r="CE342" t="s">
        <v>231</v>
      </c>
      <c r="CF342" t="s">
        <v>231</v>
      </c>
      <c r="CG342" t="s">
        <v>231</v>
      </c>
      <c r="CH342" t="s">
        <v>231</v>
      </c>
      <c r="CI342" t="s">
        <v>231</v>
      </c>
      <c r="CJ342" t="s">
        <v>231</v>
      </c>
      <c r="CK342" t="s">
        <v>231</v>
      </c>
      <c r="CL342" t="s">
        <v>231</v>
      </c>
      <c r="CM342" t="s">
        <v>231</v>
      </c>
      <c r="CN342" t="s">
        <v>231</v>
      </c>
      <c r="CO342" t="s">
        <v>231</v>
      </c>
      <c r="CP342" t="s">
        <v>231</v>
      </c>
      <c r="CQ342" t="s">
        <v>231</v>
      </c>
      <c r="CR342" t="s">
        <v>231</v>
      </c>
      <c r="CS342" t="s">
        <v>231</v>
      </c>
      <c r="CT342" t="s">
        <v>3534</v>
      </c>
      <c r="CU342" t="s">
        <v>3535</v>
      </c>
      <c r="CV342" t="s">
        <v>3536</v>
      </c>
      <c r="CW342" t="s">
        <v>3569</v>
      </c>
      <c r="CX342" t="s">
        <v>3570</v>
      </c>
      <c r="CY342" t="s">
        <v>3536</v>
      </c>
      <c r="CZ342" t="s">
        <v>224</v>
      </c>
      <c r="DA342" t="s">
        <v>3571</v>
      </c>
      <c r="DB342" t="s">
        <v>3569</v>
      </c>
      <c r="DC342" t="s">
        <v>363</v>
      </c>
      <c r="DD342" t="s">
        <v>282</v>
      </c>
      <c r="DE342" t="s">
        <v>3614</v>
      </c>
    </row>
    <row r="343" spans="1:109" ht="11.25" customHeight="1">
      <c r="A343" s="1314" t="s">
        <v>231</v>
      </c>
      <c r="B343" t="s">
        <v>231</v>
      </c>
      <c r="C343" t="s">
        <v>231</v>
      </c>
      <c r="D343" t="s">
        <v>231</v>
      </c>
      <c r="E343" t="s">
        <v>231</v>
      </c>
      <c r="F343" t="s">
        <v>231</v>
      </c>
      <c r="G343" t="s">
        <v>231</v>
      </c>
      <c r="H343" t="s">
        <v>231</v>
      </c>
      <c r="I343" t="s">
        <v>3521</v>
      </c>
      <c r="J343" t="s">
        <v>231</v>
      </c>
      <c r="K343" t="s">
        <v>231</v>
      </c>
      <c r="L343" t="s">
        <v>231</v>
      </c>
      <c r="M343" t="s">
        <v>231</v>
      </c>
      <c r="N343" t="s">
        <v>231</v>
      </c>
      <c r="O343" t="s">
        <v>231</v>
      </c>
      <c r="P343" t="s">
        <v>231</v>
      </c>
      <c r="Q343" t="s">
        <v>231</v>
      </c>
      <c r="R343" t="s">
        <v>4024</v>
      </c>
      <c r="S343" t="s">
        <v>231</v>
      </c>
      <c r="T343" t="s">
        <v>231</v>
      </c>
      <c r="U343" t="s">
        <v>101</v>
      </c>
      <c r="V343" t="s">
        <v>231</v>
      </c>
      <c r="W343" t="s">
        <v>231</v>
      </c>
      <c r="X343" t="s">
        <v>3523</v>
      </c>
      <c r="Y343" t="s">
        <v>231</v>
      </c>
      <c r="Z343" t="s">
        <v>160</v>
      </c>
      <c r="AA343" t="s">
        <v>151</v>
      </c>
      <c r="AB343" t="s">
        <v>151</v>
      </c>
      <c r="AC343" t="s">
        <v>2287</v>
      </c>
      <c r="AD343" t="s">
        <v>2287</v>
      </c>
      <c r="AE343" t="s">
        <v>2288</v>
      </c>
      <c r="AF343" t="s">
        <v>4025</v>
      </c>
      <c r="AG343" t="s">
        <v>4026</v>
      </c>
      <c r="AH343" t="s">
        <v>4022</v>
      </c>
      <c r="AI343" t="s">
        <v>281</v>
      </c>
      <c r="AJ343" t="s">
        <v>3528</v>
      </c>
      <c r="AK343" t="s">
        <v>3528</v>
      </c>
      <c r="AL343" t="s">
        <v>3648</v>
      </c>
      <c r="AM343" t="s">
        <v>3531</v>
      </c>
      <c r="AN343" t="s">
        <v>3549</v>
      </c>
      <c r="AO343" t="s">
        <v>4027</v>
      </c>
      <c r="AP343" t="s">
        <v>231</v>
      </c>
      <c r="AQ343" t="s">
        <v>231</v>
      </c>
      <c r="AR343" t="s">
        <v>231</v>
      </c>
      <c r="AS343" t="s">
        <v>231</v>
      </c>
      <c r="AT343" t="s">
        <v>231</v>
      </c>
      <c r="AU343" t="s">
        <v>231</v>
      </c>
      <c r="AV343" t="s">
        <v>231</v>
      </c>
      <c r="AW343" t="s">
        <v>231</v>
      </c>
      <c r="AX343" t="s">
        <v>231</v>
      </c>
      <c r="AY343" t="s">
        <v>231</v>
      </c>
      <c r="AZ343" t="s">
        <v>231</v>
      </c>
      <c r="BA343" t="s">
        <v>231</v>
      </c>
      <c r="BB343" t="s">
        <v>231</v>
      </c>
      <c r="BC343" t="s">
        <v>231</v>
      </c>
      <c r="BD343" t="s">
        <v>231</v>
      </c>
      <c r="BE343" t="s">
        <v>231</v>
      </c>
      <c r="BF343" t="s">
        <v>231</v>
      </c>
      <c r="BG343" t="s">
        <v>231</v>
      </c>
      <c r="BH343" t="s">
        <v>231</v>
      </c>
      <c r="BI343" t="s">
        <v>231</v>
      </c>
      <c r="BJ343" t="s">
        <v>231</v>
      </c>
      <c r="BK343" t="s">
        <v>231</v>
      </c>
      <c r="BL343" t="s">
        <v>231</v>
      </c>
      <c r="BM343" t="s">
        <v>231</v>
      </c>
      <c r="BN343" t="s">
        <v>231</v>
      </c>
      <c r="BO343" t="s">
        <v>231</v>
      </c>
      <c r="BP343" t="s">
        <v>231</v>
      </c>
      <c r="BQ343" t="s">
        <v>231</v>
      </c>
      <c r="BR343" t="s">
        <v>231</v>
      </c>
      <c r="BS343" t="s">
        <v>231</v>
      </c>
      <c r="BT343" t="s">
        <v>231</v>
      </c>
      <c r="BU343" t="s">
        <v>231</v>
      </c>
      <c r="BV343" t="s">
        <v>231</v>
      </c>
      <c r="BW343" t="s">
        <v>231</v>
      </c>
      <c r="BX343" t="s">
        <v>231</v>
      </c>
      <c r="BY343" t="s">
        <v>231</v>
      </c>
      <c r="BZ343" t="s">
        <v>231</v>
      </c>
      <c r="CA343" t="s">
        <v>231</v>
      </c>
      <c r="CB343" t="s">
        <v>231</v>
      </c>
      <c r="CC343" t="s">
        <v>231</v>
      </c>
      <c r="CD343" t="s">
        <v>231</v>
      </c>
      <c r="CE343" t="s">
        <v>231</v>
      </c>
      <c r="CF343" t="s">
        <v>231</v>
      </c>
      <c r="CG343" t="s">
        <v>231</v>
      </c>
      <c r="CH343" t="s">
        <v>231</v>
      </c>
      <c r="CI343" t="s">
        <v>231</v>
      </c>
      <c r="CJ343" t="s">
        <v>231</v>
      </c>
      <c r="CK343" t="s">
        <v>231</v>
      </c>
      <c r="CL343" t="s">
        <v>231</v>
      </c>
      <c r="CM343" t="s">
        <v>231</v>
      </c>
      <c r="CN343" t="s">
        <v>231</v>
      </c>
      <c r="CO343" t="s">
        <v>231</v>
      </c>
      <c r="CP343" t="s">
        <v>231</v>
      </c>
      <c r="CQ343" t="s">
        <v>231</v>
      </c>
      <c r="CR343" t="s">
        <v>231</v>
      </c>
      <c r="CS343" t="s">
        <v>231</v>
      </c>
      <c r="CT343" t="s">
        <v>3534</v>
      </c>
      <c r="CU343" t="s">
        <v>3535</v>
      </c>
      <c r="CV343" t="s">
        <v>3536</v>
      </c>
      <c r="CW343" t="s">
        <v>3623</v>
      </c>
      <c r="CX343" t="s">
        <v>223</v>
      </c>
      <c r="CY343" t="s">
        <v>3536</v>
      </c>
      <c r="CZ343" t="s">
        <v>3624</v>
      </c>
      <c r="DA343" t="s">
        <v>3625</v>
      </c>
      <c r="DB343" t="s">
        <v>3623</v>
      </c>
      <c r="DC343" t="s">
        <v>363</v>
      </c>
      <c r="DD343" t="s">
        <v>282</v>
      </c>
      <c r="DE343" t="s">
        <v>4028</v>
      </c>
    </row>
    <row r="344" spans="1:109" ht="11.25" customHeight="1">
      <c r="A344" s="1314" t="s">
        <v>231</v>
      </c>
      <c r="B344" t="s">
        <v>231</v>
      </c>
      <c r="C344" t="s">
        <v>231</v>
      </c>
      <c r="D344" t="s">
        <v>231</v>
      </c>
      <c r="E344" t="s">
        <v>231</v>
      </c>
      <c r="F344" t="s">
        <v>231</v>
      </c>
      <c r="G344" t="s">
        <v>231</v>
      </c>
      <c r="H344" t="s">
        <v>231</v>
      </c>
      <c r="I344" t="s">
        <v>3521</v>
      </c>
      <c r="J344" t="s">
        <v>231</v>
      </c>
      <c r="K344" t="s">
        <v>231</v>
      </c>
      <c r="L344" t="s">
        <v>231</v>
      </c>
      <c r="M344" t="s">
        <v>231</v>
      </c>
      <c r="N344" t="s">
        <v>231</v>
      </c>
      <c r="O344" t="s">
        <v>231</v>
      </c>
      <c r="P344" t="s">
        <v>231</v>
      </c>
      <c r="Q344" t="s">
        <v>231</v>
      </c>
      <c r="R344" t="s">
        <v>4215</v>
      </c>
      <c r="S344" t="s">
        <v>231</v>
      </c>
      <c r="T344" t="s">
        <v>231</v>
      </c>
      <c r="U344" t="s">
        <v>101</v>
      </c>
      <c r="V344" t="s">
        <v>231</v>
      </c>
      <c r="W344" t="s">
        <v>231</v>
      </c>
      <c r="X344" t="s">
        <v>3955</v>
      </c>
      <c r="Y344" t="s">
        <v>231</v>
      </c>
      <c r="Z344" t="s">
        <v>151</v>
      </c>
      <c r="AA344" t="s">
        <v>160</v>
      </c>
      <c r="AB344" t="s">
        <v>151</v>
      </c>
      <c r="AC344" t="s">
        <v>2287</v>
      </c>
      <c r="AD344" t="s">
        <v>2287</v>
      </c>
      <c r="AE344" t="s">
        <v>2288</v>
      </c>
      <c r="AF344" t="s">
        <v>4025</v>
      </c>
      <c r="AG344" t="s">
        <v>4026</v>
      </c>
      <c r="AH344" t="s">
        <v>4022</v>
      </c>
      <c r="AI344" t="s">
        <v>281</v>
      </c>
      <c r="AJ344" t="s">
        <v>231</v>
      </c>
      <c r="AK344" t="s">
        <v>231</v>
      </c>
      <c r="AL344" t="s">
        <v>231</v>
      </c>
      <c r="AM344" t="s">
        <v>231</v>
      </c>
      <c r="AN344" t="s">
        <v>231</v>
      </c>
      <c r="AO344" t="s">
        <v>231</v>
      </c>
      <c r="AP344" t="s">
        <v>3528</v>
      </c>
      <c r="AQ344" t="s">
        <v>3528</v>
      </c>
      <c r="AR344" t="s">
        <v>111</v>
      </c>
      <c r="AS344" t="s">
        <v>3632</v>
      </c>
      <c r="AT344" t="s">
        <v>5021</v>
      </c>
      <c r="AU344" t="s">
        <v>231</v>
      </c>
      <c r="AV344" t="s">
        <v>4215</v>
      </c>
      <c r="AW344" t="s">
        <v>2287</v>
      </c>
      <c r="AX344" t="s">
        <v>2287</v>
      </c>
      <c r="AY344" t="s">
        <v>3842</v>
      </c>
      <c r="AZ344" t="s">
        <v>4025</v>
      </c>
      <c r="BA344" t="s">
        <v>4216</v>
      </c>
      <c r="BB344" t="s">
        <v>3618</v>
      </c>
      <c r="BC344" t="s">
        <v>3618</v>
      </c>
      <c r="BD344" t="s">
        <v>3549</v>
      </c>
      <c r="BE344" t="s">
        <v>231</v>
      </c>
      <c r="BF344" t="s">
        <v>231</v>
      </c>
      <c r="BG344" t="s">
        <v>231</v>
      </c>
      <c r="BH344" t="s">
        <v>231</v>
      </c>
      <c r="BI344" t="s">
        <v>231</v>
      </c>
      <c r="BJ344" t="s">
        <v>231</v>
      </c>
      <c r="BK344" t="s">
        <v>231</v>
      </c>
      <c r="BL344" t="s">
        <v>231</v>
      </c>
      <c r="BM344" t="s">
        <v>231</v>
      </c>
      <c r="BN344" t="s">
        <v>231</v>
      </c>
      <c r="BO344" t="s">
        <v>231</v>
      </c>
      <c r="BP344" t="s">
        <v>231</v>
      </c>
      <c r="BQ344" t="s">
        <v>231</v>
      </c>
      <c r="BR344" t="s">
        <v>231</v>
      </c>
      <c r="BS344" t="s">
        <v>231</v>
      </c>
      <c r="BT344" t="s">
        <v>231</v>
      </c>
      <c r="BU344" t="s">
        <v>231</v>
      </c>
      <c r="BV344" t="s">
        <v>231</v>
      </c>
      <c r="BW344" t="s">
        <v>231</v>
      </c>
      <c r="BX344" t="s">
        <v>231</v>
      </c>
      <c r="BY344" t="s">
        <v>231</v>
      </c>
      <c r="BZ344" t="s">
        <v>231</v>
      </c>
      <c r="CA344" t="s">
        <v>231</v>
      </c>
      <c r="CB344" t="s">
        <v>231</v>
      </c>
      <c r="CC344" t="s">
        <v>231</v>
      </c>
      <c r="CD344" t="s">
        <v>231</v>
      </c>
      <c r="CE344" t="s">
        <v>231</v>
      </c>
      <c r="CF344" t="s">
        <v>231</v>
      </c>
      <c r="CG344" t="s">
        <v>231</v>
      </c>
      <c r="CH344" t="s">
        <v>231</v>
      </c>
      <c r="CI344" t="s">
        <v>231</v>
      </c>
      <c r="CJ344" t="s">
        <v>231</v>
      </c>
      <c r="CK344" t="s">
        <v>231</v>
      </c>
      <c r="CL344" t="s">
        <v>231</v>
      </c>
      <c r="CM344" t="s">
        <v>231</v>
      </c>
      <c r="CN344" t="s">
        <v>231</v>
      </c>
      <c r="CO344" t="s">
        <v>231</v>
      </c>
      <c r="CP344" t="s">
        <v>231</v>
      </c>
      <c r="CQ344" t="s">
        <v>231</v>
      </c>
      <c r="CR344" t="s">
        <v>231</v>
      </c>
      <c r="CS344" t="s">
        <v>231</v>
      </c>
      <c r="CT344" t="s">
        <v>3534</v>
      </c>
      <c r="CU344" t="s">
        <v>3535</v>
      </c>
      <c r="CV344" t="s">
        <v>3536</v>
      </c>
      <c r="CW344" t="s">
        <v>3623</v>
      </c>
      <c r="CX344" t="s">
        <v>223</v>
      </c>
      <c r="CY344" t="s">
        <v>3536</v>
      </c>
      <c r="CZ344" t="s">
        <v>3624</v>
      </c>
      <c r="DA344" t="s">
        <v>3625</v>
      </c>
      <c r="DB344" t="s">
        <v>3623</v>
      </c>
      <c r="DC344" t="s">
        <v>363</v>
      </c>
      <c r="DD344" t="s">
        <v>282</v>
      </c>
      <c r="DE344" t="s">
        <v>4028</v>
      </c>
    </row>
    <row r="345" spans="1:109" ht="11.25" customHeight="1">
      <c r="A345" s="1314" t="s">
        <v>231</v>
      </c>
      <c r="B345" t="s">
        <v>231</v>
      </c>
      <c r="C345" t="s">
        <v>231</v>
      </c>
      <c r="D345" t="s">
        <v>231</v>
      </c>
      <c r="E345" t="s">
        <v>231</v>
      </c>
      <c r="F345" t="s">
        <v>231</v>
      </c>
      <c r="G345" t="s">
        <v>231</v>
      </c>
      <c r="H345" t="s">
        <v>231</v>
      </c>
      <c r="I345" t="s">
        <v>3521</v>
      </c>
      <c r="J345" t="s">
        <v>231</v>
      </c>
      <c r="K345" t="s">
        <v>231</v>
      </c>
      <c r="L345" t="s">
        <v>231</v>
      </c>
      <c r="M345" t="s">
        <v>231</v>
      </c>
      <c r="N345" t="s">
        <v>231</v>
      </c>
      <c r="O345" t="s">
        <v>231</v>
      </c>
      <c r="P345" t="s">
        <v>231</v>
      </c>
      <c r="Q345" t="s">
        <v>231</v>
      </c>
      <c r="R345" t="s">
        <v>5022</v>
      </c>
      <c r="S345" t="s">
        <v>231</v>
      </c>
      <c r="T345" t="s">
        <v>231</v>
      </c>
      <c r="U345" t="s">
        <v>101</v>
      </c>
      <c r="V345" t="s">
        <v>231</v>
      </c>
      <c r="W345" t="s">
        <v>231</v>
      </c>
      <c r="X345" t="s">
        <v>3523</v>
      </c>
      <c r="Y345" t="s">
        <v>231</v>
      </c>
      <c r="Z345" t="s">
        <v>160</v>
      </c>
      <c r="AA345" t="s">
        <v>151</v>
      </c>
      <c r="AB345" t="s">
        <v>151</v>
      </c>
      <c r="AC345" t="s">
        <v>343</v>
      </c>
      <c r="AD345" t="s">
        <v>343</v>
      </c>
      <c r="AE345" t="s">
        <v>344</v>
      </c>
      <c r="AF345" t="s">
        <v>3561</v>
      </c>
      <c r="AG345" t="s">
        <v>3562</v>
      </c>
      <c r="AH345" t="s">
        <v>4218</v>
      </c>
      <c r="AI345" t="s">
        <v>4219</v>
      </c>
      <c r="AJ345" t="s">
        <v>3952</v>
      </c>
      <c r="AK345" t="s">
        <v>4220</v>
      </c>
      <c r="AL345" t="s">
        <v>3530</v>
      </c>
      <c r="AM345" t="s">
        <v>3531</v>
      </c>
      <c r="AN345" t="s">
        <v>4221</v>
      </c>
      <c r="AO345" t="s">
        <v>4222</v>
      </c>
      <c r="AP345" t="s">
        <v>231</v>
      </c>
      <c r="AQ345" t="s">
        <v>231</v>
      </c>
      <c r="AR345" t="s">
        <v>231</v>
      </c>
      <c r="AS345" t="s">
        <v>231</v>
      </c>
      <c r="AT345" t="s">
        <v>231</v>
      </c>
      <c r="AU345" t="s">
        <v>231</v>
      </c>
      <c r="AV345" t="s">
        <v>231</v>
      </c>
      <c r="AW345" t="s">
        <v>231</v>
      </c>
      <c r="AX345" t="s">
        <v>231</v>
      </c>
      <c r="AY345" t="s">
        <v>231</v>
      </c>
      <c r="AZ345" t="s">
        <v>231</v>
      </c>
      <c r="BA345" t="s">
        <v>231</v>
      </c>
      <c r="BB345" t="s">
        <v>231</v>
      </c>
      <c r="BC345" t="s">
        <v>231</v>
      </c>
      <c r="BD345" t="s">
        <v>231</v>
      </c>
      <c r="BE345" t="s">
        <v>231</v>
      </c>
      <c r="BF345" t="s">
        <v>231</v>
      </c>
      <c r="BG345" t="s">
        <v>231</v>
      </c>
      <c r="BH345" t="s">
        <v>231</v>
      </c>
      <c r="BI345" t="s">
        <v>231</v>
      </c>
      <c r="BJ345" t="s">
        <v>231</v>
      </c>
      <c r="BK345" t="s">
        <v>231</v>
      </c>
      <c r="BL345" t="s">
        <v>231</v>
      </c>
      <c r="BM345" t="s">
        <v>231</v>
      </c>
      <c r="BN345" t="s">
        <v>231</v>
      </c>
      <c r="BO345" t="s">
        <v>231</v>
      </c>
      <c r="BP345" t="s">
        <v>231</v>
      </c>
      <c r="BQ345" t="s">
        <v>231</v>
      </c>
      <c r="BR345" t="s">
        <v>231</v>
      </c>
      <c r="BS345" t="s">
        <v>231</v>
      </c>
      <c r="BT345" t="s">
        <v>231</v>
      </c>
      <c r="BU345" t="s">
        <v>231</v>
      </c>
      <c r="BV345" t="s">
        <v>231</v>
      </c>
      <c r="BW345" t="s">
        <v>231</v>
      </c>
      <c r="BX345" t="s">
        <v>231</v>
      </c>
      <c r="BY345" t="s">
        <v>231</v>
      </c>
      <c r="BZ345" t="s">
        <v>231</v>
      </c>
      <c r="CA345" t="s">
        <v>231</v>
      </c>
      <c r="CB345" t="s">
        <v>231</v>
      </c>
      <c r="CC345" t="s">
        <v>231</v>
      </c>
      <c r="CD345" t="s">
        <v>231</v>
      </c>
      <c r="CE345" t="s">
        <v>231</v>
      </c>
      <c r="CF345" t="s">
        <v>231</v>
      </c>
      <c r="CG345" t="s">
        <v>231</v>
      </c>
      <c r="CH345" t="s">
        <v>231</v>
      </c>
      <c r="CI345" t="s">
        <v>231</v>
      </c>
      <c r="CJ345" t="s">
        <v>231</v>
      </c>
      <c r="CK345" t="s">
        <v>231</v>
      </c>
      <c r="CL345" t="s">
        <v>231</v>
      </c>
      <c r="CM345" t="s">
        <v>231</v>
      </c>
      <c r="CN345" t="s">
        <v>231</v>
      </c>
      <c r="CO345" t="s">
        <v>231</v>
      </c>
      <c r="CP345" t="s">
        <v>231</v>
      </c>
      <c r="CQ345" t="s">
        <v>231</v>
      </c>
      <c r="CR345" t="s">
        <v>231</v>
      </c>
      <c r="CS345" t="s">
        <v>231</v>
      </c>
      <c r="CT345" t="s">
        <v>3534</v>
      </c>
      <c r="CU345" t="s">
        <v>3535</v>
      </c>
      <c r="CV345" t="s">
        <v>3536</v>
      </c>
      <c r="CW345" t="s">
        <v>3569</v>
      </c>
      <c r="CX345" t="s">
        <v>3570</v>
      </c>
      <c r="CY345" t="s">
        <v>3536</v>
      </c>
      <c r="CZ345" t="s">
        <v>224</v>
      </c>
      <c r="DA345" t="s">
        <v>3571</v>
      </c>
      <c r="DB345" t="s">
        <v>3569</v>
      </c>
      <c r="DC345" t="s">
        <v>363</v>
      </c>
      <c r="DD345" t="s">
        <v>282</v>
      </c>
      <c r="DE345" t="s">
        <v>4223</v>
      </c>
    </row>
    <row r="346" spans="1:109" ht="11.25" customHeight="1">
      <c r="A346" s="1314" t="s">
        <v>231</v>
      </c>
      <c r="B346" t="s">
        <v>231</v>
      </c>
      <c r="C346" t="s">
        <v>231</v>
      </c>
      <c r="D346" t="s">
        <v>231</v>
      </c>
      <c r="E346" t="s">
        <v>231</v>
      </c>
      <c r="F346" t="s">
        <v>231</v>
      </c>
      <c r="G346" t="s">
        <v>231</v>
      </c>
      <c r="H346" t="s">
        <v>231</v>
      </c>
      <c r="I346" t="s">
        <v>3521</v>
      </c>
      <c r="J346" t="s">
        <v>231</v>
      </c>
      <c r="K346" t="s">
        <v>231</v>
      </c>
      <c r="L346" t="s">
        <v>231</v>
      </c>
      <c r="M346" t="s">
        <v>231</v>
      </c>
      <c r="N346" t="s">
        <v>231</v>
      </c>
      <c r="O346" t="s">
        <v>231</v>
      </c>
      <c r="P346" t="s">
        <v>231</v>
      </c>
      <c r="Q346" t="s">
        <v>231</v>
      </c>
      <c r="R346" t="s">
        <v>4041</v>
      </c>
      <c r="S346" t="s">
        <v>231</v>
      </c>
      <c r="T346" t="s">
        <v>231</v>
      </c>
      <c r="U346" t="s">
        <v>101</v>
      </c>
      <c r="V346" t="s">
        <v>231</v>
      </c>
      <c r="W346" t="s">
        <v>231</v>
      </c>
      <c r="X346" t="s">
        <v>3628</v>
      </c>
      <c r="Y346" t="s">
        <v>231</v>
      </c>
      <c r="Z346" t="s">
        <v>151</v>
      </c>
      <c r="AA346" t="s">
        <v>151</v>
      </c>
      <c r="AB346" t="s">
        <v>160</v>
      </c>
      <c r="AC346" t="s">
        <v>2287</v>
      </c>
      <c r="AD346" t="s">
        <v>2287</v>
      </c>
      <c r="AE346" t="s">
        <v>2288</v>
      </c>
      <c r="AF346" t="s">
        <v>4029</v>
      </c>
      <c r="AG346" t="s">
        <v>4030</v>
      </c>
      <c r="AH346" t="s">
        <v>3618</v>
      </c>
      <c r="AI346" t="s">
        <v>3618</v>
      </c>
      <c r="AJ346" t="s">
        <v>231</v>
      </c>
      <c r="AK346" t="s">
        <v>231</v>
      </c>
      <c r="AL346" t="s">
        <v>231</v>
      </c>
      <c r="AM346" t="s">
        <v>231</v>
      </c>
      <c r="AN346" t="s">
        <v>231</v>
      </c>
      <c r="AO346" t="s">
        <v>231</v>
      </c>
      <c r="AP346" t="s">
        <v>231</v>
      </c>
      <c r="AQ346" t="s">
        <v>231</v>
      </c>
      <c r="AR346" t="s">
        <v>231</v>
      </c>
      <c r="AS346" t="s">
        <v>231</v>
      </c>
      <c r="AT346" t="s">
        <v>231</v>
      </c>
      <c r="AU346" t="s">
        <v>231</v>
      </c>
      <c r="AV346" t="s">
        <v>231</v>
      </c>
      <c r="AW346" t="s">
        <v>231</v>
      </c>
      <c r="AX346" t="s">
        <v>231</v>
      </c>
      <c r="AY346" t="s">
        <v>231</v>
      </c>
      <c r="AZ346" t="s">
        <v>231</v>
      </c>
      <c r="BA346" t="s">
        <v>231</v>
      </c>
      <c r="BB346" t="s">
        <v>231</v>
      </c>
      <c r="BC346" t="s">
        <v>231</v>
      </c>
      <c r="BD346" t="s">
        <v>231</v>
      </c>
      <c r="BE346" t="s">
        <v>4042</v>
      </c>
      <c r="BF346" t="s">
        <v>4036</v>
      </c>
      <c r="BG346" t="s">
        <v>111</v>
      </c>
      <c r="BH346" t="s">
        <v>3632</v>
      </c>
      <c r="BI346" t="s">
        <v>122</v>
      </c>
      <c r="BJ346" t="s">
        <v>231</v>
      </c>
      <c r="BK346" t="s">
        <v>3651</v>
      </c>
      <c r="BL346" t="s">
        <v>2287</v>
      </c>
      <c r="BM346" t="s">
        <v>2287</v>
      </c>
      <c r="BN346" t="s">
        <v>3842</v>
      </c>
      <c r="BO346" t="s">
        <v>4029</v>
      </c>
      <c r="BP346" t="s">
        <v>4043</v>
      </c>
      <c r="BQ346" t="s">
        <v>3618</v>
      </c>
      <c r="BR346" t="s">
        <v>3618</v>
      </c>
      <c r="BS346" t="s">
        <v>231</v>
      </c>
      <c r="BT346" t="s">
        <v>3694</v>
      </c>
      <c r="BU346" t="s">
        <v>4044</v>
      </c>
      <c r="BV346" t="s">
        <v>4044</v>
      </c>
      <c r="BW346" t="s">
        <v>3641</v>
      </c>
      <c r="BX346" t="s">
        <v>3641</v>
      </c>
      <c r="BY346" t="s">
        <v>3641</v>
      </c>
      <c r="BZ346" t="s">
        <v>3641</v>
      </c>
      <c r="CA346" t="s">
        <v>3641</v>
      </c>
      <c r="CB346" t="s">
        <v>231</v>
      </c>
      <c r="CC346" t="s">
        <v>231</v>
      </c>
      <c r="CD346" t="s">
        <v>231</v>
      </c>
      <c r="CE346" t="s">
        <v>231</v>
      </c>
      <c r="CF346" t="s">
        <v>231</v>
      </c>
      <c r="CG346" t="s">
        <v>3641</v>
      </c>
      <c r="CH346" t="s">
        <v>231</v>
      </c>
      <c r="CI346" t="s">
        <v>231</v>
      </c>
      <c r="CJ346" t="s">
        <v>231</v>
      </c>
      <c r="CK346" t="s">
        <v>231</v>
      </c>
      <c r="CL346" t="s">
        <v>231</v>
      </c>
      <c r="CM346" t="s">
        <v>4044</v>
      </c>
      <c r="CN346" t="s">
        <v>4044</v>
      </c>
      <c r="CO346" t="s">
        <v>231</v>
      </c>
      <c r="CP346" t="s">
        <v>231</v>
      </c>
      <c r="CQ346" t="s">
        <v>231</v>
      </c>
      <c r="CR346" t="s">
        <v>231</v>
      </c>
      <c r="CS346" t="s">
        <v>3595</v>
      </c>
      <c r="CT346" t="s">
        <v>3534</v>
      </c>
      <c r="CU346" t="s">
        <v>3535</v>
      </c>
      <c r="CV346" t="s">
        <v>3536</v>
      </c>
      <c r="CW346" t="s">
        <v>3623</v>
      </c>
      <c r="CX346" t="s">
        <v>223</v>
      </c>
      <c r="CY346" t="s">
        <v>3536</v>
      </c>
      <c r="CZ346" t="s">
        <v>3624</v>
      </c>
      <c r="DA346" t="s">
        <v>3625</v>
      </c>
      <c r="DB346" t="s">
        <v>3623</v>
      </c>
      <c r="DC346" t="s">
        <v>363</v>
      </c>
      <c r="DD346" t="s">
        <v>282</v>
      </c>
      <c r="DE346" t="s">
        <v>4045</v>
      </c>
    </row>
    <row r="347" spans="1:109" ht="11.25" customHeight="1">
      <c r="A347" s="1314" t="s">
        <v>231</v>
      </c>
      <c r="B347" t="s">
        <v>231</v>
      </c>
      <c r="C347" t="s">
        <v>231</v>
      </c>
      <c r="D347" t="s">
        <v>231</v>
      </c>
      <c r="E347" t="s">
        <v>231</v>
      </c>
      <c r="F347" t="s">
        <v>231</v>
      </c>
      <c r="G347" t="s">
        <v>231</v>
      </c>
      <c r="H347" t="s">
        <v>231</v>
      </c>
      <c r="I347" t="s">
        <v>3521</v>
      </c>
      <c r="J347" t="s">
        <v>231</v>
      </c>
      <c r="K347" t="s">
        <v>231</v>
      </c>
      <c r="L347" t="s">
        <v>231</v>
      </c>
      <c r="M347" t="s">
        <v>231</v>
      </c>
      <c r="N347" t="s">
        <v>231</v>
      </c>
      <c r="O347" t="s">
        <v>231</v>
      </c>
      <c r="P347" t="s">
        <v>231</v>
      </c>
      <c r="Q347" t="s">
        <v>231</v>
      </c>
      <c r="R347" t="s">
        <v>5023</v>
      </c>
      <c r="S347" t="s">
        <v>231</v>
      </c>
      <c r="T347" t="s">
        <v>231</v>
      </c>
      <c r="U347" t="s">
        <v>101</v>
      </c>
      <c r="V347" t="s">
        <v>231</v>
      </c>
      <c r="W347" t="s">
        <v>231</v>
      </c>
      <c r="X347" t="s">
        <v>3523</v>
      </c>
      <c r="Y347" t="s">
        <v>231</v>
      </c>
      <c r="Z347" t="s">
        <v>160</v>
      </c>
      <c r="AA347" t="s">
        <v>151</v>
      </c>
      <c r="AB347" t="s">
        <v>151</v>
      </c>
      <c r="AC347" t="s">
        <v>343</v>
      </c>
      <c r="AD347" t="s">
        <v>343</v>
      </c>
      <c r="AE347" t="s">
        <v>344</v>
      </c>
      <c r="AF347" t="s">
        <v>3561</v>
      </c>
      <c r="AG347" t="s">
        <v>3562</v>
      </c>
      <c r="AH347" t="s">
        <v>3629</v>
      </c>
      <c r="AI347" t="s">
        <v>3575</v>
      </c>
      <c r="AJ347" t="s">
        <v>3630</v>
      </c>
      <c r="AK347" t="s">
        <v>3631</v>
      </c>
      <c r="AL347" t="s">
        <v>3613</v>
      </c>
      <c r="AM347" t="s">
        <v>3531</v>
      </c>
      <c r="AN347" t="s">
        <v>4039</v>
      </c>
      <c r="AO347" t="s">
        <v>4040</v>
      </c>
      <c r="AP347" t="s">
        <v>231</v>
      </c>
      <c r="AQ347" t="s">
        <v>231</v>
      </c>
      <c r="AR347" t="s">
        <v>231</v>
      </c>
      <c r="AS347" t="s">
        <v>231</v>
      </c>
      <c r="AT347" t="s">
        <v>231</v>
      </c>
      <c r="AU347" t="s">
        <v>231</v>
      </c>
      <c r="AV347" t="s">
        <v>231</v>
      </c>
      <c r="AW347" t="s">
        <v>231</v>
      </c>
      <c r="AX347" t="s">
        <v>231</v>
      </c>
      <c r="AY347" t="s">
        <v>231</v>
      </c>
      <c r="AZ347" t="s">
        <v>231</v>
      </c>
      <c r="BA347" t="s">
        <v>231</v>
      </c>
      <c r="BB347" t="s">
        <v>231</v>
      </c>
      <c r="BC347" t="s">
        <v>231</v>
      </c>
      <c r="BD347" t="s">
        <v>231</v>
      </c>
      <c r="BE347" t="s">
        <v>231</v>
      </c>
      <c r="BF347" t="s">
        <v>231</v>
      </c>
      <c r="BG347" t="s">
        <v>231</v>
      </c>
      <c r="BH347" t="s">
        <v>231</v>
      </c>
      <c r="BI347" t="s">
        <v>231</v>
      </c>
      <c r="BJ347" t="s">
        <v>231</v>
      </c>
      <c r="BK347" t="s">
        <v>231</v>
      </c>
      <c r="BL347" t="s">
        <v>231</v>
      </c>
      <c r="BM347" t="s">
        <v>231</v>
      </c>
      <c r="BN347" t="s">
        <v>231</v>
      </c>
      <c r="BO347" t="s">
        <v>231</v>
      </c>
      <c r="BP347" t="s">
        <v>231</v>
      </c>
      <c r="BQ347" t="s">
        <v>231</v>
      </c>
      <c r="BR347" t="s">
        <v>231</v>
      </c>
      <c r="BS347" t="s">
        <v>231</v>
      </c>
      <c r="BT347" t="s">
        <v>231</v>
      </c>
      <c r="BU347" t="s">
        <v>231</v>
      </c>
      <c r="BV347" t="s">
        <v>231</v>
      </c>
      <c r="BW347" t="s">
        <v>231</v>
      </c>
      <c r="BX347" t="s">
        <v>231</v>
      </c>
      <c r="BY347" t="s">
        <v>231</v>
      </c>
      <c r="BZ347" t="s">
        <v>231</v>
      </c>
      <c r="CA347" t="s">
        <v>231</v>
      </c>
      <c r="CB347" t="s">
        <v>231</v>
      </c>
      <c r="CC347" t="s">
        <v>231</v>
      </c>
      <c r="CD347" t="s">
        <v>231</v>
      </c>
      <c r="CE347" t="s">
        <v>231</v>
      </c>
      <c r="CF347" t="s">
        <v>231</v>
      </c>
      <c r="CG347" t="s">
        <v>231</v>
      </c>
      <c r="CH347" t="s">
        <v>231</v>
      </c>
      <c r="CI347" t="s">
        <v>231</v>
      </c>
      <c r="CJ347" t="s">
        <v>231</v>
      </c>
      <c r="CK347" t="s">
        <v>231</v>
      </c>
      <c r="CL347" t="s">
        <v>231</v>
      </c>
      <c r="CM347" t="s">
        <v>231</v>
      </c>
      <c r="CN347" t="s">
        <v>231</v>
      </c>
      <c r="CO347" t="s">
        <v>231</v>
      </c>
      <c r="CP347" t="s">
        <v>231</v>
      </c>
      <c r="CQ347" t="s">
        <v>231</v>
      </c>
      <c r="CR347" t="s">
        <v>231</v>
      </c>
      <c r="CS347" t="s">
        <v>231</v>
      </c>
      <c r="CT347" t="s">
        <v>3534</v>
      </c>
      <c r="CU347" t="s">
        <v>3535</v>
      </c>
      <c r="CV347" t="s">
        <v>3536</v>
      </c>
      <c r="CW347" t="s">
        <v>3569</v>
      </c>
      <c r="CX347" t="s">
        <v>3570</v>
      </c>
      <c r="CY347" t="s">
        <v>3536</v>
      </c>
      <c r="CZ347" t="s">
        <v>224</v>
      </c>
      <c r="DA347" t="s">
        <v>3571</v>
      </c>
      <c r="DB347" t="s">
        <v>3569</v>
      </c>
      <c r="DC347" t="s">
        <v>363</v>
      </c>
      <c r="DD347" t="s">
        <v>282</v>
      </c>
      <c r="DE347" t="s">
        <v>3644</v>
      </c>
    </row>
    <row r="348" spans="1:109" ht="11.25" customHeight="1">
      <c r="A348" s="1314" t="s">
        <v>231</v>
      </c>
      <c r="B348" t="s">
        <v>231</v>
      </c>
      <c r="C348" t="s">
        <v>231</v>
      </c>
      <c r="D348" t="s">
        <v>231</v>
      </c>
      <c r="E348" t="s">
        <v>231</v>
      </c>
      <c r="F348" t="s">
        <v>231</v>
      </c>
      <c r="G348" t="s">
        <v>231</v>
      </c>
      <c r="H348" t="s">
        <v>231</v>
      </c>
      <c r="I348" t="s">
        <v>3521</v>
      </c>
      <c r="J348" t="s">
        <v>231</v>
      </c>
      <c r="K348" t="s">
        <v>231</v>
      </c>
      <c r="L348" t="s">
        <v>231</v>
      </c>
      <c r="M348" t="s">
        <v>231</v>
      </c>
      <c r="N348" t="s">
        <v>231</v>
      </c>
      <c r="O348" t="s">
        <v>231</v>
      </c>
      <c r="P348" t="s">
        <v>231</v>
      </c>
      <c r="Q348" t="s">
        <v>231</v>
      </c>
      <c r="R348" t="s">
        <v>4049</v>
      </c>
      <c r="S348" t="s">
        <v>231</v>
      </c>
      <c r="T348" t="s">
        <v>231</v>
      </c>
      <c r="U348" t="s">
        <v>101</v>
      </c>
      <c r="V348" t="s">
        <v>231</v>
      </c>
      <c r="W348" t="s">
        <v>231</v>
      </c>
      <c r="X348" t="s">
        <v>3955</v>
      </c>
      <c r="Y348" t="s">
        <v>231</v>
      </c>
      <c r="Z348" t="s">
        <v>151</v>
      </c>
      <c r="AA348" t="s">
        <v>160</v>
      </c>
      <c r="AB348" t="s">
        <v>151</v>
      </c>
      <c r="AC348" t="s">
        <v>343</v>
      </c>
      <c r="AD348" t="s">
        <v>343</v>
      </c>
      <c r="AE348" t="s">
        <v>344</v>
      </c>
      <c r="AF348" t="s">
        <v>3561</v>
      </c>
      <c r="AG348" t="s">
        <v>3562</v>
      </c>
      <c r="AH348" t="s">
        <v>4047</v>
      </c>
      <c r="AI348" t="s">
        <v>3575</v>
      </c>
      <c r="AJ348" t="s">
        <v>231</v>
      </c>
      <c r="AK348" t="s">
        <v>231</v>
      </c>
      <c r="AL348" t="s">
        <v>231</v>
      </c>
      <c r="AM348" t="s">
        <v>231</v>
      </c>
      <c r="AN348" t="s">
        <v>231</v>
      </c>
      <c r="AO348" t="s">
        <v>231</v>
      </c>
      <c r="AP348" t="s">
        <v>3951</v>
      </c>
      <c r="AQ348" t="s">
        <v>4048</v>
      </c>
      <c r="AR348" t="s">
        <v>111</v>
      </c>
      <c r="AS348" t="s">
        <v>3632</v>
      </c>
      <c r="AT348" t="s">
        <v>5021</v>
      </c>
      <c r="AU348" t="s">
        <v>231</v>
      </c>
      <c r="AV348" t="s">
        <v>4049</v>
      </c>
      <c r="AW348" t="s">
        <v>343</v>
      </c>
      <c r="AX348" t="s">
        <v>343</v>
      </c>
      <c r="AY348" t="s">
        <v>3634</v>
      </c>
      <c r="AZ348" t="s">
        <v>3561</v>
      </c>
      <c r="BA348" t="s">
        <v>3635</v>
      </c>
      <c r="BB348" t="s">
        <v>4047</v>
      </c>
      <c r="BC348" t="s">
        <v>3575</v>
      </c>
      <c r="BD348" t="s">
        <v>3641</v>
      </c>
      <c r="BE348" t="s">
        <v>231</v>
      </c>
      <c r="BF348" t="s">
        <v>231</v>
      </c>
      <c r="BG348" t="s">
        <v>231</v>
      </c>
      <c r="BH348" t="s">
        <v>231</v>
      </c>
      <c r="BI348" t="s">
        <v>231</v>
      </c>
      <c r="BJ348" t="s">
        <v>231</v>
      </c>
      <c r="BK348" t="s">
        <v>231</v>
      </c>
      <c r="BL348" t="s">
        <v>231</v>
      </c>
      <c r="BM348" t="s">
        <v>231</v>
      </c>
      <c r="BN348" t="s">
        <v>231</v>
      </c>
      <c r="BO348" t="s">
        <v>231</v>
      </c>
      <c r="BP348" t="s">
        <v>231</v>
      </c>
      <c r="BQ348" t="s">
        <v>231</v>
      </c>
      <c r="BR348" t="s">
        <v>231</v>
      </c>
      <c r="BS348" t="s">
        <v>231</v>
      </c>
      <c r="BT348" t="s">
        <v>231</v>
      </c>
      <c r="BU348" t="s">
        <v>231</v>
      </c>
      <c r="BV348" t="s">
        <v>231</v>
      </c>
      <c r="BW348" t="s">
        <v>231</v>
      </c>
      <c r="BX348" t="s">
        <v>231</v>
      </c>
      <c r="BY348" t="s">
        <v>231</v>
      </c>
      <c r="BZ348" t="s">
        <v>231</v>
      </c>
      <c r="CA348" t="s">
        <v>231</v>
      </c>
      <c r="CB348" t="s">
        <v>231</v>
      </c>
      <c r="CC348" t="s">
        <v>231</v>
      </c>
      <c r="CD348" t="s">
        <v>231</v>
      </c>
      <c r="CE348" t="s">
        <v>231</v>
      </c>
      <c r="CF348" t="s">
        <v>231</v>
      </c>
      <c r="CG348" t="s">
        <v>231</v>
      </c>
      <c r="CH348" t="s">
        <v>231</v>
      </c>
      <c r="CI348" t="s">
        <v>231</v>
      </c>
      <c r="CJ348" t="s">
        <v>231</v>
      </c>
      <c r="CK348" t="s">
        <v>231</v>
      </c>
      <c r="CL348" t="s">
        <v>231</v>
      </c>
      <c r="CM348" t="s">
        <v>231</v>
      </c>
      <c r="CN348" t="s">
        <v>231</v>
      </c>
      <c r="CO348" t="s">
        <v>231</v>
      </c>
      <c r="CP348" t="s">
        <v>231</v>
      </c>
      <c r="CQ348" t="s">
        <v>231</v>
      </c>
      <c r="CR348" t="s">
        <v>231</v>
      </c>
      <c r="CS348" t="s">
        <v>231</v>
      </c>
      <c r="CT348" t="s">
        <v>3534</v>
      </c>
      <c r="CU348" t="s">
        <v>3535</v>
      </c>
      <c r="CV348" t="s">
        <v>3536</v>
      </c>
      <c r="CW348" t="s">
        <v>3569</v>
      </c>
      <c r="CX348" t="s">
        <v>3570</v>
      </c>
      <c r="CY348" t="s">
        <v>3536</v>
      </c>
      <c r="CZ348" t="s">
        <v>224</v>
      </c>
      <c r="DA348" t="s">
        <v>3571</v>
      </c>
      <c r="DB348" t="s">
        <v>3569</v>
      </c>
      <c r="DC348" t="s">
        <v>363</v>
      </c>
      <c r="DD348" t="s">
        <v>282</v>
      </c>
      <c r="DE348" t="s">
        <v>4050</v>
      </c>
    </row>
    <row r="349" spans="1:109" ht="11.25" customHeight="1">
      <c r="A349" s="1314" t="s">
        <v>231</v>
      </c>
      <c r="B349" t="s">
        <v>231</v>
      </c>
      <c r="C349" t="s">
        <v>231</v>
      </c>
      <c r="D349" t="s">
        <v>231</v>
      </c>
      <c r="E349" t="s">
        <v>231</v>
      </c>
      <c r="F349" t="s">
        <v>231</v>
      </c>
      <c r="G349" t="s">
        <v>231</v>
      </c>
      <c r="H349" t="s">
        <v>231</v>
      </c>
      <c r="I349" t="s">
        <v>3521</v>
      </c>
      <c r="J349" t="s">
        <v>231</v>
      </c>
      <c r="K349" t="s">
        <v>231</v>
      </c>
      <c r="L349" t="s">
        <v>231</v>
      </c>
      <c r="M349" t="s">
        <v>231</v>
      </c>
      <c r="N349" t="s">
        <v>231</v>
      </c>
      <c r="O349" t="s">
        <v>231</v>
      </c>
      <c r="P349" t="s">
        <v>231</v>
      </c>
      <c r="Q349" t="s">
        <v>231</v>
      </c>
      <c r="R349" t="s">
        <v>5024</v>
      </c>
      <c r="S349" t="s">
        <v>231</v>
      </c>
      <c r="T349" t="s">
        <v>231</v>
      </c>
      <c r="U349" t="s">
        <v>101</v>
      </c>
      <c r="V349" t="s">
        <v>231</v>
      </c>
      <c r="W349" t="s">
        <v>231</v>
      </c>
      <c r="X349" t="s">
        <v>3523</v>
      </c>
      <c r="Y349" t="s">
        <v>231</v>
      </c>
      <c r="Z349" t="s">
        <v>160</v>
      </c>
      <c r="AA349" t="s">
        <v>151</v>
      </c>
      <c r="AB349" t="s">
        <v>151</v>
      </c>
      <c r="AC349" t="s">
        <v>343</v>
      </c>
      <c r="AD349" t="s">
        <v>343</v>
      </c>
      <c r="AE349" t="s">
        <v>344</v>
      </c>
      <c r="AF349" t="s">
        <v>3561</v>
      </c>
      <c r="AG349" t="s">
        <v>3562</v>
      </c>
      <c r="AH349" t="s">
        <v>4875</v>
      </c>
      <c r="AI349" t="s">
        <v>3575</v>
      </c>
      <c r="AJ349" t="s">
        <v>4876</v>
      </c>
      <c r="AK349" t="s">
        <v>4427</v>
      </c>
      <c r="AL349" t="s">
        <v>3648</v>
      </c>
      <c r="AM349" t="s">
        <v>3531</v>
      </c>
      <c r="AN349" t="s">
        <v>4877</v>
      </c>
      <c r="AO349" t="s">
        <v>4040</v>
      </c>
      <c r="AP349" t="s">
        <v>231</v>
      </c>
      <c r="AQ349" t="s">
        <v>231</v>
      </c>
      <c r="AR349" t="s">
        <v>231</v>
      </c>
      <c r="AS349" t="s">
        <v>231</v>
      </c>
      <c r="AT349" t="s">
        <v>231</v>
      </c>
      <c r="AU349" t="s">
        <v>231</v>
      </c>
      <c r="AV349" t="s">
        <v>231</v>
      </c>
      <c r="AW349" t="s">
        <v>231</v>
      </c>
      <c r="AX349" t="s">
        <v>231</v>
      </c>
      <c r="AY349" t="s">
        <v>231</v>
      </c>
      <c r="AZ349" t="s">
        <v>231</v>
      </c>
      <c r="BA349" t="s">
        <v>231</v>
      </c>
      <c r="BB349" t="s">
        <v>231</v>
      </c>
      <c r="BC349" t="s">
        <v>231</v>
      </c>
      <c r="BD349" t="s">
        <v>231</v>
      </c>
      <c r="BE349" t="s">
        <v>231</v>
      </c>
      <c r="BF349" t="s">
        <v>231</v>
      </c>
      <c r="BG349" t="s">
        <v>231</v>
      </c>
      <c r="BH349" t="s">
        <v>231</v>
      </c>
      <c r="BI349" t="s">
        <v>231</v>
      </c>
      <c r="BJ349" t="s">
        <v>231</v>
      </c>
      <c r="BK349" t="s">
        <v>231</v>
      </c>
      <c r="BL349" t="s">
        <v>231</v>
      </c>
      <c r="BM349" t="s">
        <v>231</v>
      </c>
      <c r="BN349" t="s">
        <v>231</v>
      </c>
      <c r="BO349" t="s">
        <v>231</v>
      </c>
      <c r="BP349" t="s">
        <v>231</v>
      </c>
      <c r="BQ349" t="s">
        <v>231</v>
      </c>
      <c r="BR349" t="s">
        <v>231</v>
      </c>
      <c r="BS349" t="s">
        <v>231</v>
      </c>
      <c r="BT349" t="s">
        <v>231</v>
      </c>
      <c r="BU349" t="s">
        <v>231</v>
      </c>
      <c r="BV349" t="s">
        <v>231</v>
      </c>
      <c r="BW349" t="s">
        <v>231</v>
      </c>
      <c r="BX349" t="s">
        <v>231</v>
      </c>
      <c r="BY349" t="s">
        <v>231</v>
      </c>
      <c r="BZ349" t="s">
        <v>231</v>
      </c>
      <c r="CA349" t="s">
        <v>231</v>
      </c>
      <c r="CB349" t="s">
        <v>231</v>
      </c>
      <c r="CC349" t="s">
        <v>231</v>
      </c>
      <c r="CD349" t="s">
        <v>231</v>
      </c>
      <c r="CE349" t="s">
        <v>231</v>
      </c>
      <c r="CF349" t="s">
        <v>231</v>
      </c>
      <c r="CG349" t="s">
        <v>231</v>
      </c>
      <c r="CH349" t="s">
        <v>231</v>
      </c>
      <c r="CI349" t="s">
        <v>231</v>
      </c>
      <c r="CJ349" t="s">
        <v>231</v>
      </c>
      <c r="CK349" t="s">
        <v>231</v>
      </c>
      <c r="CL349" t="s">
        <v>231</v>
      </c>
      <c r="CM349" t="s">
        <v>231</v>
      </c>
      <c r="CN349" t="s">
        <v>231</v>
      </c>
      <c r="CO349" t="s">
        <v>231</v>
      </c>
      <c r="CP349" t="s">
        <v>231</v>
      </c>
      <c r="CQ349" t="s">
        <v>231</v>
      </c>
      <c r="CR349" t="s">
        <v>231</v>
      </c>
      <c r="CS349" t="s">
        <v>231</v>
      </c>
      <c r="CT349" t="s">
        <v>3534</v>
      </c>
      <c r="CU349" t="s">
        <v>3535</v>
      </c>
      <c r="CV349" t="s">
        <v>3536</v>
      </c>
      <c r="CW349" t="s">
        <v>3569</v>
      </c>
      <c r="CX349" t="s">
        <v>3570</v>
      </c>
      <c r="CY349" t="s">
        <v>3536</v>
      </c>
      <c r="CZ349" t="s">
        <v>224</v>
      </c>
      <c r="DA349" t="s">
        <v>3571</v>
      </c>
      <c r="DB349" t="s">
        <v>3569</v>
      </c>
      <c r="DC349" t="s">
        <v>363</v>
      </c>
      <c r="DD349" t="s">
        <v>282</v>
      </c>
      <c r="DE349" t="s">
        <v>4878</v>
      </c>
    </row>
    <row r="350" spans="1:109" ht="11.25" customHeight="1">
      <c r="A350" s="1314" t="s">
        <v>231</v>
      </c>
      <c r="B350" t="s">
        <v>231</v>
      </c>
      <c r="C350" t="s">
        <v>231</v>
      </c>
      <c r="D350" t="s">
        <v>231</v>
      </c>
      <c r="E350" t="s">
        <v>231</v>
      </c>
      <c r="F350" t="s">
        <v>231</v>
      </c>
      <c r="G350" t="s">
        <v>231</v>
      </c>
      <c r="H350" t="s">
        <v>231</v>
      </c>
      <c r="I350" t="s">
        <v>3521</v>
      </c>
      <c r="J350" t="s">
        <v>231</v>
      </c>
      <c r="K350" t="s">
        <v>231</v>
      </c>
      <c r="L350" t="s">
        <v>231</v>
      </c>
      <c r="M350" t="s">
        <v>231</v>
      </c>
      <c r="N350" t="s">
        <v>231</v>
      </c>
      <c r="O350" t="s">
        <v>231</v>
      </c>
      <c r="P350" t="s">
        <v>231</v>
      </c>
      <c r="Q350" t="s">
        <v>231</v>
      </c>
      <c r="R350" t="s">
        <v>3615</v>
      </c>
      <c r="S350" t="s">
        <v>231</v>
      </c>
      <c r="T350" t="s">
        <v>231</v>
      </c>
      <c r="U350" t="s">
        <v>101</v>
      </c>
      <c r="V350" t="s">
        <v>231</v>
      </c>
      <c r="W350" t="s">
        <v>231</v>
      </c>
      <c r="X350" t="s">
        <v>3523</v>
      </c>
      <c r="Y350" t="s">
        <v>231</v>
      </c>
      <c r="Z350" t="s">
        <v>160</v>
      </c>
      <c r="AA350" t="s">
        <v>151</v>
      </c>
      <c r="AB350" t="s">
        <v>151</v>
      </c>
      <c r="AC350" t="s">
        <v>2287</v>
      </c>
      <c r="AD350" t="s">
        <v>2287</v>
      </c>
      <c r="AE350" t="s">
        <v>2288</v>
      </c>
      <c r="AF350" t="s">
        <v>4291</v>
      </c>
      <c r="AG350" t="s">
        <v>4292</v>
      </c>
      <c r="AH350" t="s">
        <v>4293</v>
      </c>
      <c r="AI350" t="s">
        <v>3618</v>
      </c>
      <c r="AJ350" t="s">
        <v>3619</v>
      </c>
      <c r="AK350" t="s">
        <v>4185</v>
      </c>
      <c r="AL350" t="s">
        <v>3548</v>
      </c>
      <c r="AM350" t="s">
        <v>3531</v>
      </c>
      <c r="AN350" t="s">
        <v>3621</v>
      </c>
      <c r="AO350" t="s">
        <v>3821</v>
      </c>
      <c r="AP350" t="s">
        <v>231</v>
      </c>
      <c r="AQ350" t="s">
        <v>231</v>
      </c>
      <c r="AR350" t="s">
        <v>231</v>
      </c>
      <c r="AS350" t="s">
        <v>231</v>
      </c>
      <c r="AT350" t="s">
        <v>231</v>
      </c>
      <c r="AU350" t="s">
        <v>231</v>
      </c>
      <c r="AV350" t="s">
        <v>231</v>
      </c>
      <c r="AW350" t="s">
        <v>231</v>
      </c>
      <c r="AX350" t="s">
        <v>231</v>
      </c>
      <c r="AY350" t="s">
        <v>231</v>
      </c>
      <c r="AZ350" t="s">
        <v>231</v>
      </c>
      <c r="BA350" t="s">
        <v>231</v>
      </c>
      <c r="BB350" t="s">
        <v>231</v>
      </c>
      <c r="BC350" t="s">
        <v>231</v>
      </c>
      <c r="BD350" t="s">
        <v>231</v>
      </c>
      <c r="BE350" t="s">
        <v>231</v>
      </c>
      <c r="BF350" t="s">
        <v>231</v>
      </c>
      <c r="BG350" t="s">
        <v>231</v>
      </c>
      <c r="BH350" t="s">
        <v>231</v>
      </c>
      <c r="BI350" t="s">
        <v>231</v>
      </c>
      <c r="BJ350" t="s">
        <v>231</v>
      </c>
      <c r="BK350" t="s">
        <v>231</v>
      </c>
      <c r="BL350" t="s">
        <v>231</v>
      </c>
      <c r="BM350" t="s">
        <v>231</v>
      </c>
      <c r="BN350" t="s">
        <v>231</v>
      </c>
      <c r="BO350" t="s">
        <v>231</v>
      </c>
      <c r="BP350" t="s">
        <v>231</v>
      </c>
      <c r="BQ350" t="s">
        <v>231</v>
      </c>
      <c r="BR350" t="s">
        <v>231</v>
      </c>
      <c r="BS350" t="s">
        <v>231</v>
      </c>
      <c r="BT350" t="s">
        <v>231</v>
      </c>
      <c r="BU350" t="s">
        <v>231</v>
      </c>
      <c r="BV350" t="s">
        <v>231</v>
      </c>
      <c r="BW350" t="s">
        <v>231</v>
      </c>
      <c r="BX350" t="s">
        <v>231</v>
      </c>
      <c r="BY350" t="s">
        <v>231</v>
      </c>
      <c r="BZ350" t="s">
        <v>231</v>
      </c>
      <c r="CA350" t="s">
        <v>231</v>
      </c>
      <c r="CB350" t="s">
        <v>231</v>
      </c>
      <c r="CC350" t="s">
        <v>231</v>
      </c>
      <c r="CD350" t="s">
        <v>231</v>
      </c>
      <c r="CE350" t="s">
        <v>231</v>
      </c>
      <c r="CF350" t="s">
        <v>231</v>
      </c>
      <c r="CG350" t="s">
        <v>231</v>
      </c>
      <c r="CH350" t="s">
        <v>231</v>
      </c>
      <c r="CI350" t="s">
        <v>231</v>
      </c>
      <c r="CJ350" t="s">
        <v>231</v>
      </c>
      <c r="CK350" t="s">
        <v>231</v>
      </c>
      <c r="CL350" t="s">
        <v>231</v>
      </c>
      <c r="CM350" t="s">
        <v>231</v>
      </c>
      <c r="CN350" t="s">
        <v>231</v>
      </c>
      <c r="CO350" t="s">
        <v>231</v>
      </c>
      <c r="CP350" t="s">
        <v>231</v>
      </c>
      <c r="CQ350" t="s">
        <v>231</v>
      </c>
      <c r="CR350" t="s">
        <v>231</v>
      </c>
      <c r="CS350" t="s">
        <v>231</v>
      </c>
      <c r="CT350" t="s">
        <v>3534</v>
      </c>
      <c r="CU350" t="s">
        <v>3535</v>
      </c>
      <c r="CV350" t="s">
        <v>3536</v>
      </c>
      <c r="CW350" t="s">
        <v>3623</v>
      </c>
      <c r="CX350" t="s">
        <v>223</v>
      </c>
      <c r="CY350" t="s">
        <v>3536</v>
      </c>
      <c r="CZ350" t="s">
        <v>3624</v>
      </c>
      <c r="DA350" t="s">
        <v>3625</v>
      </c>
      <c r="DB350" t="s">
        <v>3623</v>
      </c>
      <c r="DC350" t="s">
        <v>363</v>
      </c>
      <c r="DD350" t="s">
        <v>282</v>
      </c>
      <c r="DE350" t="s">
        <v>4294</v>
      </c>
    </row>
    <row r="351" spans="1:109" ht="11.25" customHeight="1">
      <c r="A351" s="1314" t="s">
        <v>231</v>
      </c>
      <c r="B351" t="s">
        <v>231</v>
      </c>
      <c r="C351" t="s">
        <v>231</v>
      </c>
      <c r="D351" t="s">
        <v>231</v>
      </c>
      <c r="E351" t="s">
        <v>231</v>
      </c>
      <c r="F351" t="s">
        <v>231</v>
      </c>
      <c r="G351" t="s">
        <v>231</v>
      </c>
      <c r="H351" t="s">
        <v>231</v>
      </c>
      <c r="I351" t="s">
        <v>3521</v>
      </c>
      <c r="J351" t="s">
        <v>231</v>
      </c>
      <c r="K351" t="s">
        <v>231</v>
      </c>
      <c r="L351" t="s">
        <v>231</v>
      </c>
      <c r="M351" t="s">
        <v>231</v>
      </c>
      <c r="N351" t="s">
        <v>231</v>
      </c>
      <c r="O351" t="s">
        <v>231</v>
      </c>
      <c r="P351" t="s">
        <v>231</v>
      </c>
      <c r="Q351" t="s">
        <v>231</v>
      </c>
      <c r="R351" t="s">
        <v>4295</v>
      </c>
      <c r="S351" t="s">
        <v>231</v>
      </c>
      <c r="T351" t="s">
        <v>231</v>
      </c>
      <c r="U351" t="s">
        <v>101</v>
      </c>
      <c r="V351" t="s">
        <v>231</v>
      </c>
      <c r="W351" t="s">
        <v>231</v>
      </c>
      <c r="X351" t="s">
        <v>3628</v>
      </c>
      <c r="Y351" t="s">
        <v>231</v>
      </c>
      <c r="Z351" t="s">
        <v>151</v>
      </c>
      <c r="AA351" t="s">
        <v>151</v>
      </c>
      <c r="AB351" t="s">
        <v>160</v>
      </c>
      <c r="AC351" t="s">
        <v>2287</v>
      </c>
      <c r="AD351" t="s">
        <v>2287</v>
      </c>
      <c r="AE351" t="s">
        <v>2288</v>
      </c>
      <c r="AF351" t="s">
        <v>4291</v>
      </c>
      <c r="AG351" t="s">
        <v>4292</v>
      </c>
      <c r="AH351" t="s">
        <v>3618</v>
      </c>
      <c r="AI351" t="s">
        <v>3618</v>
      </c>
      <c r="AJ351" t="s">
        <v>231</v>
      </c>
      <c r="AK351" t="s">
        <v>231</v>
      </c>
      <c r="AL351" t="s">
        <v>231</v>
      </c>
      <c r="AM351" t="s">
        <v>231</v>
      </c>
      <c r="AN351" t="s">
        <v>231</v>
      </c>
      <c r="AO351" t="s">
        <v>231</v>
      </c>
      <c r="AP351" t="s">
        <v>231</v>
      </c>
      <c r="AQ351" t="s">
        <v>231</v>
      </c>
      <c r="AR351" t="s">
        <v>231</v>
      </c>
      <c r="AS351" t="s">
        <v>231</v>
      </c>
      <c r="AT351" t="s">
        <v>231</v>
      </c>
      <c r="AU351" t="s">
        <v>231</v>
      </c>
      <c r="AV351" t="s">
        <v>231</v>
      </c>
      <c r="AW351" t="s">
        <v>231</v>
      </c>
      <c r="AX351" t="s">
        <v>231</v>
      </c>
      <c r="AY351" t="s">
        <v>231</v>
      </c>
      <c r="AZ351" t="s">
        <v>231</v>
      </c>
      <c r="BA351" t="s">
        <v>231</v>
      </c>
      <c r="BB351" t="s">
        <v>231</v>
      </c>
      <c r="BC351" t="s">
        <v>231</v>
      </c>
      <c r="BD351" t="s">
        <v>231</v>
      </c>
      <c r="BE351" t="s">
        <v>3619</v>
      </c>
      <c r="BF351" t="s">
        <v>4185</v>
      </c>
      <c r="BG351" t="s">
        <v>111</v>
      </c>
      <c r="BH351" t="s">
        <v>3632</v>
      </c>
      <c r="BI351" t="s">
        <v>122</v>
      </c>
      <c r="BJ351" t="s">
        <v>231</v>
      </c>
      <c r="BK351" t="s">
        <v>3651</v>
      </c>
      <c r="BL351" t="s">
        <v>2287</v>
      </c>
      <c r="BM351" t="s">
        <v>2287</v>
      </c>
      <c r="BN351" t="s">
        <v>3842</v>
      </c>
      <c r="BO351" t="s">
        <v>4291</v>
      </c>
      <c r="BP351" t="s">
        <v>4296</v>
      </c>
      <c r="BQ351" t="s">
        <v>3618</v>
      </c>
      <c r="BR351" t="s">
        <v>3618</v>
      </c>
      <c r="BS351" t="s">
        <v>231</v>
      </c>
      <c r="BT351" t="s">
        <v>3694</v>
      </c>
      <c r="BU351" t="s">
        <v>4297</v>
      </c>
      <c r="BV351" t="s">
        <v>4297</v>
      </c>
      <c r="BW351" t="s">
        <v>3641</v>
      </c>
      <c r="BX351" t="s">
        <v>3641</v>
      </c>
      <c r="BY351" t="s">
        <v>3641</v>
      </c>
      <c r="BZ351" t="s">
        <v>3641</v>
      </c>
      <c r="CA351" t="s">
        <v>3641</v>
      </c>
      <c r="CB351" t="s">
        <v>231</v>
      </c>
      <c r="CC351" t="s">
        <v>231</v>
      </c>
      <c r="CD351" t="s">
        <v>231</v>
      </c>
      <c r="CE351" t="s">
        <v>231</v>
      </c>
      <c r="CF351" t="s">
        <v>231</v>
      </c>
      <c r="CG351" t="s">
        <v>3641</v>
      </c>
      <c r="CH351" t="s">
        <v>231</v>
      </c>
      <c r="CI351" t="s">
        <v>231</v>
      </c>
      <c r="CJ351" t="s">
        <v>231</v>
      </c>
      <c r="CK351" t="s">
        <v>231</v>
      </c>
      <c r="CL351" t="s">
        <v>231</v>
      </c>
      <c r="CM351" t="s">
        <v>4297</v>
      </c>
      <c r="CN351" t="s">
        <v>4297</v>
      </c>
      <c r="CO351" t="s">
        <v>231</v>
      </c>
      <c r="CP351" t="s">
        <v>231</v>
      </c>
      <c r="CQ351" t="s">
        <v>231</v>
      </c>
      <c r="CR351" t="s">
        <v>231</v>
      </c>
      <c r="CS351" t="s">
        <v>3529</v>
      </c>
      <c r="CT351" t="s">
        <v>3534</v>
      </c>
      <c r="CU351" t="s">
        <v>3535</v>
      </c>
      <c r="CV351" t="s">
        <v>3536</v>
      </c>
      <c r="CW351" t="s">
        <v>3623</v>
      </c>
      <c r="CX351" t="s">
        <v>223</v>
      </c>
      <c r="CY351" t="s">
        <v>3536</v>
      </c>
      <c r="CZ351" t="s">
        <v>3624</v>
      </c>
      <c r="DA351" t="s">
        <v>3625</v>
      </c>
      <c r="DB351" t="s">
        <v>3623</v>
      </c>
      <c r="DC351" t="s">
        <v>363</v>
      </c>
      <c r="DD351" t="s">
        <v>282</v>
      </c>
      <c r="DE351" t="s">
        <v>4298</v>
      </c>
    </row>
    <row r="352" spans="1:109" ht="11.25" customHeight="1">
      <c r="A352" s="1314" t="s">
        <v>231</v>
      </c>
      <c r="B352" t="s">
        <v>231</v>
      </c>
      <c r="C352" t="s">
        <v>231</v>
      </c>
      <c r="D352" t="s">
        <v>231</v>
      </c>
      <c r="E352" t="s">
        <v>231</v>
      </c>
      <c r="F352" t="s">
        <v>231</v>
      </c>
      <c r="G352" t="s">
        <v>231</v>
      </c>
      <c r="H352" t="s">
        <v>231</v>
      </c>
      <c r="I352" t="s">
        <v>3521</v>
      </c>
      <c r="J352" t="s">
        <v>231</v>
      </c>
      <c r="K352" t="s">
        <v>231</v>
      </c>
      <c r="L352" t="s">
        <v>231</v>
      </c>
      <c r="M352" t="s">
        <v>231</v>
      </c>
      <c r="N352" t="s">
        <v>231</v>
      </c>
      <c r="O352" t="s">
        <v>231</v>
      </c>
      <c r="P352" t="s">
        <v>231</v>
      </c>
      <c r="Q352" t="s">
        <v>231</v>
      </c>
      <c r="R352" t="s">
        <v>4559</v>
      </c>
      <c r="S352" t="s">
        <v>231</v>
      </c>
      <c r="T352" t="s">
        <v>231</v>
      </c>
      <c r="U352" t="s">
        <v>101</v>
      </c>
      <c r="V352" t="s">
        <v>231</v>
      </c>
      <c r="W352" t="s">
        <v>231</v>
      </c>
      <c r="X352" t="s">
        <v>3628</v>
      </c>
      <c r="Y352" t="s">
        <v>231</v>
      </c>
      <c r="Z352" t="s">
        <v>151</v>
      </c>
      <c r="AA352" t="s">
        <v>151</v>
      </c>
      <c r="AB352" t="s">
        <v>160</v>
      </c>
      <c r="AC352" t="s">
        <v>2287</v>
      </c>
      <c r="AD352" t="s">
        <v>2287</v>
      </c>
      <c r="AE352" t="s">
        <v>2288</v>
      </c>
      <c r="AF352" t="s">
        <v>4299</v>
      </c>
      <c r="AG352" t="s">
        <v>4300</v>
      </c>
      <c r="AH352" t="s">
        <v>3618</v>
      </c>
      <c r="AI352" t="s">
        <v>3618</v>
      </c>
      <c r="AJ352" t="s">
        <v>231</v>
      </c>
      <c r="AK352" t="s">
        <v>231</v>
      </c>
      <c r="AL352" t="s">
        <v>231</v>
      </c>
      <c r="AM352" t="s">
        <v>231</v>
      </c>
      <c r="AN352" t="s">
        <v>231</v>
      </c>
      <c r="AO352" t="s">
        <v>231</v>
      </c>
      <c r="AP352" t="s">
        <v>231</v>
      </c>
      <c r="AQ352" t="s">
        <v>231</v>
      </c>
      <c r="AR352" t="s">
        <v>231</v>
      </c>
      <c r="AS352" t="s">
        <v>231</v>
      </c>
      <c r="AT352" t="s">
        <v>231</v>
      </c>
      <c r="AU352" t="s">
        <v>231</v>
      </c>
      <c r="AV352" t="s">
        <v>231</v>
      </c>
      <c r="AW352" t="s">
        <v>231</v>
      </c>
      <c r="AX352" t="s">
        <v>231</v>
      </c>
      <c r="AY352" t="s">
        <v>231</v>
      </c>
      <c r="AZ352" t="s">
        <v>231</v>
      </c>
      <c r="BA352" t="s">
        <v>231</v>
      </c>
      <c r="BB352" t="s">
        <v>231</v>
      </c>
      <c r="BC352" t="s">
        <v>231</v>
      </c>
      <c r="BD352" t="s">
        <v>231</v>
      </c>
      <c r="BE352" t="s">
        <v>4042</v>
      </c>
      <c r="BF352" t="s">
        <v>3841</v>
      </c>
      <c r="BG352" t="s">
        <v>111</v>
      </c>
      <c r="BH352" t="s">
        <v>3632</v>
      </c>
      <c r="BI352" t="s">
        <v>122</v>
      </c>
      <c r="BJ352" t="s">
        <v>231</v>
      </c>
      <c r="BK352" t="s">
        <v>3651</v>
      </c>
      <c r="BL352" t="s">
        <v>2287</v>
      </c>
      <c r="BM352" t="s">
        <v>2287</v>
      </c>
      <c r="BN352" t="s">
        <v>3842</v>
      </c>
      <c r="BO352" t="s">
        <v>4299</v>
      </c>
      <c r="BP352" t="s">
        <v>4560</v>
      </c>
      <c r="BQ352" t="s">
        <v>3618</v>
      </c>
      <c r="BR352" t="s">
        <v>3618</v>
      </c>
      <c r="BS352" t="s">
        <v>231</v>
      </c>
      <c r="BT352" t="s">
        <v>3694</v>
      </c>
      <c r="BU352" t="s">
        <v>4561</v>
      </c>
      <c r="BV352" t="s">
        <v>4561</v>
      </c>
      <c r="BW352" t="s">
        <v>3641</v>
      </c>
      <c r="BX352" t="s">
        <v>3641</v>
      </c>
      <c r="BY352" t="s">
        <v>3641</v>
      </c>
      <c r="BZ352" t="s">
        <v>3641</v>
      </c>
      <c r="CA352" t="s">
        <v>3641</v>
      </c>
      <c r="CB352" t="s">
        <v>231</v>
      </c>
      <c r="CC352" t="s">
        <v>231</v>
      </c>
      <c r="CD352" t="s">
        <v>231</v>
      </c>
      <c r="CE352" t="s">
        <v>231</v>
      </c>
      <c r="CF352" t="s">
        <v>231</v>
      </c>
      <c r="CG352" t="s">
        <v>3641</v>
      </c>
      <c r="CH352" t="s">
        <v>231</v>
      </c>
      <c r="CI352" t="s">
        <v>231</v>
      </c>
      <c r="CJ352" t="s">
        <v>231</v>
      </c>
      <c r="CK352" t="s">
        <v>231</v>
      </c>
      <c r="CL352" t="s">
        <v>231</v>
      </c>
      <c r="CM352" t="s">
        <v>4561</v>
      </c>
      <c r="CN352" t="s">
        <v>4561</v>
      </c>
      <c r="CO352" t="s">
        <v>231</v>
      </c>
      <c r="CP352" t="s">
        <v>231</v>
      </c>
      <c r="CQ352" t="s">
        <v>231</v>
      </c>
      <c r="CR352" t="s">
        <v>231</v>
      </c>
      <c r="CS352" t="s">
        <v>3595</v>
      </c>
      <c r="CT352" t="s">
        <v>3534</v>
      </c>
      <c r="CU352" t="s">
        <v>3535</v>
      </c>
      <c r="CV352" t="s">
        <v>3536</v>
      </c>
      <c r="CW352" t="s">
        <v>3623</v>
      </c>
      <c r="CX352" t="s">
        <v>223</v>
      </c>
      <c r="CY352" t="s">
        <v>3536</v>
      </c>
      <c r="CZ352" t="s">
        <v>3624</v>
      </c>
      <c r="DA352" t="s">
        <v>3625</v>
      </c>
      <c r="DB352" t="s">
        <v>3623</v>
      </c>
      <c r="DC352" t="s">
        <v>363</v>
      </c>
      <c r="DD352" t="s">
        <v>282</v>
      </c>
      <c r="DE352" t="s">
        <v>4562</v>
      </c>
    </row>
    <row r="353" spans="1:109" ht="11.25" customHeight="1">
      <c r="A353" s="1314" t="s">
        <v>231</v>
      </c>
      <c r="B353" t="s">
        <v>231</v>
      </c>
      <c r="C353" t="s">
        <v>231</v>
      </c>
      <c r="D353" t="s">
        <v>231</v>
      </c>
      <c r="E353" t="s">
        <v>231</v>
      </c>
      <c r="F353" t="s">
        <v>231</v>
      </c>
      <c r="G353" t="s">
        <v>231</v>
      </c>
      <c r="H353" t="s">
        <v>231</v>
      </c>
      <c r="I353" t="s">
        <v>3521</v>
      </c>
      <c r="J353" t="s">
        <v>231</v>
      </c>
      <c r="K353" t="s">
        <v>231</v>
      </c>
      <c r="L353" t="s">
        <v>231</v>
      </c>
      <c r="M353" t="s">
        <v>231</v>
      </c>
      <c r="N353" t="s">
        <v>231</v>
      </c>
      <c r="O353" t="s">
        <v>231</v>
      </c>
      <c r="P353" t="s">
        <v>231</v>
      </c>
      <c r="Q353" t="s">
        <v>231</v>
      </c>
      <c r="R353" t="s">
        <v>5025</v>
      </c>
      <c r="S353" t="s">
        <v>231</v>
      </c>
      <c r="T353" t="s">
        <v>231</v>
      </c>
      <c r="U353" t="s">
        <v>101</v>
      </c>
      <c r="V353" t="s">
        <v>231</v>
      </c>
      <c r="W353" t="s">
        <v>231</v>
      </c>
      <c r="X353" t="s">
        <v>3523</v>
      </c>
      <c r="Y353" t="s">
        <v>231</v>
      </c>
      <c r="Z353" t="s">
        <v>160</v>
      </c>
      <c r="AA353" t="s">
        <v>151</v>
      </c>
      <c r="AB353" t="s">
        <v>151</v>
      </c>
      <c r="AC353" t="s">
        <v>343</v>
      </c>
      <c r="AD353" t="s">
        <v>343</v>
      </c>
      <c r="AE353" t="s">
        <v>344</v>
      </c>
      <c r="AF353" t="s">
        <v>3561</v>
      </c>
      <c r="AG353" t="s">
        <v>3562</v>
      </c>
      <c r="AH353" t="s">
        <v>3563</v>
      </c>
      <c r="AI353" t="s">
        <v>3743</v>
      </c>
      <c r="AJ353" t="s">
        <v>3744</v>
      </c>
      <c r="AK353" t="s">
        <v>3745</v>
      </c>
      <c r="AL353" t="s">
        <v>3566</v>
      </c>
      <c r="AM353" t="s">
        <v>3531</v>
      </c>
      <c r="AN353" t="s">
        <v>3746</v>
      </c>
      <c r="AO353" t="s">
        <v>3747</v>
      </c>
      <c r="AP353" t="s">
        <v>231</v>
      </c>
      <c r="AQ353" t="s">
        <v>231</v>
      </c>
      <c r="AR353" t="s">
        <v>231</v>
      </c>
      <c r="AS353" t="s">
        <v>231</v>
      </c>
      <c r="AT353" t="s">
        <v>231</v>
      </c>
      <c r="AU353" t="s">
        <v>231</v>
      </c>
      <c r="AV353" t="s">
        <v>231</v>
      </c>
      <c r="AW353" t="s">
        <v>231</v>
      </c>
      <c r="AX353" t="s">
        <v>231</v>
      </c>
      <c r="AY353" t="s">
        <v>231</v>
      </c>
      <c r="AZ353" t="s">
        <v>231</v>
      </c>
      <c r="BA353" t="s">
        <v>231</v>
      </c>
      <c r="BB353" t="s">
        <v>231</v>
      </c>
      <c r="BC353" t="s">
        <v>231</v>
      </c>
      <c r="BD353" t="s">
        <v>231</v>
      </c>
      <c r="BE353" t="s">
        <v>231</v>
      </c>
      <c r="BF353" t="s">
        <v>231</v>
      </c>
      <c r="BG353" t="s">
        <v>231</v>
      </c>
      <c r="BH353" t="s">
        <v>231</v>
      </c>
      <c r="BI353" t="s">
        <v>231</v>
      </c>
      <c r="BJ353" t="s">
        <v>231</v>
      </c>
      <c r="BK353" t="s">
        <v>231</v>
      </c>
      <c r="BL353" t="s">
        <v>231</v>
      </c>
      <c r="BM353" t="s">
        <v>231</v>
      </c>
      <c r="BN353" t="s">
        <v>231</v>
      </c>
      <c r="BO353" t="s">
        <v>231</v>
      </c>
      <c r="BP353" t="s">
        <v>231</v>
      </c>
      <c r="BQ353" t="s">
        <v>231</v>
      </c>
      <c r="BR353" t="s">
        <v>231</v>
      </c>
      <c r="BS353" t="s">
        <v>231</v>
      </c>
      <c r="BT353" t="s">
        <v>231</v>
      </c>
      <c r="BU353" t="s">
        <v>231</v>
      </c>
      <c r="BV353" t="s">
        <v>231</v>
      </c>
      <c r="BW353" t="s">
        <v>231</v>
      </c>
      <c r="BX353" t="s">
        <v>231</v>
      </c>
      <c r="BY353" t="s">
        <v>231</v>
      </c>
      <c r="BZ353" t="s">
        <v>231</v>
      </c>
      <c r="CA353" t="s">
        <v>231</v>
      </c>
      <c r="CB353" t="s">
        <v>231</v>
      </c>
      <c r="CC353" t="s">
        <v>231</v>
      </c>
      <c r="CD353" t="s">
        <v>231</v>
      </c>
      <c r="CE353" t="s">
        <v>231</v>
      </c>
      <c r="CF353" t="s">
        <v>231</v>
      </c>
      <c r="CG353" t="s">
        <v>231</v>
      </c>
      <c r="CH353" t="s">
        <v>231</v>
      </c>
      <c r="CI353" t="s">
        <v>231</v>
      </c>
      <c r="CJ353" t="s">
        <v>231</v>
      </c>
      <c r="CK353" t="s">
        <v>231</v>
      </c>
      <c r="CL353" t="s">
        <v>231</v>
      </c>
      <c r="CM353" t="s">
        <v>231</v>
      </c>
      <c r="CN353" t="s">
        <v>231</v>
      </c>
      <c r="CO353" t="s">
        <v>231</v>
      </c>
      <c r="CP353" t="s">
        <v>231</v>
      </c>
      <c r="CQ353" t="s">
        <v>231</v>
      </c>
      <c r="CR353" t="s">
        <v>231</v>
      </c>
      <c r="CS353" t="s">
        <v>231</v>
      </c>
      <c r="CT353" t="s">
        <v>3534</v>
      </c>
      <c r="CU353" t="s">
        <v>3535</v>
      </c>
      <c r="CV353" t="s">
        <v>3536</v>
      </c>
      <c r="CW353" t="s">
        <v>3569</v>
      </c>
      <c r="CX353" t="s">
        <v>3570</v>
      </c>
      <c r="CY353" t="s">
        <v>3536</v>
      </c>
      <c r="CZ353" t="s">
        <v>224</v>
      </c>
      <c r="DA353" t="s">
        <v>3571</v>
      </c>
      <c r="DB353" t="s">
        <v>3569</v>
      </c>
      <c r="DC353" t="s">
        <v>363</v>
      </c>
      <c r="DD353" t="s">
        <v>282</v>
      </c>
      <c r="DE353" t="s">
        <v>3748</v>
      </c>
    </row>
    <row r="354" spans="1:109" ht="11.25" customHeight="1">
      <c r="A354" s="1314" t="s">
        <v>231</v>
      </c>
      <c r="B354" t="s">
        <v>231</v>
      </c>
      <c r="C354" t="s">
        <v>231</v>
      </c>
      <c r="D354" t="s">
        <v>231</v>
      </c>
      <c r="E354" t="s">
        <v>231</v>
      </c>
      <c r="F354" t="s">
        <v>231</v>
      </c>
      <c r="G354" t="s">
        <v>231</v>
      </c>
      <c r="H354" t="s">
        <v>231</v>
      </c>
      <c r="I354" t="s">
        <v>3521</v>
      </c>
      <c r="J354" t="s">
        <v>231</v>
      </c>
      <c r="K354" t="s">
        <v>231</v>
      </c>
      <c r="L354" t="s">
        <v>231</v>
      </c>
      <c r="M354" t="s">
        <v>231</v>
      </c>
      <c r="N354" t="s">
        <v>231</v>
      </c>
      <c r="O354" t="s">
        <v>231</v>
      </c>
      <c r="P354" t="s">
        <v>231</v>
      </c>
      <c r="Q354" t="s">
        <v>231</v>
      </c>
      <c r="R354" t="s">
        <v>3615</v>
      </c>
      <c r="S354" t="s">
        <v>231</v>
      </c>
      <c r="T354" t="s">
        <v>231</v>
      </c>
      <c r="U354" t="s">
        <v>101</v>
      </c>
      <c r="V354" t="s">
        <v>231</v>
      </c>
      <c r="W354" t="s">
        <v>231</v>
      </c>
      <c r="X354" t="s">
        <v>3523</v>
      </c>
      <c r="Y354" t="s">
        <v>231</v>
      </c>
      <c r="Z354" t="s">
        <v>160</v>
      </c>
      <c r="AA354" t="s">
        <v>151</v>
      </c>
      <c r="AB354" t="s">
        <v>151</v>
      </c>
      <c r="AC354" t="s">
        <v>2287</v>
      </c>
      <c r="AD354" t="s">
        <v>2287</v>
      </c>
      <c r="AE354" t="s">
        <v>2288</v>
      </c>
      <c r="AF354" t="s">
        <v>4563</v>
      </c>
      <c r="AG354" t="s">
        <v>4564</v>
      </c>
      <c r="AH354" t="s">
        <v>3618</v>
      </c>
      <c r="AI354" t="s">
        <v>3618</v>
      </c>
      <c r="AJ354" t="s">
        <v>3619</v>
      </c>
      <c r="AK354" t="s">
        <v>4565</v>
      </c>
      <c r="AL354" t="s">
        <v>3548</v>
      </c>
      <c r="AM354" t="s">
        <v>3531</v>
      </c>
      <c r="AN354" t="s">
        <v>3621</v>
      </c>
      <c r="AO354" t="s">
        <v>3622</v>
      </c>
      <c r="AP354" t="s">
        <v>231</v>
      </c>
      <c r="AQ354" t="s">
        <v>231</v>
      </c>
      <c r="AR354" t="s">
        <v>231</v>
      </c>
      <c r="AS354" t="s">
        <v>231</v>
      </c>
      <c r="AT354" t="s">
        <v>231</v>
      </c>
      <c r="AU354" t="s">
        <v>231</v>
      </c>
      <c r="AV354" t="s">
        <v>231</v>
      </c>
      <c r="AW354" t="s">
        <v>231</v>
      </c>
      <c r="AX354" t="s">
        <v>231</v>
      </c>
      <c r="AY354" t="s">
        <v>231</v>
      </c>
      <c r="AZ354" t="s">
        <v>231</v>
      </c>
      <c r="BA354" t="s">
        <v>231</v>
      </c>
      <c r="BB354" t="s">
        <v>231</v>
      </c>
      <c r="BC354" t="s">
        <v>231</v>
      </c>
      <c r="BD354" t="s">
        <v>231</v>
      </c>
      <c r="BE354" t="s">
        <v>231</v>
      </c>
      <c r="BF354" t="s">
        <v>231</v>
      </c>
      <c r="BG354" t="s">
        <v>231</v>
      </c>
      <c r="BH354" t="s">
        <v>231</v>
      </c>
      <c r="BI354" t="s">
        <v>231</v>
      </c>
      <c r="BJ354" t="s">
        <v>231</v>
      </c>
      <c r="BK354" t="s">
        <v>231</v>
      </c>
      <c r="BL354" t="s">
        <v>231</v>
      </c>
      <c r="BM354" t="s">
        <v>231</v>
      </c>
      <c r="BN354" t="s">
        <v>231</v>
      </c>
      <c r="BO354" t="s">
        <v>231</v>
      </c>
      <c r="BP354" t="s">
        <v>231</v>
      </c>
      <c r="BQ354" t="s">
        <v>231</v>
      </c>
      <c r="BR354" t="s">
        <v>231</v>
      </c>
      <c r="BS354" t="s">
        <v>231</v>
      </c>
      <c r="BT354" t="s">
        <v>231</v>
      </c>
      <c r="BU354" t="s">
        <v>231</v>
      </c>
      <c r="BV354" t="s">
        <v>231</v>
      </c>
      <c r="BW354" t="s">
        <v>231</v>
      </c>
      <c r="BX354" t="s">
        <v>231</v>
      </c>
      <c r="BY354" t="s">
        <v>231</v>
      </c>
      <c r="BZ354" t="s">
        <v>231</v>
      </c>
      <c r="CA354" t="s">
        <v>231</v>
      </c>
      <c r="CB354" t="s">
        <v>231</v>
      </c>
      <c r="CC354" t="s">
        <v>231</v>
      </c>
      <c r="CD354" t="s">
        <v>231</v>
      </c>
      <c r="CE354" t="s">
        <v>231</v>
      </c>
      <c r="CF354" t="s">
        <v>231</v>
      </c>
      <c r="CG354" t="s">
        <v>231</v>
      </c>
      <c r="CH354" t="s">
        <v>231</v>
      </c>
      <c r="CI354" t="s">
        <v>231</v>
      </c>
      <c r="CJ354" t="s">
        <v>231</v>
      </c>
      <c r="CK354" t="s">
        <v>231</v>
      </c>
      <c r="CL354" t="s">
        <v>231</v>
      </c>
      <c r="CM354" t="s">
        <v>231</v>
      </c>
      <c r="CN354" t="s">
        <v>231</v>
      </c>
      <c r="CO354" t="s">
        <v>231</v>
      </c>
      <c r="CP354" t="s">
        <v>231</v>
      </c>
      <c r="CQ354" t="s">
        <v>231</v>
      </c>
      <c r="CR354" t="s">
        <v>231</v>
      </c>
      <c r="CS354" t="s">
        <v>231</v>
      </c>
      <c r="CT354" t="s">
        <v>3534</v>
      </c>
      <c r="CU354" t="s">
        <v>3535</v>
      </c>
      <c r="CV354" t="s">
        <v>3536</v>
      </c>
      <c r="CW354" t="s">
        <v>3623</v>
      </c>
      <c r="CX354" t="s">
        <v>223</v>
      </c>
      <c r="CY354" t="s">
        <v>3536</v>
      </c>
      <c r="CZ354" t="s">
        <v>3624</v>
      </c>
      <c r="DA354" t="s">
        <v>3625</v>
      </c>
      <c r="DB354" t="s">
        <v>3623</v>
      </c>
      <c r="DC354" t="s">
        <v>363</v>
      </c>
      <c r="DD354" t="s">
        <v>282</v>
      </c>
      <c r="DE354" t="s">
        <v>4566</v>
      </c>
    </row>
    <row r="355" spans="1:109" ht="11.25" customHeight="1">
      <c r="A355" s="1314" t="s">
        <v>231</v>
      </c>
      <c r="B355" t="s">
        <v>231</v>
      </c>
      <c r="C355" t="s">
        <v>231</v>
      </c>
      <c r="D355" t="s">
        <v>231</v>
      </c>
      <c r="E355" t="s">
        <v>231</v>
      </c>
      <c r="F355" t="s">
        <v>231</v>
      </c>
      <c r="G355" t="s">
        <v>231</v>
      </c>
      <c r="H355" t="s">
        <v>231</v>
      </c>
      <c r="I355" t="s">
        <v>3521</v>
      </c>
      <c r="J355" t="s">
        <v>231</v>
      </c>
      <c r="K355" t="s">
        <v>231</v>
      </c>
      <c r="L355" t="s">
        <v>231</v>
      </c>
      <c r="M355" t="s">
        <v>231</v>
      </c>
      <c r="N355" t="s">
        <v>231</v>
      </c>
      <c r="O355" t="s">
        <v>231</v>
      </c>
      <c r="P355" t="s">
        <v>231</v>
      </c>
      <c r="Q355" t="s">
        <v>231</v>
      </c>
      <c r="R355" t="s">
        <v>4759</v>
      </c>
      <c r="S355" t="s">
        <v>231</v>
      </c>
      <c r="T355" t="s">
        <v>231</v>
      </c>
      <c r="U355" t="s">
        <v>101</v>
      </c>
      <c r="V355" t="s">
        <v>231</v>
      </c>
      <c r="W355" t="s">
        <v>231</v>
      </c>
      <c r="X355" t="s">
        <v>3628</v>
      </c>
      <c r="Y355" t="s">
        <v>231</v>
      </c>
      <c r="Z355" t="s">
        <v>151</v>
      </c>
      <c r="AA355" t="s">
        <v>151</v>
      </c>
      <c r="AB355" t="s">
        <v>160</v>
      </c>
      <c r="AC355" t="s">
        <v>2287</v>
      </c>
      <c r="AD355" t="s">
        <v>2287</v>
      </c>
      <c r="AE355" t="s">
        <v>2288</v>
      </c>
      <c r="AF355" t="s">
        <v>4563</v>
      </c>
      <c r="AG355" t="s">
        <v>4564</v>
      </c>
      <c r="AH355" t="s">
        <v>3618</v>
      </c>
      <c r="AI355" t="s">
        <v>3618</v>
      </c>
      <c r="AJ355" t="s">
        <v>231</v>
      </c>
      <c r="AK355" t="s">
        <v>231</v>
      </c>
      <c r="AL355" t="s">
        <v>231</v>
      </c>
      <c r="AM355" t="s">
        <v>231</v>
      </c>
      <c r="AN355" t="s">
        <v>231</v>
      </c>
      <c r="AO355" t="s">
        <v>231</v>
      </c>
      <c r="AP355" t="s">
        <v>231</v>
      </c>
      <c r="AQ355" t="s">
        <v>231</v>
      </c>
      <c r="AR355" t="s">
        <v>231</v>
      </c>
      <c r="AS355" t="s">
        <v>231</v>
      </c>
      <c r="AT355" t="s">
        <v>231</v>
      </c>
      <c r="AU355" t="s">
        <v>231</v>
      </c>
      <c r="AV355" t="s">
        <v>231</v>
      </c>
      <c r="AW355" t="s">
        <v>231</v>
      </c>
      <c r="AX355" t="s">
        <v>231</v>
      </c>
      <c r="AY355" t="s">
        <v>231</v>
      </c>
      <c r="AZ355" t="s">
        <v>231</v>
      </c>
      <c r="BA355" t="s">
        <v>231</v>
      </c>
      <c r="BB355" t="s">
        <v>231</v>
      </c>
      <c r="BC355" t="s">
        <v>231</v>
      </c>
      <c r="BD355" t="s">
        <v>231</v>
      </c>
      <c r="BE355" t="s">
        <v>3619</v>
      </c>
      <c r="BF355" t="s">
        <v>4565</v>
      </c>
      <c r="BG355" t="s">
        <v>111</v>
      </c>
      <c r="BH355" t="s">
        <v>3632</v>
      </c>
      <c r="BI355" t="s">
        <v>122</v>
      </c>
      <c r="BJ355" t="s">
        <v>231</v>
      </c>
      <c r="BK355" t="s">
        <v>3651</v>
      </c>
      <c r="BL355" t="s">
        <v>2287</v>
      </c>
      <c r="BM355" t="s">
        <v>2287</v>
      </c>
      <c r="BN355" t="s">
        <v>3842</v>
      </c>
      <c r="BO355" t="s">
        <v>4563</v>
      </c>
      <c r="BP355" t="s">
        <v>4760</v>
      </c>
      <c r="BQ355" t="s">
        <v>3618</v>
      </c>
      <c r="BR355" t="s">
        <v>3618</v>
      </c>
      <c r="BS355" t="s">
        <v>231</v>
      </c>
      <c r="BT355" t="s">
        <v>3694</v>
      </c>
      <c r="BU355" t="s">
        <v>4761</v>
      </c>
      <c r="BV355" t="s">
        <v>4761</v>
      </c>
      <c r="BW355" t="s">
        <v>3641</v>
      </c>
      <c r="BX355" t="s">
        <v>3641</v>
      </c>
      <c r="BY355" t="s">
        <v>3641</v>
      </c>
      <c r="BZ355" t="s">
        <v>3641</v>
      </c>
      <c r="CA355" t="s">
        <v>3641</v>
      </c>
      <c r="CB355" t="s">
        <v>231</v>
      </c>
      <c r="CC355" t="s">
        <v>231</v>
      </c>
      <c r="CD355" t="s">
        <v>231</v>
      </c>
      <c r="CE355" t="s">
        <v>231</v>
      </c>
      <c r="CF355" t="s">
        <v>231</v>
      </c>
      <c r="CG355" t="s">
        <v>3641</v>
      </c>
      <c r="CH355" t="s">
        <v>231</v>
      </c>
      <c r="CI355" t="s">
        <v>231</v>
      </c>
      <c r="CJ355" t="s">
        <v>231</v>
      </c>
      <c r="CK355" t="s">
        <v>231</v>
      </c>
      <c r="CL355" t="s">
        <v>231</v>
      </c>
      <c r="CM355" t="s">
        <v>4761</v>
      </c>
      <c r="CN355" t="s">
        <v>4761</v>
      </c>
      <c r="CO355" t="s">
        <v>231</v>
      </c>
      <c r="CP355" t="s">
        <v>231</v>
      </c>
      <c r="CQ355" t="s">
        <v>231</v>
      </c>
      <c r="CR355" t="s">
        <v>231</v>
      </c>
      <c r="CS355" t="s">
        <v>3595</v>
      </c>
      <c r="CT355" t="s">
        <v>3534</v>
      </c>
      <c r="CU355" t="s">
        <v>3535</v>
      </c>
      <c r="CV355" t="s">
        <v>3536</v>
      </c>
      <c r="CW355" t="s">
        <v>3623</v>
      </c>
      <c r="CX355" t="s">
        <v>223</v>
      </c>
      <c r="CY355" t="s">
        <v>3536</v>
      </c>
      <c r="CZ355" t="s">
        <v>3624</v>
      </c>
      <c r="DA355" t="s">
        <v>3625</v>
      </c>
      <c r="DB355" t="s">
        <v>3623</v>
      </c>
      <c r="DC355" t="s">
        <v>363</v>
      </c>
      <c r="DD355" t="s">
        <v>282</v>
      </c>
      <c r="DE355" t="s">
        <v>4566</v>
      </c>
    </row>
    <row r="356" spans="1:109" ht="11.25" customHeight="1">
      <c r="A356" s="1314" t="s">
        <v>231</v>
      </c>
      <c r="B356" t="s">
        <v>231</v>
      </c>
      <c r="C356" t="s">
        <v>231</v>
      </c>
      <c r="D356" t="s">
        <v>231</v>
      </c>
      <c r="E356" t="s">
        <v>231</v>
      </c>
      <c r="F356" t="s">
        <v>231</v>
      </c>
      <c r="G356" t="s">
        <v>231</v>
      </c>
      <c r="H356" t="s">
        <v>231</v>
      </c>
      <c r="I356" t="s">
        <v>3521</v>
      </c>
      <c r="J356" t="s">
        <v>231</v>
      </c>
      <c r="K356" t="s">
        <v>231</v>
      </c>
      <c r="L356" t="s">
        <v>231</v>
      </c>
      <c r="M356" t="s">
        <v>231</v>
      </c>
      <c r="N356" t="s">
        <v>231</v>
      </c>
      <c r="O356" t="s">
        <v>231</v>
      </c>
      <c r="P356" t="s">
        <v>231</v>
      </c>
      <c r="Q356" t="s">
        <v>231</v>
      </c>
      <c r="R356" t="s">
        <v>3615</v>
      </c>
      <c r="S356" t="s">
        <v>231</v>
      </c>
      <c r="T356" t="s">
        <v>231</v>
      </c>
      <c r="U356" t="s">
        <v>101</v>
      </c>
      <c r="V356" t="s">
        <v>231</v>
      </c>
      <c r="W356" t="s">
        <v>231</v>
      </c>
      <c r="X356" t="s">
        <v>3523</v>
      </c>
      <c r="Y356" t="s">
        <v>231</v>
      </c>
      <c r="Z356" t="s">
        <v>160</v>
      </c>
      <c r="AA356" t="s">
        <v>151</v>
      </c>
      <c r="AB356" t="s">
        <v>151</v>
      </c>
      <c r="AC356" t="s">
        <v>2287</v>
      </c>
      <c r="AD356" t="s">
        <v>2287</v>
      </c>
      <c r="AE356" t="s">
        <v>2288</v>
      </c>
      <c r="AF356" t="s">
        <v>3847</v>
      </c>
      <c r="AG356" t="s">
        <v>3848</v>
      </c>
      <c r="AH356" t="s">
        <v>3660</v>
      </c>
      <c r="AI356" t="s">
        <v>4981</v>
      </c>
      <c r="AJ356" t="s">
        <v>3619</v>
      </c>
      <c r="AK356" t="s">
        <v>3858</v>
      </c>
      <c r="AL356" t="s">
        <v>3548</v>
      </c>
      <c r="AM356" t="s">
        <v>3531</v>
      </c>
      <c r="AN356" t="s">
        <v>3621</v>
      </c>
      <c r="AO356" t="s">
        <v>3668</v>
      </c>
      <c r="AP356" t="s">
        <v>231</v>
      </c>
      <c r="AQ356" t="s">
        <v>231</v>
      </c>
      <c r="AR356" t="s">
        <v>231</v>
      </c>
      <c r="AS356" t="s">
        <v>231</v>
      </c>
      <c r="AT356" t="s">
        <v>231</v>
      </c>
      <c r="AU356" t="s">
        <v>231</v>
      </c>
      <c r="AV356" t="s">
        <v>231</v>
      </c>
      <c r="AW356" t="s">
        <v>231</v>
      </c>
      <c r="AX356" t="s">
        <v>231</v>
      </c>
      <c r="AY356" t="s">
        <v>231</v>
      </c>
      <c r="AZ356" t="s">
        <v>231</v>
      </c>
      <c r="BA356" t="s">
        <v>231</v>
      </c>
      <c r="BB356" t="s">
        <v>231</v>
      </c>
      <c r="BC356" t="s">
        <v>231</v>
      </c>
      <c r="BD356" t="s">
        <v>231</v>
      </c>
      <c r="BE356" t="s">
        <v>231</v>
      </c>
      <c r="BF356" t="s">
        <v>231</v>
      </c>
      <c r="BG356" t="s">
        <v>231</v>
      </c>
      <c r="BH356" t="s">
        <v>231</v>
      </c>
      <c r="BI356" t="s">
        <v>231</v>
      </c>
      <c r="BJ356" t="s">
        <v>231</v>
      </c>
      <c r="BK356" t="s">
        <v>231</v>
      </c>
      <c r="BL356" t="s">
        <v>231</v>
      </c>
      <c r="BM356" t="s">
        <v>231</v>
      </c>
      <c r="BN356" t="s">
        <v>231</v>
      </c>
      <c r="BO356" t="s">
        <v>231</v>
      </c>
      <c r="BP356" t="s">
        <v>231</v>
      </c>
      <c r="BQ356" t="s">
        <v>231</v>
      </c>
      <c r="BR356" t="s">
        <v>231</v>
      </c>
      <c r="BS356" t="s">
        <v>231</v>
      </c>
      <c r="BT356" t="s">
        <v>231</v>
      </c>
      <c r="BU356" t="s">
        <v>231</v>
      </c>
      <c r="BV356" t="s">
        <v>231</v>
      </c>
      <c r="BW356" t="s">
        <v>231</v>
      </c>
      <c r="BX356" t="s">
        <v>231</v>
      </c>
      <c r="BY356" t="s">
        <v>231</v>
      </c>
      <c r="BZ356" t="s">
        <v>231</v>
      </c>
      <c r="CA356" t="s">
        <v>231</v>
      </c>
      <c r="CB356" t="s">
        <v>231</v>
      </c>
      <c r="CC356" t="s">
        <v>231</v>
      </c>
      <c r="CD356" t="s">
        <v>231</v>
      </c>
      <c r="CE356" t="s">
        <v>231</v>
      </c>
      <c r="CF356" t="s">
        <v>231</v>
      </c>
      <c r="CG356" t="s">
        <v>231</v>
      </c>
      <c r="CH356" t="s">
        <v>231</v>
      </c>
      <c r="CI356" t="s">
        <v>231</v>
      </c>
      <c r="CJ356" t="s">
        <v>231</v>
      </c>
      <c r="CK356" t="s">
        <v>231</v>
      </c>
      <c r="CL356" t="s">
        <v>231</v>
      </c>
      <c r="CM356" t="s">
        <v>231</v>
      </c>
      <c r="CN356" t="s">
        <v>231</v>
      </c>
      <c r="CO356" t="s">
        <v>231</v>
      </c>
      <c r="CP356" t="s">
        <v>231</v>
      </c>
      <c r="CQ356" t="s">
        <v>231</v>
      </c>
      <c r="CR356" t="s">
        <v>231</v>
      </c>
      <c r="CS356" t="s">
        <v>231</v>
      </c>
      <c r="CT356" t="s">
        <v>3534</v>
      </c>
      <c r="CU356" t="s">
        <v>3535</v>
      </c>
      <c r="CV356" t="s">
        <v>3536</v>
      </c>
      <c r="CW356" t="s">
        <v>3623</v>
      </c>
      <c r="CX356" t="s">
        <v>223</v>
      </c>
      <c r="CY356" t="s">
        <v>3536</v>
      </c>
      <c r="CZ356" t="s">
        <v>3624</v>
      </c>
      <c r="DA356" t="s">
        <v>3625</v>
      </c>
      <c r="DB356" t="s">
        <v>3623</v>
      </c>
      <c r="DC356" t="s">
        <v>363</v>
      </c>
      <c r="DD356" t="s">
        <v>282</v>
      </c>
      <c r="DE356" t="s">
        <v>4982</v>
      </c>
    </row>
    <row r="357" spans="1:109" ht="11.25" customHeight="1">
      <c r="A357" s="1314" t="s">
        <v>231</v>
      </c>
      <c r="B357" t="s">
        <v>231</v>
      </c>
      <c r="C357" t="s">
        <v>231</v>
      </c>
      <c r="D357" t="s">
        <v>231</v>
      </c>
      <c r="E357" t="s">
        <v>231</v>
      </c>
      <c r="F357" t="s">
        <v>231</v>
      </c>
      <c r="G357" t="s">
        <v>231</v>
      </c>
      <c r="H357" t="s">
        <v>231</v>
      </c>
      <c r="I357" t="s">
        <v>3521</v>
      </c>
      <c r="J357" t="s">
        <v>231</v>
      </c>
      <c r="K357" t="s">
        <v>231</v>
      </c>
      <c r="L357" t="s">
        <v>231</v>
      </c>
      <c r="M357" t="s">
        <v>231</v>
      </c>
      <c r="N357" t="s">
        <v>231</v>
      </c>
      <c r="O357" t="s">
        <v>231</v>
      </c>
      <c r="P357" t="s">
        <v>231</v>
      </c>
      <c r="Q357" t="s">
        <v>231</v>
      </c>
      <c r="R357" t="s">
        <v>3615</v>
      </c>
      <c r="S357" t="s">
        <v>231</v>
      </c>
      <c r="T357" t="s">
        <v>231</v>
      </c>
      <c r="U357" t="s">
        <v>101</v>
      </c>
      <c r="V357" t="s">
        <v>231</v>
      </c>
      <c r="W357" t="s">
        <v>231</v>
      </c>
      <c r="X357" t="s">
        <v>3523</v>
      </c>
      <c r="Y357" t="s">
        <v>231</v>
      </c>
      <c r="Z357" t="s">
        <v>160</v>
      </c>
      <c r="AA357" t="s">
        <v>151</v>
      </c>
      <c r="AB357" t="s">
        <v>151</v>
      </c>
      <c r="AC357" t="s">
        <v>2287</v>
      </c>
      <c r="AD357" t="s">
        <v>2287</v>
      </c>
      <c r="AE357" t="s">
        <v>2288</v>
      </c>
      <c r="AF357" t="s">
        <v>3847</v>
      </c>
      <c r="AG357" t="s">
        <v>3848</v>
      </c>
      <c r="AH357" t="s">
        <v>3660</v>
      </c>
      <c r="AI357" t="s">
        <v>4983</v>
      </c>
      <c r="AJ357" t="s">
        <v>3619</v>
      </c>
      <c r="AK357" t="s">
        <v>4984</v>
      </c>
      <c r="AL357" t="s">
        <v>3548</v>
      </c>
      <c r="AM357" t="s">
        <v>3531</v>
      </c>
      <c r="AN357" t="s">
        <v>3621</v>
      </c>
      <c r="AO357" t="s">
        <v>3622</v>
      </c>
      <c r="AP357" t="s">
        <v>231</v>
      </c>
      <c r="AQ357" t="s">
        <v>231</v>
      </c>
      <c r="AR357" t="s">
        <v>231</v>
      </c>
      <c r="AS357" t="s">
        <v>231</v>
      </c>
      <c r="AT357" t="s">
        <v>231</v>
      </c>
      <c r="AU357" t="s">
        <v>231</v>
      </c>
      <c r="AV357" t="s">
        <v>231</v>
      </c>
      <c r="AW357" t="s">
        <v>231</v>
      </c>
      <c r="AX357" t="s">
        <v>231</v>
      </c>
      <c r="AY357" t="s">
        <v>231</v>
      </c>
      <c r="AZ357" t="s">
        <v>231</v>
      </c>
      <c r="BA357" t="s">
        <v>231</v>
      </c>
      <c r="BB357" t="s">
        <v>231</v>
      </c>
      <c r="BC357" t="s">
        <v>231</v>
      </c>
      <c r="BD357" t="s">
        <v>231</v>
      </c>
      <c r="BE357" t="s">
        <v>231</v>
      </c>
      <c r="BF357" t="s">
        <v>231</v>
      </c>
      <c r="BG357" t="s">
        <v>231</v>
      </c>
      <c r="BH357" t="s">
        <v>231</v>
      </c>
      <c r="BI357" t="s">
        <v>231</v>
      </c>
      <c r="BJ357" t="s">
        <v>231</v>
      </c>
      <c r="BK357" t="s">
        <v>231</v>
      </c>
      <c r="BL357" t="s">
        <v>231</v>
      </c>
      <c r="BM357" t="s">
        <v>231</v>
      </c>
      <c r="BN357" t="s">
        <v>231</v>
      </c>
      <c r="BO357" t="s">
        <v>231</v>
      </c>
      <c r="BP357" t="s">
        <v>231</v>
      </c>
      <c r="BQ357" t="s">
        <v>231</v>
      </c>
      <c r="BR357" t="s">
        <v>231</v>
      </c>
      <c r="BS357" t="s">
        <v>231</v>
      </c>
      <c r="BT357" t="s">
        <v>231</v>
      </c>
      <c r="BU357" t="s">
        <v>231</v>
      </c>
      <c r="BV357" t="s">
        <v>231</v>
      </c>
      <c r="BW357" t="s">
        <v>231</v>
      </c>
      <c r="BX357" t="s">
        <v>231</v>
      </c>
      <c r="BY357" t="s">
        <v>231</v>
      </c>
      <c r="BZ357" t="s">
        <v>231</v>
      </c>
      <c r="CA357" t="s">
        <v>231</v>
      </c>
      <c r="CB357" t="s">
        <v>231</v>
      </c>
      <c r="CC357" t="s">
        <v>231</v>
      </c>
      <c r="CD357" t="s">
        <v>231</v>
      </c>
      <c r="CE357" t="s">
        <v>231</v>
      </c>
      <c r="CF357" t="s">
        <v>231</v>
      </c>
      <c r="CG357" t="s">
        <v>231</v>
      </c>
      <c r="CH357" t="s">
        <v>231</v>
      </c>
      <c r="CI357" t="s">
        <v>231</v>
      </c>
      <c r="CJ357" t="s">
        <v>231</v>
      </c>
      <c r="CK357" t="s">
        <v>231</v>
      </c>
      <c r="CL357" t="s">
        <v>231</v>
      </c>
      <c r="CM357" t="s">
        <v>231</v>
      </c>
      <c r="CN357" t="s">
        <v>231</v>
      </c>
      <c r="CO357" t="s">
        <v>231</v>
      </c>
      <c r="CP357" t="s">
        <v>231</v>
      </c>
      <c r="CQ357" t="s">
        <v>231</v>
      </c>
      <c r="CR357" t="s">
        <v>231</v>
      </c>
      <c r="CS357" t="s">
        <v>231</v>
      </c>
      <c r="CT357" t="s">
        <v>3534</v>
      </c>
      <c r="CU357" t="s">
        <v>3535</v>
      </c>
      <c r="CV357" t="s">
        <v>3536</v>
      </c>
      <c r="CW357" t="s">
        <v>3623</v>
      </c>
      <c r="CX357" t="s">
        <v>223</v>
      </c>
      <c r="CY357" t="s">
        <v>3536</v>
      </c>
      <c r="CZ357" t="s">
        <v>3624</v>
      </c>
      <c r="DA357" t="s">
        <v>3625</v>
      </c>
      <c r="DB357" t="s">
        <v>3623</v>
      </c>
      <c r="DC357" t="s">
        <v>363</v>
      </c>
      <c r="DD357" t="s">
        <v>282</v>
      </c>
      <c r="DE357" t="s">
        <v>4985</v>
      </c>
    </row>
    <row r="358" spans="1:109" ht="11.25" customHeight="1">
      <c r="A358" s="1314" t="s">
        <v>231</v>
      </c>
      <c r="B358" t="s">
        <v>231</v>
      </c>
      <c r="C358" t="s">
        <v>231</v>
      </c>
      <c r="D358" t="s">
        <v>231</v>
      </c>
      <c r="E358" t="s">
        <v>231</v>
      </c>
      <c r="F358" t="s">
        <v>231</v>
      </c>
      <c r="G358" t="s">
        <v>231</v>
      </c>
      <c r="H358" t="s">
        <v>231</v>
      </c>
      <c r="I358" t="s">
        <v>3521</v>
      </c>
      <c r="J358" t="s">
        <v>231</v>
      </c>
      <c r="K358" t="s">
        <v>231</v>
      </c>
      <c r="L358" t="s">
        <v>231</v>
      </c>
      <c r="M358" t="s">
        <v>231</v>
      </c>
      <c r="N358" t="s">
        <v>231</v>
      </c>
      <c r="O358" t="s">
        <v>231</v>
      </c>
      <c r="P358" t="s">
        <v>231</v>
      </c>
      <c r="Q358" t="s">
        <v>231</v>
      </c>
      <c r="R358" t="s">
        <v>3615</v>
      </c>
      <c r="S358" t="s">
        <v>231</v>
      </c>
      <c r="T358" t="s">
        <v>231</v>
      </c>
      <c r="U358" t="s">
        <v>101</v>
      </c>
      <c r="V358" t="s">
        <v>231</v>
      </c>
      <c r="W358" t="s">
        <v>231</v>
      </c>
      <c r="X358" t="s">
        <v>3523</v>
      </c>
      <c r="Y358" t="s">
        <v>231</v>
      </c>
      <c r="Z358" t="s">
        <v>160</v>
      </c>
      <c r="AA358" t="s">
        <v>151</v>
      </c>
      <c r="AB358" t="s">
        <v>151</v>
      </c>
      <c r="AC358" t="s">
        <v>2287</v>
      </c>
      <c r="AD358" t="s">
        <v>2287</v>
      </c>
      <c r="AE358" t="s">
        <v>2288</v>
      </c>
      <c r="AF358" t="s">
        <v>3854</v>
      </c>
      <c r="AG358" t="s">
        <v>3855</v>
      </c>
      <c r="AH358" t="s">
        <v>3856</v>
      </c>
      <c r="AI358" t="s">
        <v>3857</v>
      </c>
      <c r="AJ358" t="s">
        <v>3619</v>
      </c>
      <c r="AK358" t="s">
        <v>3858</v>
      </c>
      <c r="AL358" t="s">
        <v>3548</v>
      </c>
      <c r="AM358" t="s">
        <v>3531</v>
      </c>
      <c r="AN358" t="s">
        <v>3621</v>
      </c>
      <c r="AO358" t="s">
        <v>3596</v>
      </c>
      <c r="AP358" t="s">
        <v>231</v>
      </c>
      <c r="AQ358" t="s">
        <v>231</v>
      </c>
      <c r="AR358" t="s">
        <v>231</v>
      </c>
      <c r="AS358" t="s">
        <v>231</v>
      </c>
      <c r="AT358" t="s">
        <v>231</v>
      </c>
      <c r="AU358" t="s">
        <v>231</v>
      </c>
      <c r="AV358" t="s">
        <v>231</v>
      </c>
      <c r="AW358" t="s">
        <v>231</v>
      </c>
      <c r="AX358" t="s">
        <v>231</v>
      </c>
      <c r="AY358" t="s">
        <v>231</v>
      </c>
      <c r="AZ358" t="s">
        <v>231</v>
      </c>
      <c r="BA358" t="s">
        <v>231</v>
      </c>
      <c r="BB358" t="s">
        <v>231</v>
      </c>
      <c r="BC358" t="s">
        <v>231</v>
      </c>
      <c r="BD358" t="s">
        <v>231</v>
      </c>
      <c r="BE358" t="s">
        <v>231</v>
      </c>
      <c r="BF358" t="s">
        <v>231</v>
      </c>
      <c r="BG358" t="s">
        <v>231</v>
      </c>
      <c r="BH358" t="s">
        <v>231</v>
      </c>
      <c r="BI358" t="s">
        <v>231</v>
      </c>
      <c r="BJ358" t="s">
        <v>231</v>
      </c>
      <c r="BK358" t="s">
        <v>231</v>
      </c>
      <c r="BL358" t="s">
        <v>231</v>
      </c>
      <c r="BM358" t="s">
        <v>231</v>
      </c>
      <c r="BN358" t="s">
        <v>231</v>
      </c>
      <c r="BO358" t="s">
        <v>231</v>
      </c>
      <c r="BP358" t="s">
        <v>231</v>
      </c>
      <c r="BQ358" t="s">
        <v>231</v>
      </c>
      <c r="BR358" t="s">
        <v>231</v>
      </c>
      <c r="BS358" t="s">
        <v>231</v>
      </c>
      <c r="BT358" t="s">
        <v>231</v>
      </c>
      <c r="BU358" t="s">
        <v>231</v>
      </c>
      <c r="BV358" t="s">
        <v>231</v>
      </c>
      <c r="BW358" t="s">
        <v>231</v>
      </c>
      <c r="BX358" t="s">
        <v>231</v>
      </c>
      <c r="BY358" t="s">
        <v>231</v>
      </c>
      <c r="BZ358" t="s">
        <v>231</v>
      </c>
      <c r="CA358" t="s">
        <v>231</v>
      </c>
      <c r="CB358" t="s">
        <v>231</v>
      </c>
      <c r="CC358" t="s">
        <v>231</v>
      </c>
      <c r="CD358" t="s">
        <v>231</v>
      </c>
      <c r="CE358" t="s">
        <v>231</v>
      </c>
      <c r="CF358" t="s">
        <v>231</v>
      </c>
      <c r="CG358" t="s">
        <v>231</v>
      </c>
      <c r="CH358" t="s">
        <v>231</v>
      </c>
      <c r="CI358" t="s">
        <v>231</v>
      </c>
      <c r="CJ358" t="s">
        <v>231</v>
      </c>
      <c r="CK358" t="s">
        <v>231</v>
      </c>
      <c r="CL358" t="s">
        <v>231</v>
      </c>
      <c r="CM358" t="s">
        <v>231</v>
      </c>
      <c r="CN358" t="s">
        <v>231</v>
      </c>
      <c r="CO358" t="s">
        <v>231</v>
      </c>
      <c r="CP358" t="s">
        <v>231</v>
      </c>
      <c r="CQ358" t="s">
        <v>231</v>
      </c>
      <c r="CR358" t="s">
        <v>231</v>
      </c>
      <c r="CS358" t="s">
        <v>231</v>
      </c>
      <c r="CT358" t="s">
        <v>3534</v>
      </c>
      <c r="CU358" t="s">
        <v>3535</v>
      </c>
      <c r="CV358" t="s">
        <v>3536</v>
      </c>
      <c r="CW358" t="s">
        <v>3623</v>
      </c>
      <c r="CX358" t="s">
        <v>223</v>
      </c>
      <c r="CY358" t="s">
        <v>3536</v>
      </c>
      <c r="CZ358" t="s">
        <v>3624</v>
      </c>
      <c r="DA358" t="s">
        <v>3625</v>
      </c>
      <c r="DB358" t="s">
        <v>3623</v>
      </c>
      <c r="DC358" t="s">
        <v>363</v>
      </c>
      <c r="DD358" t="s">
        <v>282</v>
      </c>
      <c r="DE358" t="s">
        <v>3859</v>
      </c>
    </row>
    <row r="359" spans="1:109" ht="11.25" customHeight="1">
      <c r="A359" s="1314" t="s">
        <v>231</v>
      </c>
      <c r="B359" t="s">
        <v>231</v>
      </c>
      <c r="C359" t="s">
        <v>231</v>
      </c>
      <c r="D359" t="s">
        <v>231</v>
      </c>
      <c r="E359" t="s">
        <v>231</v>
      </c>
      <c r="F359" t="s">
        <v>231</v>
      </c>
      <c r="G359" t="s">
        <v>231</v>
      </c>
      <c r="H359" t="s">
        <v>231</v>
      </c>
      <c r="I359" t="s">
        <v>3521</v>
      </c>
      <c r="J359" t="s">
        <v>231</v>
      </c>
      <c r="K359" t="s">
        <v>231</v>
      </c>
      <c r="L359" t="s">
        <v>231</v>
      </c>
      <c r="M359" t="s">
        <v>231</v>
      </c>
      <c r="N359" t="s">
        <v>231</v>
      </c>
      <c r="O359" t="s">
        <v>231</v>
      </c>
      <c r="P359" t="s">
        <v>231</v>
      </c>
      <c r="Q359" t="s">
        <v>231</v>
      </c>
      <c r="R359" t="s">
        <v>4675</v>
      </c>
      <c r="S359" t="s">
        <v>231</v>
      </c>
      <c r="T359" t="s">
        <v>231</v>
      </c>
      <c r="U359" t="s">
        <v>101</v>
      </c>
      <c r="V359" t="s">
        <v>231</v>
      </c>
      <c r="W359" t="s">
        <v>231</v>
      </c>
      <c r="X359" t="s">
        <v>3523</v>
      </c>
      <c r="Y359" t="s">
        <v>231</v>
      </c>
      <c r="Z359" t="s">
        <v>160</v>
      </c>
      <c r="AA359" t="s">
        <v>151</v>
      </c>
      <c r="AB359" t="s">
        <v>151</v>
      </c>
      <c r="AC359" t="s">
        <v>2283</v>
      </c>
      <c r="AD359" t="s">
        <v>2283</v>
      </c>
      <c r="AE359" t="s">
        <v>2284</v>
      </c>
      <c r="AF359" t="s">
        <v>4676</v>
      </c>
      <c r="AG359" t="s">
        <v>4677</v>
      </c>
      <c r="AH359" t="s">
        <v>3660</v>
      </c>
      <c r="AI359" t="s">
        <v>1693</v>
      </c>
      <c r="AJ359" t="s">
        <v>3546</v>
      </c>
      <c r="AK359" t="s">
        <v>4678</v>
      </c>
      <c r="AL359" t="s">
        <v>3548</v>
      </c>
      <c r="AM359" t="s">
        <v>3531</v>
      </c>
      <c r="AN359" t="s">
        <v>3595</v>
      </c>
      <c r="AO359" t="s">
        <v>3550</v>
      </c>
      <c r="AP359" t="s">
        <v>231</v>
      </c>
      <c r="AQ359" t="s">
        <v>231</v>
      </c>
      <c r="AR359" t="s">
        <v>231</v>
      </c>
      <c r="AS359" t="s">
        <v>231</v>
      </c>
      <c r="AT359" t="s">
        <v>231</v>
      </c>
      <c r="AU359" t="s">
        <v>231</v>
      </c>
      <c r="AV359" t="s">
        <v>231</v>
      </c>
      <c r="AW359" t="s">
        <v>231</v>
      </c>
      <c r="AX359" t="s">
        <v>231</v>
      </c>
      <c r="AY359" t="s">
        <v>231</v>
      </c>
      <c r="AZ359" t="s">
        <v>231</v>
      </c>
      <c r="BA359" t="s">
        <v>231</v>
      </c>
      <c r="BB359" t="s">
        <v>231</v>
      </c>
      <c r="BC359" t="s">
        <v>231</v>
      </c>
      <c r="BD359" t="s">
        <v>231</v>
      </c>
      <c r="BE359" t="s">
        <v>231</v>
      </c>
      <c r="BF359" t="s">
        <v>231</v>
      </c>
      <c r="BG359" t="s">
        <v>231</v>
      </c>
      <c r="BH359" t="s">
        <v>231</v>
      </c>
      <c r="BI359" t="s">
        <v>231</v>
      </c>
      <c r="BJ359" t="s">
        <v>231</v>
      </c>
      <c r="BK359" t="s">
        <v>231</v>
      </c>
      <c r="BL359" t="s">
        <v>231</v>
      </c>
      <c r="BM359" t="s">
        <v>231</v>
      </c>
      <c r="BN359" t="s">
        <v>231</v>
      </c>
      <c r="BO359" t="s">
        <v>231</v>
      </c>
      <c r="BP359" t="s">
        <v>231</v>
      </c>
      <c r="BQ359" t="s">
        <v>231</v>
      </c>
      <c r="BR359" t="s">
        <v>231</v>
      </c>
      <c r="BS359" t="s">
        <v>231</v>
      </c>
      <c r="BT359" t="s">
        <v>231</v>
      </c>
      <c r="BU359" t="s">
        <v>231</v>
      </c>
      <c r="BV359" t="s">
        <v>231</v>
      </c>
      <c r="BW359" t="s">
        <v>231</v>
      </c>
      <c r="BX359" t="s">
        <v>231</v>
      </c>
      <c r="BY359" t="s">
        <v>231</v>
      </c>
      <c r="BZ359" t="s">
        <v>231</v>
      </c>
      <c r="CA359" t="s">
        <v>231</v>
      </c>
      <c r="CB359" t="s">
        <v>231</v>
      </c>
      <c r="CC359" t="s">
        <v>231</v>
      </c>
      <c r="CD359" t="s">
        <v>231</v>
      </c>
      <c r="CE359" t="s">
        <v>231</v>
      </c>
      <c r="CF359" t="s">
        <v>231</v>
      </c>
      <c r="CG359" t="s">
        <v>231</v>
      </c>
      <c r="CH359" t="s">
        <v>231</v>
      </c>
      <c r="CI359" t="s">
        <v>231</v>
      </c>
      <c r="CJ359" t="s">
        <v>231</v>
      </c>
      <c r="CK359" t="s">
        <v>231</v>
      </c>
      <c r="CL359" t="s">
        <v>231</v>
      </c>
      <c r="CM359" t="s">
        <v>231</v>
      </c>
      <c r="CN359" t="s">
        <v>231</v>
      </c>
      <c r="CO359" t="s">
        <v>231</v>
      </c>
      <c r="CP359" t="s">
        <v>231</v>
      </c>
      <c r="CQ359" t="s">
        <v>231</v>
      </c>
      <c r="CR359" t="s">
        <v>231</v>
      </c>
      <c r="CS359" t="s">
        <v>231</v>
      </c>
      <c r="CT359" t="s">
        <v>3534</v>
      </c>
      <c r="CU359" t="s">
        <v>4615</v>
      </c>
      <c r="CV359" t="s">
        <v>4616</v>
      </c>
      <c r="CW359" t="s">
        <v>4679</v>
      </c>
      <c r="CX359" t="s">
        <v>203</v>
      </c>
      <c r="CY359" t="s">
        <v>4618</v>
      </c>
      <c r="CZ359" t="s">
        <v>4680</v>
      </c>
      <c r="DA359" t="s">
        <v>4681</v>
      </c>
      <c r="DB359" t="s">
        <v>4679</v>
      </c>
      <c r="DC359" t="s">
        <v>363</v>
      </c>
      <c r="DD359" t="s">
        <v>282</v>
      </c>
      <c r="DE359" t="s">
        <v>4682</v>
      </c>
    </row>
    <row r="360" spans="1:109" ht="11.25" customHeight="1">
      <c r="A360" s="1314" t="s">
        <v>231</v>
      </c>
      <c r="B360" t="s">
        <v>231</v>
      </c>
      <c r="C360" t="s">
        <v>231</v>
      </c>
      <c r="D360" t="s">
        <v>231</v>
      </c>
      <c r="E360" t="s">
        <v>231</v>
      </c>
      <c r="F360" t="s">
        <v>231</v>
      </c>
      <c r="G360" t="s">
        <v>231</v>
      </c>
      <c r="H360" t="s">
        <v>231</v>
      </c>
      <c r="I360" t="s">
        <v>3521</v>
      </c>
      <c r="J360" t="s">
        <v>231</v>
      </c>
      <c r="K360" t="s">
        <v>231</v>
      </c>
      <c r="L360" t="s">
        <v>231</v>
      </c>
      <c r="M360" t="s">
        <v>231</v>
      </c>
      <c r="N360" t="s">
        <v>231</v>
      </c>
      <c r="O360" t="s">
        <v>231</v>
      </c>
      <c r="P360" t="s">
        <v>231</v>
      </c>
      <c r="Q360" t="s">
        <v>231</v>
      </c>
      <c r="R360" t="s">
        <v>4850</v>
      </c>
      <c r="S360" t="s">
        <v>231</v>
      </c>
      <c r="T360" t="s">
        <v>231</v>
      </c>
      <c r="U360" t="s">
        <v>101</v>
      </c>
      <c r="V360" t="s">
        <v>231</v>
      </c>
      <c r="W360" t="s">
        <v>231</v>
      </c>
      <c r="X360" t="s">
        <v>3628</v>
      </c>
      <c r="Y360" t="s">
        <v>231</v>
      </c>
      <c r="Z360" t="s">
        <v>151</v>
      </c>
      <c r="AA360" t="s">
        <v>151</v>
      </c>
      <c r="AB360" t="s">
        <v>160</v>
      </c>
      <c r="AC360" t="s">
        <v>343</v>
      </c>
      <c r="AD360" t="s">
        <v>343</v>
      </c>
      <c r="AE360" t="s">
        <v>344</v>
      </c>
      <c r="AF360" t="s">
        <v>3561</v>
      </c>
      <c r="AG360" t="s">
        <v>3562</v>
      </c>
      <c r="AH360" t="s">
        <v>3609</v>
      </c>
      <c r="AI360" t="s">
        <v>3610</v>
      </c>
      <c r="AJ360" t="s">
        <v>231</v>
      </c>
      <c r="AK360" t="s">
        <v>231</v>
      </c>
      <c r="AL360" t="s">
        <v>231</v>
      </c>
      <c r="AM360" t="s">
        <v>231</v>
      </c>
      <c r="AN360" t="s">
        <v>231</v>
      </c>
      <c r="AO360" t="s">
        <v>231</v>
      </c>
      <c r="AP360" t="s">
        <v>231</v>
      </c>
      <c r="AQ360" t="s">
        <v>231</v>
      </c>
      <c r="AR360" t="s">
        <v>231</v>
      </c>
      <c r="AS360" t="s">
        <v>231</v>
      </c>
      <c r="AT360" t="s">
        <v>231</v>
      </c>
      <c r="AU360" t="s">
        <v>231</v>
      </c>
      <c r="AV360" t="s">
        <v>231</v>
      </c>
      <c r="AW360" t="s">
        <v>231</v>
      </c>
      <c r="AX360" t="s">
        <v>231</v>
      </c>
      <c r="AY360" t="s">
        <v>231</v>
      </c>
      <c r="AZ360" t="s">
        <v>231</v>
      </c>
      <c r="BA360" t="s">
        <v>231</v>
      </c>
      <c r="BB360" t="s">
        <v>231</v>
      </c>
      <c r="BC360" t="s">
        <v>231</v>
      </c>
      <c r="BD360" t="s">
        <v>231</v>
      </c>
      <c r="BE360" t="s">
        <v>4851</v>
      </c>
      <c r="BF360" t="s">
        <v>4852</v>
      </c>
      <c r="BG360" t="s">
        <v>111</v>
      </c>
      <c r="BH360" t="s">
        <v>3632</v>
      </c>
      <c r="BI360" t="s">
        <v>122</v>
      </c>
      <c r="BJ360" t="s">
        <v>231</v>
      </c>
      <c r="BK360" t="s">
        <v>5026</v>
      </c>
      <c r="BL360" t="s">
        <v>343</v>
      </c>
      <c r="BM360" t="s">
        <v>343</v>
      </c>
      <c r="BN360" t="s">
        <v>3634</v>
      </c>
      <c r="BO360" t="s">
        <v>3561</v>
      </c>
      <c r="BP360" t="s">
        <v>3635</v>
      </c>
      <c r="BQ360" t="s">
        <v>3983</v>
      </c>
      <c r="BR360" t="s">
        <v>3610</v>
      </c>
      <c r="BS360" t="s">
        <v>231</v>
      </c>
      <c r="BT360" t="s">
        <v>3637</v>
      </c>
      <c r="BU360" t="s">
        <v>5027</v>
      </c>
      <c r="BV360" t="s">
        <v>5028</v>
      </c>
      <c r="BW360" t="s">
        <v>5029</v>
      </c>
      <c r="BX360" t="s">
        <v>4857</v>
      </c>
      <c r="BY360" t="s">
        <v>4858</v>
      </c>
      <c r="BZ360" t="s">
        <v>4859</v>
      </c>
      <c r="CA360" t="s">
        <v>4860</v>
      </c>
      <c r="CB360" t="s">
        <v>3641</v>
      </c>
      <c r="CC360" t="s">
        <v>3641</v>
      </c>
      <c r="CD360" t="s">
        <v>3641</v>
      </c>
      <c r="CE360" t="s">
        <v>3641</v>
      </c>
      <c r="CF360" t="s">
        <v>4860</v>
      </c>
      <c r="CG360" t="s">
        <v>4861</v>
      </c>
      <c r="CH360" t="s">
        <v>4861</v>
      </c>
      <c r="CI360" t="s">
        <v>3641</v>
      </c>
      <c r="CJ360" t="s">
        <v>3641</v>
      </c>
      <c r="CK360" t="s">
        <v>3641</v>
      </c>
      <c r="CL360" t="s">
        <v>3641</v>
      </c>
      <c r="CM360" t="s">
        <v>5030</v>
      </c>
      <c r="CN360" t="s">
        <v>5031</v>
      </c>
      <c r="CO360" t="s">
        <v>5029</v>
      </c>
      <c r="CP360" t="s">
        <v>4857</v>
      </c>
      <c r="CQ360" t="s">
        <v>4858</v>
      </c>
      <c r="CR360" t="s">
        <v>4864</v>
      </c>
      <c r="CS360" t="s">
        <v>3642</v>
      </c>
      <c r="CT360" t="s">
        <v>3534</v>
      </c>
      <c r="CU360" t="s">
        <v>3535</v>
      </c>
      <c r="CV360" t="s">
        <v>3536</v>
      </c>
      <c r="CW360" t="s">
        <v>3643</v>
      </c>
      <c r="CX360" t="s">
        <v>3570</v>
      </c>
      <c r="CY360" t="s">
        <v>3536</v>
      </c>
      <c r="CZ360" t="s">
        <v>224</v>
      </c>
      <c r="DA360" t="s">
        <v>3571</v>
      </c>
      <c r="DB360" t="s">
        <v>3643</v>
      </c>
      <c r="DC360" t="s">
        <v>363</v>
      </c>
      <c r="DD360" t="s">
        <v>282</v>
      </c>
      <c r="DE360" t="s">
        <v>3614</v>
      </c>
    </row>
    <row r="361" spans="1:109" ht="11.25" customHeight="1">
      <c r="A361" s="1314" t="s">
        <v>231</v>
      </c>
      <c r="B361" t="s">
        <v>231</v>
      </c>
      <c r="C361" t="s">
        <v>231</v>
      </c>
      <c r="D361" t="s">
        <v>231</v>
      </c>
      <c r="E361" t="s">
        <v>231</v>
      </c>
      <c r="F361" t="s">
        <v>231</v>
      </c>
      <c r="G361" t="s">
        <v>231</v>
      </c>
      <c r="H361" t="s">
        <v>231</v>
      </c>
      <c r="I361" t="s">
        <v>3521</v>
      </c>
      <c r="J361" t="s">
        <v>231</v>
      </c>
      <c r="K361" t="s">
        <v>231</v>
      </c>
      <c r="L361" t="s">
        <v>231</v>
      </c>
      <c r="M361" t="s">
        <v>231</v>
      </c>
      <c r="N361" t="s">
        <v>231</v>
      </c>
      <c r="O361" t="s">
        <v>231</v>
      </c>
      <c r="P361" t="s">
        <v>231</v>
      </c>
      <c r="Q361" t="s">
        <v>231</v>
      </c>
      <c r="R361" t="s">
        <v>3615</v>
      </c>
      <c r="S361" t="s">
        <v>231</v>
      </c>
      <c r="T361" t="s">
        <v>231</v>
      </c>
      <c r="U361" t="s">
        <v>101</v>
      </c>
      <c r="V361" t="s">
        <v>231</v>
      </c>
      <c r="W361" t="s">
        <v>231</v>
      </c>
      <c r="X361" t="s">
        <v>3523</v>
      </c>
      <c r="Y361" t="s">
        <v>231</v>
      </c>
      <c r="Z361" t="s">
        <v>160</v>
      </c>
      <c r="AA361" t="s">
        <v>151</v>
      </c>
      <c r="AB361" t="s">
        <v>151</v>
      </c>
      <c r="AC361" t="s">
        <v>2287</v>
      </c>
      <c r="AD361" t="s">
        <v>2287</v>
      </c>
      <c r="AE361" t="s">
        <v>2288</v>
      </c>
      <c r="AF361" t="s">
        <v>3854</v>
      </c>
      <c r="AG361" t="s">
        <v>3855</v>
      </c>
      <c r="AH361" t="s">
        <v>3609</v>
      </c>
      <c r="AI361" t="s">
        <v>3860</v>
      </c>
      <c r="AJ361" t="s">
        <v>3619</v>
      </c>
      <c r="AK361" t="s">
        <v>3861</v>
      </c>
      <c r="AL361" t="s">
        <v>3548</v>
      </c>
      <c r="AM361" t="s">
        <v>3531</v>
      </c>
      <c r="AN361" t="s">
        <v>3621</v>
      </c>
      <c r="AO361" t="s">
        <v>3679</v>
      </c>
      <c r="AP361" t="s">
        <v>231</v>
      </c>
      <c r="AQ361" t="s">
        <v>231</v>
      </c>
      <c r="AR361" t="s">
        <v>231</v>
      </c>
      <c r="AS361" t="s">
        <v>231</v>
      </c>
      <c r="AT361" t="s">
        <v>231</v>
      </c>
      <c r="AU361" t="s">
        <v>231</v>
      </c>
      <c r="AV361" t="s">
        <v>231</v>
      </c>
      <c r="AW361" t="s">
        <v>231</v>
      </c>
      <c r="AX361" t="s">
        <v>231</v>
      </c>
      <c r="AY361" t="s">
        <v>231</v>
      </c>
      <c r="AZ361" t="s">
        <v>231</v>
      </c>
      <c r="BA361" t="s">
        <v>231</v>
      </c>
      <c r="BB361" t="s">
        <v>231</v>
      </c>
      <c r="BC361" t="s">
        <v>231</v>
      </c>
      <c r="BD361" t="s">
        <v>231</v>
      </c>
      <c r="BE361" t="s">
        <v>231</v>
      </c>
      <c r="BF361" t="s">
        <v>231</v>
      </c>
      <c r="BG361" t="s">
        <v>231</v>
      </c>
      <c r="BH361" t="s">
        <v>231</v>
      </c>
      <c r="BI361" t="s">
        <v>231</v>
      </c>
      <c r="BJ361" t="s">
        <v>231</v>
      </c>
      <c r="BK361" t="s">
        <v>231</v>
      </c>
      <c r="BL361" t="s">
        <v>231</v>
      </c>
      <c r="BM361" t="s">
        <v>231</v>
      </c>
      <c r="BN361" t="s">
        <v>231</v>
      </c>
      <c r="BO361" t="s">
        <v>231</v>
      </c>
      <c r="BP361" t="s">
        <v>231</v>
      </c>
      <c r="BQ361" t="s">
        <v>231</v>
      </c>
      <c r="BR361" t="s">
        <v>231</v>
      </c>
      <c r="BS361" t="s">
        <v>231</v>
      </c>
      <c r="BT361" t="s">
        <v>231</v>
      </c>
      <c r="BU361" t="s">
        <v>231</v>
      </c>
      <c r="BV361" t="s">
        <v>231</v>
      </c>
      <c r="BW361" t="s">
        <v>231</v>
      </c>
      <c r="BX361" t="s">
        <v>231</v>
      </c>
      <c r="BY361" t="s">
        <v>231</v>
      </c>
      <c r="BZ361" t="s">
        <v>231</v>
      </c>
      <c r="CA361" t="s">
        <v>231</v>
      </c>
      <c r="CB361" t="s">
        <v>231</v>
      </c>
      <c r="CC361" t="s">
        <v>231</v>
      </c>
      <c r="CD361" t="s">
        <v>231</v>
      </c>
      <c r="CE361" t="s">
        <v>231</v>
      </c>
      <c r="CF361" t="s">
        <v>231</v>
      </c>
      <c r="CG361" t="s">
        <v>231</v>
      </c>
      <c r="CH361" t="s">
        <v>231</v>
      </c>
      <c r="CI361" t="s">
        <v>231</v>
      </c>
      <c r="CJ361" t="s">
        <v>231</v>
      </c>
      <c r="CK361" t="s">
        <v>231</v>
      </c>
      <c r="CL361" t="s">
        <v>231</v>
      </c>
      <c r="CM361" t="s">
        <v>231</v>
      </c>
      <c r="CN361" t="s">
        <v>231</v>
      </c>
      <c r="CO361" t="s">
        <v>231</v>
      </c>
      <c r="CP361" t="s">
        <v>231</v>
      </c>
      <c r="CQ361" t="s">
        <v>231</v>
      </c>
      <c r="CR361" t="s">
        <v>231</v>
      </c>
      <c r="CS361" t="s">
        <v>231</v>
      </c>
      <c r="CT361" t="s">
        <v>3534</v>
      </c>
      <c r="CU361" t="s">
        <v>3535</v>
      </c>
      <c r="CV361" t="s">
        <v>3536</v>
      </c>
      <c r="CW361" t="s">
        <v>3623</v>
      </c>
      <c r="CX361" t="s">
        <v>223</v>
      </c>
      <c r="CY361" t="s">
        <v>3536</v>
      </c>
      <c r="CZ361" t="s">
        <v>3624</v>
      </c>
      <c r="DA361" t="s">
        <v>3625</v>
      </c>
      <c r="DB361" t="s">
        <v>3623</v>
      </c>
      <c r="DC361" t="s">
        <v>363</v>
      </c>
      <c r="DD361" t="s">
        <v>282</v>
      </c>
      <c r="DE361" t="s">
        <v>3862</v>
      </c>
    </row>
    <row r="362" spans="1:109" ht="11.25" customHeight="1">
      <c r="A362" s="1314" t="s">
        <v>231</v>
      </c>
      <c r="B362" t="s">
        <v>231</v>
      </c>
      <c r="C362" t="s">
        <v>231</v>
      </c>
      <c r="D362" t="s">
        <v>231</v>
      </c>
      <c r="E362" t="s">
        <v>231</v>
      </c>
      <c r="F362" t="s">
        <v>231</v>
      </c>
      <c r="G362" t="s">
        <v>231</v>
      </c>
      <c r="H362" t="s">
        <v>231</v>
      </c>
      <c r="I362" t="s">
        <v>3521</v>
      </c>
      <c r="J362" t="s">
        <v>231</v>
      </c>
      <c r="K362" t="s">
        <v>231</v>
      </c>
      <c r="L362" t="s">
        <v>231</v>
      </c>
      <c r="M362" t="s">
        <v>231</v>
      </c>
      <c r="N362" t="s">
        <v>231</v>
      </c>
      <c r="O362" t="s">
        <v>231</v>
      </c>
      <c r="P362" t="s">
        <v>231</v>
      </c>
      <c r="Q362" t="s">
        <v>231</v>
      </c>
      <c r="R362" t="s">
        <v>4140</v>
      </c>
      <c r="S362" t="s">
        <v>231</v>
      </c>
      <c r="T362" t="s">
        <v>231</v>
      </c>
      <c r="U362" t="s">
        <v>101</v>
      </c>
      <c r="V362" t="s">
        <v>231</v>
      </c>
      <c r="W362" t="s">
        <v>231</v>
      </c>
      <c r="X362" t="s">
        <v>3628</v>
      </c>
      <c r="Y362" t="s">
        <v>231</v>
      </c>
      <c r="Z362" t="s">
        <v>151</v>
      </c>
      <c r="AA362" t="s">
        <v>151</v>
      </c>
      <c r="AB362" t="s">
        <v>160</v>
      </c>
      <c r="AC362" t="s">
        <v>2287</v>
      </c>
      <c r="AD362" t="s">
        <v>2287</v>
      </c>
      <c r="AE362" t="s">
        <v>2288</v>
      </c>
      <c r="AF362" t="s">
        <v>3854</v>
      </c>
      <c r="AG362" t="s">
        <v>3855</v>
      </c>
      <c r="AH362" t="s">
        <v>3618</v>
      </c>
      <c r="AI362" t="s">
        <v>3618</v>
      </c>
      <c r="AJ362" t="s">
        <v>231</v>
      </c>
      <c r="AK362" t="s">
        <v>231</v>
      </c>
      <c r="AL362" t="s">
        <v>231</v>
      </c>
      <c r="AM362" t="s">
        <v>231</v>
      </c>
      <c r="AN362" t="s">
        <v>231</v>
      </c>
      <c r="AO362" t="s">
        <v>231</v>
      </c>
      <c r="AP362" t="s">
        <v>231</v>
      </c>
      <c r="AQ362" t="s">
        <v>231</v>
      </c>
      <c r="AR362" t="s">
        <v>231</v>
      </c>
      <c r="AS362" t="s">
        <v>231</v>
      </c>
      <c r="AT362" t="s">
        <v>231</v>
      </c>
      <c r="AU362" t="s">
        <v>231</v>
      </c>
      <c r="AV362" t="s">
        <v>231</v>
      </c>
      <c r="AW362" t="s">
        <v>231</v>
      </c>
      <c r="AX362" t="s">
        <v>231</v>
      </c>
      <c r="AY362" t="s">
        <v>231</v>
      </c>
      <c r="AZ362" t="s">
        <v>231</v>
      </c>
      <c r="BA362" t="s">
        <v>231</v>
      </c>
      <c r="BB362" t="s">
        <v>231</v>
      </c>
      <c r="BC362" t="s">
        <v>231</v>
      </c>
      <c r="BD362" t="s">
        <v>231</v>
      </c>
      <c r="BE362" t="s">
        <v>4042</v>
      </c>
      <c r="BF362" t="s">
        <v>4141</v>
      </c>
      <c r="BG362" t="s">
        <v>111</v>
      </c>
      <c r="BH362" t="s">
        <v>3632</v>
      </c>
      <c r="BI362" t="s">
        <v>122</v>
      </c>
      <c r="BJ362" t="s">
        <v>231</v>
      </c>
      <c r="BK362" t="s">
        <v>3651</v>
      </c>
      <c r="BL362" t="s">
        <v>2287</v>
      </c>
      <c r="BM362" t="s">
        <v>2287</v>
      </c>
      <c r="BN362" t="s">
        <v>3842</v>
      </c>
      <c r="BO362" t="s">
        <v>3854</v>
      </c>
      <c r="BP362" t="s">
        <v>4142</v>
      </c>
      <c r="BQ362" t="s">
        <v>3618</v>
      </c>
      <c r="BR362" t="s">
        <v>3618</v>
      </c>
      <c r="BS362" t="s">
        <v>231</v>
      </c>
      <c r="BT362" t="s">
        <v>3694</v>
      </c>
      <c r="BU362" t="s">
        <v>4143</v>
      </c>
      <c r="BV362" t="s">
        <v>4143</v>
      </c>
      <c r="BW362" t="s">
        <v>3641</v>
      </c>
      <c r="BX362" t="s">
        <v>3641</v>
      </c>
      <c r="BY362" t="s">
        <v>3641</v>
      </c>
      <c r="BZ362" t="s">
        <v>3641</v>
      </c>
      <c r="CA362" t="s">
        <v>3641</v>
      </c>
      <c r="CB362" t="s">
        <v>231</v>
      </c>
      <c r="CC362" t="s">
        <v>231</v>
      </c>
      <c r="CD362" t="s">
        <v>231</v>
      </c>
      <c r="CE362" t="s">
        <v>231</v>
      </c>
      <c r="CF362" t="s">
        <v>231</v>
      </c>
      <c r="CG362" t="s">
        <v>3641</v>
      </c>
      <c r="CH362" t="s">
        <v>231</v>
      </c>
      <c r="CI362" t="s">
        <v>231</v>
      </c>
      <c r="CJ362" t="s">
        <v>231</v>
      </c>
      <c r="CK362" t="s">
        <v>231</v>
      </c>
      <c r="CL362" t="s">
        <v>231</v>
      </c>
      <c r="CM362" t="s">
        <v>4143</v>
      </c>
      <c r="CN362" t="s">
        <v>4143</v>
      </c>
      <c r="CO362" t="s">
        <v>231</v>
      </c>
      <c r="CP362" t="s">
        <v>231</v>
      </c>
      <c r="CQ362" t="s">
        <v>231</v>
      </c>
      <c r="CR362" t="s">
        <v>231</v>
      </c>
      <c r="CS362" t="s">
        <v>3529</v>
      </c>
      <c r="CT362" t="s">
        <v>3534</v>
      </c>
      <c r="CU362" t="s">
        <v>3535</v>
      </c>
      <c r="CV362" t="s">
        <v>3536</v>
      </c>
      <c r="CW362" t="s">
        <v>3623</v>
      </c>
      <c r="CX362" t="s">
        <v>223</v>
      </c>
      <c r="CY362" t="s">
        <v>3536</v>
      </c>
      <c r="CZ362" t="s">
        <v>3624</v>
      </c>
      <c r="DA362" t="s">
        <v>3625</v>
      </c>
      <c r="DB362" t="s">
        <v>3623</v>
      </c>
      <c r="DC362" t="s">
        <v>363</v>
      </c>
      <c r="DD362" t="s">
        <v>282</v>
      </c>
      <c r="DE362" t="s">
        <v>4144</v>
      </c>
    </row>
    <row r="363" spans="1:109" ht="11.25" customHeight="1">
      <c r="A363" s="1314" t="s">
        <v>231</v>
      </c>
      <c r="B363" t="s">
        <v>231</v>
      </c>
      <c r="C363" t="s">
        <v>231</v>
      </c>
      <c r="D363" t="s">
        <v>231</v>
      </c>
      <c r="E363" t="s">
        <v>231</v>
      </c>
      <c r="F363" t="s">
        <v>231</v>
      </c>
      <c r="G363" t="s">
        <v>231</v>
      </c>
      <c r="H363" t="s">
        <v>231</v>
      </c>
      <c r="I363" t="s">
        <v>3521</v>
      </c>
      <c r="J363" t="s">
        <v>231</v>
      </c>
      <c r="K363" t="s">
        <v>231</v>
      </c>
      <c r="L363" t="s">
        <v>231</v>
      </c>
      <c r="M363" t="s">
        <v>231</v>
      </c>
      <c r="N363" t="s">
        <v>231</v>
      </c>
      <c r="O363" t="s">
        <v>231</v>
      </c>
      <c r="P363" t="s">
        <v>231</v>
      </c>
      <c r="Q363" t="s">
        <v>231</v>
      </c>
      <c r="R363" t="s">
        <v>4406</v>
      </c>
      <c r="S363" t="s">
        <v>231</v>
      </c>
      <c r="T363" t="s">
        <v>231</v>
      </c>
      <c r="U363" t="s">
        <v>101</v>
      </c>
      <c r="V363" t="s">
        <v>231</v>
      </c>
      <c r="W363" t="s">
        <v>231</v>
      </c>
      <c r="X363" t="s">
        <v>3628</v>
      </c>
      <c r="Y363" t="s">
        <v>231</v>
      </c>
      <c r="Z363" t="s">
        <v>151</v>
      </c>
      <c r="AA363" t="s">
        <v>151</v>
      </c>
      <c r="AB363" t="s">
        <v>160</v>
      </c>
      <c r="AC363" t="s">
        <v>2287</v>
      </c>
      <c r="AD363" t="s">
        <v>2287</v>
      </c>
      <c r="AE363" t="s">
        <v>2288</v>
      </c>
      <c r="AF363" t="s">
        <v>4347</v>
      </c>
      <c r="AG363" t="s">
        <v>4348</v>
      </c>
      <c r="AH363" t="s">
        <v>3618</v>
      </c>
      <c r="AI363" t="s">
        <v>3618</v>
      </c>
      <c r="AJ363" t="s">
        <v>231</v>
      </c>
      <c r="AK363" t="s">
        <v>231</v>
      </c>
      <c r="AL363" t="s">
        <v>231</v>
      </c>
      <c r="AM363" t="s">
        <v>231</v>
      </c>
      <c r="AN363" t="s">
        <v>231</v>
      </c>
      <c r="AO363" t="s">
        <v>231</v>
      </c>
      <c r="AP363" t="s">
        <v>231</v>
      </c>
      <c r="AQ363" t="s">
        <v>231</v>
      </c>
      <c r="AR363" t="s">
        <v>231</v>
      </c>
      <c r="AS363" t="s">
        <v>231</v>
      </c>
      <c r="AT363" t="s">
        <v>231</v>
      </c>
      <c r="AU363" t="s">
        <v>231</v>
      </c>
      <c r="AV363" t="s">
        <v>231</v>
      </c>
      <c r="AW363" t="s">
        <v>231</v>
      </c>
      <c r="AX363" t="s">
        <v>231</v>
      </c>
      <c r="AY363" t="s">
        <v>231</v>
      </c>
      <c r="AZ363" t="s">
        <v>231</v>
      </c>
      <c r="BA363" t="s">
        <v>231</v>
      </c>
      <c r="BB363" t="s">
        <v>231</v>
      </c>
      <c r="BC363" t="s">
        <v>231</v>
      </c>
      <c r="BD363" t="s">
        <v>231</v>
      </c>
      <c r="BE363" t="s">
        <v>3619</v>
      </c>
      <c r="BF363" t="s">
        <v>4350</v>
      </c>
      <c r="BG363" t="s">
        <v>111</v>
      </c>
      <c r="BH363" t="s">
        <v>3632</v>
      </c>
      <c r="BI363" t="s">
        <v>122</v>
      </c>
      <c r="BJ363" t="s">
        <v>231</v>
      </c>
      <c r="BK363" t="s">
        <v>3651</v>
      </c>
      <c r="BL363" t="s">
        <v>2287</v>
      </c>
      <c r="BM363" t="s">
        <v>2287</v>
      </c>
      <c r="BN363" t="s">
        <v>3842</v>
      </c>
      <c r="BO363" t="s">
        <v>4347</v>
      </c>
      <c r="BP363" t="s">
        <v>4407</v>
      </c>
      <c r="BQ363" t="s">
        <v>3618</v>
      </c>
      <c r="BR363" t="s">
        <v>3618</v>
      </c>
      <c r="BS363" t="s">
        <v>231</v>
      </c>
      <c r="BT363" t="s">
        <v>3694</v>
      </c>
      <c r="BU363" t="s">
        <v>4408</v>
      </c>
      <c r="BV363" t="s">
        <v>4408</v>
      </c>
      <c r="BW363" t="s">
        <v>3641</v>
      </c>
      <c r="BX363" t="s">
        <v>3641</v>
      </c>
      <c r="BY363" t="s">
        <v>3641</v>
      </c>
      <c r="BZ363" t="s">
        <v>3641</v>
      </c>
      <c r="CA363" t="s">
        <v>3641</v>
      </c>
      <c r="CB363" t="s">
        <v>231</v>
      </c>
      <c r="CC363" t="s">
        <v>231</v>
      </c>
      <c r="CD363" t="s">
        <v>231</v>
      </c>
      <c r="CE363" t="s">
        <v>231</v>
      </c>
      <c r="CF363" t="s">
        <v>231</v>
      </c>
      <c r="CG363" t="s">
        <v>3641</v>
      </c>
      <c r="CH363" t="s">
        <v>231</v>
      </c>
      <c r="CI363" t="s">
        <v>231</v>
      </c>
      <c r="CJ363" t="s">
        <v>231</v>
      </c>
      <c r="CK363" t="s">
        <v>231</v>
      </c>
      <c r="CL363" t="s">
        <v>231</v>
      </c>
      <c r="CM363" t="s">
        <v>4408</v>
      </c>
      <c r="CN363" t="s">
        <v>4408</v>
      </c>
      <c r="CO363" t="s">
        <v>231</v>
      </c>
      <c r="CP363" t="s">
        <v>231</v>
      </c>
      <c r="CQ363" t="s">
        <v>231</v>
      </c>
      <c r="CR363" t="s">
        <v>231</v>
      </c>
      <c r="CS363" t="s">
        <v>3529</v>
      </c>
      <c r="CT363" t="s">
        <v>3534</v>
      </c>
      <c r="CU363" t="s">
        <v>3535</v>
      </c>
      <c r="CV363" t="s">
        <v>3536</v>
      </c>
      <c r="CW363" t="s">
        <v>3623</v>
      </c>
      <c r="CX363" t="s">
        <v>223</v>
      </c>
      <c r="CY363" t="s">
        <v>3536</v>
      </c>
      <c r="CZ363" t="s">
        <v>3624</v>
      </c>
      <c r="DA363" t="s">
        <v>3625</v>
      </c>
      <c r="DB363" t="s">
        <v>3623</v>
      </c>
      <c r="DC363" t="s">
        <v>363</v>
      </c>
      <c r="DD363" t="s">
        <v>282</v>
      </c>
      <c r="DE363" t="s">
        <v>4409</v>
      </c>
    </row>
    <row r="364" spans="1:109" ht="11.25" customHeight="1">
      <c r="A364" s="1314" t="s">
        <v>231</v>
      </c>
      <c r="B364" t="s">
        <v>231</v>
      </c>
      <c r="C364" t="s">
        <v>231</v>
      </c>
      <c r="D364" t="s">
        <v>231</v>
      </c>
      <c r="E364" t="s">
        <v>231</v>
      </c>
      <c r="F364" t="s">
        <v>231</v>
      </c>
      <c r="G364" t="s">
        <v>231</v>
      </c>
      <c r="H364" t="s">
        <v>231</v>
      </c>
      <c r="I364" t="s">
        <v>3521</v>
      </c>
      <c r="J364" t="s">
        <v>231</v>
      </c>
      <c r="K364" t="s">
        <v>231</v>
      </c>
      <c r="L364" t="s">
        <v>231</v>
      </c>
      <c r="M364" t="s">
        <v>231</v>
      </c>
      <c r="N364" t="s">
        <v>231</v>
      </c>
      <c r="O364" t="s">
        <v>231</v>
      </c>
      <c r="P364" t="s">
        <v>231</v>
      </c>
      <c r="Q364" t="s">
        <v>231</v>
      </c>
      <c r="R364" t="s">
        <v>4611</v>
      </c>
      <c r="S364" t="s">
        <v>231</v>
      </c>
      <c r="T364" t="s">
        <v>231</v>
      </c>
      <c r="U364" t="s">
        <v>101</v>
      </c>
      <c r="V364" t="s">
        <v>231</v>
      </c>
      <c r="W364" t="s">
        <v>231</v>
      </c>
      <c r="X364" t="s">
        <v>3523</v>
      </c>
      <c r="Y364" t="s">
        <v>231</v>
      </c>
      <c r="Z364" t="s">
        <v>160</v>
      </c>
      <c r="AA364" t="s">
        <v>151</v>
      </c>
      <c r="AB364" t="s">
        <v>151</v>
      </c>
      <c r="AC364" t="s">
        <v>2283</v>
      </c>
      <c r="AD364" t="s">
        <v>2283</v>
      </c>
      <c r="AE364" t="s">
        <v>2284</v>
      </c>
      <c r="AF364" t="s">
        <v>3652</v>
      </c>
      <c r="AG364" t="s">
        <v>3653</v>
      </c>
      <c r="AH364" t="s">
        <v>4612</v>
      </c>
      <c r="AI364" t="s">
        <v>4613</v>
      </c>
      <c r="AJ364" t="s">
        <v>3619</v>
      </c>
      <c r="AK364" t="s">
        <v>4614</v>
      </c>
      <c r="AL364" t="s">
        <v>3548</v>
      </c>
      <c r="AM364" t="s">
        <v>3531</v>
      </c>
      <c r="AN364" t="s">
        <v>3595</v>
      </c>
      <c r="AO364" t="s">
        <v>3790</v>
      </c>
      <c r="AP364" t="s">
        <v>231</v>
      </c>
      <c r="AQ364" t="s">
        <v>231</v>
      </c>
      <c r="AR364" t="s">
        <v>231</v>
      </c>
      <c r="AS364" t="s">
        <v>231</v>
      </c>
      <c r="AT364" t="s">
        <v>231</v>
      </c>
      <c r="AU364" t="s">
        <v>231</v>
      </c>
      <c r="AV364" t="s">
        <v>231</v>
      </c>
      <c r="AW364" t="s">
        <v>231</v>
      </c>
      <c r="AX364" t="s">
        <v>231</v>
      </c>
      <c r="AY364" t="s">
        <v>231</v>
      </c>
      <c r="AZ364" t="s">
        <v>231</v>
      </c>
      <c r="BA364" t="s">
        <v>231</v>
      </c>
      <c r="BB364" t="s">
        <v>231</v>
      </c>
      <c r="BC364" t="s">
        <v>231</v>
      </c>
      <c r="BD364" t="s">
        <v>231</v>
      </c>
      <c r="BE364" t="s">
        <v>231</v>
      </c>
      <c r="BF364" t="s">
        <v>231</v>
      </c>
      <c r="BG364" t="s">
        <v>231</v>
      </c>
      <c r="BH364" t="s">
        <v>231</v>
      </c>
      <c r="BI364" t="s">
        <v>231</v>
      </c>
      <c r="BJ364" t="s">
        <v>231</v>
      </c>
      <c r="BK364" t="s">
        <v>231</v>
      </c>
      <c r="BL364" t="s">
        <v>231</v>
      </c>
      <c r="BM364" t="s">
        <v>231</v>
      </c>
      <c r="BN364" t="s">
        <v>231</v>
      </c>
      <c r="BO364" t="s">
        <v>231</v>
      </c>
      <c r="BP364" t="s">
        <v>231</v>
      </c>
      <c r="BQ364" t="s">
        <v>231</v>
      </c>
      <c r="BR364" t="s">
        <v>231</v>
      </c>
      <c r="BS364" t="s">
        <v>231</v>
      </c>
      <c r="BT364" t="s">
        <v>231</v>
      </c>
      <c r="BU364" t="s">
        <v>231</v>
      </c>
      <c r="BV364" t="s">
        <v>231</v>
      </c>
      <c r="BW364" t="s">
        <v>231</v>
      </c>
      <c r="BX364" t="s">
        <v>231</v>
      </c>
      <c r="BY364" t="s">
        <v>231</v>
      </c>
      <c r="BZ364" t="s">
        <v>231</v>
      </c>
      <c r="CA364" t="s">
        <v>231</v>
      </c>
      <c r="CB364" t="s">
        <v>231</v>
      </c>
      <c r="CC364" t="s">
        <v>231</v>
      </c>
      <c r="CD364" t="s">
        <v>231</v>
      </c>
      <c r="CE364" t="s">
        <v>231</v>
      </c>
      <c r="CF364" t="s">
        <v>231</v>
      </c>
      <c r="CG364" t="s">
        <v>231</v>
      </c>
      <c r="CH364" t="s">
        <v>231</v>
      </c>
      <c r="CI364" t="s">
        <v>231</v>
      </c>
      <c r="CJ364" t="s">
        <v>231</v>
      </c>
      <c r="CK364" t="s">
        <v>231</v>
      </c>
      <c r="CL364" t="s">
        <v>231</v>
      </c>
      <c r="CM364" t="s">
        <v>231</v>
      </c>
      <c r="CN364" t="s">
        <v>231</v>
      </c>
      <c r="CO364" t="s">
        <v>231</v>
      </c>
      <c r="CP364" t="s">
        <v>231</v>
      </c>
      <c r="CQ364" t="s">
        <v>231</v>
      </c>
      <c r="CR364" t="s">
        <v>231</v>
      </c>
      <c r="CS364" t="s">
        <v>231</v>
      </c>
      <c r="CT364" t="s">
        <v>3534</v>
      </c>
      <c r="CU364" t="s">
        <v>4615</v>
      </c>
      <c r="CV364" t="s">
        <v>4616</v>
      </c>
      <c r="CW364" t="s">
        <v>4617</v>
      </c>
      <c r="CX364" t="s">
        <v>203</v>
      </c>
      <c r="CY364" t="s">
        <v>4618</v>
      </c>
      <c r="CZ364" t="s">
        <v>4619</v>
      </c>
      <c r="DA364" t="s">
        <v>4620</v>
      </c>
      <c r="DB364" t="s">
        <v>4617</v>
      </c>
      <c r="DC364" t="s">
        <v>363</v>
      </c>
      <c r="DD364" t="s">
        <v>282</v>
      </c>
      <c r="DE364" t="s">
        <v>4621</v>
      </c>
    </row>
    <row r="365" spans="1:109" ht="11.25" customHeight="1">
      <c r="A365" s="1314" t="s">
        <v>231</v>
      </c>
      <c r="B365" t="s">
        <v>231</v>
      </c>
      <c r="C365" t="s">
        <v>231</v>
      </c>
      <c r="D365" t="s">
        <v>231</v>
      </c>
      <c r="E365" t="s">
        <v>231</v>
      </c>
      <c r="F365" t="s">
        <v>231</v>
      </c>
      <c r="G365" t="s">
        <v>231</v>
      </c>
      <c r="H365" t="s">
        <v>231</v>
      </c>
      <c r="I365" t="s">
        <v>3521</v>
      </c>
      <c r="J365" t="s">
        <v>231</v>
      </c>
      <c r="K365" t="s">
        <v>231</v>
      </c>
      <c r="L365" t="s">
        <v>231</v>
      </c>
      <c r="M365" t="s">
        <v>231</v>
      </c>
      <c r="N365" t="s">
        <v>231</v>
      </c>
      <c r="O365" t="s">
        <v>231</v>
      </c>
      <c r="P365" t="s">
        <v>231</v>
      </c>
      <c r="Q365" t="s">
        <v>231</v>
      </c>
      <c r="R365" t="s">
        <v>4847</v>
      </c>
      <c r="S365" t="s">
        <v>231</v>
      </c>
      <c r="T365" t="s">
        <v>231</v>
      </c>
      <c r="U365" t="s">
        <v>101</v>
      </c>
      <c r="V365" t="s">
        <v>231</v>
      </c>
      <c r="W365" t="s">
        <v>231</v>
      </c>
      <c r="X365" t="s">
        <v>3523</v>
      </c>
      <c r="Y365" t="s">
        <v>231</v>
      </c>
      <c r="Z365" t="s">
        <v>160</v>
      </c>
      <c r="AA365" t="s">
        <v>151</v>
      </c>
      <c r="AB365" t="s">
        <v>151</v>
      </c>
      <c r="AC365" t="s">
        <v>2283</v>
      </c>
      <c r="AD365" t="s">
        <v>2283</v>
      </c>
      <c r="AE365" t="s">
        <v>2284</v>
      </c>
      <c r="AF365" t="s">
        <v>4083</v>
      </c>
      <c r="AG365" t="s">
        <v>4084</v>
      </c>
      <c r="AH365" t="s">
        <v>4848</v>
      </c>
      <c r="AI365" t="s">
        <v>3893</v>
      </c>
      <c r="AJ365" t="s">
        <v>3619</v>
      </c>
      <c r="AK365" t="s">
        <v>3619</v>
      </c>
      <c r="AL365" t="s">
        <v>3548</v>
      </c>
      <c r="AM365" t="s">
        <v>3531</v>
      </c>
      <c r="AN365" t="s">
        <v>3595</v>
      </c>
      <c r="AO365" t="s">
        <v>4151</v>
      </c>
      <c r="AP365" t="s">
        <v>231</v>
      </c>
      <c r="AQ365" t="s">
        <v>231</v>
      </c>
      <c r="AR365" t="s">
        <v>231</v>
      </c>
      <c r="AS365" t="s">
        <v>231</v>
      </c>
      <c r="AT365" t="s">
        <v>231</v>
      </c>
      <c r="AU365" t="s">
        <v>231</v>
      </c>
      <c r="AV365" t="s">
        <v>231</v>
      </c>
      <c r="AW365" t="s">
        <v>231</v>
      </c>
      <c r="AX365" t="s">
        <v>231</v>
      </c>
      <c r="AY365" t="s">
        <v>231</v>
      </c>
      <c r="AZ365" t="s">
        <v>231</v>
      </c>
      <c r="BA365" t="s">
        <v>231</v>
      </c>
      <c r="BB365" t="s">
        <v>231</v>
      </c>
      <c r="BC365" t="s">
        <v>231</v>
      </c>
      <c r="BD365" t="s">
        <v>231</v>
      </c>
      <c r="BE365" t="s">
        <v>231</v>
      </c>
      <c r="BF365" t="s">
        <v>231</v>
      </c>
      <c r="BG365" t="s">
        <v>231</v>
      </c>
      <c r="BH365" t="s">
        <v>231</v>
      </c>
      <c r="BI365" t="s">
        <v>231</v>
      </c>
      <c r="BJ365" t="s">
        <v>231</v>
      </c>
      <c r="BK365" t="s">
        <v>231</v>
      </c>
      <c r="BL365" t="s">
        <v>231</v>
      </c>
      <c r="BM365" t="s">
        <v>231</v>
      </c>
      <c r="BN365" t="s">
        <v>231</v>
      </c>
      <c r="BO365" t="s">
        <v>231</v>
      </c>
      <c r="BP365" t="s">
        <v>231</v>
      </c>
      <c r="BQ365" t="s">
        <v>231</v>
      </c>
      <c r="BR365" t="s">
        <v>231</v>
      </c>
      <c r="BS365" t="s">
        <v>231</v>
      </c>
      <c r="BT365" t="s">
        <v>231</v>
      </c>
      <c r="BU365" t="s">
        <v>231</v>
      </c>
      <c r="BV365" t="s">
        <v>231</v>
      </c>
      <c r="BW365" t="s">
        <v>231</v>
      </c>
      <c r="BX365" t="s">
        <v>231</v>
      </c>
      <c r="BY365" t="s">
        <v>231</v>
      </c>
      <c r="BZ365" t="s">
        <v>231</v>
      </c>
      <c r="CA365" t="s">
        <v>231</v>
      </c>
      <c r="CB365" t="s">
        <v>231</v>
      </c>
      <c r="CC365" t="s">
        <v>231</v>
      </c>
      <c r="CD365" t="s">
        <v>231</v>
      </c>
      <c r="CE365" t="s">
        <v>231</v>
      </c>
      <c r="CF365" t="s">
        <v>231</v>
      </c>
      <c r="CG365" t="s">
        <v>231</v>
      </c>
      <c r="CH365" t="s">
        <v>231</v>
      </c>
      <c r="CI365" t="s">
        <v>231</v>
      </c>
      <c r="CJ365" t="s">
        <v>231</v>
      </c>
      <c r="CK365" t="s">
        <v>231</v>
      </c>
      <c r="CL365" t="s">
        <v>231</v>
      </c>
      <c r="CM365" t="s">
        <v>231</v>
      </c>
      <c r="CN365" t="s">
        <v>231</v>
      </c>
      <c r="CO365" t="s">
        <v>231</v>
      </c>
      <c r="CP365" t="s">
        <v>231</v>
      </c>
      <c r="CQ365" t="s">
        <v>231</v>
      </c>
      <c r="CR365" t="s">
        <v>231</v>
      </c>
      <c r="CS365" t="s">
        <v>231</v>
      </c>
      <c r="CT365" t="s">
        <v>3534</v>
      </c>
      <c r="CU365" t="s">
        <v>3535</v>
      </c>
      <c r="CV365" t="s">
        <v>3536</v>
      </c>
      <c r="CW365" t="s">
        <v>3551</v>
      </c>
      <c r="CX365" t="s">
        <v>223</v>
      </c>
      <c r="CY365" t="s">
        <v>3536</v>
      </c>
      <c r="CZ365" t="s">
        <v>3552</v>
      </c>
      <c r="DA365" t="s">
        <v>3553</v>
      </c>
      <c r="DB365" t="s">
        <v>3551</v>
      </c>
      <c r="DC365" t="s">
        <v>363</v>
      </c>
      <c r="DD365" t="s">
        <v>282</v>
      </c>
      <c r="DE365" t="s">
        <v>4849</v>
      </c>
    </row>
    <row r="366" spans="1:109" ht="11.25" customHeight="1">
      <c r="A366" s="1314" t="s">
        <v>231</v>
      </c>
      <c r="B366" t="s">
        <v>231</v>
      </c>
      <c r="C366" t="s">
        <v>231</v>
      </c>
      <c r="D366" t="s">
        <v>231</v>
      </c>
      <c r="E366" t="s">
        <v>231</v>
      </c>
      <c r="F366" t="s">
        <v>231</v>
      </c>
      <c r="G366" t="s">
        <v>231</v>
      </c>
      <c r="H366" t="s">
        <v>231</v>
      </c>
      <c r="I366" t="s">
        <v>3521</v>
      </c>
      <c r="J366" t="s">
        <v>231</v>
      </c>
      <c r="K366" t="s">
        <v>231</v>
      </c>
      <c r="L366" t="s">
        <v>231</v>
      </c>
      <c r="M366" t="s">
        <v>231</v>
      </c>
      <c r="N366" t="s">
        <v>231</v>
      </c>
      <c r="O366" t="s">
        <v>231</v>
      </c>
      <c r="P366" t="s">
        <v>231</v>
      </c>
      <c r="Q366" t="s">
        <v>231</v>
      </c>
      <c r="R366" t="s">
        <v>5032</v>
      </c>
      <c r="S366" t="s">
        <v>231</v>
      </c>
      <c r="T366" t="s">
        <v>231</v>
      </c>
      <c r="U366" t="s">
        <v>101</v>
      </c>
      <c r="V366" t="s">
        <v>231</v>
      </c>
      <c r="W366" t="s">
        <v>231</v>
      </c>
      <c r="X366" t="s">
        <v>3523</v>
      </c>
      <c r="Y366" t="s">
        <v>231</v>
      </c>
      <c r="Z366" t="s">
        <v>160</v>
      </c>
      <c r="AA366" t="s">
        <v>151</v>
      </c>
      <c r="AB366" t="s">
        <v>151</v>
      </c>
      <c r="AC366" t="s">
        <v>343</v>
      </c>
      <c r="AD366" t="s">
        <v>343</v>
      </c>
      <c r="AE366" t="s">
        <v>344</v>
      </c>
      <c r="AF366" t="s">
        <v>3561</v>
      </c>
      <c r="AG366" t="s">
        <v>3562</v>
      </c>
      <c r="AH366" t="s">
        <v>5033</v>
      </c>
      <c r="AI366" t="s">
        <v>3618</v>
      </c>
      <c r="AJ366" t="s">
        <v>5034</v>
      </c>
      <c r="AK366" t="s">
        <v>5035</v>
      </c>
      <c r="AL366" t="s">
        <v>3530</v>
      </c>
      <c r="AM366" t="s">
        <v>3531</v>
      </c>
      <c r="AN366" t="s">
        <v>3641</v>
      </c>
      <c r="AO366" t="s">
        <v>5036</v>
      </c>
      <c r="AP366" t="s">
        <v>231</v>
      </c>
      <c r="AQ366" t="s">
        <v>231</v>
      </c>
      <c r="AR366" t="s">
        <v>231</v>
      </c>
      <c r="AS366" t="s">
        <v>231</v>
      </c>
      <c r="AT366" t="s">
        <v>231</v>
      </c>
      <c r="AU366" t="s">
        <v>231</v>
      </c>
      <c r="AV366" t="s">
        <v>231</v>
      </c>
      <c r="AW366" t="s">
        <v>231</v>
      </c>
      <c r="AX366" t="s">
        <v>231</v>
      </c>
      <c r="AY366" t="s">
        <v>231</v>
      </c>
      <c r="AZ366" t="s">
        <v>231</v>
      </c>
      <c r="BA366" t="s">
        <v>231</v>
      </c>
      <c r="BB366" t="s">
        <v>231</v>
      </c>
      <c r="BC366" t="s">
        <v>231</v>
      </c>
      <c r="BD366" t="s">
        <v>231</v>
      </c>
      <c r="BE366" t="s">
        <v>231</v>
      </c>
      <c r="BF366" t="s">
        <v>231</v>
      </c>
      <c r="BG366" t="s">
        <v>231</v>
      </c>
      <c r="BH366" t="s">
        <v>231</v>
      </c>
      <c r="BI366" t="s">
        <v>231</v>
      </c>
      <c r="BJ366" t="s">
        <v>231</v>
      </c>
      <c r="BK366" t="s">
        <v>231</v>
      </c>
      <c r="BL366" t="s">
        <v>231</v>
      </c>
      <c r="BM366" t="s">
        <v>231</v>
      </c>
      <c r="BN366" t="s">
        <v>231</v>
      </c>
      <c r="BO366" t="s">
        <v>231</v>
      </c>
      <c r="BP366" t="s">
        <v>231</v>
      </c>
      <c r="BQ366" t="s">
        <v>231</v>
      </c>
      <c r="BR366" t="s">
        <v>231</v>
      </c>
      <c r="BS366" t="s">
        <v>231</v>
      </c>
      <c r="BT366" t="s">
        <v>231</v>
      </c>
      <c r="BU366" t="s">
        <v>231</v>
      </c>
      <c r="BV366" t="s">
        <v>231</v>
      </c>
      <c r="BW366" t="s">
        <v>231</v>
      </c>
      <c r="BX366" t="s">
        <v>231</v>
      </c>
      <c r="BY366" t="s">
        <v>231</v>
      </c>
      <c r="BZ366" t="s">
        <v>231</v>
      </c>
      <c r="CA366" t="s">
        <v>231</v>
      </c>
      <c r="CB366" t="s">
        <v>231</v>
      </c>
      <c r="CC366" t="s">
        <v>231</v>
      </c>
      <c r="CD366" t="s">
        <v>231</v>
      </c>
      <c r="CE366" t="s">
        <v>231</v>
      </c>
      <c r="CF366" t="s">
        <v>231</v>
      </c>
      <c r="CG366" t="s">
        <v>231</v>
      </c>
      <c r="CH366" t="s">
        <v>231</v>
      </c>
      <c r="CI366" t="s">
        <v>231</v>
      </c>
      <c r="CJ366" t="s">
        <v>231</v>
      </c>
      <c r="CK366" t="s">
        <v>231</v>
      </c>
      <c r="CL366" t="s">
        <v>231</v>
      </c>
      <c r="CM366" t="s">
        <v>231</v>
      </c>
      <c r="CN366" t="s">
        <v>231</v>
      </c>
      <c r="CO366" t="s">
        <v>231</v>
      </c>
      <c r="CP366" t="s">
        <v>231</v>
      </c>
      <c r="CQ366" t="s">
        <v>231</v>
      </c>
      <c r="CR366" t="s">
        <v>231</v>
      </c>
      <c r="CS366" t="s">
        <v>231</v>
      </c>
      <c r="CT366" t="s">
        <v>3534</v>
      </c>
      <c r="CU366" t="s">
        <v>3535</v>
      </c>
      <c r="CV366" t="s">
        <v>3536</v>
      </c>
      <c r="CW366" t="s">
        <v>3569</v>
      </c>
      <c r="CX366" t="s">
        <v>223</v>
      </c>
      <c r="CY366" t="s">
        <v>3536</v>
      </c>
      <c r="CZ366" t="s">
        <v>224</v>
      </c>
      <c r="DA366" t="s">
        <v>3571</v>
      </c>
      <c r="DB366" t="s">
        <v>3569</v>
      </c>
      <c r="DC366" t="s">
        <v>363</v>
      </c>
      <c r="DD366" t="s">
        <v>282</v>
      </c>
      <c r="DE366" t="s">
        <v>5037</v>
      </c>
    </row>
    <row r="367" spans="1:109" ht="11.25" customHeight="1">
      <c r="A367" s="1314" t="s">
        <v>231</v>
      </c>
      <c r="B367" t="s">
        <v>231</v>
      </c>
      <c r="C367" t="s">
        <v>231</v>
      </c>
      <c r="D367" t="s">
        <v>231</v>
      </c>
      <c r="E367" t="s">
        <v>231</v>
      </c>
      <c r="F367" t="s">
        <v>231</v>
      </c>
      <c r="G367" t="s">
        <v>231</v>
      </c>
      <c r="H367" t="s">
        <v>231</v>
      </c>
      <c r="I367" t="s">
        <v>3521</v>
      </c>
      <c r="J367" t="s">
        <v>231</v>
      </c>
      <c r="K367" t="s">
        <v>231</v>
      </c>
      <c r="L367" t="s">
        <v>231</v>
      </c>
      <c r="M367" t="s">
        <v>231</v>
      </c>
      <c r="N367" t="s">
        <v>231</v>
      </c>
      <c r="O367" t="s">
        <v>231</v>
      </c>
      <c r="P367" t="s">
        <v>231</v>
      </c>
      <c r="Q367" t="s">
        <v>231</v>
      </c>
      <c r="R367" t="s">
        <v>3974</v>
      </c>
      <c r="S367" t="s">
        <v>231</v>
      </c>
      <c r="T367" t="s">
        <v>231</v>
      </c>
      <c r="U367" t="s">
        <v>101</v>
      </c>
      <c r="V367" t="s">
        <v>231</v>
      </c>
      <c r="W367" t="s">
        <v>231</v>
      </c>
      <c r="X367" t="s">
        <v>3523</v>
      </c>
      <c r="Y367" t="s">
        <v>231</v>
      </c>
      <c r="Z367" t="s">
        <v>160</v>
      </c>
      <c r="AA367" t="s">
        <v>151</v>
      </c>
      <c r="AB367" t="s">
        <v>151</v>
      </c>
      <c r="AC367" t="s">
        <v>2289</v>
      </c>
      <c r="AD367" t="s">
        <v>2289</v>
      </c>
      <c r="AE367" t="s">
        <v>2290</v>
      </c>
      <c r="AF367" t="s">
        <v>3793</v>
      </c>
      <c r="AG367" t="s">
        <v>3794</v>
      </c>
      <c r="AH367" t="s">
        <v>4402</v>
      </c>
      <c r="AI367" t="s">
        <v>3893</v>
      </c>
      <c r="AJ367" t="s">
        <v>3546</v>
      </c>
      <c r="AK367" t="s">
        <v>3800</v>
      </c>
      <c r="AL367" t="s">
        <v>3548</v>
      </c>
      <c r="AM367" t="s">
        <v>3531</v>
      </c>
      <c r="AN367" t="s">
        <v>3595</v>
      </c>
      <c r="AO367" t="s">
        <v>4124</v>
      </c>
      <c r="AP367" t="s">
        <v>231</v>
      </c>
      <c r="AQ367" t="s">
        <v>231</v>
      </c>
      <c r="AR367" t="s">
        <v>231</v>
      </c>
      <c r="AS367" t="s">
        <v>231</v>
      </c>
      <c r="AT367" t="s">
        <v>231</v>
      </c>
      <c r="AU367" t="s">
        <v>231</v>
      </c>
      <c r="AV367" t="s">
        <v>231</v>
      </c>
      <c r="AW367" t="s">
        <v>231</v>
      </c>
      <c r="AX367" t="s">
        <v>231</v>
      </c>
      <c r="AY367" t="s">
        <v>231</v>
      </c>
      <c r="AZ367" t="s">
        <v>231</v>
      </c>
      <c r="BA367" t="s">
        <v>231</v>
      </c>
      <c r="BB367" t="s">
        <v>231</v>
      </c>
      <c r="BC367" t="s">
        <v>231</v>
      </c>
      <c r="BD367" t="s">
        <v>231</v>
      </c>
      <c r="BE367" t="s">
        <v>231</v>
      </c>
      <c r="BF367" t="s">
        <v>231</v>
      </c>
      <c r="BG367" t="s">
        <v>231</v>
      </c>
      <c r="BH367" t="s">
        <v>231</v>
      </c>
      <c r="BI367" t="s">
        <v>231</v>
      </c>
      <c r="BJ367" t="s">
        <v>231</v>
      </c>
      <c r="BK367" t="s">
        <v>231</v>
      </c>
      <c r="BL367" t="s">
        <v>231</v>
      </c>
      <c r="BM367" t="s">
        <v>231</v>
      </c>
      <c r="BN367" t="s">
        <v>231</v>
      </c>
      <c r="BO367" t="s">
        <v>231</v>
      </c>
      <c r="BP367" t="s">
        <v>231</v>
      </c>
      <c r="BQ367" t="s">
        <v>231</v>
      </c>
      <c r="BR367" t="s">
        <v>231</v>
      </c>
      <c r="BS367" t="s">
        <v>231</v>
      </c>
      <c r="BT367" t="s">
        <v>231</v>
      </c>
      <c r="BU367" t="s">
        <v>231</v>
      </c>
      <c r="BV367" t="s">
        <v>231</v>
      </c>
      <c r="BW367" t="s">
        <v>231</v>
      </c>
      <c r="BX367" t="s">
        <v>231</v>
      </c>
      <c r="BY367" t="s">
        <v>231</v>
      </c>
      <c r="BZ367" t="s">
        <v>231</v>
      </c>
      <c r="CA367" t="s">
        <v>231</v>
      </c>
      <c r="CB367" t="s">
        <v>231</v>
      </c>
      <c r="CC367" t="s">
        <v>231</v>
      </c>
      <c r="CD367" t="s">
        <v>231</v>
      </c>
      <c r="CE367" t="s">
        <v>231</v>
      </c>
      <c r="CF367" t="s">
        <v>231</v>
      </c>
      <c r="CG367" t="s">
        <v>231</v>
      </c>
      <c r="CH367" t="s">
        <v>231</v>
      </c>
      <c r="CI367" t="s">
        <v>231</v>
      </c>
      <c r="CJ367" t="s">
        <v>231</v>
      </c>
      <c r="CK367" t="s">
        <v>231</v>
      </c>
      <c r="CL367" t="s">
        <v>231</v>
      </c>
      <c r="CM367" t="s">
        <v>231</v>
      </c>
      <c r="CN367" t="s">
        <v>231</v>
      </c>
      <c r="CO367" t="s">
        <v>231</v>
      </c>
      <c r="CP367" t="s">
        <v>231</v>
      </c>
      <c r="CQ367" t="s">
        <v>231</v>
      </c>
      <c r="CR367" t="s">
        <v>231</v>
      </c>
      <c r="CS367" t="s">
        <v>231</v>
      </c>
      <c r="CT367" t="s">
        <v>3534</v>
      </c>
      <c r="CU367" t="s">
        <v>3535</v>
      </c>
      <c r="CV367" t="s">
        <v>3536</v>
      </c>
      <c r="CW367" t="s">
        <v>3589</v>
      </c>
      <c r="CX367" t="s">
        <v>223</v>
      </c>
      <c r="CY367" t="s">
        <v>3536</v>
      </c>
      <c r="CZ367" t="s">
        <v>3590</v>
      </c>
      <c r="DA367" t="s">
        <v>3591</v>
      </c>
      <c r="DB367" t="s">
        <v>3589</v>
      </c>
      <c r="DC367" t="s">
        <v>363</v>
      </c>
      <c r="DD367" t="s">
        <v>282</v>
      </c>
      <c r="DE367" t="s">
        <v>4403</v>
      </c>
    </row>
    <row r="368" spans="1:109" ht="11.25" customHeight="1">
      <c r="A368" s="1314" t="s">
        <v>231</v>
      </c>
      <c r="B368" t="s">
        <v>231</v>
      </c>
      <c r="C368" t="s">
        <v>231</v>
      </c>
      <c r="D368" t="s">
        <v>231</v>
      </c>
      <c r="E368" t="s">
        <v>231</v>
      </c>
      <c r="F368" t="s">
        <v>231</v>
      </c>
      <c r="G368" t="s">
        <v>231</v>
      </c>
      <c r="H368" t="s">
        <v>231</v>
      </c>
      <c r="I368" t="s">
        <v>3521</v>
      </c>
      <c r="J368" t="s">
        <v>231</v>
      </c>
      <c r="K368" t="s">
        <v>231</v>
      </c>
      <c r="L368" t="s">
        <v>231</v>
      </c>
      <c r="M368" t="s">
        <v>231</v>
      </c>
      <c r="N368" t="s">
        <v>231</v>
      </c>
      <c r="O368" t="s">
        <v>231</v>
      </c>
      <c r="P368" t="s">
        <v>231</v>
      </c>
      <c r="Q368" t="s">
        <v>231</v>
      </c>
      <c r="R368" t="s">
        <v>3615</v>
      </c>
      <c r="S368" t="s">
        <v>231</v>
      </c>
      <c r="T368" t="s">
        <v>231</v>
      </c>
      <c r="U368" t="s">
        <v>101</v>
      </c>
      <c r="V368" t="s">
        <v>231</v>
      </c>
      <c r="W368" t="s">
        <v>231</v>
      </c>
      <c r="X368" t="s">
        <v>3523</v>
      </c>
      <c r="Y368" t="s">
        <v>231</v>
      </c>
      <c r="Z368" t="s">
        <v>160</v>
      </c>
      <c r="AA368" t="s">
        <v>151</v>
      </c>
      <c r="AB368" t="s">
        <v>151</v>
      </c>
      <c r="AC368" t="s">
        <v>2289</v>
      </c>
      <c r="AD368" t="s">
        <v>2289</v>
      </c>
      <c r="AE368" t="s">
        <v>2290</v>
      </c>
      <c r="AF368" t="s">
        <v>3793</v>
      </c>
      <c r="AG368" t="s">
        <v>3794</v>
      </c>
      <c r="AH368" t="s">
        <v>4647</v>
      </c>
      <c r="AI368" t="s">
        <v>4648</v>
      </c>
      <c r="AJ368" t="s">
        <v>3546</v>
      </c>
      <c r="AK368" t="s">
        <v>3775</v>
      </c>
      <c r="AL368" t="s">
        <v>3548</v>
      </c>
      <c r="AM368" t="s">
        <v>3531</v>
      </c>
      <c r="AN368" t="s">
        <v>3595</v>
      </c>
      <c r="AO368" t="s">
        <v>3790</v>
      </c>
      <c r="AP368" t="s">
        <v>231</v>
      </c>
      <c r="AQ368" t="s">
        <v>231</v>
      </c>
      <c r="AR368" t="s">
        <v>231</v>
      </c>
      <c r="AS368" t="s">
        <v>231</v>
      </c>
      <c r="AT368" t="s">
        <v>231</v>
      </c>
      <c r="AU368" t="s">
        <v>231</v>
      </c>
      <c r="AV368" t="s">
        <v>231</v>
      </c>
      <c r="AW368" t="s">
        <v>231</v>
      </c>
      <c r="AX368" t="s">
        <v>231</v>
      </c>
      <c r="AY368" t="s">
        <v>231</v>
      </c>
      <c r="AZ368" t="s">
        <v>231</v>
      </c>
      <c r="BA368" t="s">
        <v>231</v>
      </c>
      <c r="BB368" t="s">
        <v>231</v>
      </c>
      <c r="BC368" t="s">
        <v>231</v>
      </c>
      <c r="BD368" t="s">
        <v>231</v>
      </c>
      <c r="BE368" t="s">
        <v>231</v>
      </c>
      <c r="BF368" t="s">
        <v>231</v>
      </c>
      <c r="BG368" t="s">
        <v>231</v>
      </c>
      <c r="BH368" t="s">
        <v>231</v>
      </c>
      <c r="BI368" t="s">
        <v>231</v>
      </c>
      <c r="BJ368" t="s">
        <v>231</v>
      </c>
      <c r="BK368" t="s">
        <v>231</v>
      </c>
      <c r="BL368" t="s">
        <v>231</v>
      </c>
      <c r="BM368" t="s">
        <v>231</v>
      </c>
      <c r="BN368" t="s">
        <v>231</v>
      </c>
      <c r="BO368" t="s">
        <v>231</v>
      </c>
      <c r="BP368" t="s">
        <v>231</v>
      </c>
      <c r="BQ368" t="s">
        <v>231</v>
      </c>
      <c r="BR368" t="s">
        <v>231</v>
      </c>
      <c r="BS368" t="s">
        <v>231</v>
      </c>
      <c r="BT368" t="s">
        <v>231</v>
      </c>
      <c r="BU368" t="s">
        <v>231</v>
      </c>
      <c r="BV368" t="s">
        <v>231</v>
      </c>
      <c r="BW368" t="s">
        <v>231</v>
      </c>
      <c r="BX368" t="s">
        <v>231</v>
      </c>
      <c r="BY368" t="s">
        <v>231</v>
      </c>
      <c r="BZ368" t="s">
        <v>231</v>
      </c>
      <c r="CA368" t="s">
        <v>231</v>
      </c>
      <c r="CB368" t="s">
        <v>231</v>
      </c>
      <c r="CC368" t="s">
        <v>231</v>
      </c>
      <c r="CD368" t="s">
        <v>231</v>
      </c>
      <c r="CE368" t="s">
        <v>231</v>
      </c>
      <c r="CF368" t="s">
        <v>231</v>
      </c>
      <c r="CG368" t="s">
        <v>231</v>
      </c>
      <c r="CH368" t="s">
        <v>231</v>
      </c>
      <c r="CI368" t="s">
        <v>231</v>
      </c>
      <c r="CJ368" t="s">
        <v>231</v>
      </c>
      <c r="CK368" t="s">
        <v>231</v>
      </c>
      <c r="CL368" t="s">
        <v>231</v>
      </c>
      <c r="CM368" t="s">
        <v>231</v>
      </c>
      <c r="CN368" t="s">
        <v>231</v>
      </c>
      <c r="CO368" t="s">
        <v>231</v>
      </c>
      <c r="CP368" t="s">
        <v>231</v>
      </c>
      <c r="CQ368" t="s">
        <v>231</v>
      </c>
      <c r="CR368" t="s">
        <v>231</v>
      </c>
      <c r="CS368" t="s">
        <v>231</v>
      </c>
      <c r="CT368" t="s">
        <v>3534</v>
      </c>
      <c r="CU368" t="s">
        <v>3535</v>
      </c>
      <c r="CV368" t="s">
        <v>3536</v>
      </c>
      <c r="CW368" t="s">
        <v>3589</v>
      </c>
      <c r="CX368" t="s">
        <v>223</v>
      </c>
      <c r="CY368" t="s">
        <v>3536</v>
      </c>
      <c r="CZ368" t="s">
        <v>3590</v>
      </c>
      <c r="DA368" t="s">
        <v>3591</v>
      </c>
      <c r="DB368" t="s">
        <v>3589</v>
      </c>
      <c r="DC368" t="s">
        <v>363</v>
      </c>
      <c r="DD368" t="s">
        <v>282</v>
      </c>
      <c r="DE368" t="s">
        <v>4649</v>
      </c>
    </row>
    <row r="369" spans="1:109" ht="11.25" customHeight="1">
      <c r="A369" s="1314" t="s">
        <v>231</v>
      </c>
      <c r="B369" t="s">
        <v>231</v>
      </c>
      <c r="C369" t="s">
        <v>231</v>
      </c>
      <c r="D369" t="s">
        <v>231</v>
      </c>
      <c r="E369" t="s">
        <v>231</v>
      </c>
      <c r="F369" t="s">
        <v>231</v>
      </c>
      <c r="G369" t="s">
        <v>231</v>
      </c>
      <c r="H369" t="s">
        <v>231</v>
      </c>
      <c r="I369" t="s">
        <v>3521</v>
      </c>
      <c r="J369" t="s">
        <v>231</v>
      </c>
      <c r="K369" t="s">
        <v>231</v>
      </c>
      <c r="L369" t="s">
        <v>231</v>
      </c>
      <c r="M369" t="s">
        <v>231</v>
      </c>
      <c r="N369" t="s">
        <v>231</v>
      </c>
      <c r="O369" t="s">
        <v>231</v>
      </c>
      <c r="P369" t="s">
        <v>231</v>
      </c>
      <c r="Q369" t="s">
        <v>231</v>
      </c>
      <c r="R369" t="s">
        <v>5038</v>
      </c>
      <c r="S369" t="s">
        <v>231</v>
      </c>
      <c r="T369" t="s">
        <v>231</v>
      </c>
      <c r="U369" t="s">
        <v>101</v>
      </c>
      <c r="V369" t="s">
        <v>231</v>
      </c>
      <c r="W369" t="s">
        <v>231</v>
      </c>
      <c r="X369" t="s">
        <v>3523</v>
      </c>
      <c r="Y369" t="s">
        <v>231</v>
      </c>
      <c r="Z369" t="s">
        <v>160</v>
      </c>
      <c r="AA369" t="s">
        <v>151</v>
      </c>
      <c r="AB369" t="s">
        <v>151</v>
      </c>
      <c r="AC369" t="s">
        <v>343</v>
      </c>
      <c r="AD369" t="s">
        <v>343</v>
      </c>
      <c r="AE369" t="s">
        <v>344</v>
      </c>
      <c r="AF369" t="s">
        <v>3561</v>
      </c>
      <c r="AG369" t="s">
        <v>3562</v>
      </c>
      <c r="AH369" t="s">
        <v>3574</v>
      </c>
      <c r="AI369" t="s">
        <v>3575</v>
      </c>
      <c r="AJ369" t="s">
        <v>3576</v>
      </c>
      <c r="AK369" t="s">
        <v>3577</v>
      </c>
      <c r="AL369" t="s">
        <v>3530</v>
      </c>
      <c r="AM369" t="s">
        <v>3531</v>
      </c>
      <c r="AN369" t="s">
        <v>3578</v>
      </c>
      <c r="AO369" t="s">
        <v>3579</v>
      </c>
      <c r="AP369" t="s">
        <v>231</v>
      </c>
      <c r="AQ369" t="s">
        <v>231</v>
      </c>
      <c r="AR369" t="s">
        <v>231</v>
      </c>
      <c r="AS369" t="s">
        <v>231</v>
      </c>
      <c r="AT369" t="s">
        <v>231</v>
      </c>
      <c r="AU369" t="s">
        <v>231</v>
      </c>
      <c r="AV369" t="s">
        <v>231</v>
      </c>
      <c r="AW369" t="s">
        <v>231</v>
      </c>
      <c r="AX369" t="s">
        <v>231</v>
      </c>
      <c r="AY369" t="s">
        <v>231</v>
      </c>
      <c r="AZ369" t="s">
        <v>231</v>
      </c>
      <c r="BA369" t="s">
        <v>231</v>
      </c>
      <c r="BB369" t="s">
        <v>231</v>
      </c>
      <c r="BC369" t="s">
        <v>231</v>
      </c>
      <c r="BD369" t="s">
        <v>231</v>
      </c>
      <c r="BE369" t="s">
        <v>231</v>
      </c>
      <c r="BF369" t="s">
        <v>231</v>
      </c>
      <c r="BG369" t="s">
        <v>231</v>
      </c>
      <c r="BH369" t="s">
        <v>231</v>
      </c>
      <c r="BI369" t="s">
        <v>231</v>
      </c>
      <c r="BJ369" t="s">
        <v>231</v>
      </c>
      <c r="BK369" t="s">
        <v>231</v>
      </c>
      <c r="BL369" t="s">
        <v>231</v>
      </c>
      <c r="BM369" t="s">
        <v>231</v>
      </c>
      <c r="BN369" t="s">
        <v>231</v>
      </c>
      <c r="BO369" t="s">
        <v>231</v>
      </c>
      <c r="BP369" t="s">
        <v>231</v>
      </c>
      <c r="BQ369" t="s">
        <v>231</v>
      </c>
      <c r="BR369" t="s">
        <v>231</v>
      </c>
      <c r="BS369" t="s">
        <v>231</v>
      </c>
      <c r="BT369" t="s">
        <v>231</v>
      </c>
      <c r="BU369" t="s">
        <v>231</v>
      </c>
      <c r="BV369" t="s">
        <v>231</v>
      </c>
      <c r="BW369" t="s">
        <v>231</v>
      </c>
      <c r="BX369" t="s">
        <v>231</v>
      </c>
      <c r="BY369" t="s">
        <v>231</v>
      </c>
      <c r="BZ369" t="s">
        <v>231</v>
      </c>
      <c r="CA369" t="s">
        <v>231</v>
      </c>
      <c r="CB369" t="s">
        <v>231</v>
      </c>
      <c r="CC369" t="s">
        <v>231</v>
      </c>
      <c r="CD369" t="s">
        <v>231</v>
      </c>
      <c r="CE369" t="s">
        <v>231</v>
      </c>
      <c r="CF369" t="s">
        <v>231</v>
      </c>
      <c r="CG369" t="s">
        <v>231</v>
      </c>
      <c r="CH369" t="s">
        <v>231</v>
      </c>
      <c r="CI369" t="s">
        <v>231</v>
      </c>
      <c r="CJ369" t="s">
        <v>231</v>
      </c>
      <c r="CK369" t="s">
        <v>231</v>
      </c>
      <c r="CL369" t="s">
        <v>231</v>
      </c>
      <c r="CM369" t="s">
        <v>231</v>
      </c>
      <c r="CN369" t="s">
        <v>231</v>
      </c>
      <c r="CO369" t="s">
        <v>231</v>
      </c>
      <c r="CP369" t="s">
        <v>231</v>
      </c>
      <c r="CQ369" t="s">
        <v>231</v>
      </c>
      <c r="CR369" t="s">
        <v>231</v>
      </c>
      <c r="CS369" t="s">
        <v>231</v>
      </c>
      <c r="CT369" t="s">
        <v>3534</v>
      </c>
      <c r="CU369" t="s">
        <v>3535</v>
      </c>
      <c r="CV369" t="s">
        <v>3536</v>
      </c>
      <c r="CW369" t="s">
        <v>3569</v>
      </c>
      <c r="CX369" t="s">
        <v>3570</v>
      </c>
      <c r="CY369" t="s">
        <v>3536</v>
      </c>
      <c r="CZ369" t="s">
        <v>224</v>
      </c>
      <c r="DA369" t="s">
        <v>3571</v>
      </c>
      <c r="DB369" t="s">
        <v>3569</v>
      </c>
      <c r="DC369" t="s">
        <v>363</v>
      </c>
      <c r="DD369" t="s">
        <v>282</v>
      </c>
      <c r="DE369" t="s">
        <v>3580</v>
      </c>
    </row>
    <row r="370" spans="1:109" ht="11.25" customHeight="1">
      <c r="A370" s="1314" t="s">
        <v>231</v>
      </c>
      <c r="B370" t="s">
        <v>231</v>
      </c>
      <c r="C370" t="s">
        <v>231</v>
      </c>
      <c r="D370" t="s">
        <v>231</v>
      </c>
      <c r="E370" t="s">
        <v>231</v>
      </c>
      <c r="F370" t="s">
        <v>231</v>
      </c>
      <c r="G370" t="s">
        <v>231</v>
      </c>
      <c r="H370" t="s">
        <v>231</v>
      </c>
      <c r="I370" t="s">
        <v>3521</v>
      </c>
      <c r="J370" t="s">
        <v>231</v>
      </c>
      <c r="K370" t="s">
        <v>231</v>
      </c>
      <c r="L370" t="s">
        <v>231</v>
      </c>
      <c r="M370" t="s">
        <v>231</v>
      </c>
      <c r="N370" t="s">
        <v>231</v>
      </c>
      <c r="O370" t="s">
        <v>231</v>
      </c>
      <c r="P370" t="s">
        <v>231</v>
      </c>
      <c r="Q370" t="s">
        <v>231</v>
      </c>
      <c r="R370" t="s">
        <v>3581</v>
      </c>
      <c r="S370" t="s">
        <v>231</v>
      </c>
      <c r="T370" t="s">
        <v>231</v>
      </c>
      <c r="U370" t="s">
        <v>101</v>
      </c>
      <c r="V370" t="s">
        <v>231</v>
      </c>
      <c r="W370" t="s">
        <v>231</v>
      </c>
      <c r="X370" t="s">
        <v>3523</v>
      </c>
      <c r="Y370" t="s">
        <v>231</v>
      </c>
      <c r="Z370" t="s">
        <v>160</v>
      </c>
      <c r="AA370" t="s">
        <v>151</v>
      </c>
      <c r="AB370" t="s">
        <v>151</v>
      </c>
      <c r="AC370" t="s">
        <v>2289</v>
      </c>
      <c r="AD370" t="s">
        <v>2289</v>
      </c>
      <c r="AE370" t="s">
        <v>2290</v>
      </c>
      <c r="AF370" t="s">
        <v>3793</v>
      </c>
      <c r="AG370" t="s">
        <v>3794</v>
      </c>
      <c r="AH370" t="s">
        <v>4650</v>
      </c>
      <c r="AI370" t="s">
        <v>4651</v>
      </c>
      <c r="AJ370" t="s">
        <v>4652</v>
      </c>
      <c r="AK370" t="s">
        <v>3775</v>
      </c>
      <c r="AL370" t="s">
        <v>3548</v>
      </c>
      <c r="AM370" t="s">
        <v>3531</v>
      </c>
      <c r="AN370" t="s">
        <v>3595</v>
      </c>
      <c r="AO370" t="s">
        <v>4124</v>
      </c>
      <c r="AP370" t="s">
        <v>231</v>
      </c>
      <c r="AQ370" t="s">
        <v>231</v>
      </c>
      <c r="AR370" t="s">
        <v>231</v>
      </c>
      <c r="AS370" t="s">
        <v>231</v>
      </c>
      <c r="AT370" t="s">
        <v>231</v>
      </c>
      <c r="AU370" t="s">
        <v>231</v>
      </c>
      <c r="AV370" t="s">
        <v>231</v>
      </c>
      <c r="AW370" t="s">
        <v>231</v>
      </c>
      <c r="AX370" t="s">
        <v>231</v>
      </c>
      <c r="AY370" t="s">
        <v>231</v>
      </c>
      <c r="AZ370" t="s">
        <v>231</v>
      </c>
      <c r="BA370" t="s">
        <v>231</v>
      </c>
      <c r="BB370" t="s">
        <v>231</v>
      </c>
      <c r="BC370" t="s">
        <v>231</v>
      </c>
      <c r="BD370" t="s">
        <v>231</v>
      </c>
      <c r="BE370" t="s">
        <v>231</v>
      </c>
      <c r="BF370" t="s">
        <v>231</v>
      </c>
      <c r="BG370" t="s">
        <v>231</v>
      </c>
      <c r="BH370" t="s">
        <v>231</v>
      </c>
      <c r="BI370" t="s">
        <v>231</v>
      </c>
      <c r="BJ370" t="s">
        <v>231</v>
      </c>
      <c r="BK370" t="s">
        <v>231</v>
      </c>
      <c r="BL370" t="s">
        <v>231</v>
      </c>
      <c r="BM370" t="s">
        <v>231</v>
      </c>
      <c r="BN370" t="s">
        <v>231</v>
      </c>
      <c r="BO370" t="s">
        <v>231</v>
      </c>
      <c r="BP370" t="s">
        <v>231</v>
      </c>
      <c r="BQ370" t="s">
        <v>231</v>
      </c>
      <c r="BR370" t="s">
        <v>231</v>
      </c>
      <c r="BS370" t="s">
        <v>231</v>
      </c>
      <c r="BT370" t="s">
        <v>231</v>
      </c>
      <c r="BU370" t="s">
        <v>231</v>
      </c>
      <c r="BV370" t="s">
        <v>231</v>
      </c>
      <c r="BW370" t="s">
        <v>231</v>
      </c>
      <c r="BX370" t="s">
        <v>231</v>
      </c>
      <c r="BY370" t="s">
        <v>231</v>
      </c>
      <c r="BZ370" t="s">
        <v>231</v>
      </c>
      <c r="CA370" t="s">
        <v>231</v>
      </c>
      <c r="CB370" t="s">
        <v>231</v>
      </c>
      <c r="CC370" t="s">
        <v>231</v>
      </c>
      <c r="CD370" t="s">
        <v>231</v>
      </c>
      <c r="CE370" t="s">
        <v>231</v>
      </c>
      <c r="CF370" t="s">
        <v>231</v>
      </c>
      <c r="CG370" t="s">
        <v>231</v>
      </c>
      <c r="CH370" t="s">
        <v>231</v>
      </c>
      <c r="CI370" t="s">
        <v>231</v>
      </c>
      <c r="CJ370" t="s">
        <v>231</v>
      </c>
      <c r="CK370" t="s">
        <v>231</v>
      </c>
      <c r="CL370" t="s">
        <v>231</v>
      </c>
      <c r="CM370" t="s">
        <v>231</v>
      </c>
      <c r="CN370" t="s">
        <v>231</v>
      </c>
      <c r="CO370" t="s">
        <v>231</v>
      </c>
      <c r="CP370" t="s">
        <v>231</v>
      </c>
      <c r="CQ370" t="s">
        <v>231</v>
      </c>
      <c r="CR370" t="s">
        <v>231</v>
      </c>
      <c r="CS370" t="s">
        <v>231</v>
      </c>
      <c r="CT370" t="s">
        <v>3534</v>
      </c>
      <c r="CU370" t="s">
        <v>3535</v>
      </c>
      <c r="CV370" t="s">
        <v>3536</v>
      </c>
      <c r="CW370" t="s">
        <v>3589</v>
      </c>
      <c r="CX370" t="s">
        <v>223</v>
      </c>
      <c r="CY370" t="s">
        <v>3536</v>
      </c>
      <c r="CZ370" t="s">
        <v>3590</v>
      </c>
      <c r="DA370" t="s">
        <v>3591</v>
      </c>
      <c r="DB370" t="s">
        <v>3589</v>
      </c>
      <c r="DC370" t="s">
        <v>363</v>
      </c>
      <c r="DD370" t="s">
        <v>282</v>
      </c>
      <c r="DE370" t="s">
        <v>4653</v>
      </c>
    </row>
    <row r="371" spans="1:109" ht="11.25" customHeight="1">
      <c r="A371" s="1314" t="s">
        <v>231</v>
      </c>
      <c r="B371" t="s">
        <v>231</v>
      </c>
      <c r="C371" t="s">
        <v>231</v>
      </c>
      <c r="D371" t="s">
        <v>231</v>
      </c>
      <c r="E371" t="s">
        <v>231</v>
      </c>
      <c r="F371" t="s">
        <v>231</v>
      </c>
      <c r="G371" t="s">
        <v>231</v>
      </c>
      <c r="H371" t="s">
        <v>231</v>
      </c>
      <c r="I371" t="s">
        <v>3521</v>
      </c>
      <c r="J371" t="s">
        <v>231</v>
      </c>
      <c r="K371" t="s">
        <v>231</v>
      </c>
      <c r="L371" t="s">
        <v>231</v>
      </c>
      <c r="M371" t="s">
        <v>231</v>
      </c>
      <c r="N371" t="s">
        <v>231</v>
      </c>
      <c r="O371" t="s">
        <v>231</v>
      </c>
      <c r="P371" t="s">
        <v>231</v>
      </c>
      <c r="Q371" t="s">
        <v>231</v>
      </c>
      <c r="R371" t="s">
        <v>4654</v>
      </c>
      <c r="S371" t="s">
        <v>231</v>
      </c>
      <c r="T371" t="s">
        <v>231</v>
      </c>
      <c r="U371" t="s">
        <v>101</v>
      </c>
      <c r="V371" t="s">
        <v>231</v>
      </c>
      <c r="W371" t="s">
        <v>231</v>
      </c>
      <c r="X371" t="s">
        <v>3523</v>
      </c>
      <c r="Y371" t="s">
        <v>231</v>
      </c>
      <c r="Z371" t="s">
        <v>160</v>
      </c>
      <c r="AA371" t="s">
        <v>151</v>
      </c>
      <c r="AB371" t="s">
        <v>151</v>
      </c>
      <c r="AC371" t="s">
        <v>2289</v>
      </c>
      <c r="AD371" t="s">
        <v>2289</v>
      </c>
      <c r="AE371" t="s">
        <v>2290</v>
      </c>
      <c r="AF371" t="s">
        <v>3793</v>
      </c>
      <c r="AG371" t="s">
        <v>3794</v>
      </c>
      <c r="AH371" t="s">
        <v>4655</v>
      </c>
      <c r="AI371" t="s">
        <v>4656</v>
      </c>
      <c r="AJ371" t="s">
        <v>4652</v>
      </c>
      <c r="AK371" t="s">
        <v>3820</v>
      </c>
      <c r="AL371" t="s">
        <v>3548</v>
      </c>
      <c r="AM371" t="s">
        <v>3531</v>
      </c>
      <c r="AN371" t="s">
        <v>3587</v>
      </c>
      <c r="AO371" t="s">
        <v>3812</v>
      </c>
      <c r="AP371" t="s">
        <v>231</v>
      </c>
      <c r="AQ371" t="s">
        <v>231</v>
      </c>
      <c r="AR371" t="s">
        <v>231</v>
      </c>
      <c r="AS371" t="s">
        <v>231</v>
      </c>
      <c r="AT371" t="s">
        <v>231</v>
      </c>
      <c r="AU371" t="s">
        <v>231</v>
      </c>
      <c r="AV371" t="s">
        <v>231</v>
      </c>
      <c r="AW371" t="s">
        <v>231</v>
      </c>
      <c r="AX371" t="s">
        <v>231</v>
      </c>
      <c r="AY371" t="s">
        <v>231</v>
      </c>
      <c r="AZ371" t="s">
        <v>231</v>
      </c>
      <c r="BA371" t="s">
        <v>231</v>
      </c>
      <c r="BB371" t="s">
        <v>231</v>
      </c>
      <c r="BC371" t="s">
        <v>231</v>
      </c>
      <c r="BD371" t="s">
        <v>231</v>
      </c>
      <c r="BE371" t="s">
        <v>231</v>
      </c>
      <c r="BF371" t="s">
        <v>231</v>
      </c>
      <c r="BG371" t="s">
        <v>231</v>
      </c>
      <c r="BH371" t="s">
        <v>231</v>
      </c>
      <c r="BI371" t="s">
        <v>231</v>
      </c>
      <c r="BJ371" t="s">
        <v>231</v>
      </c>
      <c r="BK371" t="s">
        <v>231</v>
      </c>
      <c r="BL371" t="s">
        <v>231</v>
      </c>
      <c r="BM371" t="s">
        <v>231</v>
      </c>
      <c r="BN371" t="s">
        <v>231</v>
      </c>
      <c r="BO371" t="s">
        <v>231</v>
      </c>
      <c r="BP371" t="s">
        <v>231</v>
      </c>
      <c r="BQ371" t="s">
        <v>231</v>
      </c>
      <c r="BR371" t="s">
        <v>231</v>
      </c>
      <c r="BS371" t="s">
        <v>231</v>
      </c>
      <c r="BT371" t="s">
        <v>231</v>
      </c>
      <c r="BU371" t="s">
        <v>231</v>
      </c>
      <c r="BV371" t="s">
        <v>231</v>
      </c>
      <c r="BW371" t="s">
        <v>231</v>
      </c>
      <c r="BX371" t="s">
        <v>231</v>
      </c>
      <c r="BY371" t="s">
        <v>231</v>
      </c>
      <c r="BZ371" t="s">
        <v>231</v>
      </c>
      <c r="CA371" t="s">
        <v>231</v>
      </c>
      <c r="CB371" t="s">
        <v>231</v>
      </c>
      <c r="CC371" t="s">
        <v>231</v>
      </c>
      <c r="CD371" t="s">
        <v>231</v>
      </c>
      <c r="CE371" t="s">
        <v>231</v>
      </c>
      <c r="CF371" t="s">
        <v>231</v>
      </c>
      <c r="CG371" t="s">
        <v>231</v>
      </c>
      <c r="CH371" t="s">
        <v>231</v>
      </c>
      <c r="CI371" t="s">
        <v>231</v>
      </c>
      <c r="CJ371" t="s">
        <v>231</v>
      </c>
      <c r="CK371" t="s">
        <v>231</v>
      </c>
      <c r="CL371" t="s">
        <v>231</v>
      </c>
      <c r="CM371" t="s">
        <v>231</v>
      </c>
      <c r="CN371" t="s">
        <v>231</v>
      </c>
      <c r="CO371" t="s">
        <v>231</v>
      </c>
      <c r="CP371" t="s">
        <v>231</v>
      </c>
      <c r="CQ371" t="s">
        <v>231</v>
      </c>
      <c r="CR371" t="s">
        <v>231</v>
      </c>
      <c r="CS371" t="s">
        <v>231</v>
      </c>
      <c r="CT371" t="s">
        <v>3534</v>
      </c>
      <c r="CU371" t="s">
        <v>3535</v>
      </c>
      <c r="CV371" t="s">
        <v>3536</v>
      </c>
      <c r="CW371" t="s">
        <v>3589</v>
      </c>
      <c r="CX371" t="s">
        <v>223</v>
      </c>
      <c r="CY371" t="s">
        <v>3536</v>
      </c>
      <c r="CZ371" t="s">
        <v>3590</v>
      </c>
      <c r="DA371" t="s">
        <v>3591</v>
      </c>
      <c r="DB371" t="s">
        <v>3589</v>
      </c>
      <c r="DC371" t="s">
        <v>363</v>
      </c>
      <c r="DD371" t="s">
        <v>282</v>
      </c>
      <c r="DE371" t="s">
        <v>4657</v>
      </c>
    </row>
    <row r="372" spans="1:109" ht="11.25" customHeight="1">
      <c r="A372" s="1314" t="s">
        <v>231</v>
      </c>
      <c r="B372" t="s">
        <v>231</v>
      </c>
      <c r="C372" t="s">
        <v>231</v>
      </c>
      <c r="D372" t="s">
        <v>231</v>
      </c>
      <c r="E372" t="s">
        <v>231</v>
      </c>
      <c r="F372" t="s">
        <v>231</v>
      </c>
      <c r="G372" t="s">
        <v>231</v>
      </c>
      <c r="H372" t="s">
        <v>231</v>
      </c>
      <c r="I372" t="s">
        <v>3521</v>
      </c>
      <c r="J372" t="s">
        <v>231</v>
      </c>
      <c r="K372" t="s">
        <v>231</v>
      </c>
      <c r="L372" t="s">
        <v>231</v>
      </c>
      <c r="M372" t="s">
        <v>231</v>
      </c>
      <c r="N372" t="s">
        <v>231</v>
      </c>
      <c r="O372" t="s">
        <v>231</v>
      </c>
      <c r="P372" t="s">
        <v>231</v>
      </c>
      <c r="Q372" t="s">
        <v>231</v>
      </c>
      <c r="R372" t="s">
        <v>4658</v>
      </c>
      <c r="S372" t="s">
        <v>231</v>
      </c>
      <c r="T372" t="s">
        <v>231</v>
      </c>
      <c r="U372" t="s">
        <v>101</v>
      </c>
      <c r="V372" t="s">
        <v>231</v>
      </c>
      <c r="W372" t="s">
        <v>231</v>
      </c>
      <c r="X372" t="s">
        <v>3523</v>
      </c>
      <c r="Y372" t="s">
        <v>231</v>
      </c>
      <c r="Z372" t="s">
        <v>160</v>
      </c>
      <c r="AA372" t="s">
        <v>151</v>
      </c>
      <c r="AB372" t="s">
        <v>151</v>
      </c>
      <c r="AC372" t="s">
        <v>2289</v>
      </c>
      <c r="AD372" t="s">
        <v>2289</v>
      </c>
      <c r="AE372" t="s">
        <v>2290</v>
      </c>
      <c r="AF372" t="s">
        <v>3793</v>
      </c>
      <c r="AG372" t="s">
        <v>3794</v>
      </c>
      <c r="AH372" t="s">
        <v>4659</v>
      </c>
      <c r="AI372" t="s">
        <v>4660</v>
      </c>
      <c r="AJ372" t="s">
        <v>4652</v>
      </c>
      <c r="AK372" t="s">
        <v>3775</v>
      </c>
      <c r="AL372" t="s">
        <v>3548</v>
      </c>
      <c r="AM372" t="s">
        <v>3531</v>
      </c>
      <c r="AN372" t="s">
        <v>3587</v>
      </c>
      <c r="AO372" t="s">
        <v>3679</v>
      </c>
      <c r="AP372" t="s">
        <v>231</v>
      </c>
      <c r="AQ372" t="s">
        <v>231</v>
      </c>
      <c r="AR372" t="s">
        <v>231</v>
      </c>
      <c r="AS372" t="s">
        <v>231</v>
      </c>
      <c r="AT372" t="s">
        <v>231</v>
      </c>
      <c r="AU372" t="s">
        <v>231</v>
      </c>
      <c r="AV372" t="s">
        <v>231</v>
      </c>
      <c r="AW372" t="s">
        <v>231</v>
      </c>
      <c r="AX372" t="s">
        <v>231</v>
      </c>
      <c r="AY372" t="s">
        <v>231</v>
      </c>
      <c r="AZ372" t="s">
        <v>231</v>
      </c>
      <c r="BA372" t="s">
        <v>231</v>
      </c>
      <c r="BB372" t="s">
        <v>231</v>
      </c>
      <c r="BC372" t="s">
        <v>231</v>
      </c>
      <c r="BD372" t="s">
        <v>231</v>
      </c>
      <c r="BE372" t="s">
        <v>231</v>
      </c>
      <c r="BF372" t="s">
        <v>231</v>
      </c>
      <c r="BG372" t="s">
        <v>231</v>
      </c>
      <c r="BH372" t="s">
        <v>231</v>
      </c>
      <c r="BI372" t="s">
        <v>231</v>
      </c>
      <c r="BJ372" t="s">
        <v>231</v>
      </c>
      <c r="BK372" t="s">
        <v>231</v>
      </c>
      <c r="BL372" t="s">
        <v>231</v>
      </c>
      <c r="BM372" t="s">
        <v>231</v>
      </c>
      <c r="BN372" t="s">
        <v>231</v>
      </c>
      <c r="BO372" t="s">
        <v>231</v>
      </c>
      <c r="BP372" t="s">
        <v>231</v>
      </c>
      <c r="BQ372" t="s">
        <v>231</v>
      </c>
      <c r="BR372" t="s">
        <v>231</v>
      </c>
      <c r="BS372" t="s">
        <v>231</v>
      </c>
      <c r="BT372" t="s">
        <v>231</v>
      </c>
      <c r="BU372" t="s">
        <v>231</v>
      </c>
      <c r="BV372" t="s">
        <v>231</v>
      </c>
      <c r="BW372" t="s">
        <v>231</v>
      </c>
      <c r="BX372" t="s">
        <v>231</v>
      </c>
      <c r="BY372" t="s">
        <v>231</v>
      </c>
      <c r="BZ372" t="s">
        <v>231</v>
      </c>
      <c r="CA372" t="s">
        <v>231</v>
      </c>
      <c r="CB372" t="s">
        <v>231</v>
      </c>
      <c r="CC372" t="s">
        <v>231</v>
      </c>
      <c r="CD372" t="s">
        <v>231</v>
      </c>
      <c r="CE372" t="s">
        <v>231</v>
      </c>
      <c r="CF372" t="s">
        <v>231</v>
      </c>
      <c r="CG372" t="s">
        <v>231</v>
      </c>
      <c r="CH372" t="s">
        <v>231</v>
      </c>
      <c r="CI372" t="s">
        <v>231</v>
      </c>
      <c r="CJ372" t="s">
        <v>231</v>
      </c>
      <c r="CK372" t="s">
        <v>231</v>
      </c>
      <c r="CL372" t="s">
        <v>231</v>
      </c>
      <c r="CM372" t="s">
        <v>231</v>
      </c>
      <c r="CN372" t="s">
        <v>231</v>
      </c>
      <c r="CO372" t="s">
        <v>231</v>
      </c>
      <c r="CP372" t="s">
        <v>231</v>
      </c>
      <c r="CQ372" t="s">
        <v>231</v>
      </c>
      <c r="CR372" t="s">
        <v>231</v>
      </c>
      <c r="CS372" t="s">
        <v>231</v>
      </c>
      <c r="CT372" t="s">
        <v>3534</v>
      </c>
      <c r="CU372" t="s">
        <v>3535</v>
      </c>
      <c r="CV372" t="s">
        <v>3536</v>
      </c>
      <c r="CW372" t="s">
        <v>3589</v>
      </c>
      <c r="CX372" t="s">
        <v>223</v>
      </c>
      <c r="CY372" t="s">
        <v>3536</v>
      </c>
      <c r="CZ372" t="s">
        <v>3590</v>
      </c>
      <c r="DA372" t="s">
        <v>3591</v>
      </c>
      <c r="DB372" t="s">
        <v>3589</v>
      </c>
      <c r="DC372" t="s">
        <v>363</v>
      </c>
      <c r="DD372" t="s">
        <v>282</v>
      </c>
      <c r="DE372" t="s">
        <v>4661</v>
      </c>
    </row>
    <row r="373" spans="1:109" ht="11.25" customHeight="1">
      <c r="A373" s="1314" t="s">
        <v>231</v>
      </c>
      <c r="B373" t="s">
        <v>231</v>
      </c>
      <c r="C373" t="s">
        <v>231</v>
      </c>
      <c r="D373" t="s">
        <v>231</v>
      </c>
      <c r="E373" t="s">
        <v>231</v>
      </c>
      <c r="F373" t="s">
        <v>231</v>
      </c>
      <c r="G373" t="s">
        <v>231</v>
      </c>
      <c r="H373" t="s">
        <v>231</v>
      </c>
      <c r="I373" t="s">
        <v>3521</v>
      </c>
      <c r="J373" t="s">
        <v>231</v>
      </c>
      <c r="K373" t="s">
        <v>231</v>
      </c>
      <c r="L373" t="s">
        <v>231</v>
      </c>
      <c r="M373" t="s">
        <v>231</v>
      </c>
      <c r="N373" t="s">
        <v>231</v>
      </c>
      <c r="O373" t="s">
        <v>231</v>
      </c>
      <c r="P373" t="s">
        <v>231</v>
      </c>
      <c r="Q373" t="s">
        <v>231</v>
      </c>
      <c r="R373" t="s">
        <v>3615</v>
      </c>
      <c r="S373" t="s">
        <v>231</v>
      </c>
      <c r="T373" t="s">
        <v>231</v>
      </c>
      <c r="U373" t="s">
        <v>101</v>
      </c>
      <c r="V373" t="s">
        <v>231</v>
      </c>
      <c r="W373" t="s">
        <v>231</v>
      </c>
      <c r="X373" t="s">
        <v>3523</v>
      </c>
      <c r="Y373" t="s">
        <v>231</v>
      </c>
      <c r="Z373" t="s">
        <v>160</v>
      </c>
      <c r="AA373" t="s">
        <v>151</v>
      </c>
      <c r="AB373" t="s">
        <v>151</v>
      </c>
      <c r="AC373" t="s">
        <v>2289</v>
      </c>
      <c r="AD373" t="s">
        <v>2289</v>
      </c>
      <c r="AE373" t="s">
        <v>2290</v>
      </c>
      <c r="AF373" t="s">
        <v>3705</v>
      </c>
      <c r="AG373" t="s">
        <v>3706</v>
      </c>
      <c r="AH373" t="s">
        <v>4923</v>
      </c>
      <c r="AI373" t="s">
        <v>3593</v>
      </c>
      <c r="AJ373" t="s">
        <v>3546</v>
      </c>
      <c r="AK373" t="s">
        <v>3716</v>
      </c>
      <c r="AL373" t="s">
        <v>3548</v>
      </c>
      <c r="AM373" t="s">
        <v>3531</v>
      </c>
      <c r="AN373" t="s">
        <v>3587</v>
      </c>
      <c r="AO373" t="s">
        <v>4497</v>
      </c>
      <c r="AP373" t="s">
        <v>231</v>
      </c>
      <c r="AQ373" t="s">
        <v>231</v>
      </c>
      <c r="AR373" t="s">
        <v>231</v>
      </c>
      <c r="AS373" t="s">
        <v>231</v>
      </c>
      <c r="AT373" t="s">
        <v>231</v>
      </c>
      <c r="AU373" t="s">
        <v>231</v>
      </c>
      <c r="AV373" t="s">
        <v>231</v>
      </c>
      <c r="AW373" t="s">
        <v>231</v>
      </c>
      <c r="AX373" t="s">
        <v>231</v>
      </c>
      <c r="AY373" t="s">
        <v>231</v>
      </c>
      <c r="AZ373" t="s">
        <v>231</v>
      </c>
      <c r="BA373" t="s">
        <v>231</v>
      </c>
      <c r="BB373" t="s">
        <v>231</v>
      </c>
      <c r="BC373" t="s">
        <v>231</v>
      </c>
      <c r="BD373" t="s">
        <v>231</v>
      </c>
      <c r="BE373" t="s">
        <v>231</v>
      </c>
      <c r="BF373" t="s">
        <v>231</v>
      </c>
      <c r="BG373" t="s">
        <v>231</v>
      </c>
      <c r="BH373" t="s">
        <v>231</v>
      </c>
      <c r="BI373" t="s">
        <v>231</v>
      </c>
      <c r="BJ373" t="s">
        <v>231</v>
      </c>
      <c r="BK373" t="s">
        <v>231</v>
      </c>
      <c r="BL373" t="s">
        <v>231</v>
      </c>
      <c r="BM373" t="s">
        <v>231</v>
      </c>
      <c r="BN373" t="s">
        <v>231</v>
      </c>
      <c r="BO373" t="s">
        <v>231</v>
      </c>
      <c r="BP373" t="s">
        <v>231</v>
      </c>
      <c r="BQ373" t="s">
        <v>231</v>
      </c>
      <c r="BR373" t="s">
        <v>231</v>
      </c>
      <c r="BS373" t="s">
        <v>231</v>
      </c>
      <c r="BT373" t="s">
        <v>231</v>
      </c>
      <c r="BU373" t="s">
        <v>231</v>
      </c>
      <c r="BV373" t="s">
        <v>231</v>
      </c>
      <c r="BW373" t="s">
        <v>231</v>
      </c>
      <c r="BX373" t="s">
        <v>231</v>
      </c>
      <c r="BY373" t="s">
        <v>231</v>
      </c>
      <c r="BZ373" t="s">
        <v>231</v>
      </c>
      <c r="CA373" t="s">
        <v>231</v>
      </c>
      <c r="CB373" t="s">
        <v>231</v>
      </c>
      <c r="CC373" t="s">
        <v>231</v>
      </c>
      <c r="CD373" t="s">
        <v>231</v>
      </c>
      <c r="CE373" t="s">
        <v>231</v>
      </c>
      <c r="CF373" t="s">
        <v>231</v>
      </c>
      <c r="CG373" t="s">
        <v>231</v>
      </c>
      <c r="CH373" t="s">
        <v>231</v>
      </c>
      <c r="CI373" t="s">
        <v>231</v>
      </c>
      <c r="CJ373" t="s">
        <v>231</v>
      </c>
      <c r="CK373" t="s">
        <v>231</v>
      </c>
      <c r="CL373" t="s">
        <v>231</v>
      </c>
      <c r="CM373" t="s">
        <v>231</v>
      </c>
      <c r="CN373" t="s">
        <v>231</v>
      </c>
      <c r="CO373" t="s">
        <v>231</v>
      </c>
      <c r="CP373" t="s">
        <v>231</v>
      </c>
      <c r="CQ373" t="s">
        <v>231</v>
      </c>
      <c r="CR373" t="s">
        <v>231</v>
      </c>
      <c r="CS373" t="s">
        <v>231</v>
      </c>
      <c r="CT373" t="s">
        <v>3534</v>
      </c>
      <c r="CU373" t="s">
        <v>3535</v>
      </c>
      <c r="CV373" t="s">
        <v>3536</v>
      </c>
      <c r="CW373" t="s">
        <v>3589</v>
      </c>
      <c r="CX373" t="s">
        <v>223</v>
      </c>
      <c r="CY373" t="s">
        <v>3536</v>
      </c>
      <c r="CZ373" t="s">
        <v>3590</v>
      </c>
      <c r="DA373" t="s">
        <v>3591</v>
      </c>
      <c r="DB373" t="s">
        <v>3589</v>
      </c>
      <c r="DC373" t="s">
        <v>363</v>
      </c>
      <c r="DD373" t="s">
        <v>282</v>
      </c>
      <c r="DE373" t="s">
        <v>4924</v>
      </c>
    </row>
    <row r="374" spans="1:109" ht="11.25" customHeight="1">
      <c r="A374" s="1314" t="s">
        <v>231</v>
      </c>
      <c r="B374" t="s">
        <v>231</v>
      </c>
      <c r="C374" t="s">
        <v>231</v>
      </c>
      <c r="D374" t="s">
        <v>231</v>
      </c>
      <c r="E374" t="s">
        <v>231</v>
      </c>
      <c r="F374" t="s">
        <v>231</v>
      </c>
      <c r="G374" t="s">
        <v>231</v>
      </c>
      <c r="H374" t="s">
        <v>231</v>
      </c>
      <c r="I374" t="s">
        <v>3521</v>
      </c>
      <c r="J374" t="s">
        <v>231</v>
      </c>
      <c r="K374" t="s">
        <v>231</v>
      </c>
      <c r="L374" t="s">
        <v>231</v>
      </c>
      <c r="M374" t="s">
        <v>231</v>
      </c>
      <c r="N374" t="s">
        <v>231</v>
      </c>
      <c r="O374" t="s">
        <v>231</v>
      </c>
      <c r="P374" t="s">
        <v>231</v>
      </c>
      <c r="Q374" t="s">
        <v>231</v>
      </c>
      <c r="R374" t="s">
        <v>3704</v>
      </c>
      <c r="S374" t="s">
        <v>231</v>
      </c>
      <c r="T374" t="s">
        <v>231</v>
      </c>
      <c r="U374" t="s">
        <v>101</v>
      </c>
      <c r="V374" t="s">
        <v>231</v>
      </c>
      <c r="W374" t="s">
        <v>231</v>
      </c>
      <c r="X374" t="s">
        <v>3628</v>
      </c>
      <c r="Y374" t="s">
        <v>231</v>
      </c>
      <c r="Z374" t="s">
        <v>151</v>
      </c>
      <c r="AA374" t="s">
        <v>151</v>
      </c>
      <c r="AB374" t="s">
        <v>160</v>
      </c>
      <c r="AC374" t="s">
        <v>2289</v>
      </c>
      <c r="AD374" t="s">
        <v>2289</v>
      </c>
      <c r="AE374" t="s">
        <v>2290</v>
      </c>
      <c r="AF374" t="s">
        <v>3705</v>
      </c>
      <c r="AG374" t="s">
        <v>3706</v>
      </c>
      <c r="AH374" t="s">
        <v>3618</v>
      </c>
      <c r="AI374" t="s">
        <v>3618</v>
      </c>
      <c r="AJ374" t="s">
        <v>231</v>
      </c>
      <c r="AK374" t="s">
        <v>231</v>
      </c>
      <c r="AL374" t="s">
        <v>231</v>
      </c>
      <c r="AM374" t="s">
        <v>231</v>
      </c>
      <c r="AN374" t="s">
        <v>231</v>
      </c>
      <c r="AO374" t="s">
        <v>231</v>
      </c>
      <c r="AP374" t="s">
        <v>231</v>
      </c>
      <c r="AQ374" t="s">
        <v>231</v>
      </c>
      <c r="AR374" t="s">
        <v>231</v>
      </c>
      <c r="AS374" t="s">
        <v>231</v>
      </c>
      <c r="AT374" t="s">
        <v>231</v>
      </c>
      <c r="AU374" t="s">
        <v>231</v>
      </c>
      <c r="AV374" t="s">
        <v>231</v>
      </c>
      <c r="AW374" t="s">
        <v>231</v>
      </c>
      <c r="AX374" t="s">
        <v>231</v>
      </c>
      <c r="AY374" t="s">
        <v>231</v>
      </c>
      <c r="AZ374" t="s">
        <v>231</v>
      </c>
      <c r="BA374" t="s">
        <v>231</v>
      </c>
      <c r="BB374" t="s">
        <v>231</v>
      </c>
      <c r="BC374" t="s">
        <v>231</v>
      </c>
      <c r="BD374" t="s">
        <v>231</v>
      </c>
      <c r="BE374" t="s">
        <v>3619</v>
      </c>
      <c r="BF374" t="s">
        <v>3586</v>
      </c>
      <c r="BG374" t="s">
        <v>111</v>
      </c>
      <c r="BH374" t="s">
        <v>3632</v>
      </c>
      <c r="BI374" t="s">
        <v>122</v>
      </c>
      <c r="BJ374" t="s">
        <v>231</v>
      </c>
      <c r="BK374" t="s">
        <v>3651</v>
      </c>
      <c r="BL374" t="s">
        <v>2289</v>
      </c>
      <c r="BM374" t="s">
        <v>2289</v>
      </c>
      <c r="BN374" t="s">
        <v>3707</v>
      </c>
      <c r="BO374" t="s">
        <v>3705</v>
      </c>
      <c r="BP374" t="s">
        <v>3708</v>
      </c>
      <c r="BQ374" t="s">
        <v>3618</v>
      </c>
      <c r="BR374" t="s">
        <v>3618</v>
      </c>
      <c r="BS374" t="s">
        <v>231</v>
      </c>
      <c r="BT374" t="s">
        <v>3694</v>
      </c>
      <c r="BU374" t="s">
        <v>3709</v>
      </c>
      <c r="BV374" t="s">
        <v>3709</v>
      </c>
      <c r="BW374" t="s">
        <v>3641</v>
      </c>
      <c r="BX374" t="s">
        <v>3641</v>
      </c>
      <c r="BY374" t="s">
        <v>3641</v>
      </c>
      <c r="BZ374" t="s">
        <v>3641</v>
      </c>
      <c r="CA374" t="s">
        <v>3641</v>
      </c>
      <c r="CB374" t="s">
        <v>231</v>
      </c>
      <c r="CC374" t="s">
        <v>231</v>
      </c>
      <c r="CD374" t="s">
        <v>231</v>
      </c>
      <c r="CE374" t="s">
        <v>231</v>
      </c>
      <c r="CF374" t="s">
        <v>231</v>
      </c>
      <c r="CG374" t="s">
        <v>3641</v>
      </c>
      <c r="CH374" t="s">
        <v>231</v>
      </c>
      <c r="CI374" t="s">
        <v>231</v>
      </c>
      <c r="CJ374" t="s">
        <v>231</v>
      </c>
      <c r="CK374" t="s">
        <v>231</v>
      </c>
      <c r="CL374" t="s">
        <v>231</v>
      </c>
      <c r="CM374" t="s">
        <v>3709</v>
      </c>
      <c r="CN374" t="s">
        <v>3709</v>
      </c>
      <c r="CO374" t="s">
        <v>231</v>
      </c>
      <c r="CP374" t="s">
        <v>231</v>
      </c>
      <c r="CQ374" t="s">
        <v>231</v>
      </c>
      <c r="CR374" t="s">
        <v>231</v>
      </c>
      <c r="CS374" t="s">
        <v>3710</v>
      </c>
      <c r="CT374" t="s">
        <v>3534</v>
      </c>
      <c r="CU374" t="s">
        <v>3535</v>
      </c>
      <c r="CV374" t="s">
        <v>3536</v>
      </c>
      <c r="CW374" t="s">
        <v>3589</v>
      </c>
      <c r="CX374" t="s">
        <v>223</v>
      </c>
      <c r="CY374" t="s">
        <v>3536</v>
      </c>
      <c r="CZ374" t="s">
        <v>3590</v>
      </c>
      <c r="DA374" t="s">
        <v>3591</v>
      </c>
      <c r="DB374" t="s">
        <v>3589</v>
      </c>
      <c r="DC374" t="s">
        <v>363</v>
      </c>
      <c r="DD374" t="s">
        <v>282</v>
      </c>
      <c r="DE374" t="s">
        <v>3711</v>
      </c>
    </row>
    <row r="375" spans="1:109" ht="11.25" customHeight="1">
      <c r="A375" s="1314" t="s">
        <v>231</v>
      </c>
      <c r="B375" t="s">
        <v>231</v>
      </c>
      <c r="C375" t="s">
        <v>231</v>
      </c>
      <c r="D375" t="s">
        <v>231</v>
      </c>
      <c r="E375" t="s">
        <v>231</v>
      </c>
      <c r="F375" t="s">
        <v>231</v>
      </c>
      <c r="G375" t="s">
        <v>231</v>
      </c>
      <c r="H375" t="s">
        <v>231</v>
      </c>
      <c r="I375" t="s">
        <v>3521</v>
      </c>
      <c r="J375" t="s">
        <v>231</v>
      </c>
      <c r="K375" t="s">
        <v>231</v>
      </c>
      <c r="L375" t="s">
        <v>231</v>
      </c>
      <c r="M375" t="s">
        <v>231</v>
      </c>
      <c r="N375" t="s">
        <v>231</v>
      </c>
      <c r="O375" t="s">
        <v>231</v>
      </c>
      <c r="P375" t="s">
        <v>231</v>
      </c>
      <c r="Q375" t="s">
        <v>231</v>
      </c>
      <c r="R375" t="s">
        <v>4932</v>
      </c>
      <c r="S375" t="s">
        <v>231</v>
      </c>
      <c r="T375" t="s">
        <v>231</v>
      </c>
      <c r="U375" t="s">
        <v>101</v>
      </c>
      <c r="V375" t="s">
        <v>231</v>
      </c>
      <c r="W375" t="s">
        <v>231</v>
      </c>
      <c r="X375" t="s">
        <v>3628</v>
      </c>
      <c r="Y375" t="s">
        <v>231</v>
      </c>
      <c r="Z375" t="s">
        <v>151</v>
      </c>
      <c r="AA375" t="s">
        <v>151</v>
      </c>
      <c r="AB375" t="s">
        <v>160</v>
      </c>
      <c r="AC375" t="s">
        <v>2289</v>
      </c>
      <c r="AD375" t="s">
        <v>2289</v>
      </c>
      <c r="AE375" t="s">
        <v>2290</v>
      </c>
      <c r="AF375" t="s">
        <v>4454</v>
      </c>
      <c r="AG375" t="s">
        <v>4455</v>
      </c>
      <c r="AH375" t="s">
        <v>3618</v>
      </c>
      <c r="AI375" t="s">
        <v>3618</v>
      </c>
      <c r="AJ375" t="s">
        <v>231</v>
      </c>
      <c r="AK375" t="s">
        <v>231</v>
      </c>
      <c r="AL375" t="s">
        <v>231</v>
      </c>
      <c r="AM375" t="s">
        <v>231</v>
      </c>
      <c r="AN375" t="s">
        <v>231</v>
      </c>
      <c r="AO375" t="s">
        <v>231</v>
      </c>
      <c r="AP375" t="s">
        <v>231</v>
      </c>
      <c r="AQ375" t="s">
        <v>231</v>
      </c>
      <c r="AR375" t="s">
        <v>231</v>
      </c>
      <c r="AS375" t="s">
        <v>231</v>
      </c>
      <c r="AT375" t="s">
        <v>231</v>
      </c>
      <c r="AU375" t="s">
        <v>231</v>
      </c>
      <c r="AV375" t="s">
        <v>231</v>
      </c>
      <c r="AW375" t="s">
        <v>231</v>
      </c>
      <c r="AX375" t="s">
        <v>231</v>
      </c>
      <c r="AY375" t="s">
        <v>231</v>
      </c>
      <c r="AZ375" t="s">
        <v>231</v>
      </c>
      <c r="BA375" t="s">
        <v>231</v>
      </c>
      <c r="BB375" t="s">
        <v>231</v>
      </c>
      <c r="BC375" t="s">
        <v>231</v>
      </c>
      <c r="BD375" t="s">
        <v>231</v>
      </c>
      <c r="BE375" t="s">
        <v>3546</v>
      </c>
      <c r="BF375" t="s">
        <v>4718</v>
      </c>
      <c r="BG375" t="s">
        <v>111</v>
      </c>
      <c r="BH375" t="s">
        <v>3632</v>
      </c>
      <c r="BI375" t="s">
        <v>122</v>
      </c>
      <c r="BJ375" t="s">
        <v>231</v>
      </c>
      <c r="BK375" t="s">
        <v>3651</v>
      </c>
      <c r="BL375" t="s">
        <v>2289</v>
      </c>
      <c r="BM375" t="s">
        <v>2289</v>
      </c>
      <c r="BN375" t="s">
        <v>3707</v>
      </c>
      <c r="BO375" t="s">
        <v>4454</v>
      </c>
      <c r="BP375" t="s">
        <v>4933</v>
      </c>
      <c r="BQ375" t="s">
        <v>3618</v>
      </c>
      <c r="BR375" t="s">
        <v>3618</v>
      </c>
      <c r="BS375" t="s">
        <v>231</v>
      </c>
      <c r="BT375" t="s">
        <v>3694</v>
      </c>
      <c r="BU375" t="s">
        <v>4934</v>
      </c>
      <c r="BV375" t="s">
        <v>4934</v>
      </c>
      <c r="BW375" t="s">
        <v>3641</v>
      </c>
      <c r="BX375" t="s">
        <v>3641</v>
      </c>
      <c r="BY375" t="s">
        <v>3641</v>
      </c>
      <c r="BZ375" t="s">
        <v>3641</v>
      </c>
      <c r="CA375" t="s">
        <v>3641</v>
      </c>
      <c r="CB375" t="s">
        <v>231</v>
      </c>
      <c r="CC375" t="s">
        <v>231</v>
      </c>
      <c r="CD375" t="s">
        <v>231</v>
      </c>
      <c r="CE375" t="s">
        <v>231</v>
      </c>
      <c r="CF375" t="s">
        <v>231</v>
      </c>
      <c r="CG375" t="s">
        <v>3641</v>
      </c>
      <c r="CH375" t="s">
        <v>231</v>
      </c>
      <c r="CI375" t="s">
        <v>231</v>
      </c>
      <c r="CJ375" t="s">
        <v>231</v>
      </c>
      <c r="CK375" t="s">
        <v>231</v>
      </c>
      <c r="CL375" t="s">
        <v>231</v>
      </c>
      <c r="CM375" t="s">
        <v>4934</v>
      </c>
      <c r="CN375" t="s">
        <v>4934</v>
      </c>
      <c r="CO375" t="s">
        <v>231</v>
      </c>
      <c r="CP375" t="s">
        <v>231</v>
      </c>
      <c r="CQ375" t="s">
        <v>231</v>
      </c>
      <c r="CR375" t="s">
        <v>231</v>
      </c>
      <c r="CS375" t="s">
        <v>3710</v>
      </c>
      <c r="CT375" t="s">
        <v>3534</v>
      </c>
      <c r="CU375" t="s">
        <v>3535</v>
      </c>
      <c r="CV375" t="s">
        <v>3536</v>
      </c>
      <c r="CW375" t="s">
        <v>3589</v>
      </c>
      <c r="CX375" t="s">
        <v>223</v>
      </c>
      <c r="CY375" t="s">
        <v>3536</v>
      </c>
      <c r="CZ375" t="s">
        <v>3590</v>
      </c>
      <c r="DA375" t="s">
        <v>3591</v>
      </c>
      <c r="DB375" t="s">
        <v>3589</v>
      </c>
      <c r="DC375" t="s">
        <v>363</v>
      </c>
      <c r="DD375" t="s">
        <v>282</v>
      </c>
      <c r="DE375" t="s">
        <v>4935</v>
      </c>
    </row>
    <row r="376" spans="1:109" ht="11.25" customHeight="1">
      <c r="A376" s="1314" t="s">
        <v>231</v>
      </c>
      <c r="B376" t="s">
        <v>231</v>
      </c>
      <c r="C376" t="s">
        <v>231</v>
      </c>
      <c r="D376" t="s">
        <v>231</v>
      </c>
      <c r="E376" t="s">
        <v>231</v>
      </c>
      <c r="F376" t="s">
        <v>231</v>
      </c>
      <c r="G376" t="s">
        <v>231</v>
      </c>
      <c r="H376" t="s">
        <v>231</v>
      </c>
      <c r="I376" t="s">
        <v>3521</v>
      </c>
      <c r="J376" t="s">
        <v>231</v>
      </c>
      <c r="K376" t="s">
        <v>231</v>
      </c>
      <c r="L376" t="s">
        <v>231</v>
      </c>
      <c r="M376" t="s">
        <v>231</v>
      </c>
      <c r="N376" t="s">
        <v>231</v>
      </c>
      <c r="O376" t="s">
        <v>231</v>
      </c>
      <c r="P376" t="s">
        <v>231</v>
      </c>
      <c r="Q376" t="s">
        <v>231</v>
      </c>
      <c r="R376" t="s">
        <v>5039</v>
      </c>
      <c r="S376" t="s">
        <v>231</v>
      </c>
      <c r="T376" t="s">
        <v>231</v>
      </c>
      <c r="U376" t="s">
        <v>101</v>
      </c>
      <c r="V376" t="s">
        <v>231</v>
      </c>
      <c r="W376" t="s">
        <v>231</v>
      </c>
      <c r="X376" t="s">
        <v>3523</v>
      </c>
      <c r="Y376" t="s">
        <v>231</v>
      </c>
      <c r="Z376" t="s">
        <v>160</v>
      </c>
      <c r="AA376" t="s">
        <v>151</v>
      </c>
      <c r="AB376" t="s">
        <v>151</v>
      </c>
      <c r="AC376" t="s">
        <v>343</v>
      </c>
      <c r="AD376" t="s">
        <v>343</v>
      </c>
      <c r="AE376" t="s">
        <v>344</v>
      </c>
      <c r="AF376" t="s">
        <v>3561</v>
      </c>
      <c r="AG376" t="s">
        <v>3562</v>
      </c>
      <c r="AH376" t="s">
        <v>4937</v>
      </c>
      <c r="AI376" t="s">
        <v>4938</v>
      </c>
      <c r="AJ376" t="s">
        <v>3952</v>
      </c>
      <c r="AK376" t="s">
        <v>3641</v>
      </c>
      <c r="AL376" t="s">
        <v>3566</v>
      </c>
      <c r="AM376" t="s">
        <v>3531</v>
      </c>
      <c r="AN376" t="s">
        <v>4939</v>
      </c>
      <c r="AO376" t="s">
        <v>4940</v>
      </c>
      <c r="AP376" t="s">
        <v>231</v>
      </c>
      <c r="AQ376" t="s">
        <v>231</v>
      </c>
      <c r="AR376" t="s">
        <v>231</v>
      </c>
      <c r="AS376" t="s">
        <v>231</v>
      </c>
      <c r="AT376" t="s">
        <v>231</v>
      </c>
      <c r="AU376" t="s">
        <v>231</v>
      </c>
      <c r="AV376" t="s">
        <v>231</v>
      </c>
      <c r="AW376" t="s">
        <v>231</v>
      </c>
      <c r="AX376" t="s">
        <v>231</v>
      </c>
      <c r="AY376" t="s">
        <v>231</v>
      </c>
      <c r="AZ376" t="s">
        <v>231</v>
      </c>
      <c r="BA376" t="s">
        <v>231</v>
      </c>
      <c r="BB376" t="s">
        <v>231</v>
      </c>
      <c r="BC376" t="s">
        <v>231</v>
      </c>
      <c r="BD376" t="s">
        <v>231</v>
      </c>
      <c r="BE376" t="s">
        <v>231</v>
      </c>
      <c r="BF376" t="s">
        <v>231</v>
      </c>
      <c r="BG376" t="s">
        <v>231</v>
      </c>
      <c r="BH376" t="s">
        <v>231</v>
      </c>
      <c r="BI376" t="s">
        <v>231</v>
      </c>
      <c r="BJ376" t="s">
        <v>231</v>
      </c>
      <c r="BK376" t="s">
        <v>231</v>
      </c>
      <c r="BL376" t="s">
        <v>231</v>
      </c>
      <c r="BM376" t="s">
        <v>231</v>
      </c>
      <c r="BN376" t="s">
        <v>231</v>
      </c>
      <c r="BO376" t="s">
        <v>231</v>
      </c>
      <c r="BP376" t="s">
        <v>231</v>
      </c>
      <c r="BQ376" t="s">
        <v>231</v>
      </c>
      <c r="BR376" t="s">
        <v>231</v>
      </c>
      <c r="BS376" t="s">
        <v>231</v>
      </c>
      <c r="BT376" t="s">
        <v>231</v>
      </c>
      <c r="BU376" t="s">
        <v>231</v>
      </c>
      <c r="BV376" t="s">
        <v>231</v>
      </c>
      <c r="BW376" t="s">
        <v>231</v>
      </c>
      <c r="BX376" t="s">
        <v>231</v>
      </c>
      <c r="BY376" t="s">
        <v>231</v>
      </c>
      <c r="BZ376" t="s">
        <v>231</v>
      </c>
      <c r="CA376" t="s">
        <v>231</v>
      </c>
      <c r="CB376" t="s">
        <v>231</v>
      </c>
      <c r="CC376" t="s">
        <v>231</v>
      </c>
      <c r="CD376" t="s">
        <v>231</v>
      </c>
      <c r="CE376" t="s">
        <v>231</v>
      </c>
      <c r="CF376" t="s">
        <v>231</v>
      </c>
      <c r="CG376" t="s">
        <v>231</v>
      </c>
      <c r="CH376" t="s">
        <v>231</v>
      </c>
      <c r="CI376" t="s">
        <v>231</v>
      </c>
      <c r="CJ376" t="s">
        <v>231</v>
      </c>
      <c r="CK376" t="s">
        <v>231</v>
      </c>
      <c r="CL376" t="s">
        <v>231</v>
      </c>
      <c r="CM376" t="s">
        <v>231</v>
      </c>
      <c r="CN376" t="s">
        <v>231</v>
      </c>
      <c r="CO376" t="s">
        <v>231</v>
      </c>
      <c r="CP376" t="s">
        <v>231</v>
      </c>
      <c r="CQ376" t="s">
        <v>231</v>
      </c>
      <c r="CR376" t="s">
        <v>231</v>
      </c>
      <c r="CS376" t="s">
        <v>231</v>
      </c>
      <c r="CT376" t="s">
        <v>3534</v>
      </c>
      <c r="CU376" t="s">
        <v>3535</v>
      </c>
      <c r="CV376" t="s">
        <v>3536</v>
      </c>
      <c r="CW376" t="s">
        <v>3569</v>
      </c>
      <c r="CX376" t="s">
        <v>3570</v>
      </c>
      <c r="CY376" t="s">
        <v>3536</v>
      </c>
      <c r="CZ376" t="s">
        <v>224</v>
      </c>
      <c r="DA376" t="s">
        <v>3571</v>
      </c>
      <c r="DB376" t="s">
        <v>3569</v>
      </c>
      <c r="DC376" t="s">
        <v>363</v>
      </c>
      <c r="DD376" t="s">
        <v>282</v>
      </c>
      <c r="DE376" t="s">
        <v>4941</v>
      </c>
    </row>
    <row r="377" spans="1:109" ht="11.25" customHeight="1">
      <c r="A377" s="1314" t="s">
        <v>231</v>
      </c>
      <c r="B377" t="s">
        <v>231</v>
      </c>
      <c r="C377" t="s">
        <v>231</v>
      </c>
      <c r="D377" t="s">
        <v>231</v>
      </c>
      <c r="E377" t="s">
        <v>231</v>
      </c>
      <c r="F377" t="s">
        <v>231</v>
      </c>
      <c r="G377" t="s">
        <v>231</v>
      </c>
      <c r="H377" t="s">
        <v>231</v>
      </c>
      <c r="I377" t="s">
        <v>3521</v>
      </c>
      <c r="J377" t="s">
        <v>231</v>
      </c>
      <c r="K377" t="s">
        <v>231</v>
      </c>
      <c r="L377" t="s">
        <v>231</v>
      </c>
      <c r="M377" t="s">
        <v>231</v>
      </c>
      <c r="N377" t="s">
        <v>231</v>
      </c>
      <c r="O377" t="s">
        <v>231</v>
      </c>
      <c r="P377" t="s">
        <v>231</v>
      </c>
      <c r="Q377" t="s">
        <v>231</v>
      </c>
      <c r="R377" t="s">
        <v>3615</v>
      </c>
      <c r="S377" t="s">
        <v>231</v>
      </c>
      <c r="T377" t="s">
        <v>231</v>
      </c>
      <c r="U377" t="s">
        <v>101</v>
      </c>
      <c r="V377" t="s">
        <v>231</v>
      </c>
      <c r="W377" t="s">
        <v>231</v>
      </c>
      <c r="X377" t="s">
        <v>3523</v>
      </c>
      <c r="Y377" t="s">
        <v>231</v>
      </c>
      <c r="Z377" t="s">
        <v>160</v>
      </c>
      <c r="AA377" t="s">
        <v>151</v>
      </c>
      <c r="AB377" t="s">
        <v>151</v>
      </c>
      <c r="AC377" t="s">
        <v>2289</v>
      </c>
      <c r="AD377" t="s">
        <v>2289</v>
      </c>
      <c r="AE377" t="s">
        <v>2290</v>
      </c>
      <c r="AF377" t="s">
        <v>3726</v>
      </c>
      <c r="AG377" t="s">
        <v>3727</v>
      </c>
      <c r="AH377" t="s">
        <v>4942</v>
      </c>
      <c r="AI377" t="s">
        <v>4943</v>
      </c>
      <c r="AJ377" t="s">
        <v>4481</v>
      </c>
      <c r="AK377" t="s">
        <v>3716</v>
      </c>
      <c r="AL377" t="s">
        <v>3548</v>
      </c>
      <c r="AM377" t="s">
        <v>3531</v>
      </c>
      <c r="AN377" t="s">
        <v>3595</v>
      </c>
      <c r="AO377" t="s">
        <v>3679</v>
      </c>
      <c r="AP377" t="s">
        <v>231</v>
      </c>
      <c r="AQ377" t="s">
        <v>231</v>
      </c>
      <c r="AR377" t="s">
        <v>231</v>
      </c>
      <c r="AS377" t="s">
        <v>231</v>
      </c>
      <c r="AT377" t="s">
        <v>231</v>
      </c>
      <c r="AU377" t="s">
        <v>231</v>
      </c>
      <c r="AV377" t="s">
        <v>231</v>
      </c>
      <c r="AW377" t="s">
        <v>231</v>
      </c>
      <c r="AX377" t="s">
        <v>231</v>
      </c>
      <c r="AY377" t="s">
        <v>231</v>
      </c>
      <c r="AZ377" t="s">
        <v>231</v>
      </c>
      <c r="BA377" t="s">
        <v>231</v>
      </c>
      <c r="BB377" t="s">
        <v>231</v>
      </c>
      <c r="BC377" t="s">
        <v>231</v>
      </c>
      <c r="BD377" t="s">
        <v>231</v>
      </c>
      <c r="BE377" t="s">
        <v>231</v>
      </c>
      <c r="BF377" t="s">
        <v>231</v>
      </c>
      <c r="BG377" t="s">
        <v>231</v>
      </c>
      <c r="BH377" t="s">
        <v>231</v>
      </c>
      <c r="BI377" t="s">
        <v>231</v>
      </c>
      <c r="BJ377" t="s">
        <v>231</v>
      </c>
      <c r="BK377" t="s">
        <v>231</v>
      </c>
      <c r="BL377" t="s">
        <v>231</v>
      </c>
      <c r="BM377" t="s">
        <v>231</v>
      </c>
      <c r="BN377" t="s">
        <v>231</v>
      </c>
      <c r="BO377" t="s">
        <v>231</v>
      </c>
      <c r="BP377" t="s">
        <v>231</v>
      </c>
      <c r="BQ377" t="s">
        <v>231</v>
      </c>
      <c r="BR377" t="s">
        <v>231</v>
      </c>
      <c r="BS377" t="s">
        <v>231</v>
      </c>
      <c r="BT377" t="s">
        <v>231</v>
      </c>
      <c r="BU377" t="s">
        <v>231</v>
      </c>
      <c r="BV377" t="s">
        <v>231</v>
      </c>
      <c r="BW377" t="s">
        <v>231</v>
      </c>
      <c r="BX377" t="s">
        <v>231</v>
      </c>
      <c r="BY377" t="s">
        <v>231</v>
      </c>
      <c r="BZ377" t="s">
        <v>231</v>
      </c>
      <c r="CA377" t="s">
        <v>231</v>
      </c>
      <c r="CB377" t="s">
        <v>231</v>
      </c>
      <c r="CC377" t="s">
        <v>231</v>
      </c>
      <c r="CD377" t="s">
        <v>231</v>
      </c>
      <c r="CE377" t="s">
        <v>231</v>
      </c>
      <c r="CF377" t="s">
        <v>231</v>
      </c>
      <c r="CG377" t="s">
        <v>231</v>
      </c>
      <c r="CH377" t="s">
        <v>231</v>
      </c>
      <c r="CI377" t="s">
        <v>231</v>
      </c>
      <c r="CJ377" t="s">
        <v>231</v>
      </c>
      <c r="CK377" t="s">
        <v>231</v>
      </c>
      <c r="CL377" t="s">
        <v>231</v>
      </c>
      <c r="CM377" t="s">
        <v>231</v>
      </c>
      <c r="CN377" t="s">
        <v>231</v>
      </c>
      <c r="CO377" t="s">
        <v>231</v>
      </c>
      <c r="CP377" t="s">
        <v>231</v>
      </c>
      <c r="CQ377" t="s">
        <v>231</v>
      </c>
      <c r="CR377" t="s">
        <v>231</v>
      </c>
      <c r="CS377" t="s">
        <v>231</v>
      </c>
      <c r="CT377" t="s">
        <v>3534</v>
      </c>
      <c r="CU377" t="s">
        <v>3535</v>
      </c>
      <c r="CV377" t="s">
        <v>3536</v>
      </c>
      <c r="CW377" t="s">
        <v>3589</v>
      </c>
      <c r="CX377" t="s">
        <v>223</v>
      </c>
      <c r="CY377" t="s">
        <v>3536</v>
      </c>
      <c r="CZ377" t="s">
        <v>3590</v>
      </c>
      <c r="DA377" t="s">
        <v>3591</v>
      </c>
      <c r="DB377" t="s">
        <v>3589</v>
      </c>
      <c r="DC377" t="s">
        <v>363</v>
      </c>
      <c r="DD377" t="s">
        <v>282</v>
      </c>
      <c r="DE377" t="s">
        <v>4944</v>
      </c>
    </row>
    <row r="378" spans="1:109" ht="11.25" customHeight="1">
      <c r="A378" s="1314" t="s">
        <v>231</v>
      </c>
      <c r="B378" t="s">
        <v>231</v>
      </c>
      <c r="C378" t="s">
        <v>231</v>
      </c>
      <c r="D378" t="s">
        <v>231</v>
      </c>
      <c r="E378" t="s">
        <v>231</v>
      </c>
      <c r="F378" t="s">
        <v>231</v>
      </c>
      <c r="G378" t="s">
        <v>231</v>
      </c>
      <c r="H378" t="s">
        <v>231</v>
      </c>
      <c r="I378" t="s">
        <v>3521</v>
      </c>
      <c r="J378" t="s">
        <v>231</v>
      </c>
      <c r="K378" t="s">
        <v>231</v>
      </c>
      <c r="L378" t="s">
        <v>231</v>
      </c>
      <c r="M378" t="s">
        <v>231</v>
      </c>
      <c r="N378" t="s">
        <v>231</v>
      </c>
      <c r="O378" t="s">
        <v>231</v>
      </c>
      <c r="P378" t="s">
        <v>231</v>
      </c>
      <c r="Q378" t="s">
        <v>231</v>
      </c>
      <c r="R378" t="s">
        <v>4288</v>
      </c>
      <c r="S378" t="s">
        <v>231</v>
      </c>
      <c r="T378" t="s">
        <v>231</v>
      </c>
      <c r="U378" t="s">
        <v>101</v>
      </c>
      <c r="V378" t="s">
        <v>231</v>
      </c>
      <c r="W378" t="s">
        <v>231</v>
      </c>
      <c r="X378" t="s">
        <v>3628</v>
      </c>
      <c r="Y378" t="s">
        <v>231</v>
      </c>
      <c r="Z378" t="s">
        <v>151</v>
      </c>
      <c r="AA378" t="s">
        <v>151</v>
      </c>
      <c r="AB378" t="s">
        <v>160</v>
      </c>
      <c r="AC378" t="s">
        <v>2287</v>
      </c>
      <c r="AD378" t="s">
        <v>2287</v>
      </c>
      <c r="AE378" t="s">
        <v>2288</v>
      </c>
      <c r="AF378" t="s">
        <v>4025</v>
      </c>
      <c r="AG378" t="s">
        <v>4026</v>
      </c>
      <c r="AH378" t="s">
        <v>3618</v>
      </c>
      <c r="AI378" t="s">
        <v>3618</v>
      </c>
      <c r="AJ378" t="s">
        <v>231</v>
      </c>
      <c r="AK378" t="s">
        <v>231</v>
      </c>
      <c r="AL378" t="s">
        <v>231</v>
      </c>
      <c r="AM378" t="s">
        <v>231</v>
      </c>
      <c r="AN378" t="s">
        <v>231</v>
      </c>
      <c r="AO378" t="s">
        <v>231</v>
      </c>
      <c r="AP378" t="s">
        <v>231</v>
      </c>
      <c r="AQ378" t="s">
        <v>231</v>
      </c>
      <c r="AR378" t="s">
        <v>231</v>
      </c>
      <c r="AS378" t="s">
        <v>231</v>
      </c>
      <c r="AT378" t="s">
        <v>231</v>
      </c>
      <c r="AU378" t="s">
        <v>231</v>
      </c>
      <c r="AV378" t="s">
        <v>231</v>
      </c>
      <c r="AW378" t="s">
        <v>231</v>
      </c>
      <c r="AX378" t="s">
        <v>231</v>
      </c>
      <c r="AY378" t="s">
        <v>231</v>
      </c>
      <c r="AZ378" t="s">
        <v>231</v>
      </c>
      <c r="BA378" t="s">
        <v>231</v>
      </c>
      <c r="BB378" t="s">
        <v>231</v>
      </c>
      <c r="BC378" t="s">
        <v>231</v>
      </c>
      <c r="BD378" t="s">
        <v>231</v>
      </c>
      <c r="BE378" t="s">
        <v>3528</v>
      </c>
      <c r="BF378" t="s">
        <v>3528</v>
      </c>
      <c r="BG378" t="s">
        <v>111</v>
      </c>
      <c r="BH378" t="s">
        <v>3632</v>
      </c>
      <c r="BI378" t="s">
        <v>122</v>
      </c>
      <c r="BJ378" t="s">
        <v>231</v>
      </c>
      <c r="BK378" t="s">
        <v>4024</v>
      </c>
      <c r="BL378" t="s">
        <v>2287</v>
      </c>
      <c r="BM378" t="s">
        <v>2287</v>
      </c>
      <c r="BN378" t="s">
        <v>3842</v>
      </c>
      <c r="BO378" t="s">
        <v>4025</v>
      </c>
      <c r="BP378" t="s">
        <v>4216</v>
      </c>
      <c r="BQ378" t="s">
        <v>3618</v>
      </c>
      <c r="BR378" t="s">
        <v>3618</v>
      </c>
      <c r="BS378" t="s">
        <v>231</v>
      </c>
      <c r="BT378" t="s">
        <v>3694</v>
      </c>
      <c r="BU378" t="s">
        <v>4289</v>
      </c>
      <c r="BV378" t="s">
        <v>4289</v>
      </c>
      <c r="BW378" t="s">
        <v>3641</v>
      </c>
      <c r="BX378" t="s">
        <v>3641</v>
      </c>
      <c r="BY378" t="s">
        <v>3641</v>
      </c>
      <c r="BZ378" t="s">
        <v>3641</v>
      </c>
      <c r="CA378" t="s">
        <v>3641</v>
      </c>
      <c r="CB378" t="s">
        <v>231</v>
      </c>
      <c r="CC378" t="s">
        <v>231</v>
      </c>
      <c r="CD378" t="s">
        <v>231</v>
      </c>
      <c r="CE378" t="s">
        <v>231</v>
      </c>
      <c r="CF378" t="s">
        <v>231</v>
      </c>
      <c r="CG378" t="s">
        <v>3641</v>
      </c>
      <c r="CH378" t="s">
        <v>231</v>
      </c>
      <c r="CI378" t="s">
        <v>231</v>
      </c>
      <c r="CJ378" t="s">
        <v>231</v>
      </c>
      <c r="CK378" t="s">
        <v>231</v>
      </c>
      <c r="CL378" t="s">
        <v>231</v>
      </c>
      <c r="CM378" t="s">
        <v>4289</v>
      </c>
      <c r="CN378" t="s">
        <v>4289</v>
      </c>
      <c r="CO378" t="s">
        <v>231</v>
      </c>
      <c r="CP378" t="s">
        <v>231</v>
      </c>
      <c r="CQ378" t="s">
        <v>231</v>
      </c>
      <c r="CR378" t="s">
        <v>231</v>
      </c>
      <c r="CS378" t="s">
        <v>3529</v>
      </c>
      <c r="CT378" t="s">
        <v>3534</v>
      </c>
      <c r="CU378" t="s">
        <v>3535</v>
      </c>
      <c r="CV378" t="s">
        <v>3536</v>
      </c>
      <c r="CW378" t="s">
        <v>3623</v>
      </c>
      <c r="CX378" t="s">
        <v>223</v>
      </c>
      <c r="CY378" t="s">
        <v>3536</v>
      </c>
      <c r="CZ378" t="s">
        <v>3624</v>
      </c>
      <c r="DA378" t="s">
        <v>3625</v>
      </c>
      <c r="DB378" t="s">
        <v>3623</v>
      </c>
      <c r="DC378" t="s">
        <v>363</v>
      </c>
      <c r="DD378" t="s">
        <v>282</v>
      </c>
      <c r="DE378" t="s">
        <v>4290</v>
      </c>
    </row>
    <row r="379" spans="1:109" ht="11.25" customHeight="1">
      <c r="A379" s="1314" t="s">
        <v>231</v>
      </c>
      <c r="B379" t="s">
        <v>231</v>
      </c>
      <c r="C379" t="s">
        <v>231</v>
      </c>
      <c r="D379" t="s">
        <v>231</v>
      </c>
      <c r="E379" t="s">
        <v>231</v>
      </c>
      <c r="F379" t="s">
        <v>231</v>
      </c>
      <c r="G379" t="s">
        <v>231</v>
      </c>
      <c r="H379" t="s">
        <v>231</v>
      </c>
      <c r="I379" t="s">
        <v>3521</v>
      </c>
      <c r="J379" t="s">
        <v>231</v>
      </c>
      <c r="K379" t="s">
        <v>231</v>
      </c>
      <c r="L379" t="s">
        <v>231</v>
      </c>
      <c r="M379" t="s">
        <v>231</v>
      </c>
      <c r="N379" t="s">
        <v>231</v>
      </c>
      <c r="O379" t="s">
        <v>231</v>
      </c>
      <c r="P379" t="s">
        <v>231</v>
      </c>
      <c r="Q379" t="s">
        <v>231</v>
      </c>
      <c r="R379" t="s">
        <v>3615</v>
      </c>
      <c r="S379" t="s">
        <v>231</v>
      </c>
      <c r="T379" t="s">
        <v>231</v>
      </c>
      <c r="U379" t="s">
        <v>101</v>
      </c>
      <c r="V379" t="s">
        <v>231</v>
      </c>
      <c r="W379" t="s">
        <v>231</v>
      </c>
      <c r="X379" t="s">
        <v>3523</v>
      </c>
      <c r="Y379" t="s">
        <v>231</v>
      </c>
      <c r="Z379" t="s">
        <v>160</v>
      </c>
      <c r="AA379" t="s">
        <v>151</v>
      </c>
      <c r="AB379" t="s">
        <v>151</v>
      </c>
      <c r="AC379" t="s">
        <v>2287</v>
      </c>
      <c r="AD379" t="s">
        <v>2287</v>
      </c>
      <c r="AE379" t="s">
        <v>2288</v>
      </c>
      <c r="AF379" t="s">
        <v>4465</v>
      </c>
      <c r="AG379" t="s">
        <v>4466</v>
      </c>
      <c r="AH379" t="s">
        <v>3618</v>
      </c>
      <c r="AI379" t="s">
        <v>3618</v>
      </c>
      <c r="AJ379" t="s">
        <v>3619</v>
      </c>
      <c r="AK379" t="s">
        <v>4467</v>
      </c>
      <c r="AL379" t="s">
        <v>3548</v>
      </c>
      <c r="AM379" t="s">
        <v>3531</v>
      </c>
      <c r="AN379" t="s">
        <v>3621</v>
      </c>
      <c r="AO379" t="s">
        <v>3622</v>
      </c>
      <c r="AP379" t="s">
        <v>231</v>
      </c>
      <c r="AQ379" t="s">
        <v>231</v>
      </c>
      <c r="AR379" t="s">
        <v>231</v>
      </c>
      <c r="AS379" t="s">
        <v>231</v>
      </c>
      <c r="AT379" t="s">
        <v>231</v>
      </c>
      <c r="AU379" t="s">
        <v>231</v>
      </c>
      <c r="AV379" t="s">
        <v>231</v>
      </c>
      <c r="AW379" t="s">
        <v>231</v>
      </c>
      <c r="AX379" t="s">
        <v>231</v>
      </c>
      <c r="AY379" t="s">
        <v>231</v>
      </c>
      <c r="AZ379" t="s">
        <v>231</v>
      </c>
      <c r="BA379" t="s">
        <v>231</v>
      </c>
      <c r="BB379" t="s">
        <v>231</v>
      </c>
      <c r="BC379" t="s">
        <v>231</v>
      </c>
      <c r="BD379" t="s">
        <v>231</v>
      </c>
      <c r="BE379" t="s">
        <v>231</v>
      </c>
      <c r="BF379" t="s">
        <v>231</v>
      </c>
      <c r="BG379" t="s">
        <v>231</v>
      </c>
      <c r="BH379" t="s">
        <v>231</v>
      </c>
      <c r="BI379" t="s">
        <v>231</v>
      </c>
      <c r="BJ379" t="s">
        <v>231</v>
      </c>
      <c r="BK379" t="s">
        <v>231</v>
      </c>
      <c r="BL379" t="s">
        <v>231</v>
      </c>
      <c r="BM379" t="s">
        <v>231</v>
      </c>
      <c r="BN379" t="s">
        <v>231</v>
      </c>
      <c r="BO379" t="s">
        <v>231</v>
      </c>
      <c r="BP379" t="s">
        <v>231</v>
      </c>
      <c r="BQ379" t="s">
        <v>231</v>
      </c>
      <c r="BR379" t="s">
        <v>231</v>
      </c>
      <c r="BS379" t="s">
        <v>231</v>
      </c>
      <c r="BT379" t="s">
        <v>231</v>
      </c>
      <c r="BU379" t="s">
        <v>231</v>
      </c>
      <c r="BV379" t="s">
        <v>231</v>
      </c>
      <c r="BW379" t="s">
        <v>231</v>
      </c>
      <c r="BX379" t="s">
        <v>231</v>
      </c>
      <c r="BY379" t="s">
        <v>231</v>
      </c>
      <c r="BZ379" t="s">
        <v>231</v>
      </c>
      <c r="CA379" t="s">
        <v>231</v>
      </c>
      <c r="CB379" t="s">
        <v>231</v>
      </c>
      <c r="CC379" t="s">
        <v>231</v>
      </c>
      <c r="CD379" t="s">
        <v>231</v>
      </c>
      <c r="CE379" t="s">
        <v>231</v>
      </c>
      <c r="CF379" t="s">
        <v>231</v>
      </c>
      <c r="CG379" t="s">
        <v>231</v>
      </c>
      <c r="CH379" t="s">
        <v>231</v>
      </c>
      <c r="CI379" t="s">
        <v>231</v>
      </c>
      <c r="CJ379" t="s">
        <v>231</v>
      </c>
      <c r="CK379" t="s">
        <v>231</v>
      </c>
      <c r="CL379" t="s">
        <v>231</v>
      </c>
      <c r="CM379" t="s">
        <v>231</v>
      </c>
      <c r="CN379" t="s">
        <v>231</v>
      </c>
      <c r="CO379" t="s">
        <v>231</v>
      </c>
      <c r="CP379" t="s">
        <v>231</v>
      </c>
      <c r="CQ379" t="s">
        <v>231</v>
      </c>
      <c r="CR379" t="s">
        <v>231</v>
      </c>
      <c r="CS379" t="s">
        <v>231</v>
      </c>
      <c r="CT379" t="s">
        <v>3534</v>
      </c>
      <c r="CU379" t="s">
        <v>3535</v>
      </c>
      <c r="CV379" t="s">
        <v>3536</v>
      </c>
      <c r="CW379" t="s">
        <v>3623</v>
      </c>
      <c r="CX379" t="s">
        <v>223</v>
      </c>
      <c r="CY379" t="s">
        <v>3536</v>
      </c>
      <c r="CZ379" t="s">
        <v>3624</v>
      </c>
      <c r="DA379" t="s">
        <v>3625</v>
      </c>
      <c r="DB379" t="s">
        <v>3623</v>
      </c>
      <c r="DC379" t="s">
        <v>363</v>
      </c>
      <c r="DD379" t="s">
        <v>282</v>
      </c>
      <c r="DE379" t="s">
        <v>4468</v>
      </c>
    </row>
    <row r="380" spans="1:109" ht="11.25" customHeight="1">
      <c r="A380" s="1314" t="s">
        <v>231</v>
      </c>
      <c r="B380" t="s">
        <v>231</v>
      </c>
      <c r="C380" t="s">
        <v>231</v>
      </c>
      <c r="D380" t="s">
        <v>231</v>
      </c>
      <c r="E380" t="s">
        <v>231</v>
      </c>
      <c r="F380" t="s">
        <v>231</v>
      </c>
      <c r="G380" t="s">
        <v>231</v>
      </c>
      <c r="H380" t="s">
        <v>231</v>
      </c>
      <c r="I380" t="s">
        <v>3521</v>
      </c>
      <c r="J380" t="s">
        <v>231</v>
      </c>
      <c r="K380" t="s">
        <v>231</v>
      </c>
      <c r="L380" t="s">
        <v>231</v>
      </c>
      <c r="M380" t="s">
        <v>231</v>
      </c>
      <c r="N380" t="s">
        <v>231</v>
      </c>
      <c r="O380" t="s">
        <v>231</v>
      </c>
      <c r="P380" t="s">
        <v>231</v>
      </c>
      <c r="Q380" t="s">
        <v>231</v>
      </c>
      <c r="R380" t="s">
        <v>4484</v>
      </c>
      <c r="S380" t="s">
        <v>231</v>
      </c>
      <c r="T380" t="s">
        <v>231</v>
      </c>
      <c r="U380" t="s">
        <v>101</v>
      </c>
      <c r="V380" t="s">
        <v>231</v>
      </c>
      <c r="W380" t="s">
        <v>231</v>
      </c>
      <c r="X380" t="s">
        <v>3628</v>
      </c>
      <c r="Y380" t="s">
        <v>231</v>
      </c>
      <c r="Z380" t="s">
        <v>151</v>
      </c>
      <c r="AA380" t="s">
        <v>151</v>
      </c>
      <c r="AB380" t="s">
        <v>160</v>
      </c>
      <c r="AC380" t="s">
        <v>2287</v>
      </c>
      <c r="AD380" t="s">
        <v>2287</v>
      </c>
      <c r="AE380" t="s">
        <v>2288</v>
      </c>
      <c r="AF380" t="s">
        <v>4465</v>
      </c>
      <c r="AG380" t="s">
        <v>4466</v>
      </c>
      <c r="AH380" t="s">
        <v>3618</v>
      </c>
      <c r="AI380" t="s">
        <v>3618</v>
      </c>
      <c r="AJ380" t="s">
        <v>231</v>
      </c>
      <c r="AK380" t="s">
        <v>231</v>
      </c>
      <c r="AL380" t="s">
        <v>231</v>
      </c>
      <c r="AM380" t="s">
        <v>231</v>
      </c>
      <c r="AN380" t="s">
        <v>231</v>
      </c>
      <c r="AO380" t="s">
        <v>231</v>
      </c>
      <c r="AP380" t="s">
        <v>231</v>
      </c>
      <c r="AQ380" t="s">
        <v>231</v>
      </c>
      <c r="AR380" t="s">
        <v>231</v>
      </c>
      <c r="AS380" t="s">
        <v>231</v>
      </c>
      <c r="AT380" t="s">
        <v>231</v>
      </c>
      <c r="AU380" t="s">
        <v>231</v>
      </c>
      <c r="AV380" t="s">
        <v>231</v>
      </c>
      <c r="AW380" t="s">
        <v>231</v>
      </c>
      <c r="AX380" t="s">
        <v>231</v>
      </c>
      <c r="AY380" t="s">
        <v>231</v>
      </c>
      <c r="AZ380" t="s">
        <v>231</v>
      </c>
      <c r="BA380" t="s">
        <v>231</v>
      </c>
      <c r="BB380" t="s">
        <v>231</v>
      </c>
      <c r="BC380" t="s">
        <v>231</v>
      </c>
      <c r="BD380" t="s">
        <v>231</v>
      </c>
      <c r="BE380" t="s">
        <v>3619</v>
      </c>
      <c r="BF380" t="s">
        <v>4467</v>
      </c>
      <c r="BG380" t="s">
        <v>111</v>
      </c>
      <c r="BH380" t="s">
        <v>3632</v>
      </c>
      <c r="BI380" t="s">
        <v>122</v>
      </c>
      <c r="BJ380" t="s">
        <v>231</v>
      </c>
      <c r="BK380" t="s">
        <v>3651</v>
      </c>
      <c r="BL380" t="s">
        <v>2287</v>
      </c>
      <c r="BM380" t="s">
        <v>2287</v>
      </c>
      <c r="BN380" t="s">
        <v>3842</v>
      </c>
      <c r="BO380" t="s">
        <v>4465</v>
      </c>
      <c r="BP380" t="s">
        <v>4485</v>
      </c>
      <c r="BQ380" t="s">
        <v>3618</v>
      </c>
      <c r="BR380" t="s">
        <v>3618</v>
      </c>
      <c r="BS380" t="s">
        <v>231</v>
      </c>
      <c r="BT380" t="s">
        <v>3694</v>
      </c>
      <c r="BU380" t="s">
        <v>4486</v>
      </c>
      <c r="BV380" t="s">
        <v>4486</v>
      </c>
      <c r="BW380" t="s">
        <v>3641</v>
      </c>
      <c r="BX380" t="s">
        <v>3641</v>
      </c>
      <c r="BY380" t="s">
        <v>3641</v>
      </c>
      <c r="BZ380" t="s">
        <v>3641</v>
      </c>
      <c r="CA380" t="s">
        <v>3641</v>
      </c>
      <c r="CB380" t="s">
        <v>231</v>
      </c>
      <c r="CC380" t="s">
        <v>231</v>
      </c>
      <c r="CD380" t="s">
        <v>231</v>
      </c>
      <c r="CE380" t="s">
        <v>231</v>
      </c>
      <c r="CF380" t="s">
        <v>231</v>
      </c>
      <c r="CG380" t="s">
        <v>3641</v>
      </c>
      <c r="CH380" t="s">
        <v>231</v>
      </c>
      <c r="CI380" t="s">
        <v>231</v>
      </c>
      <c r="CJ380" t="s">
        <v>231</v>
      </c>
      <c r="CK380" t="s">
        <v>231</v>
      </c>
      <c r="CL380" t="s">
        <v>231</v>
      </c>
      <c r="CM380" t="s">
        <v>4486</v>
      </c>
      <c r="CN380" t="s">
        <v>4486</v>
      </c>
      <c r="CO380" t="s">
        <v>231</v>
      </c>
      <c r="CP380" t="s">
        <v>231</v>
      </c>
      <c r="CQ380" t="s">
        <v>231</v>
      </c>
      <c r="CR380" t="s">
        <v>231</v>
      </c>
      <c r="CS380" t="s">
        <v>3595</v>
      </c>
      <c r="CT380" t="s">
        <v>3534</v>
      </c>
      <c r="CU380" t="s">
        <v>3535</v>
      </c>
      <c r="CV380" t="s">
        <v>3536</v>
      </c>
      <c r="CW380" t="s">
        <v>3623</v>
      </c>
      <c r="CX380" t="s">
        <v>223</v>
      </c>
      <c r="CY380" t="s">
        <v>3536</v>
      </c>
      <c r="CZ380" t="s">
        <v>3624</v>
      </c>
      <c r="DA380" t="s">
        <v>3625</v>
      </c>
      <c r="DB380" t="s">
        <v>3623</v>
      </c>
      <c r="DC380" t="s">
        <v>363</v>
      </c>
      <c r="DD380" t="s">
        <v>282</v>
      </c>
      <c r="DE380" t="s">
        <v>4468</v>
      </c>
    </row>
    <row r="381" spans="1:109" ht="11.25" customHeight="1">
      <c r="A381" s="1314" t="s">
        <v>231</v>
      </c>
      <c r="B381" t="s">
        <v>231</v>
      </c>
      <c r="C381" t="s">
        <v>231</v>
      </c>
      <c r="D381" t="s">
        <v>231</v>
      </c>
      <c r="E381" t="s">
        <v>231</v>
      </c>
      <c r="F381" t="s">
        <v>231</v>
      </c>
      <c r="G381" t="s">
        <v>231</v>
      </c>
      <c r="H381" t="s">
        <v>231</v>
      </c>
      <c r="I381" t="s">
        <v>3521</v>
      </c>
      <c r="J381" t="s">
        <v>231</v>
      </c>
      <c r="K381" t="s">
        <v>231</v>
      </c>
      <c r="L381" t="s">
        <v>231</v>
      </c>
      <c r="M381" t="s">
        <v>231</v>
      </c>
      <c r="N381" t="s">
        <v>231</v>
      </c>
      <c r="O381" t="s">
        <v>231</v>
      </c>
      <c r="P381" t="s">
        <v>231</v>
      </c>
      <c r="Q381" t="s">
        <v>231</v>
      </c>
      <c r="R381" t="s">
        <v>3615</v>
      </c>
      <c r="S381" t="s">
        <v>231</v>
      </c>
      <c r="T381" t="s">
        <v>231</v>
      </c>
      <c r="U381" t="s">
        <v>101</v>
      </c>
      <c r="V381" t="s">
        <v>231</v>
      </c>
      <c r="W381" t="s">
        <v>231</v>
      </c>
      <c r="X381" t="s">
        <v>3523</v>
      </c>
      <c r="Y381" t="s">
        <v>231</v>
      </c>
      <c r="Z381" t="s">
        <v>160</v>
      </c>
      <c r="AA381" t="s">
        <v>151</v>
      </c>
      <c r="AB381" t="s">
        <v>151</v>
      </c>
      <c r="AC381" t="s">
        <v>2287</v>
      </c>
      <c r="AD381" t="s">
        <v>2287</v>
      </c>
      <c r="AE381" t="s">
        <v>2288</v>
      </c>
      <c r="AF381" t="s">
        <v>4299</v>
      </c>
      <c r="AG381" t="s">
        <v>4300</v>
      </c>
      <c r="AH381" t="s">
        <v>4034</v>
      </c>
      <c r="AI381" t="s">
        <v>4301</v>
      </c>
      <c r="AJ381" t="s">
        <v>3619</v>
      </c>
      <c r="AK381" t="s">
        <v>4150</v>
      </c>
      <c r="AL381" t="s">
        <v>3548</v>
      </c>
      <c r="AM381" t="s">
        <v>3531</v>
      </c>
      <c r="AN381" t="s">
        <v>3621</v>
      </c>
      <c r="AO381" t="s">
        <v>3668</v>
      </c>
      <c r="AP381" t="s">
        <v>231</v>
      </c>
      <c r="AQ381" t="s">
        <v>231</v>
      </c>
      <c r="AR381" t="s">
        <v>231</v>
      </c>
      <c r="AS381" t="s">
        <v>231</v>
      </c>
      <c r="AT381" t="s">
        <v>231</v>
      </c>
      <c r="AU381" t="s">
        <v>231</v>
      </c>
      <c r="AV381" t="s">
        <v>231</v>
      </c>
      <c r="AW381" t="s">
        <v>231</v>
      </c>
      <c r="AX381" t="s">
        <v>231</v>
      </c>
      <c r="AY381" t="s">
        <v>231</v>
      </c>
      <c r="AZ381" t="s">
        <v>231</v>
      </c>
      <c r="BA381" t="s">
        <v>231</v>
      </c>
      <c r="BB381" t="s">
        <v>231</v>
      </c>
      <c r="BC381" t="s">
        <v>231</v>
      </c>
      <c r="BD381" t="s">
        <v>231</v>
      </c>
      <c r="BE381" t="s">
        <v>231</v>
      </c>
      <c r="BF381" t="s">
        <v>231</v>
      </c>
      <c r="BG381" t="s">
        <v>231</v>
      </c>
      <c r="BH381" t="s">
        <v>231</v>
      </c>
      <c r="BI381" t="s">
        <v>231</v>
      </c>
      <c r="BJ381" t="s">
        <v>231</v>
      </c>
      <c r="BK381" t="s">
        <v>231</v>
      </c>
      <c r="BL381" t="s">
        <v>231</v>
      </c>
      <c r="BM381" t="s">
        <v>231</v>
      </c>
      <c r="BN381" t="s">
        <v>231</v>
      </c>
      <c r="BO381" t="s">
        <v>231</v>
      </c>
      <c r="BP381" t="s">
        <v>231</v>
      </c>
      <c r="BQ381" t="s">
        <v>231</v>
      </c>
      <c r="BR381" t="s">
        <v>231</v>
      </c>
      <c r="BS381" t="s">
        <v>231</v>
      </c>
      <c r="BT381" t="s">
        <v>231</v>
      </c>
      <c r="BU381" t="s">
        <v>231</v>
      </c>
      <c r="BV381" t="s">
        <v>231</v>
      </c>
      <c r="BW381" t="s">
        <v>231</v>
      </c>
      <c r="BX381" t="s">
        <v>231</v>
      </c>
      <c r="BY381" t="s">
        <v>231</v>
      </c>
      <c r="BZ381" t="s">
        <v>231</v>
      </c>
      <c r="CA381" t="s">
        <v>231</v>
      </c>
      <c r="CB381" t="s">
        <v>231</v>
      </c>
      <c r="CC381" t="s">
        <v>231</v>
      </c>
      <c r="CD381" t="s">
        <v>231</v>
      </c>
      <c r="CE381" t="s">
        <v>231</v>
      </c>
      <c r="CF381" t="s">
        <v>231</v>
      </c>
      <c r="CG381" t="s">
        <v>231</v>
      </c>
      <c r="CH381" t="s">
        <v>231</v>
      </c>
      <c r="CI381" t="s">
        <v>231</v>
      </c>
      <c r="CJ381" t="s">
        <v>231</v>
      </c>
      <c r="CK381" t="s">
        <v>231</v>
      </c>
      <c r="CL381" t="s">
        <v>231</v>
      </c>
      <c r="CM381" t="s">
        <v>231</v>
      </c>
      <c r="CN381" t="s">
        <v>231</v>
      </c>
      <c r="CO381" t="s">
        <v>231</v>
      </c>
      <c r="CP381" t="s">
        <v>231</v>
      </c>
      <c r="CQ381" t="s">
        <v>231</v>
      </c>
      <c r="CR381" t="s">
        <v>231</v>
      </c>
      <c r="CS381" t="s">
        <v>231</v>
      </c>
      <c r="CT381" t="s">
        <v>3534</v>
      </c>
      <c r="CU381" t="s">
        <v>3535</v>
      </c>
      <c r="CV381" t="s">
        <v>3536</v>
      </c>
      <c r="CW381" t="s">
        <v>3623</v>
      </c>
      <c r="CX381" t="s">
        <v>223</v>
      </c>
      <c r="CY381" t="s">
        <v>3536</v>
      </c>
      <c r="CZ381" t="s">
        <v>3624</v>
      </c>
      <c r="DA381" t="s">
        <v>3625</v>
      </c>
      <c r="DB381" t="s">
        <v>3623</v>
      </c>
      <c r="DC381" t="s">
        <v>363</v>
      </c>
      <c r="DD381" t="s">
        <v>282</v>
      </c>
      <c r="DE381" t="s">
        <v>4302</v>
      </c>
    </row>
    <row r="382" spans="1:109" ht="11.25" customHeight="1">
      <c r="A382" s="1314" t="s">
        <v>231</v>
      </c>
      <c r="B382" t="s">
        <v>231</v>
      </c>
      <c r="C382" t="s">
        <v>231</v>
      </c>
      <c r="D382" t="s">
        <v>231</v>
      </c>
      <c r="E382" t="s">
        <v>231</v>
      </c>
      <c r="F382" t="s">
        <v>231</v>
      </c>
      <c r="G382" t="s">
        <v>231</v>
      </c>
      <c r="H382" t="s">
        <v>231</v>
      </c>
      <c r="I382" t="s">
        <v>3521</v>
      </c>
      <c r="J382" t="s">
        <v>231</v>
      </c>
      <c r="K382" t="s">
        <v>231</v>
      </c>
      <c r="L382" t="s">
        <v>231</v>
      </c>
      <c r="M382" t="s">
        <v>231</v>
      </c>
      <c r="N382" t="s">
        <v>231</v>
      </c>
      <c r="O382" t="s">
        <v>231</v>
      </c>
      <c r="P382" t="s">
        <v>231</v>
      </c>
      <c r="Q382" t="s">
        <v>231</v>
      </c>
      <c r="R382" t="s">
        <v>3615</v>
      </c>
      <c r="S382" t="s">
        <v>231</v>
      </c>
      <c r="T382" t="s">
        <v>231</v>
      </c>
      <c r="U382" t="s">
        <v>101</v>
      </c>
      <c r="V382" t="s">
        <v>231</v>
      </c>
      <c r="W382" t="s">
        <v>231</v>
      </c>
      <c r="X382" t="s">
        <v>3523</v>
      </c>
      <c r="Y382" t="s">
        <v>231</v>
      </c>
      <c r="Z382" t="s">
        <v>160</v>
      </c>
      <c r="AA382" t="s">
        <v>151</v>
      </c>
      <c r="AB382" t="s">
        <v>151</v>
      </c>
      <c r="AC382" t="s">
        <v>2287</v>
      </c>
      <c r="AD382" t="s">
        <v>2287</v>
      </c>
      <c r="AE382" t="s">
        <v>2288</v>
      </c>
      <c r="AF382" t="s">
        <v>4299</v>
      </c>
      <c r="AG382" t="s">
        <v>4300</v>
      </c>
      <c r="AH382" t="s">
        <v>4557</v>
      </c>
      <c r="AI382" t="s">
        <v>3618</v>
      </c>
      <c r="AJ382" t="s">
        <v>3619</v>
      </c>
      <c r="AK382" t="s">
        <v>3858</v>
      </c>
      <c r="AL382" t="s">
        <v>3548</v>
      </c>
      <c r="AM382" t="s">
        <v>3531</v>
      </c>
      <c r="AN382" t="s">
        <v>3621</v>
      </c>
      <c r="AO382" t="s">
        <v>3668</v>
      </c>
      <c r="AP382" t="s">
        <v>231</v>
      </c>
      <c r="AQ382" t="s">
        <v>231</v>
      </c>
      <c r="AR382" t="s">
        <v>231</v>
      </c>
      <c r="AS382" t="s">
        <v>231</v>
      </c>
      <c r="AT382" t="s">
        <v>231</v>
      </c>
      <c r="AU382" t="s">
        <v>231</v>
      </c>
      <c r="AV382" t="s">
        <v>231</v>
      </c>
      <c r="AW382" t="s">
        <v>231</v>
      </c>
      <c r="AX382" t="s">
        <v>231</v>
      </c>
      <c r="AY382" t="s">
        <v>231</v>
      </c>
      <c r="AZ382" t="s">
        <v>231</v>
      </c>
      <c r="BA382" t="s">
        <v>231</v>
      </c>
      <c r="BB382" t="s">
        <v>231</v>
      </c>
      <c r="BC382" t="s">
        <v>231</v>
      </c>
      <c r="BD382" t="s">
        <v>231</v>
      </c>
      <c r="BE382" t="s">
        <v>231</v>
      </c>
      <c r="BF382" t="s">
        <v>231</v>
      </c>
      <c r="BG382" t="s">
        <v>231</v>
      </c>
      <c r="BH382" t="s">
        <v>231</v>
      </c>
      <c r="BI382" t="s">
        <v>231</v>
      </c>
      <c r="BJ382" t="s">
        <v>231</v>
      </c>
      <c r="BK382" t="s">
        <v>231</v>
      </c>
      <c r="BL382" t="s">
        <v>231</v>
      </c>
      <c r="BM382" t="s">
        <v>231</v>
      </c>
      <c r="BN382" t="s">
        <v>231</v>
      </c>
      <c r="BO382" t="s">
        <v>231</v>
      </c>
      <c r="BP382" t="s">
        <v>231</v>
      </c>
      <c r="BQ382" t="s">
        <v>231</v>
      </c>
      <c r="BR382" t="s">
        <v>231</v>
      </c>
      <c r="BS382" t="s">
        <v>231</v>
      </c>
      <c r="BT382" t="s">
        <v>231</v>
      </c>
      <c r="BU382" t="s">
        <v>231</v>
      </c>
      <c r="BV382" t="s">
        <v>231</v>
      </c>
      <c r="BW382" t="s">
        <v>231</v>
      </c>
      <c r="BX382" t="s">
        <v>231</v>
      </c>
      <c r="BY382" t="s">
        <v>231</v>
      </c>
      <c r="BZ382" t="s">
        <v>231</v>
      </c>
      <c r="CA382" t="s">
        <v>231</v>
      </c>
      <c r="CB382" t="s">
        <v>231</v>
      </c>
      <c r="CC382" t="s">
        <v>231</v>
      </c>
      <c r="CD382" t="s">
        <v>231</v>
      </c>
      <c r="CE382" t="s">
        <v>231</v>
      </c>
      <c r="CF382" t="s">
        <v>231</v>
      </c>
      <c r="CG382" t="s">
        <v>231</v>
      </c>
      <c r="CH382" t="s">
        <v>231</v>
      </c>
      <c r="CI382" t="s">
        <v>231</v>
      </c>
      <c r="CJ382" t="s">
        <v>231</v>
      </c>
      <c r="CK382" t="s">
        <v>231</v>
      </c>
      <c r="CL382" t="s">
        <v>231</v>
      </c>
      <c r="CM382" t="s">
        <v>231</v>
      </c>
      <c r="CN382" t="s">
        <v>231</v>
      </c>
      <c r="CO382" t="s">
        <v>231</v>
      </c>
      <c r="CP382" t="s">
        <v>231</v>
      </c>
      <c r="CQ382" t="s">
        <v>231</v>
      </c>
      <c r="CR382" t="s">
        <v>231</v>
      </c>
      <c r="CS382" t="s">
        <v>231</v>
      </c>
      <c r="CT382" t="s">
        <v>3534</v>
      </c>
      <c r="CU382" t="s">
        <v>3535</v>
      </c>
      <c r="CV382" t="s">
        <v>3536</v>
      </c>
      <c r="CW382" t="s">
        <v>3623</v>
      </c>
      <c r="CX382" t="s">
        <v>223</v>
      </c>
      <c r="CY382" t="s">
        <v>3536</v>
      </c>
      <c r="CZ382" t="s">
        <v>3624</v>
      </c>
      <c r="DA382" t="s">
        <v>3625</v>
      </c>
      <c r="DB382" t="s">
        <v>3623</v>
      </c>
      <c r="DC382" t="s">
        <v>363</v>
      </c>
      <c r="DD382" t="s">
        <v>282</v>
      </c>
      <c r="DE382" t="s">
        <v>4558</v>
      </c>
    </row>
    <row r="383" spans="1:109" ht="11.25" customHeight="1">
      <c r="A383" s="1314" t="s">
        <v>231</v>
      </c>
      <c r="B383" t="s">
        <v>231</v>
      </c>
      <c r="C383" t="s">
        <v>231</v>
      </c>
      <c r="D383" t="s">
        <v>231</v>
      </c>
      <c r="E383" t="s">
        <v>231</v>
      </c>
      <c r="F383" t="s">
        <v>231</v>
      </c>
      <c r="G383" t="s">
        <v>231</v>
      </c>
      <c r="H383" t="s">
        <v>231</v>
      </c>
      <c r="I383" t="s">
        <v>3521</v>
      </c>
      <c r="J383" t="s">
        <v>231</v>
      </c>
      <c r="K383" t="s">
        <v>231</v>
      </c>
      <c r="L383" t="s">
        <v>231</v>
      </c>
      <c r="M383" t="s">
        <v>231</v>
      </c>
      <c r="N383" t="s">
        <v>231</v>
      </c>
      <c r="O383" t="s">
        <v>231</v>
      </c>
      <c r="P383" t="s">
        <v>231</v>
      </c>
      <c r="Q383" t="s">
        <v>231</v>
      </c>
      <c r="R383" t="s">
        <v>3615</v>
      </c>
      <c r="S383" t="s">
        <v>231</v>
      </c>
      <c r="T383" t="s">
        <v>231</v>
      </c>
      <c r="U383" t="s">
        <v>101</v>
      </c>
      <c r="V383" t="s">
        <v>231</v>
      </c>
      <c r="W383" t="s">
        <v>231</v>
      </c>
      <c r="X383" t="s">
        <v>3523</v>
      </c>
      <c r="Y383" t="s">
        <v>231</v>
      </c>
      <c r="Z383" t="s">
        <v>160</v>
      </c>
      <c r="AA383" t="s">
        <v>151</v>
      </c>
      <c r="AB383" t="s">
        <v>151</v>
      </c>
      <c r="AC383" t="s">
        <v>2287</v>
      </c>
      <c r="AD383" t="s">
        <v>2287</v>
      </c>
      <c r="AE383" t="s">
        <v>2288</v>
      </c>
      <c r="AF383" t="s">
        <v>3847</v>
      </c>
      <c r="AG383" t="s">
        <v>3848</v>
      </c>
      <c r="AH383" t="s">
        <v>4986</v>
      </c>
      <c r="AI383" t="s">
        <v>4987</v>
      </c>
      <c r="AJ383" t="s">
        <v>3619</v>
      </c>
      <c r="AK383" t="s">
        <v>4461</v>
      </c>
      <c r="AL383" t="s">
        <v>3548</v>
      </c>
      <c r="AM383" t="s">
        <v>3531</v>
      </c>
      <c r="AN383" t="s">
        <v>3621</v>
      </c>
      <c r="AO383" t="s">
        <v>3668</v>
      </c>
      <c r="AP383" t="s">
        <v>231</v>
      </c>
      <c r="AQ383" t="s">
        <v>231</v>
      </c>
      <c r="AR383" t="s">
        <v>231</v>
      </c>
      <c r="AS383" t="s">
        <v>231</v>
      </c>
      <c r="AT383" t="s">
        <v>231</v>
      </c>
      <c r="AU383" t="s">
        <v>231</v>
      </c>
      <c r="AV383" t="s">
        <v>231</v>
      </c>
      <c r="AW383" t="s">
        <v>231</v>
      </c>
      <c r="AX383" t="s">
        <v>231</v>
      </c>
      <c r="AY383" t="s">
        <v>231</v>
      </c>
      <c r="AZ383" t="s">
        <v>231</v>
      </c>
      <c r="BA383" t="s">
        <v>231</v>
      </c>
      <c r="BB383" t="s">
        <v>231</v>
      </c>
      <c r="BC383" t="s">
        <v>231</v>
      </c>
      <c r="BD383" t="s">
        <v>231</v>
      </c>
      <c r="BE383" t="s">
        <v>231</v>
      </c>
      <c r="BF383" t="s">
        <v>231</v>
      </c>
      <c r="BG383" t="s">
        <v>231</v>
      </c>
      <c r="BH383" t="s">
        <v>231</v>
      </c>
      <c r="BI383" t="s">
        <v>231</v>
      </c>
      <c r="BJ383" t="s">
        <v>231</v>
      </c>
      <c r="BK383" t="s">
        <v>231</v>
      </c>
      <c r="BL383" t="s">
        <v>231</v>
      </c>
      <c r="BM383" t="s">
        <v>231</v>
      </c>
      <c r="BN383" t="s">
        <v>231</v>
      </c>
      <c r="BO383" t="s">
        <v>231</v>
      </c>
      <c r="BP383" t="s">
        <v>231</v>
      </c>
      <c r="BQ383" t="s">
        <v>231</v>
      </c>
      <c r="BR383" t="s">
        <v>231</v>
      </c>
      <c r="BS383" t="s">
        <v>231</v>
      </c>
      <c r="BT383" t="s">
        <v>231</v>
      </c>
      <c r="BU383" t="s">
        <v>231</v>
      </c>
      <c r="BV383" t="s">
        <v>231</v>
      </c>
      <c r="BW383" t="s">
        <v>231</v>
      </c>
      <c r="BX383" t="s">
        <v>231</v>
      </c>
      <c r="BY383" t="s">
        <v>231</v>
      </c>
      <c r="BZ383" t="s">
        <v>231</v>
      </c>
      <c r="CA383" t="s">
        <v>231</v>
      </c>
      <c r="CB383" t="s">
        <v>231</v>
      </c>
      <c r="CC383" t="s">
        <v>231</v>
      </c>
      <c r="CD383" t="s">
        <v>231</v>
      </c>
      <c r="CE383" t="s">
        <v>231</v>
      </c>
      <c r="CF383" t="s">
        <v>231</v>
      </c>
      <c r="CG383" t="s">
        <v>231</v>
      </c>
      <c r="CH383" t="s">
        <v>231</v>
      </c>
      <c r="CI383" t="s">
        <v>231</v>
      </c>
      <c r="CJ383" t="s">
        <v>231</v>
      </c>
      <c r="CK383" t="s">
        <v>231</v>
      </c>
      <c r="CL383" t="s">
        <v>231</v>
      </c>
      <c r="CM383" t="s">
        <v>231</v>
      </c>
      <c r="CN383" t="s">
        <v>231</v>
      </c>
      <c r="CO383" t="s">
        <v>231</v>
      </c>
      <c r="CP383" t="s">
        <v>231</v>
      </c>
      <c r="CQ383" t="s">
        <v>231</v>
      </c>
      <c r="CR383" t="s">
        <v>231</v>
      </c>
      <c r="CS383" t="s">
        <v>231</v>
      </c>
      <c r="CT383" t="s">
        <v>3534</v>
      </c>
      <c r="CU383" t="s">
        <v>3535</v>
      </c>
      <c r="CV383" t="s">
        <v>3536</v>
      </c>
      <c r="CW383" t="s">
        <v>3623</v>
      </c>
      <c r="CX383" t="s">
        <v>223</v>
      </c>
      <c r="CY383" t="s">
        <v>3536</v>
      </c>
      <c r="CZ383" t="s">
        <v>3624</v>
      </c>
      <c r="DA383" t="s">
        <v>3625</v>
      </c>
      <c r="DB383" t="s">
        <v>3623</v>
      </c>
      <c r="DC383" t="s">
        <v>363</v>
      </c>
      <c r="DD383" t="s">
        <v>282</v>
      </c>
      <c r="DE383" t="s">
        <v>4988</v>
      </c>
    </row>
    <row r="384" spans="1:109" ht="11.25" customHeight="1">
      <c r="A384" s="1314" t="s">
        <v>231</v>
      </c>
      <c r="B384" t="s">
        <v>231</v>
      </c>
      <c r="C384" t="s">
        <v>231</v>
      </c>
      <c r="D384" t="s">
        <v>231</v>
      </c>
      <c r="E384" t="s">
        <v>231</v>
      </c>
      <c r="F384" t="s">
        <v>231</v>
      </c>
      <c r="G384" t="s">
        <v>231</v>
      </c>
      <c r="H384" t="s">
        <v>231</v>
      </c>
      <c r="I384" t="s">
        <v>3521</v>
      </c>
      <c r="J384" t="s">
        <v>231</v>
      </c>
      <c r="K384" t="s">
        <v>231</v>
      </c>
      <c r="L384" t="s">
        <v>231</v>
      </c>
      <c r="M384" t="s">
        <v>231</v>
      </c>
      <c r="N384" t="s">
        <v>231</v>
      </c>
      <c r="O384" t="s">
        <v>231</v>
      </c>
      <c r="P384" t="s">
        <v>231</v>
      </c>
      <c r="Q384" t="s">
        <v>231</v>
      </c>
      <c r="R384" t="s">
        <v>3846</v>
      </c>
      <c r="S384" t="s">
        <v>231</v>
      </c>
      <c r="T384" t="s">
        <v>231</v>
      </c>
      <c r="U384" t="s">
        <v>101</v>
      </c>
      <c r="V384" t="s">
        <v>231</v>
      </c>
      <c r="W384" t="s">
        <v>231</v>
      </c>
      <c r="X384" t="s">
        <v>3628</v>
      </c>
      <c r="Y384" t="s">
        <v>231</v>
      </c>
      <c r="Z384" t="s">
        <v>151</v>
      </c>
      <c r="AA384" t="s">
        <v>151</v>
      </c>
      <c r="AB384" t="s">
        <v>160</v>
      </c>
      <c r="AC384" t="s">
        <v>2287</v>
      </c>
      <c r="AD384" t="s">
        <v>2287</v>
      </c>
      <c r="AE384" t="s">
        <v>2288</v>
      </c>
      <c r="AF384" t="s">
        <v>3847</v>
      </c>
      <c r="AG384" t="s">
        <v>3848</v>
      </c>
      <c r="AH384" t="s">
        <v>3618</v>
      </c>
      <c r="AI384" t="s">
        <v>3618</v>
      </c>
      <c r="AJ384" t="s">
        <v>231</v>
      </c>
      <c r="AK384" t="s">
        <v>231</v>
      </c>
      <c r="AL384" t="s">
        <v>231</v>
      </c>
      <c r="AM384" t="s">
        <v>231</v>
      </c>
      <c r="AN384" t="s">
        <v>231</v>
      </c>
      <c r="AO384" t="s">
        <v>231</v>
      </c>
      <c r="AP384" t="s">
        <v>231</v>
      </c>
      <c r="AQ384" t="s">
        <v>231</v>
      </c>
      <c r="AR384" t="s">
        <v>231</v>
      </c>
      <c r="AS384" t="s">
        <v>231</v>
      </c>
      <c r="AT384" t="s">
        <v>231</v>
      </c>
      <c r="AU384" t="s">
        <v>231</v>
      </c>
      <c r="AV384" t="s">
        <v>231</v>
      </c>
      <c r="AW384" t="s">
        <v>231</v>
      </c>
      <c r="AX384" t="s">
        <v>231</v>
      </c>
      <c r="AY384" t="s">
        <v>231</v>
      </c>
      <c r="AZ384" t="s">
        <v>231</v>
      </c>
      <c r="BA384" t="s">
        <v>231</v>
      </c>
      <c r="BB384" t="s">
        <v>231</v>
      </c>
      <c r="BC384" t="s">
        <v>231</v>
      </c>
      <c r="BD384" t="s">
        <v>231</v>
      </c>
      <c r="BE384" t="s">
        <v>3849</v>
      </c>
      <c r="BF384" t="s">
        <v>3850</v>
      </c>
      <c r="BG384" t="s">
        <v>111</v>
      </c>
      <c r="BH384" t="s">
        <v>3632</v>
      </c>
      <c r="BI384" t="s">
        <v>122</v>
      </c>
      <c r="BJ384" t="s">
        <v>231</v>
      </c>
      <c r="BK384" t="s">
        <v>3651</v>
      </c>
      <c r="BL384" t="s">
        <v>2287</v>
      </c>
      <c r="BM384" t="s">
        <v>2287</v>
      </c>
      <c r="BN384" t="s">
        <v>3842</v>
      </c>
      <c r="BO384" t="s">
        <v>3847</v>
      </c>
      <c r="BP384" t="s">
        <v>3851</v>
      </c>
      <c r="BQ384" t="s">
        <v>3618</v>
      </c>
      <c r="BR384" t="s">
        <v>3618</v>
      </c>
      <c r="BS384" t="s">
        <v>231</v>
      </c>
      <c r="BT384" t="s">
        <v>3694</v>
      </c>
      <c r="BU384" t="s">
        <v>5040</v>
      </c>
      <c r="BV384" t="s">
        <v>5040</v>
      </c>
      <c r="BW384" t="s">
        <v>3641</v>
      </c>
      <c r="BX384" t="s">
        <v>3641</v>
      </c>
      <c r="BY384" t="s">
        <v>3641</v>
      </c>
      <c r="BZ384" t="s">
        <v>3641</v>
      </c>
      <c r="CA384" t="s">
        <v>3641</v>
      </c>
      <c r="CB384" t="s">
        <v>231</v>
      </c>
      <c r="CC384" t="s">
        <v>231</v>
      </c>
      <c r="CD384" t="s">
        <v>231</v>
      </c>
      <c r="CE384" t="s">
        <v>231</v>
      </c>
      <c r="CF384" t="s">
        <v>231</v>
      </c>
      <c r="CG384" t="s">
        <v>3641</v>
      </c>
      <c r="CH384" t="s">
        <v>231</v>
      </c>
      <c r="CI384" t="s">
        <v>231</v>
      </c>
      <c r="CJ384" t="s">
        <v>231</v>
      </c>
      <c r="CK384" t="s">
        <v>231</v>
      </c>
      <c r="CL384" t="s">
        <v>231</v>
      </c>
      <c r="CM384" t="s">
        <v>5040</v>
      </c>
      <c r="CN384" t="s">
        <v>5040</v>
      </c>
      <c r="CO384" t="s">
        <v>231</v>
      </c>
      <c r="CP384" t="s">
        <v>231</v>
      </c>
      <c r="CQ384" t="s">
        <v>231</v>
      </c>
      <c r="CR384" t="s">
        <v>231</v>
      </c>
      <c r="CS384" t="s">
        <v>3529</v>
      </c>
      <c r="CT384" t="s">
        <v>3534</v>
      </c>
      <c r="CU384" t="s">
        <v>3535</v>
      </c>
      <c r="CV384" t="s">
        <v>3536</v>
      </c>
      <c r="CW384" t="s">
        <v>3623</v>
      </c>
      <c r="CX384" t="s">
        <v>223</v>
      </c>
      <c r="CY384" t="s">
        <v>3536</v>
      </c>
      <c r="CZ384" t="s">
        <v>3624</v>
      </c>
      <c r="DA384" t="s">
        <v>3625</v>
      </c>
      <c r="DB384" t="s">
        <v>3623</v>
      </c>
      <c r="DC384" t="s">
        <v>363</v>
      </c>
      <c r="DD384" t="s">
        <v>282</v>
      </c>
      <c r="DE384" t="s">
        <v>3853</v>
      </c>
    </row>
    <row r="385" spans="1:109" ht="11.25" customHeight="1">
      <c r="A385" s="1314" t="s">
        <v>231</v>
      </c>
      <c r="B385" t="s">
        <v>231</v>
      </c>
      <c r="C385" t="s">
        <v>231</v>
      </c>
      <c r="D385" t="s">
        <v>231</v>
      </c>
      <c r="E385" t="s">
        <v>231</v>
      </c>
      <c r="F385" t="s">
        <v>231</v>
      </c>
      <c r="G385" t="s">
        <v>231</v>
      </c>
      <c r="H385" t="s">
        <v>231</v>
      </c>
      <c r="I385" t="s">
        <v>3521</v>
      </c>
      <c r="J385" t="s">
        <v>231</v>
      </c>
      <c r="K385" t="s">
        <v>231</v>
      </c>
      <c r="L385" t="s">
        <v>231</v>
      </c>
      <c r="M385" t="s">
        <v>231</v>
      </c>
      <c r="N385" t="s">
        <v>231</v>
      </c>
      <c r="O385" t="s">
        <v>231</v>
      </c>
      <c r="P385" t="s">
        <v>231</v>
      </c>
      <c r="Q385" t="s">
        <v>231</v>
      </c>
      <c r="R385" t="s">
        <v>3615</v>
      </c>
      <c r="S385" t="s">
        <v>231</v>
      </c>
      <c r="T385" t="s">
        <v>231</v>
      </c>
      <c r="U385" t="s">
        <v>101</v>
      </c>
      <c r="V385" t="s">
        <v>231</v>
      </c>
      <c r="W385" t="s">
        <v>231</v>
      </c>
      <c r="X385" t="s">
        <v>3523</v>
      </c>
      <c r="Y385" t="s">
        <v>231</v>
      </c>
      <c r="Z385" t="s">
        <v>160</v>
      </c>
      <c r="AA385" t="s">
        <v>151</v>
      </c>
      <c r="AB385" t="s">
        <v>151</v>
      </c>
      <c r="AC385" t="s">
        <v>2287</v>
      </c>
      <c r="AD385" t="s">
        <v>2287</v>
      </c>
      <c r="AE385" t="s">
        <v>2288</v>
      </c>
      <c r="AF385" t="s">
        <v>4145</v>
      </c>
      <c r="AG385" t="s">
        <v>4146</v>
      </c>
      <c r="AH385" t="s">
        <v>4147</v>
      </c>
      <c r="AI385" t="s">
        <v>3618</v>
      </c>
      <c r="AJ385" t="s">
        <v>3619</v>
      </c>
      <c r="AK385" t="s">
        <v>3858</v>
      </c>
      <c r="AL385" t="s">
        <v>3548</v>
      </c>
      <c r="AM385" t="s">
        <v>3531</v>
      </c>
      <c r="AN385" t="s">
        <v>3621</v>
      </c>
      <c r="AO385" t="s">
        <v>3790</v>
      </c>
      <c r="AP385" t="s">
        <v>231</v>
      </c>
      <c r="AQ385" t="s">
        <v>231</v>
      </c>
      <c r="AR385" t="s">
        <v>231</v>
      </c>
      <c r="AS385" t="s">
        <v>231</v>
      </c>
      <c r="AT385" t="s">
        <v>231</v>
      </c>
      <c r="AU385" t="s">
        <v>231</v>
      </c>
      <c r="AV385" t="s">
        <v>231</v>
      </c>
      <c r="AW385" t="s">
        <v>231</v>
      </c>
      <c r="AX385" t="s">
        <v>231</v>
      </c>
      <c r="AY385" t="s">
        <v>231</v>
      </c>
      <c r="AZ385" t="s">
        <v>231</v>
      </c>
      <c r="BA385" t="s">
        <v>231</v>
      </c>
      <c r="BB385" t="s">
        <v>231</v>
      </c>
      <c r="BC385" t="s">
        <v>231</v>
      </c>
      <c r="BD385" t="s">
        <v>231</v>
      </c>
      <c r="BE385" t="s">
        <v>231</v>
      </c>
      <c r="BF385" t="s">
        <v>231</v>
      </c>
      <c r="BG385" t="s">
        <v>231</v>
      </c>
      <c r="BH385" t="s">
        <v>231</v>
      </c>
      <c r="BI385" t="s">
        <v>231</v>
      </c>
      <c r="BJ385" t="s">
        <v>231</v>
      </c>
      <c r="BK385" t="s">
        <v>231</v>
      </c>
      <c r="BL385" t="s">
        <v>231</v>
      </c>
      <c r="BM385" t="s">
        <v>231</v>
      </c>
      <c r="BN385" t="s">
        <v>231</v>
      </c>
      <c r="BO385" t="s">
        <v>231</v>
      </c>
      <c r="BP385" t="s">
        <v>231</v>
      </c>
      <c r="BQ385" t="s">
        <v>231</v>
      </c>
      <c r="BR385" t="s">
        <v>231</v>
      </c>
      <c r="BS385" t="s">
        <v>231</v>
      </c>
      <c r="BT385" t="s">
        <v>231</v>
      </c>
      <c r="BU385" t="s">
        <v>231</v>
      </c>
      <c r="BV385" t="s">
        <v>231</v>
      </c>
      <c r="BW385" t="s">
        <v>231</v>
      </c>
      <c r="BX385" t="s">
        <v>231</v>
      </c>
      <c r="BY385" t="s">
        <v>231</v>
      </c>
      <c r="BZ385" t="s">
        <v>231</v>
      </c>
      <c r="CA385" t="s">
        <v>231</v>
      </c>
      <c r="CB385" t="s">
        <v>231</v>
      </c>
      <c r="CC385" t="s">
        <v>231</v>
      </c>
      <c r="CD385" t="s">
        <v>231</v>
      </c>
      <c r="CE385" t="s">
        <v>231</v>
      </c>
      <c r="CF385" t="s">
        <v>231</v>
      </c>
      <c r="CG385" t="s">
        <v>231</v>
      </c>
      <c r="CH385" t="s">
        <v>231</v>
      </c>
      <c r="CI385" t="s">
        <v>231</v>
      </c>
      <c r="CJ385" t="s">
        <v>231</v>
      </c>
      <c r="CK385" t="s">
        <v>231</v>
      </c>
      <c r="CL385" t="s">
        <v>231</v>
      </c>
      <c r="CM385" t="s">
        <v>231</v>
      </c>
      <c r="CN385" t="s">
        <v>231</v>
      </c>
      <c r="CO385" t="s">
        <v>231</v>
      </c>
      <c r="CP385" t="s">
        <v>231</v>
      </c>
      <c r="CQ385" t="s">
        <v>231</v>
      </c>
      <c r="CR385" t="s">
        <v>231</v>
      </c>
      <c r="CS385" t="s">
        <v>231</v>
      </c>
      <c r="CT385" t="s">
        <v>3534</v>
      </c>
      <c r="CU385" t="s">
        <v>3535</v>
      </c>
      <c r="CV385" t="s">
        <v>3536</v>
      </c>
      <c r="CW385" t="s">
        <v>3623</v>
      </c>
      <c r="CX385" t="s">
        <v>223</v>
      </c>
      <c r="CY385" t="s">
        <v>3536</v>
      </c>
      <c r="CZ385" t="s">
        <v>3624</v>
      </c>
      <c r="DA385" t="s">
        <v>3625</v>
      </c>
      <c r="DB385" t="s">
        <v>3623</v>
      </c>
      <c r="DC385" t="s">
        <v>363</v>
      </c>
      <c r="DD385" t="s">
        <v>282</v>
      </c>
      <c r="DE385" t="s">
        <v>4148</v>
      </c>
    </row>
    <row r="386" spans="1:109" ht="11.25" customHeight="1">
      <c r="A386" s="1314" t="s">
        <v>231</v>
      </c>
      <c r="B386" t="s">
        <v>231</v>
      </c>
      <c r="C386" t="s">
        <v>231</v>
      </c>
      <c r="D386" t="s">
        <v>231</v>
      </c>
      <c r="E386" t="s">
        <v>231</v>
      </c>
      <c r="F386" t="s">
        <v>231</v>
      </c>
      <c r="G386" t="s">
        <v>231</v>
      </c>
      <c r="H386" t="s">
        <v>231</v>
      </c>
      <c r="I386" t="s">
        <v>3521</v>
      </c>
      <c r="J386" t="s">
        <v>231</v>
      </c>
      <c r="K386" t="s">
        <v>231</v>
      </c>
      <c r="L386" t="s">
        <v>231</v>
      </c>
      <c r="M386" t="s">
        <v>231</v>
      </c>
      <c r="N386" t="s">
        <v>231</v>
      </c>
      <c r="O386" t="s">
        <v>231</v>
      </c>
      <c r="P386" t="s">
        <v>231</v>
      </c>
      <c r="Q386" t="s">
        <v>231</v>
      </c>
      <c r="R386" t="s">
        <v>3615</v>
      </c>
      <c r="S386" t="s">
        <v>231</v>
      </c>
      <c r="T386" t="s">
        <v>231</v>
      </c>
      <c r="U386" t="s">
        <v>101</v>
      </c>
      <c r="V386" t="s">
        <v>231</v>
      </c>
      <c r="W386" t="s">
        <v>231</v>
      </c>
      <c r="X386" t="s">
        <v>3523</v>
      </c>
      <c r="Y386" t="s">
        <v>231</v>
      </c>
      <c r="Z386" t="s">
        <v>160</v>
      </c>
      <c r="AA386" t="s">
        <v>151</v>
      </c>
      <c r="AB386" t="s">
        <v>151</v>
      </c>
      <c r="AC386" t="s">
        <v>2287</v>
      </c>
      <c r="AD386" t="s">
        <v>2287</v>
      </c>
      <c r="AE386" t="s">
        <v>2288</v>
      </c>
      <c r="AF386" t="s">
        <v>4145</v>
      </c>
      <c r="AG386" t="s">
        <v>4146</v>
      </c>
      <c r="AH386" t="s">
        <v>4149</v>
      </c>
      <c r="AI386" t="s">
        <v>3618</v>
      </c>
      <c r="AJ386" t="s">
        <v>3619</v>
      </c>
      <c r="AK386" t="s">
        <v>4150</v>
      </c>
      <c r="AL386" t="s">
        <v>3548</v>
      </c>
      <c r="AM386" t="s">
        <v>3531</v>
      </c>
      <c r="AN386" t="s">
        <v>3621</v>
      </c>
      <c r="AO386" t="s">
        <v>4151</v>
      </c>
      <c r="AP386" t="s">
        <v>231</v>
      </c>
      <c r="AQ386" t="s">
        <v>231</v>
      </c>
      <c r="AR386" t="s">
        <v>231</v>
      </c>
      <c r="AS386" t="s">
        <v>231</v>
      </c>
      <c r="AT386" t="s">
        <v>231</v>
      </c>
      <c r="AU386" t="s">
        <v>231</v>
      </c>
      <c r="AV386" t="s">
        <v>231</v>
      </c>
      <c r="AW386" t="s">
        <v>231</v>
      </c>
      <c r="AX386" t="s">
        <v>231</v>
      </c>
      <c r="AY386" t="s">
        <v>231</v>
      </c>
      <c r="AZ386" t="s">
        <v>231</v>
      </c>
      <c r="BA386" t="s">
        <v>231</v>
      </c>
      <c r="BB386" t="s">
        <v>231</v>
      </c>
      <c r="BC386" t="s">
        <v>231</v>
      </c>
      <c r="BD386" t="s">
        <v>231</v>
      </c>
      <c r="BE386" t="s">
        <v>231</v>
      </c>
      <c r="BF386" t="s">
        <v>231</v>
      </c>
      <c r="BG386" t="s">
        <v>231</v>
      </c>
      <c r="BH386" t="s">
        <v>231</v>
      </c>
      <c r="BI386" t="s">
        <v>231</v>
      </c>
      <c r="BJ386" t="s">
        <v>231</v>
      </c>
      <c r="BK386" t="s">
        <v>231</v>
      </c>
      <c r="BL386" t="s">
        <v>231</v>
      </c>
      <c r="BM386" t="s">
        <v>231</v>
      </c>
      <c r="BN386" t="s">
        <v>231</v>
      </c>
      <c r="BO386" t="s">
        <v>231</v>
      </c>
      <c r="BP386" t="s">
        <v>231</v>
      </c>
      <c r="BQ386" t="s">
        <v>231</v>
      </c>
      <c r="BR386" t="s">
        <v>231</v>
      </c>
      <c r="BS386" t="s">
        <v>231</v>
      </c>
      <c r="BT386" t="s">
        <v>231</v>
      </c>
      <c r="BU386" t="s">
        <v>231</v>
      </c>
      <c r="BV386" t="s">
        <v>231</v>
      </c>
      <c r="BW386" t="s">
        <v>231</v>
      </c>
      <c r="BX386" t="s">
        <v>231</v>
      </c>
      <c r="BY386" t="s">
        <v>231</v>
      </c>
      <c r="BZ386" t="s">
        <v>231</v>
      </c>
      <c r="CA386" t="s">
        <v>231</v>
      </c>
      <c r="CB386" t="s">
        <v>231</v>
      </c>
      <c r="CC386" t="s">
        <v>231</v>
      </c>
      <c r="CD386" t="s">
        <v>231</v>
      </c>
      <c r="CE386" t="s">
        <v>231</v>
      </c>
      <c r="CF386" t="s">
        <v>231</v>
      </c>
      <c r="CG386" t="s">
        <v>231</v>
      </c>
      <c r="CH386" t="s">
        <v>231</v>
      </c>
      <c r="CI386" t="s">
        <v>231</v>
      </c>
      <c r="CJ386" t="s">
        <v>231</v>
      </c>
      <c r="CK386" t="s">
        <v>231</v>
      </c>
      <c r="CL386" t="s">
        <v>231</v>
      </c>
      <c r="CM386" t="s">
        <v>231</v>
      </c>
      <c r="CN386" t="s">
        <v>231</v>
      </c>
      <c r="CO386" t="s">
        <v>231</v>
      </c>
      <c r="CP386" t="s">
        <v>231</v>
      </c>
      <c r="CQ386" t="s">
        <v>231</v>
      </c>
      <c r="CR386" t="s">
        <v>231</v>
      </c>
      <c r="CS386" t="s">
        <v>231</v>
      </c>
      <c r="CT386" t="s">
        <v>3534</v>
      </c>
      <c r="CU386" t="s">
        <v>3535</v>
      </c>
      <c r="CV386" t="s">
        <v>3536</v>
      </c>
      <c r="CW386" t="s">
        <v>3623</v>
      </c>
      <c r="CX386" t="s">
        <v>223</v>
      </c>
      <c r="CY386" t="s">
        <v>3536</v>
      </c>
      <c r="CZ386" t="s">
        <v>3624</v>
      </c>
      <c r="DA386" t="s">
        <v>3625</v>
      </c>
      <c r="DB386" t="s">
        <v>3623</v>
      </c>
      <c r="DC386" t="s">
        <v>363</v>
      </c>
      <c r="DD386" t="s">
        <v>282</v>
      </c>
      <c r="DE386" t="s">
        <v>4152</v>
      </c>
    </row>
    <row r="387" spans="1:109" ht="11.25" customHeight="1">
      <c r="A387" s="1314" t="s">
        <v>231</v>
      </c>
      <c r="B387" t="s">
        <v>231</v>
      </c>
      <c r="C387" t="s">
        <v>231</v>
      </c>
      <c r="D387" t="s">
        <v>231</v>
      </c>
      <c r="E387" t="s">
        <v>231</v>
      </c>
      <c r="F387" t="s">
        <v>231</v>
      </c>
      <c r="G387" t="s">
        <v>231</v>
      </c>
      <c r="H387" t="s">
        <v>231</v>
      </c>
      <c r="I387" t="s">
        <v>3521</v>
      </c>
      <c r="J387" t="s">
        <v>231</v>
      </c>
      <c r="K387" t="s">
        <v>231</v>
      </c>
      <c r="L387" t="s">
        <v>231</v>
      </c>
      <c r="M387" t="s">
        <v>231</v>
      </c>
      <c r="N387" t="s">
        <v>231</v>
      </c>
      <c r="O387" t="s">
        <v>231</v>
      </c>
      <c r="P387" t="s">
        <v>231</v>
      </c>
      <c r="Q387" t="s">
        <v>231</v>
      </c>
      <c r="R387" t="s">
        <v>4343</v>
      </c>
      <c r="S387" t="s">
        <v>231</v>
      </c>
      <c r="T387" t="s">
        <v>231</v>
      </c>
      <c r="U387" t="s">
        <v>101</v>
      </c>
      <c r="V387" t="s">
        <v>231</v>
      </c>
      <c r="W387" t="s">
        <v>231</v>
      </c>
      <c r="X387" t="s">
        <v>3628</v>
      </c>
      <c r="Y387" t="s">
        <v>231</v>
      </c>
      <c r="Z387" t="s">
        <v>151</v>
      </c>
      <c r="AA387" t="s">
        <v>151</v>
      </c>
      <c r="AB387" t="s">
        <v>160</v>
      </c>
      <c r="AC387" t="s">
        <v>2287</v>
      </c>
      <c r="AD387" t="s">
        <v>2287</v>
      </c>
      <c r="AE387" t="s">
        <v>2288</v>
      </c>
      <c r="AF387" t="s">
        <v>4145</v>
      </c>
      <c r="AG387" t="s">
        <v>4146</v>
      </c>
      <c r="AH387" t="s">
        <v>3618</v>
      </c>
      <c r="AI387" t="s">
        <v>3618</v>
      </c>
      <c r="AJ387" t="s">
        <v>231</v>
      </c>
      <c r="AK387" t="s">
        <v>231</v>
      </c>
      <c r="AL387" t="s">
        <v>231</v>
      </c>
      <c r="AM387" t="s">
        <v>231</v>
      </c>
      <c r="AN387" t="s">
        <v>231</v>
      </c>
      <c r="AO387" t="s">
        <v>231</v>
      </c>
      <c r="AP387" t="s">
        <v>231</v>
      </c>
      <c r="AQ387" t="s">
        <v>231</v>
      </c>
      <c r="AR387" t="s">
        <v>231</v>
      </c>
      <c r="AS387" t="s">
        <v>231</v>
      </c>
      <c r="AT387" t="s">
        <v>231</v>
      </c>
      <c r="AU387" t="s">
        <v>231</v>
      </c>
      <c r="AV387" t="s">
        <v>231</v>
      </c>
      <c r="AW387" t="s">
        <v>231</v>
      </c>
      <c r="AX387" t="s">
        <v>231</v>
      </c>
      <c r="AY387" t="s">
        <v>231</v>
      </c>
      <c r="AZ387" t="s">
        <v>231</v>
      </c>
      <c r="BA387" t="s">
        <v>231</v>
      </c>
      <c r="BB387" t="s">
        <v>231</v>
      </c>
      <c r="BC387" t="s">
        <v>231</v>
      </c>
      <c r="BD387" t="s">
        <v>231</v>
      </c>
      <c r="BE387" t="s">
        <v>4042</v>
      </c>
      <c r="BF387" t="s">
        <v>3841</v>
      </c>
      <c r="BG387" t="s">
        <v>111</v>
      </c>
      <c r="BH387" t="s">
        <v>3632</v>
      </c>
      <c r="BI387" t="s">
        <v>122</v>
      </c>
      <c r="BJ387" t="s">
        <v>231</v>
      </c>
      <c r="BK387" t="s">
        <v>3651</v>
      </c>
      <c r="BL387" t="s">
        <v>2287</v>
      </c>
      <c r="BM387" t="s">
        <v>2287</v>
      </c>
      <c r="BN387" t="s">
        <v>3842</v>
      </c>
      <c r="BO387" t="s">
        <v>4145</v>
      </c>
      <c r="BP387" t="s">
        <v>4344</v>
      </c>
      <c r="BQ387" t="s">
        <v>3618</v>
      </c>
      <c r="BR387" t="s">
        <v>3618</v>
      </c>
      <c r="BS387" t="s">
        <v>231</v>
      </c>
      <c r="BT387" t="s">
        <v>3694</v>
      </c>
      <c r="BU387" t="s">
        <v>4345</v>
      </c>
      <c r="BV387" t="s">
        <v>4345</v>
      </c>
      <c r="BW387" t="s">
        <v>3641</v>
      </c>
      <c r="BX387" t="s">
        <v>3641</v>
      </c>
      <c r="BY387" t="s">
        <v>3641</v>
      </c>
      <c r="BZ387" t="s">
        <v>3641</v>
      </c>
      <c r="CA387" t="s">
        <v>3641</v>
      </c>
      <c r="CB387" t="s">
        <v>231</v>
      </c>
      <c r="CC387" t="s">
        <v>231</v>
      </c>
      <c r="CD387" t="s">
        <v>231</v>
      </c>
      <c r="CE387" t="s">
        <v>231</v>
      </c>
      <c r="CF387" t="s">
        <v>231</v>
      </c>
      <c r="CG387" t="s">
        <v>3641</v>
      </c>
      <c r="CH387" t="s">
        <v>231</v>
      </c>
      <c r="CI387" t="s">
        <v>231</v>
      </c>
      <c r="CJ387" t="s">
        <v>231</v>
      </c>
      <c r="CK387" t="s">
        <v>231</v>
      </c>
      <c r="CL387" t="s">
        <v>231</v>
      </c>
      <c r="CM387" t="s">
        <v>4345</v>
      </c>
      <c r="CN387" t="s">
        <v>4345</v>
      </c>
      <c r="CO387" t="s">
        <v>231</v>
      </c>
      <c r="CP387" t="s">
        <v>231</v>
      </c>
      <c r="CQ387" t="s">
        <v>231</v>
      </c>
      <c r="CR387" t="s">
        <v>231</v>
      </c>
      <c r="CS387" t="s">
        <v>3621</v>
      </c>
      <c r="CT387" t="s">
        <v>3534</v>
      </c>
      <c r="CU387" t="s">
        <v>3535</v>
      </c>
      <c r="CV387" t="s">
        <v>3536</v>
      </c>
      <c r="CW387" t="s">
        <v>3623</v>
      </c>
      <c r="CX387" t="s">
        <v>223</v>
      </c>
      <c r="CY387" t="s">
        <v>3536</v>
      </c>
      <c r="CZ387" t="s">
        <v>3624</v>
      </c>
      <c r="DA387" t="s">
        <v>3625</v>
      </c>
      <c r="DB387" t="s">
        <v>3623</v>
      </c>
      <c r="DC387" t="s">
        <v>363</v>
      </c>
      <c r="DD387" t="s">
        <v>282</v>
      </c>
      <c r="DE387" t="s">
        <v>4346</v>
      </c>
    </row>
    <row r="388" spans="1:109" ht="11.25" customHeight="1">
      <c r="A388" s="1314" t="s">
        <v>231</v>
      </c>
      <c r="B388" t="s">
        <v>231</v>
      </c>
      <c r="C388" t="s">
        <v>231</v>
      </c>
      <c r="D388" t="s">
        <v>231</v>
      </c>
      <c r="E388" t="s">
        <v>231</v>
      </c>
      <c r="F388" t="s">
        <v>231</v>
      </c>
      <c r="G388" t="s">
        <v>231</v>
      </c>
      <c r="H388" t="s">
        <v>231</v>
      </c>
      <c r="I388" t="s">
        <v>3521</v>
      </c>
      <c r="J388" t="s">
        <v>231</v>
      </c>
      <c r="K388" t="s">
        <v>231</v>
      </c>
      <c r="L388" t="s">
        <v>231</v>
      </c>
      <c r="M388" t="s">
        <v>231</v>
      </c>
      <c r="N388" t="s">
        <v>231</v>
      </c>
      <c r="O388" t="s">
        <v>231</v>
      </c>
      <c r="P388" t="s">
        <v>231</v>
      </c>
      <c r="Q388" t="s">
        <v>231</v>
      </c>
      <c r="R388" t="s">
        <v>3581</v>
      </c>
      <c r="S388" t="s">
        <v>231</v>
      </c>
      <c r="T388" t="s">
        <v>231</v>
      </c>
      <c r="U388" t="s">
        <v>101</v>
      </c>
      <c r="V388" t="s">
        <v>231</v>
      </c>
      <c r="W388" t="s">
        <v>231</v>
      </c>
      <c r="X388" t="s">
        <v>3523</v>
      </c>
      <c r="Y388" t="s">
        <v>231</v>
      </c>
      <c r="Z388" t="s">
        <v>160</v>
      </c>
      <c r="AA388" t="s">
        <v>151</v>
      </c>
      <c r="AB388" t="s">
        <v>151</v>
      </c>
      <c r="AC388" t="s">
        <v>2289</v>
      </c>
      <c r="AD388" t="s">
        <v>2289</v>
      </c>
      <c r="AE388" t="s">
        <v>2290</v>
      </c>
      <c r="AF388" t="s">
        <v>3582</v>
      </c>
      <c r="AG388" t="s">
        <v>3583</v>
      </c>
      <c r="AH388" t="s">
        <v>3584</v>
      </c>
      <c r="AI388" t="s">
        <v>3585</v>
      </c>
      <c r="AJ388" t="s">
        <v>3546</v>
      </c>
      <c r="AK388" t="s">
        <v>3586</v>
      </c>
      <c r="AL388" t="s">
        <v>3548</v>
      </c>
      <c r="AM388" t="s">
        <v>3531</v>
      </c>
      <c r="AN388" t="s">
        <v>3587</v>
      </c>
      <c r="AO388" t="s">
        <v>3588</v>
      </c>
      <c r="AP388" t="s">
        <v>231</v>
      </c>
      <c r="AQ388" t="s">
        <v>231</v>
      </c>
      <c r="AR388" t="s">
        <v>231</v>
      </c>
      <c r="AS388" t="s">
        <v>231</v>
      </c>
      <c r="AT388" t="s">
        <v>231</v>
      </c>
      <c r="AU388" t="s">
        <v>231</v>
      </c>
      <c r="AV388" t="s">
        <v>231</v>
      </c>
      <c r="AW388" t="s">
        <v>231</v>
      </c>
      <c r="AX388" t="s">
        <v>231</v>
      </c>
      <c r="AY388" t="s">
        <v>231</v>
      </c>
      <c r="AZ388" t="s">
        <v>231</v>
      </c>
      <c r="BA388" t="s">
        <v>231</v>
      </c>
      <c r="BB388" t="s">
        <v>231</v>
      </c>
      <c r="BC388" t="s">
        <v>231</v>
      </c>
      <c r="BD388" t="s">
        <v>231</v>
      </c>
      <c r="BE388" t="s">
        <v>231</v>
      </c>
      <c r="BF388" t="s">
        <v>231</v>
      </c>
      <c r="BG388" t="s">
        <v>231</v>
      </c>
      <c r="BH388" t="s">
        <v>231</v>
      </c>
      <c r="BI388" t="s">
        <v>231</v>
      </c>
      <c r="BJ388" t="s">
        <v>231</v>
      </c>
      <c r="BK388" t="s">
        <v>231</v>
      </c>
      <c r="BL388" t="s">
        <v>231</v>
      </c>
      <c r="BM388" t="s">
        <v>231</v>
      </c>
      <c r="BN388" t="s">
        <v>231</v>
      </c>
      <c r="BO388" t="s">
        <v>231</v>
      </c>
      <c r="BP388" t="s">
        <v>231</v>
      </c>
      <c r="BQ388" t="s">
        <v>231</v>
      </c>
      <c r="BR388" t="s">
        <v>231</v>
      </c>
      <c r="BS388" t="s">
        <v>231</v>
      </c>
      <c r="BT388" t="s">
        <v>231</v>
      </c>
      <c r="BU388" t="s">
        <v>231</v>
      </c>
      <c r="BV388" t="s">
        <v>231</v>
      </c>
      <c r="BW388" t="s">
        <v>231</v>
      </c>
      <c r="BX388" t="s">
        <v>231</v>
      </c>
      <c r="BY388" t="s">
        <v>231</v>
      </c>
      <c r="BZ388" t="s">
        <v>231</v>
      </c>
      <c r="CA388" t="s">
        <v>231</v>
      </c>
      <c r="CB388" t="s">
        <v>231</v>
      </c>
      <c r="CC388" t="s">
        <v>231</v>
      </c>
      <c r="CD388" t="s">
        <v>231</v>
      </c>
      <c r="CE388" t="s">
        <v>231</v>
      </c>
      <c r="CF388" t="s">
        <v>231</v>
      </c>
      <c r="CG388" t="s">
        <v>231</v>
      </c>
      <c r="CH388" t="s">
        <v>231</v>
      </c>
      <c r="CI388" t="s">
        <v>231</v>
      </c>
      <c r="CJ388" t="s">
        <v>231</v>
      </c>
      <c r="CK388" t="s">
        <v>231</v>
      </c>
      <c r="CL388" t="s">
        <v>231</v>
      </c>
      <c r="CM388" t="s">
        <v>231</v>
      </c>
      <c r="CN388" t="s">
        <v>231</v>
      </c>
      <c r="CO388" t="s">
        <v>231</v>
      </c>
      <c r="CP388" t="s">
        <v>231</v>
      </c>
      <c r="CQ388" t="s">
        <v>231</v>
      </c>
      <c r="CR388" t="s">
        <v>231</v>
      </c>
      <c r="CS388" t="s">
        <v>231</v>
      </c>
      <c r="CT388" t="s">
        <v>3534</v>
      </c>
      <c r="CU388" t="s">
        <v>3535</v>
      </c>
      <c r="CV388" t="s">
        <v>3536</v>
      </c>
      <c r="CW388" t="s">
        <v>3589</v>
      </c>
      <c r="CX388" t="s">
        <v>223</v>
      </c>
      <c r="CY388" t="s">
        <v>3536</v>
      </c>
      <c r="CZ388" t="s">
        <v>3590</v>
      </c>
      <c r="DA388" t="s">
        <v>3591</v>
      </c>
      <c r="DB388" t="s">
        <v>3589</v>
      </c>
      <c r="DC388" t="s">
        <v>363</v>
      </c>
      <c r="DD388" t="s">
        <v>282</v>
      </c>
      <c r="DE388" t="s">
        <v>3592</v>
      </c>
    </row>
    <row r="389" spans="1:109" ht="11.25" customHeight="1">
      <c r="A389" s="1314" t="s">
        <v>231</v>
      </c>
      <c r="B389" t="s">
        <v>231</v>
      </c>
      <c r="C389" t="s">
        <v>231</v>
      </c>
      <c r="D389" t="s">
        <v>231</v>
      </c>
      <c r="E389" t="s">
        <v>231</v>
      </c>
      <c r="F389" t="s">
        <v>231</v>
      </c>
      <c r="G389" t="s">
        <v>231</v>
      </c>
      <c r="H389" t="s">
        <v>231</v>
      </c>
      <c r="I389" t="s">
        <v>3521</v>
      </c>
      <c r="J389" t="s">
        <v>231</v>
      </c>
      <c r="K389" t="s">
        <v>231</v>
      </c>
      <c r="L389" t="s">
        <v>231</v>
      </c>
      <c r="M389" t="s">
        <v>231</v>
      </c>
      <c r="N389" t="s">
        <v>231</v>
      </c>
      <c r="O389" t="s">
        <v>231</v>
      </c>
      <c r="P389" t="s">
        <v>231</v>
      </c>
      <c r="Q389" t="s">
        <v>231</v>
      </c>
      <c r="R389" t="s">
        <v>3948</v>
      </c>
      <c r="S389" t="s">
        <v>231</v>
      </c>
      <c r="T389" t="s">
        <v>231</v>
      </c>
      <c r="U389" t="s">
        <v>101</v>
      </c>
      <c r="V389" t="s">
        <v>231</v>
      </c>
      <c r="W389" t="s">
        <v>231</v>
      </c>
      <c r="X389" t="s">
        <v>3523</v>
      </c>
      <c r="Y389" t="s">
        <v>231</v>
      </c>
      <c r="Z389" t="s">
        <v>160</v>
      </c>
      <c r="AA389" t="s">
        <v>151</v>
      </c>
      <c r="AB389" t="s">
        <v>151</v>
      </c>
      <c r="AC389" t="s">
        <v>2262</v>
      </c>
      <c r="AD389" t="s">
        <v>2262</v>
      </c>
      <c r="AE389" t="s">
        <v>2264</v>
      </c>
      <c r="AF389" t="s">
        <v>3524</v>
      </c>
      <c r="AG389" t="s">
        <v>3525</v>
      </c>
      <c r="AH389" t="s">
        <v>3949</v>
      </c>
      <c r="AI389" t="s">
        <v>3950</v>
      </c>
      <c r="AJ389" t="s">
        <v>3532</v>
      </c>
      <c r="AK389" t="s">
        <v>3951</v>
      </c>
      <c r="AL389" t="s">
        <v>3530</v>
      </c>
      <c r="AM389" t="s">
        <v>3531</v>
      </c>
      <c r="AN389" t="s">
        <v>3952</v>
      </c>
      <c r="AO389" t="s">
        <v>3662</v>
      </c>
      <c r="AP389" t="s">
        <v>231</v>
      </c>
      <c r="AQ389" t="s">
        <v>231</v>
      </c>
      <c r="AR389" t="s">
        <v>231</v>
      </c>
      <c r="AS389" t="s">
        <v>231</v>
      </c>
      <c r="AT389" t="s">
        <v>231</v>
      </c>
      <c r="AU389" t="s">
        <v>231</v>
      </c>
      <c r="AV389" t="s">
        <v>231</v>
      </c>
      <c r="AW389" t="s">
        <v>231</v>
      </c>
      <c r="AX389" t="s">
        <v>231</v>
      </c>
      <c r="AY389" t="s">
        <v>231</v>
      </c>
      <c r="AZ389" t="s">
        <v>231</v>
      </c>
      <c r="BA389" t="s">
        <v>231</v>
      </c>
      <c r="BB389" t="s">
        <v>231</v>
      </c>
      <c r="BC389" t="s">
        <v>231</v>
      </c>
      <c r="BD389" t="s">
        <v>231</v>
      </c>
      <c r="BE389" t="s">
        <v>231</v>
      </c>
      <c r="BF389" t="s">
        <v>231</v>
      </c>
      <c r="BG389" t="s">
        <v>231</v>
      </c>
      <c r="BH389" t="s">
        <v>231</v>
      </c>
      <c r="BI389" t="s">
        <v>231</v>
      </c>
      <c r="BJ389" t="s">
        <v>231</v>
      </c>
      <c r="BK389" t="s">
        <v>231</v>
      </c>
      <c r="BL389" t="s">
        <v>231</v>
      </c>
      <c r="BM389" t="s">
        <v>231</v>
      </c>
      <c r="BN389" t="s">
        <v>231</v>
      </c>
      <c r="BO389" t="s">
        <v>231</v>
      </c>
      <c r="BP389" t="s">
        <v>231</v>
      </c>
      <c r="BQ389" t="s">
        <v>231</v>
      </c>
      <c r="BR389" t="s">
        <v>231</v>
      </c>
      <c r="BS389" t="s">
        <v>231</v>
      </c>
      <c r="BT389" t="s">
        <v>231</v>
      </c>
      <c r="BU389" t="s">
        <v>231</v>
      </c>
      <c r="BV389" t="s">
        <v>231</v>
      </c>
      <c r="BW389" t="s">
        <v>231</v>
      </c>
      <c r="BX389" t="s">
        <v>231</v>
      </c>
      <c r="BY389" t="s">
        <v>231</v>
      </c>
      <c r="BZ389" t="s">
        <v>231</v>
      </c>
      <c r="CA389" t="s">
        <v>231</v>
      </c>
      <c r="CB389" t="s">
        <v>231</v>
      </c>
      <c r="CC389" t="s">
        <v>231</v>
      </c>
      <c r="CD389" t="s">
        <v>231</v>
      </c>
      <c r="CE389" t="s">
        <v>231</v>
      </c>
      <c r="CF389" t="s">
        <v>231</v>
      </c>
      <c r="CG389" t="s">
        <v>231</v>
      </c>
      <c r="CH389" t="s">
        <v>231</v>
      </c>
      <c r="CI389" t="s">
        <v>231</v>
      </c>
      <c r="CJ389" t="s">
        <v>231</v>
      </c>
      <c r="CK389" t="s">
        <v>231</v>
      </c>
      <c r="CL389" t="s">
        <v>231</v>
      </c>
      <c r="CM389" t="s">
        <v>231</v>
      </c>
      <c r="CN389" t="s">
        <v>231</v>
      </c>
      <c r="CO389" t="s">
        <v>231</v>
      </c>
      <c r="CP389" t="s">
        <v>231</v>
      </c>
      <c r="CQ389" t="s">
        <v>231</v>
      </c>
      <c r="CR389" t="s">
        <v>231</v>
      </c>
      <c r="CS389" t="s">
        <v>231</v>
      </c>
      <c r="CT389" t="s">
        <v>3534</v>
      </c>
      <c r="CU389" t="s">
        <v>3535</v>
      </c>
      <c r="CV389" t="s">
        <v>3536</v>
      </c>
      <c r="CW389" t="s">
        <v>3537</v>
      </c>
      <c r="CX389" t="s">
        <v>223</v>
      </c>
      <c r="CY389" t="s">
        <v>3536</v>
      </c>
      <c r="CZ389" t="s">
        <v>3538</v>
      </c>
      <c r="DA389" t="s">
        <v>3539</v>
      </c>
      <c r="DB389" t="s">
        <v>3537</v>
      </c>
      <c r="DC389" t="s">
        <v>363</v>
      </c>
      <c r="DD389" t="s">
        <v>282</v>
      </c>
      <c r="DE389" t="s">
        <v>3953</v>
      </c>
    </row>
    <row r="390" spans="1:109" ht="11.25" customHeight="1">
      <c r="A390" s="1314" t="s">
        <v>231</v>
      </c>
      <c r="B390" t="s">
        <v>231</v>
      </c>
      <c r="C390" t="s">
        <v>231</v>
      </c>
      <c r="D390" t="s">
        <v>231</v>
      </c>
      <c r="E390" t="s">
        <v>231</v>
      </c>
      <c r="F390" t="s">
        <v>231</v>
      </c>
      <c r="G390" t="s">
        <v>231</v>
      </c>
      <c r="H390" t="s">
        <v>231</v>
      </c>
      <c r="I390" t="s">
        <v>3521</v>
      </c>
      <c r="J390" t="s">
        <v>231</v>
      </c>
      <c r="K390" t="s">
        <v>231</v>
      </c>
      <c r="L390" t="s">
        <v>231</v>
      </c>
      <c r="M390" t="s">
        <v>231</v>
      </c>
      <c r="N390" t="s">
        <v>231</v>
      </c>
      <c r="O390" t="s">
        <v>231</v>
      </c>
      <c r="P390" t="s">
        <v>231</v>
      </c>
      <c r="Q390" t="s">
        <v>231</v>
      </c>
      <c r="R390" t="s">
        <v>4153</v>
      </c>
      <c r="S390" t="s">
        <v>231</v>
      </c>
      <c r="T390" t="s">
        <v>231</v>
      </c>
      <c r="U390" t="s">
        <v>101</v>
      </c>
      <c r="V390" t="s">
        <v>231</v>
      </c>
      <c r="W390" t="s">
        <v>231</v>
      </c>
      <c r="X390" t="s">
        <v>3523</v>
      </c>
      <c r="Y390" t="s">
        <v>231</v>
      </c>
      <c r="Z390" t="s">
        <v>160</v>
      </c>
      <c r="AA390" t="s">
        <v>151</v>
      </c>
      <c r="AB390" t="s">
        <v>151</v>
      </c>
      <c r="AC390" t="s">
        <v>2262</v>
      </c>
      <c r="AD390" t="s">
        <v>2262</v>
      </c>
      <c r="AE390" t="s">
        <v>2264</v>
      </c>
      <c r="AF390" t="s">
        <v>3524</v>
      </c>
      <c r="AG390" t="s">
        <v>3525</v>
      </c>
      <c r="AH390" t="s">
        <v>4154</v>
      </c>
      <c r="AI390" t="s">
        <v>3575</v>
      </c>
      <c r="AJ390" t="s">
        <v>4155</v>
      </c>
      <c r="AK390" t="s">
        <v>3641</v>
      </c>
      <c r="AL390" t="s">
        <v>3648</v>
      </c>
      <c r="AM390" t="s">
        <v>3531</v>
      </c>
      <c r="AN390" t="s">
        <v>4156</v>
      </c>
      <c r="AO390" t="s">
        <v>4157</v>
      </c>
      <c r="AP390" t="s">
        <v>231</v>
      </c>
      <c r="AQ390" t="s">
        <v>231</v>
      </c>
      <c r="AR390" t="s">
        <v>231</v>
      </c>
      <c r="AS390" t="s">
        <v>231</v>
      </c>
      <c r="AT390" t="s">
        <v>231</v>
      </c>
      <c r="AU390" t="s">
        <v>231</v>
      </c>
      <c r="AV390" t="s">
        <v>231</v>
      </c>
      <c r="AW390" t="s">
        <v>231</v>
      </c>
      <c r="AX390" t="s">
        <v>231</v>
      </c>
      <c r="AY390" t="s">
        <v>231</v>
      </c>
      <c r="AZ390" t="s">
        <v>231</v>
      </c>
      <c r="BA390" t="s">
        <v>231</v>
      </c>
      <c r="BB390" t="s">
        <v>231</v>
      </c>
      <c r="BC390" t="s">
        <v>231</v>
      </c>
      <c r="BD390" t="s">
        <v>231</v>
      </c>
      <c r="BE390" t="s">
        <v>231</v>
      </c>
      <c r="BF390" t="s">
        <v>231</v>
      </c>
      <c r="BG390" t="s">
        <v>231</v>
      </c>
      <c r="BH390" t="s">
        <v>231</v>
      </c>
      <c r="BI390" t="s">
        <v>231</v>
      </c>
      <c r="BJ390" t="s">
        <v>231</v>
      </c>
      <c r="BK390" t="s">
        <v>231</v>
      </c>
      <c r="BL390" t="s">
        <v>231</v>
      </c>
      <c r="BM390" t="s">
        <v>231</v>
      </c>
      <c r="BN390" t="s">
        <v>231</v>
      </c>
      <c r="BO390" t="s">
        <v>231</v>
      </c>
      <c r="BP390" t="s">
        <v>231</v>
      </c>
      <c r="BQ390" t="s">
        <v>231</v>
      </c>
      <c r="BR390" t="s">
        <v>231</v>
      </c>
      <c r="BS390" t="s">
        <v>231</v>
      </c>
      <c r="BT390" t="s">
        <v>231</v>
      </c>
      <c r="BU390" t="s">
        <v>231</v>
      </c>
      <c r="BV390" t="s">
        <v>231</v>
      </c>
      <c r="BW390" t="s">
        <v>231</v>
      </c>
      <c r="BX390" t="s">
        <v>231</v>
      </c>
      <c r="BY390" t="s">
        <v>231</v>
      </c>
      <c r="BZ390" t="s">
        <v>231</v>
      </c>
      <c r="CA390" t="s">
        <v>231</v>
      </c>
      <c r="CB390" t="s">
        <v>231</v>
      </c>
      <c r="CC390" t="s">
        <v>231</v>
      </c>
      <c r="CD390" t="s">
        <v>231</v>
      </c>
      <c r="CE390" t="s">
        <v>231</v>
      </c>
      <c r="CF390" t="s">
        <v>231</v>
      </c>
      <c r="CG390" t="s">
        <v>231</v>
      </c>
      <c r="CH390" t="s">
        <v>231</v>
      </c>
      <c r="CI390" t="s">
        <v>231</v>
      </c>
      <c r="CJ390" t="s">
        <v>231</v>
      </c>
      <c r="CK390" t="s">
        <v>231</v>
      </c>
      <c r="CL390" t="s">
        <v>231</v>
      </c>
      <c r="CM390" t="s">
        <v>231</v>
      </c>
      <c r="CN390" t="s">
        <v>231</v>
      </c>
      <c r="CO390" t="s">
        <v>231</v>
      </c>
      <c r="CP390" t="s">
        <v>231</v>
      </c>
      <c r="CQ390" t="s">
        <v>231</v>
      </c>
      <c r="CR390" t="s">
        <v>231</v>
      </c>
      <c r="CS390" t="s">
        <v>231</v>
      </c>
      <c r="CT390" t="s">
        <v>3534</v>
      </c>
      <c r="CU390" t="s">
        <v>3535</v>
      </c>
      <c r="CV390" t="s">
        <v>3536</v>
      </c>
      <c r="CW390" t="s">
        <v>3537</v>
      </c>
      <c r="CX390" t="s">
        <v>223</v>
      </c>
      <c r="CY390" t="s">
        <v>3536</v>
      </c>
      <c r="CZ390" t="s">
        <v>3538</v>
      </c>
      <c r="DA390" t="s">
        <v>3539</v>
      </c>
      <c r="DB390" t="s">
        <v>3537</v>
      </c>
      <c r="DC390" t="s">
        <v>363</v>
      </c>
      <c r="DD390" t="s">
        <v>282</v>
      </c>
      <c r="DE390" t="s">
        <v>4158</v>
      </c>
    </row>
    <row r="391" spans="1:109" ht="11.25" customHeight="1">
      <c r="A391" s="1314" t="s">
        <v>231</v>
      </c>
      <c r="B391" t="s">
        <v>231</v>
      </c>
      <c r="C391" t="s">
        <v>231</v>
      </c>
      <c r="D391" t="s">
        <v>231</v>
      </c>
      <c r="E391" t="s">
        <v>231</v>
      </c>
      <c r="F391" t="s">
        <v>231</v>
      </c>
      <c r="G391" t="s">
        <v>231</v>
      </c>
      <c r="H391" t="s">
        <v>231</v>
      </c>
      <c r="I391" t="s">
        <v>3521</v>
      </c>
      <c r="J391" t="s">
        <v>231</v>
      </c>
      <c r="K391" t="s">
        <v>231</v>
      </c>
      <c r="L391" t="s">
        <v>231</v>
      </c>
      <c r="M391" t="s">
        <v>231</v>
      </c>
      <c r="N391" t="s">
        <v>231</v>
      </c>
      <c r="O391" t="s">
        <v>231</v>
      </c>
      <c r="P391" t="s">
        <v>231</v>
      </c>
      <c r="Q391" t="s">
        <v>231</v>
      </c>
      <c r="R391" t="s">
        <v>5041</v>
      </c>
      <c r="S391" t="s">
        <v>231</v>
      </c>
      <c r="T391" t="s">
        <v>231</v>
      </c>
      <c r="U391" t="s">
        <v>101</v>
      </c>
      <c r="V391" t="s">
        <v>231</v>
      </c>
      <c r="W391" t="s">
        <v>231</v>
      </c>
      <c r="X391" t="s">
        <v>3523</v>
      </c>
      <c r="Y391" t="s">
        <v>231</v>
      </c>
      <c r="Z391" t="s">
        <v>160</v>
      </c>
      <c r="AA391" t="s">
        <v>151</v>
      </c>
      <c r="AB391" t="s">
        <v>151</v>
      </c>
      <c r="AC391" t="s">
        <v>343</v>
      </c>
      <c r="AD391" t="s">
        <v>343</v>
      </c>
      <c r="AE391" t="s">
        <v>344</v>
      </c>
      <c r="AF391" t="s">
        <v>3561</v>
      </c>
      <c r="AG391" t="s">
        <v>3562</v>
      </c>
      <c r="AH391" t="s">
        <v>3609</v>
      </c>
      <c r="AI391" t="s">
        <v>3610</v>
      </c>
      <c r="AJ391" t="s">
        <v>3611</v>
      </c>
      <c r="AK391" t="s">
        <v>4793</v>
      </c>
      <c r="AL391" t="s">
        <v>3648</v>
      </c>
      <c r="AM391" t="s">
        <v>3531</v>
      </c>
      <c r="AN391" t="s">
        <v>4794</v>
      </c>
      <c r="AO391" t="s">
        <v>4795</v>
      </c>
      <c r="AP391" t="s">
        <v>231</v>
      </c>
      <c r="AQ391" t="s">
        <v>231</v>
      </c>
      <c r="AR391" t="s">
        <v>231</v>
      </c>
      <c r="AS391" t="s">
        <v>231</v>
      </c>
      <c r="AT391" t="s">
        <v>231</v>
      </c>
      <c r="AU391" t="s">
        <v>231</v>
      </c>
      <c r="AV391" t="s">
        <v>231</v>
      </c>
      <c r="AW391" t="s">
        <v>231</v>
      </c>
      <c r="AX391" t="s">
        <v>231</v>
      </c>
      <c r="AY391" t="s">
        <v>231</v>
      </c>
      <c r="AZ391" t="s">
        <v>231</v>
      </c>
      <c r="BA391" t="s">
        <v>231</v>
      </c>
      <c r="BB391" t="s">
        <v>231</v>
      </c>
      <c r="BC391" t="s">
        <v>231</v>
      </c>
      <c r="BD391" t="s">
        <v>231</v>
      </c>
      <c r="BE391" t="s">
        <v>231</v>
      </c>
      <c r="BF391" t="s">
        <v>231</v>
      </c>
      <c r="BG391" t="s">
        <v>231</v>
      </c>
      <c r="BH391" t="s">
        <v>231</v>
      </c>
      <c r="BI391" t="s">
        <v>231</v>
      </c>
      <c r="BJ391" t="s">
        <v>231</v>
      </c>
      <c r="BK391" t="s">
        <v>231</v>
      </c>
      <c r="BL391" t="s">
        <v>231</v>
      </c>
      <c r="BM391" t="s">
        <v>231</v>
      </c>
      <c r="BN391" t="s">
        <v>231</v>
      </c>
      <c r="BO391" t="s">
        <v>231</v>
      </c>
      <c r="BP391" t="s">
        <v>231</v>
      </c>
      <c r="BQ391" t="s">
        <v>231</v>
      </c>
      <c r="BR391" t="s">
        <v>231</v>
      </c>
      <c r="BS391" t="s">
        <v>231</v>
      </c>
      <c r="BT391" t="s">
        <v>231</v>
      </c>
      <c r="BU391" t="s">
        <v>231</v>
      </c>
      <c r="BV391" t="s">
        <v>231</v>
      </c>
      <c r="BW391" t="s">
        <v>231</v>
      </c>
      <c r="BX391" t="s">
        <v>231</v>
      </c>
      <c r="BY391" t="s">
        <v>231</v>
      </c>
      <c r="BZ391" t="s">
        <v>231</v>
      </c>
      <c r="CA391" t="s">
        <v>231</v>
      </c>
      <c r="CB391" t="s">
        <v>231</v>
      </c>
      <c r="CC391" t="s">
        <v>231</v>
      </c>
      <c r="CD391" t="s">
        <v>231</v>
      </c>
      <c r="CE391" t="s">
        <v>231</v>
      </c>
      <c r="CF391" t="s">
        <v>231</v>
      </c>
      <c r="CG391" t="s">
        <v>231</v>
      </c>
      <c r="CH391" t="s">
        <v>231</v>
      </c>
      <c r="CI391" t="s">
        <v>231</v>
      </c>
      <c r="CJ391" t="s">
        <v>231</v>
      </c>
      <c r="CK391" t="s">
        <v>231</v>
      </c>
      <c r="CL391" t="s">
        <v>231</v>
      </c>
      <c r="CM391" t="s">
        <v>231</v>
      </c>
      <c r="CN391" t="s">
        <v>231</v>
      </c>
      <c r="CO391" t="s">
        <v>231</v>
      </c>
      <c r="CP391" t="s">
        <v>231</v>
      </c>
      <c r="CQ391" t="s">
        <v>231</v>
      </c>
      <c r="CR391" t="s">
        <v>231</v>
      </c>
      <c r="CS391" t="s">
        <v>231</v>
      </c>
      <c r="CT391" t="s">
        <v>3534</v>
      </c>
      <c r="CU391" t="s">
        <v>3535</v>
      </c>
      <c r="CV391" t="s">
        <v>3536</v>
      </c>
      <c r="CW391" t="s">
        <v>3569</v>
      </c>
      <c r="CX391" t="s">
        <v>3570</v>
      </c>
      <c r="CY391" t="s">
        <v>3536</v>
      </c>
      <c r="CZ391" t="s">
        <v>224</v>
      </c>
      <c r="DA391" t="s">
        <v>3571</v>
      </c>
      <c r="DB391" t="s">
        <v>3569</v>
      </c>
      <c r="DC391" t="s">
        <v>363</v>
      </c>
      <c r="DD391" t="s">
        <v>282</v>
      </c>
      <c r="DE391" t="s">
        <v>3614</v>
      </c>
    </row>
    <row r="392" spans="1:109" ht="11.25" customHeight="1">
      <c r="A392" s="1314" t="s">
        <v>231</v>
      </c>
      <c r="B392" t="s">
        <v>231</v>
      </c>
      <c r="C392" t="s">
        <v>231</v>
      </c>
      <c r="D392" t="s">
        <v>231</v>
      </c>
      <c r="E392" t="s">
        <v>231</v>
      </c>
      <c r="F392" t="s">
        <v>231</v>
      </c>
      <c r="G392" t="s">
        <v>231</v>
      </c>
      <c r="H392" t="s">
        <v>231</v>
      </c>
      <c r="I392" t="s">
        <v>3521</v>
      </c>
      <c r="J392" t="s">
        <v>231</v>
      </c>
      <c r="K392" t="s">
        <v>231</v>
      </c>
      <c r="L392" t="s">
        <v>231</v>
      </c>
      <c r="M392" t="s">
        <v>231</v>
      </c>
      <c r="N392" t="s">
        <v>231</v>
      </c>
      <c r="O392" t="s">
        <v>231</v>
      </c>
      <c r="P392" t="s">
        <v>231</v>
      </c>
      <c r="Q392" t="s">
        <v>231</v>
      </c>
      <c r="R392" t="s">
        <v>5042</v>
      </c>
      <c r="S392" t="s">
        <v>231</v>
      </c>
      <c r="T392" t="s">
        <v>231</v>
      </c>
      <c r="U392" t="s">
        <v>101</v>
      </c>
      <c r="V392" t="s">
        <v>231</v>
      </c>
      <c r="W392" t="s">
        <v>231</v>
      </c>
      <c r="X392" t="s">
        <v>3955</v>
      </c>
      <c r="Y392" t="s">
        <v>231</v>
      </c>
      <c r="Z392" t="s">
        <v>151</v>
      </c>
      <c r="AA392" t="s">
        <v>160</v>
      </c>
      <c r="AB392" t="s">
        <v>151</v>
      </c>
      <c r="AC392" t="s">
        <v>343</v>
      </c>
      <c r="AD392" t="s">
        <v>343</v>
      </c>
      <c r="AE392" t="s">
        <v>344</v>
      </c>
      <c r="AF392" t="s">
        <v>3561</v>
      </c>
      <c r="AG392" t="s">
        <v>3562</v>
      </c>
      <c r="AH392" t="s">
        <v>3609</v>
      </c>
      <c r="AI392" t="s">
        <v>3610</v>
      </c>
      <c r="AJ392" t="s">
        <v>231</v>
      </c>
      <c r="AK392" t="s">
        <v>231</v>
      </c>
      <c r="AL392" t="s">
        <v>231</v>
      </c>
      <c r="AM392" t="s">
        <v>231</v>
      </c>
      <c r="AN392" t="s">
        <v>231</v>
      </c>
      <c r="AO392" t="s">
        <v>231</v>
      </c>
      <c r="AP392" t="s">
        <v>3956</v>
      </c>
      <c r="AQ392" t="s">
        <v>3957</v>
      </c>
      <c r="AR392" t="s">
        <v>111</v>
      </c>
      <c r="AS392" t="s">
        <v>3632</v>
      </c>
      <c r="AT392" t="s">
        <v>5021</v>
      </c>
      <c r="AU392" t="s">
        <v>231</v>
      </c>
      <c r="AV392" t="s">
        <v>3958</v>
      </c>
      <c r="AW392" t="s">
        <v>2258</v>
      </c>
      <c r="AX392" t="s">
        <v>2258</v>
      </c>
      <c r="AY392" t="s">
        <v>3959</v>
      </c>
      <c r="AZ392" t="s">
        <v>3960</v>
      </c>
      <c r="BA392" t="s">
        <v>3961</v>
      </c>
      <c r="BB392" t="s">
        <v>3609</v>
      </c>
      <c r="BC392" t="s">
        <v>3610</v>
      </c>
      <c r="BD392" t="s">
        <v>3962</v>
      </c>
      <c r="BE392" t="s">
        <v>231</v>
      </c>
      <c r="BF392" t="s">
        <v>231</v>
      </c>
      <c r="BG392" t="s">
        <v>231</v>
      </c>
      <c r="BH392" t="s">
        <v>231</v>
      </c>
      <c r="BI392" t="s">
        <v>231</v>
      </c>
      <c r="BJ392" t="s">
        <v>231</v>
      </c>
      <c r="BK392" t="s">
        <v>231</v>
      </c>
      <c r="BL392" t="s">
        <v>231</v>
      </c>
      <c r="BM392" t="s">
        <v>231</v>
      </c>
      <c r="BN392" t="s">
        <v>231</v>
      </c>
      <c r="BO392" t="s">
        <v>231</v>
      </c>
      <c r="BP392" t="s">
        <v>231</v>
      </c>
      <c r="BQ392" t="s">
        <v>231</v>
      </c>
      <c r="BR392" t="s">
        <v>231</v>
      </c>
      <c r="BS392" t="s">
        <v>231</v>
      </c>
      <c r="BT392" t="s">
        <v>231</v>
      </c>
      <c r="BU392" t="s">
        <v>231</v>
      </c>
      <c r="BV392" t="s">
        <v>231</v>
      </c>
      <c r="BW392" t="s">
        <v>231</v>
      </c>
      <c r="BX392" t="s">
        <v>231</v>
      </c>
      <c r="BY392" t="s">
        <v>231</v>
      </c>
      <c r="BZ392" t="s">
        <v>231</v>
      </c>
      <c r="CA392" t="s">
        <v>231</v>
      </c>
      <c r="CB392" t="s">
        <v>231</v>
      </c>
      <c r="CC392" t="s">
        <v>231</v>
      </c>
      <c r="CD392" t="s">
        <v>231</v>
      </c>
      <c r="CE392" t="s">
        <v>231</v>
      </c>
      <c r="CF392" t="s">
        <v>231</v>
      </c>
      <c r="CG392" t="s">
        <v>231</v>
      </c>
      <c r="CH392" t="s">
        <v>231</v>
      </c>
      <c r="CI392" t="s">
        <v>231</v>
      </c>
      <c r="CJ392" t="s">
        <v>231</v>
      </c>
      <c r="CK392" t="s">
        <v>231</v>
      </c>
      <c r="CL392" t="s">
        <v>231</v>
      </c>
      <c r="CM392" t="s">
        <v>231</v>
      </c>
      <c r="CN392" t="s">
        <v>231</v>
      </c>
      <c r="CO392" t="s">
        <v>231</v>
      </c>
      <c r="CP392" t="s">
        <v>231</v>
      </c>
      <c r="CQ392" t="s">
        <v>231</v>
      </c>
      <c r="CR392" t="s">
        <v>231</v>
      </c>
      <c r="CS392" t="s">
        <v>231</v>
      </c>
      <c r="CT392" t="s">
        <v>3534</v>
      </c>
      <c r="CU392" t="s">
        <v>3535</v>
      </c>
      <c r="CV392" t="s">
        <v>3536</v>
      </c>
      <c r="CW392" t="s">
        <v>3569</v>
      </c>
      <c r="CX392" t="s">
        <v>3570</v>
      </c>
      <c r="CY392" t="s">
        <v>3536</v>
      </c>
      <c r="CZ392" t="s">
        <v>224</v>
      </c>
      <c r="DA392" t="s">
        <v>3571</v>
      </c>
      <c r="DB392" t="s">
        <v>3569</v>
      </c>
      <c r="DC392" t="s">
        <v>363</v>
      </c>
      <c r="DD392" t="s">
        <v>282</v>
      </c>
      <c r="DE392" t="s">
        <v>3614</v>
      </c>
    </row>
    <row r="393" spans="1:109" ht="11.25" customHeight="1">
      <c r="A393" s="1314" t="s">
        <v>231</v>
      </c>
      <c r="B393" t="s">
        <v>231</v>
      </c>
      <c r="C393" t="s">
        <v>231</v>
      </c>
      <c r="D393" t="s">
        <v>231</v>
      </c>
      <c r="E393" t="s">
        <v>231</v>
      </c>
      <c r="F393" t="s">
        <v>231</v>
      </c>
      <c r="G393" t="s">
        <v>231</v>
      </c>
      <c r="H393" t="s">
        <v>231</v>
      </c>
      <c r="I393" t="s">
        <v>3521</v>
      </c>
      <c r="J393" t="s">
        <v>231</v>
      </c>
      <c r="K393" t="s">
        <v>231</v>
      </c>
      <c r="L393" t="s">
        <v>231</v>
      </c>
      <c r="M393" t="s">
        <v>231</v>
      </c>
      <c r="N393" t="s">
        <v>231</v>
      </c>
      <c r="O393" t="s">
        <v>231</v>
      </c>
      <c r="P393" t="s">
        <v>231</v>
      </c>
      <c r="Q393" t="s">
        <v>231</v>
      </c>
      <c r="R393" t="s">
        <v>4159</v>
      </c>
      <c r="S393" t="s">
        <v>231</v>
      </c>
      <c r="T393" t="s">
        <v>231</v>
      </c>
      <c r="U393" t="s">
        <v>101</v>
      </c>
      <c r="V393" t="s">
        <v>231</v>
      </c>
      <c r="W393" t="s">
        <v>231</v>
      </c>
      <c r="X393" t="s">
        <v>3523</v>
      </c>
      <c r="Y393" t="s">
        <v>231</v>
      </c>
      <c r="Z393" t="s">
        <v>160</v>
      </c>
      <c r="AA393" t="s">
        <v>151</v>
      </c>
      <c r="AB393" t="s">
        <v>151</v>
      </c>
      <c r="AC393" t="s">
        <v>2262</v>
      </c>
      <c r="AD393" t="s">
        <v>2262</v>
      </c>
      <c r="AE393" t="s">
        <v>2264</v>
      </c>
      <c r="AF393" t="s">
        <v>3524</v>
      </c>
      <c r="AG393" t="s">
        <v>3525</v>
      </c>
      <c r="AH393" t="s">
        <v>4160</v>
      </c>
      <c r="AI393" t="s">
        <v>3575</v>
      </c>
      <c r="AJ393" t="s">
        <v>4155</v>
      </c>
      <c r="AK393" t="s">
        <v>3641</v>
      </c>
      <c r="AL393" t="s">
        <v>3648</v>
      </c>
      <c r="AM393" t="s">
        <v>3531</v>
      </c>
      <c r="AN393" t="s">
        <v>4156</v>
      </c>
      <c r="AO393" t="s">
        <v>4161</v>
      </c>
      <c r="AP393" t="s">
        <v>231</v>
      </c>
      <c r="AQ393" t="s">
        <v>231</v>
      </c>
      <c r="AR393" t="s">
        <v>231</v>
      </c>
      <c r="AS393" t="s">
        <v>231</v>
      </c>
      <c r="AT393" t="s">
        <v>231</v>
      </c>
      <c r="AU393" t="s">
        <v>231</v>
      </c>
      <c r="AV393" t="s">
        <v>231</v>
      </c>
      <c r="AW393" t="s">
        <v>231</v>
      </c>
      <c r="AX393" t="s">
        <v>231</v>
      </c>
      <c r="AY393" t="s">
        <v>231</v>
      </c>
      <c r="AZ393" t="s">
        <v>231</v>
      </c>
      <c r="BA393" t="s">
        <v>231</v>
      </c>
      <c r="BB393" t="s">
        <v>231</v>
      </c>
      <c r="BC393" t="s">
        <v>231</v>
      </c>
      <c r="BD393" t="s">
        <v>231</v>
      </c>
      <c r="BE393" t="s">
        <v>231</v>
      </c>
      <c r="BF393" t="s">
        <v>231</v>
      </c>
      <c r="BG393" t="s">
        <v>231</v>
      </c>
      <c r="BH393" t="s">
        <v>231</v>
      </c>
      <c r="BI393" t="s">
        <v>231</v>
      </c>
      <c r="BJ393" t="s">
        <v>231</v>
      </c>
      <c r="BK393" t="s">
        <v>231</v>
      </c>
      <c r="BL393" t="s">
        <v>231</v>
      </c>
      <c r="BM393" t="s">
        <v>231</v>
      </c>
      <c r="BN393" t="s">
        <v>231</v>
      </c>
      <c r="BO393" t="s">
        <v>231</v>
      </c>
      <c r="BP393" t="s">
        <v>231</v>
      </c>
      <c r="BQ393" t="s">
        <v>231</v>
      </c>
      <c r="BR393" t="s">
        <v>231</v>
      </c>
      <c r="BS393" t="s">
        <v>231</v>
      </c>
      <c r="BT393" t="s">
        <v>231</v>
      </c>
      <c r="BU393" t="s">
        <v>231</v>
      </c>
      <c r="BV393" t="s">
        <v>231</v>
      </c>
      <c r="BW393" t="s">
        <v>231</v>
      </c>
      <c r="BX393" t="s">
        <v>231</v>
      </c>
      <c r="BY393" t="s">
        <v>231</v>
      </c>
      <c r="BZ393" t="s">
        <v>231</v>
      </c>
      <c r="CA393" t="s">
        <v>231</v>
      </c>
      <c r="CB393" t="s">
        <v>231</v>
      </c>
      <c r="CC393" t="s">
        <v>231</v>
      </c>
      <c r="CD393" t="s">
        <v>231</v>
      </c>
      <c r="CE393" t="s">
        <v>231</v>
      </c>
      <c r="CF393" t="s">
        <v>231</v>
      </c>
      <c r="CG393" t="s">
        <v>231</v>
      </c>
      <c r="CH393" t="s">
        <v>231</v>
      </c>
      <c r="CI393" t="s">
        <v>231</v>
      </c>
      <c r="CJ393" t="s">
        <v>231</v>
      </c>
      <c r="CK393" t="s">
        <v>231</v>
      </c>
      <c r="CL393" t="s">
        <v>231</v>
      </c>
      <c r="CM393" t="s">
        <v>231</v>
      </c>
      <c r="CN393" t="s">
        <v>231</v>
      </c>
      <c r="CO393" t="s">
        <v>231</v>
      </c>
      <c r="CP393" t="s">
        <v>231</v>
      </c>
      <c r="CQ393" t="s">
        <v>231</v>
      </c>
      <c r="CR393" t="s">
        <v>231</v>
      </c>
      <c r="CS393" t="s">
        <v>231</v>
      </c>
      <c r="CT393" t="s">
        <v>3534</v>
      </c>
      <c r="CU393" t="s">
        <v>3535</v>
      </c>
      <c r="CV393" t="s">
        <v>3536</v>
      </c>
      <c r="CW393" t="s">
        <v>3537</v>
      </c>
      <c r="CX393" t="s">
        <v>223</v>
      </c>
      <c r="CY393" t="s">
        <v>3536</v>
      </c>
      <c r="CZ393" t="s">
        <v>3538</v>
      </c>
      <c r="DA393" t="s">
        <v>3539</v>
      </c>
      <c r="DB393" t="s">
        <v>3537</v>
      </c>
      <c r="DC393" t="s">
        <v>363</v>
      </c>
      <c r="DD393" t="s">
        <v>282</v>
      </c>
      <c r="DE393" t="s">
        <v>4162</v>
      </c>
    </row>
    <row r="394" spans="1:109" ht="11.25" customHeight="1">
      <c r="A394" s="1314" t="s">
        <v>231</v>
      </c>
      <c r="B394" t="s">
        <v>231</v>
      </c>
      <c r="C394" t="s">
        <v>231</v>
      </c>
      <c r="D394" t="s">
        <v>231</v>
      </c>
      <c r="E394" t="s">
        <v>231</v>
      </c>
      <c r="F394" t="s">
        <v>231</v>
      </c>
      <c r="G394" t="s">
        <v>231</v>
      </c>
      <c r="H394" t="s">
        <v>231</v>
      </c>
      <c r="I394" t="s">
        <v>3521</v>
      </c>
      <c r="J394" t="s">
        <v>231</v>
      </c>
      <c r="K394" t="s">
        <v>231</v>
      </c>
      <c r="L394" t="s">
        <v>231</v>
      </c>
      <c r="M394" t="s">
        <v>231</v>
      </c>
      <c r="N394" t="s">
        <v>231</v>
      </c>
      <c r="O394" t="s">
        <v>231</v>
      </c>
      <c r="P394" t="s">
        <v>231</v>
      </c>
      <c r="Q394" t="s">
        <v>231</v>
      </c>
      <c r="R394" t="s">
        <v>3615</v>
      </c>
      <c r="S394" t="s">
        <v>231</v>
      </c>
      <c r="T394" t="s">
        <v>231</v>
      </c>
      <c r="U394" t="s">
        <v>101</v>
      </c>
      <c r="V394" t="s">
        <v>231</v>
      </c>
      <c r="W394" t="s">
        <v>231</v>
      </c>
      <c r="X394" t="s">
        <v>3523</v>
      </c>
      <c r="Y394" t="s">
        <v>231</v>
      </c>
      <c r="Z394" t="s">
        <v>160</v>
      </c>
      <c r="AA394" t="s">
        <v>151</v>
      </c>
      <c r="AB394" t="s">
        <v>151</v>
      </c>
      <c r="AC394" t="s">
        <v>2287</v>
      </c>
      <c r="AD394" t="s">
        <v>2287</v>
      </c>
      <c r="AE394" t="s">
        <v>2288</v>
      </c>
      <c r="AF394" t="s">
        <v>4347</v>
      </c>
      <c r="AG394" t="s">
        <v>4348</v>
      </c>
      <c r="AH394" t="s">
        <v>4034</v>
      </c>
      <c r="AI394" t="s">
        <v>4349</v>
      </c>
      <c r="AJ394" t="s">
        <v>3619</v>
      </c>
      <c r="AK394" t="s">
        <v>4350</v>
      </c>
      <c r="AL394" t="s">
        <v>3548</v>
      </c>
      <c r="AM394" t="s">
        <v>3531</v>
      </c>
      <c r="AN394" t="s">
        <v>3621</v>
      </c>
      <c r="AO394" t="s">
        <v>3901</v>
      </c>
      <c r="AP394" t="s">
        <v>231</v>
      </c>
      <c r="AQ394" t="s">
        <v>231</v>
      </c>
      <c r="AR394" t="s">
        <v>231</v>
      </c>
      <c r="AS394" t="s">
        <v>231</v>
      </c>
      <c r="AT394" t="s">
        <v>231</v>
      </c>
      <c r="AU394" t="s">
        <v>231</v>
      </c>
      <c r="AV394" t="s">
        <v>231</v>
      </c>
      <c r="AW394" t="s">
        <v>231</v>
      </c>
      <c r="AX394" t="s">
        <v>231</v>
      </c>
      <c r="AY394" t="s">
        <v>231</v>
      </c>
      <c r="AZ394" t="s">
        <v>231</v>
      </c>
      <c r="BA394" t="s">
        <v>231</v>
      </c>
      <c r="BB394" t="s">
        <v>231</v>
      </c>
      <c r="BC394" t="s">
        <v>231</v>
      </c>
      <c r="BD394" t="s">
        <v>231</v>
      </c>
      <c r="BE394" t="s">
        <v>231</v>
      </c>
      <c r="BF394" t="s">
        <v>231</v>
      </c>
      <c r="BG394" t="s">
        <v>231</v>
      </c>
      <c r="BH394" t="s">
        <v>231</v>
      </c>
      <c r="BI394" t="s">
        <v>231</v>
      </c>
      <c r="BJ394" t="s">
        <v>231</v>
      </c>
      <c r="BK394" t="s">
        <v>231</v>
      </c>
      <c r="BL394" t="s">
        <v>231</v>
      </c>
      <c r="BM394" t="s">
        <v>231</v>
      </c>
      <c r="BN394" t="s">
        <v>231</v>
      </c>
      <c r="BO394" t="s">
        <v>231</v>
      </c>
      <c r="BP394" t="s">
        <v>231</v>
      </c>
      <c r="BQ394" t="s">
        <v>231</v>
      </c>
      <c r="BR394" t="s">
        <v>231</v>
      </c>
      <c r="BS394" t="s">
        <v>231</v>
      </c>
      <c r="BT394" t="s">
        <v>231</v>
      </c>
      <c r="BU394" t="s">
        <v>231</v>
      </c>
      <c r="BV394" t="s">
        <v>231</v>
      </c>
      <c r="BW394" t="s">
        <v>231</v>
      </c>
      <c r="BX394" t="s">
        <v>231</v>
      </c>
      <c r="BY394" t="s">
        <v>231</v>
      </c>
      <c r="BZ394" t="s">
        <v>231</v>
      </c>
      <c r="CA394" t="s">
        <v>231</v>
      </c>
      <c r="CB394" t="s">
        <v>231</v>
      </c>
      <c r="CC394" t="s">
        <v>231</v>
      </c>
      <c r="CD394" t="s">
        <v>231</v>
      </c>
      <c r="CE394" t="s">
        <v>231</v>
      </c>
      <c r="CF394" t="s">
        <v>231</v>
      </c>
      <c r="CG394" t="s">
        <v>231</v>
      </c>
      <c r="CH394" t="s">
        <v>231</v>
      </c>
      <c r="CI394" t="s">
        <v>231</v>
      </c>
      <c r="CJ394" t="s">
        <v>231</v>
      </c>
      <c r="CK394" t="s">
        <v>231</v>
      </c>
      <c r="CL394" t="s">
        <v>231</v>
      </c>
      <c r="CM394" t="s">
        <v>231</v>
      </c>
      <c r="CN394" t="s">
        <v>231</v>
      </c>
      <c r="CO394" t="s">
        <v>231</v>
      </c>
      <c r="CP394" t="s">
        <v>231</v>
      </c>
      <c r="CQ394" t="s">
        <v>231</v>
      </c>
      <c r="CR394" t="s">
        <v>231</v>
      </c>
      <c r="CS394" t="s">
        <v>231</v>
      </c>
      <c r="CT394" t="s">
        <v>3534</v>
      </c>
      <c r="CU394" t="s">
        <v>3535</v>
      </c>
      <c r="CV394" t="s">
        <v>3536</v>
      </c>
      <c r="CW394" t="s">
        <v>3623</v>
      </c>
      <c r="CX394" t="s">
        <v>223</v>
      </c>
      <c r="CY394" t="s">
        <v>3536</v>
      </c>
      <c r="CZ394" t="s">
        <v>3624</v>
      </c>
      <c r="DA394" t="s">
        <v>3625</v>
      </c>
      <c r="DB394" t="s">
        <v>3623</v>
      </c>
      <c r="DC394" t="s">
        <v>363</v>
      </c>
      <c r="DD394" t="s">
        <v>282</v>
      </c>
      <c r="DE394" t="s">
        <v>4351</v>
      </c>
    </row>
    <row r="395" spans="1:109" ht="11.25" customHeight="1">
      <c r="A395" s="1314" t="s">
        <v>231</v>
      </c>
      <c r="B395" t="s">
        <v>231</v>
      </c>
      <c r="C395" t="s">
        <v>231</v>
      </c>
      <c r="D395" t="s">
        <v>231</v>
      </c>
      <c r="E395" t="s">
        <v>231</v>
      </c>
      <c r="F395" t="s">
        <v>231</v>
      </c>
      <c r="G395" t="s">
        <v>231</v>
      </c>
      <c r="H395" t="s">
        <v>231</v>
      </c>
      <c r="I395" t="s">
        <v>3521</v>
      </c>
      <c r="J395" t="s">
        <v>231</v>
      </c>
      <c r="K395" t="s">
        <v>231</v>
      </c>
      <c r="L395" t="s">
        <v>231</v>
      </c>
      <c r="M395" t="s">
        <v>231</v>
      </c>
      <c r="N395" t="s">
        <v>231</v>
      </c>
      <c r="O395" t="s">
        <v>231</v>
      </c>
      <c r="P395" t="s">
        <v>231</v>
      </c>
      <c r="Q395" t="s">
        <v>231</v>
      </c>
      <c r="R395" t="s">
        <v>4410</v>
      </c>
      <c r="S395" t="s">
        <v>231</v>
      </c>
      <c r="T395" t="s">
        <v>231</v>
      </c>
      <c r="U395" t="s">
        <v>101</v>
      </c>
      <c r="V395" t="s">
        <v>231</v>
      </c>
      <c r="W395" t="s">
        <v>231</v>
      </c>
      <c r="X395" t="s">
        <v>3523</v>
      </c>
      <c r="Y395" t="s">
        <v>231</v>
      </c>
      <c r="Z395" t="s">
        <v>160</v>
      </c>
      <c r="AA395" t="s">
        <v>151</v>
      </c>
      <c r="AB395" t="s">
        <v>151</v>
      </c>
      <c r="AC395" t="s">
        <v>2262</v>
      </c>
      <c r="AD395" t="s">
        <v>2262</v>
      </c>
      <c r="AE395" t="s">
        <v>2264</v>
      </c>
      <c r="AF395" t="s">
        <v>3524</v>
      </c>
      <c r="AG395" t="s">
        <v>3525</v>
      </c>
      <c r="AH395" t="s">
        <v>4411</v>
      </c>
      <c r="AI395" t="s">
        <v>3575</v>
      </c>
      <c r="AJ395" t="s">
        <v>4155</v>
      </c>
      <c r="AK395" t="s">
        <v>3641</v>
      </c>
      <c r="AL395" t="s">
        <v>3648</v>
      </c>
      <c r="AM395" t="s">
        <v>3531</v>
      </c>
      <c r="AN395" t="s">
        <v>4156</v>
      </c>
      <c r="AO395" t="s">
        <v>4412</v>
      </c>
      <c r="AP395" t="s">
        <v>231</v>
      </c>
      <c r="AQ395" t="s">
        <v>231</v>
      </c>
      <c r="AR395" t="s">
        <v>231</v>
      </c>
      <c r="AS395" t="s">
        <v>231</v>
      </c>
      <c r="AT395" t="s">
        <v>231</v>
      </c>
      <c r="AU395" t="s">
        <v>231</v>
      </c>
      <c r="AV395" t="s">
        <v>231</v>
      </c>
      <c r="AW395" t="s">
        <v>231</v>
      </c>
      <c r="AX395" t="s">
        <v>231</v>
      </c>
      <c r="AY395" t="s">
        <v>231</v>
      </c>
      <c r="AZ395" t="s">
        <v>231</v>
      </c>
      <c r="BA395" t="s">
        <v>231</v>
      </c>
      <c r="BB395" t="s">
        <v>231</v>
      </c>
      <c r="BC395" t="s">
        <v>231</v>
      </c>
      <c r="BD395" t="s">
        <v>231</v>
      </c>
      <c r="BE395" t="s">
        <v>231</v>
      </c>
      <c r="BF395" t="s">
        <v>231</v>
      </c>
      <c r="BG395" t="s">
        <v>231</v>
      </c>
      <c r="BH395" t="s">
        <v>231</v>
      </c>
      <c r="BI395" t="s">
        <v>231</v>
      </c>
      <c r="BJ395" t="s">
        <v>231</v>
      </c>
      <c r="BK395" t="s">
        <v>231</v>
      </c>
      <c r="BL395" t="s">
        <v>231</v>
      </c>
      <c r="BM395" t="s">
        <v>231</v>
      </c>
      <c r="BN395" t="s">
        <v>231</v>
      </c>
      <c r="BO395" t="s">
        <v>231</v>
      </c>
      <c r="BP395" t="s">
        <v>231</v>
      </c>
      <c r="BQ395" t="s">
        <v>231</v>
      </c>
      <c r="BR395" t="s">
        <v>231</v>
      </c>
      <c r="BS395" t="s">
        <v>231</v>
      </c>
      <c r="BT395" t="s">
        <v>231</v>
      </c>
      <c r="BU395" t="s">
        <v>231</v>
      </c>
      <c r="BV395" t="s">
        <v>231</v>
      </c>
      <c r="BW395" t="s">
        <v>231</v>
      </c>
      <c r="BX395" t="s">
        <v>231</v>
      </c>
      <c r="BY395" t="s">
        <v>231</v>
      </c>
      <c r="BZ395" t="s">
        <v>231</v>
      </c>
      <c r="CA395" t="s">
        <v>231</v>
      </c>
      <c r="CB395" t="s">
        <v>231</v>
      </c>
      <c r="CC395" t="s">
        <v>231</v>
      </c>
      <c r="CD395" t="s">
        <v>231</v>
      </c>
      <c r="CE395" t="s">
        <v>231</v>
      </c>
      <c r="CF395" t="s">
        <v>231</v>
      </c>
      <c r="CG395" t="s">
        <v>231</v>
      </c>
      <c r="CH395" t="s">
        <v>231</v>
      </c>
      <c r="CI395" t="s">
        <v>231</v>
      </c>
      <c r="CJ395" t="s">
        <v>231</v>
      </c>
      <c r="CK395" t="s">
        <v>231</v>
      </c>
      <c r="CL395" t="s">
        <v>231</v>
      </c>
      <c r="CM395" t="s">
        <v>231</v>
      </c>
      <c r="CN395" t="s">
        <v>231</v>
      </c>
      <c r="CO395" t="s">
        <v>231</v>
      </c>
      <c r="CP395" t="s">
        <v>231</v>
      </c>
      <c r="CQ395" t="s">
        <v>231</v>
      </c>
      <c r="CR395" t="s">
        <v>231</v>
      </c>
      <c r="CS395" t="s">
        <v>231</v>
      </c>
      <c r="CT395" t="s">
        <v>3534</v>
      </c>
      <c r="CU395" t="s">
        <v>3535</v>
      </c>
      <c r="CV395" t="s">
        <v>3536</v>
      </c>
      <c r="CW395" t="s">
        <v>3537</v>
      </c>
      <c r="CX395" t="s">
        <v>223</v>
      </c>
      <c r="CY395" t="s">
        <v>3536</v>
      </c>
      <c r="CZ395" t="s">
        <v>3538</v>
      </c>
      <c r="DA395" t="s">
        <v>3539</v>
      </c>
      <c r="DB395" t="s">
        <v>3537</v>
      </c>
      <c r="DC395" t="s">
        <v>363</v>
      </c>
      <c r="DD395" t="s">
        <v>282</v>
      </c>
      <c r="DE395" t="s">
        <v>4413</v>
      </c>
    </row>
    <row r="396" spans="1:109" ht="11.25" customHeight="1">
      <c r="A396" s="1314" t="s">
        <v>231</v>
      </c>
      <c r="B396" t="s">
        <v>231</v>
      </c>
      <c r="C396" t="s">
        <v>231</v>
      </c>
      <c r="D396" t="s">
        <v>231</v>
      </c>
      <c r="E396" t="s">
        <v>231</v>
      </c>
      <c r="F396" t="s">
        <v>231</v>
      </c>
      <c r="G396" t="s">
        <v>231</v>
      </c>
      <c r="H396" t="s">
        <v>231</v>
      </c>
      <c r="I396" t="s">
        <v>3521</v>
      </c>
      <c r="J396" t="s">
        <v>231</v>
      </c>
      <c r="K396" t="s">
        <v>231</v>
      </c>
      <c r="L396" t="s">
        <v>231</v>
      </c>
      <c r="M396" t="s">
        <v>231</v>
      </c>
      <c r="N396" t="s">
        <v>231</v>
      </c>
      <c r="O396" t="s">
        <v>231</v>
      </c>
      <c r="P396" t="s">
        <v>231</v>
      </c>
      <c r="Q396" t="s">
        <v>231</v>
      </c>
      <c r="R396" t="s">
        <v>3615</v>
      </c>
      <c r="S396" t="s">
        <v>231</v>
      </c>
      <c r="T396" t="s">
        <v>231</v>
      </c>
      <c r="U396" t="s">
        <v>101</v>
      </c>
      <c r="V396" t="s">
        <v>231</v>
      </c>
      <c r="W396" t="s">
        <v>231</v>
      </c>
      <c r="X396" t="s">
        <v>3523</v>
      </c>
      <c r="Y396" t="s">
        <v>231</v>
      </c>
      <c r="Z396" t="s">
        <v>160</v>
      </c>
      <c r="AA396" t="s">
        <v>151</v>
      </c>
      <c r="AB396" t="s">
        <v>151</v>
      </c>
      <c r="AC396" t="s">
        <v>2289</v>
      </c>
      <c r="AD396" t="s">
        <v>2289</v>
      </c>
      <c r="AE396" t="s">
        <v>2290</v>
      </c>
      <c r="AF396" t="s">
        <v>3793</v>
      </c>
      <c r="AG396" t="s">
        <v>3794</v>
      </c>
      <c r="AH396" t="s">
        <v>4835</v>
      </c>
      <c r="AI396" t="s">
        <v>4836</v>
      </c>
      <c r="AJ396" t="s">
        <v>3546</v>
      </c>
      <c r="AK396" t="s">
        <v>3800</v>
      </c>
      <c r="AL396" t="s">
        <v>3548</v>
      </c>
      <c r="AM396" t="s">
        <v>3531</v>
      </c>
      <c r="AN396" t="s">
        <v>3587</v>
      </c>
      <c r="AO396" t="s">
        <v>3812</v>
      </c>
      <c r="AP396" t="s">
        <v>231</v>
      </c>
      <c r="AQ396" t="s">
        <v>231</v>
      </c>
      <c r="AR396" t="s">
        <v>231</v>
      </c>
      <c r="AS396" t="s">
        <v>231</v>
      </c>
      <c r="AT396" t="s">
        <v>231</v>
      </c>
      <c r="AU396" t="s">
        <v>231</v>
      </c>
      <c r="AV396" t="s">
        <v>231</v>
      </c>
      <c r="AW396" t="s">
        <v>231</v>
      </c>
      <c r="AX396" t="s">
        <v>231</v>
      </c>
      <c r="AY396" t="s">
        <v>231</v>
      </c>
      <c r="AZ396" t="s">
        <v>231</v>
      </c>
      <c r="BA396" t="s">
        <v>231</v>
      </c>
      <c r="BB396" t="s">
        <v>231</v>
      </c>
      <c r="BC396" t="s">
        <v>231</v>
      </c>
      <c r="BD396" t="s">
        <v>231</v>
      </c>
      <c r="BE396" t="s">
        <v>231</v>
      </c>
      <c r="BF396" t="s">
        <v>231</v>
      </c>
      <c r="BG396" t="s">
        <v>231</v>
      </c>
      <c r="BH396" t="s">
        <v>231</v>
      </c>
      <c r="BI396" t="s">
        <v>231</v>
      </c>
      <c r="BJ396" t="s">
        <v>231</v>
      </c>
      <c r="BK396" t="s">
        <v>231</v>
      </c>
      <c r="BL396" t="s">
        <v>231</v>
      </c>
      <c r="BM396" t="s">
        <v>231</v>
      </c>
      <c r="BN396" t="s">
        <v>231</v>
      </c>
      <c r="BO396" t="s">
        <v>231</v>
      </c>
      <c r="BP396" t="s">
        <v>231</v>
      </c>
      <c r="BQ396" t="s">
        <v>231</v>
      </c>
      <c r="BR396" t="s">
        <v>231</v>
      </c>
      <c r="BS396" t="s">
        <v>231</v>
      </c>
      <c r="BT396" t="s">
        <v>231</v>
      </c>
      <c r="BU396" t="s">
        <v>231</v>
      </c>
      <c r="BV396" t="s">
        <v>231</v>
      </c>
      <c r="BW396" t="s">
        <v>231</v>
      </c>
      <c r="BX396" t="s">
        <v>231</v>
      </c>
      <c r="BY396" t="s">
        <v>231</v>
      </c>
      <c r="BZ396" t="s">
        <v>231</v>
      </c>
      <c r="CA396" t="s">
        <v>231</v>
      </c>
      <c r="CB396" t="s">
        <v>231</v>
      </c>
      <c r="CC396" t="s">
        <v>231</v>
      </c>
      <c r="CD396" t="s">
        <v>231</v>
      </c>
      <c r="CE396" t="s">
        <v>231</v>
      </c>
      <c r="CF396" t="s">
        <v>231</v>
      </c>
      <c r="CG396" t="s">
        <v>231</v>
      </c>
      <c r="CH396" t="s">
        <v>231</v>
      </c>
      <c r="CI396" t="s">
        <v>231</v>
      </c>
      <c r="CJ396" t="s">
        <v>231</v>
      </c>
      <c r="CK396" t="s">
        <v>231</v>
      </c>
      <c r="CL396" t="s">
        <v>231</v>
      </c>
      <c r="CM396" t="s">
        <v>231</v>
      </c>
      <c r="CN396" t="s">
        <v>231</v>
      </c>
      <c r="CO396" t="s">
        <v>231</v>
      </c>
      <c r="CP396" t="s">
        <v>231</v>
      </c>
      <c r="CQ396" t="s">
        <v>231</v>
      </c>
      <c r="CR396" t="s">
        <v>231</v>
      </c>
      <c r="CS396" t="s">
        <v>231</v>
      </c>
      <c r="CT396" t="s">
        <v>3534</v>
      </c>
      <c r="CU396" t="s">
        <v>3535</v>
      </c>
      <c r="CV396" t="s">
        <v>3536</v>
      </c>
      <c r="CW396" t="s">
        <v>3589</v>
      </c>
      <c r="CX396" t="s">
        <v>223</v>
      </c>
      <c r="CY396" t="s">
        <v>3536</v>
      </c>
      <c r="CZ396" t="s">
        <v>3590</v>
      </c>
      <c r="DA396" t="s">
        <v>3591</v>
      </c>
      <c r="DB396" t="s">
        <v>3589</v>
      </c>
      <c r="DC396" t="s">
        <v>363</v>
      </c>
      <c r="DD396" t="s">
        <v>282</v>
      </c>
      <c r="DE396" t="s">
        <v>4837</v>
      </c>
    </row>
    <row r="397" spans="1:109" ht="11.25" customHeight="1">
      <c r="A397" s="1314" t="s">
        <v>231</v>
      </c>
      <c r="B397" t="s">
        <v>231</v>
      </c>
      <c r="C397" t="s">
        <v>231</v>
      </c>
      <c r="D397" t="s">
        <v>231</v>
      </c>
      <c r="E397" t="s">
        <v>231</v>
      </c>
      <c r="F397" t="s">
        <v>231</v>
      </c>
      <c r="G397" t="s">
        <v>231</v>
      </c>
      <c r="H397" t="s">
        <v>231</v>
      </c>
      <c r="I397" t="s">
        <v>3521</v>
      </c>
      <c r="J397" t="s">
        <v>231</v>
      </c>
      <c r="K397" t="s">
        <v>231</v>
      </c>
      <c r="L397" t="s">
        <v>231</v>
      </c>
      <c r="M397" t="s">
        <v>231</v>
      </c>
      <c r="N397" t="s">
        <v>231</v>
      </c>
      <c r="O397" t="s">
        <v>231</v>
      </c>
      <c r="P397" t="s">
        <v>231</v>
      </c>
      <c r="Q397" t="s">
        <v>231</v>
      </c>
      <c r="R397" t="s">
        <v>3615</v>
      </c>
      <c r="S397" t="s">
        <v>231</v>
      </c>
      <c r="T397" t="s">
        <v>231</v>
      </c>
      <c r="U397" t="s">
        <v>101</v>
      </c>
      <c r="V397" t="s">
        <v>231</v>
      </c>
      <c r="W397" t="s">
        <v>231</v>
      </c>
      <c r="X397" t="s">
        <v>3523</v>
      </c>
      <c r="Y397" t="s">
        <v>231</v>
      </c>
      <c r="Z397" t="s">
        <v>160</v>
      </c>
      <c r="AA397" t="s">
        <v>151</v>
      </c>
      <c r="AB397" t="s">
        <v>151</v>
      </c>
      <c r="AC397" t="s">
        <v>2289</v>
      </c>
      <c r="AD397" t="s">
        <v>2289</v>
      </c>
      <c r="AE397" t="s">
        <v>2290</v>
      </c>
      <c r="AF397" t="s">
        <v>3793</v>
      </c>
      <c r="AG397" t="s">
        <v>3794</v>
      </c>
      <c r="AH397" t="s">
        <v>4137</v>
      </c>
      <c r="AI397" t="s">
        <v>4838</v>
      </c>
      <c r="AJ397" t="s">
        <v>3594</v>
      </c>
      <c r="AK397" t="s">
        <v>3586</v>
      </c>
      <c r="AL397" t="s">
        <v>3548</v>
      </c>
      <c r="AM397" t="s">
        <v>3531</v>
      </c>
      <c r="AN397" t="s">
        <v>3595</v>
      </c>
      <c r="AO397" t="s">
        <v>3796</v>
      </c>
      <c r="AP397" t="s">
        <v>231</v>
      </c>
      <c r="AQ397" t="s">
        <v>231</v>
      </c>
      <c r="AR397" t="s">
        <v>231</v>
      </c>
      <c r="AS397" t="s">
        <v>231</v>
      </c>
      <c r="AT397" t="s">
        <v>231</v>
      </c>
      <c r="AU397" t="s">
        <v>231</v>
      </c>
      <c r="AV397" t="s">
        <v>231</v>
      </c>
      <c r="AW397" t="s">
        <v>231</v>
      </c>
      <c r="AX397" t="s">
        <v>231</v>
      </c>
      <c r="AY397" t="s">
        <v>231</v>
      </c>
      <c r="AZ397" t="s">
        <v>231</v>
      </c>
      <c r="BA397" t="s">
        <v>231</v>
      </c>
      <c r="BB397" t="s">
        <v>231</v>
      </c>
      <c r="BC397" t="s">
        <v>231</v>
      </c>
      <c r="BD397" t="s">
        <v>231</v>
      </c>
      <c r="BE397" t="s">
        <v>231</v>
      </c>
      <c r="BF397" t="s">
        <v>231</v>
      </c>
      <c r="BG397" t="s">
        <v>231</v>
      </c>
      <c r="BH397" t="s">
        <v>231</v>
      </c>
      <c r="BI397" t="s">
        <v>231</v>
      </c>
      <c r="BJ397" t="s">
        <v>231</v>
      </c>
      <c r="BK397" t="s">
        <v>231</v>
      </c>
      <c r="BL397" t="s">
        <v>231</v>
      </c>
      <c r="BM397" t="s">
        <v>231</v>
      </c>
      <c r="BN397" t="s">
        <v>231</v>
      </c>
      <c r="BO397" t="s">
        <v>231</v>
      </c>
      <c r="BP397" t="s">
        <v>231</v>
      </c>
      <c r="BQ397" t="s">
        <v>231</v>
      </c>
      <c r="BR397" t="s">
        <v>231</v>
      </c>
      <c r="BS397" t="s">
        <v>231</v>
      </c>
      <c r="BT397" t="s">
        <v>231</v>
      </c>
      <c r="BU397" t="s">
        <v>231</v>
      </c>
      <c r="BV397" t="s">
        <v>231</v>
      </c>
      <c r="BW397" t="s">
        <v>231</v>
      </c>
      <c r="BX397" t="s">
        <v>231</v>
      </c>
      <c r="BY397" t="s">
        <v>231</v>
      </c>
      <c r="BZ397" t="s">
        <v>231</v>
      </c>
      <c r="CA397" t="s">
        <v>231</v>
      </c>
      <c r="CB397" t="s">
        <v>231</v>
      </c>
      <c r="CC397" t="s">
        <v>231</v>
      </c>
      <c r="CD397" t="s">
        <v>231</v>
      </c>
      <c r="CE397" t="s">
        <v>231</v>
      </c>
      <c r="CF397" t="s">
        <v>231</v>
      </c>
      <c r="CG397" t="s">
        <v>231</v>
      </c>
      <c r="CH397" t="s">
        <v>231</v>
      </c>
      <c r="CI397" t="s">
        <v>231</v>
      </c>
      <c r="CJ397" t="s">
        <v>231</v>
      </c>
      <c r="CK397" t="s">
        <v>231</v>
      </c>
      <c r="CL397" t="s">
        <v>231</v>
      </c>
      <c r="CM397" t="s">
        <v>231</v>
      </c>
      <c r="CN397" t="s">
        <v>231</v>
      </c>
      <c r="CO397" t="s">
        <v>231</v>
      </c>
      <c r="CP397" t="s">
        <v>231</v>
      </c>
      <c r="CQ397" t="s">
        <v>231</v>
      </c>
      <c r="CR397" t="s">
        <v>231</v>
      </c>
      <c r="CS397" t="s">
        <v>231</v>
      </c>
      <c r="CT397" t="s">
        <v>3534</v>
      </c>
      <c r="CU397" t="s">
        <v>3535</v>
      </c>
      <c r="CV397" t="s">
        <v>3536</v>
      </c>
      <c r="CW397" t="s">
        <v>3589</v>
      </c>
      <c r="CX397" t="s">
        <v>223</v>
      </c>
      <c r="CY397" t="s">
        <v>3536</v>
      </c>
      <c r="CZ397" t="s">
        <v>3590</v>
      </c>
      <c r="DA397" t="s">
        <v>3591</v>
      </c>
      <c r="DB397" t="s">
        <v>3589</v>
      </c>
      <c r="DC397" t="s">
        <v>363</v>
      </c>
      <c r="DD397" t="s">
        <v>282</v>
      </c>
      <c r="DE397" t="s">
        <v>4839</v>
      </c>
    </row>
    <row r="398" spans="1:109" ht="11.25" customHeight="1">
      <c r="A398" s="1314" t="s">
        <v>231</v>
      </c>
      <c r="B398" t="s">
        <v>231</v>
      </c>
      <c r="C398" t="s">
        <v>231</v>
      </c>
      <c r="D398" t="s">
        <v>231</v>
      </c>
      <c r="E398" t="s">
        <v>231</v>
      </c>
      <c r="F398" t="s">
        <v>231</v>
      </c>
      <c r="G398" t="s">
        <v>231</v>
      </c>
      <c r="H398" t="s">
        <v>231</v>
      </c>
      <c r="I398" t="s">
        <v>3521</v>
      </c>
      <c r="J398" t="s">
        <v>231</v>
      </c>
      <c r="K398" t="s">
        <v>231</v>
      </c>
      <c r="L398" t="s">
        <v>231</v>
      </c>
      <c r="M398" t="s">
        <v>231</v>
      </c>
      <c r="N398" t="s">
        <v>231</v>
      </c>
      <c r="O398" t="s">
        <v>231</v>
      </c>
      <c r="P398" t="s">
        <v>231</v>
      </c>
      <c r="Q398" t="s">
        <v>231</v>
      </c>
      <c r="R398" t="s">
        <v>4918</v>
      </c>
      <c r="S398" t="s">
        <v>231</v>
      </c>
      <c r="T398" t="s">
        <v>231</v>
      </c>
      <c r="U398" t="s">
        <v>101</v>
      </c>
      <c r="V398" t="s">
        <v>231</v>
      </c>
      <c r="W398" t="s">
        <v>231</v>
      </c>
      <c r="X398" t="s">
        <v>3628</v>
      </c>
      <c r="Y398" t="s">
        <v>231</v>
      </c>
      <c r="Z398" t="s">
        <v>151</v>
      </c>
      <c r="AA398" t="s">
        <v>151</v>
      </c>
      <c r="AB398" t="s">
        <v>160</v>
      </c>
      <c r="AC398" t="s">
        <v>2289</v>
      </c>
      <c r="AD398" t="s">
        <v>2289</v>
      </c>
      <c r="AE398" t="s">
        <v>2290</v>
      </c>
      <c r="AF398" t="s">
        <v>3793</v>
      </c>
      <c r="AG398" t="s">
        <v>3794</v>
      </c>
      <c r="AH398" t="s">
        <v>3618</v>
      </c>
      <c r="AI398" t="s">
        <v>3618</v>
      </c>
      <c r="AJ398" t="s">
        <v>231</v>
      </c>
      <c r="AK398" t="s">
        <v>231</v>
      </c>
      <c r="AL398" t="s">
        <v>231</v>
      </c>
      <c r="AM398" t="s">
        <v>231</v>
      </c>
      <c r="AN398" t="s">
        <v>231</v>
      </c>
      <c r="AO398" t="s">
        <v>231</v>
      </c>
      <c r="AP398" t="s">
        <v>231</v>
      </c>
      <c r="AQ398" t="s">
        <v>231</v>
      </c>
      <c r="AR398" t="s">
        <v>231</v>
      </c>
      <c r="AS398" t="s">
        <v>231</v>
      </c>
      <c r="AT398" t="s">
        <v>231</v>
      </c>
      <c r="AU398" t="s">
        <v>231</v>
      </c>
      <c r="AV398" t="s">
        <v>231</v>
      </c>
      <c r="AW398" t="s">
        <v>231</v>
      </c>
      <c r="AX398" t="s">
        <v>231</v>
      </c>
      <c r="AY398" t="s">
        <v>231</v>
      </c>
      <c r="AZ398" t="s">
        <v>231</v>
      </c>
      <c r="BA398" t="s">
        <v>231</v>
      </c>
      <c r="BB398" t="s">
        <v>231</v>
      </c>
      <c r="BC398" t="s">
        <v>231</v>
      </c>
      <c r="BD398" t="s">
        <v>231</v>
      </c>
      <c r="BE398" t="s">
        <v>3621</v>
      </c>
      <c r="BF398" t="s">
        <v>3529</v>
      </c>
      <c r="BG398" t="s">
        <v>111</v>
      </c>
      <c r="BH398" t="s">
        <v>3632</v>
      </c>
      <c r="BI398" t="s">
        <v>122</v>
      </c>
      <c r="BJ398" t="s">
        <v>231</v>
      </c>
      <c r="BK398" t="s">
        <v>4919</v>
      </c>
      <c r="BL398" t="s">
        <v>2289</v>
      </c>
      <c r="BM398" t="s">
        <v>2289</v>
      </c>
      <c r="BN398" t="s">
        <v>3707</v>
      </c>
      <c r="BO398" t="s">
        <v>3793</v>
      </c>
      <c r="BP398" t="s">
        <v>4920</v>
      </c>
      <c r="BQ398" t="s">
        <v>3618</v>
      </c>
      <c r="BR398" t="s">
        <v>3618</v>
      </c>
      <c r="BS398" t="s">
        <v>231</v>
      </c>
      <c r="BT398" t="s">
        <v>3694</v>
      </c>
      <c r="BU398" t="s">
        <v>5043</v>
      </c>
      <c r="BV398" t="s">
        <v>5043</v>
      </c>
      <c r="BW398" t="s">
        <v>3641</v>
      </c>
      <c r="BX398" t="s">
        <v>3641</v>
      </c>
      <c r="BY398" t="s">
        <v>3641</v>
      </c>
      <c r="BZ398" t="s">
        <v>3641</v>
      </c>
      <c r="CA398" t="s">
        <v>3641</v>
      </c>
      <c r="CB398" t="s">
        <v>231</v>
      </c>
      <c r="CC398" t="s">
        <v>231</v>
      </c>
      <c r="CD398" t="s">
        <v>231</v>
      </c>
      <c r="CE398" t="s">
        <v>231</v>
      </c>
      <c r="CF398" t="s">
        <v>231</v>
      </c>
      <c r="CG398" t="s">
        <v>3641</v>
      </c>
      <c r="CH398" t="s">
        <v>231</v>
      </c>
      <c r="CI398" t="s">
        <v>231</v>
      </c>
      <c r="CJ398" t="s">
        <v>231</v>
      </c>
      <c r="CK398" t="s">
        <v>231</v>
      </c>
      <c r="CL398" t="s">
        <v>231</v>
      </c>
      <c r="CM398" t="s">
        <v>5043</v>
      </c>
      <c r="CN398" t="s">
        <v>5043</v>
      </c>
      <c r="CO398" t="s">
        <v>231</v>
      </c>
      <c r="CP398" t="s">
        <v>231</v>
      </c>
      <c r="CQ398" t="s">
        <v>231</v>
      </c>
      <c r="CR398" t="s">
        <v>231</v>
      </c>
      <c r="CS398" t="s">
        <v>3595</v>
      </c>
      <c r="CT398" t="s">
        <v>3534</v>
      </c>
      <c r="CU398" t="s">
        <v>3535</v>
      </c>
      <c r="CV398" t="s">
        <v>3536</v>
      </c>
      <c r="CW398" t="s">
        <v>3589</v>
      </c>
      <c r="CX398" t="s">
        <v>223</v>
      </c>
      <c r="CY398" t="s">
        <v>3536</v>
      </c>
      <c r="CZ398" t="s">
        <v>3590</v>
      </c>
      <c r="DA398" t="s">
        <v>3591</v>
      </c>
      <c r="DB398" t="s">
        <v>3589</v>
      </c>
      <c r="DC398" t="s">
        <v>363</v>
      </c>
      <c r="DD398" t="s">
        <v>282</v>
      </c>
      <c r="DE398" t="s">
        <v>4922</v>
      </c>
    </row>
    <row r="399" spans="1:109" ht="11.25" customHeight="1">
      <c r="A399" s="1314" t="s">
        <v>231</v>
      </c>
      <c r="B399" t="s">
        <v>231</v>
      </c>
      <c r="C399" t="s">
        <v>231</v>
      </c>
      <c r="D399" t="s">
        <v>231</v>
      </c>
      <c r="E399" t="s">
        <v>231</v>
      </c>
      <c r="F399" t="s">
        <v>231</v>
      </c>
      <c r="G399" t="s">
        <v>231</v>
      </c>
      <c r="H399" t="s">
        <v>231</v>
      </c>
      <c r="I399" t="s">
        <v>3521</v>
      </c>
      <c r="J399" t="s">
        <v>231</v>
      </c>
      <c r="K399" t="s">
        <v>231</v>
      </c>
      <c r="L399" t="s">
        <v>231</v>
      </c>
      <c r="M399" t="s">
        <v>231</v>
      </c>
      <c r="N399" t="s">
        <v>231</v>
      </c>
      <c r="O399" t="s">
        <v>231</v>
      </c>
      <c r="P399" t="s">
        <v>231</v>
      </c>
      <c r="Q399" t="s">
        <v>231</v>
      </c>
      <c r="R399" t="s">
        <v>5044</v>
      </c>
      <c r="S399" t="s">
        <v>231</v>
      </c>
      <c r="T399" t="s">
        <v>231</v>
      </c>
      <c r="U399" t="s">
        <v>101</v>
      </c>
      <c r="V399" t="s">
        <v>231</v>
      </c>
      <c r="W399" t="s">
        <v>231</v>
      </c>
      <c r="X399" t="s">
        <v>3523</v>
      </c>
      <c r="Y399" t="s">
        <v>231</v>
      </c>
      <c r="Z399" t="s">
        <v>160</v>
      </c>
      <c r="AA399" t="s">
        <v>151</v>
      </c>
      <c r="AB399" t="s">
        <v>151</v>
      </c>
      <c r="AC399" t="s">
        <v>343</v>
      </c>
      <c r="AD399" t="s">
        <v>343</v>
      </c>
      <c r="AE399" t="s">
        <v>344</v>
      </c>
      <c r="AF399" t="s">
        <v>3561</v>
      </c>
      <c r="AG399" t="s">
        <v>3562</v>
      </c>
      <c r="AH399" t="s">
        <v>3698</v>
      </c>
      <c r="AI399" t="s">
        <v>3699</v>
      </c>
      <c r="AJ399" t="s">
        <v>3603</v>
      </c>
      <c r="AK399" t="s">
        <v>3700</v>
      </c>
      <c r="AL399" t="s">
        <v>3566</v>
      </c>
      <c r="AM399" t="s">
        <v>3531</v>
      </c>
      <c r="AN399" t="s">
        <v>3701</v>
      </c>
      <c r="AO399" t="s">
        <v>3702</v>
      </c>
      <c r="AP399" t="s">
        <v>231</v>
      </c>
      <c r="AQ399" t="s">
        <v>231</v>
      </c>
      <c r="AR399" t="s">
        <v>231</v>
      </c>
      <c r="AS399" t="s">
        <v>231</v>
      </c>
      <c r="AT399" t="s">
        <v>231</v>
      </c>
      <c r="AU399" t="s">
        <v>231</v>
      </c>
      <c r="AV399" t="s">
        <v>231</v>
      </c>
      <c r="AW399" t="s">
        <v>231</v>
      </c>
      <c r="AX399" t="s">
        <v>231</v>
      </c>
      <c r="AY399" t="s">
        <v>231</v>
      </c>
      <c r="AZ399" t="s">
        <v>231</v>
      </c>
      <c r="BA399" t="s">
        <v>231</v>
      </c>
      <c r="BB399" t="s">
        <v>231</v>
      </c>
      <c r="BC399" t="s">
        <v>231</v>
      </c>
      <c r="BD399" t="s">
        <v>231</v>
      </c>
      <c r="BE399" t="s">
        <v>231</v>
      </c>
      <c r="BF399" t="s">
        <v>231</v>
      </c>
      <c r="BG399" t="s">
        <v>231</v>
      </c>
      <c r="BH399" t="s">
        <v>231</v>
      </c>
      <c r="BI399" t="s">
        <v>231</v>
      </c>
      <c r="BJ399" t="s">
        <v>231</v>
      </c>
      <c r="BK399" t="s">
        <v>231</v>
      </c>
      <c r="BL399" t="s">
        <v>231</v>
      </c>
      <c r="BM399" t="s">
        <v>231</v>
      </c>
      <c r="BN399" t="s">
        <v>231</v>
      </c>
      <c r="BO399" t="s">
        <v>231</v>
      </c>
      <c r="BP399" t="s">
        <v>231</v>
      </c>
      <c r="BQ399" t="s">
        <v>231</v>
      </c>
      <c r="BR399" t="s">
        <v>231</v>
      </c>
      <c r="BS399" t="s">
        <v>231</v>
      </c>
      <c r="BT399" t="s">
        <v>231</v>
      </c>
      <c r="BU399" t="s">
        <v>231</v>
      </c>
      <c r="BV399" t="s">
        <v>231</v>
      </c>
      <c r="BW399" t="s">
        <v>231</v>
      </c>
      <c r="BX399" t="s">
        <v>231</v>
      </c>
      <c r="BY399" t="s">
        <v>231</v>
      </c>
      <c r="BZ399" t="s">
        <v>231</v>
      </c>
      <c r="CA399" t="s">
        <v>231</v>
      </c>
      <c r="CB399" t="s">
        <v>231</v>
      </c>
      <c r="CC399" t="s">
        <v>231</v>
      </c>
      <c r="CD399" t="s">
        <v>231</v>
      </c>
      <c r="CE399" t="s">
        <v>231</v>
      </c>
      <c r="CF399" t="s">
        <v>231</v>
      </c>
      <c r="CG399" t="s">
        <v>231</v>
      </c>
      <c r="CH399" t="s">
        <v>231</v>
      </c>
      <c r="CI399" t="s">
        <v>231</v>
      </c>
      <c r="CJ399" t="s">
        <v>231</v>
      </c>
      <c r="CK399" t="s">
        <v>231</v>
      </c>
      <c r="CL399" t="s">
        <v>231</v>
      </c>
      <c r="CM399" t="s">
        <v>231</v>
      </c>
      <c r="CN399" t="s">
        <v>231</v>
      </c>
      <c r="CO399" t="s">
        <v>231</v>
      </c>
      <c r="CP399" t="s">
        <v>231</v>
      </c>
      <c r="CQ399" t="s">
        <v>231</v>
      </c>
      <c r="CR399" t="s">
        <v>231</v>
      </c>
      <c r="CS399" t="s">
        <v>231</v>
      </c>
      <c r="CT399" t="s">
        <v>3534</v>
      </c>
      <c r="CU399" t="s">
        <v>3535</v>
      </c>
      <c r="CV399" t="s">
        <v>3536</v>
      </c>
      <c r="CW399" t="s">
        <v>3569</v>
      </c>
      <c r="CX399" t="s">
        <v>3570</v>
      </c>
      <c r="CY399" t="s">
        <v>3536</v>
      </c>
      <c r="CZ399" t="s">
        <v>224</v>
      </c>
      <c r="DA399" t="s">
        <v>3571</v>
      </c>
      <c r="DB399" t="s">
        <v>3569</v>
      </c>
      <c r="DC399" t="s">
        <v>363</v>
      </c>
      <c r="DD399" t="s">
        <v>282</v>
      </c>
      <c r="DE399" t="s">
        <v>3703</v>
      </c>
    </row>
    <row r="400" spans="1:109" ht="11.25" customHeight="1">
      <c r="A400" s="1314" t="s">
        <v>231</v>
      </c>
      <c r="B400" t="s">
        <v>231</v>
      </c>
      <c r="C400" t="s">
        <v>231</v>
      </c>
      <c r="D400" t="s">
        <v>231</v>
      </c>
      <c r="E400" t="s">
        <v>231</v>
      </c>
      <c r="F400" t="s">
        <v>231</v>
      </c>
      <c r="G400" t="s">
        <v>231</v>
      </c>
      <c r="H400" t="s">
        <v>231</v>
      </c>
      <c r="I400" t="s">
        <v>3521</v>
      </c>
      <c r="J400" t="s">
        <v>231</v>
      </c>
      <c r="K400" t="s">
        <v>231</v>
      </c>
      <c r="L400" t="s">
        <v>231</v>
      </c>
      <c r="M400" t="s">
        <v>231</v>
      </c>
      <c r="N400" t="s">
        <v>231</v>
      </c>
      <c r="O400" t="s">
        <v>231</v>
      </c>
      <c r="P400" t="s">
        <v>231</v>
      </c>
      <c r="Q400" t="s">
        <v>231</v>
      </c>
      <c r="R400" t="s">
        <v>3615</v>
      </c>
      <c r="S400" t="s">
        <v>231</v>
      </c>
      <c r="T400" t="s">
        <v>231</v>
      </c>
      <c r="U400" t="s">
        <v>101</v>
      </c>
      <c r="V400" t="s">
        <v>231</v>
      </c>
      <c r="W400" t="s">
        <v>231</v>
      </c>
      <c r="X400" t="s">
        <v>3523</v>
      </c>
      <c r="Y400" t="s">
        <v>231</v>
      </c>
      <c r="Z400" t="s">
        <v>160</v>
      </c>
      <c r="AA400" t="s">
        <v>151</v>
      </c>
      <c r="AB400" t="s">
        <v>151</v>
      </c>
      <c r="AC400" t="s">
        <v>2289</v>
      </c>
      <c r="AD400" t="s">
        <v>2289</v>
      </c>
      <c r="AE400" t="s">
        <v>2290</v>
      </c>
      <c r="AF400" t="s">
        <v>3712</v>
      </c>
      <c r="AG400" t="s">
        <v>3713</v>
      </c>
      <c r="AH400" t="s">
        <v>3714</v>
      </c>
      <c r="AI400" t="s">
        <v>3715</v>
      </c>
      <c r="AJ400" t="s">
        <v>3619</v>
      </c>
      <c r="AK400" t="s">
        <v>3716</v>
      </c>
      <c r="AL400" t="s">
        <v>3548</v>
      </c>
      <c r="AM400" t="s">
        <v>3531</v>
      </c>
      <c r="AN400" t="s">
        <v>3595</v>
      </c>
      <c r="AO400" t="s">
        <v>3668</v>
      </c>
      <c r="AP400" t="s">
        <v>231</v>
      </c>
      <c r="AQ400" t="s">
        <v>231</v>
      </c>
      <c r="AR400" t="s">
        <v>231</v>
      </c>
      <c r="AS400" t="s">
        <v>231</v>
      </c>
      <c r="AT400" t="s">
        <v>231</v>
      </c>
      <c r="AU400" t="s">
        <v>231</v>
      </c>
      <c r="AV400" t="s">
        <v>231</v>
      </c>
      <c r="AW400" t="s">
        <v>231</v>
      </c>
      <c r="AX400" t="s">
        <v>231</v>
      </c>
      <c r="AY400" t="s">
        <v>231</v>
      </c>
      <c r="AZ400" t="s">
        <v>231</v>
      </c>
      <c r="BA400" t="s">
        <v>231</v>
      </c>
      <c r="BB400" t="s">
        <v>231</v>
      </c>
      <c r="BC400" t="s">
        <v>231</v>
      </c>
      <c r="BD400" t="s">
        <v>231</v>
      </c>
      <c r="BE400" t="s">
        <v>231</v>
      </c>
      <c r="BF400" t="s">
        <v>231</v>
      </c>
      <c r="BG400" t="s">
        <v>231</v>
      </c>
      <c r="BH400" t="s">
        <v>231</v>
      </c>
      <c r="BI400" t="s">
        <v>231</v>
      </c>
      <c r="BJ400" t="s">
        <v>231</v>
      </c>
      <c r="BK400" t="s">
        <v>231</v>
      </c>
      <c r="BL400" t="s">
        <v>231</v>
      </c>
      <c r="BM400" t="s">
        <v>231</v>
      </c>
      <c r="BN400" t="s">
        <v>231</v>
      </c>
      <c r="BO400" t="s">
        <v>231</v>
      </c>
      <c r="BP400" t="s">
        <v>231</v>
      </c>
      <c r="BQ400" t="s">
        <v>231</v>
      </c>
      <c r="BR400" t="s">
        <v>231</v>
      </c>
      <c r="BS400" t="s">
        <v>231</v>
      </c>
      <c r="BT400" t="s">
        <v>231</v>
      </c>
      <c r="BU400" t="s">
        <v>231</v>
      </c>
      <c r="BV400" t="s">
        <v>231</v>
      </c>
      <c r="BW400" t="s">
        <v>231</v>
      </c>
      <c r="BX400" t="s">
        <v>231</v>
      </c>
      <c r="BY400" t="s">
        <v>231</v>
      </c>
      <c r="BZ400" t="s">
        <v>231</v>
      </c>
      <c r="CA400" t="s">
        <v>231</v>
      </c>
      <c r="CB400" t="s">
        <v>231</v>
      </c>
      <c r="CC400" t="s">
        <v>231</v>
      </c>
      <c r="CD400" t="s">
        <v>231</v>
      </c>
      <c r="CE400" t="s">
        <v>231</v>
      </c>
      <c r="CF400" t="s">
        <v>231</v>
      </c>
      <c r="CG400" t="s">
        <v>231</v>
      </c>
      <c r="CH400" t="s">
        <v>231</v>
      </c>
      <c r="CI400" t="s">
        <v>231</v>
      </c>
      <c r="CJ400" t="s">
        <v>231</v>
      </c>
      <c r="CK400" t="s">
        <v>231</v>
      </c>
      <c r="CL400" t="s">
        <v>231</v>
      </c>
      <c r="CM400" t="s">
        <v>231</v>
      </c>
      <c r="CN400" t="s">
        <v>231</v>
      </c>
      <c r="CO400" t="s">
        <v>231</v>
      </c>
      <c r="CP400" t="s">
        <v>231</v>
      </c>
      <c r="CQ400" t="s">
        <v>231</v>
      </c>
      <c r="CR400" t="s">
        <v>231</v>
      </c>
      <c r="CS400" t="s">
        <v>231</v>
      </c>
      <c r="CT400" t="s">
        <v>3534</v>
      </c>
      <c r="CU400" t="s">
        <v>3535</v>
      </c>
      <c r="CV400" t="s">
        <v>3536</v>
      </c>
      <c r="CW400" t="s">
        <v>3589</v>
      </c>
      <c r="CX400" t="s">
        <v>223</v>
      </c>
      <c r="CY400" t="s">
        <v>3536</v>
      </c>
      <c r="CZ400" t="s">
        <v>3590</v>
      </c>
      <c r="DA400" t="s">
        <v>3591</v>
      </c>
      <c r="DB400" t="s">
        <v>3589</v>
      </c>
      <c r="DC400" t="s">
        <v>363</v>
      </c>
      <c r="DD400" t="s">
        <v>282</v>
      </c>
      <c r="DE400" t="s">
        <v>3717</v>
      </c>
    </row>
    <row r="401" spans="1:109" ht="11.25" customHeight="1">
      <c r="A401" s="1314" t="s">
        <v>231</v>
      </c>
      <c r="B401" t="s">
        <v>231</v>
      </c>
      <c r="C401" t="s">
        <v>231</v>
      </c>
      <c r="D401" t="s">
        <v>231</v>
      </c>
      <c r="E401" t="s">
        <v>231</v>
      </c>
      <c r="F401" t="s">
        <v>231</v>
      </c>
      <c r="G401" t="s">
        <v>231</v>
      </c>
      <c r="H401" t="s">
        <v>231</v>
      </c>
      <c r="I401" t="s">
        <v>3521</v>
      </c>
      <c r="J401" t="s">
        <v>231</v>
      </c>
      <c r="K401" t="s">
        <v>231</v>
      </c>
      <c r="L401" t="s">
        <v>231</v>
      </c>
      <c r="M401" t="s">
        <v>231</v>
      </c>
      <c r="N401" t="s">
        <v>231</v>
      </c>
      <c r="O401" t="s">
        <v>231</v>
      </c>
      <c r="P401" t="s">
        <v>231</v>
      </c>
      <c r="Q401" t="s">
        <v>231</v>
      </c>
      <c r="R401" t="s">
        <v>3718</v>
      </c>
      <c r="S401" t="s">
        <v>231</v>
      </c>
      <c r="T401" t="s">
        <v>231</v>
      </c>
      <c r="U401" t="s">
        <v>101</v>
      </c>
      <c r="V401" t="s">
        <v>231</v>
      </c>
      <c r="W401" t="s">
        <v>231</v>
      </c>
      <c r="X401" t="s">
        <v>3628</v>
      </c>
      <c r="Y401" t="s">
        <v>231</v>
      </c>
      <c r="Z401" t="s">
        <v>151</v>
      </c>
      <c r="AA401" t="s">
        <v>151</v>
      </c>
      <c r="AB401" t="s">
        <v>160</v>
      </c>
      <c r="AC401" t="s">
        <v>2289</v>
      </c>
      <c r="AD401" t="s">
        <v>2289</v>
      </c>
      <c r="AE401" t="s">
        <v>2290</v>
      </c>
      <c r="AF401" t="s">
        <v>3712</v>
      </c>
      <c r="AG401" t="s">
        <v>3713</v>
      </c>
      <c r="AH401" t="s">
        <v>3618</v>
      </c>
      <c r="AI401" t="s">
        <v>3618</v>
      </c>
      <c r="AJ401" t="s">
        <v>231</v>
      </c>
      <c r="AK401" t="s">
        <v>231</v>
      </c>
      <c r="AL401" t="s">
        <v>231</v>
      </c>
      <c r="AM401" t="s">
        <v>231</v>
      </c>
      <c r="AN401" t="s">
        <v>231</v>
      </c>
      <c r="AO401" t="s">
        <v>231</v>
      </c>
      <c r="AP401" t="s">
        <v>231</v>
      </c>
      <c r="AQ401" t="s">
        <v>231</v>
      </c>
      <c r="AR401" t="s">
        <v>231</v>
      </c>
      <c r="AS401" t="s">
        <v>231</v>
      </c>
      <c r="AT401" t="s">
        <v>231</v>
      </c>
      <c r="AU401" t="s">
        <v>231</v>
      </c>
      <c r="AV401" t="s">
        <v>231</v>
      </c>
      <c r="AW401" t="s">
        <v>231</v>
      </c>
      <c r="AX401" t="s">
        <v>231</v>
      </c>
      <c r="AY401" t="s">
        <v>231</v>
      </c>
      <c r="AZ401" t="s">
        <v>231</v>
      </c>
      <c r="BA401" t="s">
        <v>231</v>
      </c>
      <c r="BB401" t="s">
        <v>231</v>
      </c>
      <c r="BC401" t="s">
        <v>231</v>
      </c>
      <c r="BD401" t="s">
        <v>231</v>
      </c>
      <c r="BE401" t="s">
        <v>3594</v>
      </c>
      <c r="BF401" t="s">
        <v>3586</v>
      </c>
      <c r="BG401" t="s">
        <v>111</v>
      </c>
      <c r="BH401" t="s">
        <v>3632</v>
      </c>
      <c r="BI401" t="s">
        <v>122</v>
      </c>
      <c r="BJ401" t="s">
        <v>231</v>
      </c>
      <c r="BK401" t="s">
        <v>3651</v>
      </c>
      <c r="BL401" t="s">
        <v>2289</v>
      </c>
      <c r="BM401" t="s">
        <v>2289</v>
      </c>
      <c r="BN401" t="s">
        <v>3707</v>
      </c>
      <c r="BO401" t="s">
        <v>3712</v>
      </c>
      <c r="BP401" t="s">
        <v>3719</v>
      </c>
      <c r="BQ401" t="s">
        <v>3618</v>
      </c>
      <c r="BR401" t="s">
        <v>3618</v>
      </c>
      <c r="BS401" t="s">
        <v>231</v>
      </c>
      <c r="BT401" t="s">
        <v>3694</v>
      </c>
      <c r="BU401" t="s">
        <v>3720</v>
      </c>
      <c r="BV401" t="s">
        <v>3720</v>
      </c>
      <c r="BW401" t="s">
        <v>3641</v>
      </c>
      <c r="BX401" t="s">
        <v>3641</v>
      </c>
      <c r="BY401" t="s">
        <v>3641</v>
      </c>
      <c r="BZ401" t="s">
        <v>3641</v>
      </c>
      <c r="CA401" t="s">
        <v>3641</v>
      </c>
      <c r="CB401" t="s">
        <v>231</v>
      </c>
      <c r="CC401" t="s">
        <v>231</v>
      </c>
      <c r="CD401" t="s">
        <v>231</v>
      </c>
      <c r="CE401" t="s">
        <v>231</v>
      </c>
      <c r="CF401" t="s">
        <v>231</v>
      </c>
      <c r="CG401" t="s">
        <v>3641</v>
      </c>
      <c r="CH401" t="s">
        <v>231</v>
      </c>
      <c r="CI401" t="s">
        <v>231</v>
      </c>
      <c r="CJ401" t="s">
        <v>231</v>
      </c>
      <c r="CK401" t="s">
        <v>231</v>
      </c>
      <c r="CL401" t="s">
        <v>231</v>
      </c>
      <c r="CM401" t="s">
        <v>3720</v>
      </c>
      <c r="CN401" t="s">
        <v>3720</v>
      </c>
      <c r="CO401" t="s">
        <v>231</v>
      </c>
      <c r="CP401" t="s">
        <v>231</v>
      </c>
      <c r="CQ401" t="s">
        <v>231</v>
      </c>
      <c r="CR401" t="s">
        <v>231</v>
      </c>
      <c r="CS401" t="s">
        <v>3710</v>
      </c>
      <c r="CT401" t="s">
        <v>3534</v>
      </c>
      <c r="CU401" t="s">
        <v>3535</v>
      </c>
      <c r="CV401" t="s">
        <v>3536</v>
      </c>
      <c r="CW401" t="s">
        <v>3589</v>
      </c>
      <c r="CX401" t="s">
        <v>223</v>
      </c>
      <c r="CY401" t="s">
        <v>3536</v>
      </c>
      <c r="CZ401" t="s">
        <v>3590</v>
      </c>
      <c r="DA401" t="s">
        <v>3591</v>
      </c>
      <c r="DB401" t="s">
        <v>3589</v>
      </c>
      <c r="DC401" t="s">
        <v>363</v>
      </c>
      <c r="DD401" t="s">
        <v>282</v>
      </c>
      <c r="DE401" t="s">
        <v>3721</v>
      </c>
    </row>
    <row r="402" spans="1:109" ht="11.25" customHeight="1">
      <c r="A402" s="1314" t="s">
        <v>231</v>
      </c>
      <c r="B402" t="s">
        <v>231</v>
      </c>
      <c r="C402" t="s">
        <v>231</v>
      </c>
      <c r="D402" t="s">
        <v>231</v>
      </c>
      <c r="E402" t="s">
        <v>231</v>
      </c>
      <c r="F402" t="s">
        <v>231</v>
      </c>
      <c r="G402" t="s">
        <v>231</v>
      </c>
      <c r="H402" t="s">
        <v>231</v>
      </c>
      <c r="I402" t="s">
        <v>3521</v>
      </c>
      <c r="J402" t="s">
        <v>231</v>
      </c>
      <c r="K402" t="s">
        <v>231</v>
      </c>
      <c r="L402" t="s">
        <v>231</v>
      </c>
      <c r="M402" t="s">
        <v>231</v>
      </c>
      <c r="N402" t="s">
        <v>231</v>
      </c>
      <c r="O402" t="s">
        <v>231</v>
      </c>
      <c r="P402" t="s">
        <v>231</v>
      </c>
      <c r="Q402" t="s">
        <v>231</v>
      </c>
      <c r="R402" t="s">
        <v>3615</v>
      </c>
      <c r="S402" t="s">
        <v>231</v>
      </c>
      <c r="T402" t="s">
        <v>231</v>
      </c>
      <c r="U402" t="s">
        <v>101</v>
      </c>
      <c r="V402" t="s">
        <v>231</v>
      </c>
      <c r="W402" t="s">
        <v>231</v>
      </c>
      <c r="X402" t="s">
        <v>3523</v>
      </c>
      <c r="Y402" t="s">
        <v>231</v>
      </c>
      <c r="Z402" t="s">
        <v>160</v>
      </c>
      <c r="AA402" t="s">
        <v>151</v>
      </c>
      <c r="AB402" t="s">
        <v>151</v>
      </c>
      <c r="AC402" t="s">
        <v>2289</v>
      </c>
      <c r="AD402" t="s">
        <v>2289</v>
      </c>
      <c r="AE402" t="s">
        <v>2290</v>
      </c>
      <c r="AF402" t="s">
        <v>3726</v>
      </c>
      <c r="AG402" t="s">
        <v>3727</v>
      </c>
      <c r="AH402" t="s">
        <v>3728</v>
      </c>
      <c r="AI402" t="s">
        <v>1666</v>
      </c>
      <c r="AJ402" t="s">
        <v>3594</v>
      </c>
      <c r="AK402" t="s">
        <v>3586</v>
      </c>
      <c r="AL402" t="s">
        <v>3548</v>
      </c>
      <c r="AM402" t="s">
        <v>3531</v>
      </c>
      <c r="AN402" t="s">
        <v>3595</v>
      </c>
      <c r="AO402" t="s">
        <v>3668</v>
      </c>
      <c r="AP402" t="s">
        <v>231</v>
      </c>
      <c r="AQ402" t="s">
        <v>231</v>
      </c>
      <c r="AR402" t="s">
        <v>231</v>
      </c>
      <c r="AS402" t="s">
        <v>231</v>
      </c>
      <c r="AT402" t="s">
        <v>231</v>
      </c>
      <c r="AU402" t="s">
        <v>231</v>
      </c>
      <c r="AV402" t="s">
        <v>231</v>
      </c>
      <c r="AW402" t="s">
        <v>231</v>
      </c>
      <c r="AX402" t="s">
        <v>231</v>
      </c>
      <c r="AY402" t="s">
        <v>231</v>
      </c>
      <c r="AZ402" t="s">
        <v>231</v>
      </c>
      <c r="BA402" t="s">
        <v>231</v>
      </c>
      <c r="BB402" t="s">
        <v>231</v>
      </c>
      <c r="BC402" t="s">
        <v>231</v>
      </c>
      <c r="BD402" t="s">
        <v>231</v>
      </c>
      <c r="BE402" t="s">
        <v>231</v>
      </c>
      <c r="BF402" t="s">
        <v>231</v>
      </c>
      <c r="BG402" t="s">
        <v>231</v>
      </c>
      <c r="BH402" t="s">
        <v>231</v>
      </c>
      <c r="BI402" t="s">
        <v>231</v>
      </c>
      <c r="BJ402" t="s">
        <v>231</v>
      </c>
      <c r="BK402" t="s">
        <v>231</v>
      </c>
      <c r="BL402" t="s">
        <v>231</v>
      </c>
      <c r="BM402" t="s">
        <v>231</v>
      </c>
      <c r="BN402" t="s">
        <v>231</v>
      </c>
      <c r="BO402" t="s">
        <v>231</v>
      </c>
      <c r="BP402" t="s">
        <v>231</v>
      </c>
      <c r="BQ402" t="s">
        <v>231</v>
      </c>
      <c r="BR402" t="s">
        <v>231</v>
      </c>
      <c r="BS402" t="s">
        <v>231</v>
      </c>
      <c r="BT402" t="s">
        <v>231</v>
      </c>
      <c r="BU402" t="s">
        <v>231</v>
      </c>
      <c r="BV402" t="s">
        <v>231</v>
      </c>
      <c r="BW402" t="s">
        <v>231</v>
      </c>
      <c r="BX402" t="s">
        <v>231</v>
      </c>
      <c r="BY402" t="s">
        <v>231</v>
      </c>
      <c r="BZ402" t="s">
        <v>231</v>
      </c>
      <c r="CA402" t="s">
        <v>231</v>
      </c>
      <c r="CB402" t="s">
        <v>231</v>
      </c>
      <c r="CC402" t="s">
        <v>231</v>
      </c>
      <c r="CD402" t="s">
        <v>231</v>
      </c>
      <c r="CE402" t="s">
        <v>231</v>
      </c>
      <c r="CF402" t="s">
        <v>231</v>
      </c>
      <c r="CG402" t="s">
        <v>231</v>
      </c>
      <c r="CH402" t="s">
        <v>231</v>
      </c>
      <c r="CI402" t="s">
        <v>231</v>
      </c>
      <c r="CJ402" t="s">
        <v>231</v>
      </c>
      <c r="CK402" t="s">
        <v>231</v>
      </c>
      <c r="CL402" t="s">
        <v>231</v>
      </c>
      <c r="CM402" t="s">
        <v>231</v>
      </c>
      <c r="CN402" t="s">
        <v>231</v>
      </c>
      <c r="CO402" t="s">
        <v>231</v>
      </c>
      <c r="CP402" t="s">
        <v>231</v>
      </c>
      <c r="CQ402" t="s">
        <v>231</v>
      </c>
      <c r="CR402" t="s">
        <v>231</v>
      </c>
      <c r="CS402" t="s">
        <v>231</v>
      </c>
      <c r="CT402" t="s">
        <v>3534</v>
      </c>
      <c r="CU402" t="s">
        <v>3535</v>
      </c>
      <c r="CV402" t="s">
        <v>3536</v>
      </c>
      <c r="CW402" t="s">
        <v>3589</v>
      </c>
      <c r="CX402" t="s">
        <v>223</v>
      </c>
      <c r="CY402" t="s">
        <v>3536</v>
      </c>
      <c r="CZ402" t="s">
        <v>3590</v>
      </c>
      <c r="DA402" t="s">
        <v>3591</v>
      </c>
      <c r="DB402" t="s">
        <v>3589</v>
      </c>
      <c r="DC402" t="s">
        <v>363</v>
      </c>
      <c r="DD402" t="s">
        <v>282</v>
      </c>
      <c r="DE402" t="s">
        <v>3729</v>
      </c>
    </row>
    <row r="403" spans="1:109" ht="11.25" customHeight="1">
      <c r="A403" s="1314" t="s">
        <v>231</v>
      </c>
      <c r="B403" t="s">
        <v>231</v>
      </c>
      <c r="C403" t="s">
        <v>231</v>
      </c>
      <c r="D403" t="s">
        <v>231</v>
      </c>
      <c r="E403" t="s">
        <v>231</v>
      </c>
      <c r="F403" t="s">
        <v>231</v>
      </c>
      <c r="G403" t="s">
        <v>231</v>
      </c>
      <c r="H403" t="s">
        <v>231</v>
      </c>
      <c r="I403" t="s">
        <v>3521</v>
      </c>
      <c r="J403" t="s">
        <v>231</v>
      </c>
      <c r="K403" t="s">
        <v>231</v>
      </c>
      <c r="L403" t="s">
        <v>231</v>
      </c>
      <c r="M403" t="s">
        <v>231</v>
      </c>
      <c r="N403" t="s">
        <v>231</v>
      </c>
      <c r="O403" t="s">
        <v>231</v>
      </c>
      <c r="P403" t="s">
        <v>231</v>
      </c>
      <c r="Q403" t="s">
        <v>231</v>
      </c>
      <c r="R403" t="s">
        <v>3615</v>
      </c>
      <c r="S403" t="s">
        <v>231</v>
      </c>
      <c r="T403" t="s">
        <v>231</v>
      </c>
      <c r="U403" t="s">
        <v>101</v>
      </c>
      <c r="V403" t="s">
        <v>231</v>
      </c>
      <c r="W403" t="s">
        <v>231</v>
      </c>
      <c r="X403" t="s">
        <v>3523</v>
      </c>
      <c r="Y403" t="s">
        <v>231</v>
      </c>
      <c r="Z403" t="s">
        <v>160</v>
      </c>
      <c r="AA403" t="s">
        <v>151</v>
      </c>
      <c r="AB403" t="s">
        <v>151</v>
      </c>
      <c r="AC403" t="s">
        <v>2289</v>
      </c>
      <c r="AD403" t="s">
        <v>2289</v>
      </c>
      <c r="AE403" t="s">
        <v>2290</v>
      </c>
      <c r="AF403" t="s">
        <v>3730</v>
      </c>
      <c r="AG403" t="s">
        <v>3731</v>
      </c>
      <c r="AH403" t="s">
        <v>3732</v>
      </c>
      <c r="AI403" t="s">
        <v>3655</v>
      </c>
      <c r="AJ403" t="s">
        <v>3594</v>
      </c>
      <c r="AK403" t="s">
        <v>3586</v>
      </c>
      <c r="AL403" t="s">
        <v>3548</v>
      </c>
      <c r="AM403" t="s">
        <v>3531</v>
      </c>
      <c r="AN403" t="s">
        <v>3587</v>
      </c>
      <c r="AO403" t="s">
        <v>3724</v>
      </c>
      <c r="AP403" t="s">
        <v>231</v>
      </c>
      <c r="AQ403" t="s">
        <v>231</v>
      </c>
      <c r="AR403" t="s">
        <v>231</v>
      </c>
      <c r="AS403" t="s">
        <v>231</v>
      </c>
      <c r="AT403" t="s">
        <v>231</v>
      </c>
      <c r="AU403" t="s">
        <v>231</v>
      </c>
      <c r="AV403" t="s">
        <v>231</v>
      </c>
      <c r="AW403" t="s">
        <v>231</v>
      </c>
      <c r="AX403" t="s">
        <v>231</v>
      </c>
      <c r="AY403" t="s">
        <v>231</v>
      </c>
      <c r="AZ403" t="s">
        <v>231</v>
      </c>
      <c r="BA403" t="s">
        <v>231</v>
      </c>
      <c r="BB403" t="s">
        <v>231</v>
      </c>
      <c r="BC403" t="s">
        <v>231</v>
      </c>
      <c r="BD403" t="s">
        <v>231</v>
      </c>
      <c r="BE403" t="s">
        <v>231</v>
      </c>
      <c r="BF403" t="s">
        <v>231</v>
      </c>
      <c r="BG403" t="s">
        <v>231</v>
      </c>
      <c r="BH403" t="s">
        <v>231</v>
      </c>
      <c r="BI403" t="s">
        <v>231</v>
      </c>
      <c r="BJ403" t="s">
        <v>231</v>
      </c>
      <c r="BK403" t="s">
        <v>231</v>
      </c>
      <c r="BL403" t="s">
        <v>231</v>
      </c>
      <c r="BM403" t="s">
        <v>231</v>
      </c>
      <c r="BN403" t="s">
        <v>231</v>
      </c>
      <c r="BO403" t="s">
        <v>231</v>
      </c>
      <c r="BP403" t="s">
        <v>231</v>
      </c>
      <c r="BQ403" t="s">
        <v>231</v>
      </c>
      <c r="BR403" t="s">
        <v>231</v>
      </c>
      <c r="BS403" t="s">
        <v>231</v>
      </c>
      <c r="BT403" t="s">
        <v>231</v>
      </c>
      <c r="BU403" t="s">
        <v>231</v>
      </c>
      <c r="BV403" t="s">
        <v>231</v>
      </c>
      <c r="BW403" t="s">
        <v>231</v>
      </c>
      <c r="BX403" t="s">
        <v>231</v>
      </c>
      <c r="BY403" t="s">
        <v>231</v>
      </c>
      <c r="BZ403" t="s">
        <v>231</v>
      </c>
      <c r="CA403" t="s">
        <v>231</v>
      </c>
      <c r="CB403" t="s">
        <v>231</v>
      </c>
      <c r="CC403" t="s">
        <v>231</v>
      </c>
      <c r="CD403" t="s">
        <v>231</v>
      </c>
      <c r="CE403" t="s">
        <v>231</v>
      </c>
      <c r="CF403" t="s">
        <v>231</v>
      </c>
      <c r="CG403" t="s">
        <v>231</v>
      </c>
      <c r="CH403" t="s">
        <v>231</v>
      </c>
      <c r="CI403" t="s">
        <v>231</v>
      </c>
      <c r="CJ403" t="s">
        <v>231</v>
      </c>
      <c r="CK403" t="s">
        <v>231</v>
      </c>
      <c r="CL403" t="s">
        <v>231</v>
      </c>
      <c r="CM403" t="s">
        <v>231</v>
      </c>
      <c r="CN403" t="s">
        <v>231</v>
      </c>
      <c r="CO403" t="s">
        <v>231</v>
      </c>
      <c r="CP403" t="s">
        <v>231</v>
      </c>
      <c r="CQ403" t="s">
        <v>231</v>
      </c>
      <c r="CR403" t="s">
        <v>231</v>
      </c>
      <c r="CS403" t="s">
        <v>231</v>
      </c>
      <c r="CT403" t="s">
        <v>3534</v>
      </c>
      <c r="CU403" t="s">
        <v>3535</v>
      </c>
      <c r="CV403" t="s">
        <v>3536</v>
      </c>
      <c r="CW403" t="s">
        <v>3589</v>
      </c>
      <c r="CX403" t="s">
        <v>223</v>
      </c>
      <c r="CY403" t="s">
        <v>3536</v>
      </c>
      <c r="CZ403" t="s">
        <v>3590</v>
      </c>
      <c r="DA403" t="s">
        <v>3591</v>
      </c>
      <c r="DB403" t="s">
        <v>3589</v>
      </c>
      <c r="DC403" t="s">
        <v>363</v>
      </c>
      <c r="DD403" t="s">
        <v>282</v>
      </c>
      <c r="DE403" t="s">
        <v>3733</v>
      </c>
    </row>
    <row r="404" spans="1:109" ht="11.25" customHeight="1">
      <c r="A404" s="1314" t="s">
        <v>231</v>
      </c>
      <c r="B404" t="s">
        <v>231</v>
      </c>
      <c r="C404" t="s">
        <v>231</v>
      </c>
      <c r="D404" t="s">
        <v>231</v>
      </c>
      <c r="E404" t="s">
        <v>231</v>
      </c>
      <c r="F404" t="s">
        <v>231</v>
      </c>
      <c r="G404" t="s">
        <v>231</v>
      </c>
      <c r="H404" t="s">
        <v>231</v>
      </c>
      <c r="I404" t="s">
        <v>3521</v>
      </c>
      <c r="J404" t="s">
        <v>231</v>
      </c>
      <c r="K404" t="s">
        <v>231</v>
      </c>
      <c r="L404" t="s">
        <v>231</v>
      </c>
      <c r="M404" t="s">
        <v>231</v>
      </c>
      <c r="N404" t="s">
        <v>231</v>
      </c>
      <c r="O404" t="s">
        <v>231</v>
      </c>
      <c r="P404" t="s">
        <v>231</v>
      </c>
      <c r="Q404" t="s">
        <v>231</v>
      </c>
      <c r="R404" t="s">
        <v>3734</v>
      </c>
      <c r="S404" t="s">
        <v>231</v>
      </c>
      <c r="T404" t="s">
        <v>231</v>
      </c>
      <c r="U404" t="s">
        <v>101</v>
      </c>
      <c r="V404" t="s">
        <v>231</v>
      </c>
      <c r="W404" t="s">
        <v>231</v>
      </c>
      <c r="X404" t="s">
        <v>3523</v>
      </c>
      <c r="Y404" t="s">
        <v>231</v>
      </c>
      <c r="Z404" t="s">
        <v>160</v>
      </c>
      <c r="AA404" t="s">
        <v>151</v>
      </c>
      <c r="AB404" t="s">
        <v>151</v>
      </c>
      <c r="AC404" t="s">
        <v>2289</v>
      </c>
      <c r="AD404" t="s">
        <v>2289</v>
      </c>
      <c r="AE404" t="s">
        <v>2290</v>
      </c>
      <c r="AF404" t="s">
        <v>3735</v>
      </c>
      <c r="AG404" t="s">
        <v>3736</v>
      </c>
      <c r="AH404" t="s">
        <v>3737</v>
      </c>
      <c r="AI404" t="s">
        <v>3738</v>
      </c>
      <c r="AJ404" t="s">
        <v>3546</v>
      </c>
      <c r="AK404" t="s">
        <v>3586</v>
      </c>
      <c r="AL404" t="s">
        <v>3548</v>
      </c>
      <c r="AM404" t="s">
        <v>3531</v>
      </c>
      <c r="AN404" t="s">
        <v>3587</v>
      </c>
      <c r="AO404" t="s">
        <v>3739</v>
      </c>
      <c r="AP404" t="s">
        <v>231</v>
      </c>
      <c r="AQ404" t="s">
        <v>231</v>
      </c>
      <c r="AR404" t="s">
        <v>231</v>
      </c>
      <c r="AS404" t="s">
        <v>231</v>
      </c>
      <c r="AT404" t="s">
        <v>231</v>
      </c>
      <c r="AU404" t="s">
        <v>231</v>
      </c>
      <c r="AV404" t="s">
        <v>231</v>
      </c>
      <c r="AW404" t="s">
        <v>231</v>
      </c>
      <c r="AX404" t="s">
        <v>231</v>
      </c>
      <c r="AY404" t="s">
        <v>231</v>
      </c>
      <c r="AZ404" t="s">
        <v>231</v>
      </c>
      <c r="BA404" t="s">
        <v>231</v>
      </c>
      <c r="BB404" t="s">
        <v>231</v>
      </c>
      <c r="BC404" t="s">
        <v>231</v>
      </c>
      <c r="BD404" t="s">
        <v>231</v>
      </c>
      <c r="BE404" t="s">
        <v>231</v>
      </c>
      <c r="BF404" t="s">
        <v>231</v>
      </c>
      <c r="BG404" t="s">
        <v>231</v>
      </c>
      <c r="BH404" t="s">
        <v>231</v>
      </c>
      <c r="BI404" t="s">
        <v>231</v>
      </c>
      <c r="BJ404" t="s">
        <v>231</v>
      </c>
      <c r="BK404" t="s">
        <v>231</v>
      </c>
      <c r="BL404" t="s">
        <v>231</v>
      </c>
      <c r="BM404" t="s">
        <v>231</v>
      </c>
      <c r="BN404" t="s">
        <v>231</v>
      </c>
      <c r="BO404" t="s">
        <v>231</v>
      </c>
      <c r="BP404" t="s">
        <v>231</v>
      </c>
      <c r="BQ404" t="s">
        <v>231</v>
      </c>
      <c r="BR404" t="s">
        <v>231</v>
      </c>
      <c r="BS404" t="s">
        <v>231</v>
      </c>
      <c r="BT404" t="s">
        <v>231</v>
      </c>
      <c r="BU404" t="s">
        <v>231</v>
      </c>
      <c r="BV404" t="s">
        <v>231</v>
      </c>
      <c r="BW404" t="s">
        <v>231</v>
      </c>
      <c r="BX404" t="s">
        <v>231</v>
      </c>
      <c r="BY404" t="s">
        <v>231</v>
      </c>
      <c r="BZ404" t="s">
        <v>231</v>
      </c>
      <c r="CA404" t="s">
        <v>231</v>
      </c>
      <c r="CB404" t="s">
        <v>231</v>
      </c>
      <c r="CC404" t="s">
        <v>231</v>
      </c>
      <c r="CD404" t="s">
        <v>231</v>
      </c>
      <c r="CE404" t="s">
        <v>231</v>
      </c>
      <c r="CF404" t="s">
        <v>231</v>
      </c>
      <c r="CG404" t="s">
        <v>231</v>
      </c>
      <c r="CH404" t="s">
        <v>231</v>
      </c>
      <c r="CI404" t="s">
        <v>231</v>
      </c>
      <c r="CJ404" t="s">
        <v>231</v>
      </c>
      <c r="CK404" t="s">
        <v>231</v>
      </c>
      <c r="CL404" t="s">
        <v>231</v>
      </c>
      <c r="CM404" t="s">
        <v>231</v>
      </c>
      <c r="CN404" t="s">
        <v>231</v>
      </c>
      <c r="CO404" t="s">
        <v>231</v>
      </c>
      <c r="CP404" t="s">
        <v>231</v>
      </c>
      <c r="CQ404" t="s">
        <v>231</v>
      </c>
      <c r="CR404" t="s">
        <v>231</v>
      </c>
      <c r="CS404" t="s">
        <v>231</v>
      </c>
      <c r="CT404" t="s">
        <v>3534</v>
      </c>
      <c r="CU404" t="s">
        <v>3535</v>
      </c>
      <c r="CV404" t="s">
        <v>3536</v>
      </c>
      <c r="CW404" t="s">
        <v>3589</v>
      </c>
      <c r="CX404" t="s">
        <v>223</v>
      </c>
      <c r="CY404" t="s">
        <v>3536</v>
      </c>
      <c r="CZ404" t="s">
        <v>3590</v>
      </c>
      <c r="DA404" t="s">
        <v>3591</v>
      </c>
      <c r="DB404" t="s">
        <v>3589</v>
      </c>
      <c r="DC404" t="s">
        <v>363</v>
      </c>
      <c r="DD404" t="s">
        <v>282</v>
      </c>
      <c r="DE404" t="s">
        <v>3740</v>
      </c>
    </row>
    <row r="405" spans="1:109" ht="11.25" customHeight="1">
      <c r="A405" s="1314" t="s">
        <v>231</v>
      </c>
      <c r="B405" t="s">
        <v>231</v>
      </c>
      <c r="C405" t="s">
        <v>231</v>
      </c>
      <c r="D405" t="s">
        <v>231</v>
      </c>
      <c r="E405" t="s">
        <v>231</v>
      </c>
      <c r="F405" t="s">
        <v>231</v>
      </c>
      <c r="G405" t="s">
        <v>231</v>
      </c>
      <c r="H405" t="s">
        <v>231</v>
      </c>
      <c r="I405" t="s">
        <v>3521</v>
      </c>
      <c r="J405" t="s">
        <v>231</v>
      </c>
      <c r="K405" t="s">
        <v>231</v>
      </c>
      <c r="L405" t="s">
        <v>231</v>
      </c>
      <c r="M405" t="s">
        <v>231</v>
      </c>
      <c r="N405" t="s">
        <v>231</v>
      </c>
      <c r="O405" t="s">
        <v>231</v>
      </c>
      <c r="P405" t="s">
        <v>231</v>
      </c>
      <c r="Q405" t="s">
        <v>231</v>
      </c>
      <c r="R405" t="s">
        <v>3615</v>
      </c>
      <c r="S405" t="s">
        <v>231</v>
      </c>
      <c r="T405" t="s">
        <v>231</v>
      </c>
      <c r="U405" t="s">
        <v>101</v>
      </c>
      <c r="V405" t="s">
        <v>231</v>
      </c>
      <c r="W405" t="s">
        <v>231</v>
      </c>
      <c r="X405" t="s">
        <v>3523</v>
      </c>
      <c r="Y405" t="s">
        <v>231</v>
      </c>
      <c r="Z405" t="s">
        <v>160</v>
      </c>
      <c r="AA405" t="s">
        <v>151</v>
      </c>
      <c r="AB405" t="s">
        <v>151</v>
      </c>
      <c r="AC405" t="s">
        <v>2287</v>
      </c>
      <c r="AD405" t="s">
        <v>2287</v>
      </c>
      <c r="AE405" t="s">
        <v>2288</v>
      </c>
      <c r="AF405" t="s">
        <v>4554</v>
      </c>
      <c r="AG405" t="s">
        <v>4555</v>
      </c>
      <c r="AH405" t="s">
        <v>4031</v>
      </c>
      <c r="AI405" t="s">
        <v>3618</v>
      </c>
      <c r="AJ405" t="s">
        <v>3619</v>
      </c>
      <c r="AK405" t="s">
        <v>3858</v>
      </c>
      <c r="AL405" t="s">
        <v>3548</v>
      </c>
      <c r="AM405" t="s">
        <v>3531</v>
      </c>
      <c r="AN405" t="s">
        <v>3621</v>
      </c>
      <c r="AO405" t="s">
        <v>3668</v>
      </c>
      <c r="AP405" t="s">
        <v>231</v>
      </c>
      <c r="AQ405" t="s">
        <v>231</v>
      </c>
      <c r="AR405" t="s">
        <v>231</v>
      </c>
      <c r="AS405" t="s">
        <v>231</v>
      </c>
      <c r="AT405" t="s">
        <v>231</v>
      </c>
      <c r="AU405" t="s">
        <v>231</v>
      </c>
      <c r="AV405" t="s">
        <v>231</v>
      </c>
      <c r="AW405" t="s">
        <v>231</v>
      </c>
      <c r="AX405" t="s">
        <v>231</v>
      </c>
      <c r="AY405" t="s">
        <v>231</v>
      </c>
      <c r="AZ405" t="s">
        <v>231</v>
      </c>
      <c r="BA405" t="s">
        <v>231</v>
      </c>
      <c r="BB405" t="s">
        <v>231</v>
      </c>
      <c r="BC405" t="s">
        <v>231</v>
      </c>
      <c r="BD405" t="s">
        <v>231</v>
      </c>
      <c r="BE405" t="s">
        <v>231</v>
      </c>
      <c r="BF405" t="s">
        <v>231</v>
      </c>
      <c r="BG405" t="s">
        <v>231</v>
      </c>
      <c r="BH405" t="s">
        <v>231</v>
      </c>
      <c r="BI405" t="s">
        <v>231</v>
      </c>
      <c r="BJ405" t="s">
        <v>231</v>
      </c>
      <c r="BK405" t="s">
        <v>231</v>
      </c>
      <c r="BL405" t="s">
        <v>231</v>
      </c>
      <c r="BM405" t="s">
        <v>231</v>
      </c>
      <c r="BN405" t="s">
        <v>231</v>
      </c>
      <c r="BO405" t="s">
        <v>231</v>
      </c>
      <c r="BP405" t="s">
        <v>231</v>
      </c>
      <c r="BQ405" t="s">
        <v>231</v>
      </c>
      <c r="BR405" t="s">
        <v>231</v>
      </c>
      <c r="BS405" t="s">
        <v>231</v>
      </c>
      <c r="BT405" t="s">
        <v>231</v>
      </c>
      <c r="BU405" t="s">
        <v>231</v>
      </c>
      <c r="BV405" t="s">
        <v>231</v>
      </c>
      <c r="BW405" t="s">
        <v>231</v>
      </c>
      <c r="BX405" t="s">
        <v>231</v>
      </c>
      <c r="BY405" t="s">
        <v>231</v>
      </c>
      <c r="BZ405" t="s">
        <v>231</v>
      </c>
      <c r="CA405" t="s">
        <v>231</v>
      </c>
      <c r="CB405" t="s">
        <v>231</v>
      </c>
      <c r="CC405" t="s">
        <v>231</v>
      </c>
      <c r="CD405" t="s">
        <v>231</v>
      </c>
      <c r="CE405" t="s">
        <v>231</v>
      </c>
      <c r="CF405" t="s">
        <v>231</v>
      </c>
      <c r="CG405" t="s">
        <v>231</v>
      </c>
      <c r="CH405" t="s">
        <v>231</v>
      </c>
      <c r="CI405" t="s">
        <v>231</v>
      </c>
      <c r="CJ405" t="s">
        <v>231</v>
      </c>
      <c r="CK405" t="s">
        <v>231</v>
      </c>
      <c r="CL405" t="s">
        <v>231</v>
      </c>
      <c r="CM405" t="s">
        <v>231</v>
      </c>
      <c r="CN405" t="s">
        <v>231</v>
      </c>
      <c r="CO405" t="s">
        <v>231</v>
      </c>
      <c r="CP405" t="s">
        <v>231</v>
      </c>
      <c r="CQ405" t="s">
        <v>231</v>
      </c>
      <c r="CR405" t="s">
        <v>231</v>
      </c>
      <c r="CS405" t="s">
        <v>231</v>
      </c>
      <c r="CT405" t="s">
        <v>3534</v>
      </c>
      <c r="CU405" t="s">
        <v>3535</v>
      </c>
      <c r="CV405" t="s">
        <v>3536</v>
      </c>
      <c r="CW405" t="s">
        <v>3623</v>
      </c>
      <c r="CX405" t="s">
        <v>223</v>
      </c>
      <c r="CY405" t="s">
        <v>3536</v>
      </c>
      <c r="CZ405" t="s">
        <v>3624</v>
      </c>
      <c r="DA405" t="s">
        <v>3625</v>
      </c>
      <c r="DB405" t="s">
        <v>3623</v>
      </c>
      <c r="DC405" t="s">
        <v>363</v>
      </c>
      <c r="DD405" t="s">
        <v>282</v>
      </c>
      <c r="DE405" t="s">
        <v>4556</v>
      </c>
    </row>
    <row r="406" spans="1:109" ht="11.25" customHeight="1">
      <c r="A406" s="1314" t="s">
        <v>231</v>
      </c>
      <c r="B406" t="s">
        <v>231</v>
      </c>
      <c r="C406" t="s">
        <v>231</v>
      </c>
      <c r="D406" t="s">
        <v>231</v>
      </c>
      <c r="E406" t="s">
        <v>231</v>
      </c>
      <c r="F406" t="s">
        <v>231</v>
      </c>
      <c r="G406" t="s">
        <v>231</v>
      </c>
      <c r="H406" t="s">
        <v>231</v>
      </c>
      <c r="I406" t="s">
        <v>3521</v>
      </c>
      <c r="J406" t="s">
        <v>231</v>
      </c>
      <c r="K406" t="s">
        <v>231</v>
      </c>
      <c r="L406" t="s">
        <v>231</v>
      </c>
      <c r="M406" t="s">
        <v>231</v>
      </c>
      <c r="N406" t="s">
        <v>231</v>
      </c>
      <c r="O406" t="s">
        <v>231</v>
      </c>
      <c r="P406" t="s">
        <v>231</v>
      </c>
      <c r="Q406" t="s">
        <v>231</v>
      </c>
      <c r="R406" t="s">
        <v>4749</v>
      </c>
      <c r="S406" t="s">
        <v>231</v>
      </c>
      <c r="T406" t="s">
        <v>231</v>
      </c>
      <c r="U406" t="s">
        <v>101</v>
      </c>
      <c r="V406" t="s">
        <v>231</v>
      </c>
      <c r="W406" t="s">
        <v>231</v>
      </c>
      <c r="X406" t="s">
        <v>3628</v>
      </c>
      <c r="Y406" t="s">
        <v>231</v>
      </c>
      <c r="Z406" t="s">
        <v>151</v>
      </c>
      <c r="AA406" t="s">
        <v>151</v>
      </c>
      <c r="AB406" t="s">
        <v>160</v>
      </c>
      <c r="AC406" t="s">
        <v>2287</v>
      </c>
      <c r="AD406" t="s">
        <v>2287</v>
      </c>
      <c r="AE406" t="s">
        <v>2288</v>
      </c>
      <c r="AF406" t="s">
        <v>4554</v>
      </c>
      <c r="AG406" t="s">
        <v>4555</v>
      </c>
      <c r="AH406" t="s">
        <v>3618</v>
      </c>
      <c r="AI406" t="s">
        <v>3618</v>
      </c>
      <c r="AJ406" t="s">
        <v>231</v>
      </c>
      <c r="AK406" t="s">
        <v>231</v>
      </c>
      <c r="AL406" t="s">
        <v>231</v>
      </c>
      <c r="AM406" t="s">
        <v>231</v>
      </c>
      <c r="AN406" t="s">
        <v>231</v>
      </c>
      <c r="AO406" t="s">
        <v>231</v>
      </c>
      <c r="AP406" t="s">
        <v>231</v>
      </c>
      <c r="AQ406" t="s">
        <v>231</v>
      </c>
      <c r="AR406" t="s">
        <v>231</v>
      </c>
      <c r="AS406" t="s">
        <v>231</v>
      </c>
      <c r="AT406" t="s">
        <v>231</v>
      </c>
      <c r="AU406" t="s">
        <v>231</v>
      </c>
      <c r="AV406" t="s">
        <v>231</v>
      </c>
      <c r="AW406" t="s">
        <v>231</v>
      </c>
      <c r="AX406" t="s">
        <v>231</v>
      </c>
      <c r="AY406" t="s">
        <v>231</v>
      </c>
      <c r="AZ406" t="s">
        <v>231</v>
      </c>
      <c r="BA406" t="s">
        <v>231</v>
      </c>
      <c r="BB406" t="s">
        <v>231</v>
      </c>
      <c r="BC406" t="s">
        <v>231</v>
      </c>
      <c r="BD406" t="s">
        <v>231</v>
      </c>
      <c r="BE406" t="s">
        <v>3619</v>
      </c>
      <c r="BF406" t="s">
        <v>3858</v>
      </c>
      <c r="BG406" t="s">
        <v>111</v>
      </c>
      <c r="BH406" t="s">
        <v>3632</v>
      </c>
      <c r="BI406" t="s">
        <v>122</v>
      </c>
      <c r="BJ406" t="s">
        <v>231</v>
      </c>
      <c r="BK406" t="s">
        <v>3651</v>
      </c>
      <c r="BL406" t="s">
        <v>2287</v>
      </c>
      <c r="BM406" t="s">
        <v>2287</v>
      </c>
      <c r="BN406" t="s">
        <v>3842</v>
      </c>
      <c r="BO406" t="s">
        <v>4554</v>
      </c>
      <c r="BP406" t="s">
        <v>4750</v>
      </c>
      <c r="BQ406" t="s">
        <v>3618</v>
      </c>
      <c r="BR406" t="s">
        <v>3618</v>
      </c>
      <c r="BS406" t="s">
        <v>231</v>
      </c>
      <c r="BT406" t="s">
        <v>3694</v>
      </c>
      <c r="BU406" t="s">
        <v>4751</v>
      </c>
      <c r="BV406" t="s">
        <v>4751</v>
      </c>
      <c r="BW406" t="s">
        <v>3641</v>
      </c>
      <c r="BX406" t="s">
        <v>3641</v>
      </c>
      <c r="BY406" t="s">
        <v>3641</v>
      </c>
      <c r="BZ406" t="s">
        <v>3641</v>
      </c>
      <c r="CA406" t="s">
        <v>3641</v>
      </c>
      <c r="CB406" t="s">
        <v>231</v>
      </c>
      <c r="CC406" t="s">
        <v>231</v>
      </c>
      <c r="CD406" t="s">
        <v>231</v>
      </c>
      <c r="CE406" t="s">
        <v>231</v>
      </c>
      <c r="CF406" t="s">
        <v>231</v>
      </c>
      <c r="CG406" t="s">
        <v>3641</v>
      </c>
      <c r="CH406" t="s">
        <v>231</v>
      </c>
      <c r="CI406" t="s">
        <v>231</v>
      </c>
      <c r="CJ406" t="s">
        <v>231</v>
      </c>
      <c r="CK406" t="s">
        <v>231</v>
      </c>
      <c r="CL406" t="s">
        <v>231</v>
      </c>
      <c r="CM406" t="s">
        <v>4751</v>
      </c>
      <c r="CN406" t="s">
        <v>4751</v>
      </c>
      <c r="CO406" t="s">
        <v>231</v>
      </c>
      <c r="CP406" t="s">
        <v>231</v>
      </c>
      <c r="CQ406" t="s">
        <v>231</v>
      </c>
      <c r="CR406" t="s">
        <v>231</v>
      </c>
      <c r="CS406" t="s">
        <v>3621</v>
      </c>
      <c r="CT406" t="s">
        <v>3534</v>
      </c>
      <c r="CU406" t="s">
        <v>3535</v>
      </c>
      <c r="CV406" t="s">
        <v>3536</v>
      </c>
      <c r="CW406" t="s">
        <v>3623</v>
      </c>
      <c r="CX406" t="s">
        <v>223</v>
      </c>
      <c r="CY406" t="s">
        <v>3536</v>
      </c>
      <c r="CZ406" t="s">
        <v>3624</v>
      </c>
      <c r="DA406" t="s">
        <v>3625</v>
      </c>
      <c r="DB406" t="s">
        <v>3623</v>
      </c>
      <c r="DC406" t="s">
        <v>363</v>
      </c>
      <c r="DD406" t="s">
        <v>282</v>
      </c>
      <c r="DE406" t="s">
        <v>4752</v>
      </c>
    </row>
    <row r="407" spans="1:109" ht="11.25" customHeight="1">
      <c r="A407" s="1314" t="s">
        <v>231</v>
      </c>
      <c r="B407" t="s">
        <v>231</v>
      </c>
      <c r="C407" t="s">
        <v>231</v>
      </c>
      <c r="D407" t="s">
        <v>231</v>
      </c>
      <c r="E407" t="s">
        <v>231</v>
      </c>
      <c r="F407" t="s">
        <v>231</v>
      </c>
      <c r="G407" t="s">
        <v>231</v>
      </c>
      <c r="H407" t="s">
        <v>231</v>
      </c>
      <c r="I407" t="s">
        <v>3521</v>
      </c>
      <c r="J407" t="s">
        <v>231</v>
      </c>
      <c r="K407" t="s">
        <v>231</v>
      </c>
      <c r="L407" t="s">
        <v>231</v>
      </c>
      <c r="M407" t="s">
        <v>231</v>
      </c>
      <c r="N407" t="s">
        <v>231</v>
      </c>
      <c r="O407" t="s">
        <v>231</v>
      </c>
      <c r="P407" t="s">
        <v>231</v>
      </c>
      <c r="Q407" t="s">
        <v>231</v>
      </c>
      <c r="R407" t="s">
        <v>3541</v>
      </c>
      <c r="S407" t="s">
        <v>231</v>
      </c>
      <c r="T407" t="s">
        <v>231</v>
      </c>
      <c r="U407" t="s">
        <v>101</v>
      </c>
      <c r="V407" t="s">
        <v>231</v>
      </c>
      <c r="W407" t="s">
        <v>231</v>
      </c>
      <c r="X407" t="s">
        <v>3523</v>
      </c>
      <c r="Y407" t="s">
        <v>231</v>
      </c>
      <c r="Z407" t="s">
        <v>160</v>
      </c>
      <c r="AA407" t="s">
        <v>151</v>
      </c>
      <c r="AB407" t="s">
        <v>151</v>
      </c>
      <c r="AC407" t="s">
        <v>2289</v>
      </c>
      <c r="AD407" t="s">
        <v>2289</v>
      </c>
      <c r="AE407" t="s">
        <v>2290</v>
      </c>
      <c r="AF407" t="s">
        <v>3582</v>
      </c>
      <c r="AG407" t="s">
        <v>3583</v>
      </c>
      <c r="AH407" t="s">
        <v>3584</v>
      </c>
      <c r="AI407" t="s">
        <v>3593</v>
      </c>
      <c r="AJ407" t="s">
        <v>3594</v>
      </c>
      <c r="AK407" t="s">
        <v>3586</v>
      </c>
      <c r="AL407" t="s">
        <v>3548</v>
      </c>
      <c r="AM407" t="s">
        <v>3531</v>
      </c>
      <c r="AN407" t="s">
        <v>3595</v>
      </c>
      <c r="AO407" t="s">
        <v>3596</v>
      </c>
      <c r="AP407" t="s">
        <v>231</v>
      </c>
      <c r="AQ407" t="s">
        <v>231</v>
      </c>
      <c r="AR407" t="s">
        <v>231</v>
      </c>
      <c r="AS407" t="s">
        <v>231</v>
      </c>
      <c r="AT407" t="s">
        <v>231</v>
      </c>
      <c r="AU407" t="s">
        <v>231</v>
      </c>
      <c r="AV407" t="s">
        <v>231</v>
      </c>
      <c r="AW407" t="s">
        <v>231</v>
      </c>
      <c r="AX407" t="s">
        <v>231</v>
      </c>
      <c r="AY407" t="s">
        <v>231</v>
      </c>
      <c r="AZ407" t="s">
        <v>231</v>
      </c>
      <c r="BA407" t="s">
        <v>231</v>
      </c>
      <c r="BB407" t="s">
        <v>231</v>
      </c>
      <c r="BC407" t="s">
        <v>231</v>
      </c>
      <c r="BD407" t="s">
        <v>231</v>
      </c>
      <c r="BE407" t="s">
        <v>231</v>
      </c>
      <c r="BF407" t="s">
        <v>231</v>
      </c>
      <c r="BG407" t="s">
        <v>231</v>
      </c>
      <c r="BH407" t="s">
        <v>231</v>
      </c>
      <c r="BI407" t="s">
        <v>231</v>
      </c>
      <c r="BJ407" t="s">
        <v>231</v>
      </c>
      <c r="BK407" t="s">
        <v>231</v>
      </c>
      <c r="BL407" t="s">
        <v>231</v>
      </c>
      <c r="BM407" t="s">
        <v>231</v>
      </c>
      <c r="BN407" t="s">
        <v>231</v>
      </c>
      <c r="BO407" t="s">
        <v>231</v>
      </c>
      <c r="BP407" t="s">
        <v>231</v>
      </c>
      <c r="BQ407" t="s">
        <v>231</v>
      </c>
      <c r="BR407" t="s">
        <v>231</v>
      </c>
      <c r="BS407" t="s">
        <v>231</v>
      </c>
      <c r="BT407" t="s">
        <v>231</v>
      </c>
      <c r="BU407" t="s">
        <v>231</v>
      </c>
      <c r="BV407" t="s">
        <v>231</v>
      </c>
      <c r="BW407" t="s">
        <v>231</v>
      </c>
      <c r="BX407" t="s">
        <v>231</v>
      </c>
      <c r="BY407" t="s">
        <v>231</v>
      </c>
      <c r="BZ407" t="s">
        <v>231</v>
      </c>
      <c r="CA407" t="s">
        <v>231</v>
      </c>
      <c r="CB407" t="s">
        <v>231</v>
      </c>
      <c r="CC407" t="s">
        <v>231</v>
      </c>
      <c r="CD407" t="s">
        <v>231</v>
      </c>
      <c r="CE407" t="s">
        <v>231</v>
      </c>
      <c r="CF407" t="s">
        <v>231</v>
      </c>
      <c r="CG407" t="s">
        <v>231</v>
      </c>
      <c r="CH407" t="s">
        <v>231</v>
      </c>
      <c r="CI407" t="s">
        <v>231</v>
      </c>
      <c r="CJ407" t="s">
        <v>231</v>
      </c>
      <c r="CK407" t="s">
        <v>231</v>
      </c>
      <c r="CL407" t="s">
        <v>231</v>
      </c>
      <c r="CM407" t="s">
        <v>231</v>
      </c>
      <c r="CN407" t="s">
        <v>231</v>
      </c>
      <c r="CO407" t="s">
        <v>231</v>
      </c>
      <c r="CP407" t="s">
        <v>231</v>
      </c>
      <c r="CQ407" t="s">
        <v>231</v>
      </c>
      <c r="CR407" t="s">
        <v>231</v>
      </c>
      <c r="CS407" t="s">
        <v>231</v>
      </c>
      <c r="CT407" t="s">
        <v>3534</v>
      </c>
      <c r="CU407" t="s">
        <v>3535</v>
      </c>
      <c r="CV407" t="s">
        <v>3536</v>
      </c>
      <c r="CW407" t="s">
        <v>3589</v>
      </c>
      <c r="CX407" t="s">
        <v>223</v>
      </c>
      <c r="CY407" t="s">
        <v>3536</v>
      </c>
      <c r="CZ407" t="s">
        <v>3590</v>
      </c>
      <c r="DA407" t="s">
        <v>3591</v>
      </c>
      <c r="DB407" t="s">
        <v>3589</v>
      </c>
      <c r="DC407" t="s">
        <v>363</v>
      </c>
      <c r="DD407" t="s">
        <v>282</v>
      </c>
      <c r="DE407" t="s">
        <v>3597</v>
      </c>
    </row>
    <row r="408" spans="1:109" ht="11.25" customHeight="1">
      <c r="A408" s="1314" t="s">
        <v>231</v>
      </c>
      <c r="B408" t="s">
        <v>231</v>
      </c>
      <c r="C408" t="s">
        <v>231</v>
      </c>
      <c r="D408" t="s">
        <v>231</v>
      </c>
      <c r="E408" t="s">
        <v>231</v>
      </c>
      <c r="F408" t="s">
        <v>231</v>
      </c>
      <c r="G408" t="s">
        <v>231</v>
      </c>
      <c r="H408" t="s">
        <v>231</v>
      </c>
      <c r="I408" t="s">
        <v>3521</v>
      </c>
      <c r="J408" t="s">
        <v>231</v>
      </c>
      <c r="K408" t="s">
        <v>231</v>
      </c>
      <c r="L408" t="s">
        <v>231</v>
      </c>
      <c r="M408" t="s">
        <v>231</v>
      </c>
      <c r="N408" t="s">
        <v>231</v>
      </c>
      <c r="O408" t="s">
        <v>231</v>
      </c>
      <c r="P408" t="s">
        <v>231</v>
      </c>
      <c r="Q408" t="s">
        <v>231</v>
      </c>
      <c r="R408" t="s">
        <v>3615</v>
      </c>
      <c r="S408" t="s">
        <v>231</v>
      </c>
      <c r="T408" t="s">
        <v>231</v>
      </c>
      <c r="U408" t="s">
        <v>101</v>
      </c>
      <c r="V408" t="s">
        <v>231</v>
      </c>
      <c r="W408" t="s">
        <v>231</v>
      </c>
      <c r="X408" t="s">
        <v>3523</v>
      </c>
      <c r="Y408" t="s">
        <v>231</v>
      </c>
      <c r="Z408" t="s">
        <v>160</v>
      </c>
      <c r="AA408" t="s">
        <v>151</v>
      </c>
      <c r="AB408" t="s">
        <v>151</v>
      </c>
      <c r="AC408" t="s">
        <v>2289</v>
      </c>
      <c r="AD408" t="s">
        <v>2289</v>
      </c>
      <c r="AE408" t="s">
        <v>2290</v>
      </c>
      <c r="AF408" t="s">
        <v>3722</v>
      </c>
      <c r="AG408" t="s">
        <v>3723</v>
      </c>
      <c r="AH408" t="s">
        <v>3714</v>
      </c>
      <c r="AI408" t="s">
        <v>3655</v>
      </c>
      <c r="AJ408" t="s">
        <v>3546</v>
      </c>
      <c r="AK408" t="s">
        <v>3716</v>
      </c>
      <c r="AL408" t="s">
        <v>3548</v>
      </c>
      <c r="AM408" t="s">
        <v>3531</v>
      </c>
      <c r="AN408" t="s">
        <v>3587</v>
      </c>
      <c r="AO408" t="s">
        <v>3724</v>
      </c>
      <c r="AP408" t="s">
        <v>231</v>
      </c>
      <c r="AQ408" t="s">
        <v>231</v>
      </c>
      <c r="AR408" t="s">
        <v>231</v>
      </c>
      <c r="AS408" t="s">
        <v>231</v>
      </c>
      <c r="AT408" t="s">
        <v>231</v>
      </c>
      <c r="AU408" t="s">
        <v>231</v>
      </c>
      <c r="AV408" t="s">
        <v>231</v>
      </c>
      <c r="AW408" t="s">
        <v>231</v>
      </c>
      <c r="AX408" t="s">
        <v>231</v>
      </c>
      <c r="AY408" t="s">
        <v>231</v>
      </c>
      <c r="AZ408" t="s">
        <v>231</v>
      </c>
      <c r="BA408" t="s">
        <v>231</v>
      </c>
      <c r="BB408" t="s">
        <v>231</v>
      </c>
      <c r="BC408" t="s">
        <v>231</v>
      </c>
      <c r="BD408" t="s">
        <v>231</v>
      </c>
      <c r="BE408" t="s">
        <v>231</v>
      </c>
      <c r="BF408" t="s">
        <v>231</v>
      </c>
      <c r="BG408" t="s">
        <v>231</v>
      </c>
      <c r="BH408" t="s">
        <v>231</v>
      </c>
      <c r="BI408" t="s">
        <v>231</v>
      </c>
      <c r="BJ408" t="s">
        <v>231</v>
      </c>
      <c r="BK408" t="s">
        <v>231</v>
      </c>
      <c r="BL408" t="s">
        <v>231</v>
      </c>
      <c r="BM408" t="s">
        <v>231</v>
      </c>
      <c r="BN408" t="s">
        <v>231</v>
      </c>
      <c r="BO408" t="s">
        <v>231</v>
      </c>
      <c r="BP408" t="s">
        <v>231</v>
      </c>
      <c r="BQ408" t="s">
        <v>231</v>
      </c>
      <c r="BR408" t="s">
        <v>231</v>
      </c>
      <c r="BS408" t="s">
        <v>231</v>
      </c>
      <c r="BT408" t="s">
        <v>231</v>
      </c>
      <c r="BU408" t="s">
        <v>231</v>
      </c>
      <c r="BV408" t="s">
        <v>231</v>
      </c>
      <c r="BW408" t="s">
        <v>231</v>
      </c>
      <c r="BX408" t="s">
        <v>231</v>
      </c>
      <c r="BY408" t="s">
        <v>231</v>
      </c>
      <c r="BZ408" t="s">
        <v>231</v>
      </c>
      <c r="CA408" t="s">
        <v>231</v>
      </c>
      <c r="CB408" t="s">
        <v>231</v>
      </c>
      <c r="CC408" t="s">
        <v>231</v>
      </c>
      <c r="CD408" t="s">
        <v>231</v>
      </c>
      <c r="CE408" t="s">
        <v>231</v>
      </c>
      <c r="CF408" t="s">
        <v>231</v>
      </c>
      <c r="CG408" t="s">
        <v>231</v>
      </c>
      <c r="CH408" t="s">
        <v>231</v>
      </c>
      <c r="CI408" t="s">
        <v>231</v>
      </c>
      <c r="CJ408" t="s">
        <v>231</v>
      </c>
      <c r="CK408" t="s">
        <v>231</v>
      </c>
      <c r="CL408" t="s">
        <v>231</v>
      </c>
      <c r="CM408" t="s">
        <v>231</v>
      </c>
      <c r="CN408" t="s">
        <v>231</v>
      </c>
      <c r="CO408" t="s">
        <v>231</v>
      </c>
      <c r="CP408" t="s">
        <v>231</v>
      </c>
      <c r="CQ408" t="s">
        <v>231</v>
      </c>
      <c r="CR408" t="s">
        <v>231</v>
      </c>
      <c r="CS408" t="s">
        <v>231</v>
      </c>
      <c r="CT408" t="s">
        <v>3534</v>
      </c>
      <c r="CU408" t="s">
        <v>3535</v>
      </c>
      <c r="CV408" t="s">
        <v>3536</v>
      </c>
      <c r="CW408" t="s">
        <v>3589</v>
      </c>
      <c r="CX408" t="s">
        <v>223</v>
      </c>
      <c r="CY408" t="s">
        <v>3536</v>
      </c>
      <c r="CZ408" t="s">
        <v>3590</v>
      </c>
      <c r="DA408" t="s">
        <v>3591</v>
      </c>
      <c r="DB408" t="s">
        <v>3589</v>
      </c>
      <c r="DC408" t="s">
        <v>363</v>
      </c>
      <c r="DD408" t="s">
        <v>282</v>
      </c>
      <c r="DE408" t="s">
        <v>3725</v>
      </c>
    </row>
    <row r="409" spans="1:109" ht="11.25" customHeight="1">
      <c r="A409" s="1314" t="s">
        <v>231</v>
      </c>
      <c r="B409" t="s">
        <v>231</v>
      </c>
      <c r="C409" t="s">
        <v>231</v>
      </c>
      <c r="D409" t="s">
        <v>231</v>
      </c>
      <c r="E409" t="s">
        <v>231</v>
      </c>
      <c r="F409" t="s">
        <v>231</v>
      </c>
      <c r="G409" t="s">
        <v>231</v>
      </c>
      <c r="H409" t="s">
        <v>231</v>
      </c>
      <c r="I409" t="s">
        <v>3521</v>
      </c>
      <c r="J409" t="s">
        <v>231</v>
      </c>
      <c r="K409" t="s">
        <v>231</v>
      </c>
      <c r="L409" t="s">
        <v>231</v>
      </c>
      <c r="M409" t="s">
        <v>231</v>
      </c>
      <c r="N409" t="s">
        <v>231</v>
      </c>
      <c r="O409" t="s">
        <v>231</v>
      </c>
      <c r="P409" t="s">
        <v>231</v>
      </c>
      <c r="Q409" t="s">
        <v>231</v>
      </c>
      <c r="R409" t="s">
        <v>4051</v>
      </c>
      <c r="S409" t="s">
        <v>231</v>
      </c>
      <c r="T409" t="s">
        <v>231</v>
      </c>
      <c r="U409" t="s">
        <v>101</v>
      </c>
      <c r="V409" t="s">
        <v>231</v>
      </c>
      <c r="W409" t="s">
        <v>231</v>
      </c>
      <c r="X409" t="s">
        <v>3628</v>
      </c>
      <c r="Y409" t="s">
        <v>231</v>
      </c>
      <c r="Z409" t="s">
        <v>151</v>
      </c>
      <c r="AA409" t="s">
        <v>151</v>
      </c>
      <c r="AB409" t="s">
        <v>160</v>
      </c>
      <c r="AC409" t="s">
        <v>2289</v>
      </c>
      <c r="AD409" t="s">
        <v>2289</v>
      </c>
      <c r="AE409" t="s">
        <v>2290</v>
      </c>
      <c r="AF409" t="s">
        <v>3722</v>
      </c>
      <c r="AG409" t="s">
        <v>3723</v>
      </c>
      <c r="AH409" t="s">
        <v>3618</v>
      </c>
      <c r="AI409" t="s">
        <v>3618</v>
      </c>
      <c r="AJ409" t="s">
        <v>231</v>
      </c>
      <c r="AK409" t="s">
        <v>231</v>
      </c>
      <c r="AL409" t="s">
        <v>231</v>
      </c>
      <c r="AM409" t="s">
        <v>231</v>
      </c>
      <c r="AN409" t="s">
        <v>231</v>
      </c>
      <c r="AO409" t="s">
        <v>231</v>
      </c>
      <c r="AP409" t="s">
        <v>231</v>
      </c>
      <c r="AQ409" t="s">
        <v>231</v>
      </c>
      <c r="AR409" t="s">
        <v>231</v>
      </c>
      <c r="AS409" t="s">
        <v>231</v>
      </c>
      <c r="AT409" t="s">
        <v>231</v>
      </c>
      <c r="AU409" t="s">
        <v>231</v>
      </c>
      <c r="AV409" t="s">
        <v>231</v>
      </c>
      <c r="AW409" t="s">
        <v>231</v>
      </c>
      <c r="AX409" t="s">
        <v>231</v>
      </c>
      <c r="AY409" t="s">
        <v>231</v>
      </c>
      <c r="AZ409" t="s">
        <v>231</v>
      </c>
      <c r="BA409" t="s">
        <v>231</v>
      </c>
      <c r="BB409" t="s">
        <v>231</v>
      </c>
      <c r="BC409" t="s">
        <v>231</v>
      </c>
      <c r="BD409" t="s">
        <v>231</v>
      </c>
      <c r="BE409" t="s">
        <v>3594</v>
      </c>
      <c r="BF409" t="s">
        <v>3586</v>
      </c>
      <c r="BG409" t="s">
        <v>111</v>
      </c>
      <c r="BH409" t="s">
        <v>3632</v>
      </c>
      <c r="BI409" t="s">
        <v>122</v>
      </c>
      <c r="BJ409" t="s">
        <v>231</v>
      </c>
      <c r="BK409" t="s">
        <v>3651</v>
      </c>
      <c r="BL409" t="s">
        <v>2289</v>
      </c>
      <c r="BM409" t="s">
        <v>2289</v>
      </c>
      <c r="BN409" t="s">
        <v>3707</v>
      </c>
      <c r="BO409" t="s">
        <v>3722</v>
      </c>
      <c r="BP409" t="s">
        <v>4052</v>
      </c>
      <c r="BQ409" t="s">
        <v>3618</v>
      </c>
      <c r="BR409" t="s">
        <v>3618</v>
      </c>
      <c r="BS409" t="s">
        <v>231</v>
      </c>
      <c r="BT409" t="s">
        <v>3694</v>
      </c>
      <c r="BU409" t="s">
        <v>4053</v>
      </c>
      <c r="BV409" t="s">
        <v>4053</v>
      </c>
      <c r="BW409" t="s">
        <v>3641</v>
      </c>
      <c r="BX409" t="s">
        <v>3641</v>
      </c>
      <c r="BY409" t="s">
        <v>3641</v>
      </c>
      <c r="BZ409" t="s">
        <v>3641</v>
      </c>
      <c r="CA409" t="s">
        <v>3641</v>
      </c>
      <c r="CB409" t="s">
        <v>231</v>
      </c>
      <c r="CC409" t="s">
        <v>231</v>
      </c>
      <c r="CD409" t="s">
        <v>231</v>
      </c>
      <c r="CE409" t="s">
        <v>231</v>
      </c>
      <c r="CF409" t="s">
        <v>231</v>
      </c>
      <c r="CG409" t="s">
        <v>3641</v>
      </c>
      <c r="CH409" t="s">
        <v>231</v>
      </c>
      <c r="CI409" t="s">
        <v>231</v>
      </c>
      <c r="CJ409" t="s">
        <v>231</v>
      </c>
      <c r="CK409" t="s">
        <v>231</v>
      </c>
      <c r="CL409" t="s">
        <v>231</v>
      </c>
      <c r="CM409" t="s">
        <v>4053</v>
      </c>
      <c r="CN409" t="s">
        <v>4053</v>
      </c>
      <c r="CO409" t="s">
        <v>231</v>
      </c>
      <c r="CP409" t="s">
        <v>231</v>
      </c>
      <c r="CQ409" t="s">
        <v>231</v>
      </c>
      <c r="CR409" t="s">
        <v>231</v>
      </c>
      <c r="CS409" t="s">
        <v>3710</v>
      </c>
      <c r="CT409" t="s">
        <v>3534</v>
      </c>
      <c r="CU409" t="s">
        <v>3535</v>
      </c>
      <c r="CV409" t="s">
        <v>3536</v>
      </c>
      <c r="CW409" t="s">
        <v>3589</v>
      </c>
      <c r="CX409" t="s">
        <v>223</v>
      </c>
      <c r="CY409" t="s">
        <v>3536</v>
      </c>
      <c r="CZ409" t="s">
        <v>3590</v>
      </c>
      <c r="DA409" t="s">
        <v>3591</v>
      </c>
      <c r="DB409" t="s">
        <v>3589</v>
      </c>
      <c r="DC409" t="s">
        <v>363</v>
      </c>
      <c r="DD409" t="s">
        <v>282</v>
      </c>
      <c r="DE409" t="s">
        <v>4054</v>
      </c>
    </row>
    <row r="410" spans="1:109" ht="11.25" customHeight="1">
      <c r="A410" s="1314" t="s">
        <v>231</v>
      </c>
      <c r="B410" t="s">
        <v>231</v>
      </c>
      <c r="C410" t="s">
        <v>231</v>
      </c>
      <c r="D410" t="s">
        <v>231</v>
      </c>
      <c r="E410" t="s">
        <v>231</v>
      </c>
      <c r="F410" t="s">
        <v>231</v>
      </c>
      <c r="G410" t="s">
        <v>231</v>
      </c>
      <c r="H410" t="s">
        <v>231</v>
      </c>
      <c r="I410" t="s">
        <v>3521</v>
      </c>
      <c r="J410" t="s">
        <v>231</v>
      </c>
      <c r="K410" t="s">
        <v>231</v>
      </c>
      <c r="L410" t="s">
        <v>231</v>
      </c>
      <c r="M410" t="s">
        <v>231</v>
      </c>
      <c r="N410" t="s">
        <v>231</v>
      </c>
      <c r="O410" t="s">
        <v>231</v>
      </c>
      <c r="P410" t="s">
        <v>231</v>
      </c>
      <c r="Q410" t="s">
        <v>231</v>
      </c>
      <c r="R410" t="s">
        <v>3615</v>
      </c>
      <c r="S410" t="s">
        <v>231</v>
      </c>
      <c r="T410" t="s">
        <v>231</v>
      </c>
      <c r="U410" t="s">
        <v>101</v>
      </c>
      <c r="V410" t="s">
        <v>231</v>
      </c>
      <c r="W410" t="s">
        <v>231</v>
      </c>
      <c r="X410" t="s">
        <v>3523</v>
      </c>
      <c r="Y410" t="s">
        <v>231</v>
      </c>
      <c r="Z410" t="s">
        <v>160</v>
      </c>
      <c r="AA410" t="s">
        <v>151</v>
      </c>
      <c r="AB410" t="s">
        <v>151</v>
      </c>
      <c r="AC410" t="s">
        <v>2289</v>
      </c>
      <c r="AD410" t="s">
        <v>2289</v>
      </c>
      <c r="AE410" t="s">
        <v>2290</v>
      </c>
      <c r="AF410" t="s">
        <v>4055</v>
      </c>
      <c r="AG410" t="s">
        <v>4056</v>
      </c>
      <c r="AH410" t="s">
        <v>4057</v>
      </c>
      <c r="AI410" t="s">
        <v>3593</v>
      </c>
      <c r="AJ410" t="s">
        <v>3546</v>
      </c>
      <c r="AK410" t="s">
        <v>3716</v>
      </c>
      <c r="AL410" t="s">
        <v>3548</v>
      </c>
      <c r="AM410" t="s">
        <v>3531</v>
      </c>
      <c r="AN410" t="s">
        <v>3587</v>
      </c>
      <c r="AO410" t="s">
        <v>3679</v>
      </c>
      <c r="AP410" t="s">
        <v>231</v>
      </c>
      <c r="AQ410" t="s">
        <v>231</v>
      </c>
      <c r="AR410" t="s">
        <v>231</v>
      </c>
      <c r="AS410" t="s">
        <v>231</v>
      </c>
      <c r="AT410" t="s">
        <v>231</v>
      </c>
      <c r="AU410" t="s">
        <v>231</v>
      </c>
      <c r="AV410" t="s">
        <v>231</v>
      </c>
      <c r="AW410" t="s">
        <v>231</v>
      </c>
      <c r="AX410" t="s">
        <v>231</v>
      </c>
      <c r="AY410" t="s">
        <v>231</v>
      </c>
      <c r="AZ410" t="s">
        <v>231</v>
      </c>
      <c r="BA410" t="s">
        <v>231</v>
      </c>
      <c r="BB410" t="s">
        <v>231</v>
      </c>
      <c r="BC410" t="s">
        <v>231</v>
      </c>
      <c r="BD410" t="s">
        <v>231</v>
      </c>
      <c r="BE410" t="s">
        <v>231</v>
      </c>
      <c r="BF410" t="s">
        <v>231</v>
      </c>
      <c r="BG410" t="s">
        <v>231</v>
      </c>
      <c r="BH410" t="s">
        <v>231</v>
      </c>
      <c r="BI410" t="s">
        <v>231</v>
      </c>
      <c r="BJ410" t="s">
        <v>231</v>
      </c>
      <c r="BK410" t="s">
        <v>231</v>
      </c>
      <c r="BL410" t="s">
        <v>231</v>
      </c>
      <c r="BM410" t="s">
        <v>231</v>
      </c>
      <c r="BN410" t="s">
        <v>231</v>
      </c>
      <c r="BO410" t="s">
        <v>231</v>
      </c>
      <c r="BP410" t="s">
        <v>231</v>
      </c>
      <c r="BQ410" t="s">
        <v>231</v>
      </c>
      <c r="BR410" t="s">
        <v>231</v>
      </c>
      <c r="BS410" t="s">
        <v>231</v>
      </c>
      <c r="BT410" t="s">
        <v>231</v>
      </c>
      <c r="BU410" t="s">
        <v>231</v>
      </c>
      <c r="BV410" t="s">
        <v>231</v>
      </c>
      <c r="BW410" t="s">
        <v>231</v>
      </c>
      <c r="BX410" t="s">
        <v>231</v>
      </c>
      <c r="BY410" t="s">
        <v>231</v>
      </c>
      <c r="BZ410" t="s">
        <v>231</v>
      </c>
      <c r="CA410" t="s">
        <v>231</v>
      </c>
      <c r="CB410" t="s">
        <v>231</v>
      </c>
      <c r="CC410" t="s">
        <v>231</v>
      </c>
      <c r="CD410" t="s">
        <v>231</v>
      </c>
      <c r="CE410" t="s">
        <v>231</v>
      </c>
      <c r="CF410" t="s">
        <v>231</v>
      </c>
      <c r="CG410" t="s">
        <v>231</v>
      </c>
      <c r="CH410" t="s">
        <v>231</v>
      </c>
      <c r="CI410" t="s">
        <v>231</v>
      </c>
      <c r="CJ410" t="s">
        <v>231</v>
      </c>
      <c r="CK410" t="s">
        <v>231</v>
      </c>
      <c r="CL410" t="s">
        <v>231</v>
      </c>
      <c r="CM410" t="s">
        <v>231</v>
      </c>
      <c r="CN410" t="s">
        <v>231</v>
      </c>
      <c r="CO410" t="s">
        <v>231</v>
      </c>
      <c r="CP410" t="s">
        <v>231</v>
      </c>
      <c r="CQ410" t="s">
        <v>231</v>
      </c>
      <c r="CR410" t="s">
        <v>231</v>
      </c>
      <c r="CS410" t="s">
        <v>231</v>
      </c>
      <c r="CT410" t="s">
        <v>3534</v>
      </c>
      <c r="CU410" t="s">
        <v>3535</v>
      </c>
      <c r="CV410" t="s">
        <v>3536</v>
      </c>
      <c r="CW410" t="s">
        <v>3589</v>
      </c>
      <c r="CX410" t="s">
        <v>223</v>
      </c>
      <c r="CY410" t="s">
        <v>3536</v>
      </c>
      <c r="CZ410" t="s">
        <v>3590</v>
      </c>
      <c r="DA410" t="s">
        <v>3591</v>
      </c>
      <c r="DB410" t="s">
        <v>3589</v>
      </c>
      <c r="DC410" t="s">
        <v>363</v>
      </c>
      <c r="DD410" t="s">
        <v>282</v>
      </c>
      <c r="DE410" t="s">
        <v>4058</v>
      </c>
    </row>
    <row r="411" spans="1:109" ht="11.25" customHeight="1">
      <c r="A411" s="1314" t="s">
        <v>231</v>
      </c>
      <c r="B411" t="s">
        <v>231</v>
      </c>
      <c r="C411" t="s">
        <v>231</v>
      </c>
      <c r="D411" t="s">
        <v>231</v>
      </c>
      <c r="E411" t="s">
        <v>231</v>
      </c>
      <c r="F411" t="s">
        <v>231</v>
      </c>
      <c r="G411" t="s">
        <v>231</v>
      </c>
      <c r="H411" t="s">
        <v>231</v>
      </c>
      <c r="I411" t="s">
        <v>3521</v>
      </c>
      <c r="J411" t="s">
        <v>231</v>
      </c>
      <c r="K411" t="s">
        <v>231</v>
      </c>
      <c r="L411" t="s">
        <v>231</v>
      </c>
      <c r="M411" t="s">
        <v>231</v>
      </c>
      <c r="N411" t="s">
        <v>231</v>
      </c>
      <c r="O411" t="s">
        <v>231</v>
      </c>
      <c r="P411" t="s">
        <v>231</v>
      </c>
      <c r="Q411" t="s">
        <v>231</v>
      </c>
      <c r="R411" t="s">
        <v>3833</v>
      </c>
      <c r="S411" t="s">
        <v>231</v>
      </c>
      <c r="T411" t="s">
        <v>231</v>
      </c>
      <c r="U411" t="s">
        <v>101</v>
      </c>
      <c r="V411" t="s">
        <v>231</v>
      </c>
      <c r="W411" t="s">
        <v>231</v>
      </c>
      <c r="X411" t="s">
        <v>3523</v>
      </c>
      <c r="Y411" t="s">
        <v>231</v>
      </c>
      <c r="Z411" t="s">
        <v>160</v>
      </c>
      <c r="AA411" t="s">
        <v>151</v>
      </c>
      <c r="AB411" t="s">
        <v>151</v>
      </c>
      <c r="AC411" t="s">
        <v>2289</v>
      </c>
      <c r="AD411" t="s">
        <v>2289</v>
      </c>
      <c r="AE411" t="s">
        <v>2290</v>
      </c>
      <c r="AF411" t="s">
        <v>3735</v>
      </c>
      <c r="AG411" t="s">
        <v>3736</v>
      </c>
      <c r="AH411" t="s">
        <v>3834</v>
      </c>
      <c r="AI411" t="s">
        <v>3738</v>
      </c>
      <c r="AJ411" t="s">
        <v>3546</v>
      </c>
      <c r="AK411" t="s">
        <v>3775</v>
      </c>
      <c r="AL411" t="s">
        <v>3548</v>
      </c>
      <c r="AM411" t="s">
        <v>3531</v>
      </c>
      <c r="AN411" t="s">
        <v>3595</v>
      </c>
      <c r="AO411" t="s">
        <v>3835</v>
      </c>
      <c r="AP411" t="s">
        <v>231</v>
      </c>
      <c r="AQ411" t="s">
        <v>231</v>
      </c>
      <c r="AR411" t="s">
        <v>231</v>
      </c>
      <c r="AS411" t="s">
        <v>231</v>
      </c>
      <c r="AT411" t="s">
        <v>231</v>
      </c>
      <c r="AU411" t="s">
        <v>231</v>
      </c>
      <c r="AV411" t="s">
        <v>231</v>
      </c>
      <c r="AW411" t="s">
        <v>231</v>
      </c>
      <c r="AX411" t="s">
        <v>231</v>
      </c>
      <c r="AY411" t="s">
        <v>231</v>
      </c>
      <c r="AZ411" t="s">
        <v>231</v>
      </c>
      <c r="BA411" t="s">
        <v>231</v>
      </c>
      <c r="BB411" t="s">
        <v>231</v>
      </c>
      <c r="BC411" t="s">
        <v>231</v>
      </c>
      <c r="BD411" t="s">
        <v>231</v>
      </c>
      <c r="BE411" t="s">
        <v>231</v>
      </c>
      <c r="BF411" t="s">
        <v>231</v>
      </c>
      <c r="BG411" t="s">
        <v>231</v>
      </c>
      <c r="BH411" t="s">
        <v>231</v>
      </c>
      <c r="BI411" t="s">
        <v>231</v>
      </c>
      <c r="BJ411" t="s">
        <v>231</v>
      </c>
      <c r="BK411" t="s">
        <v>231</v>
      </c>
      <c r="BL411" t="s">
        <v>231</v>
      </c>
      <c r="BM411" t="s">
        <v>231</v>
      </c>
      <c r="BN411" t="s">
        <v>231</v>
      </c>
      <c r="BO411" t="s">
        <v>231</v>
      </c>
      <c r="BP411" t="s">
        <v>231</v>
      </c>
      <c r="BQ411" t="s">
        <v>231</v>
      </c>
      <c r="BR411" t="s">
        <v>231</v>
      </c>
      <c r="BS411" t="s">
        <v>231</v>
      </c>
      <c r="BT411" t="s">
        <v>231</v>
      </c>
      <c r="BU411" t="s">
        <v>231</v>
      </c>
      <c r="BV411" t="s">
        <v>231</v>
      </c>
      <c r="BW411" t="s">
        <v>231</v>
      </c>
      <c r="BX411" t="s">
        <v>231</v>
      </c>
      <c r="BY411" t="s">
        <v>231</v>
      </c>
      <c r="BZ411" t="s">
        <v>231</v>
      </c>
      <c r="CA411" t="s">
        <v>231</v>
      </c>
      <c r="CB411" t="s">
        <v>231</v>
      </c>
      <c r="CC411" t="s">
        <v>231</v>
      </c>
      <c r="CD411" t="s">
        <v>231</v>
      </c>
      <c r="CE411" t="s">
        <v>231</v>
      </c>
      <c r="CF411" t="s">
        <v>231</v>
      </c>
      <c r="CG411" t="s">
        <v>231</v>
      </c>
      <c r="CH411" t="s">
        <v>231</v>
      </c>
      <c r="CI411" t="s">
        <v>231</v>
      </c>
      <c r="CJ411" t="s">
        <v>231</v>
      </c>
      <c r="CK411" t="s">
        <v>231</v>
      </c>
      <c r="CL411" t="s">
        <v>231</v>
      </c>
      <c r="CM411" t="s">
        <v>231</v>
      </c>
      <c r="CN411" t="s">
        <v>231</v>
      </c>
      <c r="CO411" t="s">
        <v>231</v>
      </c>
      <c r="CP411" t="s">
        <v>231</v>
      </c>
      <c r="CQ411" t="s">
        <v>231</v>
      </c>
      <c r="CR411" t="s">
        <v>231</v>
      </c>
      <c r="CS411" t="s">
        <v>231</v>
      </c>
      <c r="CT411" t="s">
        <v>3534</v>
      </c>
      <c r="CU411" t="s">
        <v>3535</v>
      </c>
      <c r="CV411" t="s">
        <v>3536</v>
      </c>
      <c r="CW411" t="s">
        <v>3589</v>
      </c>
      <c r="CX411" t="s">
        <v>223</v>
      </c>
      <c r="CY411" t="s">
        <v>3536</v>
      </c>
      <c r="CZ411" t="s">
        <v>3590</v>
      </c>
      <c r="DA411" t="s">
        <v>3591</v>
      </c>
      <c r="DB411" t="s">
        <v>3589</v>
      </c>
      <c r="DC411" t="s">
        <v>363</v>
      </c>
      <c r="DD411" t="s">
        <v>282</v>
      </c>
      <c r="DE411" t="s">
        <v>3836</v>
      </c>
    </row>
    <row r="412" spans="1:109" ht="11.25" customHeight="1">
      <c r="A412" s="1314" t="s">
        <v>231</v>
      </c>
      <c r="B412" t="s">
        <v>231</v>
      </c>
      <c r="C412" t="s">
        <v>231</v>
      </c>
      <c r="D412" t="s">
        <v>231</v>
      </c>
      <c r="E412" t="s">
        <v>231</v>
      </c>
      <c r="F412" t="s">
        <v>231</v>
      </c>
      <c r="G412" t="s">
        <v>231</v>
      </c>
      <c r="H412" t="s">
        <v>231</v>
      </c>
      <c r="I412" t="s">
        <v>3521</v>
      </c>
      <c r="J412" t="s">
        <v>231</v>
      </c>
      <c r="K412" t="s">
        <v>231</v>
      </c>
      <c r="L412" t="s">
        <v>231</v>
      </c>
      <c r="M412" t="s">
        <v>231</v>
      </c>
      <c r="N412" t="s">
        <v>231</v>
      </c>
      <c r="O412" t="s">
        <v>231</v>
      </c>
      <c r="P412" t="s">
        <v>231</v>
      </c>
      <c r="Q412" t="s">
        <v>231</v>
      </c>
      <c r="R412" t="s">
        <v>4059</v>
      </c>
      <c r="S412" t="s">
        <v>231</v>
      </c>
      <c r="T412" t="s">
        <v>231</v>
      </c>
      <c r="U412" t="s">
        <v>101</v>
      </c>
      <c r="V412" t="s">
        <v>231</v>
      </c>
      <c r="W412" t="s">
        <v>231</v>
      </c>
      <c r="X412" t="s">
        <v>3523</v>
      </c>
      <c r="Y412" t="s">
        <v>231</v>
      </c>
      <c r="Z412" t="s">
        <v>160</v>
      </c>
      <c r="AA412" t="s">
        <v>151</v>
      </c>
      <c r="AB412" t="s">
        <v>151</v>
      </c>
      <c r="AC412" t="s">
        <v>2289</v>
      </c>
      <c r="AD412" t="s">
        <v>2289</v>
      </c>
      <c r="AE412" t="s">
        <v>2290</v>
      </c>
      <c r="AF412" t="s">
        <v>3735</v>
      </c>
      <c r="AG412" t="s">
        <v>3736</v>
      </c>
      <c r="AH412" t="s">
        <v>4060</v>
      </c>
      <c r="AI412" t="s">
        <v>4061</v>
      </c>
      <c r="AJ412" t="s">
        <v>3619</v>
      </c>
      <c r="AK412" t="s">
        <v>3716</v>
      </c>
      <c r="AL412" t="s">
        <v>3548</v>
      </c>
      <c r="AM412" t="s">
        <v>3531</v>
      </c>
      <c r="AN412" t="s">
        <v>3587</v>
      </c>
      <c r="AO412" t="s">
        <v>3739</v>
      </c>
      <c r="AP412" t="s">
        <v>231</v>
      </c>
      <c r="AQ412" t="s">
        <v>231</v>
      </c>
      <c r="AR412" t="s">
        <v>231</v>
      </c>
      <c r="AS412" t="s">
        <v>231</v>
      </c>
      <c r="AT412" t="s">
        <v>231</v>
      </c>
      <c r="AU412" t="s">
        <v>231</v>
      </c>
      <c r="AV412" t="s">
        <v>231</v>
      </c>
      <c r="AW412" t="s">
        <v>231</v>
      </c>
      <c r="AX412" t="s">
        <v>231</v>
      </c>
      <c r="AY412" t="s">
        <v>231</v>
      </c>
      <c r="AZ412" t="s">
        <v>231</v>
      </c>
      <c r="BA412" t="s">
        <v>231</v>
      </c>
      <c r="BB412" t="s">
        <v>231</v>
      </c>
      <c r="BC412" t="s">
        <v>231</v>
      </c>
      <c r="BD412" t="s">
        <v>231</v>
      </c>
      <c r="BE412" t="s">
        <v>231</v>
      </c>
      <c r="BF412" t="s">
        <v>231</v>
      </c>
      <c r="BG412" t="s">
        <v>231</v>
      </c>
      <c r="BH412" t="s">
        <v>231</v>
      </c>
      <c r="BI412" t="s">
        <v>231</v>
      </c>
      <c r="BJ412" t="s">
        <v>231</v>
      </c>
      <c r="BK412" t="s">
        <v>231</v>
      </c>
      <c r="BL412" t="s">
        <v>231</v>
      </c>
      <c r="BM412" t="s">
        <v>231</v>
      </c>
      <c r="BN412" t="s">
        <v>231</v>
      </c>
      <c r="BO412" t="s">
        <v>231</v>
      </c>
      <c r="BP412" t="s">
        <v>231</v>
      </c>
      <c r="BQ412" t="s">
        <v>231</v>
      </c>
      <c r="BR412" t="s">
        <v>231</v>
      </c>
      <c r="BS412" t="s">
        <v>231</v>
      </c>
      <c r="BT412" t="s">
        <v>231</v>
      </c>
      <c r="BU412" t="s">
        <v>231</v>
      </c>
      <c r="BV412" t="s">
        <v>231</v>
      </c>
      <c r="BW412" t="s">
        <v>231</v>
      </c>
      <c r="BX412" t="s">
        <v>231</v>
      </c>
      <c r="BY412" t="s">
        <v>231</v>
      </c>
      <c r="BZ412" t="s">
        <v>231</v>
      </c>
      <c r="CA412" t="s">
        <v>231</v>
      </c>
      <c r="CB412" t="s">
        <v>231</v>
      </c>
      <c r="CC412" t="s">
        <v>231</v>
      </c>
      <c r="CD412" t="s">
        <v>231</v>
      </c>
      <c r="CE412" t="s">
        <v>231</v>
      </c>
      <c r="CF412" t="s">
        <v>231</v>
      </c>
      <c r="CG412" t="s">
        <v>231</v>
      </c>
      <c r="CH412" t="s">
        <v>231</v>
      </c>
      <c r="CI412" t="s">
        <v>231</v>
      </c>
      <c r="CJ412" t="s">
        <v>231</v>
      </c>
      <c r="CK412" t="s">
        <v>231</v>
      </c>
      <c r="CL412" t="s">
        <v>231</v>
      </c>
      <c r="CM412" t="s">
        <v>231</v>
      </c>
      <c r="CN412" t="s">
        <v>231</v>
      </c>
      <c r="CO412" t="s">
        <v>231</v>
      </c>
      <c r="CP412" t="s">
        <v>231</v>
      </c>
      <c r="CQ412" t="s">
        <v>231</v>
      </c>
      <c r="CR412" t="s">
        <v>231</v>
      </c>
      <c r="CS412" t="s">
        <v>231</v>
      </c>
      <c r="CT412" t="s">
        <v>3534</v>
      </c>
      <c r="CU412" t="s">
        <v>3535</v>
      </c>
      <c r="CV412" t="s">
        <v>3536</v>
      </c>
      <c r="CW412" t="s">
        <v>3589</v>
      </c>
      <c r="CX412" t="s">
        <v>223</v>
      </c>
      <c r="CY412" t="s">
        <v>3536</v>
      </c>
      <c r="CZ412" t="s">
        <v>3590</v>
      </c>
      <c r="DA412" t="s">
        <v>3591</v>
      </c>
      <c r="DB412" t="s">
        <v>3589</v>
      </c>
      <c r="DC412" t="s">
        <v>363</v>
      </c>
      <c r="DD412" t="s">
        <v>282</v>
      </c>
      <c r="DE412" t="s">
        <v>4062</v>
      </c>
    </row>
    <row r="413" spans="1:109" ht="11.25" customHeight="1">
      <c r="A413" s="1314" t="s">
        <v>231</v>
      </c>
      <c r="B413" t="s">
        <v>231</v>
      </c>
      <c r="C413" t="s">
        <v>231</v>
      </c>
      <c r="D413" t="s">
        <v>231</v>
      </c>
      <c r="E413" t="s">
        <v>231</v>
      </c>
      <c r="F413" t="s">
        <v>231</v>
      </c>
      <c r="G413" t="s">
        <v>231</v>
      </c>
      <c r="H413" t="s">
        <v>231</v>
      </c>
      <c r="I413" t="s">
        <v>3521</v>
      </c>
      <c r="J413" t="s">
        <v>231</v>
      </c>
      <c r="K413" t="s">
        <v>231</v>
      </c>
      <c r="L413" t="s">
        <v>231</v>
      </c>
      <c r="M413" t="s">
        <v>231</v>
      </c>
      <c r="N413" t="s">
        <v>231</v>
      </c>
      <c r="O413" t="s">
        <v>231</v>
      </c>
      <c r="P413" t="s">
        <v>231</v>
      </c>
      <c r="Q413" t="s">
        <v>231</v>
      </c>
      <c r="R413" t="s">
        <v>3615</v>
      </c>
      <c r="S413" t="s">
        <v>231</v>
      </c>
      <c r="T413" t="s">
        <v>231</v>
      </c>
      <c r="U413" t="s">
        <v>101</v>
      </c>
      <c r="V413" t="s">
        <v>231</v>
      </c>
      <c r="W413" t="s">
        <v>231</v>
      </c>
      <c r="X413" t="s">
        <v>3523</v>
      </c>
      <c r="Y413" t="s">
        <v>231</v>
      </c>
      <c r="Z413" t="s">
        <v>160</v>
      </c>
      <c r="AA413" t="s">
        <v>151</v>
      </c>
      <c r="AB413" t="s">
        <v>151</v>
      </c>
      <c r="AC413" t="s">
        <v>2289</v>
      </c>
      <c r="AD413" t="s">
        <v>2289</v>
      </c>
      <c r="AE413" t="s">
        <v>2290</v>
      </c>
      <c r="AF413" t="s">
        <v>3735</v>
      </c>
      <c r="AG413" t="s">
        <v>3736</v>
      </c>
      <c r="AH413" t="s">
        <v>3714</v>
      </c>
      <c r="AI413" t="s">
        <v>4063</v>
      </c>
      <c r="AJ413" t="s">
        <v>3619</v>
      </c>
      <c r="AK413" t="s">
        <v>3716</v>
      </c>
      <c r="AL413" t="s">
        <v>3548</v>
      </c>
      <c r="AM413" t="s">
        <v>3531</v>
      </c>
      <c r="AN413" t="s">
        <v>3587</v>
      </c>
      <c r="AO413" t="s">
        <v>3724</v>
      </c>
      <c r="AP413" t="s">
        <v>231</v>
      </c>
      <c r="AQ413" t="s">
        <v>231</v>
      </c>
      <c r="AR413" t="s">
        <v>231</v>
      </c>
      <c r="AS413" t="s">
        <v>231</v>
      </c>
      <c r="AT413" t="s">
        <v>231</v>
      </c>
      <c r="AU413" t="s">
        <v>231</v>
      </c>
      <c r="AV413" t="s">
        <v>231</v>
      </c>
      <c r="AW413" t="s">
        <v>231</v>
      </c>
      <c r="AX413" t="s">
        <v>231</v>
      </c>
      <c r="AY413" t="s">
        <v>231</v>
      </c>
      <c r="AZ413" t="s">
        <v>231</v>
      </c>
      <c r="BA413" t="s">
        <v>231</v>
      </c>
      <c r="BB413" t="s">
        <v>231</v>
      </c>
      <c r="BC413" t="s">
        <v>231</v>
      </c>
      <c r="BD413" t="s">
        <v>231</v>
      </c>
      <c r="BE413" t="s">
        <v>231</v>
      </c>
      <c r="BF413" t="s">
        <v>231</v>
      </c>
      <c r="BG413" t="s">
        <v>231</v>
      </c>
      <c r="BH413" t="s">
        <v>231</v>
      </c>
      <c r="BI413" t="s">
        <v>231</v>
      </c>
      <c r="BJ413" t="s">
        <v>231</v>
      </c>
      <c r="BK413" t="s">
        <v>231</v>
      </c>
      <c r="BL413" t="s">
        <v>231</v>
      </c>
      <c r="BM413" t="s">
        <v>231</v>
      </c>
      <c r="BN413" t="s">
        <v>231</v>
      </c>
      <c r="BO413" t="s">
        <v>231</v>
      </c>
      <c r="BP413" t="s">
        <v>231</v>
      </c>
      <c r="BQ413" t="s">
        <v>231</v>
      </c>
      <c r="BR413" t="s">
        <v>231</v>
      </c>
      <c r="BS413" t="s">
        <v>231</v>
      </c>
      <c r="BT413" t="s">
        <v>231</v>
      </c>
      <c r="BU413" t="s">
        <v>231</v>
      </c>
      <c r="BV413" t="s">
        <v>231</v>
      </c>
      <c r="BW413" t="s">
        <v>231</v>
      </c>
      <c r="BX413" t="s">
        <v>231</v>
      </c>
      <c r="BY413" t="s">
        <v>231</v>
      </c>
      <c r="BZ413" t="s">
        <v>231</v>
      </c>
      <c r="CA413" t="s">
        <v>231</v>
      </c>
      <c r="CB413" t="s">
        <v>231</v>
      </c>
      <c r="CC413" t="s">
        <v>231</v>
      </c>
      <c r="CD413" t="s">
        <v>231</v>
      </c>
      <c r="CE413" t="s">
        <v>231</v>
      </c>
      <c r="CF413" t="s">
        <v>231</v>
      </c>
      <c r="CG413" t="s">
        <v>231</v>
      </c>
      <c r="CH413" t="s">
        <v>231</v>
      </c>
      <c r="CI413" t="s">
        <v>231</v>
      </c>
      <c r="CJ413" t="s">
        <v>231</v>
      </c>
      <c r="CK413" t="s">
        <v>231</v>
      </c>
      <c r="CL413" t="s">
        <v>231</v>
      </c>
      <c r="CM413" t="s">
        <v>231</v>
      </c>
      <c r="CN413" t="s">
        <v>231</v>
      </c>
      <c r="CO413" t="s">
        <v>231</v>
      </c>
      <c r="CP413" t="s">
        <v>231</v>
      </c>
      <c r="CQ413" t="s">
        <v>231</v>
      </c>
      <c r="CR413" t="s">
        <v>231</v>
      </c>
      <c r="CS413" t="s">
        <v>231</v>
      </c>
      <c r="CT413" t="s">
        <v>3534</v>
      </c>
      <c r="CU413" t="s">
        <v>3535</v>
      </c>
      <c r="CV413" t="s">
        <v>3536</v>
      </c>
      <c r="CW413" t="s">
        <v>3589</v>
      </c>
      <c r="CX413" t="s">
        <v>223</v>
      </c>
      <c r="CY413" t="s">
        <v>3536</v>
      </c>
      <c r="CZ413" t="s">
        <v>3590</v>
      </c>
      <c r="DA413" t="s">
        <v>3591</v>
      </c>
      <c r="DB413" t="s">
        <v>3589</v>
      </c>
      <c r="DC413" t="s">
        <v>363</v>
      </c>
      <c r="DD413" t="s">
        <v>282</v>
      </c>
      <c r="DE413" t="s">
        <v>4064</v>
      </c>
    </row>
    <row r="414" spans="1:109" ht="11.25" customHeight="1">
      <c r="A414" s="1314" t="s">
        <v>231</v>
      </c>
      <c r="B414" t="s">
        <v>231</v>
      </c>
      <c r="C414" t="s">
        <v>231</v>
      </c>
      <c r="D414" t="s">
        <v>231</v>
      </c>
      <c r="E414" t="s">
        <v>231</v>
      </c>
      <c r="F414" t="s">
        <v>231</v>
      </c>
      <c r="G414" t="s">
        <v>231</v>
      </c>
      <c r="H414" t="s">
        <v>231</v>
      </c>
      <c r="I414" t="s">
        <v>3521</v>
      </c>
      <c r="J414" t="s">
        <v>231</v>
      </c>
      <c r="K414" t="s">
        <v>231</v>
      </c>
      <c r="L414" t="s">
        <v>231</v>
      </c>
      <c r="M414" t="s">
        <v>231</v>
      </c>
      <c r="N414" t="s">
        <v>231</v>
      </c>
      <c r="O414" t="s">
        <v>231</v>
      </c>
      <c r="P414" t="s">
        <v>231</v>
      </c>
      <c r="Q414" t="s">
        <v>231</v>
      </c>
      <c r="R414" t="s">
        <v>4753</v>
      </c>
      <c r="S414" t="s">
        <v>231</v>
      </c>
      <c r="T414" t="s">
        <v>231</v>
      </c>
      <c r="U414" t="s">
        <v>101</v>
      </c>
      <c r="V414" t="s">
        <v>231</v>
      </c>
      <c r="W414" t="s">
        <v>231</v>
      </c>
      <c r="X414" t="s">
        <v>3523</v>
      </c>
      <c r="Y414" t="s">
        <v>231</v>
      </c>
      <c r="Z414" t="s">
        <v>160</v>
      </c>
      <c r="AA414" t="s">
        <v>151</v>
      </c>
      <c r="AB414" t="s">
        <v>151</v>
      </c>
      <c r="AC414" t="s">
        <v>2287</v>
      </c>
      <c r="AD414" t="s">
        <v>2287</v>
      </c>
      <c r="AE414" t="s">
        <v>2288</v>
      </c>
      <c r="AF414" t="s">
        <v>4754</v>
      </c>
      <c r="AG414" t="s">
        <v>4755</v>
      </c>
      <c r="AH414" t="s">
        <v>4034</v>
      </c>
      <c r="AI414" t="s">
        <v>4756</v>
      </c>
      <c r="AJ414" t="s">
        <v>3619</v>
      </c>
      <c r="AK414" t="s">
        <v>4757</v>
      </c>
      <c r="AL414" t="s">
        <v>3548</v>
      </c>
      <c r="AM414" t="s">
        <v>3531</v>
      </c>
      <c r="AN414" t="s">
        <v>3621</v>
      </c>
      <c r="AO414" t="s">
        <v>4151</v>
      </c>
      <c r="AP414" t="s">
        <v>231</v>
      </c>
      <c r="AQ414" t="s">
        <v>231</v>
      </c>
      <c r="AR414" t="s">
        <v>231</v>
      </c>
      <c r="AS414" t="s">
        <v>231</v>
      </c>
      <c r="AT414" t="s">
        <v>231</v>
      </c>
      <c r="AU414" t="s">
        <v>231</v>
      </c>
      <c r="AV414" t="s">
        <v>231</v>
      </c>
      <c r="AW414" t="s">
        <v>231</v>
      </c>
      <c r="AX414" t="s">
        <v>231</v>
      </c>
      <c r="AY414" t="s">
        <v>231</v>
      </c>
      <c r="AZ414" t="s">
        <v>231</v>
      </c>
      <c r="BA414" t="s">
        <v>231</v>
      </c>
      <c r="BB414" t="s">
        <v>231</v>
      </c>
      <c r="BC414" t="s">
        <v>231</v>
      </c>
      <c r="BD414" t="s">
        <v>231</v>
      </c>
      <c r="BE414" t="s">
        <v>231</v>
      </c>
      <c r="BF414" t="s">
        <v>231</v>
      </c>
      <c r="BG414" t="s">
        <v>231</v>
      </c>
      <c r="BH414" t="s">
        <v>231</v>
      </c>
      <c r="BI414" t="s">
        <v>231</v>
      </c>
      <c r="BJ414" t="s">
        <v>231</v>
      </c>
      <c r="BK414" t="s">
        <v>231</v>
      </c>
      <c r="BL414" t="s">
        <v>231</v>
      </c>
      <c r="BM414" t="s">
        <v>231</v>
      </c>
      <c r="BN414" t="s">
        <v>231</v>
      </c>
      <c r="BO414" t="s">
        <v>231</v>
      </c>
      <c r="BP414" t="s">
        <v>231</v>
      </c>
      <c r="BQ414" t="s">
        <v>231</v>
      </c>
      <c r="BR414" t="s">
        <v>231</v>
      </c>
      <c r="BS414" t="s">
        <v>231</v>
      </c>
      <c r="BT414" t="s">
        <v>231</v>
      </c>
      <c r="BU414" t="s">
        <v>231</v>
      </c>
      <c r="BV414" t="s">
        <v>231</v>
      </c>
      <c r="BW414" t="s">
        <v>231</v>
      </c>
      <c r="BX414" t="s">
        <v>231</v>
      </c>
      <c r="BY414" t="s">
        <v>231</v>
      </c>
      <c r="BZ414" t="s">
        <v>231</v>
      </c>
      <c r="CA414" t="s">
        <v>231</v>
      </c>
      <c r="CB414" t="s">
        <v>231</v>
      </c>
      <c r="CC414" t="s">
        <v>231</v>
      </c>
      <c r="CD414" t="s">
        <v>231</v>
      </c>
      <c r="CE414" t="s">
        <v>231</v>
      </c>
      <c r="CF414" t="s">
        <v>231</v>
      </c>
      <c r="CG414" t="s">
        <v>231</v>
      </c>
      <c r="CH414" t="s">
        <v>231</v>
      </c>
      <c r="CI414" t="s">
        <v>231</v>
      </c>
      <c r="CJ414" t="s">
        <v>231</v>
      </c>
      <c r="CK414" t="s">
        <v>231</v>
      </c>
      <c r="CL414" t="s">
        <v>231</v>
      </c>
      <c r="CM414" t="s">
        <v>231</v>
      </c>
      <c r="CN414" t="s">
        <v>231</v>
      </c>
      <c r="CO414" t="s">
        <v>231</v>
      </c>
      <c r="CP414" t="s">
        <v>231</v>
      </c>
      <c r="CQ414" t="s">
        <v>231</v>
      </c>
      <c r="CR414" t="s">
        <v>231</v>
      </c>
      <c r="CS414" t="s">
        <v>231</v>
      </c>
      <c r="CT414" t="s">
        <v>3534</v>
      </c>
      <c r="CU414" t="s">
        <v>3535</v>
      </c>
      <c r="CV414" t="s">
        <v>3536</v>
      </c>
      <c r="CW414" t="s">
        <v>3623</v>
      </c>
      <c r="CX414" t="s">
        <v>223</v>
      </c>
      <c r="CY414" t="s">
        <v>3536</v>
      </c>
      <c r="CZ414" t="s">
        <v>3624</v>
      </c>
      <c r="DA414" t="s">
        <v>3625</v>
      </c>
      <c r="DB414" t="s">
        <v>3623</v>
      </c>
      <c r="DC414" t="s">
        <v>363</v>
      </c>
      <c r="DD414" t="s">
        <v>282</v>
      </c>
      <c r="DE414" t="s">
        <v>4758</v>
      </c>
    </row>
    <row r="415" spans="1:109" ht="11.25" customHeight="1">
      <c r="A415" s="1314" t="s">
        <v>231</v>
      </c>
      <c r="B415" t="s">
        <v>231</v>
      </c>
      <c r="C415" t="s">
        <v>231</v>
      </c>
      <c r="D415" t="s">
        <v>231</v>
      </c>
      <c r="E415" t="s">
        <v>231</v>
      </c>
      <c r="F415" t="s">
        <v>231</v>
      </c>
      <c r="G415" t="s">
        <v>231</v>
      </c>
      <c r="H415" t="s">
        <v>231</v>
      </c>
      <c r="I415" t="s">
        <v>3521</v>
      </c>
      <c r="J415" t="s">
        <v>231</v>
      </c>
      <c r="K415" t="s">
        <v>231</v>
      </c>
      <c r="L415" t="s">
        <v>231</v>
      </c>
      <c r="M415" t="s">
        <v>231</v>
      </c>
      <c r="N415" t="s">
        <v>231</v>
      </c>
      <c r="O415" t="s">
        <v>231</v>
      </c>
      <c r="P415" t="s">
        <v>231</v>
      </c>
      <c r="Q415" t="s">
        <v>231</v>
      </c>
      <c r="R415" t="s">
        <v>4945</v>
      </c>
      <c r="S415" t="s">
        <v>231</v>
      </c>
      <c r="T415" t="s">
        <v>231</v>
      </c>
      <c r="U415" t="s">
        <v>101</v>
      </c>
      <c r="V415" t="s">
        <v>231</v>
      </c>
      <c r="W415" t="s">
        <v>231</v>
      </c>
      <c r="X415" t="s">
        <v>3628</v>
      </c>
      <c r="Y415" t="s">
        <v>231</v>
      </c>
      <c r="Z415" t="s">
        <v>151</v>
      </c>
      <c r="AA415" t="s">
        <v>151</v>
      </c>
      <c r="AB415" t="s">
        <v>160</v>
      </c>
      <c r="AC415" t="s">
        <v>2287</v>
      </c>
      <c r="AD415" t="s">
        <v>2287</v>
      </c>
      <c r="AE415" t="s">
        <v>2288</v>
      </c>
      <c r="AF415" t="s">
        <v>4754</v>
      </c>
      <c r="AG415" t="s">
        <v>4755</v>
      </c>
      <c r="AH415" t="s">
        <v>3618</v>
      </c>
      <c r="AI415" t="s">
        <v>3618</v>
      </c>
      <c r="AJ415" t="s">
        <v>231</v>
      </c>
      <c r="AK415" t="s">
        <v>231</v>
      </c>
      <c r="AL415" t="s">
        <v>231</v>
      </c>
      <c r="AM415" t="s">
        <v>231</v>
      </c>
      <c r="AN415" t="s">
        <v>231</v>
      </c>
      <c r="AO415" t="s">
        <v>231</v>
      </c>
      <c r="AP415" t="s">
        <v>231</v>
      </c>
      <c r="AQ415" t="s">
        <v>231</v>
      </c>
      <c r="AR415" t="s">
        <v>231</v>
      </c>
      <c r="AS415" t="s">
        <v>231</v>
      </c>
      <c r="AT415" t="s">
        <v>231</v>
      </c>
      <c r="AU415" t="s">
        <v>231</v>
      </c>
      <c r="AV415" t="s">
        <v>231</v>
      </c>
      <c r="AW415" t="s">
        <v>231</v>
      </c>
      <c r="AX415" t="s">
        <v>231</v>
      </c>
      <c r="AY415" t="s">
        <v>231</v>
      </c>
      <c r="AZ415" t="s">
        <v>231</v>
      </c>
      <c r="BA415" t="s">
        <v>231</v>
      </c>
      <c r="BB415" t="s">
        <v>231</v>
      </c>
      <c r="BC415" t="s">
        <v>231</v>
      </c>
      <c r="BD415" t="s">
        <v>231</v>
      </c>
      <c r="BE415" t="s">
        <v>3619</v>
      </c>
      <c r="BF415" t="s">
        <v>4757</v>
      </c>
      <c r="BG415" t="s">
        <v>111</v>
      </c>
      <c r="BH415" t="s">
        <v>3632</v>
      </c>
      <c r="BI415" t="s">
        <v>122</v>
      </c>
      <c r="BJ415" t="s">
        <v>231</v>
      </c>
      <c r="BK415" t="s">
        <v>3651</v>
      </c>
      <c r="BL415" t="s">
        <v>2287</v>
      </c>
      <c r="BM415" t="s">
        <v>2287</v>
      </c>
      <c r="BN415" t="s">
        <v>3842</v>
      </c>
      <c r="BO415" t="s">
        <v>4754</v>
      </c>
      <c r="BP415" t="s">
        <v>4946</v>
      </c>
      <c r="BQ415" t="s">
        <v>3618</v>
      </c>
      <c r="BR415" t="s">
        <v>3618</v>
      </c>
      <c r="BS415" t="s">
        <v>231</v>
      </c>
      <c r="BT415" t="s">
        <v>3694</v>
      </c>
      <c r="BU415" t="s">
        <v>4947</v>
      </c>
      <c r="BV415" t="s">
        <v>4947</v>
      </c>
      <c r="BW415" t="s">
        <v>3641</v>
      </c>
      <c r="BX415" t="s">
        <v>3641</v>
      </c>
      <c r="BY415" t="s">
        <v>3641</v>
      </c>
      <c r="BZ415" t="s">
        <v>3641</v>
      </c>
      <c r="CA415" t="s">
        <v>3641</v>
      </c>
      <c r="CB415" t="s">
        <v>231</v>
      </c>
      <c r="CC415" t="s">
        <v>231</v>
      </c>
      <c r="CD415" t="s">
        <v>231</v>
      </c>
      <c r="CE415" t="s">
        <v>231</v>
      </c>
      <c r="CF415" t="s">
        <v>231</v>
      </c>
      <c r="CG415" t="s">
        <v>3641</v>
      </c>
      <c r="CH415" t="s">
        <v>231</v>
      </c>
      <c r="CI415" t="s">
        <v>231</v>
      </c>
      <c r="CJ415" t="s">
        <v>231</v>
      </c>
      <c r="CK415" t="s">
        <v>231</v>
      </c>
      <c r="CL415" t="s">
        <v>231</v>
      </c>
      <c r="CM415" t="s">
        <v>4947</v>
      </c>
      <c r="CN415" t="s">
        <v>4947</v>
      </c>
      <c r="CO415" t="s">
        <v>231</v>
      </c>
      <c r="CP415" t="s">
        <v>231</v>
      </c>
      <c r="CQ415" t="s">
        <v>231</v>
      </c>
      <c r="CR415" t="s">
        <v>231</v>
      </c>
      <c r="CS415" t="s">
        <v>3621</v>
      </c>
      <c r="CT415" t="s">
        <v>3534</v>
      </c>
      <c r="CU415" t="s">
        <v>3535</v>
      </c>
      <c r="CV415" t="s">
        <v>3536</v>
      </c>
      <c r="CW415" t="s">
        <v>3623</v>
      </c>
      <c r="CX415" t="s">
        <v>223</v>
      </c>
      <c r="CY415" t="s">
        <v>3536</v>
      </c>
      <c r="CZ415" t="s">
        <v>3624</v>
      </c>
      <c r="DA415" t="s">
        <v>3625</v>
      </c>
      <c r="DB415" t="s">
        <v>3623</v>
      </c>
      <c r="DC415" t="s">
        <v>363</v>
      </c>
      <c r="DD415" t="s">
        <v>282</v>
      </c>
      <c r="DE415" t="s">
        <v>4948</v>
      </c>
    </row>
    <row r="416" spans="1:109" ht="11.25" customHeight="1">
      <c r="A416" s="1314" t="s">
        <v>231</v>
      </c>
      <c r="B416" t="s">
        <v>231</v>
      </c>
      <c r="C416" t="s">
        <v>231</v>
      </c>
      <c r="D416" t="s">
        <v>231</v>
      </c>
      <c r="E416" t="s">
        <v>231</v>
      </c>
      <c r="F416" t="s">
        <v>231</v>
      </c>
      <c r="G416" t="s">
        <v>231</v>
      </c>
      <c r="H416" t="s">
        <v>231</v>
      </c>
      <c r="I416" t="s">
        <v>3521</v>
      </c>
      <c r="J416" t="s">
        <v>231</v>
      </c>
      <c r="K416" t="s">
        <v>231</v>
      </c>
      <c r="L416" t="s">
        <v>231</v>
      </c>
      <c r="M416" t="s">
        <v>231</v>
      </c>
      <c r="N416" t="s">
        <v>231</v>
      </c>
      <c r="O416" t="s">
        <v>231</v>
      </c>
      <c r="P416" t="s">
        <v>231</v>
      </c>
      <c r="Q416" t="s">
        <v>231</v>
      </c>
      <c r="R416" t="s">
        <v>5045</v>
      </c>
      <c r="S416" t="s">
        <v>231</v>
      </c>
      <c r="T416" t="s">
        <v>231</v>
      </c>
      <c r="U416" t="s">
        <v>101</v>
      </c>
      <c r="V416" t="s">
        <v>231</v>
      </c>
      <c r="W416" t="s">
        <v>231</v>
      </c>
      <c r="X416" t="s">
        <v>3523</v>
      </c>
      <c r="Y416" t="s">
        <v>231</v>
      </c>
      <c r="Z416" t="s">
        <v>160</v>
      </c>
      <c r="AA416" t="s">
        <v>151</v>
      </c>
      <c r="AB416" t="s">
        <v>151</v>
      </c>
      <c r="AC416" t="s">
        <v>343</v>
      </c>
      <c r="AD416" t="s">
        <v>343</v>
      </c>
      <c r="AE416" t="s">
        <v>344</v>
      </c>
      <c r="AF416" t="s">
        <v>3561</v>
      </c>
      <c r="AG416" t="s">
        <v>3562</v>
      </c>
      <c r="AH416" t="s">
        <v>4335</v>
      </c>
      <c r="AI416" t="s">
        <v>482</v>
      </c>
      <c r="AJ416" t="s">
        <v>3603</v>
      </c>
      <c r="AK416" t="s">
        <v>4336</v>
      </c>
      <c r="AL416" t="s">
        <v>3566</v>
      </c>
      <c r="AM416" t="s">
        <v>3531</v>
      </c>
      <c r="AN416" t="s">
        <v>4337</v>
      </c>
      <c r="AO416" t="s">
        <v>4338</v>
      </c>
      <c r="AP416" t="s">
        <v>231</v>
      </c>
      <c r="AQ416" t="s">
        <v>231</v>
      </c>
      <c r="AR416" t="s">
        <v>231</v>
      </c>
      <c r="AS416" t="s">
        <v>231</v>
      </c>
      <c r="AT416" t="s">
        <v>231</v>
      </c>
      <c r="AU416" t="s">
        <v>231</v>
      </c>
      <c r="AV416" t="s">
        <v>231</v>
      </c>
      <c r="AW416" t="s">
        <v>231</v>
      </c>
      <c r="AX416" t="s">
        <v>231</v>
      </c>
      <c r="AY416" t="s">
        <v>231</v>
      </c>
      <c r="AZ416" t="s">
        <v>231</v>
      </c>
      <c r="BA416" t="s">
        <v>231</v>
      </c>
      <c r="BB416" t="s">
        <v>231</v>
      </c>
      <c r="BC416" t="s">
        <v>231</v>
      </c>
      <c r="BD416" t="s">
        <v>231</v>
      </c>
      <c r="BE416" t="s">
        <v>231</v>
      </c>
      <c r="BF416" t="s">
        <v>231</v>
      </c>
      <c r="BG416" t="s">
        <v>231</v>
      </c>
      <c r="BH416" t="s">
        <v>231</v>
      </c>
      <c r="BI416" t="s">
        <v>231</v>
      </c>
      <c r="BJ416" t="s">
        <v>231</v>
      </c>
      <c r="BK416" t="s">
        <v>231</v>
      </c>
      <c r="BL416" t="s">
        <v>231</v>
      </c>
      <c r="BM416" t="s">
        <v>231</v>
      </c>
      <c r="BN416" t="s">
        <v>231</v>
      </c>
      <c r="BO416" t="s">
        <v>231</v>
      </c>
      <c r="BP416" t="s">
        <v>231</v>
      </c>
      <c r="BQ416" t="s">
        <v>231</v>
      </c>
      <c r="BR416" t="s">
        <v>231</v>
      </c>
      <c r="BS416" t="s">
        <v>231</v>
      </c>
      <c r="BT416" t="s">
        <v>231</v>
      </c>
      <c r="BU416" t="s">
        <v>231</v>
      </c>
      <c r="BV416" t="s">
        <v>231</v>
      </c>
      <c r="BW416" t="s">
        <v>231</v>
      </c>
      <c r="BX416" t="s">
        <v>231</v>
      </c>
      <c r="BY416" t="s">
        <v>231</v>
      </c>
      <c r="BZ416" t="s">
        <v>231</v>
      </c>
      <c r="CA416" t="s">
        <v>231</v>
      </c>
      <c r="CB416" t="s">
        <v>231</v>
      </c>
      <c r="CC416" t="s">
        <v>231</v>
      </c>
      <c r="CD416" t="s">
        <v>231</v>
      </c>
      <c r="CE416" t="s">
        <v>231</v>
      </c>
      <c r="CF416" t="s">
        <v>231</v>
      </c>
      <c r="CG416" t="s">
        <v>231</v>
      </c>
      <c r="CH416" t="s">
        <v>231</v>
      </c>
      <c r="CI416" t="s">
        <v>231</v>
      </c>
      <c r="CJ416" t="s">
        <v>231</v>
      </c>
      <c r="CK416" t="s">
        <v>231</v>
      </c>
      <c r="CL416" t="s">
        <v>231</v>
      </c>
      <c r="CM416" t="s">
        <v>231</v>
      </c>
      <c r="CN416" t="s">
        <v>231</v>
      </c>
      <c r="CO416" t="s">
        <v>231</v>
      </c>
      <c r="CP416" t="s">
        <v>231</v>
      </c>
      <c r="CQ416" t="s">
        <v>231</v>
      </c>
      <c r="CR416" t="s">
        <v>231</v>
      </c>
      <c r="CS416" t="s">
        <v>231</v>
      </c>
      <c r="CT416" t="s">
        <v>3534</v>
      </c>
      <c r="CU416" t="s">
        <v>3535</v>
      </c>
      <c r="CV416" t="s">
        <v>3536</v>
      </c>
      <c r="CW416" t="s">
        <v>3569</v>
      </c>
      <c r="CX416" t="s">
        <v>3570</v>
      </c>
      <c r="CY416" t="s">
        <v>3536</v>
      </c>
      <c r="CZ416" t="s">
        <v>224</v>
      </c>
      <c r="DA416" t="s">
        <v>3571</v>
      </c>
      <c r="DB416" t="s">
        <v>3569</v>
      </c>
      <c r="DC416" t="s">
        <v>363</v>
      </c>
      <c r="DD416" t="s">
        <v>282</v>
      </c>
      <c r="DE416" t="s">
        <v>4339</v>
      </c>
    </row>
    <row r="417" spans="1:109" ht="11.25" customHeight="1">
      <c r="A417" s="1314" t="s">
        <v>231</v>
      </c>
      <c r="B417" t="s">
        <v>231</v>
      </c>
      <c r="C417" t="s">
        <v>231</v>
      </c>
      <c r="D417" t="s">
        <v>231</v>
      </c>
      <c r="E417" t="s">
        <v>231</v>
      </c>
      <c r="F417" t="s">
        <v>231</v>
      </c>
      <c r="G417" t="s">
        <v>231</v>
      </c>
      <c r="H417" t="s">
        <v>231</v>
      </c>
      <c r="I417" t="s">
        <v>3521</v>
      </c>
      <c r="J417" t="s">
        <v>231</v>
      </c>
      <c r="K417" t="s">
        <v>231</v>
      </c>
      <c r="L417" t="s">
        <v>231</v>
      </c>
      <c r="M417" t="s">
        <v>231</v>
      </c>
      <c r="N417" t="s">
        <v>231</v>
      </c>
      <c r="O417" t="s">
        <v>231</v>
      </c>
      <c r="P417" t="s">
        <v>231</v>
      </c>
      <c r="Q417" t="s">
        <v>231</v>
      </c>
      <c r="R417" t="s">
        <v>5046</v>
      </c>
      <c r="S417" t="s">
        <v>231</v>
      </c>
      <c r="T417" t="s">
        <v>231</v>
      </c>
      <c r="U417" t="s">
        <v>101</v>
      </c>
      <c r="V417" t="s">
        <v>231</v>
      </c>
      <c r="W417" t="s">
        <v>231</v>
      </c>
      <c r="X417" t="s">
        <v>3523</v>
      </c>
      <c r="Y417" t="s">
        <v>231</v>
      </c>
      <c r="Z417" t="s">
        <v>160</v>
      </c>
      <c r="AA417" t="s">
        <v>151</v>
      </c>
      <c r="AB417" t="s">
        <v>151</v>
      </c>
      <c r="AC417" t="s">
        <v>343</v>
      </c>
      <c r="AD417" t="s">
        <v>343</v>
      </c>
      <c r="AE417" t="s">
        <v>344</v>
      </c>
      <c r="AF417" t="s">
        <v>3561</v>
      </c>
      <c r="AG417" t="s">
        <v>3562</v>
      </c>
      <c r="AH417" t="s">
        <v>3563</v>
      </c>
      <c r="AI417" t="s">
        <v>1670</v>
      </c>
      <c r="AJ417" t="s">
        <v>3564</v>
      </c>
      <c r="AK417" t="s">
        <v>3565</v>
      </c>
      <c r="AL417" t="s">
        <v>3566</v>
      </c>
      <c r="AM417" t="s">
        <v>3531</v>
      </c>
      <c r="AN417" t="s">
        <v>3567</v>
      </c>
      <c r="AO417" t="s">
        <v>3568</v>
      </c>
      <c r="AP417" t="s">
        <v>231</v>
      </c>
      <c r="AQ417" t="s">
        <v>231</v>
      </c>
      <c r="AR417" t="s">
        <v>231</v>
      </c>
      <c r="AS417" t="s">
        <v>231</v>
      </c>
      <c r="AT417" t="s">
        <v>231</v>
      </c>
      <c r="AU417" t="s">
        <v>231</v>
      </c>
      <c r="AV417" t="s">
        <v>231</v>
      </c>
      <c r="AW417" t="s">
        <v>231</v>
      </c>
      <c r="AX417" t="s">
        <v>231</v>
      </c>
      <c r="AY417" t="s">
        <v>231</v>
      </c>
      <c r="AZ417" t="s">
        <v>231</v>
      </c>
      <c r="BA417" t="s">
        <v>231</v>
      </c>
      <c r="BB417" t="s">
        <v>231</v>
      </c>
      <c r="BC417" t="s">
        <v>231</v>
      </c>
      <c r="BD417" t="s">
        <v>231</v>
      </c>
      <c r="BE417" t="s">
        <v>231</v>
      </c>
      <c r="BF417" t="s">
        <v>231</v>
      </c>
      <c r="BG417" t="s">
        <v>231</v>
      </c>
      <c r="BH417" t="s">
        <v>231</v>
      </c>
      <c r="BI417" t="s">
        <v>231</v>
      </c>
      <c r="BJ417" t="s">
        <v>231</v>
      </c>
      <c r="BK417" t="s">
        <v>231</v>
      </c>
      <c r="BL417" t="s">
        <v>231</v>
      </c>
      <c r="BM417" t="s">
        <v>231</v>
      </c>
      <c r="BN417" t="s">
        <v>231</v>
      </c>
      <c r="BO417" t="s">
        <v>231</v>
      </c>
      <c r="BP417" t="s">
        <v>231</v>
      </c>
      <c r="BQ417" t="s">
        <v>231</v>
      </c>
      <c r="BR417" t="s">
        <v>231</v>
      </c>
      <c r="BS417" t="s">
        <v>231</v>
      </c>
      <c r="BT417" t="s">
        <v>231</v>
      </c>
      <c r="BU417" t="s">
        <v>231</v>
      </c>
      <c r="BV417" t="s">
        <v>231</v>
      </c>
      <c r="BW417" t="s">
        <v>231</v>
      </c>
      <c r="BX417" t="s">
        <v>231</v>
      </c>
      <c r="BY417" t="s">
        <v>231</v>
      </c>
      <c r="BZ417" t="s">
        <v>231</v>
      </c>
      <c r="CA417" t="s">
        <v>231</v>
      </c>
      <c r="CB417" t="s">
        <v>231</v>
      </c>
      <c r="CC417" t="s">
        <v>231</v>
      </c>
      <c r="CD417" t="s">
        <v>231</v>
      </c>
      <c r="CE417" t="s">
        <v>231</v>
      </c>
      <c r="CF417" t="s">
        <v>231</v>
      </c>
      <c r="CG417" t="s">
        <v>231</v>
      </c>
      <c r="CH417" t="s">
        <v>231</v>
      </c>
      <c r="CI417" t="s">
        <v>231</v>
      </c>
      <c r="CJ417" t="s">
        <v>231</v>
      </c>
      <c r="CK417" t="s">
        <v>231</v>
      </c>
      <c r="CL417" t="s">
        <v>231</v>
      </c>
      <c r="CM417" t="s">
        <v>231</v>
      </c>
      <c r="CN417" t="s">
        <v>231</v>
      </c>
      <c r="CO417" t="s">
        <v>231</v>
      </c>
      <c r="CP417" t="s">
        <v>231</v>
      </c>
      <c r="CQ417" t="s">
        <v>231</v>
      </c>
      <c r="CR417" t="s">
        <v>231</v>
      </c>
      <c r="CS417" t="s">
        <v>231</v>
      </c>
      <c r="CT417" t="s">
        <v>3534</v>
      </c>
      <c r="CU417" t="s">
        <v>3535</v>
      </c>
      <c r="CV417" t="s">
        <v>3536</v>
      </c>
      <c r="CW417" t="s">
        <v>3569</v>
      </c>
      <c r="CX417" t="s">
        <v>3570</v>
      </c>
      <c r="CY417" t="s">
        <v>3536</v>
      </c>
      <c r="CZ417" t="s">
        <v>224</v>
      </c>
      <c r="DA417" t="s">
        <v>3571</v>
      </c>
      <c r="DB417" t="s">
        <v>3569</v>
      </c>
      <c r="DC417" t="s">
        <v>363</v>
      </c>
      <c r="DD417" t="s">
        <v>282</v>
      </c>
      <c r="DE417" t="s">
        <v>3572</v>
      </c>
    </row>
    <row r="418" spans="1:109" ht="11.25" customHeight="1">
      <c r="A418" s="1314" t="s">
        <v>231</v>
      </c>
      <c r="B418" t="s">
        <v>231</v>
      </c>
      <c r="C418" t="s">
        <v>231</v>
      </c>
      <c r="D418" t="s">
        <v>231</v>
      </c>
      <c r="E418" t="s">
        <v>231</v>
      </c>
      <c r="F418" t="s">
        <v>231</v>
      </c>
      <c r="G418" t="s">
        <v>231</v>
      </c>
      <c r="H418" t="s">
        <v>231</v>
      </c>
      <c r="I418" t="s">
        <v>3521</v>
      </c>
      <c r="J418" t="s">
        <v>231</v>
      </c>
      <c r="K418" t="s">
        <v>231</v>
      </c>
      <c r="L418" t="s">
        <v>231</v>
      </c>
      <c r="M418" t="s">
        <v>231</v>
      </c>
      <c r="N418" t="s">
        <v>231</v>
      </c>
      <c r="O418" t="s">
        <v>231</v>
      </c>
      <c r="P418" t="s">
        <v>231</v>
      </c>
      <c r="Q418" t="s">
        <v>231</v>
      </c>
      <c r="R418" t="s">
        <v>3685</v>
      </c>
      <c r="S418" t="s">
        <v>231</v>
      </c>
      <c r="T418" t="s">
        <v>231</v>
      </c>
      <c r="U418" t="s">
        <v>101</v>
      </c>
      <c r="V418" t="s">
        <v>231</v>
      </c>
      <c r="W418" t="s">
        <v>231</v>
      </c>
      <c r="X418" t="s">
        <v>3628</v>
      </c>
      <c r="Y418" t="s">
        <v>231</v>
      </c>
      <c r="Z418" t="s">
        <v>151</v>
      </c>
      <c r="AA418" t="s">
        <v>151</v>
      </c>
      <c r="AB418" t="s">
        <v>160</v>
      </c>
      <c r="AC418" t="s">
        <v>2283</v>
      </c>
      <c r="AD418" t="s">
        <v>2283</v>
      </c>
      <c r="AE418" t="s">
        <v>2284</v>
      </c>
      <c r="AF418" t="s">
        <v>3963</v>
      </c>
      <c r="AG418" t="s">
        <v>3964</v>
      </c>
      <c r="AH418" t="s">
        <v>3965</v>
      </c>
      <c r="AI418" t="s">
        <v>3688</v>
      </c>
      <c r="AJ418" t="s">
        <v>231</v>
      </c>
      <c r="AK418" t="s">
        <v>231</v>
      </c>
      <c r="AL418" t="s">
        <v>231</v>
      </c>
      <c r="AM418" t="s">
        <v>231</v>
      </c>
      <c r="AN418" t="s">
        <v>231</v>
      </c>
      <c r="AO418" t="s">
        <v>231</v>
      </c>
      <c r="AP418" t="s">
        <v>231</v>
      </c>
      <c r="AQ418" t="s">
        <v>231</v>
      </c>
      <c r="AR418" t="s">
        <v>231</v>
      </c>
      <c r="AS418" t="s">
        <v>231</v>
      </c>
      <c r="AT418" t="s">
        <v>231</v>
      </c>
      <c r="AU418" t="s">
        <v>231</v>
      </c>
      <c r="AV418" t="s">
        <v>231</v>
      </c>
      <c r="AW418" t="s">
        <v>231</v>
      </c>
      <c r="AX418" t="s">
        <v>231</v>
      </c>
      <c r="AY418" t="s">
        <v>231</v>
      </c>
      <c r="AZ418" t="s">
        <v>231</v>
      </c>
      <c r="BA418" t="s">
        <v>231</v>
      </c>
      <c r="BB418" t="s">
        <v>231</v>
      </c>
      <c r="BC418" t="s">
        <v>231</v>
      </c>
      <c r="BD418" t="s">
        <v>231</v>
      </c>
      <c r="BE418" t="s">
        <v>3689</v>
      </c>
      <c r="BF418" t="s">
        <v>3689</v>
      </c>
      <c r="BG418" t="s">
        <v>111</v>
      </c>
      <c r="BH418" t="s">
        <v>3632</v>
      </c>
      <c r="BI418" t="s">
        <v>122</v>
      </c>
      <c r="BJ418" t="s">
        <v>231</v>
      </c>
      <c r="BK418" t="s">
        <v>3651</v>
      </c>
      <c r="BL418" t="s">
        <v>2283</v>
      </c>
      <c r="BM418" t="s">
        <v>2283</v>
      </c>
      <c r="BN418" t="s">
        <v>3690</v>
      </c>
      <c r="BO418" t="s">
        <v>3963</v>
      </c>
      <c r="BP418" t="s">
        <v>3966</v>
      </c>
      <c r="BQ418" t="s">
        <v>3967</v>
      </c>
      <c r="BR418" t="s">
        <v>1679</v>
      </c>
      <c r="BS418" t="s">
        <v>231</v>
      </c>
      <c r="BT418" t="s">
        <v>3694</v>
      </c>
      <c r="BU418" t="s">
        <v>3968</v>
      </c>
      <c r="BV418" t="s">
        <v>3968</v>
      </c>
      <c r="BW418" t="s">
        <v>3641</v>
      </c>
      <c r="BX418" t="s">
        <v>3641</v>
      </c>
      <c r="BY418" t="s">
        <v>3641</v>
      </c>
      <c r="BZ418" t="s">
        <v>3641</v>
      </c>
      <c r="CA418" t="s">
        <v>3641</v>
      </c>
      <c r="CB418" t="s">
        <v>231</v>
      </c>
      <c r="CC418" t="s">
        <v>231</v>
      </c>
      <c r="CD418" t="s">
        <v>231</v>
      </c>
      <c r="CE418" t="s">
        <v>231</v>
      </c>
      <c r="CF418" t="s">
        <v>231</v>
      </c>
      <c r="CG418" t="s">
        <v>3641</v>
      </c>
      <c r="CH418" t="s">
        <v>231</v>
      </c>
      <c r="CI418" t="s">
        <v>231</v>
      </c>
      <c r="CJ418" t="s">
        <v>231</v>
      </c>
      <c r="CK418" t="s">
        <v>231</v>
      </c>
      <c r="CL418" t="s">
        <v>231</v>
      </c>
      <c r="CM418" t="s">
        <v>3968</v>
      </c>
      <c r="CN418" t="s">
        <v>3968</v>
      </c>
      <c r="CO418" t="s">
        <v>231</v>
      </c>
      <c r="CP418" t="s">
        <v>231</v>
      </c>
      <c r="CQ418" t="s">
        <v>231</v>
      </c>
      <c r="CR418" t="s">
        <v>231</v>
      </c>
      <c r="CS418" t="s">
        <v>3549</v>
      </c>
      <c r="CT418" t="s">
        <v>3534</v>
      </c>
      <c r="CU418" t="s">
        <v>3535</v>
      </c>
      <c r="CV418" t="s">
        <v>3536</v>
      </c>
      <c r="CW418" t="s">
        <v>3551</v>
      </c>
      <c r="CX418" t="s">
        <v>223</v>
      </c>
      <c r="CY418" t="s">
        <v>3536</v>
      </c>
      <c r="CZ418" t="s">
        <v>3552</v>
      </c>
      <c r="DA418" t="s">
        <v>3553</v>
      </c>
      <c r="DB418" t="s">
        <v>3551</v>
      </c>
      <c r="DC418" t="s">
        <v>363</v>
      </c>
      <c r="DD418" t="s">
        <v>282</v>
      </c>
      <c r="DE418" t="s">
        <v>3969</v>
      </c>
    </row>
    <row r="419" spans="1:109" ht="11.25" customHeight="1">
      <c r="A419" s="1314" t="s">
        <v>231</v>
      </c>
      <c r="B419" t="s">
        <v>231</v>
      </c>
      <c r="C419" t="s">
        <v>231</v>
      </c>
      <c r="D419" t="s">
        <v>231</v>
      </c>
      <c r="E419" t="s">
        <v>231</v>
      </c>
      <c r="F419" t="s">
        <v>231</v>
      </c>
      <c r="G419" t="s">
        <v>231</v>
      </c>
      <c r="H419" t="s">
        <v>231</v>
      </c>
      <c r="I419" t="s">
        <v>3521</v>
      </c>
      <c r="J419" t="s">
        <v>231</v>
      </c>
      <c r="K419" t="s">
        <v>231</v>
      </c>
      <c r="L419" t="s">
        <v>231</v>
      </c>
      <c r="M419" t="s">
        <v>231</v>
      </c>
      <c r="N419" t="s">
        <v>231</v>
      </c>
      <c r="O419" t="s">
        <v>231</v>
      </c>
      <c r="P419" t="s">
        <v>231</v>
      </c>
      <c r="Q419" t="s">
        <v>231</v>
      </c>
      <c r="R419" t="s">
        <v>3749</v>
      </c>
      <c r="S419" t="s">
        <v>231</v>
      </c>
      <c r="T419" t="s">
        <v>231</v>
      </c>
      <c r="U419" t="s">
        <v>101</v>
      </c>
      <c r="V419" t="s">
        <v>231</v>
      </c>
      <c r="W419" t="s">
        <v>231</v>
      </c>
      <c r="X419" t="s">
        <v>3628</v>
      </c>
      <c r="Y419" t="s">
        <v>231</v>
      </c>
      <c r="Z419" t="s">
        <v>151</v>
      </c>
      <c r="AA419" t="s">
        <v>151</v>
      </c>
      <c r="AB419" t="s">
        <v>160</v>
      </c>
      <c r="AC419" t="s">
        <v>2283</v>
      </c>
      <c r="AD419" t="s">
        <v>2283</v>
      </c>
      <c r="AE419" t="s">
        <v>2284</v>
      </c>
      <c r="AF419" t="s">
        <v>3963</v>
      </c>
      <c r="AG419" t="s">
        <v>3964</v>
      </c>
      <c r="AH419" t="s">
        <v>3970</v>
      </c>
      <c r="AI419" t="s">
        <v>3688</v>
      </c>
      <c r="AJ419" t="s">
        <v>231</v>
      </c>
      <c r="AK419" t="s">
        <v>231</v>
      </c>
      <c r="AL419" t="s">
        <v>231</v>
      </c>
      <c r="AM419" t="s">
        <v>231</v>
      </c>
      <c r="AN419" t="s">
        <v>231</v>
      </c>
      <c r="AO419" t="s">
        <v>231</v>
      </c>
      <c r="AP419" t="s">
        <v>231</v>
      </c>
      <c r="AQ419" t="s">
        <v>231</v>
      </c>
      <c r="AR419" t="s">
        <v>231</v>
      </c>
      <c r="AS419" t="s">
        <v>231</v>
      </c>
      <c r="AT419" t="s">
        <v>231</v>
      </c>
      <c r="AU419" t="s">
        <v>231</v>
      </c>
      <c r="AV419" t="s">
        <v>231</v>
      </c>
      <c r="AW419" t="s">
        <v>231</v>
      </c>
      <c r="AX419" t="s">
        <v>231</v>
      </c>
      <c r="AY419" t="s">
        <v>231</v>
      </c>
      <c r="AZ419" t="s">
        <v>231</v>
      </c>
      <c r="BA419" t="s">
        <v>231</v>
      </c>
      <c r="BB419" t="s">
        <v>231</v>
      </c>
      <c r="BC419" t="s">
        <v>231</v>
      </c>
      <c r="BD419" t="s">
        <v>231</v>
      </c>
      <c r="BE419" t="s">
        <v>3689</v>
      </c>
      <c r="BF419" t="s">
        <v>3689</v>
      </c>
      <c r="BG419" t="s">
        <v>111</v>
      </c>
      <c r="BH419" t="s">
        <v>3632</v>
      </c>
      <c r="BI419" t="s">
        <v>122</v>
      </c>
      <c r="BJ419" t="s">
        <v>231</v>
      </c>
      <c r="BK419" t="s">
        <v>3651</v>
      </c>
      <c r="BL419" t="s">
        <v>2283</v>
      </c>
      <c r="BM419" t="s">
        <v>2283</v>
      </c>
      <c r="BN419" t="s">
        <v>3690</v>
      </c>
      <c r="BO419" t="s">
        <v>3963</v>
      </c>
      <c r="BP419" t="s">
        <v>3966</v>
      </c>
      <c r="BQ419" t="s">
        <v>3971</v>
      </c>
      <c r="BR419" t="s">
        <v>1679</v>
      </c>
      <c r="BS419" t="s">
        <v>231</v>
      </c>
      <c r="BT419" t="s">
        <v>3694</v>
      </c>
      <c r="BU419" t="s">
        <v>3972</v>
      </c>
      <c r="BV419" t="s">
        <v>3972</v>
      </c>
      <c r="BW419" t="s">
        <v>3641</v>
      </c>
      <c r="BX419" t="s">
        <v>3641</v>
      </c>
      <c r="BY419" t="s">
        <v>3641</v>
      </c>
      <c r="BZ419" t="s">
        <v>3641</v>
      </c>
      <c r="CA419" t="s">
        <v>3641</v>
      </c>
      <c r="CB419" t="s">
        <v>231</v>
      </c>
      <c r="CC419" t="s">
        <v>231</v>
      </c>
      <c r="CD419" t="s">
        <v>231</v>
      </c>
      <c r="CE419" t="s">
        <v>231</v>
      </c>
      <c r="CF419" t="s">
        <v>231</v>
      </c>
      <c r="CG419" t="s">
        <v>3641</v>
      </c>
      <c r="CH419" t="s">
        <v>231</v>
      </c>
      <c r="CI419" t="s">
        <v>231</v>
      </c>
      <c r="CJ419" t="s">
        <v>231</v>
      </c>
      <c r="CK419" t="s">
        <v>231</v>
      </c>
      <c r="CL419" t="s">
        <v>231</v>
      </c>
      <c r="CM419" t="s">
        <v>3972</v>
      </c>
      <c r="CN419" t="s">
        <v>3972</v>
      </c>
      <c r="CO419" t="s">
        <v>231</v>
      </c>
      <c r="CP419" t="s">
        <v>231</v>
      </c>
      <c r="CQ419" t="s">
        <v>231</v>
      </c>
      <c r="CR419" t="s">
        <v>231</v>
      </c>
      <c r="CS419" t="s">
        <v>3549</v>
      </c>
      <c r="CT419" t="s">
        <v>3534</v>
      </c>
      <c r="CU419" t="s">
        <v>3535</v>
      </c>
      <c r="CV419" t="s">
        <v>3536</v>
      </c>
      <c r="CW419" t="s">
        <v>3551</v>
      </c>
      <c r="CX419" t="s">
        <v>223</v>
      </c>
      <c r="CY419" t="s">
        <v>3536</v>
      </c>
      <c r="CZ419" t="s">
        <v>3552</v>
      </c>
      <c r="DA419" t="s">
        <v>3553</v>
      </c>
      <c r="DB419" t="s">
        <v>3551</v>
      </c>
      <c r="DC419" t="s">
        <v>363</v>
      </c>
      <c r="DD419" t="s">
        <v>282</v>
      </c>
      <c r="DE419" t="s">
        <v>3973</v>
      </c>
    </row>
    <row r="420" spans="1:109" ht="11.25" customHeight="1">
      <c r="A420" s="1314" t="s">
        <v>231</v>
      </c>
      <c r="B420" t="s">
        <v>231</v>
      </c>
      <c r="C420" t="s">
        <v>231</v>
      </c>
      <c r="D420" t="s">
        <v>231</v>
      </c>
      <c r="E420" t="s">
        <v>231</v>
      </c>
      <c r="F420" t="s">
        <v>231</v>
      </c>
      <c r="G420" t="s">
        <v>231</v>
      </c>
      <c r="H420" t="s">
        <v>231</v>
      </c>
      <c r="I420" t="s">
        <v>3521</v>
      </c>
      <c r="J420" t="s">
        <v>231</v>
      </c>
      <c r="K420" t="s">
        <v>231</v>
      </c>
      <c r="L420" t="s">
        <v>231</v>
      </c>
      <c r="M420" t="s">
        <v>231</v>
      </c>
      <c r="N420" t="s">
        <v>231</v>
      </c>
      <c r="O420" t="s">
        <v>231</v>
      </c>
      <c r="P420" t="s">
        <v>231</v>
      </c>
      <c r="Q420" t="s">
        <v>231</v>
      </c>
      <c r="R420" t="s">
        <v>3598</v>
      </c>
      <c r="S420" t="s">
        <v>231</v>
      </c>
      <c r="T420" t="s">
        <v>231</v>
      </c>
      <c r="U420" t="s">
        <v>101</v>
      </c>
      <c r="V420" t="s">
        <v>231</v>
      </c>
      <c r="W420" t="s">
        <v>231</v>
      </c>
      <c r="X420" t="s">
        <v>3523</v>
      </c>
      <c r="Y420" t="s">
        <v>231</v>
      </c>
      <c r="Z420" t="s">
        <v>160</v>
      </c>
      <c r="AA420" t="s">
        <v>151</v>
      </c>
      <c r="AB420" t="s">
        <v>151</v>
      </c>
      <c r="AC420" t="s">
        <v>2289</v>
      </c>
      <c r="AD420" t="s">
        <v>2289</v>
      </c>
      <c r="AE420" t="s">
        <v>2290</v>
      </c>
      <c r="AF420" t="s">
        <v>3582</v>
      </c>
      <c r="AG420" t="s">
        <v>3583</v>
      </c>
      <c r="AH420" t="s">
        <v>3584</v>
      </c>
      <c r="AI420" t="s">
        <v>1743</v>
      </c>
      <c r="AJ420" t="s">
        <v>3546</v>
      </c>
      <c r="AK420" t="s">
        <v>3586</v>
      </c>
      <c r="AL420" t="s">
        <v>3548</v>
      </c>
      <c r="AM420" t="s">
        <v>3531</v>
      </c>
      <c r="AN420" t="s">
        <v>3595</v>
      </c>
      <c r="AO420" t="s">
        <v>3596</v>
      </c>
      <c r="AP420" t="s">
        <v>231</v>
      </c>
      <c r="AQ420" t="s">
        <v>231</v>
      </c>
      <c r="AR420" t="s">
        <v>231</v>
      </c>
      <c r="AS420" t="s">
        <v>231</v>
      </c>
      <c r="AT420" t="s">
        <v>231</v>
      </c>
      <c r="AU420" t="s">
        <v>231</v>
      </c>
      <c r="AV420" t="s">
        <v>231</v>
      </c>
      <c r="AW420" t="s">
        <v>231</v>
      </c>
      <c r="AX420" t="s">
        <v>231</v>
      </c>
      <c r="AY420" t="s">
        <v>231</v>
      </c>
      <c r="AZ420" t="s">
        <v>231</v>
      </c>
      <c r="BA420" t="s">
        <v>231</v>
      </c>
      <c r="BB420" t="s">
        <v>231</v>
      </c>
      <c r="BC420" t="s">
        <v>231</v>
      </c>
      <c r="BD420" t="s">
        <v>231</v>
      </c>
      <c r="BE420" t="s">
        <v>231</v>
      </c>
      <c r="BF420" t="s">
        <v>231</v>
      </c>
      <c r="BG420" t="s">
        <v>231</v>
      </c>
      <c r="BH420" t="s">
        <v>231</v>
      </c>
      <c r="BI420" t="s">
        <v>231</v>
      </c>
      <c r="BJ420" t="s">
        <v>231</v>
      </c>
      <c r="BK420" t="s">
        <v>231</v>
      </c>
      <c r="BL420" t="s">
        <v>231</v>
      </c>
      <c r="BM420" t="s">
        <v>231</v>
      </c>
      <c r="BN420" t="s">
        <v>231</v>
      </c>
      <c r="BO420" t="s">
        <v>231</v>
      </c>
      <c r="BP420" t="s">
        <v>231</v>
      </c>
      <c r="BQ420" t="s">
        <v>231</v>
      </c>
      <c r="BR420" t="s">
        <v>231</v>
      </c>
      <c r="BS420" t="s">
        <v>231</v>
      </c>
      <c r="BT420" t="s">
        <v>231</v>
      </c>
      <c r="BU420" t="s">
        <v>231</v>
      </c>
      <c r="BV420" t="s">
        <v>231</v>
      </c>
      <c r="BW420" t="s">
        <v>231</v>
      </c>
      <c r="BX420" t="s">
        <v>231</v>
      </c>
      <c r="BY420" t="s">
        <v>231</v>
      </c>
      <c r="BZ420" t="s">
        <v>231</v>
      </c>
      <c r="CA420" t="s">
        <v>231</v>
      </c>
      <c r="CB420" t="s">
        <v>231</v>
      </c>
      <c r="CC420" t="s">
        <v>231</v>
      </c>
      <c r="CD420" t="s">
        <v>231</v>
      </c>
      <c r="CE420" t="s">
        <v>231</v>
      </c>
      <c r="CF420" t="s">
        <v>231</v>
      </c>
      <c r="CG420" t="s">
        <v>231</v>
      </c>
      <c r="CH420" t="s">
        <v>231</v>
      </c>
      <c r="CI420" t="s">
        <v>231</v>
      </c>
      <c r="CJ420" t="s">
        <v>231</v>
      </c>
      <c r="CK420" t="s">
        <v>231</v>
      </c>
      <c r="CL420" t="s">
        <v>231</v>
      </c>
      <c r="CM420" t="s">
        <v>231</v>
      </c>
      <c r="CN420" t="s">
        <v>231</v>
      </c>
      <c r="CO420" t="s">
        <v>231</v>
      </c>
      <c r="CP420" t="s">
        <v>231</v>
      </c>
      <c r="CQ420" t="s">
        <v>231</v>
      </c>
      <c r="CR420" t="s">
        <v>231</v>
      </c>
      <c r="CS420" t="s">
        <v>231</v>
      </c>
      <c r="CT420" t="s">
        <v>3534</v>
      </c>
      <c r="CU420" t="s">
        <v>3535</v>
      </c>
      <c r="CV420" t="s">
        <v>3536</v>
      </c>
      <c r="CW420" t="s">
        <v>3589</v>
      </c>
      <c r="CX420" t="s">
        <v>223</v>
      </c>
      <c r="CY420" t="s">
        <v>3536</v>
      </c>
      <c r="CZ420" t="s">
        <v>3590</v>
      </c>
      <c r="DA420" t="s">
        <v>3591</v>
      </c>
      <c r="DB420" t="s">
        <v>3589</v>
      </c>
      <c r="DC420" t="s">
        <v>363</v>
      </c>
      <c r="DD420" t="s">
        <v>282</v>
      </c>
      <c r="DE420" t="s">
        <v>3599</v>
      </c>
    </row>
    <row r="421" spans="1:109" ht="11.25" customHeight="1">
      <c r="A421" s="1314" t="s">
        <v>231</v>
      </c>
      <c r="B421" t="s">
        <v>231</v>
      </c>
      <c r="C421" t="s">
        <v>231</v>
      </c>
      <c r="D421" t="s">
        <v>231</v>
      </c>
      <c r="E421" t="s">
        <v>231</v>
      </c>
      <c r="F421" t="s">
        <v>231</v>
      </c>
      <c r="G421" t="s">
        <v>231</v>
      </c>
      <c r="H421" t="s">
        <v>231</v>
      </c>
      <c r="I421" t="s">
        <v>3521</v>
      </c>
      <c r="J421" t="s">
        <v>231</v>
      </c>
      <c r="K421" t="s">
        <v>231</v>
      </c>
      <c r="L421" t="s">
        <v>231</v>
      </c>
      <c r="M421" t="s">
        <v>231</v>
      </c>
      <c r="N421" t="s">
        <v>231</v>
      </c>
      <c r="O421" t="s">
        <v>231</v>
      </c>
      <c r="P421" t="s">
        <v>231</v>
      </c>
      <c r="Q421" t="s">
        <v>231</v>
      </c>
      <c r="R421" t="s">
        <v>3974</v>
      </c>
      <c r="S421" t="s">
        <v>231</v>
      </c>
      <c r="T421" t="s">
        <v>231</v>
      </c>
      <c r="U421" t="s">
        <v>101</v>
      </c>
      <c r="V421" t="s">
        <v>231</v>
      </c>
      <c r="W421" t="s">
        <v>231</v>
      </c>
      <c r="X421" t="s">
        <v>3523</v>
      </c>
      <c r="Y421" t="s">
        <v>231</v>
      </c>
      <c r="Z421" t="s">
        <v>160</v>
      </c>
      <c r="AA421" t="s">
        <v>151</v>
      </c>
      <c r="AB421" t="s">
        <v>151</v>
      </c>
      <c r="AC421" t="s">
        <v>2289</v>
      </c>
      <c r="AD421" t="s">
        <v>2289</v>
      </c>
      <c r="AE421" t="s">
        <v>2290</v>
      </c>
      <c r="AF421" t="s">
        <v>3582</v>
      </c>
      <c r="AG421" t="s">
        <v>3583</v>
      </c>
      <c r="AH421" t="s">
        <v>3584</v>
      </c>
      <c r="AI421" t="s">
        <v>3975</v>
      </c>
      <c r="AJ421" t="s">
        <v>3546</v>
      </c>
      <c r="AK421" t="s">
        <v>3775</v>
      </c>
      <c r="AL421" t="s">
        <v>3548</v>
      </c>
      <c r="AM421" t="s">
        <v>3531</v>
      </c>
      <c r="AN421" t="s">
        <v>3529</v>
      </c>
      <c r="AO421" t="s">
        <v>3588</v>
      </c>
      <c r="AP421" t="s">
        <v>231</v>
      </c>
      <c r="AQ421" t="s">
        <v>231</v>
      </c>
      <c r="AR421" t="s">
        <v>231</v>
      </c>
      <c r="AS421" t="s">
        <v>231</v>
      </c>
      <c r="AT421" t="s">
        <v>231</v>
      </c>
      <c r="AU421" t="s">
        <v>231</v>
      </c>
      <c r="AV421" t="s">
        <v>231</v>
      </c>
      <c r="AW421" t="s">
        <v>231</v>
      </c>
      <c r="AX421" t="s">
        <v>231</v>
      </c>
      <c r="AY421" t="s">
        <v>231</v>
      </c>
      <c r="AZ421" t="s">
        <v>231</v>
      </c>
      <c r="BA421" t="s">
        <v>231</v>
      </c>
      <c r="BB421" t="s">
        <v>231</v>
      </c>
      <c r="BC421" t="s">
        <v>231</v>
      </c>
      <c r="BD421" t="s">
        <v>231</v>
      </c>
      <c r="BE421" t="s">
        <v>231</v>
      </c>
      <c r="BF421" t="s">
        <v>231</v>
      </c>
      <c r="BG421" t="s">
        <v>231</v>
      </c>
      <c r="BH421" t="s">
        <v>231</v>
      </c>
      <c r="BI421" t="s">
        <v>231</v>
      </c>
      <c r="BJ421" t="s">
        <v>231</v>
      </c>
      <c r="BK421" t="s">
        <v>231</v>
      </c>
      <c r="BL421" t="s">
        <v>231</v>
      </c>
      <c r="BM421" t="s">
        <v>231</v>
      </c>
      <c r="BN421" t="s">
        <v>231</v>
      </c>
      <c r="BO421" t="s">
        <v>231</v>
      </c>
      <c r="BP421" t="s">
        <v>231</v>
      </c>
      <c r="BQ421" t="s">
        <v>231</v>
      </c>
      <c r="BR421" t="s">
        <v>231</v>
      </c>
      <c r="BS421" t="s">
        <v>231</v>
      </c>
      <c r="BT421" t="s">
        <v>231</v>
      </c>
      <c r="BU421" t="s">
        <v>231</v>
      </c>
      <c r="BV421" t="s">
        <v>231</v>
      </c>
      <c r="BW421" t="s">
        <v>231</v>
      </c>
      <c r="BX421" t="s">
        <v>231</v>
      </c>
      <c r="BY421" t="s">
        <v>231</v>
      </c>
      <c r="BZ421" t="s">
        <v>231</v>
      </c>
      <c r="CA421" t="s">
        <v>231</v>
      </c>
      <c r="CB421" t="s">
        <v>231</v>
      </c>
      <c r="CC421" t="s">
        <v>231</v>
      </c>
      <c r="CD421" t="s">
        <v>231</v>
      </c>
      <c r="CE421" t="s">
        <v>231</v>
      </c>
      <c r="CF421" t="s">
        <v>231</v>
      </c>
      <c r="CG421" t="s">
        <v>231</v>
      </c>
      <c r="CH421" t="s">
        <v>231</v>
      </c>
      <c r="CI421" t="s">
        <v>231</v>
      </c>
      <c r="CJ421" t="s">
        <v>231</v>
      </c>
      <c r="CK421" t="s">
        <v>231</v>
      </c>
      <c r="CL421" t="s">
        <v>231</v>
      </c>
      <c r="CM421" t="s">
        <v>231</v>
      </c>
      <c r="CN421" t="s">
        <v>231</v>
      </c>
      <c r="CO421" t="s">
        <v>231</v>
      </c>
      <c r="CP421" t="s">
        <v>231</v>
      </c>
      <c r="CQ421" t="s">
        <v>231</v>
      </c>
      <c r="CR421" t="s">
        <v>231</v>
      </c>
      <c r="CS421" t="s">
        <v>231</v>
      </c>
      <c r="CT421" t="s">
        <v>3534</v>
      </c>
      <c r="CU421" t="s">
        <v>3535</v>
      </c>
      <c r="CV421" t="s">
        <v>3536</v>
      </c>
      <c r="CW421" t="s">
        <v>3589</v>
      </c>
      <c r="CX421" t="s">
        <v>223</v>
      </c>
      <c r="CY421" t="s">
        <v>3536</v>
      </c>
      <c r="CZ421" t="s">
        <v>3590</v>
      </c>
      <c r="DA421" t="s">
        <v>3591</v>
      </c>
      <c r="DB421" t="s">
        <v>3589</v>
      </c>
      <c r="DC421" t="s">
        <v>363</v>
      </c>
      <c r="DD421" t="s">
        <v>282</v>
      </c>
      <c r="DE421" t="s">
        <v>3976</v>
      </c>
    </row>
    <row r="422" spans="1:109" ht="11.25" customHeight="1">
      <c r="A422" s="1314" t="s">
        <v>231</v>
      </c>
      <c r="B422" t="s">
        <v>231</v>
      </c>
      <c r="C422" t="s">
        <v>231</v>
      </c>
      <c r="D422" t="s">
        <v>231</v>
      </c>
      <c r="E422" t="s">
        <v>231</v>
      </c>
      <c r="F422" t="s">
        <v>231</v>
      </c>
      <c r="G422" t="s">
        <v>231</v>
      </c>
      <c r="H422" t="s">
        <v>231</v>
      </c>
      <c r="I422" t="s">
        <v>3521</v>
      </c>
      <c r="J422" t="s">
        <v>231</v>
      </c>
      <c r="K422" t="s">
        <v>231</v>
      </c>
      <c r="L422" t="s">
        <v>231</v>
      </c>
      <c r="M422" t="s">
        <v>231</v>
      </c>
      <c r="N422" t="s">
        <v>231</v>
      </c>
      <c r="O422" t="s">
        <v>231</v>
      </c>
      <c r="P422" t="s">
        <v>231</v>
      </c>
      <c r="Q422" t="s">
        <v>231</v>
      </c>
      <c r="R422" t="s">
        <v>3977</v>
      </c>
      <c r="S422" t="s">
        <v>231</v>
      </c>
      <c r="T422" t="s">
        <v>231</v>
      </c>
      <c r="U422" t="s">
        <v>101</v>
      </c>
      <c r="V422" t="s">
        <v>231</v>
      </c>
      <c r="W422" t="s">
        <v>231</v>
      </c>
      <c r="X422" t="s">
        <v>3523</v>
      </c>
      <c r="Y422" t="s">
        <v>231</v>
      </c>
      <c r="Z422" t="s">
        <v>160</v>
      </c>
      <c r="AA422" t="s">
        <v>151</v>
      </c>
      <c r="AB422" t="s">
        <v>151</v>
      </c>
      <c r="AC422" t="s">
        <v>2289</v>
      </c>
      <c r="AD422" t="s">
        <v>2289</v>
      </c>
      <c r="AE422" t="s">
        <v>2290</v>
      </c>
      <c r="AF422" t="s">
        <v>3582</v>
      </c>
      <c r="AG422" t="s">
        <v>3583</v>
      </c>
      <c r="AH422" t="s">
        <v>3584</v>
      </c>
      <c r="AI422" t="s">
        <v>3978</v>
      </c>
      <c r="AJ422" t="s">
        <v>3546</v>
      </c>
      <c r="AK422" t="s">
        <v>3820</v>
      </c>
      <c r="AL422" t="s">
        <v>3548</v>
      </c>
      <c r="AM422" t="s">
        <v>3531</v>
      </c>
      <c r="AN422" t="s">
        <v>3529</v>
      </c>
      <c r="AO422" t="s">
        <v>3588</v>
      </c>
      <c r="AP422" t="s">
        <v>231</v>
      </c>
      <c r="AQ422" t="s">
        <v>231</v>
      </c>
      <c r="AR422" t="s">
        <v>231</v>
      </c>
      <c r="AS422" t="s">
        <v>231</v>
      </c>
      <c r="AT422" t="s">
        <v>231</v>
      </c>
      <c r="AU422" t="s">
        <v>231</v>
      </c>
      <c r="AV422" t="s">
        <v>231</v>
      </c>
      <c r="AW422" t="s">
        <v>231</v>
      </c>
      <c r="AX422" t="s">
        <v>231</v>
      </c>
      <c r="AY422" t="s">
        <v>231</v>
      </c>
      <c r="AZ422" t="s">
        <v>231</v>
      </c>
      <c r="BA422" t="s">
        <v>231</v>
      </c>
      <c r="BB422" t="s">
        <v>231</v>
      </c>
      <c r="BC422" t="s">
        <v>231</v>
      </c>
      <c r="BD422" t="s">
        <v>231</v>
      </c>
      <c r="BE422" t="s">
        <v>231</v>
      </c>
      <c r="BF422" t="s">
        <v>231</v>
      </c>
      <c r="BG422" t="s">
        <v>231</v>
      </c>
      <c r="BH422" t="s">
        <v>231</v>
      </c>
      <c r="BI422" t="s">
        <v>231</v>
      </c>
      <c r="BJ422" t="s">
        <v>231</v>
      </c>
      <c r="BK422" t="s">
        <v>231</v>
      </c>
      <c r="BL422" t="s">
        <v>231</v>
      </c>
      <c r="BM422" t="s">
        <v>231</v>
      </c>
      <c r="BN422" t="s">
        <v>231</v>
      </c>
      <c r="BO422" t="s">
        <v>231</v>
      </c>
      <c r="BP422" t="s">
        <v>231</v>
      </c>
      <c r="BQ422" t="s">
        <v>231</v>
      </c>
      <c r="BR422" t="s">
        <v>231</v>
      </c>
      <c r="BS422" t="s">
        <v>231</v>
      </c>
      <c r="BT422" t="s">
        <v>231</v>
      </c>
      <c r="BU422" t="s">
        <v>231</v>
      </c>
      <c r="BV422" t="s">
        <v>231</v>
      </c>
      <c r="BW422" t="s">
        <v>231</v>
      </c>
      <c r="BX422" t="s">
        <v>231</v>
      </c>
      <c r="BY422" t="s">
        <v>231</v>
      </c>
      <c r="BZ422" t="s">
        <v>231</v>
      </c>
      <c r="CA422" t="s">
        <v>231</v>
      </c>
      <c r="CB422" t="s">
        <v>231</v>
      </c>
      <c r="CC422" t="s">
        <v>231</v>
      </c>
      <c r="CD422" t="s">
        <v>231</v>
      </c>
      <c r="CE422" t="s">
        <v>231</v>
      </c>
      <c r="CF422" t="s">
        <v>231</v>
      </c>
      <c r="CG422" t="s">
        <v>231</v>
      </c>
      <c r="CH422" t="s">
        <v>231</v>
      </c>
      <c r="CI422" t="s">
        <v>231</v>
      </c>
      <c r="CJ422" t="s">
        <v>231</v>
      </c>
      <c r="CK422" t="s">
        <v>231</v>
      </c>
      <c r="CL422" t="s">
        <v>231</v>
      </c>
      <c r="CM422" t="s">
        <v>231</v>
      </c>
      <c r="CN422" t="s">
        <v>231</v>
      </c>
      <c r="CO422" t="s">
        <v>231</v>
      </c>
      <c r="CP422" t="s">
        <v>231</v>
      </c>
      <c r="CQ422" t="s">
        <v>231</v>
      </c>
      <c r="CR422" t="s">
        <v>231</v>
      </c>
      <c r="CS422" t="s">
        <v>231</v>
      </c>
      <c r="CT422" t="s">
        <v>3534</v>
      </c>
      <c r="CU422" t="s">
        <v>3535</v>
      </c>
      <c r="CV422" t="s">
        <v>3536</v>
      </c>
      <c r="CW422" t="s">
        <v>3589</v>
      </c>
      <c r="CX422" t="s">
        <v>223</v>
      </c>
      <c r="CY422" t="s">
        <v>3536</v>
      </c>
      <c r="CZ422" t="s">
        <v>3590</v>
      </c>
      <c r="DA422" t="s">
        <v>3591</v>
      </c>
      <c r="DB422" t="s">
        <v>3589</v>
      </c>
      <c r="DC422" t="s">
        <v>363</v>
      </c>
      <c r="DD422" t="s">
        <v>282</v>
      </c>
      <c r="DE422" t="s">
        <v>3979</v>
      </c>
    </row>
    <row r="423" spans="1:109" ht="11.25" customHeight="1">
      <c r="A423" s="1314" t="s">
        <v>231</v>
      </c>
      <c r="B423" t="s">
        <v>231</v>
      </c>
      <c r="C423" t="s">
        <v>231</v>
      </c>
      <c r="D423" t="s">
        <v>231</v>
      </c>
      <c r="E423" t="s">
        <v>231</v>
      </c>
      <c r="F423" t="s">
        <v>231</v>
      </c>
      <c r="G423" t="s">
        <v>231</v>
      </c>
      <c r="H423" t="s">
        <v>231</v>
      </c>
      <c r="I423" t="s">
        <v>3521</v>
      </c>
      <c r="J423" t="s">
        <v>231</v>
      </c>
      <c r="K423" t="s">
        <v>231</v>
      </c>
      <c r="L423" t="s">
        <v>231</v>
      </c>
      <c r="M423" t="s">
        <v>231</v>
      </c>
      <c r="N423" t="s">
        <v>231</v>
      </c>
      <c r="O423" t="s">
        <v>231</v>
      </c>
      <c r="P423" t="s">
        <v>231</v>
      </c>
      <c r="Q423" t="s">
        <v>231</v>
      </c>
      <c r="R423" t="s">
        <v>4246</v>
      </c>
      <c r="S423" t="s">
        <v>231</v>
      </c>
      <c r="T423" t="s">
        <v>231</v>
      </c>
      <c r="U423" t="s">
        <v>101</v>
      </c>
      <c r="V423" t="s">
        <v>231</v>
      </c>
      <c r="W423" t="s">
        <v>231</v>
      </c>
      <c r="X423" t="s">
        <v>3628</v>
      </c>
      <c r="Y423" t="s">
        <v>231</v>
      </c>
      <c r="Z423" t="s">
        <v>151</v>
      </c>
      <c r="AA423" t="s">
        <v>151</v>
      </c>
      <c r="AB423" t="s">
        <v>160</v>
      </c>
      <c r="AC423" t="s">
        <v>2289</v>
      </c>
      <c r="AD423" t="s">
        <v>2289</v>
      </c>
      <c r="AE423" t="s">
        <v>2290</v>
      </c>
      <c r="AF423" t="s">
        <v>4055</v>
      </c>
      <c r="AG423" t="s">
        <v>4056</v>
      </c>
      <c r="AH423" t="s">
        <v>3618</v>
      </c>
      <c r="AI423" t="s">
        <v>3618</v>
      </c>
      <c r="AJ423" t="s">
        <v>231</v>
      </c>
      <c r="AK423" t="s">
        <v>231</v>
      </c>
      <c r="AL423" t="s">
        <v>231</v>
      </c>
      <c r="AM423" t="s">
        <v>231</v>
      </c>
      <c r="AN423" t="s">
        <v>231</v>
      </c>
      <c r="AO423" t="s">
        <v>231</v>
      </c>
      <c r="AP423" t="s">
        <v>231</v>
      </c>
      <c r="AQ423" t="s">
        <v>231</v>
      </c>
      <c r="AR423" t="s">
        <v>231</v>
      </c>
      <c r="AS423" t="s">
        <v>231</v>
      </c>
      <c r="AT423" t="s">
        <v>231</v>
      </c>
      <c r="AU423" t="s">
        <v>231</v>
      </c>
      <c r="AV423" t="s">
        <v>231</v>
      </c>
      <c r="AW423" t="s">
        <v>231</v>
      </c>
      <c r="AX423" t="s">
        <v>231</v>
      </c>
      <c r="AY423" t="s">
        <v>231</v>
      </c>
      <c r="AZ423" t="s">
        <v>231</v>
      </c>
      <c r="BA423" t="s">
        <v>231</v>
      </c>
      <c r="BB423" t="s">
        <v>231</v>
      </c>
      <c r="BC423" t="s">
        <v>231</v>
      </c>
      <c r="BD423" t="s">
        <v>231</v>
      </c>
      <c r="BE423" t="s">
        <v>3594</v>
      </c>
      <c r="BF423" t="s">
        <v>3586</v>
      </c>
      <c r="BG423" t="s">
        <v>111</v>
      </c>
      <c r="BH423" t="s">
        <v>3632</v>
      </c>
      <c r="BI423" t="s">
        <v>122</v>
      </c>
      <c r="BJ423" t="s">
        <v>231</v>
      </c>
      <c r="BK423" t="s">
        <v>3651</v>
      </c>
      <c r="BL423" t="s">
        <v>2289</v>
      </c>
      <c r="BM423" t="s">
        <v>2289</v>
      </c>
      <c r="BN423" t="s">
        <v>3707</v>
      </c>
      <c r="BO423" t="s">
        <v>4055</v>
      </c>
      <c r="BP423" t="s">
        <v>4247</v>
      </c>
      <c r="BQ423" t="s">
        <v>3618</v>
      </c>
      <c r="BR423" t="s">
        <v>3618</v>
      </c>
      <c r="BS423" t="s">
        <v>231</v>
      </c>
      <c r="BT423" t="s">
        <v>3694</v>
      </c>
      <c r="BU423" t="s">
        <v>4248</v>
      </c>
      <c r="BV423" t="s">
        <v>4248</v>
      </c>
      <c r="BW423" t="s">
        <v>3641</v>
      </c>
      <c r="BX423" t="s">
        <v>3641</v>
      </c>
      <c r="BY423" t="s">
        <v>3641</v>
      </c>
      <c r="BZ423" t="s">
        <v>3641</v>
      </c>
      <c r="CA423" t="s">
        <v>3641</v>
      </c>
      <c r="CB423" t="s">
        <v>231</v>
      </c>
      <c r="CC423" t="s">
        <v>231</v>
      </c>
      <c r="CD423" t="s">
        <v>231</v>
      </c>
      <c r="CE423" t="s">
        <v>231</v>
      </c>
      <c r="CF423" t="s">
        <v>231</v>
      </c>
      <c r="CG423" t="s">
        <v>3641</v>
      </c>
      <c r="CH423" t="s">
        <v>231</v>
      </c>
      <c r="CI423" t="s">
        <v>231</v>
      </c>
      <c r="CJ423" t="s">
        <v>231</v>
      </c>
      <c r="CK423" t="s">
        <v>231</v>
      </c>
      <c r="CL423" t="s">
        <v>231</v>
      </c>
      <c r="CM423" t="s">
        <v>4248</v>
      </c>
      <c r="CN423" t="s">
        <v>4248</v>
      </c>
      <c r="CO423" t="s">
        <v>231</v>
      </c>
      <c r="CP423" t="s">
        <v>231</v>
      </c>
      <c r="CQ423" t="s">
        <v>231</v>
      </c>
      <c r="CR423" t="s">
        <v>231</v>
      </c>
      <c r="CS423" t="s">
        <v>3710</v>
      </c>
      <c r="CT423" t="s">
        <v>3534</v>
      </c>
      <c r="CU423" t="s">
        <v>3535</v>
      </c>
      <c r="CV423" t="s">
        <v>3536</v>
      </c>
      <c r="CW423" t="s">
        <v>3589</v>
      </c>
      <c r="CX423" t="s">
        <v>223</v>
      </c>
      <c r="CY423" t="s">
        <v>3536</v>
      </c>
      <c r="CZ423" t="s">
        <v>3590</v>
      </c>
      <c r="DA423" t="s">
        <v>3591</v>
      </c>
      <c r="DB423" t="s">
        <v>3589</v>
      </c>
      <c r="DC423" t="s">
        <v>363</v>
      </c>
      <c r="DD423" t="s">
        <v>282</v>
      </c>
      <c r="DE423" t="s">
        <v>4249</v>
      </c>
    </row>
    <row r="424" spans="1:109" ht="11.25" customHeight="1">
      <c r="A424" s="1314" t="s">
        <v>231</v>
      </c>
      <c r="B424" t="s">
        <v>231</v>
      </c>
      <c r="C424" t="s">
        <v>231</v>
      </c>
      <c r="D424" t="s">
        <v>231</v>
      </c>
      <c r="E424" t="s">
        <v>231</v>
      </c>
      <c r="F424" t="s">
        <v>231</v>
      </c>
      <c r="G424" t="s">
        <v>231</v>
      </c>
      <c r="H424" t="s">
        <v>231</v>
      </c>
      <c r="I424" t="s">
        <v>3521</v>
      </c>
      <c r="J424" t="s">
        <v>231</v>
      </c>
      <c r="K424" t="s">
        <v>231</v>
      </c>
      <c r="L424" t="s">
        <v>231</v>
      </c>
      <c r="M424" t="s">
        <v>231</v>
      </c>
      <c r="N424" t="s">
        <v>231</v>
      </c>
      <c r="O424" t="s">
        <v>231</v>
      </c>
      <c r="P424" t="s">
        <v>231</v>
      </c>
      <c r="Q424" t="s">
        <v>231</v>
      </c>
      <c r="R424" t="s">
        <v>4262</v>
      </c>
      <c r="S424" t="s">
        <v>231</v>
      </c>
      <c r="T424" t="s">
        <v>231</v>
      </c>
      <c r="U424" t="s">
        <v>101</v>
      </c>
      <c r="V424" t="s">
        <v>231</v>
      </c>
      <c r="W424" t="s">
        <v>231</v>
      </c>
      <c r="X424" t="s">
        <v>3523</v>
      </c>
      <c r="Y424" t="s">
        <v>231</v>
      </c>
      <c r="Z424" t="s">
        <v>160</v>
      </c>
      <c r="AA424" t="s">
        <v>151</v>
      </c>
      <c r="AB424" t="s">
        <v>151</v>
      </c>
      <c r="AC424" t="s">
        <v>2691</v>
      </c>
      <c r="AD424" t="s">
        <v>2691</v>
      </c>
      <c r="AE424" t="s">
        <v>2692</v>
      </c>
      <c r="AF424" t="s">
        <v>3991</v>
      </c>
      <c r="AG424" t="s">
        <v>3992</v>
      </c>
      <c r="AH424" t="s">
        <v>4113</v>
      </c>
      <c r="AI424" t="s">
        <v>151</v>
      </c>
      <c r="AJ424" t="s">
        <v>3994</v>
      </c>
      <c r="AK424" t="s">
        <v>4263</v>
      </c>
      <c r="AL424" t="s">
        <v>3613</v>
      </c>
      <c r="AM424" t="s">
        <v>3531</v>
      </c>
      <c r="AN424" t="s">
        <v>4264</v>
      </c>
      <c r="AO424" t="s">
        <v>4265</v>
      </c>
      <c r="AP424" t="s">
        <v>231</v>
      </c>
      <c r="AQ424" t="s">
        <v>231</v>
      </c>
      <c r="AR424" t="s">
        <v>231</v>
      </c>
      <c r="AS424" t="s">
        <v>231</v>
      </c>
      <c r="AT424" t="s">
        <v>231</v>
      </c>
      <c r="AU424" t="s">
        <v>231</v>
      </c>
      <c r="AV424" t="s">
        <v>231</v>
      </c>
      <c r="AW424" t="s">
        <v>231</v>
      </c>
      <c r="AX424" t="s">
        <v>231</v>
      </c>
      <c r="AY424" t="s">
        <v>231</v>
      </c>
      <c r="AZ424" t="s">
        <v>231</v>
      </c>
      <c r="BA424" t="s">
        <v>231</v>
      </c>
      <c r="BB424" t="s">
        <v>231</v>
      </c>
      <c r="BC424" t="s">
        <v>231</v>
      </c>
      <c r="BD424" t="s">
        <v>231</v>
      </c>
      <c r="BE424" t="s">
        <v>231</v>
      </c>
      <c r="BF424" t="s">
        <v>231</v>
      </c>
      <c r="BG424" t="s">
        <v>231</v>
      </c>
      <c r="BH424" t="s">
        <v>231</v>
      </c>
      <c r="BI424" t="s">
        <v>231</v>
      </c>
      <c r="BJ424" t="s">
        <v>231</v>
      </c>
      <c r="BK424" t="s">
        <v>231</v>
      </c>
      <c r="BL424" t="s">
        <v>231</v>
      </c>
      <c r="BM424" t="s">
        <v>231</v>
      </c>
      <c r="BN424" t="s">
        <v>231</v>
      </c>
      <c r="BO424" t="s">
        <v>231</v>
      </c>
      <c r="BP424" t="s">
        <v>231</v>
      </c>
      <c r="BQ424" t="s">
        <v>231</v>
      </c>
      <c r="BR424" t="s">
        <v>231</v>
      </c>
      <c r="BS424" t="s">
        <v>231</v>
      </c>
      <c r="BT424" t="s">
        <v>231</v>
      </c>
      <c r="BU424" t="s">
        <v>231</v>
      </c>
      <c r="BV424" t="s">
        <v>231</v>
      </c>
      <c r="BW424" t="s">
        <v>231</v>
      </c>
      <c r="BX424" t="s">
        <v>231</v>
      </c>
      <c r="BY424" t="s">
        <v>231</v>
      </c>
      <c r="BZ424" t="s">
        <v>231</v>
      </c>
      <c r="CA424" t="s">
        <v>231</v>
      </c>
      <c r="CB424" t="s">
        <v>231</v>
      </c>
      <c r="CC424" t="s">
        <v>231</v>
      </c>
      <c r="CD424" t="s">
        <v>231</v>
      </c>
      <c r="CE424" t="s">
        <v>231</v>
      </c>
      <c r="CF424" t="s">
        <v>231</v>
      </c>
      <c r="CG424" t="s">
        <v>231</v>
      </c>
      <c r="CH424" t="s">
        <v>231</v>
      </c>
      <c r="CI424" t="s">
        <v>231</v>
      </c>
      <c r="CJ424" t="s">
        <v>231</v>
      </c>
      <c r="CK424" t="s">
        <v>231</v>
      </c>
      <c r="CL424" t="s">
        <v>231</v>
      </c>
      <c r="CM424" t="s">
        <v>231</v>
      </c>
      <c r="CN424" t="s">
        <v>231</v>
      </c>
      <c r="CO424" t="s">
        <v>231</v>
      </c>
      <c r="CP424" t="s">
        <v>231</v>
      </c>
      <c r="CQ424" t="s">
        <v>231</v>
      </c>
      <c r="CR424" t="s">
        <v>231</v>
      </c>
      <c r="CS424" t="s">
        <v>231</v>
      </c>
      <c r="CT424" t="s">
        <v>3534</v>
      </c>
      <c r="CU424" t="s">
        <v>3535</v>
      </c>
      <c r="CV424" t="s">
        <v>3997</v>
      </c>
      <c r="CW424" t="s">
        <v>3998</v>
      </c>
      <c r="CX424" t="s">
        <v>3570</v>
      </c>
      <c r="CY424" t="s">
        <v>3997</v>
      </c>
      <c r="CZ424" t="s">
        <v>3575</v>
      </c>
      <c r="DA424" t="s">
        <v>3999</v>
      </c>
      <c r="DB424" t="s">
        <v>3643</v>
      </c>
      <c r="DC424" t="s">
        <v>363</v>
      </c>
      <c r="DD424" t="s">
        <v>282</v>
      </c>
      <c r="DE424" t="s">
        <v>4123</v>
      </c>
    </row>
    <row r="425" spans="1:109" ht="11.25" customHeight="1">
      <c r="A425" s="1314" t="s">
        <v>231</v>
      </c>
      <c r="B425" t="s">
        <v>231</v>
      </c>
      <c r="C425" t="s">
        <v>231</v>
      </c>
      <c r="D425" t="s">
        <v>231</v>
      </c>
      <c r="E425" t="s">
        <v>231</v>
      </c>
      <c r="F425" t="s">
        <v>231</v>
      </c>
      <c r="G425" t="s">
        <v>231</v>
      </c>
      <c r="H425" t="s">
        <v>231</v>
      </c>
      <c r="I425" t="s">
        <v>3521</v>
      </c>
      <c r="J425" t="s">
        <v>231</v>
      </c>
      <c r="K425" t="s">
        <v>231</v>
      </c>
      <c r="L425" t="s">
        <v>231</v>
      </c>
      <c r="M425" t="s">
        <v>231</v>
      </c>
      <c r="N425" t="s">
        <v>231</v>
      </c>
      <c r="O425" t="s">
        <v>231</v>
      </c>
      <c r="P425" t="s">
        <v>231</v>
      </c>
      <c r="Q425" t="s">
        <v>231</v>
      </c>
      <c r="R425" t="s">
        <v>3615</v>
      </c>
      <c r="S425" t="s">
        <v>231</v>
      </c>
      <c r="T425" t="s">
        <v>231</v>
      </c>
      <c r="U425" t="s">
        <v>101</v>
      </c>
      <c r="V425" t="s">
        <v>231</v>
      </c>
      <c r="W425" t="s">
        <v>231</v>
      </c>
      <c r="X425" t="s">
        <v>3523</v>
      </c>
      <c r="Y425" t="s">
        <v>231</v>
      </c>
      <c r="Z425" t="s">
        <v>160</v>
      </c>
      <c r="AA425" t="s">
        <v>151</v>
      </c>
      <c r="AB425" t="s">
        <v>151</v>
      </c>
      <c r="AC425" t="s">
        <v>2289</v>
      </c>
      <c r="AD425" t="s">
        <v>2289</v>
      </c>
      <c r="AE425" t="s">
        <v>2290</v>
      </c>
      <c r="AF425" t="s">
        <v>4505</v>
      </c>
      <c r="AG425" t="s">
        <v>4506</v>
      </c>
      <c r="AH425" t="s">
        <v>4507</v>
      </c>
      <c r="AI425" t="s">
        <v>3593</v>
      </c>
      <c r="AJ425" t="s">
        <v>4481</v>
      </c>
      <c r="AK425" t="s">
        <v>4508</v>
      </c>
      <c r="AL425" t="s">
        <v>3548</v>
      </c>
      <c r="AM425" t="s">
        <v>3531</v>
      </c>
      <c r="AN425" t="s">
        <v>3587</v>
      </c>
      <c r="AO425" t="s">
        <v>3558</v>
      </c>
      <c r="AP425" t="s">
        <v>231</v>
      </c>
      <c r="AQ425" t="s">
        <v>231</v>
      </c>
      <c r="AR425" t="s">
        <v>231</v>
      </c>
      <c r="AS425" t="s">
        <v>231</v>
      </c>
      <c r="AT425" t="s">
        <v>231</v>
      </c>
      <c r="AU425" t="s">
        <v>231</v>
      </c>
      <c r="AV425" t="s">
        <v>231</v>
      </c>
      <c r="AW425" t="s">
        <v>231</v>
      </c>
      <c r="AX425" t="s">
        <v>231</v>
      </c>
      <c r="AY425" t="s">
        <v>231</v>
      </c>
      <c r="AZ425" t="s">
        <v>231</v>
      </c>
      <c r="BA425" t="s">
        <v>231</v>
      </c>
      <c r="BB425" t="s">
        <v>231</v>
      </c>
      <c r="BC425" t="s">
        <v>231</v>
      </c>
      <c r="BD425" t="s">
        <v>231</v>
      </c>
      <c r="BE425" t="s">
        <v>231</v>
      </c>
      <c r="BF425" t="s">
        <v>231</v>
      </c>
      <c r="BG425" t="s">
        <v>231</v>
      </c>
      <c r="BH425" t="s">
        <v>231</v>
      </c>
      <c r="BI425" t="s">
        <v>231</v>
      </c>
      <c r="BJ425" t="s">
        <v>231</v>
      </c>
      <c r="BK425" t="s">
        <v>231</v>
      </c>
      <c r="BL425" t="s">
        <v>231</v>
      </c>
      <c r="BM425" t="s">
        <v>231</v>
      </c>
      <c r="BN425" t="s">
        <v>231</v>
      </c>
      <c r="BO425" t="s">
        <v>231</v>
      </c>
      <c r="BP425" t="s">
        <v>231</v>
      </c>
      <c r="BQ425" t="s">
        <v>231</v>
      </c>
      <c r="BR425" t="s">
        <v>231</v>
      </c>
      <c r="BS425" t="s">
        <v>231</v>
      </c>
      <c r="BT425" t="s">
        <v>231</v>
      </c>
      <c r="BU425" t="s">
        <v>231</v>
      </c>
      <c r="BV425" t="s">
        <v>231</v>
      </c>
      <c r="BW425" t="s">
        <v>231</v>
      </c>
      <c r="BX425" t="s">
        <v>231</v>
      </c>
      <c r="BY425" t="s">
        <v>231</v>
      </c>
      <c r="BZ425" t="s">
        <v>231</v>
      </c>
      <c r="CA425" t="s">
        <v>231</v>
      </c>
      <c r="CB425" t="s">
        <v>231</v>
      </c>
      <c r="CC425" t="s">
        <v>231</v>
      </c>
      <c r="CD425" t="s">
        <v>231</v>
      </c>
      <c r="CE425" t="s">
        <v>231</v>
      </c>
      <c r="CF425" t="s">
        <v>231</v>
      </c>
      <c r="CG425" t="s">
        <v>231</v>
      </c>
      <c r="CH425" t="s">
        <v>231</v>
      </c>
      <c r="CI425" t="s">
        <v>231</v>
      </c>
      <c r="CJ425" t="s">
        <v>231</v>
      </c>
      <c r="CK425" t="s">
        <v>231</v>
      </c>
      <c r="CL425" t="s">
        <v>231</v>
      </c>
      <c r="CM425" t="s">
        <v>231</v>
      </c>
      <c r="CN425" t="s">
        <v>231</v>
      </c>
      <c r="CO425" t="s">
        <v>231</v>
      </c>
      <c r="CP425" t="s">
        <v>231</v>
      </c>
      <c r="CQ425" t="s">
        <v>231</v>
      </c>
      <c r="CR425" t="s">
        <v>231</v>
      </c>
      <c r="CS425" t="s">
        <v>231</v>
      </c>
      <c r="CT425" t="s">
        <v>3534</v>
      </c>
      <c r="CU425" t="s">
        <v>3535</v>
      </c>
      <c r="CV425" t="s">
        <v>3536</v>
      </c>
      <c r="CW425" t="s">
        <v>3589</v>
      </c>
      <c r="CX425" t="s">
        <v>223</v>
      </c>
      <c r="CY425" t="s">
        <v>3536</v>
      </c>
      <c r="CZ425" t="s">
        <v>3590</v>
      </c>
      <c r="DA425" t="s">
        <v>3591</v>
      </c>
      <c r="DB425" t="s">
        <v>3589</v>
      </c>
      <c r="DC425" t="s">
        <v>363</v>
      </c>
      <c r="DD425" t="s">
        <v>282</v>
      </c>
      <c r="DE425" t="s">
        <v>4509</v>
      </c>
    </row>
    <row r="426" spans="1:109" ht="11.25" customHeight="1">
      <c r="A426" s="1314" t="s">
        <v>231</v>
      </c>
      <c r="B426" t="s">
        <v>231</v>
      </c>
      <c r="C426" t="s">
        <v>231</v>
      </c>
      <c r="D426" t="s">
        <v>231</v>
      </c>
      <c r="E426" t="s">
        <v>231</v>
      </c>
      <c r="F426" t="s">
        <v>231</v>
      </c>
      <c r="G426" t="s">
        <v>231</v>
      </c>
      <c r="H426" t="s">
        <v>231</v>
      </c>
      <c r="I426" t="s">
        <v>3521</v>
      </c>
      <c r="J426" t="s">
        <v>231</v>
      </c>
      <c r="K426" t="s">
        <v>231</v>
      </c>
      <c r="L426" t="s">
        <v>231</v>
      </c>
      <c r="M426" t="s">
        <v>231</v>
      </c>
      <c r="N426" t="s">
        <v>231</v>
      </c>
      <c r="O426" t="s">
        <v>231</v>
      </c>
      <c r="P426" t="s">
        <v>231</v>
      </c>
      <c r="Q426" t="s">
        <v>231</v>
      </c>
      <c r="R426" t="s">
        <v>3615</v>
      </c>
      <c r="S426" t="s">
        <v>231</v>
      </c>
      <c r="T426" t="s">
        <v>231</v>
      </c>
      <c r="U426" t="s">
        <v>101</v>
      </c>
      <c r="V426" t="s">
        <v>231</v>
      </c>
      <c r="W426" t="s">
        <v>231</v>
      </c>
      <c r="X426" t="s">
        <v>3523</v>
      </c>
      <c r="Y426" t="s">
        <v>231</v>
      </c>
      <c r="Z426" t="s">
        <v>160</v>
      </c>
      <c r="AA426" t="s">
        <v>151</v>
      </c>
      <c r="AB426" t="s">
        <v>151</v>
      </c>
      <c r="AC426" t="s">
        <v>2287</v>
      </c>
      <c r="AD426" t="s">
        <v>2287</v>
      </c>
      <c r="AE426" t="s">
        <v>2288</v>
      </c>
      <c r="AF426" t="s">
        <v>3838</v>
      </c>
      <c r="AG426" t="s">
        <v>3839</v>
      </c>
      <c r="AH426" t="s">
        <v>3660</v>
      </c>
      <c r="AI426" t="s">
        <v>4975</v>
      </c>
      <c r="AJ426" t="s">
        <v>3820</v>
      </c>
      <c r="AK426" t="s">
        <v>3858</v>
      </c>
      <c r="AL426" t="s">
        <v>3548</v>
      </c>
      <c r="AM426" t="s">
        <v>3531</v>
      </c>
      <c r="AN426" t="s">
        <v>3621</v>
      </c>
      <c r="AO426" t="s">
        <v>3622</v>
      </c>
      <c r="AP426" t="s">
        <v>231</v>
      </c>
      <c r="AQ426" t="s">
        <v>231</v>
      </c>
      <c r="AR426" t="s">
        <v>231</v>
      </c>
      <c r="AS426" t="s">
        <v>231</v>
      </c>
      <c r="AT426" t="s">
        <v>231</v>
      </c>
      <c r="AU426" t="s">
        <v>231</v>
      </c>
      <c r="AV426" t="s">
        <v>231</v>
      </c>
      <c r="AW426" t="s">
        <v>231</v>
      </c>
      <c r="AX426" t="s">
        <v>231</v>
      </c>
      <c r="AY426" t="s">
        <v>231</v>
      </c>
      <c r="AZ426" t="s">
        <v>231</v>
      </c>
      <c r="BA426" t="s">
        <v>231</v>
      </c>
      <c r="BB426" t="s">
        <v>231</v>
      </c>
      <c r="BC426" t="s">
        <v>231</v>
      </c>
      <c r="BD426" t="s">
        <v>231</v>
      </c>
      <c r="BE426" t="s">
        <v>231</v>
      </c>
      <c r="BF426" t="s">
        <v>231</v>
      </c>
      <c r="BG426" t="s">
        <v>231</v>
      </c>
      <c r="BH426" t="s">
        <v>231</v>
      </c>
      <c r="BI426" t="s">
        <v>231</v>
      </c>
      <c r="BJ426" t="s">
        <v>231</v>
      </c>
      <c r="BK426" t="s">
        <v>231</v>
      </c>
      <c r="BL426" t="s">
        <v>231</v>
      </c>
      <c r="BM426" t="s">
        <v>231</v>
      </c>
      <c r="BN426" t="s">
        <v>231</v>
      </c>
      <c r="BO426" t="s">
        <v>231</v>
      </c>
      <c r="BP426" t="s">
        <v>231</v>
      </c>
      <c r="BQ426" t="s">
        <v>231</v>
      </c>
      <c r="BR426" t="s">
        <v>231</v>
      </c>
      <c r="BS426" t="s">
        <v>231</v>
      </c>
      <c r="BT426" t="s">
        <v>231</v>
      </c>
      <c r="BU426" t="s">
        <v>231</v>
      </c>
      <c r="BV426" t="s">
        <v>231</v>
      </c>
      <c r="BW426" t="s">
        <v>231</v>
      </c>
      <c r="BX426" t="s">
        <v>231</v>
      </c>
      <c r="BY426" t="s">
        <v>231</v>
      </c>
      <c r="BZ426" t="s">
        <v>231</v>
      </c>
      <c r="CA426" t="s">
        <v>231</v>
      </c>
      <c r="CB426" t="s">
        <v>231</v>
      </c>
      <c r="CC426" t="s">
        <v>231</v>
      </c>
      <c r="CD426" t="s">
        <v>231</v>
      </c>
      <c r="CE426" t="s">
        <v>231</v>
      </c>
      <c r="CF426" t="s">
        <v>231</v>
      </c>
      <c r="CG426" t="s">
        <v>231</v>
      </c>
      <c r="CH426" t="s">
        <v>231</v>
      </c>
      <c r="CI426" t="s">
        <v>231</v>
      </c>
      <c r="CJ426" t="s">
        <v>231</v>
      </c>
      <c r="CK426" t="s">
        <v>231</v>
      </c>
      <c r="CL426" t="s">
        <v>231</v>
      </c>
      <c r="CM426" t="s">
        <v>231</v>
      </c>
      <c r="CN426" t="s">
        <v>231</v>
      </c>
      <c r="CO426" t="s">
        <v>231</v>
      </c>
      <c r="CP426" t="s">
        <v>231</v>
      </c>
      <c r="CQ426" t="s">
        <v>231</v>
      </c>
      <c r="CR426" t="s">
        <v>231</v>
      </c>
      <c r="CS426" t="s">
        <v>231</v>
      </c>
      <c r="CT426" t="s">
        <v>3534</v>
      </c>
      <c r="CU426" t="s">
        <v>3535</v>
      </c>
      <c r="CV426" t="s">
        <v>3536</v>
      </c>
      <c r="CW426" t="s">
        <v>3623</v>
      </c>
      <c r="CX426" t="s">
        <v>223</v>
      </c>
      <c r="CY426" t="s">
        <v>3536</v>
      </c>
      <c r="CZ426" t="s">
        <v>3624</v>
      </c>
      <c r="DA426" t="s">
        <v>3625</v>
      </c>
      <c r="DB426" t="s">
        <v>3623</v>
      </c>
      <c r="DC426" t="s">
        <v>363</v>
      </c>
      <c r="DD426" t="s">
        <v>282</v>
      </c>
      <c r="DE426" t="s">
        <v>4976</v>
      </c>
    </row>
    <row r="427" spans="1:109" ht="11.25" customHeight="1">
      <c r="A427" s="1314" t="s">
        <v>231</v>
      </c>
      <c r="B427" t="s">
        <v>231</v>
      </c>
      <c r="C427" t="s">
        <v>231</v>
      </c>
      <c r="D427" t="s">
        <v>231</v>
      </c>
      <c r="E427" t="s">
        <v>231</v>
      </c>
      <c r="F427" t="s">
        <v>231</v>
      </c>
      <c r="G427" t="s">
        <v>231</v>
      </c>
      <c r="H427" t="s">
        <v>231</v>
      </c>
      <c r="I427" t="s">
        <v>3521</v>
      </c>
      <c r="J427" t="s">
        <v>231</v>
      </c>
      <c r="K427" t="s">
        <v>231</v>
      </c>
      <c r="L427" t="s">
        <v>231</v>
      </c>
      <c r="M427" t="s">
        <v>231</v>
      </c>
      <c r="N427" t="s">
        <v>231</v>
      </c>
      <c r="O427" t="s">
        <v>231</v>
      </c>
      <c r="P427" t="s">
        <v>231</v>
      </c>
      <c r="Q427" t="s">
        <v>231</v>
      </c>
      <c r="R427" t="s">
        <v>3615</v>
      </c>
      <c r="S427" t="s">
        <v>231</v>
      </c>
      <c r="T427" t="s">
        <v>231</v>
      </c>
      <c r="U427" t="s">
        <v>101</v>
      </c>
      <c r="V427" t="s">
        <v>231</v>
      </c>
      <c r="W427" t="s">
        <v>231</v>
      </c>
      <c r="X427" t="s">
        <v>3523</v>
      </c>
      <c r="Y427" t="s">
        <v>231</v>
      </c>
      <c r="Z427" t="s">
        <v>160</v>
      </c>
      <c r="AA427" t="s">
        <v>151</v>
      </c>
      <c r="AB427" t="s">
        <v>151</v>
      </c>
      <c r="AC427" t="s">
        <v>2287</v>
      </c>
      <c r="AD427" t="s">
        <v>2287</v>
      </c>
      <c r="AE427" t="s">
        <v>2288</v>
      </c>
      <c r="AF427" t="s">
        <v>3838</v>
      </c>
      <c r="AG427" t="s">
        <v>3839</v>
      </c>
      <c r="AH427" t="s">
        <v>4977</v>
      </c>
      <c r="AI427" t="s">
        <v>4978</v>
      </c>
      <c r="AJ427" t="s">
        <v>3619</v>
      </c>
      <c r="AK427" t="s">
        <v>4979</v>
      </c>
      <c r="AL427" t="s">
        <v>3548</v>
      </c>
      <c r="AM427" t="s">
        <v>3531</v>
      </c>
      <c r="AN427" t="s">
        <v>3621</v>
      </c>
      <c r="AO427" t="s">
        <v>3622</v>
      </c>
      <c r="AP427" t="s">
        <v>231</v>
      </c>
      <c r="AQ427" t="s">
        <v>231</v>
      </c>
      <c r="AR427" t="s">
        <v>231</v>
      </c>
      <c r="AS427" t="s">
        <v>231</v>
      </c>
      <c r="AT427" t="s">
        <v>231</v>
      </c>
      <c r="AU427" t="s">
        <v>231</v>
      </c>
      <c r="AV427" t="s">
        <v>231</v>
      </c>
      <c r="AW427" t="s">
        <v>231</v>
      </c>
      <c r="AX427" t="s">
        <v>231</v>
      </c>
      <c r="AY427" t="s">
        <v>231</v>
      </c>
      <c r="AZ427" t="s">
        <v>231</v>
      </c>
      <c r="BA427" t="s">
        <v>231</v>
      </c>
      <c r="BB427" t="s">
        <v>231</v>
      </c>
      <c r="BC427" t="s">
        <v>231</v>
      </c>
      <c r="BD427" t="s">
        <v>231</v>
      </c>
      <c r="BE427" t="s">
        <v>231</v>
      </c>
      <c r="BF427" t="s">
        <v>231</v>
      </c>
      <c r="BG427" t="s">
        <v>231</v>
      </c>
      <c r="BH427" t="s">
        <v>231</v>
      </c>
      <c r="BI427" t="s">
        <v>231</v>
      </c>
      <c r="BJ427" t="s">
        <v>231</v>
      </c>
      <c r="BK427" t="s">
        <v>231</v>
      </c>
      <c r="BL427" t="s">
        <v>231</v>
      </c>
      <c r="BM427" t="s">
        <v>231</v>
      </c>
      <c r="BN427" t="s">
        <v>231</v>
      </c>
      <c r="BO427" t="s">
        <v>231</v>
      </c>
      <c r="BP427" t="s">
        <v>231</v>
      </c>
      <c r="BQ427" t="s">
        <v>231</v>
      </c>
      <c r="BR427" t="s">
        <v>231</v>
      </c>
      <c r="BS427" t="s">
        <v>231</v>
      </c>
      <c r="BT427" t="s">
        <v>231</v>
      </c>
      <c r="BU427" t="s">
        <v>231</v>
      </c>
      <c r="BV427" t="s">
        <v>231</v>
      </c>
      <c r="BW427" t="s">
        <v>231</v>
      </c>
      <c r="BX427" t="s">
        <v>231</v>
      </c>
      <c r="BY427" t="s">
        <v>231</v>
      </c>
      <c r="BZ427" t="s">
        <v>231</v>
      </c>
      <c r="CA427" t="s">
        <v>231</v>
      </c>
      <c r="CB427" t="s">
        <v>231</v>
      </c>
      <c r="CC427" t="s">
        <v>231</v>
      </c>
      <c r="CD427" t="s">
        <v>231</v>
      </c>
      <c r="CE427" t="s">
        <v>231</v>
      </c>
      <c r="CF427" t="s">
        <v>231</v>
      </c>
      <c r="CG427" t="s">
        <v>231</v>
      </c>
      <c r="CH427" t="s">
        <v>231</v>
      </c>
      <c r="CI427" t="s">
        <v>231</v>
      </c>
      <c r="CJ427" t="s">
        <v>231</v>
      </c>
      <c r="CK427" t="s">
        <v>231</v>
      </c>
      <c r="CL427" t="s">
        <v>231</v>
      </c>
      <c r="CM427" t="s">
        <v>231</v>
      </c>
      <c r="CN427" t="s">
        <v>231</v>
      </c>
      <c r="CO427" t="s">
        <v>231</v>
      </c>
      <c r="CP427" t="s">
        <v>231</v>
      </c>
      <c r="CQ427" t="s">
        <v>231</v>
      </c>
      <c r="CR427" t="s">
        <v>231</v>
      </c>
      <c r="CS427" t="s">
        <v>231</v>
      </c>
      <c r="CT427" t="s">
        <v>3534</v>
      </c>
      <c r="CU427" t="s">
        <v>3535</v>
      </c>
      <c r="CV427" t="s">
        <v>3536</v>
      </c>
      <c r="CW427" t="s">
        <v>3623</v>
      </c>
      <c r="CX427" t="s">
        <v>223</v>
      </c>
      <c r="CY427" t="s">
        <v>3536</v>
      </c>
      <c r="CZ427" t="s">
        <v>3624</v>
      </c>
      <c r="DA427" t="s">
        <v>3625</v>
      </c>
      <c r="DB427" t="s">
        <v>3623</v>
      </c>
      <c r="DC427" t="s">
        <v>363</v>
      </c>
      <c r="DD427" t="s">
        <v>282</v>
      </c>
      <c r="DE427" t="s">
        <v>4980</v>
      </c>
    </row>
    <row r="428" spans="1:109" ht="11.25" customHeight="1">
      <c r="A428" s="1314" t="s">
        <v>231</v>
      </c>
      <c r="B428" t="s">
        <v>231</v>
      </c>
      <c r="C428" t="s">
        <v>231</v>
      </c>
      <c r="D428" t="s">
        <v>231</v>
      </c>
      <c r="E428" t="s">
        <v>231</v>
      </c>
      <c r="F428" t="s">
        <v>231</v>
      </c>
      <c r="G428" t="s">
        <v>231</v>
      </c>
      <c r="H428" t="s">
        <v>231</v>
      </c>
      <c r="I428" t="s">
        <v>3521</v>
      </c>
      <c r="J428" t="s">
        <v>231</v>
      </c>
      <c r="K428" t="s">
        <v>231</v>
      </c>
      <c r="L428" t="s">
        <v>231</v>
      </c>
      <c r="M428" t="s">
        <v>231</v>
      </c>
      <c r="N428" t="s">
        <v>231</v>
      </c>
      <c r="O428" t="s">
        <v>231</v>
      </c>
      <c r="P428" t="s">
        <v>231</v>
      </c>
      <c r="Q428" t="s">
        <v>231</v>
      </c>
      <c r="R428" t="s">
        <v>3837</v>
      </c>
      <c r="S428" t="s">
        <v>231</v>
      </c>
      <c r="T428" t="s">
        <v>231</v>
      </c>
      <c r="U428" t="s">
        <v>101</v>
      </c>
      <c r="V428" t="s">
        <v>231</v>
      </c>
      <c r="W428" t="s">
        <v>231</v>
      </c>
      <c r="X428" t="s">
        <v>3628</v>
      </c>
      <c r="Y428" t="s">
        <v>231</v>
      </c>
      <c r="Z428" t="s">
        <v>151</v>
      </c>
      <c r="AA428" t="s">
        <v>151</v>
      </c>
      <c r="AB428" t="s">
        <v>160</v>
      </c>
      <c r="AC428" t="s">
        <v>2287</v>
      </c>
      <c r="AD428" t="s">
        <v>2287</v>
      </c>
      <c r="AE428" t="s">
        <v>2288</v>
      </c>
      <c r="AF428" t="s">
        <v>3838</v>
      </c>
      <c r="AG428" t="s">
        <v>3839</v>
      </c>
      <c r="AH428" t="s">
        <v>3618</v>
      </c>
      <c r="AI428" t="s">
        <v>3618</v>
      </c>
      <c r="AJ428" t="s">
        <v>231</v>
      </c>
      <c r="AK428" t="s">
        <v>231</v>
      </c>
      <c r="AL428" t="s">
        <v>231</v>
      </c>
      <c r="AM428" t="s">
        <v>231</v>
      </c>
      <c r="AN428" t="s">
        <v>231</v>
      </c>
      <c r="AO428" t="s">
        <v>231</v>
      </c>
      <c r="AP428" t="s">
        <v>231</v>
      </c>
      <c r="AQ428" t="s">
        <v>231</v>
      </c>
      <c r="AR428" t="s">
        <v>231</v>
      </c>
      <c r="AS428" t="s">
        <v>231</v>
      </c>
      <c r="AT428" t="s">
        <v>231</v>
      </c>
      <c r="AU428" t="s">
        <v>231</v>
      </c>
      <c r="AV428" t="s">
        <v>231</v>
      </c>
      <c r="AW428" t="s">
        <v>231</v>
      </c>
      <c r="AX428" t="s">
        <v>231</v>
      </c>
      <c r="AY428" t="s">
        <v>231</v>
      </c>
      <c r="AZ428" t="s">
        <v>231</v>
      </c>
      <c r="BA428" t="s">
        <v>231</v>
      </c>
      <c r="BB428" t="s">
        <v>231</v>
      </c>
      <c r="BC428" t="s">
        <v>231</v>
      </c>
      <c r="BD428" t="s">
        <v>231</v>
      </c>
      <c r="BE428" t="s">
        <v>3840</v>
      </c>
      <c r="BF428" t="s">
        <v>3841</v>
      </c>
      <c r="BG428" t="s">
        <v>111</v>
      </c>
      <c r="BH428" t="s">
        <v>3632</v>
      </c>
      <c r="BI428" t="s">
        <v>122</v>
      </c>
      <c r="BJ428" t="s">
        <v>231</v>
      </c>
      <c r="BK428" t="s">
        <v>3651</v>
      </c>
      <c r="BL428" t="s">
        <v>2287</v>
      </c>
      <c r="BM428" t="s">
        <v>2287</v>
      </c>
      <c r="BN428" t="s">
        <v>3842</v>
      </c>
      <c r="BO428" t="s">
        <v>3838</v>
      </c>
      <c r="BP428" t="s">
        <v>3843</v>
      </c>
      <c r="BQ428" t="s">
        <v>3618</v>
      </c>
      <c r="BR428" t="s">
        <v>3618</v>
      </c>
      <c r="BS428" t="s">
        <v>231</v>
      </c>
      <c r="BT428" t="s">
        <v>3694</v>
      </c>
      <c r="BU428" t="s">
        <v>3844</v>
      </c>
      <c r="BV428" t="s">
        <v>3844</v>
      </c>
      <c r="BW428" t="s">
        <v>3641</v>
      </c>
      <c r="BX428" t="s">
        <v>3641</v>
      </c>
      <c r="BY428" t="s">
        <v>3641</v>
      </c>
      <c r="BZ428" t="s">
        <v>3641</v>
      </c>
      <c r="CA428" t="s">
        <v>3641</v>
      </c>
      <c r="CB428" t="s">
        <v>231</v>
      </c>
      <c r="CC428" t="s">
        <v>231</v>
      </c>
      <c r="CD428" t="s">
        <v>231</v>
      </c>
      <c r="CE428" t="s">
        <v>231</v>
      </c>
      <c r="CF428" t="s">
        <v>231</v>
      </c>
      <c r="CG428" t="s">
        <v>3641</v>
      </c>
      <c r="CH428" t="s">
        <v>231</v>
      </c>
      <c r="CI428" t="s">
        <v>231</v>
      </c>
      <c r="CJ428" t="s">
        <v>231</v>
      </c>
      <c r="CK428" t="s">
        <v>231</v>
      </c>
      <c r="CL428" t="s">
        <v>231</v>
      </c>
      <c r="CM428" t="s">
        <v>3844</v>
      </c>
      <c r="CN428" t="s">
        <v>3844</v>
      </c>
      <c r="CO428" t="s">
        <v>231</v>
      </c>
      <c r="CP428" t="s">
        <v>231</v>
      </c>
      <c r="CQ428" t="s">
        <v>231</v>
      </c>
      <c r="CR428" t="s">
        <v>231</v>
      </c>
      <c r="CS428" t="s">
        <v>3621</v>
      </c>
      <c r="CT428" t="s">
        <v>3534</v>
      </c>
      <c r="CU428" t="s">
        <v>3535</v>
      </c>
      <c r="CV428" t="s">
        <v>3536</v>
      </c>
      <c r="CW428" t="s">
        <v>3623</v>
      </c>
      <c r="CX428" t="s">
        <v>223</v>
      </c>
      <c r="CY428" t="s">
        <v>3536</v>
      </c>
      <c r="CZ428" t="s">
        <v>3624</v>
      </c>
      <c r="DA428" t="s">
        <v>3625</v>
      </c>
      <c r="DB428" t="s">
        <v>3623</v>
      </c>
      <c r="DC428" t="s">
        <v>363</v>
      </c>
      <c r="DD428" t="s">
        <v>282</v>
      </c>
      <c r="DE428" t="s">
        <v>3845</v>
      </c>
    </row>
    <row r="429" spans="1:109" ht="11.25" customHeight="1">
      <c r="A429" s="1314" t="s">
        <v>231</v>
      </c>
      <c r="B429" t="s">
        <v>231</v>
      </c>
      <c r="C429" t="s">
        <v>231</v>
      </c>
      <c r="D429" t="s">
        <v>231</v>
      </c>
      <c r="E429" t="s">
        <v>231</v>
      </c>
      <c r="F429" t="s">
        <v>231</v>
      </c>
      <c r="G429" t="s">
        <v>231</v>
      </c>
      <c r="H429" t="s">
        <v>231</v>
      </c>
      <c r="I429" t="s">
        <v>3521</v>
      </c>
      <c r="J429" t="s">
        <v>231</v>
      </c>
      <c r="K429" t="s">
        <v>231</v>
      </c>
      <c r="L429" t="s">
        <v>231</v>
      </c>
      <c r="M429" t="s">
        <v>231</v>
      </c>
      <c r="N429" t="s">
        <v>231</v>
      </c>
      <c r="O429" t="s">
        <v>231</v>
      </c>
      <c r="P429" t="s">
        <v>231</v>
      </c>
      <c r="Q429" t="s">
        <v>231</v>
      </c>
      <c r="R429" t="s">
        <v>3651</v>
      </c>
      <c r="S429" t="s">
        <v>231</v>
      </c>
      <c r="T429" t="s">
        <v>231</v>
      </c>
      <c r="U429" t="s">
        <v>101</v>
      </c>
      <c r="V429" t="s">
        <v>231</v>
      </c>
      <c r="W429" t="s">
        <v>231</v>
      </c>
      <c r="X429" t="s">
        <v>3523</v>
      </c>
      <c r="Y429" t="s">
        <v>231</v>
      </c>
      <c r="Z429" t="s">
        <v>160</v>
      </c>
      <c r="AA429" t="s">
        <v>151</v>
      </c>
      <c r="AB429" t="s">
        <v>151</v>
      </c>
      <c r="AC429" t="s">
        <v>2283</v>
      </c>
      <c r="AD429" t="s">
        <v>2283</v>
      </c>
      <c r="AE429" t="s">
        <v>2284</v>
      </c>
      <c r="AF429" t="s">
        <v>3963</v>
      </c>
      <c r="AG429" t="s">
        <v>3964</v>
      </c>
      <c r="AH429" t="s">
        <v>3556</v>
      </c>
      <c r="AI429" t="s">
        <v>1679</v>
      </c>
      <c r="AJ429" t="s">
        <v>3546</v>
      </c>
      <c r="AK429" t="s">
        <v>3547</v>
      </c>
      <c r="AL429" t="s">
        <v>4163</v>
      </c>
      <c r="AM429" t="s">
        <v>3531</v>
      </c>
      <c r="AN429" t="s">
        <v>3549</v>
      </c>
      <c r="AO429" t="s">
        <v>3812</v>
      </c>
      <c r="AP429" t="s">
        <v>231</v>
      </c>
      <c r="AQ429" t="s">
        <v>231</v>
      </c>
      <c r="AR429" t="s">
        <v>231</v>
      </c>
      <c r="AS429" t="s">
        <v>231</v>
      </c>
      <c r="AT429" t="s">
        <v>231</v>
      </c>
      <c r="AU429" t="s">
        <v>231</v>
      </c>
      <c r="AV429" t="s">
        <v>231</v>
      </c>
      <c r="AW429" t="s">
        <v>231</v>
      </c>
      <c r="AX429" t="s">
        <v>231</v>
      </c>
      <c r="AY429" t="s">
        <v>231</v>
      </c>
      <c r="AZ429" t="s">
        <v>231</v>
      </c>
      <c r="BA429" t="s">
        <v>231</v>
      </c>
      <c r="BB429" t="s">
        <v>231</v>
      </c>
      <c r="BC429" t="s">
        <v>231</v>
      </c>
      <c r="BD429" t="s">
        <v>231</v>
      </c>
      <c r="BE429" t="s">
        <v>231</v>
      </c>
      <c r="BF429" t="s">
        <v>231</v>
      </c>
      <c r="BG429" t="s">
        <v>231</v>
      </c>
      <c r="BH429" t="s">
        <v>231</v>
      </c>
      <c r="BI429" t="s">
        <v>231</v>
      </c>
      <c r="BJ429" t="s">
        <v>231</v>
      </c>
      <c r="BK429" t="s">
        <v>231</v>
      </c>
      <c r="BL429" t="s">
        <v>231</v>
      </c>
      <c r="BM429" t="s">
        <v>231</v>
      </c>
      <c r="BN429" t="s">
        <v>231</v>
      </c>
      <c r="BO429" t="s">
        <v>231</v>
      </c>
      <c r="BP429" t="s">
        <v>231</v>
      </c>
      <c r="BQ429" t="s">
        <v>231</v>
      </c>
      <c r="BR429" t="s">
        <v>231</v>
      </c>
      <c r="BS429" t="s">
        <v>231</v>
      </c>
      <c r="BT429" t="s">
        <v>231</v>
      </c>
      <c r="BU429" t="s">
        <v>231</v>
      </c>
      <c r="BV429" t="s">
        <v>231</v>
      </c>
      <c r="BW429" t="s">
        <v>231</v>
      </c>
      <c r="BX429" t="s">
        <v>231</v>
      </c>
      <c r="BY429" t="s">
        <v>231</v>
      </c>
      <c r="BZ429" t="s">
        <v>231</v>
      </c>
      <c r="CA429" t="s">
        <v>231</v>
      </c>
      <c r="CB429" t="s">
        <v>231</v>
      </c>
      <c r="CC429" t="s">
        <v>231</v>
      </c>
      <c r="CD429" t="s">
        <v>231</v>
      </c>
      <c r="CE429" t="s">
        <v>231</v>
      </c>
      <c r="CF429" t="s">
        <v>231</v>
      </c>
      <c r="CG429" t="s">
        <v>231</v>
      </c>
      <c r="CH429" t="s">
        <v>231</v>
      </c>
      <c r="CI429" t="s">
        <v>231</v>
      </c>
      <c r="CJ429" t="s">
        <v>231</v>
      </c>
      <c r="CK429" t="s">
        <v>231</v>
      </c>
      <c r="CL429" t="s">
        <v>231</v>
      </c>
      <c r="CM429" t="s">
        <v>231</v>
      </c>
      <c r="CN429" t="s">
        <v>231</v>
      </c>
      <c r="CO429" t="s">
        <v>231</v>
      </c>
      <c r="CP429" t="s">
        <v>231</v>
      </c>
      <c r="CQ429" t="s">
        <v>231</v>
      </c>
      <c r="CR429" t="s">
        <v>231</v>
      </c>
      <c r="CS429" t="s">
        <v>231</v>
      </c>
      <c r="CT429" t="s">
        <v>3534</v>
      </c>
      <c r="CU429" t="s">
        <v>3535</v>
      </c>
      <c r="CV429" t="s">
        <v>3536</v>
      </c>
      <c r="CW429" t="s">
        <v>3551</v>
      </c>
      <c r="CX429" t="s">
        <v>223</v>
      </c>
      <c r="CY429" t="s">
        <v>3536</v>
      </c>
      <c r="CZ429" t="s">
        <v>3552</v>
      </c>
      <c r="DA429" t="s">
        <v>3553</v>
      </c>
      <c r="DB429" t="s">
        <v>3551</v>
      </c>
      <c r="DC429" t="s">
        <v>363</v>
      </c>
      <c r="DD429" t="s">
        <v>282</v>
      </c>
      <c r="DE429" t="s">
        <v>4164</v>
      </c>
    </row>
    <row r="430" spans="1:109" ht="11.25" customHeight="1">
      <c r="A430" s="1314" t="s">
        <v>231</v>
      </c>
      <c r="B430" t="s">
        <v>231</v>
      </c>
      <c r="C430" t="s">
        <v>231</v>
      </c>
      <c r="D430" t="s">
        <v>231</v>
      </c>
      <c r="E430" t="s">
        <v>231</v>
      </c>
      <c r="F430" t="s">
        <v>231</v>
      </c>
      <c r="G430" t="s">
        <v>231</v>
      </c>
      <c r="H430" t="s">
        <v>231</v>
      </c>
      <c r="I430" t="s">
        <v>3521</v>
      </c>
      <c r="J430" t="s">
        <v>231</v>
      </c>
      <c r="K430" t="s">
        <v>231</v>
      </c>
      <c r="L430" t="s">
        <v>231</v>
      </c>
      <c r="M430" t="s">
        <v>231</v>
      </c>
      <c r="N430" t="s">
        <v>231</v>
      </c>
      <c r="O430" t="s">
        <v>231</v>
      </c>
      <c r="P430" t="s">
        <v>231</v>
      </c>
      <c r="Q430" t="s">
        <v>231</v>
      </c>
      <c r="R430" t="s">
        <v>3651</v>
      </c>
      <c r="S430" t="s">
        <v>231</v>
      </c>
      <c r="T430" t="s">
        <v>231</v>
      </c>
      <c r="U430" t="s">
        <v>101</v>
      </c>
      <c r="V430" t="s">
        <v>231</v>
      </c>
      <c r="W430" t="s">
        <v>231</v>
      </c>
      <c r="X430" t="s">
        <v>3523</v>
      </c>
      <c r="Y430" t="s">
        <v>231</v>
      </c>
      <c r="Z430" t="s">
        <v>160</v>
      </c>
      <c r="AA430" t="s">
        <v>151</v>
      </c>
      <c r="AB430" t="s">
        <v>151</v>
      </c>
      <c r="AC430" t="s">
        <v>2283</v>
      </c>
      <c r="AD430" t="s">
        <v>2283</v>
      </c>
      <c r="AE430" t="s">
        <v>2284</v>
      </c>
      <c r="AF430" t="s">
        <v>3963</v>
      </c>
      <c r="AG430" t="s">
        <v>3964</v>
      </c>
      <c r="AH430" t="s">
        <v>3556</v>
      </c>
      <c r="AI430" t="s">
        <v>4165</v>
      </c>
      <c r="AJ430" t="s">
        <v>3546</v>
      </c>
      <c r="AK430" t="s">
        <v>3547</v>
      </c>
      <c r="AL430" t="s">
        <v>4163</v>
      </c>
      <c r="AM430" t="s">
        <v>3531</v>
      </c>
      <c r="AN430" t="s">
        <v>3549</v>
      </c>
      <c r="AO430" t="s">
        <v>3812</v>
      </c>
      <c r="AP430" t="s">
        <v>231</v>
      </c>
      <c r="AQ430" t="s">
        <v>231</v>
      </c>
      <c r="AR430" t="s">
        <v>231</v>
      </c>
      <c r="AS430" t="s">
        <v>231</v>
      </c>
      <c r="AT430" t="s">
        <v>231</v>
      </c>
      <c r="AU430" t="s">
        <v>231</v>
      </c>
      <c r="AV430" t="s">
        <v>231</v>
      </c>
      <c r="AW430" t="s">
        <v>231</v>
      </c>
      <c r="AX430" t="s">
        <v>231</v>
      </c>
      <c r="AY430" t="s">
        <v>231</v>
      </c>
      <c r="AZ430" t="s">
        <v>231</v>
      </c>
      <c r="BA430" t="s">
        <v>231</v>
      </c>
      <c r="BB430" t="s">
        <v>231</v>
      </c>
      <c r="BC430" t="s">
        <v>231</v>
      </c>
      <c r="BD430" t="s">
        <v>231</v>
      </c>
      <c r="BE430" t="s">
        <v>231</v>
      </c>
      <c r="BF430" t="s">
        <v>231</v>
      </c>
      <c r="BG430" t="s">
        <v>231</v>
      </c>
      <c r="BH430" t="s">
        <v>231</v>
      </c>
      <c r="BI430" t="s">
        <v>231</v>
      </c>
      <c r="BJ430" t="s">
        <v>231</v>
      </c>
      <c r="BK430" t="s">
        <v>231</v>
      </c>
      <c r="BL430" t="s">
        <v>231</v>
      </c>
      <c r="BM430" t="s">
        <v>231</v>
      </c>
      <c r="BN430" t="s">
        <v>231</v>
      </c>
      <c r="BO430" t="s">
        <v>231</v>
      </c>
      <c r="BP430" t="s">
        <v>231</v>
      </c>
      <c r="BQ430" t="s">
        <v>231</v>
      </c>
      <c r="BR430" t="s">
        <v>231</v>
      </c>
      <c r="BS430" t="s">
        <v>231</v>
      </c>
      <c r="BT430" t="s">
        <v>231</v>
      </c>
      <c r="BU430" t="s">
        <v>231</v>
      </c>
      <c r="BV430" t="s">
        <v>231</v>
      </c>
      <c r="BW430" t="s">
        <v>231</v>
      </c>
      <c r="BX430" t="s">
        <v>231</v>
      </c>
      <c r="BY430" t="s">
        <v>231</v>
      </c>
      <c r="BZ430" t="s">
        <v>231</v>
      </c>
      <c r="CA430" t="s">
        <v>231</v>
      </c>
      <c r="CB430" t="s">
        <v>231</v>
      </c>
      <c r="CC430" t="s">
        <v>231</v>
      </c>
      <c r="CD430" t="s">
        <v>231</v>
      </c>
      <c r="CE430" t="s">
        <v>231</v>
      </c>
      <c r="CF430" t="s">
        <v>231</v>
      </c>
      <c r="CG430" t="s">
        <v>231</v>
      </c>
      <c r="CH430" t="s">
        <v>231</v>
      </c>
      <c r="CI430" t="s">
        <v>231</v>
      </c>
      <c r="CJ430" t="s">
        <v>231</v>
      </c>
      <c r="CK430" t="s">
        <v>231</v>
      </c>
      <c r="CL430" t="s">
        <v>231</v>
      </c>
      <c r="CM430" t="s">
        <v>231</v>
      </c>
      <c r="CN430" t="s">
        <v>231</v>
      </c>
      <c r="CO430" t="s">
        <v>231</v>
      </c>
      <c r="CP430" t="s">
        <v>231</v>
      </c>
      <c r="CQ430" t="s">
        <v>231</v>
      </c>
      <c r="CR430" t="s">
        <v>231</v>
      </c>
      <c r="CS430" t="s">
        <v>231</v>
      </c>
      <c r="CT430" t="s">
        <v>3534</v>
      </c>
      <c r="CU430" t="s">
        <v>3535</v>
      </c>
      <c r="CV430" t="s">
        <v>3536</v>
      </c>
      <c r="CW430" t="s">
        <v>3551</v>
      </c>
      <c r="CX430" t="s">
        <v>223</v>
      </c>
      <c r="CY430" t="s">
        <v>3536</v>
      </c>
      <c r="CZ430" t="s">
        <v>3552</v>
      </c>
      <c r="DA430" t="s">
        <v>3553</v>
      </c>
      <c r="DB430" t="s">
        <v>3551</v>
      </c>
      <c r="DC430" t="s">
        <v>363</v>
      </c>
      <c r="DD430" t="s">
        <v>282</v>
      </c>
      <c r="DE430" t="s">
        <v>4166</v>
      </c>
    </row>
    <row r="431" spans="1:109" ht="11.25" customHeight="1">
      <c r="A431" s="1314" t="s">
        <v>231</v>
      </c>
      <c r="B431" t="s">
        <v>231</v>
      </c>
      <c r="C431" t="s">
        <v>231</v>
      </c>
      <c r="D431" t="s">
        <v>231</v>
      </c>
      <c r="E431" t="s">
        <v>231</v>
      </c>
      <c r="F431" t="s">
        <v>231</v>
      </c>
      <c r="G431" t="s">
        <v>231</v>
      </c>
      <c r="H431" t="s">
        <v>231</v>
      </c>
      <c r="I431" t="s">
        <v>3521</v>
      </c>
      <c r="J431" t="s">
        <v>231</v>
      </c>
      <c r="K431" t="s">
        <v>231</v>
      </c>
      <c r="L431" t="s">
        <v>231</v>
      </c>
      <c r="M431" t="s">
        <v>231</v>
      </c>
      <c r="N431" t="s">
        <v>231</v>
      </c>
      <c r="O431" t="s">
        <v>231</v>
      </c>
      <c r="P431" t="s">
        <v>231</v>
      </c>
      <c r="Q431" t="s">
        <v>231</v>
      </c>
      <c r="R431" t="s">
        <v>3651</v>
      </c>
      <c r="S431" t="s">
        <v>231</v>
      </c>
      <c r="T431" t="s">
        <v>231</v>
      </c>
      <c r="U431" t="s">
        <v>101</v>
      </c>
      <c r="V431" t="s">
        <v>231</v>
      </c>
      <c r="W431" t="s">
        <v>231</v>
      </c>
      <c r="X431" t="s">
        <v>3523</v>
      </c>
      <c r="Y431" t="s">
        <v>231</v>
      </c>
      <c r="Z431" t="s">
        <v>160</v>
      </c>
      <c r="AA431" t="s">
        <v>151</v>
      </c>
      <c r="AB431" t="s">
        <v>151</v>
      </c>
      <c r="AC431" t="s">
        <v>2283</v>
      </c>
      <c r="AD431" t="s">
        <v>2283</v>
      </c>
      <c r="AE431" t="s">
        <v>2284</v>
      </c>
      <c r="AF431" t="s">
        <v>3963</v>
      </c>
      <c r="AG431" t="s">
        <v>3964</v>
      </c>
      <c r="AH431" t="s">
        <v>3556</v>
      </c>
      <c r="AI431" t="s">
        <v>4224</v>
      </c>
      <c r="AJ431" t="s">
        <v>3546</v>
      </c>
      <c r="AK431" t="s">
        <v>3547</v>
      </c>
      <c r="AL431" t="s">
        <v>4163</v>
      </c>
      <c r="AM431" t="s">
        <v>3531</v>
      </c>
      <c r="AN431" t="s">
        <v>3549</v>
      </c>
      <c r="AO431" t="s">
        <v>3812</v>
      </c>
      <c r="AP431" t="s">
        <v>231</v>
      </c>
      <c r="AQ431" t="s">
        <v>231</v>
      </c>
      <c r="AR431" t="s">
        <v>231</v>
      </c>
      <c r="AS431" t="s">
        <v>231</v>
      </c>
      <c r="AT431" t="s">
        <v>231</v>
      </c>
      <c r="AU431" t="s">
        <v>231</v>
      </c>
      <c r="AV431" t="s">
        <v>231</v>
      </c>
      <c r="AW431" t="s">
        <v>231</v>
      </c>
      <c r="AX431" t="s">
        <v>231</v>
      </c>
      <c r="AY431" t="s">
        <v>231</v>
      </c>
      <c r="AZ431" t="s">
        <v>231</v>
      </c>
      <c r="BA431" t="s">
        <v>231</v>
      </c>
      <c r="BB431" t="s">
        <v>231</v>
      </c>
      <c r="BC431" t="s">
        <v>231</v>
      </c>
      <c r="BD431" t="s">
        <v>231</v>
      </c>
      <c r="BE431" t="s">
        <v>231</v>
      </c>
      <c r="BF431" t="s">
        <v>231</v>
      </c>
      <c r="BG431" t="s">
        <v>231</v>
      </c>
      <c r="BH431" t="s">
        <v>231</v>
      </c>
      <c r="BI431" t="s">
        <v>231</v>
      </c>
      <c r="BJ431" t="s">
        <v>231</v>
      </c>
      <c r="BK431" t="s">
        <v>231</v>
      </c>
      <c r="BL431" t="s">
        <v>231</v>
      </c>
      <c r="BM431" t="s">
        <v>231</v>
      </c>
      <c r="BN431" t="s">
        <v>231</v>
      </c>
      <c r="BO431" t="s">
        <v>231</v>
      </c>
      <c r="BP431" t="s">
        <v>231</v>
      </c>
      <c r="BQ431" t="s">
        <v>231</v>
      </c>
      <c r="BR431" t="s">
        <v>231</v>
      </c>
      <c r="BS431" t="s">
        <v>231</v>
      </c>
      <c r="BT431" t="s">
        <v>231</v>
      </c>
      <c r="BU431" t="s">
        <v>231</v>
      </c>
      <c r="BV431" t="s">
        <v>231</v>
      </c>
      <c r="BW431" t="s">
        <v>231</v>
      </c>
      <c r="BX431" t="s">
        <v>231</v>
      </c>
      <c r="BY431" t="s">
        <v>231</v>
      </c>
      <c r="BZ431" t="s">
        <v>231</v>
      </c>
      <c r="CA431" t="s">
        <v>231</v>
      </c>
      <c r="CB431" t="s">
        <v>231</v>
      </c>
      <c r="CC431" t="s">
        <v>231</v>
      </c>
      <c r="CD431" t="s">
        <v>231</v>
      </c>
      <c r="CE431" t="s">
        <v>231</v>
      </c>
      <c r="CF431" t="s">
        <v>231</v>
      </c>
      <c r="CG431" t="s">
        <v>231</v>
      </c>
      <c r="CH431" t="s">
        <v>231</v>
      </c>
      <c r="CI431" t="s">
        <v>231</v>
      </c>
      <c r="CJ431" t="s">
        <v>231</v>
      </c>
      <c r="CK431" t="s">
        <v>231</v>
      </c>
      <c r="CL431" t="s">
        <v>231</v>
      </c>
      <c r="CM431" t="s">
        <v>231</v>
      </c>
      <c r="CN431" t="s">
        <v>231</v>
      </c>
      <c r="CO431" t="s">
        <v>231</v>
      </c>
      <c r="CP431" t="s">
        <v>231</v>
      </c>
      <c r="CQ431" t="s">
        <v>231</v>
      </c>
      <c r="CR431" t="s">
        <v>231</v>
      </c>
      <c r="CS431" t="s">
        <v>231</v>
      </c>
      <c r="CT431" t="s">
        <v>3534</v>
      </c>
      <c r="CU431" t="s">
        <v>3535</v>
      </c>
      <c r="CV431" t="s">
        <v>3536</v>
      </c>
      <c r="CW431" t="s">
        <v>3551</v>
      </c>
      <c r="CX431" t="s">
        <v>223</v>
      </c>
      <c r="CY431" t="s">
        <v>3536</v>
      </c>
      <c r="CZ431" t="s">
        <v>3552</v>
      </c>
      <c r="DA431" t="s">
        <v>3553</v>
      </c>
      <c r="DB431" t="s">
        <v>3551</v>
      </c>
      <c r="DC431" t="s">
        <v>363</v>
      </c>
      <c r="DD431" t="s">
        <v>282</v>
      </c>
      <c r="DE431" t="s">
        <v>4225</v>
      </c>
    </row>
    <row r="432" spans="1:109" ht="11.25" customHeight="1">
      <c r="A432" s="1314" t="s">
        <v>231</v>
      </c>
      <c r="B432" t="s">
        <v>231</v>
      </c>
      <c r="C432" t="s">
        <v>231</v>
      </c>
      <c r="D432" t="s">
        <v>231</v>
      </c>
      <c r="E432" t="s">
        <v>231</v>
      </c>
      <c r="F432" t="s">
        <v>231</v>
      </c>
      <c r="G432" t="s">
        <v>231</v>
      </c>
      <c r="H432" t="s">
        <v>231</v>
      </c>
      <c r="I432" t="s">
        <v>3521</v>
      </c>
      <c r="J432" t="s">
        <v>231</v>
      </c>
      <c r="K432" t="s">
        <v>231</v>
      </c>
      <c r="L432" t="s">
        <v>231</v>
      </c>
      <c r="M432" t="s">
        <v>231</v>
      </c>
      <c r="N432" t="s">
        <v>231</v>
      </c>
      <c r="O432" t="s">
        <v>231</v>
      </c>
      <c r="P432" t="s">
        <v>231</v>
      </c>
      <c r="Q432" t="s">
        <v>231</v>
      </c>
      <c r="R432" t="s">
        <v>4233</v>
      </c>
      <c r="S432" t="s">
        <v>231</v>
      </c>
      <c r="T432" t="s">
        <v>231</v>
      </c>
      <c r="U432" t="s">
        <v>101</v>
      </c>
      <c r="V432" t="s">
        <v>231</v>
      </c>
      <c r="W432" t="s">
        <v>231</v>
      </c>
      <c r="X432" t="s">
        <v>3628</v>
      </c>
      <c r="Y432" t="s">
        <v>231</v>
      </c>
      <c r="Z432" t="s">
        <v>151</v>
      </c>
      <c r="AA432" t="s">
        <v>151</v>
      </c>
      <c r="AB432" t="s">
        <v>160</v>
      </c>
      <c r="AC432" t="s">
        <v>2289</v>
      </c>
      <c r="AD432" t="s">
        <v>2289</v>
      </c>
      <c r="AE432" t="s">
        <v>2290</v>
      </c>
      <c r="AF432" t="s">
        <v>3582</v>
      </c>
      <c r="AG432" t="s">
        <v>3583</v>
      </c>
      <c r="AH432" t="s">
        <v>3618</v>
      </c>
      <c r="AI432" t="s">
        <v>3618</v>
      </c>
      <c r="AJ432" t="s">
        <v>231</v>
      </c>
      <c r="AK432" t="s">
        <v>231</v>
      </c>
      <c r="AL432" t="s">
        <v>231</v>
      </c>
      <c r="AM432" t="s">
        <v>231</v>
      </c>
      <c r="AN432" t="s">
        <v>231</v>
      </c>
      <c r="AO432" t="s">
        <v>231</v>
      </c>
      <c r="AP432" t="s">
        <v>231</v>
      </c>
      <c r="AQ432" t="s">
        <v>231</v>
      </c>
      <c r="AR432" t="s">
        <v>231</v>
      </c>
      <c r="AS432" t="s">
        <v>231</v>
      </c>
      <c r="AT432" t="s">
        <v>231</v>
      </c>
      <c r="AU432" t="s">
        <v>231</v>
      </c>
      <c r="AV432" t="s">
        <v>231</v>
      </c>
      <c r="AW432" t="s">
        <v>231</v>
      </c>
      <c r="AX432" t="s">
        <v>231</v>
      </c>
      <c r="AY432" t="s">
        <v>231</v>
      </c>
      <c r="AZ432" t="s">
        <v>231</v>
      </c>
      <c r="BA432" t="s">
        <v>231</v>
      </c>
      <c r="BB432" t="s">
        <v>231</v>
      </c>
      <c r="BC432" t="s">
        <v>231</v>
      </c>
      <c r="BD432" t="s">
        <v>231</v>
      </c>
      <c r="BE432" t="s">
        <v>3546</v>
      </c>
      <c r="BF432" t="s">
        <v>3586</v>
      </c>
      <c r="BG432" t="s">
        <v>111</v>
      </c>
      <c r="BH432" t="s">
        <v>3632</v>
      </c>
      <c r="BI432" t="s">
        <v>122</v>
      </c>
      <c r="BJ432" t="s">
        <v>231</v>
      </c>
      <c r="BK432" t="s">
        <v>3651</v>
      </c>
      <c r="BL432" t="s">
        <v>2289</v>
      </c>
      <c r="BM432" t="s">
        <v>2289</v>
      </c>
      <c r="BN432" t="s">
        <v>3707</v>
      </c>
      <c r="BO432" t="s">
        <v>3582</v>
      </c>
      <c r="BP432" t="s">
        <v>4234</v>
      </c>
      <c r="BQ432" t="s">
        <v>3618</v>
      </c>
      <c r="BR432" t="s">
        <v>3618</v>
      </c>
      <c r="BS432" t="s">
        <v>231</v>
      </c>
      <c r="BT432" t="s">
        <v>3694</v>
      </c>
      <c r="BU432" t="s">
        <v>4235</v>
      </c>
      <c r="BV432" t="s">
        <v>4235</v>
      </c>
      <c r="BW432" t="s">
        <v>3641</v>
      </c>
      <c r="BX432" t="s">
        <v>3641</v>
      </c>
      <c r="BY432" t="s">
        <v>3641</v>
      </c>
      <c r="BZ432" t="s">
        <v>3641</v>
      </c>
      <c r="CA432" t="s">
        <v>3641</v>
      </c>
      <c r="CB432" t="s">
        <v>231</v>
      </c>
      <c r="CC432" t="s">
        <v>231</v>
      </c>
      <c r="CD432" t="s">
        <v>231</v>
      </c>
      <c r="CE432" t="s">
        <v>231</v>
      </c>
      <c r="CF432" t="s">
        <v>231</v>
      </c>
      <c r="CG432" t="s">
        <v>3641</v>
      </c>
      <c r="CH432" t="s">
        <v>231</v>
      </c>
      <c r="CI432" t="s">
        <v>231</v>
      </c>
      <c r="CJ432" t="s">
        <v>231</v>
      </c>
      <c r="CK432" t="s">
        <v>231</v>
      </c>
      <c r="CL432" t="s">
        <v>231</v>
      </c>
      <c r="CM432" t="s">
        <v>4235</v>
      </c>
      <c r="CN432" t="s">
        <v>4235</v>
      </c>
      <c r="CO432" t="s">
        <v>231</v>
      </c>
      <c r="CP432" t="s">
        <v>231</v>
      </c>
      <c r="CQ432" t="s">
        <v>231</v>
      </c>
      <c r="CR432" t="s">
        <v>231</v>
      </c>
      <c r="CS432" t="s">
        <v>3710</v>
      </c>
      <c r="CT432" t="s">
        <v>3534</v>
      </c>
      <c r="CU432" t="s">
        <v>3535</v>
      </c>
      <c r="CV432" t="s">
        <v>3536</v>
      </c>
      <c r="CW432" t="s">
        <v>3589</v>
      </c>
      <c r="CX432" t="s">
        <v>223</v>
      </c>
      <c r="CY432" t="s">
        <v>3536</v>
      </c>
      <c r="CZ432" t="s">
        <v>3590</v>
      </c>
      <c r="DA432" t="s">
        <v>3591</v>
      </c>
      <c r="DB432" t="s">
        <v>3589</v>
      </c>
      <c r="DC432" t="s">
        <v>363</v>
      </c>
      <c r="DD432" t="s">
        <v>282</v>
      </c>
      <c r="DE432" t="s">
        <v>4236</v>
      </c>
    </row>
    <row r="433" spans="1:109" ht="11.25" customHeight="1">
      <c r="A433" s="1314" t="s">
        <v>231</v>
      </c>
      <c r="B433" t="s">
        <v>231</v>
      </c>
      <c r="C433" t="s">
        <v>231</v>
      </c>
      <c r="D433" t="s">
        <v>231</v>
      </c>
      <c r="E433" t="s">
        <v>231</v>
      </c>
      <c r="F433" t="s">
        <v>231</v>
      </c>
      <c r="G433" t="s">
        <v>231</v>
      </c>
      <c r="H433" t="s">
        <v>231</v>
      </c>
      <c r="I433" t="s">
        <v>3521</v>
      </c>
      <c r="J433" t="s">
        <v>231</v>
      </c>
      <c r="K433" t="s">
        <v>231</v>
      </c>
      <c r="L433" t="s">
        <v>231</v>
      </c>
      <c r="M433" t="s">
        <v>231</v>
      </c>
      <c r="N433" t="s">
        <v>231</v>
      </c>
      <c r="O433" t="s">
        <v>231</v>
      </c>
      <c r="P433" t="s">
        <v>231</v>
      </c>
      <c r="Q433" t="s">
        <v>231</v>
      </c>
      <c r="R433" t="s">
        <v>4237</v>
      </c>
      <c r="S433" t="s">
        <v>231</v>
      </c>
      <c r="T433" t="s">
        <v>231</v>
      </c>
      <c r="U433" t="s">
        <v>101</v>
      </c>
      <c r="V433" t="s">
        <v>231</v>
      </c>
      <c r="W433" t="s">
        <v>231</v>
      </c>
      <c r="X433" t="s">
        <v>3523</v>
      </c>
      <c r="Y433" t="s">
        <v>231</v>
      </c>
      <c r="Z433" t="s">
        <v>160</v>
      </c>
      <c r="AA433" t="s">
        <v>151</v>
      </c>
      <c r="AB433" t="s">
        <v>151</v>
      </c>
      <c r="AC433" t="s">
        <v>2289</v>
      </c>
      <c r="AD433" t="s">
        <v>2289</v>
      </c>
      <c r="AE433" t="s">
        <v>2290</v>
      </c>
      <c r="AF433" t="s">
        <v>4238</v>
      </c>
      <c r="AG433" t="s">
        <v>4239</v>
      </c>
      <c r="AH433" t="s">
        <v>3714</v>
      </c>
      <c r="AI433" t="s">
        <v>4240</v>
      </c>
      <c r="AJ433" t="s">
        <v>3594</v>
      </c>
      <c r="AK433" t="s">
        <v>3716</v>
      </c>
      <c r="AL433" t="s">
        <v>3548</v>
      </c>
      <c r="AM433" t="s">
        <v>3531</v>
      </c>
      <c r="AN433" t="s">
        <v>3587</v>
      </c>
      <c r="AO433" t="s">
        <v>3550</v>
      </c>
      <c r="AP433" t="s">
        <v>231</v>
      </c>
      <c r="AQ433" t="s">
        <v>231</v>
      </c>
      <c r="AR433" t="s">
        <v>231</v>
      </c>
      <c r="AS433" t="s">
        <v>231</v>
      </c>
      <c r="AT433" t="s">
        <v>231</v>
      </c>
      <c r="AU433" t="s">
        <v>231</v>
      </c>
      <c r="AV433" t="s">
        <v>231</v>
      </c>
      <c r="AW433" t="s">
        <v>231</v>
      </c>
      <c r="AX433" t="s">
        <v>231</v>
      </c>
      <c r="AY433" t="s">
        <v>231</v>
      </c>
      <c r="AZ433" t="s">
        <v>231</v>
      </c>
      <c r="BA433" t="s">
        <v>231</v>
      </c>
      <c r="BB433" t="s">
        <v>231</v>
      </c>
      <c r="BC433" t="s">
        <v>231</v>
      </c>
      <c r="BD433" t="s">
        <v>231</v>
      </c>
      <c r="BE433" t="s">
        <v>231</v>
      </c>
      <c r="BF433" t="s">
        <v>231</v>
      </c>
      <c r="BG433" t="s">
        <v>231</v>
      </c>
      <c r="BH433" t="s">
        <v>231</v>
      </c>
      <c r="BI433" t="s">
        <v>231</v>
      </c>
      <c r="BJ433" t="s">
        <v>231</v>
      </c>
      <c r="BK433" t="s">
        <v>231</v>
      </c>
      <c r="BL433" t="s">
        <v>231</v>
      </c>
      <c r="BM433" t="s">
        <v>231</v>
      </c>
      <c r="BN433" t="s">
        <v>231</v>
      </c>
      <c r="BO433" t="s">
        <v>231</v>
      </c>
      <c r="BP433" t="s">
        <v>231</v>
      </c>
      <c r="BQ433" t="s">
        <v>231</v>
      </c>
      <c r="BR433" t="s">
        <v>231</v>
      </c>
      <c r="BS433" t="s">
        <v>231</v>
      </c>
      <c r="BT433" t="s">
        <v>231</v>
      </c>
      <c r="BU433" t="s">
        <v>231</v>
      </c>
      <c r="BV433" t="s">
        <v>231</v>
      </c>
      <c r="BW433" t="s">
        <v>231</v>
      </c>
      <c r="BX433" t="s">
        <v>231</v>
      </c>
      <c r="BY433" t="s">
        <v>231</v>
      </c>
      <c r="BZ433" t="s">
        <v>231</v>
      </c>
      <c r="CA433" t="s">
        <v>231</v>
      </c>
      <c r="CB433" t="s">
        <v>231</v>
      </c>
      <c r="CC433" t="s">
        <v>231</v>
      </c>
      <c r="CD433" t="s">
        <v>231</v>
      </c>
      <c r="CE433" t="s">
        <v>231</v>
      </c>
      <c r="CF433" t="s">
        <v>231</v>
      </c>
      <c r="CG433" t="s">
        <v>231</v>
      </c>
      <c r="CH433" t="s">
        <v>231</v>
      </c>
      <c r="CI433" t="s">
        <v>231</v>
      </c>
      <c r="CJ433" t="s">
        <v>231</v>
      </c>
      <c r="CK433" t="s">
        <v>231</v>
      </c>
      <c r="CL433" t="s">
        <v>231</v>
      </c>
      <c r="CM433" t="s">
        <v>231</v>
      </c>
      <c r="CN433" t="s">
        <v>231</v>
      </c>
      <c r="CO433" t="s">
        <v>231</v>
      </c>
      <c r="CP433" t="s">
        <v>231</v>
      </c>
      <c r="CQ433" t="s">
        <v>231</v>
      </c>
      <c r="CR433" t="s">
        <v>231</v>
      </c>
      <c r="CS433" t="s">
        <v>231</v>
      </c>
      <c r="CT433" t="s">
        <v>3534</v>
      </c>
      <c r="CU433" t="s">
        <v>3535</v>
      </c>
      <c r="CV433" t="s">
        <v>3536</v>
      </c>
      <c r="CW433" t="s">
        <v>3589</v>
      </c>
      <c r="CX433" t="s">
        <v>223</v>
      </c>
      <c r="CY433" t="s">
        <v>3536</v>
      </c>
      <c r="CZ433" t="s">
        <v>3590</v>
      </c>
      <c r="DA433" t="s">
        <v>3591</v>
      </c>
      <c r="DB433" t="s">
        <v>3589</v>
      </c>
      <c r="DC433" t="s">
        <v>363</v>
      </c>
      <c r="DD433" t="s">
        <v>282</v>
      </c>
      <c r="DE433" t="s">
        <v>4241</v>
      </c>
    </row>
    <row r="434" spans="1:109" ht="11.25" customHeight="1">
      <c r="A434" s="1314" t="s">
        <v>231</v>
      </c>
      <c r="B434" t="s">
        <v>231</v>
      </c>
      <c r="C434" t="s">
        <v>231</v>
      </c>
      <c r="D434" t="s">
        <v>231</v>
      </c>
      <c r="E434" t="s">
        <v>231</v>
      </c>
      <c r="F434" t="s">
        <v>231</v>
      </c>
      <c r="G434" t="s">
        <v>231</v>
      </c>
      <c r="H434" t="s">
        <v>231</v>
      </c>
      <c r="I434" t="s">
        <v>3521</v>
      </c>
      <c r="J434" t="s">
        <v>231</v>
      </c>
      <c r="K434" t="s">
        <v>231</v>
      </c>
      <c r="L434" t="s">
        <v>231</v>
      </c>
      <c r="M434" t="s">
        <v>231</v>
      </c>
      <c r="N434" t="s">
        <v>231</v>
      </c>
      <c r="O434" t="s">
        <v>231</v>
      </c>
      <c r="P434" t="s">
        <v>231</v>
      </c>
      <c r="Q434" t="s">
        <v>231</v>
      </c>
      <c r="R434" t="s">
        <v>4242</v>
      </c>
      <c r="S434" t="s">
        <v>231</v>
      </c>
      <c r="T434" t="s">
        <v>231</v>
      </c>
      <c r="U434" t="s">
        <v>101</v>
      </c>
      <c r="V434" t="s">
        <v>231</v>
      </c>
      <c r="W434" t="s">
        <v>231</v>
      </c>
      <c r="X434" t="s">
        <v>3523</v>
      </c>
      <c r="Y434" t="s">
        <v>231</v>
      </c>
      <c r="Z434" t="s">
        <v>160</v>
      </c>
      <c r="AA434" t="s">
        <v>151</v>
      </c>
      <c r="AB434" t="s">
        <v>151</v>
      </c>
      <c r="AC434" t="s">
        <v>2289</v>
      </c>
      <c r="AD434" t="s">
        <v>2289</v>
      </c>
      <c r="AE434" t="s">
        <v>2290</v>
      </c>
      <c r="AF434" t="s">
        <v>4238</v>
      </c>
      <c r="AG434" t="s">
        <v>4239</v>
      </c>
      <c r="AH434" t="s">
        <v>4022</v>
      </c>
      <c r="AI434" t="s">
        <v>4243</v>
      </c>
      <c r="AJ434" t="s">
        <v>3546</v>
      </c>
      <c r="AK434" t="s">
        <v>3586</v>
      </c>
      <c r="AL434" t="s">
        <v>3548</v>
      </c>
      <c r="AM434" t="s">
        <v>3531</v>
      </c>
      <c r="AN434" t="s">
        <v>3587</v>
      </c>
      <c r="AO434" t="s">
        <v>4244</v>
      </c>
      <c r="AP434" t="s">
        <v>231</v>
      </c>
      <c r="AQ434" t="s">
        <v>231</v>
      </c>
      <c r="AR434" t="s">
        <v>231</v>
      </c>
      <c r="AS434" t="s">
        <v>231</v>
      </c>
      <c r="AT434" t="s">
        <v>231</v>
      </c>
      <c r="AU434" t="s">
        <v>231</v>
      </c>
      <c r="AV434" t="s">
        <v>231</v>
      </c>
      <c r="AW434" t="s">
        <v>231</v>
      </c>
      <c r="AX434" t="s">
        <v>231</v>
      </c>
      <c r="AY434" t="s">
        <v>231</v>
      </c>
      <c r="AZ434" t="s">
        <v>231</v>
      </c>
      <c r="BA434" t="s">
        <v>231</v>
      </c>
      <c r="BB434" t="s">
        <v>231</v>
      </c>
      <c r="BC434" t="s">
        <v>231</v>
      </c>
      <c r="BD434" t="s">
        <v>231</v>
      </c>
      <c r="BE434" t="s">
        <v>231</v>
      </c>
      <c r="BF434" t="s">
        <v>231</v>
      </c>
      <c r="BG434" t="s">
        <v>231</v>
      </c>
      <c r="BH434" t="s">
        <v>231</v>
      </c>
      <c r="BI434" t="s">
        <v>231</v>
      </c>
      <c r="BJ434" t="s">
        <v>231</v>
      </c>
      <c r="BK434" t="s">
        <v>231</v>
      </c>
      <c r="BL434" t="s">
        <v>231</v>
      </c>
      <c r="BM434" t="s">
        <v>231</v>
      </c>
      <c r="BN434" t="s">
        <v>231</v>
      </c>
      <c r="BO434" t="s">
        <v>231</v>
      </c>
      <c r="BP434" t="s">
        <v>231</v>
      </c>
      <c r="BQ434" t="s">
        <v>231</v>
      </c>
      <c r="BR434" t="s">
        <v>231</v>
      </c>
      <c r="BS434" t="s">
        <v>231</v>
      </c>
      <c r="BT434" t="s">
        <v>231</v>
      </c>
      <c r="BU434" t="s">
        <v>231</v>
      </c>
      <c r="BV434" t="s">
        <v>231</v>
      </c>
      <c r="BW434" t="s">
        <v>231</v>
      </c>
      <c r="BX434" t="s">
        <v>231</v>
      </c>
      <c r="BY434" t="s">
        <v>231</v>
      </c>
      <c r="BZ434" t="s">
        <v>231</v>
      </c>
      <c r="CA434" t="s">
        <v>231</v>
      </c>
      <c r="CB434" t="s">
        <v>231</v>
      </c>
      <c r="CC434" t="s">
        <v>231</v>
      </c>
      <c r="CD434" t="s">
        <v>231</v>
      </c>
      <c r="CE434" t="s">
        <v>231</v>
      </c>
      <c r="CF434" t="s">
        <v>231</v>
      </c>
      <c r="CG434" t="s">
        <v>231</v>
      </c>
      <c r="CH434" t="s">
        <v>231</v>
      </c>
      <c r="CI434" t="s">
        <v>231</v>
      </c>
      <c r="CJ434" t="s">
        <v>231</v>
      </c>
      <c r="CK434" t="s">
        <v>231</v>
      </c>
      <c r="CL434" t="s">
        <v>231</v>
      </c>
      <c r="CM434" t="s">
        <v>231</v>
      </c>
      <c r="CN434" t="s">
        <v>231</v>
      </c>
      <c r="CO434" t="s">
        <v>231</v>
      </c>
      <c r="CP434" t="s">
        <v>231</v>
      </c>
      <c r="CQ434" t="s">
        <v>231</v>
      </c>
      <c r="CR434" t="s">
        <v>231</v>
      </c>
      <c r="CS434" t="s">
        <v>231</v>
      </c>
      <c r="CT434" t="s">
        <v>3534</v>
      </c>
      <c r="CU434" t="s">
        <v>3535</v>
      </c>
      <c r="CV434" t="s">
        <v>3536</v>
      </c>
      <c r="CW434" t="s">
        <v>3589</v>
      </c>
      <c r="CX434" t="s">
        <v>223</v>
      </c>
      <c r="CY434" t="s">
        <v>3536</v>
      </c>
      <c r="CZ434" t="s">
        <v>3590</v>
      </c>
      <c r="DA434" t="s">
        <v>3591</v>
      </c>
      <c r="DB434" t="s">
        <v>3589</v>
      </c>
      <c r="DC434" t="s">
        <v>363</v>
      </c>
      <c r="DD434" t="s">
        <v>282</v>
      </c>
      <c r="DE434" t="s">
        <v>4245</v>
      </c>
    </row>
    <row r="435" spans="1:109" ht="11.25" customHeight="1">
      <c r="A435" s="1314" t="s">
        <v>231</v>
      </c>
      <c r="B435" t="s">
        <v>231</v>
      </c>
      <c r="C435" t="s">
        <v>231</v>
      </c>
      <c r="D435" t="s">
        <v>231</v>
      </c>
      <c r="E435" t="s">
        <v>231</v>
      </c>
      <c r="F435" t="s">
        <v>231</v>
      </c>
      <c r="G435" t="s">
        <v>231</v>
      </c>
      <c r="H435" t="s">
        <v>231</v>
      </c>
      <c r="I435" t="s">
        <v>3521</v>
      </c>
      <c r="J435" t="s">
        <v>231</v>
      </c>
      <c r="K435" t="s">
        <v>231</v>
      </c>
      <c r="L435" t="s">
        <v>231</v>
      </c>
      <c r="M435" t="s">
        <v>231</v>
      </c>
      <c r="N435" t="s">
        <v>231</v>
      </c>
      <c r="O435" t="s">
        <v>231</v>
      </c>
      <c r="P435" t="s">
        <v>231</v>
      </c>
      <c r="Q435" t="s">
        <v>231</v>
      </c>
      <c r="R435" t="s">
        <v>4510</v>
      </c>
      <c r="S435" t="s">
        <v>231</v>
      </c>
      <c r="T435" t="s">
        <v>231</v>
      </c>
      <c r="U435" t="s">
        <v>101</v>
      </c>
      <c r="V435" t="s">
        <v>231</v>
      </c>
      <c r="W435" t="s">
        <v>231</v>
      </c>
      <c r="X435" t="s">
        <v>3523</v>
      </c>
      <c r="Y435" t="s">
        <v>231</v>
      </c>
      <c r="Z435" t="s">
        <v>160</v>
      </c>
      <c r="AA435" t="s">
        <v>151</v>
      </c>
      <c r="AB435" t="s">
        <v>151</v>
      </c>
      <c r="AC435" t="s">
        <v>2289</v>
      </c>
      <c r="AD435" t="s">
        <v>2289</v>
      </c>
      <c r="AE435" t="s">
        <v>2290</v>
      </c>
      <c r="AF435" t="s">
        <v>4511</v>
      </c>
      <c r="AG435" t="s">
        <v>4512</v>
      </c>
      <c r="AH435" t="s">
        <v>3728</v>
      </c>
      <c r="AI435" t="s">
        <v>4240</v>
      </c>
      <c r="AJ435" t="s">
        <v>3619</v>
      </c>
      <c r="AK435" t="s">
        <v>3586</v>
      </c>
      <c r="AL435" t="s">
        <v>3548</v>
      </c>
      <c r="AM435" t="s">
        <v>3531</v>
      </c>
      <c r="AN435" t="s">
        <v>3595</v>
      </c>
      <c r="AO435" t="s">
        <v>4124</v>
      </c>
      <c r="AP435" t="s">
        <v>231</v>
      </c>
      <c r="AQ435" t="s">
        <v>231</v>
      </c>
      <c r="AR435" t="s">
        <v>231</v>
      </c>
      <c r="AS435" t="s">
        <v>231</v>
      </c>
      <c r="AT435" t="s">
        <v>231</v>
      </c>
      <c r="AU435" t="s">
        <v>231</v>
      </c>
      <c r="AV435" t="s">
        <v>231</v>
      </c>
      <c r="AW435" t="s">
        <v>231</v>
      </c>
      <c r="AX435" t="s">
        <v>231</v>
      </c>
      <c r="AY435" t="s">
        <v>231</v>
      </c>
      <c r="AZ435" t="s">
        <v>231</v>
      </c>
      <c r="BA435" t="s">
        <v>231</v>
      </c>
      <c r="BB435" t="s">
        <v>231</v>
      </c>
      <c r="BC435" t="s">
        <v>231</v>
      </c>
      <c r="BD435" t="s">
        <v>231</v>
      </c>
      <c r="BE435" t="s">
        <v>231</v>
      </c>
      <c r="BF435" t="s">
        <v>231</v>
      </c>
      <c r="BG435" t="s">
        <v>231</v>
      </c>
      <c r="BH435" t="s">
        <v>231</v>
      </c>
      <c r="BI435" t="s">
        <v>231</v>
      </c>
      <c r="BJ435" t="s">
        <v>231</v>
      </c>
      <c r="BK435" t="s">
        <v>231</v>
      </c>
      <c r="BL435" t="s">
        <v>231</v>
      </c>
      <c r="BM435" t="s">
        <v>231</v>
      </c>
      <c r="BN435" t="s">
        <v>231</v>
      </c>
      <c r="BO435" t="s">
        <v>231</v>
      </c>
      <c r="BP435" t="s">
        <v>231</v>
      </c>
      <c r="BQ435" t="s">
        <v>231</v>
      </c>
      <c r="BR435" t="s">
        <v>231</v>
      </c>
      <c r="BS435" t="s">
        <v>231</v>
      </c>
      <c r="BT435" t="s">
        <v>231</v>
      </c>
      <c r="BU435" t="s">
        <v>231</v>
      </c>
      <c r="BV435" t="s">
        <v>231</v>
      </c>
      <c r="BW435" t="s">
        <v>231</v>
      </c>
      <c r="BX435" t="s">
        <v>231</v>
      </c>
      <c r="BY435" t="s">
        <v>231</v>
      </c>
      <c r="BZ435" t="s">
        <v>231</v>
      </c>
      <c r="CA435" t="s">
        <v>231</v>
      </c>
      <c r="CB435" t="s">
        <v>231</v>
      </c>
      <c r="CC435" t="s">
        <v>231</v>
      </c>
      <c r="CD435" t="s">
        <v>231</v>
      </c>
      <c r="CE435" t="s">
        <v>231</v>
      </c>
      <c r="CF435" t="s">
        <v>231</v>
      </c>
      <c r="CG435" t="s">
        <v>231</v>
      </c>
      <c r="CH435" t="s">
        <v>231</v>
      </c>
      <c r="CI435" t="s">
        <v>231</v>
      </c>
      <c r="CJ435" t="s">
        <v>231</v>
      </c>
      <c r="CK435" t="s">
        <v>231</v>
      </c>
      <c r="CL435" t="s">
        <v>231</v>
      </c>
      <c r="CM435" t="s">
        <v>231</v>
      </c>
      <c r="CN435" t="s">
        <v>231</v>
      </c>
      <c r="CO435" t="s">
        <v>231</v>
      </c>
      <c r="CP435" t="s">
        <v>231</v>
      </c>
      <c r="CQ435" t="s">
        <v>231</v>
      </c>
      <c r="CR435" t="s">
        <v>231</v>
      </c>
      <c r="CS435" t="s">
        <v>231</v>
      </c>
      <c r="CT435" t="s">
        <v>3534</v>
      </c>
      <c r="CU435" t="s">
        <v>3535</v>
      </c>
      <c r="CV435" t="s">
        <v>3536</v>
      </c>
      <c r="CW435" t="s">
        <v>3589</v>
      </c>
      <c r="CX435" t="s">
        <v>223</v>
      </c>
      <c r="CY435" t="s">
        <v>3536</v>
      </c>
      <c r="CZ435" t="s">
        <v>3590</v>
      </c>
      <c r="DA435" t="s">
        <v>3591</v>
      </c>
      <c r="DB435" t="s">
        <v>3589</v>
      </c>
      <c r="DC435" t="s">
        <v>363</v>
      </c>
      <c r="DD435" t="s">
        <v>282</v>
      </c>
      <c r="DE435" t="s">
        <v>4513</v>
      </c>
    </row>
    <row r="436" spans="1:109" ht="11.25" customHeight="1">
      <c r="A436" s="1314" t="s">
        <v>231</v>
      </c>
      <c r="B436" t="s">
        <v>231</v>
      </c>
      <c r="C436" t="s">
        <v>231</v>
      </c>
      <c r="D436" t="s">
        <v>231</v>
      </c>
      <c r="E436" t="s">
        <v>231</v>
      </c>
      <c r="F436" t="s">
        <v>231</v>
      </c>
      <c r="G436" t="s">
        <v>231</v>
      </c>
      <c r="H436" t="s">
        <v>231</v>
      </c>
      <c r="I436" t="s">
        <v>3521</v>
      </c>
      <c r="J436" t="s">
        <v>231</v>
      </c>
      <c r="K436" t="s">
        <v>231</v>
      </c>
      <c r="L436" t="s">
        <v>231</v>
      </c>
      <c r="M436" t="s">
        <v>231</v>
      </c>
      <c r="N436" t="s">
        <v>231</v>
      </c>
      <c r="O436" t="s">
        <v>231</v>
      </c>
      <c r="P436" t="s">
        <v>231</v>
      </c>
      <c r="Q436" t="s">
        <v>231</v>
      </c>
      <c r="R436" t="s">
        <v>5047</v>
      </c>
      <c r="S436" t="s">
        <v>231</v>
      </c>
      <c r="T436" t="s">
        <v>231</v>
      </c>
      <c r="U436" t="s">
        <v>101</v>
      </c>
      <c r="V436" t="s">
        <v>231</v>
      </c>
      <c r="W436" t="s">
        <v>231</v>
      </c>
      <c r="X436" t="s">
        <v>3523</v>
      </c>
      <c r="Y436" t="s">
        <v>231</v>
      </c>
      <c r="Z436" t="s">
        <v>160</v>
      </c>
      <c r="AA436" t="s">
        <v>151</v>
      </c>
      <c r="AB436" t="s">
        <v>151</v>
      </c>
      <c r="AC436" t="s">
        <v>343</v>
      </c>
      <c r="AD436" t="s">
        <v>343</v>
      </c>
      <c r="AE436" t="s">
        <v>344</v>
      </c>
      <c r="AF436" t="s">
        <v>3561</v>
      </c>
      <c r="AG436" t="s">
        <v>3562</v>
      </c>
      <c r="AH436" t="s">
        <v>4515</v>
      </c>
      <c r="AI436" t="s">
        <v>4516</v>
      </c>
      <c r="AJ436" t="s">
        <v>3918</v>
      </c>
      <c r="AK436" t="s">
        <v>4517</v>
      </c>
      <c r="AL436" t="s">
        <v>3566</v>
      </c>
      <c r="AM436" t="s">
        <v>3531</v>
      </c>
      <c r="AN436" t="s">
        <v>4518</v>
      </c>
      <c r="AO436" t="s">
        <v>4519</v>
      </c>
      <c r="AP436" t="s">
        <v>231</v>
      </c>
      <c r="AQ436" t="s">
        <v>231</v>
      </c>
      <c r="AR436" t="s">
        <v>231</v>
      </c>
      <c r="AS436" t="s">
        <v>231</v>
      </c>
      <c r="AT436" t="s">
        <v>231</v>
      </c>
      <c r="AU436" t="s">
        <v>231</v>
      </c>
      <c r="AV436" t="s">
        <v>231</v>
      </c>
      <c r="AW436" t="s">
        <v>231</v>
      </c>
      <c r="AX436" t="s">
        <v>231</v>
      </c>
      <c r="AY436" t="s">
        <v>231</v>
      </c>
      <c r="AZ436" t="s">
        <v>231</v>
      </c>
      <c r="BA436" t="s">
        <v>231</v>
      </c>
      <c r="BB436" t="s">
        <v>231</v>
      </c>
      <c r="BC436" t="s">
        <v>231</v>
      </c>
      <c r="BD436" t="s">
        <v>231</v>
      </c>
      <c r="BE436" t="s">
        <v>231</v>
      </c>
      <c r="BF436" t="s">
        <v>231</v>
      </c>
      <c r="BG436" t="s">
        <v>231</v>
      </c>
      <c r="BH436" t="s">
        <v>231</v>
      </c>
      <c r="BI436" t="s">
        <v>231</v>
      </c>
      <c r="BJ436" t="s">
        <v>231</v>
      </c>
      <c r="BK436" t="s">
        <v>231</v>
      </c>
      <c r="BL436" t="s">
        <v>231</v>
      </c>
      <c r="BM436" t="s">
        <v>231</v>
      </c>
      <c r="BN436" t="s">
        <v>231</v>
      </c>
      <c r="BO436" t="s">
        <v>231</v>
      </c>
      <c r="BP436" t="s">
        <v>231</v>
      </c>
      <c r="BQ436" t="s">
        <v>231</v>
      </c>
      <c r="BR436" t="s">
        <v>231</v>
      </c>
      <c r="BS436" t="s">
        <v>231</v>
      </c>
      <c r="BT436" t="s">
        <v>231</v>
      </c>
      <c r="BU436" t="s">
        <v>231</v>
      </c>
      <c r="BV436" t="s">
        <v>231</v>
      </c>
      <c r="BW436" t="s">
        <v>231</v>
      </c>
      <c r="BX436" t="s">
        <v>231</v>
      </c>
      <c r="BY436" t="s">
        <v>231</v>
      </c>
      <c r="BZ436" t="s">
        <v>231</v>
      </c>
      <c r="CA436" t="s">
        <v>231</v>
      </c>
      <c r="CB436" t="s">
        <v>231</v>
      </c>
      <c r="CC436" t="s">
        <v>231</v>
      </c>
      <c r="CD436" t="s">
        <v>231</v>
      </c>
      <c r="CE436" t="s">
        <v>231</v>
      </c>
      <c r="CF436" t="s">
        <v>231</v>
      </c>
      <c r="CG436" t="s">
        <v>231</v>
      </c>
      <c r="CH436" t="s">
        <v>231</v>
      </c>
      <c r="CI436" t="s">
        <v>231</v>
      </c>
      <c r="CJ436" t="s">
        <v>231</v>
      </c>
      <c r="CK436" t="s">
        <v>231</v>
      </c>
      <c r="CL436" t="s">
        <v>231</v>
      </c>
      <c r="CM436" t="s">
        <v>231</v>
      </c>
      <c r="CN436" t="s">
        <v>231</v>
      </c>
      <c r="CO436" t="s">
        <v>231</v>
      </c>
      <c r="CP436" t="s">
        <v>231</v>
      </c>
      <c r="CQ436" t="s">
        <v>231</v>
      </c>
      <c r="CR436" t="s">
        <v>231</v>
      </c>
      <c r="CS436" t="s">
        <v>231</v>
      </c>
      <c r="CT436" t="s">
        <v>3534</v>
      </c>
      <c r="CU436" t="s">
        <v>3535</v>
      </c>
      <c r="CV436" t="s">
        <v>3536</v>
      </c>
      <c r="CW436" t="s">
        <v>3569</v>
      </c>
      <c r="CX436" t="s">
        <v>3570</v>
      </c>
      <c r="CY436" t="s">
        <v>3536</v>
      </c>
      <c r="CZ436" t="s">
        <v>224</v>
      </c>
      <c r="DA436" t="s">
        <v>3571</v>
      </c>
      <c r="DB436" t="s">
        <v>3569</v>
      </c>
      <c r="DC436" t="s">
        <v>363</v>
      </c>
      <c r="DD436" t="s">
        <v>282</v>
      </c>
      <c r="DE436" t="s">
        <v>4520</v>
      </c>
    </row>
    <row r="437" spans="1:109" ht="11.25" customHeight="1">
      <c r="A437" s="1314" t="s">
        <v>231</v>
      </c>
      <c r="B437" t="s">
        <v>231</v>
      </c>
      <c r="C437" t="s">
        <v>231</v>
      </c>
      <c r="D437" t="s">
        <v>231</v>
      </c>
      <c r="E437" t="s">
        <v>231</v>
      </c>
      <c r="F437" t="s">
        <v>231</v>
      </c>
      <c r="G437" t="s">
        <v>231</v>
      </c>
      <c r="H437" t="s">
        <v>231</v>
      </c>
      <c r="I437" t="s">
        <v>3521</v>
      </c>
      <c r="J437" t="s">
        <v>231</v>
      </c>
      <c r="K437" t="s">
        <v>231</v>
      </c>
      <c r="L437" t="s">
        <v>231</v>
      </c>
      <c r="M437" t="s">
        <v>231</v>
      </c>
      <c r="N437" t="s">
        <v>231</v>
      </c>
      <c r="O437" t="s">
        <v>231</v>
      </c>
      <c r="P437" t="s">
        <v>231</v>
      </c>
      <c r="Q437" t="s">
        <v>231</v>
      </c>
      <c r="R437" t="s">
        <v>4521</v>
      </c>
      <c r="S437" t="s">
        <v>231</v>
      </c>
      <c r="T437" t="s">
        <v>231</v>
      </c>
      <c r="U437" t="s">
        <v>101</v>
      </c>
      <c r="V437" t="s">
        <v>231</v>
      </c>
      <c r="W437" t="s">
        <v>231</v>
      </c>
      <c r="X437" t="s">
        <v>3523</v>
      </c>
      <c r="Y437" t="s">
        <v>231</v>
      </c>
      <c r="Z437" t="s">
        <v>160</v>
      </c>
      <c r="AA437" t="s">
        <v>151</v>
      </c>
      <c r="AB437" t="s">
        <v>151</v>
      </c>
      <c r="AC437" t="s">
        <v>2289</v>
      </c>
      <c r="AD437" t="s">
        <v>2289</v>
      </c>
      <c r="AE437" t="s">
        <v>2290</v>
      </c>
      <c r="AF437" t="s">
        <v>4511</v>
      </c>
      <c r="AG437" t="s">
        <v>4512</v>
      </c>
      <c r="AH437" t="s">
        <v>4522</v>
      </c>
      <c r="AI437" t="s">
        <v>4523</v>
      </c>
      <c r="AJ437" t="s">
        <v>3619</v>
      </c>
      <c r="AK437" t="s">
        <v>3586</v>
      </c>
      <c r="AL437" t="s">
        <v>3548</v>
      </c>
      <c r="AM437" t="s">
        <v>3531</v>
      </c>
      <c r="AN437" t="s">
        <v>3595</v>
      </c>
      <c r="AO437" t="s">
        <v>4124</v>
      </c>
      <c r="AP437" t="s">
        <v>231</v>
      </c>
      <c r="AQ437" t="s">
        <v>231</v>
      </c>
      <c r="AR437" t="s">
        <v>231</v>
      </c>
      <c r="AS437" t="s">
        <v>231</v>
      </c>
      <c r="AT437" t="s">
        <v>231</v>
      </c>
      <c r="AU437" t="s">
        <v>231</v>
      </c>
      <c r="AV437" t="s">
        <v>231</v>
      </c>
      <c r="AW437" t="s">
        <v>231</v>
      </c>
      <c r="AX437" t="s">
        <v>231</v>
      </c>
      <c r="AY437" t="s">
        <v>231</v>
      </c>
      <c r="AZ437" t="s">
        <v>231</v>
      </c>
      <c r="BA437" t="s">
        <v>231</v>
      </c>
      <c r="BB437" t="s">
        <v>231</v>
      </c>
      <c r="BC437" t="s">
        <v>231</v>
      </c>
      <c r="BD437" t="s">
        <v>231</v>
      </c>
      <c r="BE437" t="s">
        <v>231</v>
      </c>
      <c r="BF437" t="s">
        <v>231</v>
      </c>
      <c r="BG437" t="s">
        <v>231</v>
      </c>
      <c r="BH437" t="s">
        <v>231</v>
      </c>
      <c r="BI437" t="s">
        <v>231</v>
      </c>
      <c r="BJ437" t="s">
        <v>231</v>
      </c>
      <c r="BK437" t="s">
        <v>231</v>
      </c>
      <c r="BL437" t="s">
        <v>231</v>
      </c>
      <c r="BM437" t="s">
        <v>231</v>
      </c>
      <c r="BN437" t="s">
        <v>231</v>
      </c>
      <c r="BO437" t="s">
        <v>231</v>
      </c>
      <c r="BP437" t="s">
        <v>231</v>
      </c>
      <c r="BQ437" t="s">
        <v>231</v>
      </c>
      <c r="BR437" t="s">
        <v>231</v>
      </c>
      <c r="BS437" t="s">
        <v>231</v>
      </c>
      <c r="BT437" t="s">
        <v>231</v>
      </c>
      <c r="BU437" t="s">
        <v>231</v>
      </c>
      <c r="BV437" t="s">
        <v>231</v>
      </c>
      <c r="BW437" t="s">
        <v>231</v>
      </c>
      <c r="BX437" t="s">
        <v>231</v>
      </c>
      <c r="BY437" t="s">
        <v>231</v>
      </c>
      <c r="BZ437" t="s">
        <v>231</v>
      </c>
      <c r="CA437" t="s">
        <v>231</v>
      </c>
      <c r="CB437" t="s">
        <v>231</v>
      </c>
      <c r="CC437" t="s">
        <v>231</v>
      </c>
      <c r="CD437" t="s">
        <v>231</v>
      </c>
      <c r="CE437" t="s">
        <v>231</v>
      </c>
      <c r="CF437" t="s">
        <v>231</v>
      </c>
      <c r="CG437" t="s">
        <v>231</v>
      </c>
      <c r="CH437" t="s">
        <v>231</v>
      </c>
      <c r="CI437" t="s">
        <v>231</v>
      </c>
      <c r="CJ437" t="s">
        <v>231</v>
      </c>
      <c r="CK437" t="s">
        <v>231</v>
      </c>
      <c r="CL437" t="s">
        <v>231</v>
      </c>
      <c r="CM437" t="s">
        <v>231</v>
      </c>
      <c r="CN437" t="s">
        <v>231</v>
      </c>
      <c r="CO437" t="s">
        <v>231</v>
      </c>
      <c r="CP437" t="s">
        <v>231</v>
      </c>
      <c r="CQ437" t="s">
        <v>231</v>
      </c>
      <c r="CR437" t="s">
        <v>231</v>
      </c>
      <c r="CS437" t="s">
        <v>231</v>
      </c>
      <c r="CT437" t="s">
        <v>3534</v>
      </c>
      <c r="CU437" t="s">
        <v>3535</v>
      </c>
      <c r="CV437" t="s">
        <v>3536</v>
      </c>
      <c r="CW437" t="s">
        <v>3589</v>
      </c>
      <c r="CX437" t="s">
        <v>223</v>
      </c>
      <c r="CY437" t="s">
        <v>3536</v>
      </c>
      <c r="CZ437" t="s">
        <v>3590</v>
      </c>
      <c r="DA437" t="s">
        <v>3591</v>
      </c>
      <c r="DB437" t="s">
        <v>3589</v>
      </c>
      <c r="DC437" t="s">
        <v>363</v>
      </c>
      <c r="DD437" t="s">
        <v>282</v>
      </c>
      <c r="DE437" t="s">
        <v>4524</v>
      </c>
    </row>
    <row r="438" spans="1:109" ht="11.25" customHeight="1">
      <c r="A438" s="1314" t="s">
        <v>231</v>
      </c>
      <c r="B438" t="s">
        <v>231</v>
      </c>
      <c r="C438" t="s">
        <v>231</v>
      </c>
      <c r="D438" t="s">
        <v>231</v>
      </c>
      <c r="E438" t="s">
        <v>231</v>
      </c>
      <c r="F438" t="s">
        <v>231</v>
      </c>
      <c r="G438" t="s">
        <v>231</v>
      </c>
      <c r="H438" t="s">
        <v>231</v>
      </c>
      <c r="I438" t="s">
        <v>3521</v>
      </c>
      <c r="J438" t="s">
        <v>231</v>
      </c>
      <c r="K438" t="s">
        <v>231</v>
      </c>
      <c r="L438" t="s">
        <v>231</v>
      </c>
      <c r="M438" t="s">
        <v>231</v>
      </c>
      <c r="N438" t="s">
        <v>231</v>
      </c>
      <c r="O438" t="s">
        <v>231</v>
      </c>
      <c r="P438" t="s">
        <v>231</v>
      </c>
      <c r="Q438" t="s">
        <v>231</v>
      </c>
      <c r="R438" t="s">
        <v>4591</v>
      </c>
      <c r="S438" t="s">
        <v>231</v>
      </c>
      <c r="T438" t="s">
        <v>231</v>
      </c>
      <c r="U438" t="s">
        <v>101</v>
      </c>
      <c r="V438" t="s">
        <v>231</v>
      </c>
      <c r="W438" t="s">
        <v>231</v>
      </c>
      <c r="X438" t="s">
        <v>3523</v>
      </c>
      <c r="Y438" t="s">
        <v>231</v>
      </c>
      <c r="Z438" t="s">
        <v>160</v>
      </c>
      <c r="AA438" t="s">
        <v>151</v>
      </c>
      <c r="AB438" t="s">
        <v>151</v>
      </c>
      <c r="AC438" t="s">
        <v>2289</v>
      </c>
      <c r="AD438" t="s">
        <v>2289</v>
      </c>
      <c r="AE438" t="s">
        <v>2290</v>
      </c>
      <c r="AF438" t="s">
        <v>4511</v>
      </c>
      <c r="AG438" t="s">
        <v>4512</v>
      </c>
      <c r="AH438" t="s">
        <v>4592</v>
      </c>
      <c r="AI438" t="s">
        <v>4593</v>
      </c>
      <c r="AJ438" t="s">
        <v>3619</v>
      </c>
      <c r="AK438" t="s">
        <v>3586</v>
      </c>
      <c r="AL438" t="s">
        <v>3548</v>
      </c>
      <c r="AM438" t="s">
        <v>3531</v>
      </c>
      <c r="AN438" t="s">
        <v>3587</v>
      </c>
      <c r="AO438" t="s">
        <v>3550</v>
      </c>
      <c r="AP438" t="s">
        <v>231</v>
      </c>
      <c r="AQ438" t="s">
        <v>231</v>
      </c>
      <c r="AR438" t="s">
        <v>231</v>
      </c>
      <c r="AS438" t="s">
        <v>231</v>
      </c>
      <c r="AT438" t="s">
        <v>231</v>
      </c>
      <c r="AU438" t="s">
        <v>231</v>
      </c>
      <c r="AV438" t="s">
        <v>231</v>
      </c>
      <c r="AW438" t="s">
        <v>231</v>
      </c>
      <c r="AX438" t="s">
        <v>231</v>
      </c>
      <c r="AY438" t="s">
        <v>231</v>
      </c>
      <c r="AZ438" t="s">
        <v>231</v>
      </c>
      <c r="BA438" t="s">
        <v>231</v>
      </c>
      <c r="BB438" t="s">
        <v>231</v>
      </c>
      <c r="BC438" t="s">
        <v>231</v>
      </c>
      <c r="BD438" t="s">
        <v>231</v>
      </c>
      <c r="BE438" t="s">
        <v>231</v>
      </c>
      <c r="BF438" t="s">
        <v>231</v>
      </c>
      <c r="BG438" t="s">
        <v>231</v>
      </c>
      <c r="BH438" t="s">
        <v>231</v>
      </c>
      <c r="BI438" t="s">
        <v>231</v>
      </c>
      <c r="BJ438" t="s">
        <v>231</v>
      </c>
      <c r="BK438" t="s">
        <v>231</v>
      </c>
      <c r="BL438" t="s">
        <v>231</v>
      </c>
      <c r="BM438" t="s">
        <v>231</v>
      </c>
      <c r="BN438" t="s">
        <v>231</v>
      </c>
      <c r="BO438" t="s">
        <v>231</v>
      </c>
      <c r="BP438" t="s">
        <v>231</v>
      </c>
      <c r="BQ438" t="s">
        <v>231</v>
      </c>
      <c r="BR438" t="s">
        <v>231</v>
      </c>
      <c r="BS438" t="s">
        <v>231</v>
      </c>
      <c r="BT438" t="s">
        <v>231</v>
      </c>
      <c r="BU438" t="s">
        <v>231</v>
      </c>
      <c r="BV438" t="s">
        <v>231</v>
      </c>
      <c r="BW438" t="s">
        <v>231</v>
      </c>
      <c r="BX438" t="s">
        <v>231</v>
      </c>
      <c r="BY438" t="s">
        <v>231</v>
      </c>
      <c r="BZ438" t="s">
        <v>231</v>
      </c>
      <c r="CA438" t="s">
        <v>231</v>
      </c>
      <c r="CB438" t="s">
        <v>231</v>
      </c>
      <c r="CC438" t="s">
        <v>231</v>
      </c>
      <c r="CD438" t="s">
        <v>231</v>
      </c>
      <c r="CE438" t="s">
        <v>231</v>
      </c>
      <c r="CF438" t="s">
        <v>231</v>
      </c>
      <c r="CG438" t="s">
        <v>231</v>
      </c>
      <c r="CH438" t="s">
        <v>231</v>
      </c>
      <c r="CI438" t="s">
        <v>231</v>
      </c>
      <c r="CJ438" t="s">
        <v>231</v>
      </c>
      <c r="CK438" t="s">
        <v>231</v>
      </c>
      <c r="CL438" t="s">
        <v>231</v>
      </c>
      <c r="CM438" t="s">
        <v>231</v>
      </c>
      <c r="CN438" t="s">
        <v>231</v>
      </c>
      <c r="CO438" t="s">
        <v>231</v>
      </c>
      <c r="CP438" t="s">
        <v>231</v>
      </c>
      <c r="CQ438" t="s">
        <v>231</v>
      </c>
      <c r="CR438" t="s">
        <v>231</v>
      </c>
      <c r="CS438" t="s">
        <v>231</v>
      </c>
      <c r="CT438" t="s">
        <v>3534</v>
      </c>
      <c r="CU438" t="s">
        <v>3535</v>
      </c>
      <c r="CV438" t="s">
        <v>3536</v>
      </c>
      <c r="CW438" t="s">
        <v>3589</v>
      </c>
      <c r="CX438" t="s">
        <v>223</v>
      </c>
      <c r="CY438" t="s">
        <v>3536</v>
      </c>
      <c r="CZ438" t="s">
        <v>3590</v>
      </c>
      <c r="DA438" t="s">
        <v>3591</v>
      </c>
      <c r="DB438" t="s">
        <v>3589</v>
      </c>
      <c r="DC438" t="s">
        <v>363</v>
      </c>
      <c r="DD438" t="s">
        <v>282</v>
      </c>
      <c r="DE438" t="s">
        <v>4594</v>
      </c>
    </row>
    <row r="439" spans="1:109" ht="11.25" customHeight="1">
      <c r="A439" s="1314" t="s">
        <v>231</v>
      </c>
      <c r="B439" t="s">
        <v>231</v>
      </c>
      <c r="C439" t="s">
        <v>231</v>
      </c>
      <c r="D439" t="s">
        <v>231</v>
      </c>
      <c r="E439" t="s">
        <v>231</v>
      </c>
      <c r="F439" t="s">
        <v>231</v>
      </c>
      <c r="G439" t="s">
        <v>231</v>
      </c>
      <c r="H439" t="s">
        <v>231</v>
      </c>
      <c r="I439" t="s">
        <v>3521</v>
      </c>
      <c r="J439" t="s">
        <v>231</v>
      </c>
      <c r="K439" t="s">
        <v>231</v>
      </c>
      <c r="L439" t="s">
        <v>231</v>
      </c>
      <c r="M439" t="s">
        <v>231</v>
      </c>
      <c r="N439" t="s">
        <v>231</v>
      </c>
      <c r="O439" t="s">
        <v>231</v>
      </c>
      <c r="P439" t="s">
        <v>231</v>
      </c>
      <c r="Q439" t="s">
        <v>231</v>
      </c>
      <c r="R439" t="s">
        <v>3615</v>
      </c>
      <c r="S439" t="s">
        <v>231</v>
      </c>
      <c r="T439" t="s">
        <v>231</v>
      </c>
      <c r="U439" t="s">
        <v>101</v>
      </c>
      <c r="V439" t="s">
        <v>231</v>
      </c>
      <c r="W439" t="s">
        <v>231</v>
      </c>
      <c r="X439" t="s">
        <v>3523</v>
      </c>
      <c r="Y439" t="s">
        <v>231</v>
      </c>
      <c r="Z439" t="s">
        <v>160</v>
      </c>
      <c r="AA439" t="s">
        <v>151</v>
      </c>
      <c r="AB439" t="s">
        <v>151</v>
      </c>
      <c r="AC439" t="s">
        <v>2287</v>
      </c>
      <c r="AD439" t="s">
        <v>2287</v>
      </c>
      <c r="AE439" t="s">
        <v>2288</v>
      </c>
      <c r="AF439" t="s">
        <v>3787</v>
      </c>
      <c r="AG439" t="s">
        <v>3788</v>
      </c>
      <c r="AH439" t="s">
        <v>3618</v>
      </c>
      <c r="AI439" t="s">
        <v>3618</v>
      </c>
      <c r="AJ439" t="s">
        <v>3619</v>
      </c>
      <c r="AK439" t="s">
        <v>3789</v>
      </c>
      <c r="AL439" t="s">
        <v>3548</v>
      </c>
      <c r="AM439" t="s">
        <v>3531</v>
      </c>
      <c r="AN439" t="s">
        <v>3621</v>
      </c>
      <c r="AO439" t="s">
        <v>3790</v>
      </c>
      <c r="AP439" t="s">
        <v>231</v>
      </c>
      <c r="AQ439" t="s">
        <v>231</v>
      </c>
      <c r="AR439" t="s">
        <v>231</v>
      </c>
      <c r="AS439" t="s">
        <v>231</v>
      </c>
      <c r="AT439" t="s">
        <v>231</v>
      </c>
      <c r="AU439" t="s">
        <v>231</v>
      </c>
      <c r="AV439" t="s">
        <v>231</v>
      </c>
      <c r="AW439" t="s">
        <v>231</v>
      </c>
      <c r="AX439" t="s">
        <v>231</v>
      </c>
      <c r="AY439" t="s">
        <v>231</v>
      </c>
      <c r="AZ439" t="s">
        <v>231</v>
      </c>
      <c r="BA439" t="s">
        <v>231</v>
      </c>
      <c r="BB439" t="s">
        <v>231</v>
      </c>
      <c r="BC439" t="s">
        <v>231</v>
      </c>
      <c r="BD439" t="s">
        <v>231</v>
      </c>
      <c r="BE439" t="s">
        <v>231</v>
      </c>
      <c r="BF439" t="s">
        <v>231</v>
      </c>
      <c r="BG439" t="s">
        <v>231</v>
      </c>
      <c r="BH439" t="s">
        <v>231</v>
      </c>
      <c r="BI439" t="s">
        <v>231</v>
      </c>
      <c r="BJ439" t="s">
        <v>231</v>
      </c>
      <c r="BK439" t="s">
        <v>231</v>
      </c>
      <c r="BL439" t="s">
        <v>231</v>
      </c>
      <c r="BM439" t="s">
        <v>231</v>
      </c>
      <c r="BN439" t="s">
        <v>231</v>
      </c>
      <c r="BO439" t="s">
        <v>231</v>
      </c>
      <c r="BP439" t="s">
        <v>231</v>
      </c>
      <c r="BQ439" t="s">
        <v>231</v>
      </c>
      <c r="BR439" t="s">
        <v>231</v>
      </c>
      <c r="BS439" t="s">
        <v>231</v>
      </c>
      <c r="BT439" t="s">
        <v>231</v>
      </c>
      <c r="BU439" t="s">
        <v>231</v>
      </c>
      <c r="BV439" t="s">
        <v>231</v>
      </c>
      <c r="BW439" t="s">
        <v>231</v>
      </c>
      <c r="BX439" t="s">
        <v>231</v>
      </c>
      <c r="BY439" t="s">
        <v>231</v>
      </c>
      <c r="BZ439" t="s">
        <v>231</v>
      </c>
      <c r="CA439" t="s">
        <v>231</v>
      </c>
      <c r="CB439" t="s">
        <v>231</v>
      </c>
      <c r="CC439" t="s">
        <v>231</v>
      </c>
      <c r="CD439" t="s">
        <v>231</v>
      </c>
      <c r="CE439" t="s">
        <v>231</v>
      </c>
      <c r="CF439" t="s">
        <v>231</v>
      </c>
      <c r="CG439" t="s">
        <v>231</v>
      </c>
      <c r="CH439" t="s">
        <v>231</v>
      </c>
      <c r="CI439" t="s">
        <v>231</v>
      </c>
      <c r="CJ439" t="s">
        <v>231</v>
      </c>
      <c r="CK439" t="s">
        <v>231</v>
      </c>
      <c r="CL439" t="s">
        <v>231</v>
      </c>
      <c r="CM439" t="s">
        <v>231</v>
      </c>
      <c r="CN439" t="s">
        <v>231</v>
      </c>
      <c r="CO439" t="s">
        <v>231</v>
      </c>
      <c r="CP439" t="s">
        <v>231</v>
      </c>
      <c r="CQ439" t="s">
        <v>231</v>
      </c>
      <c r="CR439" t="s">
        <v>231</v>
      </c>
      <c r="CS439" t="s">
        <v>231</v>
      </c>
      <c r="CT439" t="s">
        <v>3534</v>
      </c>
      <c r="CU439" t="s">
        <v>3535</v>
      </c>
      <c r="CV439" t="s">
        <v>3536</v>
      </c>
      <c r="CW439" t="s">
        <v>3623</v>
      </c>
      <c r="CX439" t="s">
        <v>223</v>
      </c>
      <c r="CY439" t="s">
        <v>3536</v>
      </c>
      <c r="CZ439" t="s">
        <v>3624</v>
      </c>
      <c r="DA439" t="s">
        <v>3625</v>
      </c>
      <c r="DB439" t="s">
        <v>3623</v>
      </c>
      <c r="DC439" t="s">
        <v>363</v>
      </c>
      <c r="DD439" t="s">
        <v>282</v>
      </c>
      <c r="DE439" t="s">
        <v>3791</v>
      </c>
    </row>
    <row r="440" spans="1:109" ht="11.25" customHeight="1">
      <c r="A440" s="1314" t="s">
        <v>231</v>
      </c>
      <c r="B440" t="s">
        <v>231</v>
      </c>
      <c r="C440" t="s">
        <v>231</v>
      </c>
      <c r="D440" t="s">
        <v>231</v>
      </c>
      <c r="E440" t="s">
        <v>231</v>
      </c>
      <c r="F440" t="s">
        <v>231</v>
      </c>
      <c r="G440" t="s">
        <v>231</v>
      </c>
      <c r="H440" t="s">
        <v>231</v>
      </c>
      <c r="I440" t="s">
        <v>3521</v>
      </c>
      <c r="J440" t="s">
        <v>231</v>
      </c>
      <c r="K440" t="s">
        <v>231</v>
      </c>
      <c r="L440" t="s">
        <v>231</v>
      </c>
      <c r="M440" t="s">
        <v>231</v>
      </c>
      <c r="N440" t="s">
        <v>231</v>
      </c>
      <c r="O440" t="s">
        <v>231</v>
      </c>
      <c r="P440" t="s">
        <v>231</v>
      </c>
      <c r="Q440" t="s">
        <v>231</v>
      </c>
      <c r="R440" t="s">
        <v>4073</v>
      </c>
      <c r="S440" t="s">
        <v>231</v>
      </c>
      <c r="T440" t="s">
        <v>231</v>
      </c>
      <c r="U440" t="s">
        <v>101</v>
      </c>
      <c r="V440" t="s">
        <v>231</v>
      </c>
      <c r="W440" t="s">
        <v>231</v>
      </c>
      <c r="X440" t="s">
        <v>3628</v>
      </c>
      <c r="Y440" t="s">
        <v>231</v>
      </c>
      <c r="Z440" t="s">
        <v>151</v>
      </c>
      <c r="AA440" t="s">
        <v>151</v>
      </c>
      <c r="AB440" t="s">
        <v>160</v>
      </c>
      <c r="AC440" t="s">
        <v>2287</v>
      </c>
      <c r="AD440" t="s">
        <v>2287</v>
      </c>
      <c r="AE440" t="s">
        <v>2288</v>
      </c>
      <c r="AF440" t="s">
        <v>3787</v>
      </c>
      <c r="AG440" t="s">
        <v>3788</v>
      </c>
      <c r="AH440" t="s">
        <v>3618</v>
      </c>
      <c r="AI440" t="s">
        <v>3618</v>
      </c>
      <c r="AJ440" t="s">
        <v>231</v>
      </c>
      <c r="AK440" t="s">
        <v>231</v>
      </c>
      <c r="AL440" t="s">
        <v>231</v>
      </c>
      <c r="AM440" t="s">
        <v>231</v>
      </c>
      <c r="AN440" t="s">
        <v>231</v>
      </c>
      <c r="AO440" t="s">
        <v>231</v>
      </c>
      <c r="AP440" t="s">
        <v>231</v>
      </c>
      <c r="AQ440" t="s">
        <v>231</v>
      </c>
      <c r="AR440" t="s">
        <v>231</v>
      </c>
      <c r="AS440" t="s">
        <v>231</v>
      </c>
      <c r="AT440" t="s">
        <v>231</v>
      </c>
      <c r="AU440" t="s">
        <v>231</v>
      </c>
      <c r="AV440" t="s">
        <v>231</v>
      </c>
      <c r="AW440" t="s">
        <v>231</v>
      </c>
      <c r="AX440" t="s">
        <v>231</v>
      </c>
      <c r="AY440" t="s">
        <v>231</v>
      </c>
      <c r="AZ440" t="s">
        <v>231</v>
      </c>
      <c r="BA440" t="s">
        <v>231</v>
      </c>
      <c r="BB440" t="s">
        <v>231</v>
      </c>
      <c r="BC440" t="s">
        <v>231</v>
      </c>
      <c r="BD440" t="s">
        <v>231</v>
      </c>
      <c r="BE440" t="s">
        <v>3619</v>
      </c>
      <c r="BF440" t="s">
        <v>3789</v>
      </c>
      <c r="BG440" t="s">
        <v>111</v>
      </c>
      <c r="BH440" t="s">
        <v>3632</v>
      </c>
      <c r="BI440" t="s">
        <v>122</v>
      </c>
      <c r="BJ440" t="s">
        <v>231</v>
      </c>
      <c r="BK440" t="s">
        <v>3651</v>
      </c>
      <c r="BL440" t="s">
        <v>2287</v>
      </c>
      <c r="BM440" t="s">
        <v>2287</v>
      </c>
      <c r="BN440" t="s">
        <v>3842</v>
      </c>
      <c r="BO440" t="s">
        <v>3787</v>
      </c>
      <c r="BP440" t="s">
        <v>4074</v>
      </c>
      <c r="BQ440" t="s">
        <v>3618</v>
      </c>
      <c r="BR440" t="s">
        <v>3618</v>
      </c>
      <c r="BS440" t="s">
        <v>231</v>
      </c>
      <c r="BT440" t="s">
        <v>3694</v>
      </c>
      <c r="BU440" t="s">
        <v>4075</v>
      </c>
      <c r="BV440" t="s">
        <v>4075</v>
      </c>
      <c r="BW440" t="s">
        <v>3641</v>
      </c>
      <c r="BX440" t="s">
        <v>3641</v>
      </c>
      <c r="BY440" t="s">
        <v>3641</v>
      </c>
      <c r="BZ440" t="s">
        <v>3641</v>
      </c>
      <c r="CA440" t="s">
        <v>3641</v>
      </c>
      <c r="CB440" t="s">
        <v>231</v>
      </c>
      <c r="CC440" t="s">
        <v>231</v>
      </c>
      <c r="CD440" t="s">
        <v>231</v>
      </c>
      <c r="CE440" t="s">
        <v>231</v>
      </c>
      <c r="CF440" t="s">
        <v>231</v>
      </c>
      <c r="CG440" t="s">
        <v>3641</v>
      </c>
      <c r="CH440" t="s">
        <v>231</v>
      </c>
      <c r="CI440" t="s">
        <v>231</v>
      </c>
      <c r="CJ440" t="s">
        <v>231</v>
      </c>
      <c r="CK440" t="s">
        <v>231</v>
      </c>
      <c r="CL440" t="s">
        <v>231</v>
      </c>
      <c r="CM440" t="s">
        <v>4075</v>
      </c>
      <c r="CN440" t="s">
        <v>4075</v>
      </c>
      <c r="CO440" t="s">
        <v>231</v>
      </c>
      <c r="CP440" t="s">
        <v>231</v>
      </c>
      <c r="CQ440" t="s">
        <v>231</v>
      </c>
      <c r="CR440" t="s">
        <v>231</v>
      </c>
      <c r="CS440" t="s">
        <v>3529</v>
      </c>
      <c r="CT440" t="s">
        <v>3534</v>
      </c>
      <c r="CU440" t="s">
        <v>3535</v>
      </c>
      <c r="CV440" t="s">
        <v>3536</v>
      </c>
      <c r="CW440" t="s">
        <v>3623</v>
      </c>
      <c r="CX440" t="s">
        <v>223</v>
      </c>
      <c r="CY440" t="s">
        <v>3536</v>
      </c>
      <c r="CZ440" t="s">
        <v>3624</v>
      </c>
      <c r="DA440" t="s">
        <v>3625</v>
      </c>
      <c r="DB440" t="s">
        <v>3623</v>
      </c>
      <c r="DC440" t="s">
        <v>363</v>
      </c>
      <c r="DD440" t="s">
        <v>282</v>
      </c>
      <c r="DE440" t="s">
        <v>3791</v>
      </c>
    </row>
    <row r="441" spans="1:109" ht="11.25" customHeight="1">
      <c r="A441" s="1314" t="s">
        <v>231</v>
      </c>
      <c r="B441" t="s">
        <v>231</v>
      </c>
      <c r="C441" t="s">
        <v>231</v>
      </c>
      <c r="D441" t="s">
        <v>231</v>
      </c>
      <c r="E441" t="s">
        <v>231</v>
      </c>
      <c r="F441" t="s">
        <v>231</v>
      </c>
      <c r="G441" t="s">
        <v>231</v>
      </c>
      <c r="H441" t="s">
        <v>231</v>
      </c>
      <c r="I441" t="s">
        <v>3521</v>
      </c>
      <c r="J441" t="s">
        <v>231</v>
      </c>
      <c r="K441" t="s">
        <v>231</v>
      </c>
      <c r="L441" t="s">
        <v>231</v>
      </c>
      <c r="M441" t="s">
        <v>231</v>
      </c>
      <c r="N441" t="s">
        <v>231</v>
      </c>
      <c r="O441" t="s">
        <v>231</v>
      </c>
      <c r="P441" t="s">
        <v>231</v>
      </c>
      <c r="Q441" t="s">
        <v>231</v>
      </c>
      <c r="R441" t="s">
        <v>3685</v>
      </c>
      <c r="S441" t="s">
        <v>231</v>
      </c>
      <c r="T441" t="s">
        <v>231</v>
      </c>
      <c r="U441" t="s">
        <v>101</v>
      </c>
      <c r="V441" t="s">
        <v>231</v>
      </c>
      <c r="W441" t="s">
        <v>231</v>
      </c>
      <c r="X441" t="s">
        <v>3628</v>
      </c>
      <c r="Y441" t="s">
        <v>231</v>
      </c>
      <c r="Z441" t="s">
        <v>151</v>
      </c>
      <c r="AA441" t="s">
        <v>151</v>
      </c>
      <c r="AB441" t="s">
        <v>160</v>
      </c>
      <c r="AC441" t="s">
        <v>2283</v>
      </c>
      <c r="AD441" t="s">
        <v>2283</v>
      </c>
      <c r="AE441" t="s">
        <v>2284</v>
      </c>
      <c r="AF441" t="s">
        <v>4431</v>
      </c>
      <c r="AG441" t="s">
        <v>4432</v>
      </c>
      <c r="AH441" t="s">
        <v>4431</v>
      </c>
      <c r="AI441" t="s">
        <v>3688</v>
      </c>
      <c r="AJ441" t="s">
        <v>231</v>
      </c>
      <c r="AK441" t="s">
        <v>231</v>
      </c>
      <c r="AL441" t="s">
        <v>231</v>
      </c>
      <c r="AM441" t="s">
        <v>231</v>
      </c>
      <c r="AN441" t="s">
        <v>231</v>
      </c>
      <c r="AO441" t="s">
        <v>231</v>
      </c>
      <c r="AP441" t="s">
        <v>231</v>
      </c>
      <c r="AQ441" t="s">
        <v>231</v>
      </c>
      <c r="AR441" t="s">
        <v>231</v>
      </c>
      <c r="AS441" t="s">
        <v>231</v>
      </c>
      <c r="AT441" t="s">
        <v>231</v>
      </c>
      <c r="AU441" t="s">
        <v>231</v>
      </c>
      <c r="AV441" t="s">
        <v>231</v>
      </c>
      <c r="AW441" t="s">
        <v>231</v>
      </c>
      <c r="AX441" t="s">
        <v>231</v>
      </c>
      <c r="AY441" t="s">
        <v>231</v>
      </c>
      <c r="AZ441" t="s">
        <v>231</v>
      </c>
      <c r="BA441" t="s">
        <v>231</v>
      </c>
      <c r="BB441" t="s">
        <v>231</v>
      </c>
      <c r="BC441" t="s">
        <v>231</v>
      </c>
      <c r="BD441" t="s">
        <v>231</v>
      </c>
      <c r="BE441" t="s">
        <v>3689</v>
      </c>
      <c r="BF441" t="s">
        <v>3689</v>
      </c>
      <c r="BG441" t="s">
        <v>111</v>
      </c>
      <c r="BH441" t="s">
        <v>3632</v>
      </c>
      <c r="BI441" t="s">
        <v>122</v>
      </c>
      <c r="BJ441" t="s">
        <v>231</v>
      </c>
      <c r="BK441" t="s">
        <v>3651</v>
      </c>
      <c r="BL441" t="s">
        <v>2283</v>
      </c>
      <c r="BM441" t="s">
        <v>2283</v>
      </c>
      <c r="BN441" t="s">
        <v>3690</v>
      </c>
      <c r="BO441" t="s">
        <v>4431</v>
      </c>
      <c r="BP441" t="s">
        <v>4433</v>
      </c>
      <c r="BQ441" t="s">
        <v>4434</v>
      </c>
      <c r="BR441" t="s">
        <v>3893</v>
      </c>
      <c r="BS441" t="s">
        <v>231</v>
      </c>
      <c r="BT441" t="s">
        <v>3694</v>
      </c>
      <c r="BU441" t="s">
        <v>4435</v>
      </c>
      <c r="BV441" t="s">
        <v>4435</v>
      </c>
      <c r="BW441" t="s">
        <v>3641</v>
      </c>
      <c r="BX441" t="s">
        <v>3641</v>
      </c>
      <c r="BY441" t="s">
        <v>3641</v>
      </c>
      <c r="BZ441" t="s">
        <v>3641</v>
      </c>
      <c r="CA441" t="s">
        <v>3641</v>
      </c>
      <c r="CB441" t="s">
        <v>231</v>
      </c>
      <c r="CC441" t="s">
        <v>231</v>
      </c>
      <c r="CD441" t="s">
        <v>231</v>
      </c>
      <c r="CE441" t="s">
        <v>231</v>
      </c>
      <c r="CF441" t="s">
        <v>231</v>
      </c>
      <c r="CG441" t="s">
        <v>3641</v>
      </c>
      <c r="CH441" t="s">
        <v>231</v>
      </c>
      <c r="CI441" t="s">
        <v>231</v>
      </c>
      <c r="CJ441" t="s">
        <v>231</v>
      </c>
      <c r="CK441" t="s">
        <v>231</v>
      </c>
      <c r="CL441" t="s">
        <v>231</v>
      </c>
      <c r="CM441" t="s">
        <v>4435</v>
      </c>
      <c r="CN441" t="s">
        <v>4435</v>
      </c>
      <c r="CO441" t="s">
        <v>231</v>
      </c>
      <c r="CP441" t="s">
        <v>231</v>
      </c>
      <c r="CQ441" t="s">
        <v>231</v>
      </c>
      <c r="CR441" t="s">
        <v>231</v>
      </c>
      <c r="CS441" t="s">
        <v>3549</v>
      </c>
      <c r="CT441" t="s">
        <v>3534</v>
      </c>
      <c r="CU441" t="s">
        <v>3535</v>
      </c>
      <c r="CV441" t="s">
        <v>3536</v>
      </c>
      <c r="CW441" t="s">
        <v>3551</v>
      </c>
      <c r="CX441" t="s">
        <v>223</v>
      </c>
      <c r="CY441" t="s">
        <v>3536</v>
      </c>
      <c r="CZ441" t="s">
        <v>3552</v>
      </c>
      <c r="DA441" t="s">
        <v>3553</v>
      </c>
      <c r="DB441" t="s">
        <v>3551</v>
      </c>
      <c r="DC441" t="s">
        <v>363</v>
      </c>
      <c r="DD441" t="s">
        <v>282</v>
      </c>
      <c r="DE441" t="s">
        <v>4436</v>
      </c>
    </row>
    <row r="442" spans="1:109" ht="11.25" customHeight="1">
      <c r="A442" s="1314" t="s">
        <v>231</v>
      </c>
      <c r="B442" t="s">
        <v>231</v>
      </c>
      <c r="C442" t="s">
        <v>231</v>
      </c>
      <c r="D442" t="s">
        <v>231</v>
      </c>
      <c r="E442" t="s">
        <v>231</v>
      </c>
      <c r="F442" t="s">
        <v>231</v>
      </c>
      <c r="G442" t="s">
        <v>231</v>
      </c>
      <c r="H442" t="s">
        <v>231</v>
      </c>
      <c r="I442" t="s">
        <v>3521</v>
      </c>
      <c r="J442" t="s">
        <v>231</v>
      </c>
      <c r="K442" t="s">
        <v>231</v>
      </c>
      <c r="L442" t="s">
        <v>231</v>
      </c>
      <c r="M442" t="s">
        <v>231</v>
      </c>
      <c r="N442" t="s">
        <v>231</v>
      </c>
      <c r="O442" t="s">
        <v>231</v>
      </c>
      <c r="P442" t="s">
        <v>231</v>
      </c>
      <c r="Q442" t="s">
        <v>231</v>
      </c>
      <c r="R442" t="s">
        <v>3651</v>
      </c>
      <c r="S442" t="s">
        <v>231</v>
      </c>
      <c r="T442" t="s">
        <v>231</v>
      </c>
      <c r="U442" t="s">
        <v>101</v>
      </c>
      <c r="V442" t="s">
        <v>231</v>
      </c>
      <c r="W442" t="s">
        <v>231</v>
      </c>
      <c r="X442" t="s">
        <v>3523</v>
      </c>
      <c r="Y442" t="s">
        <v>231</v>
      </c>
      <c r="Z442" t="s">
        <v>160</v>
      </c>
      <c r="AA442" t="s">
        <v>151</v>
      </c>
      <c r="AB442" t="s">
        <v>151</v>
      </c>
      <c r="AC442" t="s">
        <v>2283</v>
      </c>
      <c r="AD442" t="s">
        <v>2283</v>
      </c>
      <c r="AE442" t="s">
        <v>2284</v>
      </c>
      <c r="AF442" t="s">
        <v>4431</v>
      </c>
      <c r="AG442" t="s">
        <v>4432</v>
      </c>
      <c r="AH442" t="s">
        <v>4434</v>
      </c>
      <c r="AI442" t="s">
        <v>4437</v>
      </c>
      <c r="AJ442" t="s">
        <v>3546</v>
      </c>
      <c r="AK442" t="s">
        <v>3547</v>
      </c>
      <c r="AL442" t="s">
        <v>4163</v>
      </c>
      <c r="AM442" t="s">
        <v>3531</v>
      </c>
      <c r="AN442" t="s">
        <v>3549</v>
      </c>
      <c r="AO442" t="s">
        <v>3662</v>
      </c>
      <c r="AP442" t="s">
        <v>231</v>
      </c>
      <c r="AQ442" t="s">
        <v>231</v>
      </c>
      <c r="AR442" t="s">
        <v>231</v>
      </c>
      <c r="AS442" t="s">
        <v>231</v>
      </c>
      <c r="AT442" t="s">
        <v>231</v>
      </c>
      <c r="AU442" t="s">
        <v>231</v>
      </c>
      <c r="AV442" t="s">
        <v>231</v>
      </c>
      <c r="AW442" t="s">
        <v>231</v>
      </c>
      <c r="AX442" t="s">
        <v>231</v>
      </c>
      <c r="AY442" t="s">
        <v>231</v>
      </c>
      <c r="AZ442" t="s">
        <v>231</v>
      </c>
      <c r="BA442" t="s">
        <v>231</v>
      </c>
      <c r="BB442" t="s">
        <v>231</v>
      </c>
      <c r="BC442" t="s">
        <v>231</v>
      </c>
      <c r="BD442" t="s">
        <v>231</v>
      </c>
      <c r="BE442" t="s">
        <v>231</v>
      </c>
      <c r="BF442" t="s">
        <v>231</v>
      </c>
      <c r="BG442" t="s">
        <v>231</v>
      </c>
      <c r="BH442" t="s">
        <v>231</v>
      </c>
      <c r="BI442" t="s">
        <v>231</v>
      </c>
      <c r="BJ442" t="s">
        <v>231</v>
      </c>
      <c r="BK442" t="s">
        <v>231</v>
      </c>
      <c r="BL442" t="s">
        <v>231</v>
      </c>
      <c r="BM442" t="s">
        <v>231</v>
      </c>
      <c r="BN442" t="s">
        <v>231</v>
      </c>
      <c r="BO442" t="s">
        <v>231</v>
      </c>
      <c r="BP442" t="s">
        <v>231</v>
      </c>
      <c r="BQ442" t="s">
        <v>231</v>
      </c>
      <c r="BR442" t="s">
        <v>231</v>
      </c>
      <c r="BS442" t="s">
        <v>231</v>
      </c>
      <c r="BT442" t="s">
        <v>231</v>
      </c>
      <c r="BU442" t="s">
        <v>231</v>
      </c>
      <c r="BV442" t="s">
        <v>231</v>
      </c>
      <c r="BW442" t="s">
        <v>231</v>
      </c>
      <c r="BX442" t="s">
        <v>231</v>
      </c>
      <c r="BY442" t="s">
        <v>231</v>
      </c>
      <c r="BZ442" t="s">
        <v>231</v>
      </c>
      <c r="CA442" t="s">
        <v>231</v>
      </c>
      <c r="CB442" t="s">
        <v>231</v>
      </c>
      <c r="CC442" t="s">
        <v>231</v>
      </c>
      <c r="CD442" t="s">
        <v>231</v>
      </c>
      <c r="CE442" t="s">
        <v>231</v>
      </c>
      <c r="CF442" t="s">
        <v>231</v>
      </c>
      <c r="CG442" t="s">
        <v>231</v>
      </c>
      <c r="CH442" t="s">
        <v>231</v>
      </c>
      <c r="CI442" t="s">
        <v>231</v>
      </c>
      <c r="CJ442" t="s">
        <v>231</v>
      </c>
      <c r="CK442" t="s">
        <v>231</v>
      </c>
      <c r="CL442" t="s">
        <v>231</v>
      </c>
      <c r="CM442" t="s">
        <v>231</v>
      </c>
      <c r="CN442" t="s">
        <v>231</v>
      </c>
      <c r="CO442" t="s">
        <v>231</v>
      </c>
      <c r="CP442" t="s">
        <v>231</v>
      </c>
      <c r="CQ442" t="s">
        <v>231</v>
      </c>
      <c r="CR442" t="s">
        <v>231</v>
      </c>
      <c r="CS442" t="s">
        <v>231</v>
      </c>
      <c r="CT442" t="s">
        <v>3534</v>
      </c>
      <c r="CU442" t="s">
        <v>3535</v>
      </c>
      <c r="CV442" t="s">
        <v>3536</v>
      </c>
      <c r="CW442" t="s">
        <v>3551</v>
      </c>
      <c r="CX442" t="s">
        <v>223</v>
      </c>
      <c r="CY442" t="s">
        <v>3536</v>
      </c>
      <c r="CZ442" t="s">
        <v>3552</v>
      </c>
      <c r="DA442" t="s">
        <v>3553</v>
      </c>
      <c r="DB442" t="s">
        <v>3551</v>
      </c>
      <c r="DC442" t="s">
        <v>363</v>
      </c>
      <c r="DD442" t="s">
        <v>282</v>
      </c>
      <c r="DE442" t="s">
        <v>4438</v>
      </c>
    </row>
    <row r="443" spans="1:109" ht="11.25" customHeight="1">
      <c r="A443" s="1314" t="s">
        <v>231</v>
      </c>
      <c r="B443" t="s">
        <v>231</v>
      </c>
      <c r="C443" t="s">
        <v>231</v>
      </c>
      <c r="D443" t="s">
        <v>231</v>
      </c>
      <c r="E443" t="s">
        <v>231</v>
      </c>
      <c r="F443" t="s">
        <v>231</v>
      </c>
      <c r="G443" t="s">
        <v>231</v>
      </c>
      <c r="H443" t="s">
        <v>231</v>
      </c>
      <c r="I443" t="s">
        <v>3521</v>
      </c>
      <c r="J443" t="s">
        <v>231</v>
      </c>
      <c r="K443" t="s">
        <v>231</v>
      </c>
      <c r="L443" t="s">
        <v>231</v>
      </c>
      <c r="M443" t="s">
        <v>231</v>
      </c>
      <c r="N443" t="s">
        <v>231</v>
      </c>
      <c r="O443" t="s">
        <v>231</v>
      </c>
      <c r="P443" t="s">
        <v>231</v>
      </c>
      <c r="Q443" t="s">
        <v>231</v>
      </c>
      <c r="R443" t="s">
        <v>4493</v>
      </c>
      <c r="S443" t="s">
        <v>231</v>
      </c>
      <c r="T443" t="s">
        <v>231</v>
      </c>
      <c r="U443" t="s">
        <v>101</v>
      </c>
      <c r="V443" t="s">
        <v>231</v>
      </c>
      <c r="W443" t="s">
        <v>231</v>
      </c>
      <c r="X443" t="s">
        <v>3523</v>
      </c>
      <c r="Y443" t="s">
        <v>231</v>
      </c>
      <c r="Z443" t="s">
        <v>160</v>
      </c>
      <c r="AA443" t="s">
        <v>151</v>
      </c>
      <c r="AB443" t="s">
        <v>151</v>
      </c>
      <c r="AC443" t="s">
        <v>2289</v>
      </c>
      <c r="AD443" t="s">
        <v>2289</v>
      </c>
      <c r="AE443" t="s">
        <v>2290</v>
      </c>
      <c r="AF443" t="s">
        <v>4494</v>
      </c>
      <c r="AG443" t="s">
        <v>4495</v>
      </c>
      <c r="AH443" t="s">
        <v>4496</v>
      </c>
      <c r="AI443" t="s">
        <v>4360</v>
      </c>
      <c r="AJ443" t="s">
        <v>3594</v>
      </c>
      <c r="AK443" t="s">
        <v>3586</v>
      </c>
      <c r="AL443" t="s">
        <v>3548</v>
      </c>
      <c r="AM443" t="s">
        <v>3531</v>
      </c>
      <c r="AN443" t="s">
        <v>3587</v>
      </c>
      <c r="AO443" t="s">
        <v>4497</v>
      </c>
      <c r="AP443" t="s">
        <v>231</v>
      </c>
      <c r="AQ443" t="s">
        <v>231</v>
      </c>
      <c r="AR443" t="s">
        <v>231</v>
      </c>
      <c r="AS443" t="s">
        <v>231</v>
      </c>
      <c r="AT443" t="s">
        <v>231</v>
      </c>
      <c r="AU443" t="s">
        <v>231</v>
      </c>
      <c r="AV443" t="s">
        <v>231</v>
      </c>
      <c r="AW443" t="s">
        <v>231</v>
      </c>
      <c r="AX443" t="s">
        <v>231</v>
      </c>
      <c r="AY443" t="s">
        <v>231</v>
      </c>
      <c r="AZ443" t="s">
        <v>231</v>
      </c>
      <c r="BA443" t="s">
        <v>231</v>
      </c>
      <c r="BB443" t="s">
        <v>231</v>
      </c>
      <c r="BC443" t="s">
        <v>231</v>
      </c>
      <c r="BD443" t="s">
        <v>231</v>
      </c>
      <c r="BE443" t="s">
        <v>231</v>
      </c>
      <c r="BF443" t="s">
        <v>231</v>
      </c>
      <c r="BG443" t="s">
        <v>231</v>
      </c>
      <c r="BH443" t="s">
        <v>231</v>
      </c>
      <c r="BI443" t="s">
        <v>231</v>
      </c>
      <c r="BJ443" t="s">
        <v>231</v>
      </c>
      <c r="BK443" t="s">
        <v>231</v>
      </c>
      <c r="BL443" t="s">
        <v>231</v>
      </c>
      <c r="BM443" t="s">
        <v>231</v>
      </c>
      <c r="BN443" t="s">
        <v>231</v>
      </c>
      <c r="BO443" t="s">
        <v>231</v>
      </c>
      <c r="BP443" t="s">
        <v>231</v>
      </c>
      <c r="BQ443" t="s">
        <v>231</v>
      </c>
      <c r="BR443" t="s">
        <v>231</v>
      </c>
      <c r="BS443" t="s">
        <v>231</v>
      </c>
      <c r="BT443" t="s">
        <v>231</v>
      </c>
      <c r="BU443" t="s">
        <v>231</v>
      </c>
      <c r="BV443" t="s">
        <v>231</v>
      </c>
      <c r="BW443" t="s">
        <v>231</v>
      </c>
      <c r="BX443" t="s">
        <v>231</v>
      </c>
      <c r="BY443" t="s">
        <v>231</v>
      </c>
      <c r="BZ443" t="s">
        <v>231</v>
      </c>
      <c r="CA443" t="s">
        <v>231</v>
      </c>
      <c r="CB443" t="s">
        <v>231</v>
      </c>
      <c r="CC443" t="s">
        <v>231</v>
      </c>
      <c r="CD443" t="s">
        <v>231</v>
      </c>
      <c r="CE443" t="s">
        <v>231</v>
      </c>
      <c r="CF443" t="s">
        <v>231</v>
      </c>
      <c r="CG443" t="s">
        <v>231</v>
      </c>
      <c r="CH443" t="s">
        <v>231</v>
      </c>
      <c r="CI443" t="s">
        <v>231</v>
      </c>
      <c r="CJ443" t="s">
        <v>231</v>
      </c>
      <c r="CK443" t="s">
        <v>231</v>
      </c>
      <c r="CL443" t="s">
        <v>231</v>
      </c>
      <c r="CM443" t="s">
        <v>231</v>
      </c>
      <c r="CN443" t="s">
        <v>231</v>
      </c>
      <c r="CO443" t="s">
        <v>231</v>
      </c>
      <c r="CP443" t="s">
        <v>231</v>
      </c>
      <c r="CQ443" t="s">
        <v>231</v>
      </c>
      <c r="CR443" t="s">
        <v>231</v>
      </c>
      <c r="CS443" t="s">
        <v>231</v>
      </c>
      <c r="CT443" t="s">
        <v>3534</v>
      </c>
      <c r="CU443" t="s">
        <v>3535</v>
      </c>
      <c r="CV443" t="s">
        <v>3536</v>
      </c>
      <c r="CW443" t="s">
        <v>3589</v>
      </c>
      <c r="CX443" t="s">
        <v>223</v>
      </c>
      <c r="CY443" t="s">
        <v>3536</v>
      </c>
      <c r="CZ443" t="s">
        <v>3590</v>
      </c>
      <c r="DA443" t="s">
        <v>3591</v>
      </c>
      <c r="DB443" t="s">
        <v>3589</v>
      </c>
      <c r="DC443" t="s">
        <v>363</v>
      </c>
      <c r="DD443" t="s">
        <v>282</v>
      </c>
      <c r="DE443" t="s">
        <v>4498</v>
      </c>
    </row>
    <row r="444" spans="1:109" ht="11.25" customHeight="1">
      <c r="A444" s="1314" t="s">
        <v>231</v>
      </c>
      <c r="B444" t="s">
        <v>231</v>
      </c>
      <c r="C444" t="s">
        <v>231</v>
      </c>
      <c r="D444" t="s">
        <v>231</v>
      </c>
      <c r="E444" t="s">
        <v>231</v>
      </c>
      <c r="F444" t="s">
        <v>231</v>
      </c>
      <c r="G444" t="s">
        <v>231</v>
      </c>
      <c r="H444" t="s">
        <v>231</v>
      </c>
      <c r="I444" t="s">
        <v>3521</v>
      </c>
      <c r="J444" t="s">
        <v>231</v>
      </c>
      <c r="K444" t="s">
        <v>231</v>
      </c>
      <c r="L444" t="s">
        <v>231</v>
      </c>
      <c r="M444" t="s">
        <v>231</v>
      </c>
      <c r="N444" t="s">
        <v>231</v>
      </c>
      <c r="O444" t="s">
        <v>231</v>
      </c>
      <c r="P444" t="s">
        <v>231</v>
      </c>
      <c r="Q444" t="s">
        <v>231</v>
      </c>
      <c r="R444" t="s">
        <v>4499</v>
      </c>
      <c r="S444" t="s">
        <v>231</v>
      </c>
      <c r="T444" t="s">
        <v>231</v>
      </c>
      <c r="U444" t="s">
        <v>101</v>
      </c>
      <c r="V444" t="s">
        <v>231</v>
      </c>
      <c r="W444" t="s">
        <v>231</v>
      </c>
      <c r="X444" t="s">
        <v>3523</v>
      </c>
      <c r="Y444" t="s">
        <v>231</v>
      </c>
      <c r="Z444" t="s">
        <v>160</v>
      </c>
      <c r="AA444" t="s">
        <v>151</v>
      </c>
      <c r="AB444" t="s">
        <v>151</v>
      </c>
      <c r="AC444" t="s">
        <v>2289</v>
      </c>
      <c r="AD444" t="s">
        <v>2289</v>
      </c>
      <c r="AE444" t="s">
        <v>2290</v>
      </c>
      <c r="AF444" t="s">
        <v>4494</v>
      </c>
      <c r="AG444" t="s">
        <v>4495</v>
      </c>
      <c r="AH444" t="s">
        <v>3714</v>
      </c>
      <c r="AI444" t="s">
        <v>3774</v>
      </c>
      <c r="AJ444" t="s">
        <v>3546</v>
      </c>
      <c r="AK444" t="s">
        <v>3716</v>
      </c>
      <c r="AL444" t="s">
        <v>3548</v>
      </c>
      <c r="AM444" t="s">
        <v>3531</v>
      </c>
      <c r="AN444" t="s">
        <v>3529</v>
      </c>
      <c r="AO444" t="s">
        <v>4500</v>
      </c>
      <c r="AP444" t="s">
        <v>231</v>
      </c>
      <c r="AQ444" t="s">
        <v>231</v>
      </c>
      <c r="AR444" t="s">
        <v>231</v>
      </c>
      <c r="AS444" t="s">
        <v>231</v>
      </c>
      <c r="AT444" t="s">
        <v>231</v>
      </c>
      <c r="AU444" t="s">
        <v>231</v>
      </c>
      <c r="AV444" t="s">
        <v>231</v>
      </c>
      <c r="AW444" t="s">
        <v>231</v>
      </c>
      <c r="AX444" t="s">
        <v>231</v>
      </c>
      <c r="AY444" t="s">
        <v>231</v>
      </c>
      <c r="AZ444" t="s">
        <v>231</v>
      </c>
      <c r="BA444" t="s">
        <v>231</v>
      </c>
      <c r="BB444" t="s">
        <v>231</v>
      </c>
      <c r="BC444" t="s">
        <v>231</v>
      </c>
      <c r="BD444" t="s">
        <v>231</v>
      </c>
      <c r="BE444" t="s">
        <v>231</v>
      </c>
      <c r="BF444" t="s">
        <v>231</v>
      </c>
      <c r="BG444" t="s">
        <v>231</v>
      </c>
      <c r="BH444" t="s">
        <v>231</v>
      </c>
      <c r="BI444" t="s">
        <v>231</v>
      </c>
      <c r="BJ444" t="s">
        <v>231</v>
      </c>
      <c r="BK444" t="s">
        <v>231</v>
      </c>
      <c r="BL444" t="s">
        <v>231</v>
      </c>
      <c r="BM444" t="s">
        <v>231</v>
      </c>
      <c r="BN444" t="s">
        <v>231</v>
      </c>
      <c r="BO444" t="s">
        <v>231</v>
      </c>
      <c r="BP444" t="s">
        <v>231</v>
      </c>
      <c r="BQ444" t="s">
        <v>231</v>
      </c>
      <c r="BR444" t="s">
        <v>231</v>
      </c>
      <c r="BS444" t="s">
        <v>231</v>
      </c>
      <c r="BT444" t="s">
        <v>231</v>
      </c>
      <c r="BU444" t="s">
        <v>231</v>
      </c>
      <c r="BV444" t="s">
        <v>231</v>
      </c>
      <c r="BW444" t="s">
        <v>231</v>
      </c>
      <c r="BX444" t="s">
        <v>231</v>
      </c>
      <c r="BY444" t="s">
        <v>231</v>
      </c>
      <c r="BZ444" t="s">
        <v>231</v>
      </c>
      <c r="CA444" t="s">
        <v>231</v>
      </c>
      <c r="CB444" t="s">
        <v>231</v>
      </c>
      <c r="CC444" t="s">
        <v>231</v>
      </c>
      <c r="CD444" t="s">
        <v>231</v>
      </c>
      <c r="CE444" t="s">
        <v>231</v>
      </c>
      <c r="CF444" t="s">
        <v>231</v>
      </c>
      <c r="CG444" t="s">
        <v>231</v>
      </c>
      <c r="CH444" t="s">
        <v>231</v>
      </c>
      <c r="CI444" t="s">
        <v>231</v>
      </c>
      <c r="CJ444" t="s">
        <v>231</v>
      </c>
      <c r="CK444" t="s">
        <v>231</v>
      </c>
      <c r="CL444" t="s">
        <v>231</v>
      </c>
      <c r="CM444" t="s">
        <v>231</v>
      </c>
      <c r="CN444" t="s">
        <v>231</v>
      </c>
      <c r="CO444" t="s">
        <v>231</v>
      </c>
      <c r="CP444" t="s">
        <v>231</v>
      </c>
      <c r="CQ444" t="s">
        <v>231</v>
      </c>
      <c r="CR444" t="s">
        <v>231</v>
      </c>
      <c r="CS444" t="s">
        <v>231</v>
      </c>
      <c r="CT444" t="s">
        <v>3534</v>
      </c>
      <c r="CU444" t="s">
        <v>3535</v>
      </c>
      <c r="CV444" t="s">
        <v>3536</v>
      </c>
      <c r="CW444" t="s">
        <v>3589</v>
      </c>
      <c r="CX444" t="s">
        <v>223</v>
      </c>
      <c r="CY444" t="s">
        <v>3536</v>
      </c>
      <c r="CZ444" t="s">
        <v>3590</v>
      </c>
      <c r="DA444" t="s">
        <v>3591</v>
      </c>
      <c r="DB444" t="s">
        <v>3589</v>
      </c>
      <c r="DC444" t="s">
        <v>363</v>
      </c>
      <c r="DD444" t="s">
        <v>282</v>
      </c>
      <c r="DE444" t="s">
        <v>4501</v>
      </c>
    </row>
    <row r="445" spans="1:109" ht="11.25" customHeight="1">
      <c r="A445" s="1314" t="s">
        <v>231</v>
      </c>
      <c r="B445" t="s">
        <v>231</v>
      </c>
      <c r="C445" t="s">
        <v>231</v>
      </c>
      <c r="D445" t="s">
        <v>231</v>
      </c>
      <c r="E445" t="s">
        <v>231</v>
      </c>
      <c r="F445" t="s">
        <v>231</v>
      </c>
      <c r="G445" t="s">
        <v>231</v>
      </c>
      <c r="H445" t="s">
        <v>231</v>
      </c>
      <c r="I445" t="s">
        <v>3521</v>
      </c>
      <c r="J445" t="s">
        <v>231</v>
      </c>
      <c r="K445" t="s">
        <v>231</v>
      </c>
      <c r="L445" t="s">
        <v>231</v>
      </c>
      <c r="M445" t="s">
        <v>231</v>
      </c>
      <c r="N445" t="s">
        <v>231</v>
      </c>
      <c r="O445" t="s">
        <v>231</v>
      </c>
      <c r="P445" t="s">
        <v>231</v>
      </c>
      <c r="Q445" t="s">
        <v>231</v>
      </c>
      <c r="R445" t="s">
        <v>5048</v>
      </c>
      <c r="S445" t="s">
        <v>231</v>
      </c>
      <c r="T445" t="s">
        <v>231</v>
      </c>
      <c r="U445" t="s">
        <v>101</v>
      </c>
      <c r="V445" t="s">
        <v>231</v>
      </c>
      <c r="W445" t="s">
        <v>231</v>
      </c>
      <c r="X445" t="s">
        <v>3523</v>
      </c>
      <c r="Y445" t="s">
        <v>231</v>
      </c>
      <c r="Z445" t="s">
        <v>160</v>
      </c>
      <c r="AA445" t="s">
        <v>151</v>
      </c>
      <c r="AB445" t="s">
        <v>151</v>
      </c>
      <c r="AC445" t="s">
        <v>343</v>
      </c>
      <c r="AD445" t="s">
        <v>343</v>
      </c>
      <c r="AE445" t="s">
        <v>344</v>
      </c>
      <c r="AF445" t="s">
        <v>3561</v>
      </c>
      <c r="AG445" t="s">
        <v>3562</v>
      </c>
      <c r="AH445" t="s">
        <v>4227</v>
      </c>
      <c r="AI445" t="s">
        <v>4228</v>
      </c>
      <c r="AJ445" t="s">
        <v>4503</v>
      </c>
      <c r="AK445" t="s">
        <v>4504</v>
      </c>
      <c r="AL445" t="s">
        <v>3530</v>
      </c>
      <c r="AM445" t="s">
        <v>3531</v>
      </c>
      <c r="AN445" t="s">
        <v>3621</v>
      </c>
      <c r="AO445" t="s">
        <v>4099</v>
      </c>
      <c r="AP445" t="s">
        <v>231</v>
      </c>
      <c r="AQ445" t="s">
        <v>231</v>
      </c>
      <c r="AR445" t="s">
        <v>231</v>
      </c>
      <c r="AS445" t="s">
        <v>231</v>
      </c>
      <c r="AT445" t="s">
        <v>231</v>
      </c>
      <c r="AU445" t="s">
        <v>231</v>
      </c>
      <c r="AV445" t="s">
        <v>231</v>
      </c>
      <c r="AW445" t="s">
        <v>231</v>
      </c>
      <c r="AX445" t="s">
        <v>231</v>
      </c>
      <c r="AY445" t="s">
        <v>231</v>
      </c>
      <c r="AZ445" t="s">
        <v>231</v>
      </c>
      <c r="BA445" t="s">
        <v>231</v>
      </c>
      <c r="BB445" t="s">
        <v>231</v>
      </c>
      <c r="BC445" t="s">
        <v>231</v>
      </c>
      <c r="BD445" t="s">
        <v>231</v>
      </c>
      <c r="BE445" t="s">
        <v>231</v>
      </c>
      <c r="BF445" t="s">
        <v>231</v>
      </c>
      <c r="BG445" t="s">
        <v>231</v>
      </c>
      <c r="BH445" t="s">
        <v>231</v>
      </c>
      <c r="BI445" t="s">
        <v>231</v>
      </c>
      <c r="BJ445" t="s">
        <v>231</v>
      </c>
      <c r="BK445" t="s">
        <v>231</v>
      </c>
      <c r="BL445" t="s">
        <v>231</v>
      </c>
      <c r="BM445" t="s">
        <v>231</v>
      </c>
      <c r="BN445" t="s">
        <v>231</v>
      </c>
      <c r="BO445" t="s">
        <v>231</v>
      </c>
      <c r="BP445" t="s">
        <v>231</v>
      </c>
      <c r="BQ445" t="s">
        <v>231</v>
      </c>
      <c r="BR445" t="s">
        <v>231</v>
      </c>
      <c r="BS445" t="s">
        <v>231</v>
      </c>
      <c r="BT445" t="s">
        <v>231</v>
      </c>
      <c r="BU445" t="s">
        <v>231</v>
      </c>
      <c r="BV445" t="s">
        <v>231</v>
      </c>
      <c r="BW445" t="s">
        <v>231</v>
      </c>
      <c r="BX445" t="s">
        <v>231</v>
      </c>
      <c r="BY445" t="s">
        <v>231</v>
      </c>
      <c r="BZ445" t="s">
        <v>231</v>
      </c>
      <c r="CA445" t="s">
        <v>231</v>
      </c>
      <c r="CB445" t="s">
        <v>231</v>
      </c>
      <c r="CC445" t="s">
        <v>231</v>
      </c>
      <c r="CD445" t="s">
        <v>231</v>
      </c>
      <c r="CE445" t="s">
        <v>231</v>
      </c>
      <c r="CF445" t="s">
        <v>231</v>
      </c>
      <c r="CG445" t="s">
        <v>231</v>
      </c>
      <c r="CH445" t="s">
        <v>231</v>
      </c>
      <c r="CI445" t="s">
        <v>231</v>
      </c>
      <c r="CJ445" t="s">
        <v>231</v>
      </c>
      <c r="CK445" t="s">
        <v>231</v>
      </c>
      <c r="CL445" t="s">
        <v>231</v>
      </c>
      <c r="CM445" t="s">
        <v>231</v>
      </c>
      <c r="CN445" t="s">
        <v>231</v>
      </c>
      <c r="CO445" t="s">
        <v>231</v>
      </c>
      <c r="CP445" t="s">
        <v>231</v>
      </c>
      <c r="CQ445" t="s">
        <v>231</v>
      </c>
      <c r="CR445" t="s">
        <v>231</v>
      </c>
      <c r="CS445" t="s">
        <v>231</v>
      </c>
      <c r="CT445" t="s">
        <v>3534</v>
      </c>
      <c r="CU445" t="s">
        <v>3535</v>
      </c>
      <c r="CV445" t="s">
        <v>3536</v>
      </c>
      <c r="CW445" t="s">
        <v>3569</v>
      </c>
      <c r="CX445" t="s">
        <v>3570</v>
      </c>
      <c r="CY445" t="s">
        <v>3536</v>
      </c>
      <c r="CZ445" t="s">
        <v>224</v>
      </c>
      <c r="DA445" t="s">
        <v>3571</v>
      </c>
      <c r="DB445" t="s">
        <v>3569</v>
      </c>
      <c r="DC445" t="s">
        <v>363</v>
      </c>
      <c r="DD445" t="s">
        <v>282</v>
      </c>
      <c r="DE445" t="s">
        <v>4232</v>
      </c>
    </row>
    <row r="446" spans="1:109" ht="11.25" customHeight="1">
      <c r="A446" s="1314" t="s">
        <v>231</v>
      </c>
      <c r="B446" t="s">
        <v>231</v>
      </c>
      <c r="C446" t="s">
        <v>231</v>
      </c>
      <c r="D446" t="s">
        <v>231</v>
      </c>
      <c r="E446" t="s">
        <v>231</v>
      </c>
      <c r="F446" t="s">
        <v>231</v>
      </c>
      <c r="G446" t="s">
        <v>231</v>
      </c>
      <c r="H446" t="s">
        <v>231</v>
      </c>
      <c r="I446" t="s">
        <v>3521</v>
      </c>
      <c r="J446" t="s">
        <v>231</v>
      </c>
      <c r="K446" t="s">
        <v>231</v>
      </c>
      <c r="L446" t="s">
        <v>231</v>
      </c>
      <c r="M446" t="s">
        <v>231</v>
      </c>
      <c r="N446" t="s">
        <v>231</v>
      </c>
      <c r="O446" t="s">
        <v>231</v>
      </c>
      <c r="P446" t="s">
        <v>231</v>
      </c>
      <c r="Q446" t="s">
        <v>231</v>
      </c>
      <c r="R446" t="s">
        <v>4708</v>
      </c>
      <c r="S446" t="s">
        <v>231</v>
      </c>
      <c r="T446" t="s">
        <v>231</v>
      </c>
      <c r="U446" t="s">
        <v>101</v>
      </c>
      <c r="V446" t="s">
        <v>231</v>
      </c>
      <c r="W446" t="s">
        <v>231</v>
      </c>
      <c r="X446" t="s">
        <v>3628</v>
      </c>
      <c r="Y446" t="s">
        <v>231</v>
      </c>
      <c r="Z446" t="s">
        <v>151</v>
      </c>
      <c r="AA446" t="s">
        <v>151</v>
      </c>
      <c r="AB446" t="s">
        <v>160</v>
      </c>
      <c r="AC446" t="s">
        <v>2289</v>
      </c>
      <c r="AD446" t="s">
        <v>2289</v>
      </c>
      <c r="AE446" t="s">
        <v>2290</v>
      </c>
      <c r="AF446" t="s">
        <v>4494</v>
      </c>
      <c r="AG446" t="s">
        <v>4495</v>
      </c>
      <c r="AH446" t="s">
        <v>3618</v>
      </c>
      <c r="AI446" t="s">
        <v>3618</v>
      </c>
      <c r="AJ446" t="s">
        <v>231</v>
      </c>
      <c r="AK446" t="s">
        <v>231</v>
      </c>
      <c r="AL446" t="s">
        <v>231</v>
      </c>
      <c r="AM446" t="s">
        <v>231</v>
      </c>
      <c r="AN446" t="s">
        <v>231</v>
      </c>
      <c r="AO446" t="s">
        <v>231</v>
      </c>
      <c r="AP446" t="s">
        <v>231</v>
      </c>
      <c r="AQ446" t="s">
        <v>231</v>
      </c>
      <c r="AR446" t="s">
        <v>231</v>
      </c>
      <c r="AS446" t="s">
        <v>231</v>
      </c>
      <c r="AT446" t="s">
        <v>231</v>
      </c>
      <c r="AU446" t="s">
        <v>231</v>
      </c>
      <c r="AV446" t="s">
        <v>231</v>
      </c>
      <c r="AW446" t="s">
        <v>231</v>
      </c>
      <c r="AX446" t="s">
        <v>231</v>
      </c>
      <c r="AY446" t="s">
        <v>231</v>
      </c>
      <c r="AZ446" t="s">
        <v>231</v>
      </c>
      <c r="BA446" t="s">
        <v>231</v>
      </c>
      <c r="BB446" t="s">
        <v>231</v>
      </c>
      <c r="BC446" t="s">
        <v>231</v>
      </c>
      <c r="BD446" t="s">
        <v>231</v>
      </c>
      <c r="BE446" t="s">
        <v>3594</v>
      </c>
      <c r="BF446" t="s">
        <v>3586</v>
      </c>
      <c r="BG446" t="s">
        <v>111</v>
      </c>
      <c r="BH446" t="s">
        <v>3632</v>
      </c>
      <c r="BI446" t="s">
        <v>122</v>
      </c>
      <c r="BJ446" t="s">
        <v>231</v>
      </c>
      <c r="BK446" t="s">
        <v>3651</v>
      </c>
      <c r="BL446" t="s">
        <v>2289</v>
      </c>
      <c r="BM446" t="s">
        <v>2289</v>
      </c>
      <c r="BN446" t="s">
        <v>3707</v>
      </c>
      <c r="BO446" t="s">
        <v>4494</v>
      </c>
      <c r="BP446" t="s">
        <v>4709</v>
      </c>
      <c r="BQ446" t="s">
        <v>3618</v>
      </c>
      <c r="BR446" t="s">
        <v>3618</v>
      </c>
      <c r="BS446" t="s">
        <v>231</v>
      </c>
      <c r="BT446" t="s">
        <v>3694</v>
      </c>
      <c r="BU446" t="s">
        <v>4710</v>
      </c>
      <c r="BV446" t="s">
        <v>4710</v>
      </c>
      <c r="BW446" t="s">
        <v>3641</v>
      </c>
      <c r="BX446" t="s">
        <v>3641</v>
      </c>
      <c r="BY446" t="s">
        <v>3641</v>
      </c>
      <c r="BZ446" t="s">
        <v>3641</v>
      </c>
      <c r="CA446" t="s">
        <v>3641</v>
      </c>
      <c r="CB446" t="s">
        <v>231</v>
      </c>
      <c r="CC446" t="s">
        <v>231</v>
      </c>
      <c r="CD446" t="s">
        <v>231</v>
      </c>
      <c r="CE446" t="s">
        <v>231</v>
      </c>
      <c r="CF446" t="s">
        <v>231</v>
      </c>
      <c r="CG446" t="s">
        <v>3641</v>
      </c>
      <c r="CH446" t="s">
        <v>231</v>
      </c>
      <c r="CI446" t="s">
        <v>231</v>
      </c>
      <c r="CJ446" t="s">
        <v>231</v>
      </c>
      <c r="CK446" t="s">
        <v>231</v>
      </c>
      <c r="CL446" t="s">
        <v>231</v>
      </c>
      <c r="CM446" t="s">
        <v>4710</v>
      </c>
      <c r="CN446" t="s">
        <v>4710</v>
      </c>
      <c r="CO446" t="s">
        <v>231</v>
      </c>
      <c r="CP446" t="s">
        <v>231</v>
      </c>
      <c r="CQ446" t="s">
        <v>231</v>
      </c>
      <c r="CR446" t="s">
        <v>231</v>
      </c>
      <c r="CS446" t="s">
        <v>3710</v>
      </c>
      <c r="CT446" t="s">
        <v>3534</v>
      </c>
      <c r="CU446" t="s">
        <v>3535</v>
      </c>
      <c r="CV446" t="s">
        <v>3536</v>
      </c>
      <c r="CW446" t="s">
        <v>3589</v>
      </c>
      <c r="CX446" t="s">
        <v>223</v>
      </c>
      <c r="CY446" t="s">
        <v>3536</v>
      </c>
      <c r="CZ446" t="s">
        <v>3590</v>
      </c>
      <c r="DA446" t="s">
        <v>3591</v>
      </c>
      <c r="DB446" t="s">
        <v>3589</v>
      </c>
      <c r="DC446" t="s">
        <v>363</v>
      </c>
      <c r="DD446" t="s">
        <v>282</v>
      </c>
      <c r="DE446" t="s">
        <v>4711</v>
      </c>
    </row>
    <row r="447" spans="1:109" ht="11.25" customHeight="1">
      <c r="A447" s="1314" t="s">
        <v>231</v>
      </c>
      <c r="B447" t="s">
        <v>231</v>
      </c>
      <c r="C447" t="s">
        <v>231</v>
      </c>
      <c r="D447" t="s">
        <v>231</v>
      </c>
      <c r="E447" t="s">
        <v>231</v>
      </c>
      <c r="F447" t="s">
        <v>231</v>
      </c>
      <c r="G447" t="s">
        <v>231</v>
      </c>
      <c r="H447" t="s">
        <v>231</v>
      </c>
      <c r="I447" t="s">
        <v>3521</v>
      </c>
      <c r="J447" t="s">
        <v>231</v>
      </c>
      <c r="K447" t="s">
        <v>231</v>
      </c>
      <c r="L447" t="s">
        <v>231</v>
      </c>
      <c r="M447" t="s">
        <v>231</v>
      </c>
      <c r="N447" t="s">
        <v>231</v>
      </c>
      <c r="O447" t="s">
        <v>231</v>
      </c>
      <c r="P447" t="s">
        <v>231</v>
      </c>
      <c r="Q447" t="s">
        <v>231</v>
      </c>
      <c r="R447" t="s">
        <v>3615</v>
      </c>
      <c r="S447" t="s">
        <v>231</v>
      </c>
      <c r="T447" t="s">
        <v>231</v>
      </c>
      <c r="U447" t="s">
        <v>101</v>
      </c>
      <c r="V447" t="s">
        <v>231</v>
      </c>
      <c r="W447" t="s">
        <v>231</v>
      </c>
      <c r="X447" t="s">
        <v>3523</v>
      </c>
      <c r="Y447" t="s">
        <v>231</v>
      </c>
      <c r="Z447" t="s">
        <v>160</v>
      </c>
      <c r="AA447" t="s">
        <v>151</v>
      </c>
      <c r="AB447" t="s">
        <v>151</v>
      </c>
      <c r="AC447" t="s">
        <v>2289</v>
      </c>
      <c r="AD447" t="s">
        <v>2289</v>
      </c>
      <c r="AE447" t="s">
        <v>2290</v>
      </c>
      <c r="AF447" t="s">
        <v>4511</v>
      </c>
      <c r="AG447" t="s">
        <v>4512</v>
      </c>
      <c r="AH447" t="s">
        <v>3799</v>
      </c>
      <c r="AI447" t="s">
        <v>1681</v>
      </c>
      <c r="AJ447" t="s">
        <v>3619</v>
      </c>
      <c r="AK447" t="s">
        <v>3789</v>
      </c>
      <c r="AL447" t="s">
        <v>3548</v>
      </c>
      <c r="AM447" t="s">
        <v>3531</v>
      </c>
      <c r="AN447" t="s">
        <v>3595</v>
      </c>
      <c r="AO447" t="s">
        <v>3796</v>
      </c>
      <c r="AP447" t="s">
        <v>231</v>
      </c>
      <c r="AQ447" t="s">
        <v>231</v>
      </c>
      <c r="AR447" t="s">
        <v>231</v>
      </c>
      <c r="AS447" t="s">
        <v>231</v>
      </c>
      <c r="AT447" t="s">
        <v>231</v>
      </c>
      <c r="AU447" t="s">
        <v>231</v>
      </c>
      <c r="AV447" t="s">
        <v>231</v>
      </c>
      <c r="AW447" t="s">
        <v>231</v>
      </c>
      <c r="AX447" t="s">
        <v>231</v>
      </c>
      <c r="AY447" t="s">
        <v>231</v>
      </c>
      <c r="AZ447" t="s">
        <v>231</v>
      </c>
      <c r="BA447" t="s">
        <v>231</v>
      </c>
      <c r="BB447" t="s">
        <v>231</v>
      </c>
      <c r="BC447" t="s">
        <v>231</v>
      </c>
      <c r="BD447" t="s">
        <v>231</v>
      </c>
      <c r="BE447" t="s">
        <v>231</v>
      </c>
      <c r="BF447" t="s">
        <v>231</v>
      </c>
      <c r="BG447" t="s">
        <v>231</v>
      </c>
      <c r="BH447" t="s">
        <v>231</v>
      </c>
      <c r="BI447" t="s">
        <v>231</v>
      </c>
      <c r="BJ447" t="s">
        <v>231</v>
      </c>
      <c r="BK447" t="s">
        <v>231</v>
      </c>
      <c r="BL447" t="s">
        <v>231</v>
      </c>
      <c r="BM447" t="s">
        <v>231</v>
      </c>
      <c r="BN447" t="s">
        <v>231</v>
      </c>
      <c r="BO447" t="s">
        <v>231</v>
      </c>
      <c r="BP447" t="s">
        <v>231</v>
      </c>
      <c r="BQ447" t="s">
        <v>231</v>
      </c>
      <c r="BR447" t="s">
        <v>231</v>
      </c>
      <c r="BS447" t="s">
        <v>231</v>
      </c>
      <c r="BT447" t="s">
        <v>231</v>
      </c>
      <c r="BU447" t="s">
        <v>231</v>
      </c>
      <c r="BV447" t="s">
        <v>231</v>
      </c>
      <c r="BW447" t="s">
        <v>231</v>
      </c>
      <c r="BX447" t="s">
        <v>231</v>
      </c>
      <c r="BY447" t="s">
        <v>231</v>
      </c>
      <c r="BZ447" t="s">
        <v>231</v>
      </c>
      <c r="CA447" t="s">
        <v>231</v>
      </c>
      <c r="CB447" t="s">
        <v>231</v>
      </c>
      <c r="CC447" t="s">
        <v>231</v>
      </c>
      <c r="CD447" t="s">
        <v>231</v>
      </c>
      <c r="CE447" t="s">
        <v>231</v>
      </c>
      <c r="CF447" t="s">
        <v>231</v>
      </c>
      <c r="CG447" t="s">
        <v>231</v>
      </c>
      <c r="CH447" t="s">
        <v>231</v>
      </c>
      <c r="CI447" t="s">
        <v>231</v>
      </c>
      <c r="CJ447" t="s">
        <v>231</v>
      </c>
      <c r="CK447" t="s">
        <v>231</v>
      </c>
      <c r="CL447" t="s">
        <v>231</v>
      </c>
      <c r="CM447" t="s">
        <v>231</v>
      </c>
      <c r="CN447" t="s">
        <v>231</v>
      </c>
      <c r="CO447" t="s">
        <v>231</v>
      </c>
      <c r="CP447" t="s">
        <v>231</v>
      </c>
      <c r="CQ447" t="s">
        <v>231</v>
      </c>
      <c r="CR447" t="s">
        <v>231</v>
      </c>
      <c r="CS447" t="s">
        <v>231</v>
      </c>
      <c r="CT447" t="s">
        <v>3534</v>
      </c>
      <c r="CU447" t="s">
        <v>3535</v>
      </c>
      <c r="CV447" t="s">
        <v>3536</v>
      </c>
      <c r="CW447" t="s">
        <v>3589</v>
      </c>
      <c r="CX447" t="s">
        <v>223</v>
      </c>
      <c r="CY447" t="s">
        <v>3536</v>
      </c>
      <c r="CZ447" t="s">
        <v>3590</v>
      </c>
      <c r="DA447" t="s">
        <v>3591</v>
      </c>
      <c r="DB447" t="s">
        <v>3589</v>
      </c>
      <c r="DC447" t="s">
        <v>363</v>
      </c>
      <c r="DD447" t="s">
        <v>282</v>
      </c>
      <c r="DE447" t="s">
        <v>4595</v>
      </c>
    </row>
    <row r="448" spans="1:109" ht="11.25" customHeight="1">
      <c r="A448" s="1314" t="s">
        <v>231</v>
      </c>
      <c r="B448" t="s">
        <v>231</v>
      </c>
      <c r="C448" t="s">
        <v>231</v>
      </c>
      <c r="D448" t="s">
        <v>231</v>
      </c>
      <c r="E448" t="s">
        <v>231</v>
      </c>
      <c r="F448" t="s">
        <v>231</v>
      </c>
      <c r="G448" t="s">
        <v>231</v>
      </c>
      <c r="H448" t="s">
        <v>231</v>
      </c>
      <c r="I448" t="s">
        <v>3521</v>
      </c>
      <c r="J448" t="s">
        <v>231</v>
      </c>
      <c r="K448" t="s">
        <v>231</v>
      </c>
      <c r="L448" t="s">
        <v>231</v>
      </c>
      <c r="M448" t="s">
        <v>231</v>
      </c>
      <c r="N448" t="s">
        <v>231</v>
      </c>
      <c r="O448" t="s">
        <v>231</v>
      </c>
      <c r="P448" t="s">
        <v>231</v>
      </c>
      <c r="Q448" t="s">
        <v>231</v>
      </c>
      <c r="R448" t="s">
        <v>3615</v>
      </c>
      <c r="S448" t="s">
        <v>231</v>
      </c>
      <c r="T448" t="s">
        <v>231</v>
      </c>
      <c r="U448" t="s">
        <v>101</v>
      </c>
      <c r="V448" t="s">
        <v>231</v>
      </c>
      <c r="W448" t="s">
        <v>231</v>
      </c>
      <c r="X448" t="s">
        <v>3523</v>
      </c>
      <c r="Y448" t="s">
        <v>231</v>
      </c>
      <c r="Z448" t="s">
        <v>160</v>
      </c>
      <c r="AA448" t="s">
        <v>151</v>
      </c>
      <c r="AB448" t="s">
        <v>151</v>
      </c>
      <c r="AC448" t="s">
        <v>2289</v>
      </c>
      <c r="AD448" t="s">
        <v>2289</v>
      </c>
      <c r="AE448" t="s">
        <v>2290</v>
      </c>
      <c r="AF448" t="s">
        <v>4511</v>
      </c>
      <c r="AG448" t="s">
        <v>4512</v>
      </c>
      <c r="AH448" t="s">
        <v>4772</v>
      </c>
      <c r="AI448" t="s">
        <v>3738</v>
      </c>
      <c r="AJ448" t="s">
        <v>3546</v>
      </c>
      <c r="AK448" t="s">
        <v>3586</v>
      </c>
      <c r="AL448" t="s">
        <v>3548</v>
      </c>
      <c r="AM448" t="s">
        <v>3531</v>
      </c>
      <c r="AN448" t="s">
        <v>3587</v>
      </c>
      <c r="AO448" t="s">
        <v>3739</v>
      </c>
      <c r="AP448" t="s">
        <v>231</v>
      </c>
      <c r="AQ448" t="s">
        <v>231</v>
      </c>
      <c r="AR448" t="s">
        <v>231</v>
      </c>
      <c r="AS448" t="s">
        <v>231</v>
      </c>
      <c r="AT448" t="s">
        <v>231</v>
      </c>
      <c r="AU448" t="s">
        <v>231</v>
      </c>
      <c r="AV448" t="s">
        <v>231</v>
      </c>
      <c r="AW448" t="s">
        <v>231</v>
      </c>
      <c r="AX448" t="s">
        <v>231</v>
      </c>
      <c r="AY448" t="s">
        <v>231</v>
      </c>
      <c r="AZ448" t="s">
        <v>231</v>
      </c>
      <c r="BA448" t="s">
        <v>231</v>
      </c>
      <c r="BB448" t="s">
        <v>231</v>
      </c>
      <c r="BC448" t="s">
        <v>231</v>
      </c>
      <c r="BD448" t="s">
        <v>231</v>
      </c>
      <c r="BE448" t="s">
        <v>231</v>
      </c>
      <c r="BF448" t="s">
        <v>231</v>
      </c>
      <c r="BG448" t="s">
        <v>231</v>
      </c>
      <c r="BH448" t="s">
        <v>231</v>
      </c>
      <c r="BI448" t="s">
        <v>231</v>
      </c>
      <c r="BJ448" t="s">
        <v>231</v>
      </c>
      <c r="BK448" t="s">
        <v>231</v>
      </c>
      <c r="BL448" t="s">
        <v>231</v>
      </c>
      <c r="BM448" t="s">
        <v>231</v>
      </c>
      <c r="BN448" t="s">
        <v>231</v>
      </c>
      <c r="BO448" t="s">
        <v>231</v>
      </c>
      <c r="BP448" t="s">
        <v>231</v>
      </c>
      <c r="BQ448" t="s">
        <v>231</v>
      </c>
      <c r="BR448" t="s">
        <v>231</v>
      </c>
      <c r="BS448" t="s">
        <v>231</v>
      </c>
      <c r="BT448" t="s">
        <v>231</v>
      </c>
      <c r="BU448" t="s">
        <v>231</v>
      </c>
      <c r="BV448" t="s">
        <v>231</v>
      </c>
      <c r="BW448" t="s">
        <v>231</v>
      </c>
      <c r="BX448" t="s">
        <v>231</v>
      </c>
      <c r="BY448" t="s">
        <v>231</v>
      </c>
      <c r="BZ448" t="s">
        <v>231</v>
      </c>
      <c r="CA448" t="s">
        <v>231</v>
      </c>
      <c r="CB448" t="s">
        <v>231</v>
      </c>
      <c r="CC448" t="s">
        <v>231</v>
      </c>
      <c r="CD448" t="s">
        <v>231</v>
      </c>
      <c r="CE448" t="s">
        <v>231</v>
      </c>
      <c r="CF448" t="s">
        <v>231</v>
      </c>
      <c r="CG448" t="s">
        <v>231</v>
      </c>
      <c r="CH448" t="s">
        <v>231</v>
      </c>
      <c r="CI448" t="s">
        <v>231</v>
      </c>
      <c r="CJ448" t="s">
        <v>231</v>
      </c>
      <c r="CK448" t="s">
        <v>231</v>
      </c>
      <c r="CL448" t="s">
        <v>231</v>
      </c>
      <c r="CM448" t="s">
        <v>231</v>
      </c>
      <c r="CN448" t="s">
        <v>231</v>
      </c>
      <c r="CO448" t="s">
        <v>231</v>
      </c>
      <c r="CP448" t="s">
        <v>231</v>
      </c>
      <c r="CQ448" t="s">
        <v>231</v>
      </c>
      <c r="CR448" t="s">
        <v>231</v>
      </c>
      <c r="CS448" t="s">
        <v>231</v>
      </c>
      <c r="CT448" t="s">
        <v>3534</v>
      </c>
      <c r="CU448" t="s">
        <v>3535</v>
      </c>
      <c r="CV448" t="s">
        <v>3536</v>
      </c>
      <c r="CW448" t="s">
        <v>3589</v>
      </c>
      <c r="CX448" t="s">
        <v>223</v>
      </c>
      <c r="CY448" t="s">
        <v>3536</v>
      </c>
      <c r="CZ448" t="s">
        <v>3590</v>
      </c>
      <c r="DA448" t="s">
        <v>3591</v>
      </c>
      <c r="DB448" t="s">
        <v>3589</v>
      </c>
      <c r="DC448" t="s">
        <v>363</v>
      </c>
      <c r="DD448" t="s">
        <v>282</v>
      </c>
      <c r="DE448" t="s">
        <v>4773</v>
      </c>
    </row>
    <row r="449" spans="1:109" ht="11.25" customHeight="1">
      <c r="A449" s="1314" t="s">
        <v>231</v>
      </c>
      <c r="B449" t="s">
        <v>231</v>
      </c>
      <c r="C449" t="s">
        <v>231</v>
      </c>
      <c r="D449" t="s">
        <v>231</v>
      </c>
      <c r="E449" t="s">
        <v>231</v>
      </c>
      <c r="F449" t="s">
        <v>231</v>
      </c>
      <c r="G449" t="s">
        <v>231</v>
      </c>
      <c r="H449" t="s">
        <v>231</v>
      </c>
      <c r="I449" t="s">
        <v>3521</v>
      </c>
      <c r="J449" t="s">
        <v>231</v>
      </c>
      <c r="K449" t="s">
        <v>231</v>
      </c>
      <c r="L449" t="s">
        <v>231</v>
      </c>
      <c r="M449" t="s">
        <v>231</v>
      </c>
      <c r="N449" t="s">
        <v>231</v>
      </c>
      <c r="O449" t="s">
        <v>231</v>
      </c>
      <c r="P449" t="s">
        <v>231</v>
      </c>
      <c r="Q449" t="s">
        <v>231</v>
      </c>
      <c r="R449" t="s">
        <v>4774</v>
      </c>
      <c r="S449" t="s">
        <v>231</v>
      </c>
      <c r="T449" t="s">
        <v>231</v>
      </c>
      <c r="U449" t="s">
        <v>101</v>
      </c>
      <c r="V449" t="s">
        <v>231</v>
      </c>
      <c r="W449" t="s">
        <v>231</v>
      </c>
      <c r="X449" t="s">
        <v>3523</v>
      </c>
      <c r="Y449" t="s">
        <v>231</v>
      </c>
      <c r="Z449" t="s">
        <v>160</v>
      </c>
      <c r="AA449" t="s">
        <v>151</v>
      </c>
      <c r="AB449" t="s">
        <v>151</v>
      </c>
      <c r="AC449" t="s">
        <v>2289</v>
      </c>
      <c r="AD449" t="s">
        <v>2289</v>
      </c>
      <c r="AE449" t="s">
        <v>2290</v>
      </c>
      <c r="AF449" t="s">
        <v>4775</v>
      </c>
      <c r="AG449" t="s">
        <v>4776</v>
      </c>
      <c r="AH449" t="s">
        <v>3714</v>
      </c>
      <c r="AI449" t="s">
        <v>4715</v>
      </c>
      <c r="AJ449" t="s">
        <v>3546</v>
      </c>
      <c r="AK449" t="s">
        <v>3716</v>
      </c>
      <c r="AL449" t="s">
        <v>3548</v>
      </c>
      <c r="AM449" t="s">
        <v>3531</v>
      </c>
      <c r="AN449" t="s">
        <v>3595</v>
      </c>
      <c r="AO449" t="s">
        <v>3668</v>
      </c>
      <c r="AP449" t="s">
        <v>231</v>
      </c>
      <c r="AQ449" t="s">
        <v>231</v>
      </c>
      <c r="AR449" t="s">
        <v>231</v>
      </c>
      <c r="AS449" t="s">
        <v>231</v>
      </c>
      <c r="AT449" t="s">
        <v>231</v>
      </c>
      <c r="AU449" t="s">
        <v>231</v>
      </c>
      <c r="AV449" t="s">
        <v>231</v>
      </c>
      <c r="AW449" t="s">
        <v>231</v>
      </c>
      <c r="AX449" t="s">
        <v>231</v>
      </c>
      <c r="AY449" t="s">
        <v>231</v>
      </c>
      <c r="AZ449" t="s">
        <v>231</v>
      </c>
      <c r="BA449" t="s">
        <v>231</v>
      </c>
      <c r="BB449" t="s">
        <v>231</v>
      </c>
      <c r="BC449" t="s">
        <v>231</v>
      </c>
      <c r="BD449" t="s">
        <v>231</v>
      </c>
      <c r="BE449" t="s">
        <v>231</v>
      </c>
      <c r="BF449" t="s">
        <v>231</v>
      </c>
      <c r="BG449" t="s">
        <v>231</v>
      </c>
      <c r="BH449" t="s">
        <v>231</v>
      </c>
      <c r="BI449" t="s">
        <v>231</v>
      </c>
      <c r="BJ449" t="s">
        <v>231</v>
      </c>
      <c r="BK449" t="s">
        <v>231</v>
      </c>
      <c r="BL449" t="s">
        <v>231</v>
      </c>
      <c r="BM449" t="s">
        <v>231</v>
      </c>
      <c r="BN449" t="s">
        <v>231</v>
      </c>
      <c r="BO449" t="s">
        <v>231</v>
      </c>
      <c r="BP449" t="s">
        <v>231</v>
      </c>
      <c r="BQ449" t="s">
        <v>231</v>
      </c>
      <c r="BR449" t="s">
        <v>231</v>
      </c>
      <c r="BS449" t="s">
        <v>231</v>
      </c>
      <c r="BT449" t="s">
        <v>231</v>
      </c>
      <c r="BU449" t="s">
        <v>231</v>
      </c>
      <c r="BV449" t="s">
        <v>231</v>
      </c>
      <c r="BW449" t="s">
        <v>231</v>
      </c>
      <c r="BX449" t="s">
        <v>231</v>
      </c>
      <c r="BY449" t="s">
        <v>231</v>
      </c>
      <c r="BZ449" t="s">
        <v>231</v>
      </c>
      <c r="CA449" t="s">
        <v>231</v>
      </c>
      <c r="CB449" t="s">
        <v>231</v>
      </c>
      <c r="CC449" t="s">
        <v>231</v>
      </c>
      <c r="CD449" t="s">
        <v>231</v>
      </c>
      <c r="CE449" t="s">
        <v>231</v>
      </c>
      <c r="CF449" t="s">
        <v>231</v>
      </c>
      <c r="CG449" t="s">
        <v>231</v>
      </c>
      <c r="CH449" t="s">
        <v>231</v>
      </c>
      <c r="CI449" t="s">
        <v>231</v>
      </c>
      <c r="CJ449" t="s">
        <v>231</v>
      </c>
      <c r="CK449" t="s">
        <v>231</v>
      </c>
      <c r="CL449" t="s">
        <v>231</v>
      </c>
      <c r="CM449" t="s">
        <v>231</v>
      </c>
      <c r="CN449" t="s">
        <v>231</v>
      </c>
      <c r="CO449" t="s">
        <v>231</v>
      </c>
      <c r="CP449" t="s">
        <v>231</v>
      </c>
      <c r="CQ449" t="s">
        <v>231</v>
      </c>
      <c r="CR449" t="s">
        <v>231</v>
      </c>
      <c r="CS449" t="s">
        <v>231</v>
      </c>
      <c r="CT449" t="s">
        <v>3534</v>
      </c>
      <c r="CU449" t="s">
        <v>3535</v>
      </c>
      <c r="CV449" t="s">
        <v>3536</v>
      </c>
      <c r="CW449" t="s">
        <v>3589</v>
      </c>
      <c r="CX449" t="s">
        <v>223</v>
      </c>
      <c r="CY449" t="s">
        <v>3536</v>
      </c>
      <c r="CZ449" t="s">
        <v>3590</v>
      </c>
      <c r="DA449" t="s">
        <v>3591</v>
      </c>
      <c r="DB449" t="s">
        <v>3589</v>
      </c>
      <c r="DC449" t="s">
        <v>363</v>
      </c>
      <c r="DD449" t="s">
        <v>282</v>
      </c>
      <c r="DE449" t="s">
        <v>4777</v>
      </c>
    </row>
    <row r="450" spans="1:109" ht="11.25" customHeight="1">
      <c r="A450" s="1314" t="s">
        <v>231</v>
      </c>
      <c r="B450" t="s">
        <v>231</v>
      </c>
      <c r="C450" t="s">
        <v>231</v>
      </c>
      <c r="D450" t="s">
        <v>231</v>
      </c>
      <c r="E450" t="s">
        <v>231</v>
      </c>
      <c r="F450" t="s">
        <v>231</v>
      </c>
      <c r="G450" t="s">
        <v>231</v>
      </c>
      <c r="H450" t="s">
        <v>231</v>
      </c>
      <c r="I450" t="s">
        <v>3521</v>
      </c>
      <c r="J450" t="s">
        <v>231</v>
      </c>
      <c r="K450" t="s">
        <v>231</v>
      </c>
      <c r="L450" t="s">
        <v>231</v>
      </c>
      <c r="M450" t="s">
        <v>231</v>
      </c>
      <c r="N450" t="s">
        <v>231</v>
      </c>
      <c r="O450" t="s">
        <v>231</v>
      </c>
      <c r="P450" t="s">
        <v>231</v>
      </c>
      <c r="Q450" t="s">
        <v>231</v>
      </c>
      <c r="R450" t="s">
        <v>4069</v>
      </c>
      <c r="S450" t="s">
        <v>231</v>
      </c>
      <c r="T450" t="s">
        <v>231</v>
      </c>
      <c r="U450" t="s">
        <v>101</v>
      </c>
      <c r="V450" t="s">
        <v>231</v>
      </c>
      <c r="W450" t="s">
        <v>231</v>
      </c>
      <c r="X450" t="s">
        <v>3628</v>
      </c>
      <c r="Y450" t="s">
        <v>231</v>
      </c>
      <c r="Z450" t="s">
        <v>151</v>
      </c>
      <c r="AA450" t="s">
        <v>151</v>
      </c>
      <c r="AB450" t="s">
        <v>160</v>
      </c>
      <c r="AC450" t="s">
        <v>2289</v>
      </c>
      <c r="AD450" t="s">
        <v>2289</v>
      </c>
      <c r="AE450" t="s">
        <v>2290</v>
      </c>
      <c r="AF450" t="s">
        <v>3735</v>
      </c>
      <c r="AG450" t="s">
        <v>3736</v>
      </c>
      <c r="AH450" t="s">
        <v>3618</v>
      </c>
      <c r="AI450" t="s">
        <v>3618</v>
      </c>
      <c r="AJ450" t="s">
        <v>231</v>
      </c>
      <c r="AK450" t="s">
        <v>231</v>
      </c>
      <c r="AL450" t="s">
        <v>231</v>
      </c>
      <c r="AM450" t="s">
        <v>231</v>
      </c>
      <c r="AN450" t="s">
        <v>231</v>
      </c>
      <c r="AO450" t="s">
        <v>231</v>
      </c>
      <c r="AP450" t="s">
        <v>231</v>
      </c>
      <c r="AQ450" t="s">
        <v>231</v>
      </c>
      <c r="AR450" t="s">
        <v>231</v>
      </c>
      <c r="AS450" t="s">
        <v>231</v>
      </c>
      <c r="AT450" t="s">
        <v>231</v>
      </c>
      <c r="AU450" t="s">
        <v>231</v>
      </c>
      <c r="AV450" t="s">
        <v>231</v>
      </c>
      <c r="AW450" t="s">
        <v>231</v>
      </c>
      <c r="AX450" t="s">
        <v>231</v>
      </c>
      <c r="AY450" t="s">
        <v>231</v>
      </c>
      <c r="AZ450" t="s">
        <v>231</v>
      </c>
      <c r="BA450" t="s">
        <v>231</v>
      </c>
      <c r="BB450" t="s">
        <v>231</v>
      </c>
      <c r="BC450" t="s">
        <v>231</v>
      </c>
      <c r="BD450" t="s">
        <v>231</v>
      </c>
      <c r="BE450" t="s">
        <v>3619</v>
      </c>
      <c r="BF450" t="s">
        <v>3716</v>
      </c>
      <c r="BG450" t="s">
        <v>111</v>
      </c>
      <c r="BH450" t="s">
        <v>3632</v>
      </c>
      <c r="BI450" t="s">
        <v>122</v>
      </c>
      <c r="BJ450" t="s">
        <v>231</v>
      </c>
      <c r="BK450" t="s">
        <v>3651</v>
      </c>
      <c r="BL450" t="s">
        <v>2289</v>
      </c>
      <c r="BM450" t="s">
        <v>2289</v>
      </c>
      <c r="BN450" t="s">
        <v>3707</v>
      </c>
      <c r="BO450" t="s">
        <v>3735</v>
      </c>
      <c r="BP450" t="s">
        <v>4070</v>
      </c>
      <c r="BQ450" t="s">
        <v>3618</v>
      </c>
      <c r="BR450" t="s">
        <v>3618</v>
      </c>
      <c r="BS450" t="s">
        <v>231</v>
      </c>
      <c r="BT450" t="s">
        <v>3694</v>
      </c>
      <c r="BU450" t="s">
        <v>4071</v>
      </c>
      <c r="BV450" t="s">
        <v>4071</v>
      </c>
      <c r="BW450" t="s">
        <v>3641</v>
      </c>
      <c r="BX450" t="s">
        <v>3641</v>
      </c>
      <c r="BY450" t="s">
        <v>3641</v>
      </c>
      <c r="BZ450" t="s">
        <v>3641</v>
      </c>
      <c r="CA450" t="s">
        <v>3641</v>
      </c>
      <c r="CB450" t="s">
        <v>231</v>
      </c>
      <c r="CC450" t="s">
        <v>231</v>
      </c>
      <c r="CD450" t="s">
        <v>231</v>
      </c>
      <c r="CE450" t="s">
        <v>231</v>
      </c>
      <c r="CF450" t="s">
        <v>231</v>
      </c>
      <c r="CG450" t="s">
        <v>3641</v>
      </c>
      <c r="CH450" t="s">
        <v>231</v>
      </c>
      <c r="CI450" t="s">
        <v>231</v>
      </c>
      <c r="CJ450" t="s">
        <v>231</v>
      </c>
      <c r="CK450" t="s">
        <v>231</v>
      </c>
      <c r="CL450" t="s">
        <v>231</v>
      </c>
      <c r="CM450" t="s">
        <v>4071</v>
      </c>
      <c r="CN450" t="s">
        <v>4071</v>
      </c>
      <c r="CO450" t="s">
        <v>231</v>
      </c>
      <c r="CP450" t="s">
        <v>231</v>
      </c>
      <c r="CQ450" t="s">
        <v>231</v>
      </c>
      <c r="CR450" t="s">
        <v>231</v>
      </c>
      <c r="CS450" t="s">
        <v>3710</v>
      </c>
      <c r="CT450" t="s">
        <v>3534</v>
      </c>
      <c r="CU450" t="s">
        <v>3535</v>
      </c>
      <c r="CV450" t="s">
        <v>3536</v>
      </c>
      <c r="CW450" t="s">
        <v>3589</v>
      </c>
      <c r="CX450" t="s">
        <v>223</v>
      </c>
      <c r="CY450" t="s">
        <v>3536</v>
      </c>
      <c r="CZ450" t="s">
        <v>3590</v>
      </c>
      <c r="DA450" t="s">
        <v>3591</v>
      </c>
      <c r="DB450" t="s">
        <v>3589</v>
      </c>
      <c r="DC450" t="s">
        <v>363</v>
      </c>
      <c r="DD450" t="s">
        <v>282</v>
      </c>
      <c r="DE450" t="s">
        <v>4072</v>
      </c>
    </row>
    <row r="451" spans="1:109" ht="11.25" customHeight="1">
      <c r="A451" s="1314" t="s">
        <v>231</v>
      </c>
      <c r="B451" t="s">
        <v>231</v>
      </c>
      <c r="C451" t="s">
        <v>231</v>
      </c>
      <c r="D451" t="s">
        <v>231</v>
      </c>
      <c r="E451" t="s">
        <v>231</v>
      </c>
      <c r="F451" t="s">
        <v>231</v>
      </c>
      <c r="G451" t="s">
        <v>231</v>
      </c>
      <c r="H451" t="s">
        <v>231</v>
      </c>
      <c r="I451" t="s">
        <v>3521</v>
      </c>
      <c r="J451" t="s">
        <v>231</v>
      </c>
      <c r="K451" t="s">
        <v>231</v>
      </c>
      <c r="L451" t="s">
        <v>231</v>
      </c>
      <c r="M451" t="s">
        <v>231</v>
      </c>
      <c r="N451" t="s">
        <v>231</v>
      </c>
      <c r="O451" t="s">
        <v>231</v>
      </c>
      <c r="P451" t="s">
        <v>231</v>
      </c>
      <c r="Q451" t="s">
        <v>231</v>
      </c>
      <c r="R451" t="s">
        <v>3615</v>
      </c>
      <c r="S451" t="s">
        <v>231</v>
      </c>
      <c r="T451" t="s">
        <v>231</v>
      </c>
      <c r="U451" t="s">
        <v>101</v>
      </c>
      <c r="V451" t="s">
        <v>231</v>
      </c>
      <c r="W451" t="s">
        <v>231</v>
      </c>
      <c r="X451" t="s">
        <v>3523</v>
      </c>
      <c r="Y451" t="s">
        <v>231</v>
      </c>
      <c r="Z451" t="s">
        <v>160</v>
      </c>
      <c r="AA451" t="s">
        <v>151</v>
      </c>
      <c r="AB451" t="s">
        <v>151</v>
      </c>
      <c r="AC451" t="s">
        <v>2287</v>
      </c>
      <c r="AD451" t="s">
        <v>2287</v>
      </c>
      <c r="AE451" t="s">
        <v>2288</v>
      </c>
      <c r="AF451" t="s">
        <v>4076</v>
      </c>
      <c r="AG451" t="s">
        <v>4077</v>
      </c>
      <c r="AH451" t="s">
        <v>3618</v>
      </c>
      <c r="AI451" t="s">
        <v>3618</v>
      </c>
      <c r="AJ451" t="s">
        <v>3619</v>
      </c>
      <c r="AK451" t="s">
        <v>4078</v>
      </c>
      <c r="AL451" t="s">
        <v>3548</v>
      </c>
      <c r="AM451" t="s">
        <v>3531</v>
      </c>
      <c r="AN451" t="s">
        <v>3621</v>
      </c>
      <c r="AO451" t="s">
        <v>3668</v>
      </c>
      <c r="AP451" t="s">
        <v>231</v>
      </c>
      <c r="AQ451" t="s">
        <v>231</v>
      </c>
      <c r="AR451" t="s">
        <v>231</v>
      </c>
      <c r="AS451" t="s">
        <v>231</v>
      </c>
      <c r="AT451" t="s">
        <v>231</v>
      </c>
      <c r="AU451" t="s">
        <v>231</v>
      </c>
      <c r="AV451" t="s">
        <v>231</v>
      </c>
      <c r="AW451" t="s">
        <v>231</v>
      </c>
      <c r="AX451" t="s">
        <v>231</v>
      </c>
      <c r="AY451" t="s">
        <v>231</v>
      </c>
      <c r="AZ451" t="s">
        <v>231</v>
      </c>
      <c r="BA451" t="s">
        <v>231</v>
      </c>
      <c r="BB451" t="s">
        <v>231</v>
      </c>
      <c r="BC451" t="s">
        <v>231</v>
      </c>
      <c r="BD451" t="s">
        <v>231</v>
      </c>
      <c r="BE451" t="s">
        <v>231</v>
      </c>
      <c r="BF451" t="s">
        <v>231</v>
      </c>
      <c r="BG451" t="s">
        <v>231</v>
      </c>
      <c r="BH451" t="s">
        <v>231</v>
      </c>
      <c r="BI451" t="s">
        <v>231</v>
      </c>
      <c r="BJ451" t="s">
        <v>231</v>
      </c>
      <c r="BK451" t="s">
        <v>231</v>
      </c>
      <c r="BL451" t="s">
        <v>231</v>
      </c>
      <c r="BM451" t="s">
        <v>231</v>
      </c>
      <c r="BN451" t="s">
        <v>231</v>
      </c>
      <c r="BO451" t="s">
        <v>231</v>
      </c>
      <c r="BP451" t="s">
        <v>231</v>
      </c>
      <c r="BQ451" t="s">
        <v>231</v>
      </c>
      <c r="BR451" t="s">
        <v>231</v>
      </c>
      <c r="BS451" t="s">
        <v>231</v>
      </c>
      <c r="BT451" t="s">
        <v>231</v>
      </c>
      <c r="BU451" t="s">
        <v>231</v>
      </c>
      <c r="BV451" t="s">
        <v>231</v>
      </c>
      <c r="BW451" t="s">
        <v>231</v>
      </c>
      <c r="BX451" t="s">
        <v>231</v>
      </c>
      <c r="BY451" t="s">
        <v>231</v>
      </c>
      <c r="BZ451" t="s">
        <v>231</v>
      </c>
      <c r="CA451" t="s">
        <v>231</v>
      </c>
      <c r="CB451" t="s">
        <v>231</v>
      </c>
      <c r="CC451" t="s">
        <v>231</v>
      </c>
      <c r="CD451" t="s">
        <v>231</v>
      </c>
      <c r="CE451" t="s">
        <v>231</v>
      </c>
      <c r="CF451" t="s">
        <v>231</v>
      </c>
      <c r="CG451" t="s">
        <v>231</v>
      </c>
      <c r="CH451" t="s">
        <v>231</v>
      </c>
      <c r="CI451" t="s">
        <v>231</v>
      </c>
      <c r="CJ451" t="s">
        <v>231</v>
      </c>
      <c r="CK451" t="s">
        <v>231</v>
      </c>
      <c r="CL451" t="s">
        <v>231</v>
      </c>
      <c r="CM451" t="s">
        <v>231</v>
      </c>
      <c r="CN451" t="s">
        <v>231</v>
      </c>
      <c r="CO451" t="s">
        <v>231</v>
      </c>
      <c r="CP451" t="s">
        <v>231</v>
      </c>
      <c r="CQ451" t="s">
        <v>231</v>
      </c>
      <c r="CR451" t="s">
        <v>231</v>
      </c>
      <c r="CS451" t="s">
        <v>231</v>
      </c>
      <c r="CT451" t="s">
        <v>3534</v>
      </c>
      <c r="CU451" t="s">
        <v>3535</v>
      </c>
      <c r="CV451" t="s">
        <v>3536</v>
      </c>
      <c r="CW451" t="s">
        <v>3623</v>
      </c>
      <c r="CX451" t="s">
        <v>223</v>
      </c>
      <c r="CY451" t="s">
        <v>3536</v>
      </c>
      <c r="CZ451" t="s">
        <v>3624</v>
      </c>
      <c r="DA451" t="s">
        <v>3625</v>
      </c>
      <c r="DB451" t="s">
        <v>3623</v>
      </c>
      <c r="DC451" t="s">
        <v>363</v>
      </c>
      <c r="DD451" t="s">
        <v>282</v>
      </c>
      <c r="DE451" t="s">
        <v>4079</v>
      </c>
    </row>
    <row r="452" spans="1:109" ht="11.25" customHeight="1">
      <c r="A452" s="1314" t="s">
        <v>231</v>
      </c>
      <c r="B452" t="s">
        <v>231</v>
      </c>
      <c r="C452" t="s">
        <v>231</v>
      </c>
      <c r="D452" t="s">
        <v>231</v>
      </c>
      <c r="E452" t="s">
        <v>231</v>
      </c>
      <c r="F452" t="s">
        <v>231</v>
      </c>
      <c r="G452" t="s">
        <v>231</v>
      </c>
      <c r="H452" t="s">
        <v>231</v>
      </c>
      <c r="I452" t="s">
        <v>3521</v>
      </c>
      <c r="J452" t="s">
        <v>231</v>
      </c>
      <c r="K452" t="s">
        <v>231</v>
      </c>
      <c r="L452" t="s">
        <v>231</v>
      </c>
      <c r="M452" t="s">
        <v>231</v>
      </c>
      <c r="N452" t="s">
        <v>231</v>
      </c>
      <c r="O452" t="s">
        <v>231</v>
      </c>
      <c r="P452" t="s">
        <v>231</v>
      </c>
      <c r="Q452" t="s">
        <v>231</v>
      </c>
      <c r="R452" t="s">
        <v>4340</v>
      </c>
      <c r="S452" t="s">
        <v>231</v>
      </c>
      <c r="T452" t="s">
        <v>231</v>
      </c>
      <c r="U452" t="s">
        <v>101</v>
      </c>
      <c r="V452" t="s">
        <v>231</v>
      </c>
      <c r="W452" t="s">
        <v>231</v>
      </c>
      <c r="X452" t="s">
        <v>3628</v>
      </c>
      <c r="Y452" t="s">
        <v>231</v>
      </c>
      <c r="Z452" t="s">
        <v>151</v>
      </c>
      <c r="AA452" t="s">
        <v>151</v>
      </c>
      <c r="AB452" t="s">
        <v>160</v>
      </c>
      <c r="AC452" t="s">
        <v>2287</v>
      </c>
      <c r="AD452" t="s">
        <v>2287</v>
      </c>
      <c r="AE452" t="s">
        <v>2288</v>
      </c>
      <c r="AF452" t="s">
        <v>4076</v>
      </c>
      <c r="AG452" t="s">
        <v>4077</v>
      </c>
      <c r="AH452" t="s">
        <v>3618</v>
      </c>
      <c r="AI452" t="s">
        <v>3618</v>
      </c>
      <c r="AJ452" t="s">
        <v>231</v>
      </c>
      <c r="AK452" t="s">
        <v>231</v>
      </c>
      <c r="AL452" t="s">
        <v>231</v>
      </c>
      <c r="AM452" t="s">
        <v>231</v>
      </c>
      <c r="AN452" t="s">
        <v>231</v>
      </c>
      <c r="AO452" t="s">
        <v>231</v>
      </c>
      <c r="AP452" t="s">
        <v>231</v>
      </c>
      <c r="AQ452" t="s">
        <v>231</v>
      </c>
      <c r="AR452" t="s">
        <v>231</v>
      </c>
      <c r="AS452" t="s">
        <v>231</v>
      </c>
      <c r="AT452" t="s">
        <v>231</v>
      </c>
      <c r="AU452" t="s">
        <v>231</v>
      </c>
      <c r="AV452" t="s">
        <v>231</v>
      </c>
      <c r="AW452" t="s">
        <v>231</v>
      </c>
      <c r="AX452" t="s">
        <v>231</v>
      </c>
      <c r="AY452" t="s">
        <v>231</v>
      </c>
      <c r="AZ452" t="s">
        <v>231</v>
      </c>
      <c r="BA452" t="s">
        <v>231</v>
      </c>
      <c r="BB452" t="s">
        <v>231</v>
      </c>
      <c r="BC452" t="s">
        <v>231</v>
      </c>
      <c r="BD452" t="s">
        <v>231</v>
      </c>
      <c r="BE452" t="s">
        <v>3619</v>
      </c>
      <c r="BF452" t="s">
        <v>4078</v>
      </c>
      <c r="BG452" t="s">
        <v>111</v>
      </c>
      <c r="BH452" t="s">
        <v>3632</v>
      </c>
      <c r="BI452" t="s">
        <v>122</v>
      </c>
      <c r="BJ452" t="s">
        <v>231</v>
      </c>
      <c r="BK452" t="s">
        <v>3651</v>
      </c>
      <c r="BL452" t="s">
        <v>2287</v>
      </c>
      <c r="BM452" t="s">
        <v>2287</v>
      </c>
      <c r="BN452" t="s">
        <v>3842</v>
      </c>
      <c r="BO452" t="s">
        <v>4076</v>
      </c>
      <c r="BP452" t="s">
        <v>4341</v>
      </c>
      <c r="BQ452" t="s">
        <v>3618</v>
      </c>
      <c r="BR452" t="s">
        <v>3618</v>
      </c>
      <c r="BS452" t="s">
        <v>231</v>
      </c>
      <c r="BT452" t="s">
        <v>3694</v>
      </c>
      <c r="BU452" t="s">
        <v>4342</v>
      </c>
      <c r="BV452" t="s">
        <v>4342</v>
      </c>
      <c r="BW452" t="s">
        <v>3641</v>
      </c>
      <c r="BX452" t="s">
        <v>3641</v>
      </c>
      <c r="BY452" t="s">
        <v>3641</v>
      </c>
      <c r="BZ452" t="s">
        <v>3641</v>
      </c>
      <c r="CA452" t="s">
        <v>3641</v>
      </c>
      <c r="CB452" t="s">
        <v>231</v>
      </c>
      <c r="CC452" t="s">
        <v>231</v>
      </c>
      <c r="CD452" t="s">
        <v>231</v>
      </c>
      <c r="CE452" t="s">
        <v>231</v>
      </c>
      <c r="CF452" t="s">
        <v>231</v>
      </c>
      <c r="CG452" t="s">
        <v>3641</v>
      </c>
      <c r="CH452" t="s">
        <v>231</v>
      </c>
      <c r="CI452" t="s">
        <v>231</v>
      </c>
      <c r="CJ452" t="s">
        <v>231</v>
      </c>
      <c r="CK452" t="s">
        <v>231</v>
      </c>
      <c r="CL452" t="s">
        <v>231</v>
      </c>
      <c r="CM452" t="s">
        <v>4342</v>
      </c>
      <c r="CN452" t="s">
        <v>4342</v>
      </c>
      <c r="CO452" t="s">
        <v>231</v>
      </c>
      <c r="CP452" t="s">
        <v>231</v>
      </c>
      <c r="CQ452" t="s">
        <v>231</v>
      </c>
      <c r="CR452" t="s">
        <v>231</v>
      </c>
      <c r="CS452" t="s">
        <v>3595</v>
      </c>
      <c r="CT452" t="s">
        <v>3534</v>
      </c>
      <c r="CU452" t="s">
        <v>3535</v>
      </c>
      <c r="CV452" t="s">
        <v>3536</v>
      </c>
      <c r="CW452" t="s">
        <v>3623</v>
      </c>
      <c r="CX452" t="s">
        <v>223</v>
      </c>
      <c r="CY452" t="s">
        <v>3536</v>
      </c>
      <c r="CZ452" t="s">
        <v>3624</v>
      </c>
      <c r="DA452" t="s">
        <v>3625</v>
      </c>
      <c r="DB452" t="s">
        <v>3623</v>
      </c>
      <c r="DC452" t="s">
        <v>363</v>
      </c>
      <c r="DD452" t="s">
        <v>282</v>
      </c>
      <c r="DE452" t="s">
        <v>4079</v>
      </c>
    </row>
    <row r="453" spans="1:109" ht="11.25" customHeight="1">
      <c r="A453" s="1314" t="s">
        <v>231</v>
      </c>
      <c r="B453" t="s">
        <v>231</v>
      </c>
      <c r="C453" t="s">
        <v>231</v>
      </c>
      <c r="D453" t="s">
        <v>231</v>
      </c>
      <c r="E453" t="s">
        <v>231</v>
      </c>
      <c r="F453" t="s">
        <v>231</v>
      </c>
      <c r="G453" t="s">
        <v>231</v>
      </c>
      <c r="H453" t="s">
        <v>231</v>
      </c>
      <c r="I453" t="s">
        <v>3521</v>
      </c>
      <c r="J453" t="s">
        <v>231</v>
      </c>
      <c r="K453" t="s">
        <v>231</v>
      </c>
      <c r="L453" t="s">
        <v>231</v>
      </c>
      <c r="M453" t="s">
        <v>231</v>
      </c>
      <c r="N453" t="s">
        <v>231</v>
      </c>
      <c r="O453" t="s">
        <v>231</v>
      </c>
      <c r="P453" t="s">
        <v>231</v>
      </c>
      <c r="Q453" t="s">
        <v>231</v>
      </c>
      <c r="R453" t="s">
        <v>5049</v>
      </c>
      <c r="S453" t="s">
        <v>231</v>
      </c>
      <c r="T453" t="s">
        <v>231</v>
      </c>
      <c r="U453" t="s">
        <v>101</v>
      </c>
      <c r="V453" t="s">
        <v>231</v>
      </c>
      <c r="W453" t="s">
        <v>231</v>
      </c>
      <c r="X453" t="s">
        <v>3523</v>
      </c>
      <c r="Y453" t="s">
        <v>231</v>
      </c>
      <c r="Z453" t="s">
        <v>160</v>
      </c>
      <c r="AA453" t="s">
        <v>151</v>
      </c>
      <c r="AB453" t="s">
        <v>151</v>
      </c>
      <c r="AC453" t="s">
        <v>343</v>
      </c>
      <c r="AD453" t="s">
        <v>343</v>
      </c>
      <c r="AE453" t="s">
        <v>344</v>
      </c>
      <c r="AF453" t="s">
        <v>3561</v>
      </c>
      <c r="AG453" t="s">
        <v>3562</v>
      </c>
      <c r="AH453" t="s">
        <v>3601</v>
      </c>
      <c r="AI453" t="s">
        <v>3602</v>
      </c>
      <c r="AJ453" t="s">
        <v>3603</v>
      </c>
      <c r="AK453" t="s">
        <v>3604</v>
      </c>
      <c r="AL453" t="s">
        <v>3566</v>
      </c>
      <c r="AM453" t="s">
        <v>3531</v>
      </c>
      <c r="AN453" t="s">
        <v>3605</v>
      </c>
      <c r="AO453" t="s">
        <v>3606</v>
      </c>
      <c r="AP453" t="s">
        <v>231</v>
      </c>
      <c r="AQ453" t="s">
        <v>231</v>
      </c>
      <c r="AR453" t="s">
        <v>231</v>
      </c>
      <c r="AS453" t="s">
        <v>231</v>
      </c>
      <c r="AT453" t="s">
        <v>231</v>
      </c>
      <c r="AU453" t="s">
        <v>231</v>
      </c>
      <c r="AV453" t="s">
        <v>231</v>
      </c>
      <c r="AW453" t="s">
        <v>231</v>
      </c>
      <c r="AX453" t="s">
        <v>231</v>
      </c>
      <c r="AY453" t="s">
        <v>231</v>
      </c>
      <c r="AZ453" t="s">
        <v>231</v>
      </c>
      <c r="BA453" t="s">
        <v>231</v>
      </c>
      <c r="BB453" t="s">
        <v>231</v>
      </c>
      <c r="BC453" t="s">
        <v>231</v>
      </c>
      <c r="BD453" t="s">
        <v>231</v>
      </c>
      <c r="BE453" t="s">
        <v>231</v>
      </c>
      <c r="BF453" t="s">
        <v>231</v>
      </c>
      <c r="BG453" t="s">
        <v>231</v>
      </c>
      <c r="BH453" t="s">
        <v>231</v>
      </c>
      <c r="BI453" t="s">
        <v>231</v>
      </c>
      <c r="BJ453" t="s">
        <v>231</v>
      </c>
      <c r="BK453" t="s">
        <v>231</v>
      </c>
      <c r="BL453" t="s">
        <v>231</v>
      </c>
      <c r="BM453" t="s">
        <v>231</v>
      </c>
      <c r="BN453" t="s">
        <v>231</v>
      </c>
      <c r="BO453" t="s">
        <v>231</v>
      </c>
      <c r="BP453" t="s">
        <v>231</v>
      </c>
      <c r="BQ453" t="s">
        <v>231</v>
      </c>
      <c r="BR453" t="s">
        <v>231</v>
      </c>
      <c r="BS453" t="s">
        <v>231</v>
      </c>
      <c r="BT453" t="s">
        <v>231</v>
      </c>
      <c r="BU453" t="s">
        <v>231</v>
      </c>
      <c r="BV453" t="s">
        <v>231</v>
      </c>
      <c r="BW453" t="s">
        <v>231</v>
      </c>
      <c r="BX453" t="s">
        <v>231</v>
      </c>
      <c r="BY453" t="s">
        <v>231</v>
      </c>
      <c r="BZ453" t="s">
        <v>231</v>
      </c>
      <c r="CA453" t="s">
        <v>231</v>
      </c>
      <c r="CB453" t="s">
        <v>231</v>
      </c>
      <c r="CC453" t="s">
        <v>231</v>
      </c>
      <c r="CD453" t="s">
        <v>231</v>
      </c>
      <c r="CE453" t="s">
        <v>231</v>
      </c>
      <c r="CF453" t="s">
        <v>231</v>
      </c>
      <c r="CG453" t="s">
        <v>231</v>
      </c>
      <c r="CH453" t="s">
        <v>231</v>
      </c>
      <c r="CI453" t="s">
        <v>231</v>
      </c>
      <c r="CJ453" t="s">
        <v>231</v>
      </c>
      <c r="CK453" t="s">
        <v>231</v>
      </c>
      <c r="CL453" t="s">
        <v>231</v>
      </c>
      <c r="CM453" t="s">
        <v>231</v>
      </c>
      <c r="CN453" t="s">
        <v>231</v>
      </c>
      <c r="CO453" t="s">
        <v>231</v>
      </c>
      <c r="CP453" t="s">
        <v>231</v>
      </c>
      <c r="CQ453" t="s">
        <v>231</v>
      </c>
      <c r="CR453" t="s">
        <v>231</v>
      </c>
      <c r="CS453" t="s">
        <v>231</v>
      </c>
      <c r="CT453" t="s">
        <v>3534</v>
      </c>
      <c r="CU453" t="s">
        <v>3535</v>
      </c>
      <c r="CV453" t="s">
        <v>3536</v>
      </c>
      <c r="CW453" t="s">
        <v>3569</v>
      </c>
      <c r="CX453" t="s">
        <v>3570</v>
      </c>
      <c r="CY453" t="s">
        <v>3536</v>
      </c>
      <c r="CZ453" t="s">
        <v>224</v>
      </c>
      <c r="DA453" t="s">
        <v>3571</v>
      </c>
      <c r="DB453" t="s">
        <v>3569</v>
      </c>
      <c r="DC453" t="s">
        <v>363</v>
      </c>
      <c r="DD453" t="s">
        <v>282</v>
      </c>
      <c r="DE453" t="s">
        <v>3607</v>
      </c>
    </row>
    <row r="454" spans="1:109" ht="11.25" customHeight="1">
      <c r="A454" s="1314" t="s">
        <v>231</v>
      </c>
      <c r="B454" t="s">
        <v>231</v>
      </c>
      <c r="C454" t="s">
        <v>231</v>
      </c>
      <c r="D454" t="s">
        <v>231</v>
      </c>
      <c r="E454" t="s">
        <v>231</v>
      </c>
      <c r="F454" t="s">
        <v>231</v>
      </c>
      <c r="G454" t="s">
        <v>231</v>
      </c>
      <c r="H454" t="s">
        <v>231</v>
      </c>
      <c r="I454" t="s">
        <v>3521</v>
      </c>
      <c r="J454" t="s">
        <v>231</v>
      </c>
      <c r="K454" t="s">
        <v>231</v>
      </c>
      <c r="L454" t="s">
        <v>231</v>
      </c>
      <c r="M454" t="s">
        <v>231</v>
      </c>
      <c r="N454" t="s">
        <v>231</v>
      </c>
      <c r="O454" t="s">
        <v>231</v>
      </c>
      <c r="P454" t="s">
        <v>231</v>
      </c>
      <c r="Q454" t="s">
        <v>231</v>
      </c>
      <c r="R454" t="s">
        <v>3651</v>
      </c>
      <c r="S454" t="s">
        <v>231</v>
      </c>
      <c r="T454" t="s">
        <v>231</v>
      </c>
      <c r="U454" t="s">
        <v>101</v>
      </c>
      <c r="V454" t="s">
        <v>231</v>
      </c>
      <c r="W454" t="s">
        <v>231</v>
      </c>
      <c r="X454" t="s">
        <v>3523</v>
      </c>
      <c r="Y454" t="s">
        <v>231</v>
      </c>
      <c r="Z454" t="s">
        <v>160</v>
      </c>
      <c r="AA454" t="s">
        <v>151</v>
      </c>
      <c r="AB454" t="s">
        <v>151</v>
      </c>
      <c r="AC454" t="s">
        <v>2283</v>
      </c>
      <c r="AD454" t="s">
        <v>2283</v>
      </c>
      <c r="AE454" t="s">
        <v>2284</v>
      </c>
      <c r="AF454" t="s">
        <v>4487</v>
      </c>
      <c r="AG454" t="s">
        <v>4488</v>
      </c>
      <c r="AH454" t="s">
        <v>4696</v>
      </c>
      <c r="AI454" t="s">
        <v>4697</v>
      </c>
      <c r="AJ454" t="s">
        <v>3546</v>
      </c>
      <c r="AK454" t="s">
        <v>3547</v>
      </c>
      <c r="AL454" t="s">
        <v>3548</v>
      </c>
      <c r="AM454" t="s">
        <v>3531</v>
      </c>
      <c r="AN454" t="s">
        <v>3549</v>
      </c>
      <c r="AO454" t="s">
        <v>3679</v>
      </c>
      <c r="AP454" t="s">
        <v>231</v>
      </c>
      <c r="AQ454" t="s">
        <v>231</v>
      </c>
      <c r="AR454" t="s">
        <v>231</v>
      </c>
      <c r="AS454" t="s">
        <v>231</v>
      </c>
      <c r="AT454" t="s">
        <v>231</v>
      </c>
      <c r="AU454" t="s">
        <v>231</v>
      </c>
      <c r="AV454" t="s">
        <v>231</v>
      </c>
      <c r="AW454" t="s">
        <v>231</v>
      </c>
      <c r="AX454" t="s">
        <v>231</v>
      </c>
      <c r="AY454" t="s">
        <v>231</v>
      </c>
      <c r="AZ454" t="s">
        <v>231</v>
      </c>
      <c r="BA454" t="s">
        <v>231</v>
      </c>
      <c r="BB454" t="s">
        <v>231</v>
      </c>
      <c r="BC454" t="s">
        <v>231</v>
      </c>
      <c r="BD454" t="s">
        <v>231</v>
      </c>
      <c r="BE454" t="s">
        <v>231</v>
      </c>
      <c r="BF454" t="s">
        <v>231</v>
      </c>
      <c r="BG454" t="s">
        <v>231</v>
      </c>
      <c r="BH454" t="s">
        <v>231</v>
      </c>
      <c r="BI454" t="s">
        <v>231</v>
      </c>
      <c r="BJ454" t="s">
        <v>231</v>
      </c>
      <c r="BK454" t="s">
        <v>231</v>
      </c>
      <c r="BL454" t="s">
        <v>231</v>
      </c>
      <c r="BM454" t="s">
        <v>231</v>
      </c>
      <c r="BN454" t="s">
        <v>231</v>
      </c>
      <c r="BO454" t="s">
        <v>231</v>
      </c>
      <c r="BP454" t="s">
        <v>231</v>
      </c>
      <c r="BQ454" t="s">
        <v>231</v>
      </c>
      <c r="BR454" t="s">
        <v>231</v>
      </c>
      <c r="BS454" t="s">
        <v>231</v>
      </c>
      <c r="BT454" t="s">
        <v>231</v>
      </c>
      <c r="BU454" t="s">
        <v>231</v>
      </c>
      <c r="BV454" t="s">
        <v>231</v>
      </c>
      <c r="BW454" t="s">
        <v>231</v>
      </c>
      <c r="BX454" t="s">
        <v>231</v>
      </c>
      <c r="BY454" t="s">
        <v>231</v>
      </c>
      <c r="BZ454" t="s">
        <v>231</v>
      </c>
      <c r="CA454" t="s">
        <v>231</v>
      </c>
      <c r="CB454" t="s">
        <v>231</v>
      </c>
      <c r="CC454" t="s">
        <v>231</v>
      </c>
      <c r="CD454" t="s">
        <v>231</v>
      </c>
      <c r="CE454" t="s">
        <v>231</v>
      </c>
      <c r="CF454" t="s">
        <v>231</v>
      </c>
      <c r="CG454" t="s">
        <v>231</v>
      </c>
      <c r="CH454" t="s">
        <v>231</v>
      </c>
      <c r="CI454" t="s">
        <v>231</v>
      </c>
      <c r="CJ454" t="s">
        <v>231</v>
      </c>
      <c r="CK454" t="s">
        <v>231</v>
      </c>
      <c r="CL454" t="s">
        <v>231</v>
      </c>
      <c r="CM454" t="s">
        <v>231</v>
      </c>
      <c r="CN454" t="s">
        <v>231</v>
      </c>
      <c r="CO454" t="s">
        <v>231</v>
      </c>
      <c r="CP454" t="s">
        <v>231</v>
      </c>
      <c r="CQ454" t="s">
        <v>231</v>
      </c>
      <c r="CR454" t="s">
        <v>231</v>
      </c>
      <c r="CS454" t="s">
        <v>231</v>
      </c>
      <c r="CT454" t="s">
        <v>3534</v>
      </c>
      <c r="CU454" t="s">
        <v>3535</v>
      </c>
      <c r="CV454" t="s">
        <v>3536</v>
      </c>
      <c r="CW454" t="s">
        <v>3551</v>
      </c>
      <c r="CX454" t="s">
        <v>223</v>
      </c>
      <c r="CY454" t="s">
        <v>3536</v>
      </c>
      <c r="CZ454" t="s">
        <v>3552</v>
      </c>
      <c r="DA454" t="s">
        <v>3553</v>
      </c>
      <c r="DB454" t="s">
        <v>3551</v>
      </c>
      <c r="DC454" t="s">
        <v>363</v>
      </c>
      <c r="DD454" t="s">
        <v>282</v>
      </c>
      <c r="DE454" t="s">
        <v>4698</v>
      </c>
    </row>
    <row r="455" spans="1:109" ht="11.25" customHeight="1">
      <c r="A455" s="1314" t="s">
        <v>231</v>
      </c>
      <c r="B455" t="s">
        <v>231</v>
      </c>
      <c r="C455" t="s">
        <v>231</v>
      </c>
      <c r="D455" t="s">
        <v>231</v>
      </c>
      <c r="E455" t="s">
        <v>231</v>
      </c>
      <c r="F455" t="s">
        <v>231</v>
      </c>
      <c r="G455" t="s">
        <v>231</v>
      </c>
      <c r="H455" t="s">
        <v>231</v>
      </c>
      <c r="I455" t="s">
        <v>3521</v>
      </c>
      <c r="J455" t="s">
        <v>231</v>
      </c>
      <c r="K455" t="s">
        <v>231</v>
      </c>
      <c r="L455" t="s">
        <v>231</v>
      </c>
      <c r="M455" t="s">
        <v>231</v>
      </c>
      <c r="N455" t="s">
        <v>231</v>
      </c>
      <c r="O455" t="s">
        <v>231</v>
      </c>
      <c r="P455" t="s">
        <v>231</v>
      </c>
      <c r="Q455" t="s">
        <v>231</v>
      </c>
      <c r="R455" t="s">
        <v>3685</v>
      </c>
      <c r="S455" t="s">
        <v>231</v>
      </c>
      <c r="T455" t="s">
        <v>231</v>
      </c>
      <c r="U455" t="s">
        <v>101</v>
      </c>
      <c r="V455" t="s">
        <v>231</v>
      </c>
      <c r="W455" t="s">
        <v>231</v>
      </c>
      <c r="X455" t="s">
        <v>3628</v>
      </c>
      <c r="Y455" t="s">
        <v>231</v>
      </c>
      <c r="Z455" t="s">
        <v>151</v>
      </c>
      <c r="AA455" t="s">
        <v>151</v>
      </c>
      <c r="AB455" t="s">
        <v>160</v>
      </c>
      <c r="AC455" t="s">
        <v>2283</v>
      </c>
      <c r="AD455" t="s">
        <v>2283</v>
      </c>
      <c r="AE455" t="s">
        <v>2284</v>
      </c>
      <c r="AF455" t="s">
        <v>4534</v>
      </c>
      <c r="AG455" t="s">
        <v>4535</v>
      </c>
      <c r="AH455" t="s">
        <v>4534</v>
      </c>
      <c r="AI455" t="s">
        <v>3688</v>
      </c>
      <c r="AJ455" t="s">
        <v>231</v>
      </c>
      <c r="AK455" t="s">
        <v>231</v>
      </c>
      <c r="AL455" t="s">
        <v>231</v>
      </c>
      <c r="AM455" t="s">
        <v>231</v>
      </c>
      <c r="AN455" t="s">
        <v>231</v>
      </c>
      <c r="AO455" t="s">
        <v>231</v>
      </c>
      <c r="AP455" t="s">
        <v>231</v>
      </c>
      <c r="AQ455" t="s">
        <v>231</v>
      </c>
      <c r="AR455" t="s">
        <v>231</v>
      </c>
      <c r="AS455" t="s">
        <v>231</v>
      </c>
      <c r="AT455" t="s">
        <v>231</v>
      </c>
      <c r="AU455" t="s">
        <v>231</v>
      </c>
      <c r="AV455" t="s">
        <v>231</v>
      </c>
      <c r="AW455" t="s">
        <v>231</v>
      </c>
      <c r="AX455" t="s">
        <v>231</v>
      </c>
      <c r="AY455" t="s">
        <v>231</v>
      </c>
      <c r="AZ455" t="s">
        <v>231</v>
      </c>
      <c r="BA455" t="s">
        <v>231</v>
      </c>
      <c r="BB455" t="s">
        <v>231</v>
      </c>
      <c r="BC455" t="s">
        <v>231</v>
      </c>
      <c r="BD455" t="s">
        <v>231</v>
      </c>
      <c r="BE455" t="s">
        <v>3689</v>
      </c>
      <c r="BF455" t="s">
        <v>3689</v>
      </c>
      <c r="BG455" t="s">
        <v>111</v>
      </c>
      <c r="BH455" t="s">
        <v>3632</v>
      </c>
      <c r="BI455" t="s">
        <v>122</v>
      </c>
      <c r="BJ455" t="s">
        <v>231</v>
      </c>
      <c r="BK455" t="s">
        <v>3651</v>
      </c>
      <c r="BL455" t="s">
        <v>2283</v>
      </c>
      <c r="BM455" t="s">
        <v>2283</v>
      </c>
      <c r="BN455" t="s">
        <v>3690</v>
      </c>
      <c r="BO455" t="s">
        <v>4534</v>
      </c>
      <c r="BP455" t="s">
        <v>4536</v>
      </c>
      <c r="BQ455" t="s">
        <v>4534</v>
      </c>
      <c r="BR455" t="s">
        <v>3688</v>
      </c>
      <c r="BS455" t="s">
        <v>231</v>
      </c>
      <c r="BT455" t="s">
        <v>3694</v>
      </c>
      <c r="BU455" t="s">
        <v>4537</v>
      </c>
      <c r="BV455" t="s">
        <v>4537</v>
      </c>
      <c r="BW455" t="s">
        <v>3641</v>
      </c>
      <c r="BX455" t="s">
        <v>3641</v>
      </c>
      <c r="BY455" t="s">
        <v>3641</v>
      </c>
      <c r="BZ455" t="s">
        <v>3641</v>
      </c>
      <c r="CA455" t="s">
        <v>3641</v>
      </c>
      <c r="CB455" t="s">
        <v>231</v>
      </c>
      <c r="CC455" t="s">
        <v>231</v>
      </c>
      <c r="CD455" t="s">
        <v>231</v>
      </c>
      <c r="CE455" t="s">
        <v>231</v>
      </c>
      <c r="CF455" t="s">
        <v>231</v>
      </c>
      <c r="CG455" t="s">
        <v>3641</v>
      </c>
      <c r="CH455" t="s">
        <v>231</v>
      </c>
      <c r="CI455" t="s">
        <v>231</v>
      </c>
      <c r="CJ455" t="s">
        <v>231</v>
      </c>
      <c r="CK455" t="s">
        <v>231</v>
      </c>
      <c r="CL455" t="s">
        <v>231</v>
      </c>
      <c r="CM455" t="s">
        <v>4537</v>
      </c>
      <c r="CN455" t="s">
        <v>4537</v>
      </c>
      <c r="CO455" t="s">
        <v>231</v>
      </c>
      <c r="CP455" t="s">
        <v>231</v>
      </c>
      <c r="CQ455" t="s">
        <v>231</v>
      </c>
      <c r="CR455" t="s">
        <v>231</v>
      </c>
      <c r="CS455" t="s">
        <v>3549</v>
      </c>
      <c r="CT455" t="s">
        <v>3534</v>
      </c>
      <c r="CU455" t="s">
        <v>3535</v>
      </c>
      <c r="CV455" t="s">
        <v>3536</v>
      </c>
      <c r="CW455" t="s">
        <v>3551</v>
      </c>
      <c r="CX455" t="s">
        <v>223</v>
      </c>
      <c r="CY455" t="s">
        <v>3536</v>
      </c>
      <c r="CZ455" t="s">
        <v>3552</v>
      </c>
      <c r="DA455" t="s">
        <v>3553</v>
      </c>
      <c r="DB455" t="s">
        <v>3551</v>
      </c>
      <c r="DC455" t="s">
        <v>363</v>
      </c>
      <c r="DD455" t="s">
        <v>282</v>
      </c>
      <c r="DE455" t="s">
        <v>4538</v>
      </c>
    </row>
    <row r="456" spans="1:109" ht="11.25" customHeight="1">
      <c r="A456" s="1314" t="s">
        <v>231</v>
      </c>
      <c r="B456" t="s">
        <v>231</v>
      </c>
      <c r="C456" t="s">
        <v>231</v>
      </c>
      <c r="D456" t="s">
        <v>231</v>
      </c>
      <c r="E456" t="s">
        <v>231</v>
      </c>
      <c r="F456" t="s">
        <v>231</v>
      </c>
      <c r="G456" t="s">
        <v>231</v>
      </c>
      <c r="H456" t="s">
        <v>231</v>
      </c>
      <c r="I456" t="s">
        <v>3521</v>
      </c>
      <c r="J456" t="s">
        <v>231</v>
      </c>
      <c r="K456" t="s">
        <v>231</v>
      </c>
      <c r="L456" t="s">
        <v>231</v>
      </c>
      <c r="M456" t="s">
        <v>231</v>
      </c>
      <c r="N456" t="s">
        <v>231</v>
      </c>
      <c r="O456" t="s">
        <v>231</v>
      </c>
      <c r="P456" t="s">
        <v>231</v>
      </c>
      <c r="Q456" t="s">
        <v>231</v>
      </c>
      <c r="R456" t="s">
        <v>5050</v>
      </c>
      <c r="S456" t="s">
        <v>231</v>
      </c>
      <c r="T456" t="s">
        <v>231</v>
      </c>
      <c r="U456" t="s">
        <v>101</v>
      </c>
      <c r="V456" t="s">
        <v>231</v>
      </c>
      <c r="W456" t="s">
        <v>231</v>
      </c>
      <c r="X456" t="s">
        <v>3955</v>
      </c>
      <c r="Y456" t="s">
        <v>231</v>
      </c>
      <c r="Z456" t="s">
        <v>151</v>
      </c>
      <c r="AA456" t="s">
        <v>160</v>
      </c>
      <c r="AB456" t="s">
        <v>151</v>
      </c>
      <c r="AC456" t="s">
        <v>343</v>
      </c>
      <c r="AD456" t="s">
        <v>343</v>
      </c>
      <c r="AE456" t="s">
        <v>344</v>
      </c>
      <c r="AF456" t="s">
        <v>3561</v>
      </c>
      <c r="AG456" t="s">
        <v>3562</v>
      </c>
      <c r="AH456" t="s">
        <v>3671</v>
      </c>
      <c r="AI456" t="s">
        <v>3575</v>
      </c>
      <c r="AJ456" t="s">
        <v>231</v>
      </c>
      <c r="AK456" t="s">
        <v>231</v>
      </c>
      <c r="AL456" t="s">
        <v>231</v>
      </c>
      <c r="AM456" t="s">
        <v>231</v>
      </c>
      <c r="AN456" t="s">
        <v>231</v>
      </c>
      <c r="AO456" t="s">
        <v>231</v>
      </c>
      <c r="AP456" t="s">
        <v>3760</v>
      </c>
      <c r="AQ456" t="s">
        <v>4012</v>
      </c>
      <c r="AR456" t="s">
        <v>111</v>
      </c>
      <c r="AS456" t="s">
        <v>3632</v>
      </c>
      <c r="AT456" t="s">
        <v>5021</v>
      </c>
      <c r="AU456" t="s">
        <v>231</v>
      </c>
      <c r="AV456" t="s">
        <v>4013</v>
      </c>
      <c r="AW456" t="s">
        <v>343</v>
      </c>
      <c r="AX456" t="s">
        <v>343</v>
      </c>
      <c r="AY456" t="s">
        <v>3634</v>
      </c>
      <c r="AZ456" t="s">
        <v>3561</v>
      </c>
      <c r="BA456" t="s">
        <v>3635</v>
      </c>
      <c r="BB456" t="s">
        <v>4014</v>
      </c>
      <c r="BC456" t="s">
        <v>3575</v>
      </c>
      <c r="BD456" t="s">
        <v>3673</v>
      </c>
      <c r="BE456" t="s">
        <v>231</v>
      </c>
      <c r="BF456" t="s">
        <v>231</v>
      </c>
      <c r="BG456" t="s">
        <v>231</v>
      </c>
      <c r="BH456" t="s">
        <v>231</v>
      </c>
      <c r="BI456" t="s">
        <v>231</v>
      </c>
      <c r="BJ456" t="s">
        <v>231</v>
      </c>
      <c r="BK456" t="s">
        <v>231</v>
      </c>
      <c r="BL456" t="s">
        <v>231</v>
      </c>
      <c r="BM456" t="s">
        <v>231</v>
      </c>
      <c r="BN456" t="s">
        <v>231</v>
      </c>
      <c r="BO456" t="s">
        <v>231</v>
      </c>
      <c r="BP456" t="s">
        <v>231</v>
      </c>
      <c r="BQ456" t="s">
        <v>231</v>
      </c>
      <c r="BR456" t="s">
        <v>231</v>
      </c>
      <c r="BS456" t="s">
        <v>231</v>
      </c>
      <c r="BT456" t="s">
        <v>231</v>
      </c>
      <c r="BU456" t="s">
        <v>231</v>
      </c>
      <c r="BV456" t="s">
        <v>231</v>
      </c>
      <c r="BW456" t="s">
        <v>231</v>
      </c>
      <c r="BX456" t="s">
        <v>231</v>
      </c>
      <c r="BY456" t="s">
        <v>231</v>
      </c>
      <c r="BZ456" t="s">
        <v>231</v>
      </c>
      <c r="CA456" t="s">
        <v>231</v>
      </c>
      <c r="CB456" t="s">
        <v>231</v>
      </c>
      <c r="CC456" t="s">
        <v>231</v>
      </c>
      <c r="CD456" t="s">
        <v>231</v>
      </c>
      <c r="CE456" t="s">
        <v>231</v>
      </c>
      <c r="CF456" t="s">
        <v>231</v>
      </c>
      <c r="CG456" t="s">
        <v>231</v>
      </c>
      <c r="CH456" t="s">
        <v>231</v>
      </c>
      <c r="CI456" t="s">
        <v>231</v>
      </c>
      <c r="CJ456" t="s">
        <v>231</v>
      </c>
      <c r="CK456" t="s">
        <v>231</v>
      </c>
      <c r="CL456" t="s">
        <v>231</v>
      </c>
      <c r="CM456" t="s">
        <v>231</v>
      </c>
      <c r="CN456" t="s">
        <v>231</v>
      </c>
      <c r="CO456" t="s">
        <v>231</v>
      </c>
      <c r="CP456" t="s">
        <v>231</v>
      </c>
      <c r="CQ456" t="s">
        <v>231</v>
      </c>
      <c r="CR456" t="s">
        <v>231</v>
      </c>
      <c r="CS456" t="s">
        <v>231</v>
      </c>
      <c r="CT456" t="s">
        <v>3534</v>
      </c>
      <c r="CU456" t="s">
        <v>3535</v>
      </c>
      <c r="CV456" t="s">
        <v>3536</v>
      </c>
      <c r="CW456" t="s">
        <v>3569</v>
      </c>
      <c r="CX456" t="s">
        <v>3570</v>
      </c>
      <c r="CY456" t="s">
        <v>3536</v>
      </c>
      <c r="CZ456" t="s">
        <v>224</v>
      </c>
      <c r="DA456" t="s">
        <v>3571</v>
      </c>
      <c r="DB456" t="s">
        <v>3569</v>
      </c>
      <c r="DC456" t="s">
        <v>363</v>
      </c>
      <c r="DD456" t="s">
        <v>282</v>
      </c>
      <c r="DE456" t="s">
        <v>3674</v>
      </c>
    </row>
    <row r="457" spans="1:109" ht="11.25" customHeight="1">
      <c r="A457" s="1314" t="s">
        <v>231</v>
      </c>
      <c r="B457" t="s">
        <v>231</v>
      </c>
      <c r="C457" t="s">
        <v>231</v>
      </c>
      <c r="D457" t="s">
        <v>231</v>
      </c>
      <c r="E457" t="s">
        <v>231</v>
      </c>
      <c r="F457" t="s">
        <v>231</v>
      </c>
      <c r="G457" t="s">
        <v>231</v>
      </c>
      <c r="H457" t="s">
        <v>231</v>
      </c>
      <c r="I457" t="s">
        <v>3521</v>
      </c>
      <c r="J457" t="s">
        <v>231</v>
      </c>
      <c r="K457" t="s">
        <v>231</v>
      </c>
      <c r="L457" t="s">
        <v>231</v>
      </c>
      <c r="M457" t="s">
        <v>231</v>
      </c>
      <c r="N457" t="s">
        <v>231</v>
      </c>
      <c r="O457" t="s">
        <v>231</v>
      </c>
      <c r="P457" t="s">
        <v>231</v>
      </c>
      <c r="Q457" t="s">
        <v>231</v>
      </c>
      <c r="R457" t="s">
        <v>3651</v>
      </c>
      <c r="S457" t="s">
        <v>231</v>
      </c>
      <c r="T457" t="s">
        <v>231</v>
      </c>
      <c r="U457" t="s">
        <v>101</v>
      </c>
      <c r="V457" t="s">
        <v>231</v>
      </c>
      <c r="W457" t="s">
        <v>231</v>
      </c>
      <c r="X457" t="s">
        <v>3523</v>
      </c>
      <c r="Y457" t="s">
        <v>231</v>
      </c>
      <c r="Z457" t="s">
        <v>160</v>
      </c>
      <c r="AA457" t="s">
        <v>151</v>
      </c>
      <c r="AB457" t="s">
        <v>151</v>
      </c>
      <c r="AC457" t="s">
        <v>2283</v>
      </c>
      <c r="AD457" t="s">
        <v>2283</v>
      </c>
      <c r="AE457" t="s">
        <v>2284</v>
      </c>
      <c r="AF457" t="s">
        <v>4001</v>
      </c>
      <c r="AG457" t="s">
        <v>4002</v>
      </c>
      <c r="AH457" t="s">
        <v>4015</v>
      </c>
      <c r="AI457" t="s">
        <v>4016</v>
      </c>
      <c r="AJ457" t="s">
        <v>3546</v>
      </c>
      <c r="AK457" t="s">
        <v>3546</v>
      </c>
      <c r="AL457" t="s">
        <v>3648</v>
      </c>
      <c r="AM457" t="s">
        <v>3531</v>
      </c>
      <c r="AN457" t="s">
        <v>3549</v>
      </c>
      <c r="AO457" t="s">
        <v>3550</v>
      </c>
      <c r="AP457" t="s">
        <v>231</v>
      </c>
      <c r="AQ457" t="s">
        <v>231</v>
      </c>
      <c r="AR457" t="s">
        <v>231</v>
      </c>
      <c r="AS457" t="s">
        <v>231</v>
      </c>
      <c r="AT457" t="s">
        <v>231</v>
      </c>
      <c r="AU457" t="s">
        <v>231</v>
      </c>
      <c r="AV457" t="s">
        <v>231</v>
      </c>
      <c r="AW457" t="s">
        <v>231</v>
      </c>
      <c r="AX457" t="s">
        <v>231</v>
      </c>
      <c r="AY457" t="s">
        <v>231</v>
      </c>
      <c r="AZ457" t="s">
        <v>231</v>
      </c>
      <c r="BA457" t="s">
        <v>231</v>
      </c>
      <c r="BB457" t="s">
        <v>231</v>
      </c>
      <c r="BC457" t="s">
        <v>231</v>
      </c>
      <c r="BD457" t="s">
        <v>231</v>
      </c>
      <c r="BE457" t="s">
        <v>231</v>
      </c>
      <c r="BF457" t="s">
        <v>231</v>
      </c>
      <c r="BG457" t="s">
        <v>231</v>
      </c>
      <c r="BH457" t="s">
        <v>231</v>
      </c>
      <c r="BI457" t="s">
        <v>231</v>
      </c>
      <c r="BJ457" t="s">
        <v>231</v>
      </c>
      <c r="BK457" t="s">
        <v>231</v>
      </c>
      <c r="BL457" t="s">
        <v>231</v>
      </c>
      <c r="BM457" t="s">
        <v>231</v>
      </c>
      <c r="BN457" t="s">
        <v>231</v>
      </c>
      <c r="BO457" t="s">
        <v>231</v>
      </c>
      <c r="BP457" t="s">
        <v>231</v>
      </c>
      <c r="BQ457" t="s">
        <v>231</v>
      </c>
      <c r="BR457" t="s">
        <v>231</v>
      </c>
      <c r="BS457" t="s">
        <v>231</v>
      </c>
      <c r="BT457" t="s">
        <v>231</v>
      </c>
      <c r="BU457" t="s">
        <v>231</v>
      </c>
      <c r="BV457" t="s">
        <v>231</v>
      </c>
      <c r="BW457" t="s">
        <v>231</v>
      </c>
      <c r="BX457" t="s">
        <v>231</v>
      </c>
      <c r="BY457" t="s">
        <v>231</v>
      </c>
      <c r="BZ457" t="s">
        <v>231</v>
      </c>
      <c r="CA457" t="s">
        <v>231</v>
      </c>
      <c r="CB457" t="s">
        <v>231</v>
      </c>
      <c r="CC457" t="s">
        <v>231</v>
      </c>
      <c r="CD457" t="s">
        <v>231</v>
      </c>
      <c r="CE457" t="s">
        <v>231</v>
      </c>
      <c r="CF457" t="s">
        <v>231</v>
      </c>
      <c r="CG457" t="s">
        <v>231</v>
      </c>
      <c r="CH457" t="s">
        <v>231</v>
      </c>
      <c r="CI457" t="s">
        <v>231</v>
      </c>
      <c r="CJ457" t="s">
        <v>231</v>
      </c>
      <c r="CK457" t="s">
        <v>231</v>
      </c>
      <c r="CL457" t="s">
        <v>231</v>
      </c>
      <c r="CM457" t="s">
        <v>231</v>
      </c>
      <c r="CN457" t="s">
        <v>231</v>
      </c>
      <c r="CO457" t="s">
        <v>231</v>
      </c>
      <c r="CP457" t="s">
        <v>231</v>
      </c>
      <c r="CQ457" t="s">
        <v>231</v>
      </c>
      <c r="CR457" t="s">
        <v>231</v>
      </c>
      <c r="CS457" t="s">
        <v>231</v>
      </c>
      <c r="CT457" t="s">
        <v>3534</v>
      </c>
      <c r="CU457" t="s">
        <v>3535</v>
      </c>
      <c r="CV457" t="s">
        <v>3536</v>
      </c>
      <c r="CW457" t="s">
        <v>3551</v>
      </c>
      <c r="CX457" t="s">
        <v>223</v>
      </c>
      <c r="CY457" t="s">
        <v>3536</v>
      </c>
      <c r="CZ457" t="s">
        <v>3552</v>
      </c>
      <c r="DA457" t="s">
        <v>3553</v>
      </c>
      <c r="DB457" t="s">
        <v>3551</v>
      </c>
      <c r="DC457" t="s">
        <v>363</v>
      </c>
      <c r="DD457" t="s">
        <v>282</v>
      </c>
      <c r="DE457" t="s">
        <v>4017</v>
      </c>
    </row>
    <row r="458" spans="1:109" ht="11.25" customHeight="1">
      <c r="A458" s="1314" t="s">
        <v>231</v>
      </c>
      <c r="B458" t="s">
        <v>231</v>
      </c>
      <c r="C458" t="s">
        <v>231</v>
      </c>
      <c r="D458" t="s">
        <v>231</v>
      </c>
      <c r="E458" t="s">
        <v>231</v>
      </c>
      <c r="F458" t="s">
        <v>231</v>
      </c>
      <c r="G458" t="s">
        <v>231</v>
      </c>
      <c r="H458" t="s">
        <v>231</v>
      </c>
      <c r="I458" t="s">
        <v>3521</v>
      </c>
      <c r="J458" t="s">
        <v>231</v>
      </c>
      <c r="K458" t="s">
        <v>231</v>
      </c>
      <c r="L458" t="s">
        <v>231</v>
      </c>
      <c r="M458" t="s">
        <v>231</v>
      </c>
      <c r="N458" t="s">
        <v>231</v>
      </c>
      <c r="O458" t="s">
        <v>231</v>
      </c>
      <c r="P458" t="s">
        <v>231</v>
      </c>
      <c r="Q458" t="s">
        <v>231</v>
      </c>
      <c r="R458" t="s">
        <v>3651</v>
      </c>
      <c r="S458" t="s">
        <v>231</v>
      </c>
      <c r="T458" t="s">
        <v>231</v>
      </c>
      <c r="U458" t="s">
        <v>101</v>
      </c>
      <c r="V458" t="s">
        <v>231</v>
      </c>
      <c r="W458" t="s">
        <v>231</v>
      </c>
      <c r="X458" t="s">
        <v>3523</v>
      </c>
      <c r="Y458" t="s">
        <v>231</v>
      </c>
      <c r="Z458" t="s">
        <v>160</v>
      </c>
      <c r="AA458" t="s">
        <v>151</v>
      </c>
      <c r="AB458" t="s">
        <v>151</v>
      </c>
      <c r="AC458" t="s">
        <v>2283</v>
      </c>
      <c r="AD458" t="s">
        <v>2283</v>
      </c>
      <c r="AE458" t="s">
        <v>2284</v>
      </c>
      <c r="AF458" t="s">
        <v>4001</v>
      </c>
      <c r="AG458" t="s">
        <v>4002</v>
      </c>
      <c r="AH458" t="s">
        <v>3609</v>
      </c>
      <c r="AI458" t="s">
        <v>552</v>
      </c>
      <c r="AJ458" t="s">
        <v>3546</v>
      </c>
      <c r="AK458" t="s">
        <v>3546</v>
      </c>
      <c r="AL458" t="s">
        <v>3648</v>
      </c>
      <c r="AM458" t="s">
        <v>3531</v>
      </c>
      <c r="AN458" t="s">
        <v>3549</v>
      </c>
      <c r="AO458" t="s">
        <v>3656</v>
      </c>
      <c r="AP458" t="s">
        <v>231</v>
      </c>
      <c r="AQ458" t="s">
        <v>231</v>
      </c>
      <c r="AR458" t="s">
        <v>231</v>
      </c>
      <c r="AS458" t="s">
        <v>231</v>
      </c>
      <c r="AT458" t="s">
        <v>231</v>
      </c>
      <c r="AU458" t="s">
        <v>231</v>
      </c>
      <c r="AV458" t="s">
        <v>231</v>
      </c>
      <c r="AW458" t="s">
        <v>231</v>
      </c>
      <c r="AX458" t="s">
        <v>231</v>
      </c>
      <c r="AY458" t="s">
        <v>231</v>
      </c>
      <c r="AZ458" t="s">
        <v>231</v>
      </c>
      <c r="BA458" t="s">
        <v>231</v>
      </c>
      <c r="BB458" t="s">
        <v>231</v>
      </c>
      <c r="BC458" t="s">
        <v>231</v>
      </c>
      <c r="BD458" t="s">
        <v>231</v>
      </c>
      <c r="BE458" t="s">
        <v>231</v>
      </c>
      <c r="BF458" t="s">
        <v>231</v>
      </c>
      <c r="BG458" t="s">
        <v>231</v>
      </c>
      <c r="BH458" t="s">
        <v>231</v>
      </c>
      <c r="BI458" t="s">
        <v>231</v>
      </c>
      <c r="BJ458" t="s">
        <v>231</v>
      </c>
      <c r="BK458" t="s">
        <v>231</v>
      </c>
      <c r="BL458" t="s">
        <v>231</v>
      </c>
      <c r="BM458" t="s">
        <v>231</v>
      </c>
      <c r="BN458" t="s">
        <v>231</v>
      </c>
      <c r="BO458" t="s">
        <v>231</v>
      </c>
      <c r="BP458" t="s">
        <v>231</v>
      </c>
      <c r="BQ458" t="s">
        <v>231</v>
      </c>
      <c r="BR458" t="s">
        <v>231</v>
      </c>
      <c r="BS458" t="s">
        <v>231</v>
      </c>
      <c r="BT458" t="s">
        <v>231</v>
      </c>
      <c r="BU458" t="s">
        <v>231</v>
      </c>
      <c r="BV458" t="s">
        <v>231</v>
      </c>
      <c r="BW458" t="s">
        <v>231</v>
      </c>
      <c r="BX458" t="s">
        <v>231</v>
      </c>
      <c r="BY458" t="s">
        <v>231</v>
      </c>
      <c r="BZ458" t="s">
        <v>231</v>
      </c>
      <c r="CA458" t="s">
        <v>231</v>
      </c>
      <c r="CB458" t="s">
        <v>231</v>
      </c>
      <c r="CC458" t="s">
        <v>231</v>
      </c>
      <c r="CD458" t="s">
        <v>231</v>
      </c>
      <c r="CE458" t="s">
        <v>231</v>
      </c>
      <c r="CF458" t="s">
        <v>231</v>
      </c>
      <c r="CG458" t="s">
        <v>231</v>
      </c>
      <c r="CH458" t="s">
        <v>231</v>
      </c>
      <c r="CI458" t="s">
        <v>231</v>
      </c>
      <c r="CJ458" t="s">
        <v>231</v>
      </c>
      <c r="CK458" t="s">
        <v>231</v>
      </c>
      <c r="CL458" t="s">
        <v>231</v>
      </c>
      <c r="CM458" t="s">
        <v>231</v>
      </c>
      <c r="CN458" t="s">
        <v>231</v>
      </c>
      <c r="CO458" t="s">
        <v>231</v>
      </c>
      <c r="CP458" t="s">
        <v>231</v>
      </c>
      <c r="CQ458" t="s">
        <v>231</v>
      </c>
      <c r="CR458" t="s">
        <v>231</v>
      </c>
      <c r="CS458" t="s">
        <v>231</v>
      </c>
      <c r="CT458" t="s">
        <v>3534</v>
      </c>
      <c r="CU458" t="s">
        <v>3535</v>
      </c>
      <c r="CV458" t="s">
        <v>3536</v>
      </c>
      <c r="CW458" t="s">
        <v>3551</v>
      </c>
      <c r="CX458" t="s">
        <v>223</v>
      </c>
      <c r="CY458" t="s">
        <v>3536</v>
      </c>
      <c r="CZ458" t="s">
        <v>3552</v>
      </c>
      <c r="DA458" t="s">
        <v>3553</v>
      </c>
      <c r="DB458" t="s">
        <v>3551</v>
      </c>
      <c r="DC458" t="s">
        <v>363</v>
      </c>
      <c r="DD458" t="s">
        <v>282</v>
      </c>
      <c r="DE458" t="s">
        <v>4286</v>
      </c>
    </row>
    <row r="459" spans="1:109" ht="11.25" customHeight="1">
      <c r="A459" s="1314" t="s">
        <v>231</v>
      </c>
      <c r="B459" t="s">
        <v>231</v>
      </c>
      <c r="C459" t="s">
        <v>231</v>
      </c>
      <c r="D459" t="s">
        <v>231</v>
      </c>
      <c r="E459" t="s">
        <v>231</v>
      </c>
      <c r="F459" t="s">
        <v>231</v>
      </c>
      <c r="G459" t="s">
        <v>231</v>
      </c>
      <c r="H459" t="s">
        <v>231</v>
      </c>
      <c r="I459" t="s">
        <v>3521</v>
      </c>
      <c r="J459" t="s">
        <v>231</v>
      </c>
      <c r="K459" t="s">
        <v>231</v>
      </c>
      <c r="L459" t="s">
        <v>231</v>
      </c>
      <c r="M459" t="s">
        <v>231</v>
      </c>
      <c r="N459" t="s">
        <v>231</v>
      </c>
      <c r="O459" t="s">
        <v>231</v>
      </c>
      <c r="P459" t="s">
        <v>231</v>
      </c>
      <c r="Q459" t="s">
        <v>231</v>
      </c>
      <c r="R459" t="s">
        <v>3749</v>
      </c>
      <c r="S459" t="s">
        <v>231</v>
      </c>
      <c r="T459" t="s">
        <v>231</v>
      </c>
      <c r="U459" t="s">
        <v>101</v>
      </c>
      <c r="V459" t="s">
        <v>231</v>
      </c>
      <c r="W459" t="s">
        <v>231</v>
      </c>
      <c r="X459" t="s">
        <v>3628</v>
      </c>
      <c r="Y459" t="s">
        <v>231</v>
      </c>
      <c r="Z459" t="s">
        <v>151</v>
      </c>
      <c r="AA459" t="s">
        <v>151</v>
      </c>
      <c r="AB459" t="s">
        <v>160</v>
      </c>
      <c r="AC459" t="s">
        <v>2283</v>
      </c>
      <c r="AD459" t="s">
        <v>2283</v>
      </c>
      <c r="AE459" t="s">
        <v>2284</v>
      </c>
      <c r="AF459" t="s">
        <v>4487</v>
      </c>
      <c r="AG459" t="s">
        <v>4488</v>
      </c>
      <c r="AH459" t="s">
        <v>4487</v>
      </c>
      <c r="AI459" t="s">
        <v>3688</v>
      </c>
      <c r="AJ459" t="s">
        <v>231</v>
      </c>
      <c r="AK459" t="s">
        <v>231</v>
      </c>
      <c r="AL459" t="s">
        <v>231</v>
      </c>
      <c r="AM459" t="s">
        <v>231</v>
      </c>
      <c r="AN459" t="s">
        <v>231</v>
      </c>
      <c r="AO459" t="s">
        <v>231</v>
      </c>
      <c r="AP459" t="s">
        <v>231</v>
      </c>
      <c r="AQ459" t="s">
        <v>231</v>
      </c>
      <c r="AR459" t="s">
        <v>231</v>
      </c>
      <c r="AS459" t="s">
        <v>231</v>
      </c>
      <c r="AT459" t="s">
        <v>231</v>
      </c>
      <c r="AU459" t="s">
        <v>231</v>
      </c>
      <c r="AV459" t="s">
        <v>231</v>
      </c>
      <c r="AW459" t="s">
        <v>231</v>
      </c>
      <c r="AX459" t="s">
        <v>231</v>
      </c>
      <c r="AY459" t="s">
        <v>231</v>
      </c>
      <c r="AZ459" t="s">
        <v>231</v>
      </c>
      <c r="BA459" t="s">
        <v>231</v>
      </c>
      <c r="BB459" t="s">
        <v>231</v>
      </c>
      <c r="BC459" t="s">
        <v>231</v>
      </c>
      <c r="BD459" t="s">
        <v>231</v>
      </c>
      <c r="BE459" t="s">
        <v>3689</v>
      </c>
      <c r="BF459" t="s">
        <v>3689</v>
      </c>
      <c r="BG459" t="s">
        <v>111</v>
      </c>
      <c r="BH459" t="s">
        <v>3632</v>
      </c>
      <c r="BI459" t="s">
        <v>122</v>
      </c>
      <c r="BJ459" t="s">
        <v>231</v>
      </c>
      <c r="BK459" t="s">
        <v>3651</v>
      </c>
      <c r="BL459" t="s">
        <v>2283</v>
      </c>
      <c r="BM459" t="s">
        <v>2283</v>
      </c>
      <c r="BN459" t="s">
        <v>3690</v>
      </c>
      <c r="BO459" t="s">
        <v>4487</v>
      </c>
      <c r="BP459" t="s">
        <v>4489</v>
      </c>
      <c r="BQ459" t="s">
        <v>4490</v>
      </c>
      <c r="BR459" t="s">
        <v>4360</v>
      </c>
      <c r="BS459" t="s">
        <v>231</v>
      </c>
      <c r="BT459" t="s">
        <v>3694</v>
      </c>
      <c r="BU459" t="s">
        <v>4491</v>
      </c>
      <c r="BV459" t="s">
        <v>4491</v>
      </c>
      <c r="BW459" t="s">
        <v>3641</v>
      </c>
      <c r="BX459" t="s">
        <v>3641</v>
      </c>
      <c r="BY459" t="s">
        <v>3641</v>
      </c>
      <c r="BZ459" t="s">
        <v>3641</v>
      </c>
      <c r="CA459" t="s">
        <v>3641</v>
      </c>
      <c r="CB459" t="s">
        <v>231</v>
      </c>
      <c r="CC459" t="s">
        <v>231</v>
      </c>
      <c r="CD459" t="s">
        <v>231</v>
      </c>
      <c r="CE459" t="s">
        <v>231</v>
      </c>
      <c r="CF459" t="s">
        <v>231</v>
      </c>
      <c r="CG459" t="s">
        <v>3641</v>
      </c>
      <c r="CH459" t="s">
        <v>231</v>
      </c>
      <c r="CI459" t="s">
        <v>231</v>
      </c>
      <c r="CJ459" t="s">
        <v>231</v>
      </c>
      <c r="CK459" t="s">
        <v>231</v>
      </c>
      <c r="CL459" t="s">
        <v>231</v>
      </c>
      <c r="CM459" t="s">
        <v>4491</v>
      </c>
      <c r="CN459" t="s">
        <v>4491</v>
      </c>
      <c r="CO459" t="s">
        <v>231</v>
      </c>
      <c r="CP459" t="s">
        <v>231</v>
      </c>
      <c r="CQ459" t="s">
        <v>231</v>
      </c>
      <c r="CR459" t="s">
        <v>231</v>
      </c>
      <c r="CS459" t="s">
        <v>3549</v>
      </c>
      <c r="CT459" t="s">
        <v>3534</v>
      </c>
      <c r="CU459" t="s">
        <v>3535</v>
      </c>
      <c r="CV459" t="s">
        <v>3536</v>
      </c>
      <c r="CW459" t="s">
        <v>3551</v>
      </c>
      <c r="CX459" t="s">
        <v>223</v>
      </c>
      <c r="CY459" t="s">
        <v>3536</v>
      </c>
      <c r="CZ459" t="s">
        <v>3552</v>
      </c>
      <c r="DA459" t="s">
        <v>3553</v>
      </c>
      <c r="DB459" t="s">
        <v>3551</v>
      </c>
      <c r="DC459" t="s">
        <v>363</v>
      </c>
      <c r="DD459" t="s">
        <v>282</v>
      </c>
      <c r="DE459" t="s">
        <v>4492</v>
      </c>
    </row>
    <row r="460" spans="1:109" ht="11.25" customHeight="1">
      <c r="A460" s="1314" t="s">
        <v>231</v>
      </c>
      <c r="B460" t="s">
        <v>231</v>
      </c>
      <c r="C460" t="s">
        <v>231</v>
      </c>
      <c r="D460" t="s">
        <v>231</v>
      </c>
      <c r="E460" t="s">
        <v>231</v>
      </c>
      <c r="F460" t="s">
        <v>231</v>
      </c>
      <c r="G460" t="s">
        <v>231</v>
      </c>
      <c r="H460" t="s">
        <v>231</v>
      </c>
      <c r="I460" t="s">
        <v>3521</v>
      </c>
      <c r="J460" t="s">
        <v>231</v>
      </c>
      <c r="K460" t="s">
        <v>231</v>
      </c>
      <c r="L460" t="s">
        <v>231</v>
      </c>
      <c r="M460" t="s">
        <v>231</v>
      </c>
      <c r="N460" t="s">
        <v>231</v>
      </c>
      <c r="O460" t="s">
        <v>231</v>
      </c>
      <c r="P460" t="s">
        <v>231</v>
      </c>
      <c r="Q460" t="s">
        <v>231</v>
      </c>
      <c r="R460" t="s">
        <v>4266</v>
      </c>
      <c r="S460" t="s">
        <v>231</v>
      </c>
      <c r="T460" t="s">
        <v>231</v>
      </c>
      <c r="U460" t="s">
        <v>101</v>
      </c>
      <c r="V460" t="s">
        <v>231</v>
      </c>
      <c r="W460" t="s">
        <v>231</v>
      </c>
      <c r="X460" t="s">
        <v>3523</v>
      </c>
      <c r="Y460" t="s">
        <v>231</v>
      </c>
      <c r="Z460" t="s">
        <v>160</v>
      </c>
      <c r="AA460" t="s">
        <v>151</v>
      </c>
      <c r="AB460" t="s">
        <v>151</v>
      </c>
      <c r="AC460" t="s">
        <v>2691</v>
      </c>
      <c r="AD460" t="s">
        <v>2691</v>
      </c>
      <c r="AE460" t="s">
        <v>2692</v>
      </c>
      <c r="AF460" t="s">
        <v>3991</v>
      </c>
      <c r="AG460" t="s">
        <v>3992</v>
      </c>
      <c r="AH460" t="s">
        <v>4267</v>
      </c>
      <c r="AI460" t="s">
        <v>151</v>
      </c>
      <c r="AJ460" t="s">
        <v>3587</v>
      </c>
      <c r="AK460" t="s">
        <v>4268</v>
      </c>
      <c r="AL460" t="s">
        <v>3613</v>
      </c>
      <c r="AM460" t="s">
        <v>3531</v>
      </c>
      <c r="AN460" t="s">
        <v>3710</v>
      </c>
      <c r="AO460" t="s">
        <v>4269</v>
      </c>
      <c r="AP460" t="s">
        <v>231</v>
      </c>
      <c r="AQ460" t="s">
        <v>231</v>
      </c>
      <c r="AR460" t="s">
        <v>231</v>
      </c>
      <c r="AS460" t="s">
        <v>231</v>
      </c>
      <c r="AT460" t="s">
        <v>231</v>
      </c>
      <c r="AU460" t="s">
        <v>231</v>
      </c>
      <c r="AV460" t="s">
        <v>231</v>
      </c>
      <c r="AW460" t="s">
        <v>231</v>
      </c>
      <c r="AX460" t="s">
        <v>231</v>
      </c>
      <c r="AY460" t="s">
        <v>231</v>
      </c>
      <c r="AZ460" t="s">
        <v>231</v>
      </c>
      <c r="BA460" t="s">
        <v>231</v>
      </c>
      <c r="BB460" t="s">
        <v>231</v>
      </c>
      <c r="BC460" t="s">
        <v>231</v>
      </c>
      <c r="BD460" t="s">
        <v>231</v>
      </c>
      <c r="BE460" t="s">
        <v>231</v>
      </c>
      <c r="BF460" t="s">
        <v>231</v>
      </c>
      <c r="BG460" t="s">
        <v>231</v>
      </c>
      <c r="BH460" t="s">
        <v>231</v>
      </c>
      <c r="BI460" t="s">
        <v>231</v>
      </c>
      <c r="BJ460" t="s">
        <v>231</v>
      </c>
      <c r="BK460" t="s">
        <v>231</v>
      </c>
      <c r="BL460" t="s">
        <v>231</v>
      </c>
      <c r="BM460" t="s">
        <v>231</v>
      </c>
      <c r="BN460" t="s">
        <v>231</v>
      </c>
      <c r="BO460" t="s">
        <v>231</v>
      </c>
      <c r="BP460" t="s">
        <v>231</v>
      </c>
      <c r="BQ460" t="s">
        <v>231</v>
      </c>
      <c r="BR460" t="s">
        <v>231</v>
      </c>
      <c r="BS460" t="s">
        <v>231</v>
      </c>
      <c r="BT460" t="s">
        <v>231</v>
      </c>
      <c r="BU460" t="s">
        <v>231</v>
      </c>
      <c r="BV460" t="s">
        <v>231</v>
      </c>
      <c r="BW460" t="s">
        <v>231</v>
      </c>
      <c r="BX460" t="s">
        <v>231</v>
      </c>
      <c r="BY460" t="s">
        <v>231</v>
      </c>
      <c r="BZ460" t="s">
        <v>231</v>
      </c>
      <c r="CA460" t="s">
        <v>231</v>
      </c>
      <c r="CB460" t="s">
        <v>231</v>
      </c>
      <c r="CC460" t="s">
        <v>231</v>
      </c>
      <c r="CD460" t="s">
        <v>231</v>
      </c>
      <c r="CE460" t="s">
        <v>231</v>
      </c>
      <c r="CF460" t="s">
        <v>231</v>
      </c>
      <c r="CG460" t="s">
        <v>231</v>
      </c>
      <c r="CH460" t="s">
        <v>231</v>
      </c>
      <c r="CI460" t="s">
        <v>231</v>
      </c>
      <c r="CJ460" t="s">
        <v>231</v>
      </c>
      <c r="CK460" t="s">
        <v>231</v>
      </c>
      <c r="CL460" t="s">
        <v>231</v>
      </c>
      <c r="CM460" t="s">
        <v>231</v>
      </c>
      <c r="CN460" t="s">
        <v>231</v>
      </c>
      <c r="CO460" t="s">
        <v>231</v>
      </c>
      <c r="CP460" t="s">
        <v>231</v>
      </c>
      <c r="CQ460" t="s">
        <v>231</v>
      </c>
      <c r="CR460" t="s">
        <v>231</v>
      </c>
      <c r="CS460" t="s">
        <v>231</v>
      </c>
      <c r="CT460" t="s">
        <v>3534</v>
      </c>
      <c r="CU460" t="s">
        <v>3535</v>
      </c>
      <c r="CV460" t="s">
        <v>3997</v>
      </c>
      <c r="CW460" t="s">
        <v>3998</v>
      </c>
      <c r="CX460" t="s">
        <v>3570</v>
      </c>
      <c r="CY460" t="s">
        <v>3997</v>
      </c>
      <c r="CZ460" t="s">
        <v>3575</v>
      </c>
      <c r="DA460" t="s">
        <v>3999</v>
      </c>
      <c r="DB460" t="s">
        <v>3643</v>
      </c>
      <c r="DC460" t="s">
        <v>363</v>
      </c>
      <c r="DD460" t="s">
        <v>282</v>
      </c>
      <c r="DE460" t="s">
        <v>4270</v>
      </c>
    </row>
    <row r="461" spans="1:109" ht="11.25" customHeight="1">
      <c r="A461" s="1314" t="s">
        <v>231</v>
      </c>
      <c r="B461" t="s">
        <v>231</v>
      </c>
      <c r="C461" t="s">
        <v>231</v>
      </c>
      <c r="D461" t="s">
        <v>231</v>
      </c>
      <c r="E461" t="s">
        <v>231</v>
      </c>
      <c r="F461" t="s">
        <v>231</v>
      </c>
      <c r="G461" t="s">
        <v>231</v>
      </c>
      <c r="H461" t="s">
        <v>231</v>
      </c>
      <c r="I461" t="s">
        <v>3521</v>
      </c>
      <c r="J461" t="s">
        <v>231</v>
      </c>
      <c r="K461" t="s">
        <v>231</v>
      </c>
      <c r="L461" t="s">
        <v>231</v>
      </c>
      <c r="M461" t="s">
        <v>231</v>
      </c>
      <c r="N461" t="s">
        <v>231</v>
      </c>
      <c r="O461" t="s">
        <v>231</v>
      </c>
      <c r="P461" t="s">
        <v>231</v>
      </c>
      <c r="Q461" t="s">
        <v>231</v>
      </c>
      <c r="R461" t="s">
        <v>3651</v>
      </c>
      <c r="S461" t="s">
        <v>231</v>
      </c>
      <c r="T461" t="s">
        <v>231</v>
      </c>
      <c r="U461" t="s">
        <v>101</v>
      </c>
      <c r="V461" t="s">
        <v>231</v>
      </c>
      <c r="W461" t="s">
        <v>231</v>
      </c>
      <c r="X461" t="s">
        <v>3523</v>
      </c>
      <c r="Y461" t="s">
        <v>231</v>
      </c>
      <c r="Z461" t="s">
        <v>160</v>
      </c>
      <c r="AA461" t="s">
        <v>151</v>
      </c>
      <c r="AB461" t="s">
        <v>151</v>
      </c>
      <c r="AC461" t="s">
        <v>2283</v>
      </c>
      <c r="AD461" t="s">
        <v>2283</v>
      </c>
      <c r="AE461" t="s">
        <v>2284</v>
      </c>
      <c r="AF461" t="s">
        <v>4487</v>
      </c>
      <c r="AG461" t="s">
        <v>4488</v>
      </c>
      <c r="AH461" t="s">
        <v>4699</v>
      </c>
      <c r="AI461" t="s">
        <v>4700</v>
      </c>
      <c r="AJ461" t="s">
        <v>3546</v>
      </c>
      <c r="AK461" t="s">
        <v>3547</v>
      </c>
      <c r="AL461" t="s">
        <v>3548</v>
      </c>
      <c r="AM461" t="s">
        <v>3531</v>
      </c>
      <c r="AN461" t="s">
        <v>3549</v>
      </c>
      <c r="AO461" t="s">
        <v>3588</v>
      </c>
      <c r="AP461" t="s">
        <v>231</v>
      </c>
      <c r="AQ461" t="s">
        <v>231</v>
      </c>
      <c r="AR461" t="s">
        <v>231</v>
      </c>
      <c r="AS461" t="s">
        <v>231</v>
      </c>
      <c r="AT461" t="s">
        <v>231</v>
      </c>
      <c r="AU461" t="s">
        <v>231</v>
      </c>
      <c r="AV461" t="s">
        <v>231</v>
      </c>
      <c r="AW461" t="s">
        <v>231</v>
      </c>
      <c r="AX461" t="s">
        <v>231</v>
      </c>
      <c r="AY461" t="s">
        <v>231</v>
      </c>
      <c r="AZ461" t="s">
        <v>231</v>
      </c>
      <c r="BA461" t="s">
        <v>231</v>
      </c>
      <c r="BB461" t="s">
        <v>231</v>
      </c>
      <c r="BC461" t="s">
        <v>231</v>
      </c>
      <c r="BD461" t="s">
        <v>231</v>
      </c>
      <c r="BE461" t="s">
        <v>231</v>
      </c>
      <c r="BF461" t="s">
        <v>231</v>
      </c>
      <c r="BG461" t="s">
        <v>231</v>
      </c>
      <c r="BH461" t="s">
        <v>231</v>
      </c>
      <c r="BI461" t="s">
        <v>231</v>
      </c>
      <c r="BJ461" t="s">
        <v>231</v>
      </c>
      <c r="BK461" t="s">
        <v>231</v>
      </c>
      <c r="BL461" t="s">
        <v>231</v>
      </c>
      <c r="BM461" t="s">
        <v>231</v>
      </c>
      <c r="BN461" t="s">
        <v>231</v>
      </c>
      <c r="BO461" t="s">
        <v>231</v>
      </c>
      <c r="BP461" t="s">
        <v>231</v>
      </c>
      <c r="BQ461" t="s">
        <v>231</v>
      </c>
      <c r="BR461" t="s">
        <v>231</v>
      </c>
      <c r="BS461" t="s">
        <v>231</v>
      </c>
      <c r="BT461" t="s">
        <v>231</v>
      </c>
      <c r="BU461" t="s">
        <v>231</v>
      </c>
      <c r="BV461" t="s">
        <v>231</v>
      </c>
      <c r="BW461" t="s">
        <v>231</v>
      </c>
      <c r="BX461" t="s">
        <v>231</v>
      </c>
      <c r="BY461" t="s">
        <v>231</v>
      </c>
      <c r="BZ461" t="s">
        <v>231</v>
      </c>
      <c r="CA461" t="s">
        <v>231</v>
      </c>
      <c r="CB461" t="s">
        <v>231</v>
      </c>
      <c r="CC461" t="s">
        <v>231</v>
      </c>
      <c r="CD461" t="s">
        <v>231</v>
      </c>
      <c r="CE461" t="s">
        <v>231</v>
      </c>
      <c r="CF461" t="s">
        <v>231</v>
      </c>
      <c r="CG461" t="s">
        <v>231</v>
      </c>
      <c r="CH461" t="s">
        <v>231</v>
      </c>
      <c r="CI461" t="s">
        <v>231</v>
      </c>
      <c r="CJ461" t="s">
        <v>231</v>
      </c>
      <c r="CK461" t="s">
        <v>231</v>
      </c>
      <c r="CL461" t="s">
        <v>231</v>
      </c>
      <c r="CM461" t="s">
        <v>231</v>
      </c>
      <c r="CN461" t="s">
        <v>231</v>
      </c>
      <c r="CO461" t="s">
        <v>231</v>
      </c>
      <c r="CP461" t="s">
        <v>231</v>
      </c>
      <c r="CQ461" t="s">
        <v>231</v>
      </c>
      <c r="CR461" t="s">
        <v>231</v>
      </c>
      <c r="CS461" t="s">
        <v>231</v>
      </c>
      <c r="CT461" t="s">
        <v>3534</v>
      </c>
      <c r="CU461" t="s">
        <v>3535</v>
      </c>
      <c r="CV461" t="s">
        <v>3536</v>
      </c>
      <c r="CW461" t="s">
        <v>3551</v>
      </c>
      <c r="CX461" t="s">
        <v>223</v>
      </c>
      <c r="CY461" t="s">
        <v>3536</v>
      </c>
      <c r="CZ461" t="s">
        <v>3552</v>
      </c>
      <c r="DA461" t="s">
        <v>3553</v>
      </c>
      <c r="DB461" t="s">
        <v>3551</v>
      </c>
      <c r="DC461" t="s">
        <v>363</v>
      </c>
      <c r="DD461" t="s">
        <v>282</v>
      </c>
      <c r="DE461" t="s">
        <v>4701</v>
      </c>
    </row>
    <row r="462" spans="1:109" ht="11.25" customHeight="1">
      <c r="A462" s="1314" t="s">
        <v>231</v>
      </c>
      <c r="B462" t="s">
        <v>231</v>
      </c>
      <c r="C462" t="s">
        <v>231</v>
      </c>
      <c r="D462" t="s">
        <v>231</v>
      </c>
      <c r="E462" t="s">
        <v>231</v>
      </c>
      <c r="F462" t="s">
        <v>231</v>
      </c>
      <c r="G462" t="s">
        <v>231</v>
      </c>
      <c r="H462" t="s">
        <v>231</v>
      </c>
      <c r="I462" t="s">
        <v>3521</v>
      </c>
      <c r="J462" t="s">
        <v>231</v>
      </c>
      <c r="K462" t="s">
        <v>231</v>
      </c>
      <c r="L462" t="s">
        <v>231</v>
      </c>
      <c r="M462" t="s">
        <v>231</v>
      </c>
      <c r="N462" t="s">
        <v>231</v>
      </c>
      <c r="O462" t="s">
        <v>231</v>
      </c>
      <c r="P462" t="s">
        <v>231</v>
      </c>
      <c r="Q462" t="s">
        <v>231</v>
      </c>
      <c r="R462" t="s">
        <v>3798</v>
      </c>
      <c r="S462" t="s">
        <v>231</v>
      </c>
      <c r="T462" t="s">
        <v>231</v>
      </c>
      <c r="U462" t="s">
        <v>101</v>
      </c>
      <c r="V462" t="s">
        <v>231</v>
      </c>
      <c r="W462" t="s">
        <v>231</v>
      </c>
      <c r="X462" t="s">
        <v>3523</v>
      </c>
      <c r="Y462" t="s">
        <v>231</v>
      </c>
      <c r="Z462" t="s">
        <v>160</v>
      </c>
      <c r="AA462" t="s">
        <v>151</v>
      </c>
      <c r="AB462" t="s">
        <v>151</v>
      </c>
      <c r="AC462" t="s">
        <v>2289</v>
      </c>
      <c r="AD462" t="s">
        <v>2289</v>
      </c>
      <c r="AE462" t="s">
        <v>2290</v>
      </c>
      <c r="AF462" t="s">
        <v>4712</v>
      </c>
      <c r="AG462" t="s">
        <v>4713</v>
      </c>
      <c r="AH462" t="s">
        <v>4714</v>
      </c>
      <c r="AI462" t="s">
        <v>4715</v>
      </c>
      <c r="AJ462" t="s">
        <v>3546</v>
      </c>
      <c r="AK462" t="s">
        <v>3716</v>
      </c>
      <c r="AL462" t="s">
        <v>3548</v>
      </c>
      <c r="AM462" t="s">
        <v>3531</v>
      </c>
      <c r="AN462" t="s">
        <v>3587</v>
      </c>
      <c r="AO462" t="s">
        <v>4500</v>
      </c>
      <c r="AP462" t="s">
        <v>231</v>
      </c>
      <c r="AQ462" t="s">
        <v>231</v>
      </c>
      <c r="AR462" t="s">
        <v>231</v>
      </c>
      <c r="AS462" t="s">
        <v>231</v>
      </c>
      <c r="AT462" t="s">
        <v>231</v>
      </c>
      <c r="AU462" t="s">
        <v>231</v>
      </c>
      <c r="AV462" t="s">
        <v>231</v>
      </c>
      <c r="AW462" t="s">
        <v>231</v>
      </c>
      <c r="AX462" t="s">
        <v>231</v>
      </c>
      <c r="AY462" t="s">
        <v>231</v>
      </c>
      <c r="AZ462" t="s">
        <v>231</v>
      </c>
      <c r="BA462" t="s">
        <v>231</v>
      </c>
      <c r="BB462" t="s">
        <v>231</v>
      </c>
      <c r="BC462" t="s">
        <v>231</v>
      </c>
      <c r="BD462" t="s">
        <v>231</v>
      </c>
      <c r="BE462" t="s">
        <v>231</v>
      </c>
      <c r="BF462" t="s">
        <v>231</v>
      </c>
      <c r="BG462" t="s">
        <v>231</v>
      </c>
      <c r="BH462" t="s">
        <v>231</v>
      </c>
      <c r="BI462" t="s">
        <v>231</v>
      </c>
      <c r="BJ462" t="s">
        <v>231</v>
      </c>
      <c r="BK462" t="s">
        <v>231</v>
      </c>
      <c r="BL462" t="s">
        <v>231</v>
      </c>
      <c r="BM462" t="s">
        <v>231</v>
      </c>
      <c r="BN462" t="s">
        <v>231</v>
      </c>
      <c r="BO462" t="s">
        <v>231</v>
      </c>
      <c r="BP462" t="s">
        <v>231</v>
      </c>
      <c r="BQ462" t="s">
        <v>231</v>
      </c>
      <c r="BR462" t="s">
        <v>231</v>
      </c>
      <c r="BS462" t="s">
        <v>231</v>
      </c>
      <c r="BT462" t="s">
        <v>231</v>
      </c>
      <c r="BU462" t="s">
        <v>231</v>
      </c>
      <c r="BV462" t="s">
        <v>231</v>
      </c>
      <c r="BW462" t="s">
        <v>231</v>
      </c>
      <c r="BX462" t="s">
        <v>231</v>
      </c>
      <c r="BY462" t="s">
        <v>231</v>
      </c>
      <c r="BZ462" t="s">
        <v>231</v>
      </c>
      <c r="CA462" t="s">
        <v>231</v>
      </c>
      <c r="CB462" t="s">
        <v>231</v>
      </c>
      <c r="CC462" t="s">
        <v>231</v>
      </c>
      <c r="CD462" t="s">
        <v>231</v>
      </c>
      <c r="CE462" t="s">
        <v>231</v>
      </c>
      <c r="CF462" t="s">
        <v>231</v>
      </c>
      <c r="CG462" t="s">
        <v>231</v>
      </c>
      <c r="CH462" t="s">
        <v>231</v>
      </c>
      <c r="CI462" t="s">
        <v>231</v>
      </c>
      <c r="CJ462" t="s">
        <v>231</v>
      </c>
      <c r="CK462" t="s">
        <v>231</v>
      </c>
      <c r="CL462" t="s">
        <v>231</v>
      </c>
      <c r="CM462" t="s">
        <v>231</v>
      </c>
      <c r="CN462" t="s">
        <v>231</v>
      </c>
      <c r="CO462" t="s">
        <v>231</v>
      </c>
      <c r="CP462" t="s">
        <v>231</v>
      </c>
      <c r="CQ462" t="s">
        <v>231</v>
      </c>
      <c r="CR462" t="s">
        <v>231</v>
      </c>
      <c r="CS462" t="s">
        <v>231</v>
      </c>
      <c r="CT462" t="s">
        <v>3534</v>
      </c>
      <c r="CU462" t="s">
        <v>3535</v>
      </c>
      <c r="CV462" t="s">
        <v>3536</v>
      </c>
      <c r="CW462" t="s">
        <v>3589</v>
      </c>
      <c r="CX462" t="s">
        <v>223</v>
      </c>
      <c r="CY462" t="s">
        <v>3536</v>
      </c>
      <c r="CZ462" t="s">
        <v>3590</v>
      </c>
      <c r="DA462" t="s">
        <v>3591</v>
      </c>
      <c r="DB462" t="s">
        <v>3589</v>
      </c>
      <c r="DC462" t="s">
        <v>363</v>
      </c>
      <c r="DD462" t="s">
        <v>282</v>
      </c>
      <c r="DE462" t="s">
        <v>4716</v>
      </c>
    </row>
    <row r="463" spans="1:109" ht="11.25" customHeight="1">
      <c r="A463" s="1314" t="s">
        <v>231</v>
      </c>
      <c r="B463" t="s">
        <v>231</v>
      </c>
      <c r="C463" t="s">
        <v>231</v>
      </c>
      <c r="D463" t="s">
        <v>231</v>
      </c>
      <c r="E463" t="s">
        <v>231</v>
      </c>
      <c r="F463" t="s">
        <v>231</v>
      </c>
      <c r="G463" t="s">
        <v>231</v>
      </c>
      <c r="H463" t="s">
        <v>231</v>
      </c>
      <c r="I463" t="s">
        <v>3521</v>
      </c>
      <c r="J463" t="s">
        <v>231</v>
      </c>
      <c r="K463" t="s">
        <v>231</v>
      </c>
      <c r="L463" t="s">
        <v>231</v>
      </c>
      <c r="M463" t="s">
        <v>231</v>
      </c>
      <c r="N463" t="s">
        <v>231</v>
      </c>
      <c r="O463" t="s">
        <v>231</v>
      </c>
      <c r="P463" t="s">
        <v>231</v>
      </c>
      <c r="Q463" t="s">
        <v>231</v>
      </c>
      <c r="R463" t="s">
        <v>4770</v>
      </c>
      <c r="S463" t="s">
        <v>231</v>
      </c>
      <c r="T463" t="s">
        <v>231</v>
      </c>
      <c r="U463" t="s">
        <v>101</v>
      </c>
      <c r="V463" t="s">
        <v>231</v>
      </c>
      <c r="W463" t="s">
        <v>231</v>
      </c>
      <c r="X463" t="s">
        <v>3523</v>
      </c>
      <c r="Y463" t="s">
        <v>231</v>
      </c>
      <c r="Z463" t="s">
        <v>160</v>
      </c>
      <c r="AA463" t="s">
        <v>151</v>
      </c>
      <c r="AB463" t="s">
        <v>151</v>
      </c>
      <c r="AC463" t="s">
        <v>2289</v>
      </c>
      <c r="AD463" t="s">
        <v>2289</v>
      </c>
      <c r="AE463" t="s">
        <v>2290</v>
      </c>
      <c r="AF463" t="s">
        <v>4712</v>
      </c>
      <c r="AG463" t="s">
        <v>4713</v>
      </c>
      <c r="AH463" t="s">
        <v>3714</v>
      </c>
      <c r="AI463" t="s">
        <v>4593</v>
      </c>
      <c r="AJ463" t="s">
        <v>3546</v>
      </c>
      <c r="AK463" t="s">
        <v>3586</v>
      </c>
      <c r="AL463" t="s">
        <v>3548</v>
      </c>
      <c r="AM463" t="s">
        <v>3531</v>
      </c>
      <c r="AN463" t="s">
        <v>3595</v>
      </c>
      <c r="AO463" t="s">
        <v>4244</v>
      </c>
      <c r="AP463" t="s">
        <v>231</v>
      </c>
      <c r="AQ463" t="s">
        <v>231</v>
      </c>
      <c r="AR463" t="s">
        <v>231</v>
      </c>
      <c r="AS463" t="s">
        <v>231</v>
      </c>
      <c r="AT463" t="s">
        <v>231</v>
      </c>
      <c r="AU463" t="s">
        <v>231</v>
      </c>
      <c r="AV463" t="s">
        <v>231</v>
      </c>
      <c r="AW463" t="s">
        <v>231</v>
      </c>
      <c r="AX463" t="s">
        <v>231</v>
      </c>
      <c r="AY463" t="s">
        <v>231</v>
      </c>
      <c r="AZ463" t="s">
        <v>231</v>
      </c>
      <c r="BA463" t="s">
        <v>231</v>
      </c>
      <c r="BB463" t="s">
        <v>231</v>
      </c>
      <c r="BC463" t="s">
        <v>231</v>
      </c>
      <c r="BD463" t="s">
        <v>231</v>
      </c>
      <c r="BE463" t="s">
        <v>231</v>
      </c>
      <c r="BF463" t="s">
        <v>231</v>
      </c>
      <c r="BG463" t="s">
        <v>231</v>
      </c>
      <c r="BH463" t="s">
        <v>231</v>
      </c>
      <c r="BI463" t="s">
        <v>231</v>
      </c>
      <c r="BJ463" t="s">
        <v>231</v>
      </c>
      <c r="BK463" t="s">
        <v>231</v>
      </c>
      <c r="BL463" t="s">
        <v>231</v>
      </c>
      <c r="BM463" t="s">
        <v>231</v>
      </c>
      <c r="BN463" t="s">
        <v>231</v>
      </c>
      <c r="BO463" t="s">
        <v>231</v>
      </c>
      <c r="BP463" t="s">
        <v>231</v>
      </c>
      <c r="BQ463" t="s">
        <v>231</v>
      </c>
      <c r="BR463" t="s">
        <v>231</v>
      </c>
      <c r="BS463" t="s">
        <v>231</v>
      </c>
      <c r="BT463" t="s">
        <v>231</v>
      </c>
      <c r="BU463" t="s">
        <v>231</v>
      </c>
      <c r="BV463" t="s">
        <v>231</v>
      </c>
      <c r="BW463" t="s">
        <v>231</v>
      </c>
      <c r="BX463" t="s">
        <v>231</v>
      </c>
      <c r="BY463" t="s">
        <v>231</v>
      </c>
      <c r="BZ463" t="s">
        <v>231</v>
      </c>
      <c r="CA463" t="s">
        <v>231</v>
      </c>
      <c r="CB463" t="s">
        <v>231</v>
      </c>
      <c r="CC463" t="s">
        <v>231</v>
      </c>
      <c r="CD463" t="s">
        <v>231</v>
      </c>
      <c r="CE463" t="s">
        <v>231</v>
      </c>
      <c r="CF463" t="s">
        <v>231</v>
      </c>
      <c r="CG463" t="s">
        <v>231</v>
      </c>
      <c r="CH463" t="s">
        <v>231</v>
      </c>
      <c r="CI463" t="s">
        <v>231</v>
      </c>
      <c r="CJ463" t="s">
        <v>231</v>
      </c>
      <c r="CK463" t="s">
        <v>231</v>
      </c>
      <c r="CL463" t="s">
        <v>231</v>
      </c>
      <c r="CM463" t="s">
        <v>231</v>
      </c>
      <c r="CN463" t="s">
        <v>231</v>
      </c>
      <c r="CO463" t="s">
        <v>231</v>
      </c>
      <c r="CP463" t="s">
        <v>231</v>
      </c>
      <c r="CQ463" t="s">
        <v>231</v>
      </c>
      <c r="CR463" t="s">
        <v>231</v>
      </c>
      <c r="CS463" t="s">
        <v>231</v>
      </c>
      <c r="CT463" t="s">
        <v>3534</v>
      </c>
      <c r="CU463" t="s">
        <v>3831</v>
      </c>
      <c r="CV463" t="s">
        <v>3536</v>
      </c>
      <c r="CW463" t="s">
        <v>3589</v>
      </c>
      <c r="CX463" t="s">
        <v>223</v>
      </c>
      <c r="CY463" t="s">
        <v>3536</v>
      </c>
      <c r="CZ463" t="s">
        <v>3590</v>
      </c>
      <c r="DA463" t="s">
        <v>3591</v>
      </c>
      <c r="DB463" t="s">
        <v>3589</v>
      </c>
      <c r="DC463" t="s">
        <v>363</v>
      </c>
      <c r="DD463" t="s">
        <v>282</v>
      </c>
      <c r="DE463" t="s">
        <v>4771</v>
      </c>
    </row>
    <row r="464" spans="1:109" ht="11.25" customHeight="1">
      <c r="A464" s="1314" t="s">
        <v>231</v>
      </c>
      <c r="B464" t="s">
        <v>231</v>
      </c>
      <c r="C464" t="s">
        <v>231</v>
      </c>
      <c r="D464" t="s">
        <v>231</v>
      </c>
      <c r="E464" t="s">
        <v>231</v>
      </c>
      <c r="F464" t="s">
        <v>231</v>
      </c>
      <c r="G464" t="s">
        <v>231</v>
      </c>
      <c r="H464" t="s">
        <v>231</v>
      </c>
      <c r="I464" t="s">
        <v>3521</v>
      </c>
      <c r="J464" t="s">
        <v>231</v>
      </c>
      <c r="K464" t="s">
        <v>231</v>
      </c>
      <c r="L464" t="s">
        <v>231</v>
      </c>
      <c r="M464" t="s">
        <v>231</v>
      </c>
      <c r="N464" t="s">
        <v>231</v>
      </c>
      <c r="O464" t="s">
        <v>231</v>
      </c>
      <c r="P464" t="s">
        <v>231</v>
      </c>
      <c r="Q464" t="s">
        <v>231</v>
      </c>
      <c r="R464" t="s">
        <v>4778</v>
      </c>
      <c r="S464" t="s">
        <v>231</v>
      </c>
      <c r="T464" t="s">
        <v>231</v>
      </c>
      <c r="U464" t="s">
        <v>101</v>
      </c>
      <c r="V464" t="s">
        <v>231</v>
      </c>
      <c r="W464" t="s">
        <v>231</v>
      </c>
      <c r="X464" t="s">
        <v>3628</v>
      </c>
      <c r="Y464" t="s">
        <v>231</v>
      </c>
      <c r="Z464" t="s">
        <v>151</v>
      </c>
      <c r="AA464" t="s">
        <v>151</v>
      </c>
      <c r="AB464" t="s">
        <v>160</v>
      </c>
      <c r="AC464" t="s">
        <v>2289</v>
      </c>
      <c r="AD464" t="s">
        <v>2289</v>
      </c>
      <c r="AE464" t="s">
        <v>2290</v>
      </c>
      <c r="AF464" t="s">
        <v>4511</v>
      </c>
      <c r="AG464" t="s">
        <v>4512</v>
      </c>
      <c r="AH464" t="s">
        <v>3618</v>
      </c>
      <c r="AI464" t="s">
        <v>3618</v>
      </c>
      <c r="AJ464" t="s">
        <v>231</v>
      </c>
      <c r="AK464" t="s">
        <v>231</v>
      </c>
      <c r="AL464" t="s">
        <v>231</v>
      </c>
      <c r="AM464" t="s">
        <v>231</v>
      </c>
      <c r="AN464" t="s">
        <v>231</v>
      </c>
      <c r="AO464" t="s">
        <v>231</v>
      </c>
      <c r="AP464" t="s">
        <v>231</v>
      </c>
      <c r="AQ464" t="s">
        <v>231</v>
      </c>
      <c r="AR464" t="s">
        <v>231</v>
      </c>
      <c r="AS464" t="s">
        <v>231</v>
      </c>
      <c r="AT464" t="s">
        <v>231</v>
      </c>
      <c r="AU464" t="s">
        <v>231</v>
      </c>
      <c r="AV464" t="s">
        <v>231</v>
      </c>
      <c r="AW464" t="s">
        <v>231</v>
      </c>
      <c r="AX464" t="s">
        <v>231</v>
      </c>
      <c r="AY464" t="s">
        <v>231</v>
      </c>
      <c r="AZ464" t="s">
        <v>231</v>
      </c>
      <c r="BA464" t="s">
        <v>231</v>
      </c>
      <c r="BB464" t="s">
        <v>231</v>
      </c>
      <c r="BC464" t="s">
        <v>231</v>
      </c>
      <c r="BD464" t="s">
        <v>231</v>
      </c>
      <c r="BE464" t="s">
        <v>3619</v>
      </c>
      <c r="BF464" t="s">
        <v>3586</v>
      </c>
      <c r="BG464" t="s">
        <v>111</v>
      </c>
      <c r="BH464" t="s">
        <v>3632</v>
      </c>
      <c r="BI464" t="s">
        <v>122</v>
      </c>
      <c r="BJ464" t="s">
        <v>231</v>
      </c>
      <c r="BK464" t="s">
        <v>3651</v>
      </c>
      <c r="BL464" t="s">
        <v>2289</v>
      </c>
      <c r="BM464" t="s">
        <v>2289</v>
      </c>
      <c r="BN464" t="s">
        <v>3707</v>
      </c>
      <c r="BO464" t="s">
        <v>4511</v>
      </c>
      <c r="BP464" t="s">
        <v>4779</v>
      </c>
      <c r="BQ464" t="s">
        <v>3618</v>
      </c>
      <c r="BR464" t="s">
        <v>3618</v>
      </c>
      <c r="BS464" t="s">
        <v>231</v>
      </c>
      <c r="BT464" t="s">
        <v>3694</v>
      </c>
      <c r="BU464" t="s">
        <v>4780</v>
      </c>
      <c r="BV464" t="s">
        <v>4780</v>
      </c>
      <c r="BW464" t="s">
        <v>3641</v>
      </c>
      <c r="BX464" t="s">
        <v>3641</v>
      </c>
      <c r="BY464" t="s">
        <v>3641</v>
      </c>
      <c r="BZ464" t="s">
        <v>3641</v>
      </c>
      <c r="CA464" t="s">
        <v>3641</v>
      </c>
      <c r="CB464" t="s">
        <v>231</v>
      </c>
      <c r="CC464" t="s">
        <v>231</v>
      </c>
      <c r="CD464" t="s">
        <v>231</v>
      </c>
      <c r="CE464" t="s">
        <v>231</v>
      </c>
      <c r="CF464" t="s">
        <v>231</v>
      </c>
      <c r="CG464" t="s">
        <v>3641</v>
      </c>
      <c r="CH464" t="s">
        <v>231</v>
      </c>
      <c r="CI464" t="s">
        <v>231</v>
      </c>
      <c r="CJ464" t="s">
        <v>231</v>
      </c>
      <c r="CK464" t="s">
        <v>231</v>
      </c>
      <c r="CL464" t="s">
        <v>231</v>
      </c>
      <c r="CM464" t="s">
        <v>4780</v>
      </c>
      <c r="CN464" t="s">
        <v>4780</v>
      </c>
      <c r="CO464" t="s">
        <v>231</v>
      </c>
      <c r="CP464" t="s">
        <v>231</v>
      </c>
      <c r="CQ464" t="s">
        <v>231</v>
      </c>
      <c r="CR464" t="s">
        <v>231</v>
      </c>
      <c r="CS464" t="s">
        <v>3710</v>
      </c>
      <c r="CT464" t="s">
        <v>3534</v>
      </c>
      <c r="CU464" t="s">
        <v>3535</v>
      </c>
      <c r="CV464" t="s">
        <v>3536</v>
      </c>
      <c r="CW464" t="s">
        <v>3589</v>
      </c>
      <c r="CX464" t="s">
        <v>223</v>
      </c>
      <c r="CY464" t="s">
        <v>3536</v>
      </c>
      <c r="CZ464" t="s">
        <v>3590</v>
      </c>
      <c r="DA464" t="s">
        <v>3591</v>
      </c>
      <c r="DB464" t="s">
        <v>3589</v>
      </c>
      <c r="DC464" t="s">
        <v>363</v>
      </c>
      <c r="DD464" t="s">
        <v>282</v>
      </c>
      <c r="DE464" t="s">
        <v>4781</v>
      </c>
    </row>
    <row r="465" spans="1:109" ht="11.25" customHeight="1">
      <c r="A465" s="1314" t="s">
        <v>231</v>
      </c>
      <c r="B465" t="s">
        <v>231</v>
      </c>
      <c r="C465" t="s">
        <v>231</v>
      </c>
      <c r="D465" t="s">
        <v>231</v>
      </c>
      <c r="E465" t="s">
        <v>231</v>
      </c>
      <c r="F465" t="s">
        <v>231</v>
      </c>
      <c r="G465" t="s">
        <v>231</v>
      </c>
      <c r="H465" t="s">
        <v>231</v>
      </c>
      <c r="I465" t="s">
        <v>3521</v>
      </c>
      <c r="J465" t="s">
        <v>231</v>
      </c>
      <c r="K465" t="s">
        <v>231</v>
      </c>
      <c r="L465" t="s">
        <v>231</v>
      </c>
      <c r="M465" t="s">
        <v>231</v>
      </c>
      <c r="N465" t="s">
        <v>231</v>
      </c>
      <c r="O465" t="s">
        <v>231</v>
      </c>
      <c r="P465" t="s">
        <v>231</v>
      </c>
      <c r="Q465" t="s">
        <v>231</v>
      </c>
      <c r="R465" t="s">
        <v>4998</v>
      </c>
      <c r="S465" t="s">
        <v>231</v>
      </c>
      <c r="T465" t="s">
        <v>231</v>
      </c>
      <c r="U465" t="s">
        <v>101</v>
      </c>
      <c r="V465" t="s">
        <v>231</v>
      </c>
      <c r="W465" t="s">
        <v>231</v>
      </c>
      <c r="X465" t="s">
        <v>3628</v>
      </c>
      <c r="Y465" t="s">
        <v>231</v>
      </c>
      <c r="Z465" t="s">
        <v>151</v>
      </c>
      <c r="AA465" t="s">
        <v>151</v>
      </c>
      <c r="AB465" t="s">
        <v>160</v>
      </c>
      <c r="AC465" t="s">
        <v>2289</v>
      </c>
      <c r="AD465" t="s">
        <v>2289</v>
      </c>
      <c r="AE465" t="s">
        <v>2290</v>
      </c>
      <c r="AF465" t="s">
        <v>4775</v>
      </c>
      <c r="AG465" t="s">
        <v>4776</v>
      </c>
      <c r="AH465" t="s">
        <v>3618</v>
      </c>
      <c r="AI465" t="s">
        <v>3618</v>
      </c>
      <c r="AJ465" t="s">
        <v>231</v>
      </c>
      <c r="AK465" t="s">
        <v>231</v>
      </c>
      <c r="AL465" t="s">
        <v>231</v>
      </c>
      <c r="AM465" t="s">
        <v>231</v>
      </c>
      <c r="AN465" t="s">
        <v>231</v>
      </c>
      <c r="AO465" t="s">
        <v>231</v>
      </c>
      <c r="AP465" t="s">
        <v>231</v>
      </c>
      <c r="AQ465" t="s">
        <v>231</v>
      </c>
      <c r="AR465" t="s">
        <v>231</v>
      </c>
      <c r="AS465" t="s">
        <v>231</v>
      </c>
      <c r="AT465" t="s">
        <v>231</v>
      </c>
      <c r="AU465" t="s">
        <v>231</v>
      </c>
      <c r="AV465" t="s">
        <v>231</v>
      </c>
      <c r="AW465" t="s">
        <v>231</v>
      </c>
      <c r="AX465" t="s">
        <v>231</v>
      </c>
      <c r="AY465" t="s">
        <v>231</v>
      </c>
      <c r="AZ465" t="s">
        <v>231</v>
      </c>
      <c r="BA465" t="s">
        <v>231</v>
      </c>
      <c r="BB465" t="s">
        <v>231</v>
      </c>
      <c r="BC465" t="s">
        <v>231</v>
      </c>
      <c r="BD465" t="s">
        <v>231</v>
      </c>
      <c r="BE465" t="s">
        <v>3546</v>
      </c>
      <c r="BF465" t="s">
        <v>3716</v>
      </c>
      <c r="BG465" t="s">
        <v>111</v>
      </c>
      <c r="BH465" t="s">
        <v>3632</v>
      </c>
      <c r="BI465" t="s">
        <v>122</v>
      </c>
      <c r="BJ465" t="s">
        <v>231</v>
      </c>
      <c r="BK465" t="s">
        <v>3651</v>
      </c>
      <c r="BL465" t="s">
        <v>2289</v>
      </c>
      <c r="BM465" t="s">
        <v>2289</v>
      </c>
      <c r="BN465" t="s">
        <v>3707</v>
      </c>
      <c r="BO465" t="s">
        <v>4775</v>
      </c>
      <c r="BP465" t="s">
        <v>4999</v>
      </c>
      <c r="BQ465" t="s">
        <v>3618</v>
      </c>
      <c r="BR465" t="s">
        <v>3618</v>
      </c>
      <c r="BS465" t="s">
        <v>231</v>
      </c>
      <c r="BT465" t="s">
        <v>3694</v>
      </c>
      <c r="BU465" t="s">
        <v>5000</v>
      </c>
      <c r="BV465" t="s">
        <v>5000</v>
      </c>
      <c r="BW465" t="s">
        <v>3641</v>
      </c>
      <c r="BX465" t="s">
        <v>3641</v>
      </c>
      <c r="BY465" t="s">
        <v>3641</v>
      </c>
      <c r="BZ465" t="s">
        <v>3641</v>
      </c>
      <c r="CA465" t="s">
        <v>3641</v>
      </c>
      <c r="CB465" t="s">
        <v>231</v>
      </c>
      <c r="CC465" t="s">
        <v>231</v>
      </c>
      <c r="CD465" t="s">
        <v>231</v>
      </c>
      <c r="CE465" t="s">
        <v>231</v>
      </c>
      <c r="CF465" t="s">
        <v>231</v>
      </c>
      <c r="CG465" t="s">
        <v>3641</v>
      </c>
      <c r="CH465" t="s">
        <v>231</v>
      </c>
      <c r="CI465" t="s">
        <v>231</v>
      </c>
      <c r="CJ465" t="s">
        <v>231</v>
      </c>
      <c r="CK465" t="s">
        <v>231</v>
      </c>
      <c r="CL465" t="s">
        <v>231</v>
      </c>
      <c r="CM465" t="s">
        <v>5000</v>
      </c>
      <c r="CN465" t="s">
        <v>5000</v>
      </c>
      <c r="CO465" t="s">
        <v>231</v>
      </c>
      <c r="CP465" t="s">
        <v>231</v>
      </c>
      <c r="CQ465" t="s">
        <v>231</v>
      </c>
      <c r="CR465" t="s">
        <v>231</v>
      </c>
      <c r="CS465" t="s">
        <v>3710</v>
      </c>
      <c r="CT465" t="s">
        <v>3534</v>
      </c>
      <c r="CU465" t="s">
        <v>3535</v>
      </c>
      <c r="CV465" t="s">
        <v>3536</v>
      </c>
      <c r="CW465" t="s">
        <v>3589</v>
      </c>
      <c r="CX465" t="s">
        <v>223</v>
      </c>
      <c r="CY465" t="s">
        <v>3536</v>
      </c>
      <c r="CZ465" t="s">
        <v>3590</v>
      </c>
      <c r="DA465" t="s">
        <v>3591</v>
      </c>
      <c r="DB465" t="s">
        <v>3589</v>
      </c>
      <c r="DC465" t="s">
        <v>363</v>
      </c>
      <c r="DD465" t="s">
        <v>282</v>
      </c>
      <c r="DE465" t="s">
        <v>5001</v>
      </c>
    </row>
    <row r="466" spans="1:109" ht="11.25" customHeight="1">
      <c r="A466" s="1314" t="s">
        <v>231</v>
      </c>
      <c r="B466" t="s">
        <v>231</v>
      </c>
      <c r="C466" t="s">
        <v>231</v>
      </c>
      <c r="D466" t="s">
        <v>231</v>
      </c>
      <c r="E466" t="s">
        <v>231</v>
      </c>
      <c r="F466" t="s">
        <v>231</v>
      </c>
      <c r="G466" t="s">
        <v>231</v>
      </c>
      <c r="H466" t="s">
        <v>231</v>
      </c>
      <c r="I466" t="s">
        <v>3521</v>
      </c>
      <c r="J466" t="s">
        <v>231</v>
      </c>
      <c r="K466" t="s">
        <v>231</v>
      </c>
      <c r="L466" t="s">
        <v>231</v>
      </c>
      <c r="M466" t="s">
        <v>231</v>
      </c>
      <c r="N466" t="s">
        <v>231</v>
      </c>
      <c r="O466" t="s">
        <v>231</v>
      </c>
      <c r="P466" t="s">
        <v>231</v>
      </c>
      <c r="Q466" t="s">
        <v>231</v>
      </c>
      <c r="R466" t="s">
        <v>3615</v>
      </c>
      <c r="S466" t="s">
        <v>231</v>
      </c>
      <c r="T466" t="s">
        <v>231</v>
      </c>
      <c r="U466" t="s">
        <v>101</v>
      </c>
      <c r="V466" t="s">
        <v>231</v>
      </c>
      <c r="W466" t="s">
        <v>231</v>
      </c>
      <c r="X466" t="s">
        <v>3523</v>
      </c>
      <c r="Y466" t="s">
        <v>231</v>
      </c>
      <c r="Z466" t="s">
        <v>160</v>
      </c>
      <c r="AA466" t="s">
        <v>151</v>
      </c>
      <c r="AB466" t="s">
        <v>151</v>
      </c>
      <c r="AC466" t="s">
        <v>2289</v>
      </c>
      <c r="AD466" t="s">
        <v>2289</v>
      </c>
      <c r="AE466" t="s">
        <v>2290</v>
      </c>
      <c r="AF466" t="s">
        <v>4250</v>
      </c>
      <c r="AG466" t="s">
        <v>4251</v>
      </c>
      <c r="AH466" t="s">
        <v>4252</v>
      </c>
      <c r="AI466" t="s">
        <v>4253</v>
      </c>
      <c r="AJ466" t="s">
        <v>4254</v>
      </c>
      <c r="AK466" t="s">
        <v>3820</v>
      </c>
      <c r="AL466" t="s">
        <v>3548</v>
      </c>
      <c r="AM466" t="s">
        <v>3531</v>
      </c>
      <c r="AN466" t="s">
        <v>3595</v>
      </c>
      <c r="AO466" t="s">
        <v>3913</v>
      </c>
      <c r="AP466" t="s">
        <v>231</v>
      </c>
      <c r="AQ466" t="s">
        <v>231</v>
      </c>
      <c r="AR466" t="s">
        <v>231</v>
      </c>
      <c r="AS466" t="s">
        <v>231</v>
      </c>
      <c r="AT466" t="s">
        <v>231</v>
      </c>
      <c r="AU466" t="s">
        <v>231</v>
      </c>
      <c r="AV466" t="s">
        <v>231</v>
      </c>
      <c r="AW466" t="s">
        <v>231</v>
      </c>
      <c r="AX466" t="s">
        <v>231</v>
      </c>
      <c r="AY466" t="s">
        <v>231</v>
      </c>
      <c r="AZ466" t="s">
        <v>231</v>
      </c>
      <c r="BA466" t="s">
        <v>231</v>
      </c>
      <c r="BB466" t="s">
        <v>231</v>
      </c>
      <c r="BC466" t="s">
        <v>231</v>
      </c>
      <c r="BD466" t="s">
        <v>231</v>
      </c>
      <c r="BE466" t="s">
        <v>231</v>
      </c>
      <c r="BF466" t="s">
        <v>231</v>
      </c>
      <c r="BG466" t="s">
        <v>231</v>
      </c>
      <c r="BH466" t="s">
        <v>231</v>
      </c>
      <c r="BI466" t="s">
        <v>231</v>
      </c>
      <c r="BJ466" t="s">
        <v>231</v>
      </c>
      <c r="BK466" t="s">
        <v>231</v>
      </c>
      <c r="BL466" t="s">
        <v>231</v>
      </c>
      <c r="BM466" t="s">
        <v>231</v>
      </c>
      <c r="BN466" t="s">
        <v>231</v>
      </c>
      <c r="BO466" t="s">
        <v>231</v>
      </c>
      <c r="BP466" t="s">
        <v>231</v>
      </c>
      <c r="BQ466" t="s">
        <v>231</v>
      </c>
      <c r="BR466" t="s">
        <v>231</v>
      </c>
      <c r="BS466" t="s">
        <v>231</v>
      </c>
      <c r="BT466" t="s">
        <v>231</v>
      </c>
      <c r="BU466" t="s">
        <v>231</v>
      </c>
      <c r="BV466" t="s">
        <v>231</v>
      </c>
      <c r="BW466" t="s">
        <v>231</v>
      </c>
      <c r="BX466" t="s">
        <v>231</v>
      </c>
      <c r="BY466" t="s">
        <v>231</v>
      </c>
      <c r="BZ466" t="s">
        <v>231</v>
      </c>
      <c r="CA466" t="s">
        <v>231</v>
      </c>
      <c r="CB466" t="s">
        <v>231</v>
      </c>
      <c r="CC466" t="s">
        <v>231</v>
      </c>
      <c r="CD466" t="s">
        <v>231</v>
      </c>
      <c r="CE466" t="s">
        <v>231</v>
      </c>
      <c r="CF466" t="s">
        <v>231</v>
      </c>
      <c r="CG466" t="s">
        <v>231</v>
      </c>
      <c r="CH466" t="s">
        <v>231</v>
      </c>
      <c r="CI466" t="s">
        <v>231</v>
      </c>
      <c r="CJ466" t="s">
        <v>231</v>
      </c>
      <c r="CK466" t="s">
        <v>231</v>
      </c>
      <c r="CL466" t="s">
        <v>231</v>
      </c>
      <c r="CM466" t="s">
        <v>231</v>
      </c>
      <c r="CN466" t="s">
        <v>231</v>
      </c>
      <c r="CO466" t="s">
        <v>231</v>
      </c>
      <c r="CP466" t="s">
        <v>231</v>
      </c>
      <c r="CQ466" t="s">
        <v>231</v>
      </c>
      <c r="CR466" t="s">
        <v>231</v>
      </c>
      <c r="CS466" t="s">
        <v>231</v>
      </c>
      <c r="CT466" t="s">
        <v>3534</v>
      </c>
      <c r="CU466" t="s">
        <v>3535</v>
      </c>
      <c r="CV466" t="s">
        <v>3536</v>
      </c>
      <c r="CW466" t="s">
        <v>3589</v>
      </c>
      <c r="CX466" t="s">
        <v>223</v>
      </c>
      <c r="CY466" t="s">
        <v>3536</v>
      </c>
      <c r="CZ466" t="s">
        <v>3590</v>
      </c>
      <c r="DA466" t="s">
        <v>3591</v>
      </c>
      <c r="DB466" t="s">
        <v>3589</v>
      </c>
      <c r="DC466" t="s">
        <v>363</v>
      </c>
      <c r="DD466" t="s">
        <v>282</v>
      </c>
      <c r="DE466" t="s">
        <v>4255</v>
      </c>
    </row>
    <row r="467" spans="1:109" ht="11.25" customHeight="1">
      <c r="A467" s="1314" t="s">
        <v>231</v>
      </c>
      <c r="B467" t="s">
        <v>231</v>
      </c>
      <c r="C467" t="s">
        <v>231</v>
      </c>
      <c r="D467" t="s">
        <v>231</v>
      </c>
      <c r="E467" t="s">
        <v>231</v>
      </c>
      <c r="F467" t="s">
        <v>231</v>
      </c>
      <c r="G467" t="s">
        <v>231</v>
      </c>
      <c r="H467" t="s">
        <v>231</v>
      </c>
      <c r="I467" t="s">
        <v>3521</v>
      </c>
      <c r="J467" t="s">
        <v>231</v>
      </c>
      <c r="K467" t="s">
        <v>231</v>
      </c>
      <c r="L467" t="s">
        <v>231</v>
      </c>
      <c r="M467" t="s">
        <v>231</v>
      </c>
      <c r="N467" t="s">
        <v>231</v>
      </c>
      <c r="O467" t="s">
        <v>231</v>
      </c>
      <c r="P467" t="s">
        <v>231</v>
      </c>
      <c r="Q467" t="s">
        <v>231</v>
      </c>
      <c r="R467" t="s">
        <v>4324</v>
      </c>
      <c r="S467" t="s">
        <v>231</v>
      </c>
      <c r="T467" t="s">
        <v>231</v>
      </c>
      <c r="U467" t="s">
        <v>101</v>
      </c>
      <c r="V467" t="s">
        <v>231</v>
      </c>
      <c r="W467" t="s">
        <v>231</v>
      </c>
      <c r="X467" t="s">
        <v>3628</v>
      </c>
      <c r="Y467" t="s">
        <v>231</v>
      </c>
      <c r="Z467" t="s">
        <v>151</v>
      </c>
      <c r="AA467" t="s">
        <v>151</v>
      </c>
      <c r="AB467" t="s">
        <v>160</v>
      </c>
      <c r="AC467" t="s">
        <v>2289</v>
      </c>
      <c r="AD467" t="s">
        <v>2289</v>
      </c>
      <c r="AE467" t="s">
        <v>2290</v>
      </c>
      <c r="AF467" t="s">
        <v>4250</v>
      </c>
      <c r="AG467" t="s">
        <v>4251</v>
      </c>
      <c r="AH467" t="s">
        <v>3618</v>
      </c>
      <c r="AI467" t="s">
        <v>3618</v>
      </c>
      <c r="AJ467" t="s">
        <v>231</v>
      </c>
      <c r="AK467" t="s">
        <v>231</v>
      </c>
      <c r="AL467" t="s">
        <v>231</v>
      </c>
      <c r="AM467" t="s">
        <v>231</v>
      </c>
      <c r="AN467" t="s">
        <v>231</v>
      </c>
      <c r="AO467" t="s">
        <v>231</v>
      </c>
      <c r="AP467" t="s">
        <v>231</v>
      </c>
      <c r="AQ467" t="s">
        <v>231</v>
      </c>
      <c r="AR467" t="s">
        <v>231</v>
      </c>
      <c r="AS467" t="s">
        <v>231</v>
      </c>
      <c r="AT467" t="s">
        <v>231</v>
      </c>
      <c r="AU467" t="s">
        <v>231</v>
      </c>
      <c r="AV467" t="s">
        <v>231</v>
      </c>
      <c r="AW467" t="s">
        <v>231</v>
      </c>
      <c r="AX467" t="s">
        <v>231</v>
      </c>
      <c r="AY467" t="s">
        <v>231</v>
      </c>
      <c r="AZ467" t="s">
        <v>231</v>
      </c>
      <c r="BA467" t="s">
        <v>231</v>
      </c>
      <c r="BB467" t="s">
        <v>231</v>
      </c>
      <c r="BC467" t="s">
        <v>231</v>
      </c>
      <c r="BD467" t="s">
        <v>231</v>
      </c>
      <c r="BE467" t="s">
        <v>3594</v>
      </c>
      <c r="BF467" t="s">
        <v>3716</v>
      </c>
      <c r="BG467" t="s">
        <v>111</v>
      </c>
      <c r="BH467" t="s">
        <v>3632</v>
      </c>
      <c r="BI467" t="s">
        <v>122</v>
      </c>
      <c r="BJ467" t="s">
        <v>231</v>
      </c>
      <c r="BK467" t="s">
        <v>3651</v>
      </c>
      <c r="BL467" t="s">
        <v>2289</v>
      </c>
      <c r="BM467" t="s">
        <v>2289</v>
      </c>
      <c r="BN467" t="s">
        <v>3707</v>
      </c>
      <c r="BO467" t="s">
        <v>4250</v>
      </c>
      <c r="BP467" t="s">
        <v>4325</v>
      </c>
      <c r="BQ467" t="s">
        <v>3618</v>
      </c>
      <c r="BR467" t="s">
        <v>3618</v>
      </c>
      <c r="BS467" t="s">
        <v>231</v>
      </c>
      <c r="BT467" t="s">
        <v>3694</v>
      </c>
      <c r="BU467" t="s">
        <v>4326</v>
      </c>
      <c r="BV467" t="s">
        <v>4326</v>
      </c>
      <c r="BW467" t="s">
        <v>3641</v>
      </c>
      <c r="BX467" t="s">
        <v>3641</v>
      </c>
      <c r="BY467" t="s">
        <v>3641</v>
      </c>
      <c r="BZ467" t="s">
        <v>3641</v>
      </c>
      <c r="CA467" t="s">
        <v>3641</v>
      </c>
      <c r="CB467" t="s">
        <v>231</v>
      </c>
      <c r="CC467" t="s">
        <v>231</v>
      </c>
      <c r="CD467" t="s">
        <v>231</v>
      </c>
      <c r="CE467" t="s">
        <v>231</v>
      </c>
      <c r="CF467" t="s">
        <v>231</v>
      </c>
      <c r="CG467" t="s">
        <v>3641</v>
      </c>
      <c r="CH467" t="s">
        <v>231</v>
      </c>
      <c r="CI467" t="s">
        <v>231</v>
      </c>
      <c r="CJ467" t="s">
        <v>231</v>
      </c>
      <c r="CK467" t="s">
        <v>231</v>
      </c>
      <c r="CL467" t="s">
        <v>231</v>
      </c>
      <c r="CM467" t="s">
        <v>4326</v>
      </c>
      <c r="CN467" t="s">
        <v>4326</v>
      </c>
      <c r="CO467" t="s">
        <v>231</v>
      </c>
      <c r="CP467" t="s">
        <v>231</v>
      </c>
      <c r="CQ467" t="s">
        <v>231</v>
      </c>
      <c r="CR467" t="s">
        <v>231</v>
      </c>
      <c r="CS467" t="s">
        <v>3710</v>
      </c>
      <c r="CT467" t="s">
        <v>3534</v>
      </c>
      <c r="CU467" t="s">
        <v>3535</v>
      </c>
      <c r="CV467" t="s">
        <v>3536</v>
      </c>
      <c r="CW467" t="s">
        <v>3589</v>
      </c>
      <c r="CX467" t="s">
        <v>223</v>
      </c>
      <c r="CY467" t="s">
        <v>3536</v>
      </c>
      <c r="CZ467" t="s">
        <v>3590</v>
      </c>
      <c r="DA467" t="s">
        <v>3591</v>
      </c>
      <c r="DB467" t="s">
        <v>3589</v>
      </c>
      <c r="DC467" t="s">
        <v>363</v>
      </c>
      <c r="DD467" t="s">
        <v>282</v>
      </c>
      <c r="DE467" t="s">
        <v>4327</v>
      </c>
    </row>
    <row r="468" spans="1:109" ht="11.25" customHeight="1">
      <c r="A468" s="1314" t="s">
        <v>231</v>
      </c>
      <c r="B468" t="s">
        <v>231</v>
      </c>
      <c r="C468" t="s">
        <v>231</v>
      </c>
      <c r="D468" t="s">
        <v>231</v>
      </c>
      <c r="E468" t="s">
        <v>231</v>
      </c>
      <c r="F468" t="s">
        <v>231</v>
      </c>
      <c r="G468" t="s">
        <v>231</v>
      </c>
      <c r="H468" t="s">
        <v>231</v>
      </c>
      <c r="I468" t="s">
        <v>3521</v>
      </c>
      <c r="J468" t="s">
        <v>231</v>
      </c>
      <c r="K468" t="s">
        <v>231</v>
      </c>
      <c r="L468" t="s">
        <v>231</v>
      </c>
      <c r="M468" t="s">
        <v>231</v>
      </c>
      <c r="N468" t="s">
        <v>231</v>
      </c>
      <c r="O468" t="s">
        <v>231</v>
      </c>
      <c r="P468" t="s">
        <v>231</v>
      </c>
      <c r="Q468" t="s">
        <v>231</v>
      </c>
      <c r="R468" t="s">
        <v>5051</v>
      </c>
      <c r="S468" t="s">
        <v>231</v>
      </c>
      <c r="T468" t="s">
        <v>231</v>
      </c>
      <c r="U468" t="s">
        <v>101</v>
      </c>
      <c r="V468" t="s">
        <v>231</v>
      </c>
      <c r="W468" t="s">
        <v>231</v>
      </c>
      <c r="X468" t="s">
        <v>3523</v>
      </c>
      <c r="Y468" t="s">
        <v>231</v>
      </c>
      <c r="Z468" t="s">
        <v>160</v>
      </c>
      <c r="AA468" t="s">
        <v>151</v>
      </c>
      <c r="AB468" t="s">
        <v>151</v>
      </c>
      <c r="AC468" t="s">
        <v>343</v>
      </c>
      <c r="AD468" t="s">
        <v>343</v>
      </c>
      <c r="AE468" t="s">
        <v>344</v>
      </c>
      <c r="AF468" t="s">
        <v>3561</v>
      </c>
      <c r="AG468" t="s">
        <v>3562</v>
      </c>
      <c r="AH468" t="s">
        <v>4329</v>
      </c>
      <c r="AI468" t="s">
        <v>3575</v>
      </c>
      <c r="AJ468" t="s">
        <v>3825</v>
      </c>
      <c r="AK468" t="s">
        <v>4330</v>
      </c>
      <c r="AL468" t="s">
        <v>3566</v>
      </c>
      <c r="AM468" t="s">
        <v>3531</v>
      </c>
      <c r="AN468" t="s">
        <v>4331</v>
      </c>
      <c r="AO468" t="s">
        <v>4332</v>
      </c>
      <c r="AP468" t="s">
        <v>231</v>
      </c>
      <c r="AQ468" t="s">
        <v>231</v>
      </c>
      <c r="AR468" t="s">
        <v>231</v>
      </c>
      <c r="AS468" t="s">
        <v>231</v>
      </c>
      <c r="AT468" t="s">
        <v>231</v>
      </c>
      <c r="AU468" t="s">
        <v>231</v>
      </c>
      <c r="AV468" t="s">
        <v>231</v>
      </c>
      <c r="AW468" t="s">
        <v>231</v>
      </c>
      <c r="AX468" t="s">
        <v>231</v>
      </c>
      <c r="AY468" t="s">
        <v>231</v>
      </c>
      <c r="AZ468" t="s">
        <v>231</v>
      </c>
      <c r="BA468" t="s">
        <v>231</v>
      </c>
      <c r="BB468" t="s">
        <v>231</v>
      </c>
      <c r="BC468" t="s">
        <v>231</v>
      </c>
      <c r="BD468" t="s">
        <v>231</v>
      </c>
      <c r="BE468" t="s">
        <v>231</v>
      </c>
      <c r="BF468" t="s">
        <v>231</v>
      </c>
      <c r="BG468" t="s">
        <v>231</v>
      </c>
      <c r="BH468" t="s">
        <v>231</v>
      </c>
      <c r="BI468" t="s">
        <v>231</v>
      </c>
      <c r="BJ468" t="s">
        <v>231</v>
      </c>
      <c r="BK468" t="s">
        <v>231</v>
      </c>
      <c r="BL468" t="s">
        <v>231</v>
      </c>
      <c r="BM468" t="s">
        <v>231</v>
      </c>
      <c r="BN468" t="s">
        <v>231</v>
      </c>
      <c r="BO468" t="s">
        <v>231</v>
      </c>
      <c r="BP468" t="s">
        <v>231</v>
      </c>
      <c r="BQ468" t="s">
        <v>231</v>
      </c>
      <c r="BR468" t="s">
        <v>231</v>
      </c>
      <c r="BS468" t="s">
        <v>231</v>
      </c>
      <c r="BT468" t="s">
        <v>231</v>
      </c>
      <c r="BU468" t="s">
        <v>231</v>
      </c>
      <c r="BV468" t="s">
        <v>231</v>
      </c>
      <c r="BW468" t="s">
        <v>231</v>
      </c>
      <c r="BX468" t="s">
        <v>231</v>
      </c>
      <c r="BY468" t="s">
        <v>231</v>
      </c>
      <c r="BZ468" t="s">
        <v>231</v>
      </c>
      <c r="CA468" t="s">
        <v>231</v>
      </c>
      <c r="CB468" t="s">
        <v>231</v>
      </c>
      <c r="CC468" t="s">
        <v>231</v>
      </c>
      <c r="CD468" t="s">
        <v>231</v>
      </c>
      <c r="CE468" t="s">
        <v>231</v>
      </c>
      <c r="CF468" t="s">
        <v>231</v>
      </c>
      <c r="CG468" t="s">
        <v>231</v>
      </c>
      <c r="CH468" t="s">
        <v>231</v>
      </c>
      <c r="CI468" t="s">
        <v>231</v>
      </c>
      <c r="CJ468" t="s">
        <v>231</v>
      </c>
      <c r="CK468" t="s">
        <v>231</v>
      </c>
      <c r="CL468" t="s">
        <v>231</v>
      </c>
      <c r="CM468" t="s">
        <v>231</v>
      </c>
      <c r="CN468" t="s">
        <v>231</v>
      </c>
      <c r="CO468" t="s">
        <v>231</v>
      </c>
      <c r="CP468" t="s">
        <v>231</v>
      </c>
      <c r="CQ468" t="s">
        <v>231</v>
      </c>
      <c r="CR468" t="s">
        <v>231</v>
      </c>
      <c r="CS468" t="s">
        <v>231</v>
      </c>
      <c r="CT468" t="s">
        <v>3534</v>
      </c>
      <c r="CU468" t="s">
        <v>3535</v>
      </c>
      <c r="CV468" t="s">
        <v>3536</v>
      </c>
      <c r="CW468" t="s">
        <v>3569</v>
      </c>
      <c r="CX468" t="s">
        <v>3570</v>
      </c>
      <c r="CY468" t="s">
        <v>3536</v>
      </c>
      <c r="CZ468" t="s">
        <v>224</v>
      </c>
      <c r="DA468" t="s">
        <v>3571</v>
      </c>
      <c r="DB468" t="s">
        <v>3569</v>
      </c>
      <c r="DC468" t="s">
        <v>363</v>
      </c>
      <c r="DD468" t="s">
        <v>282</v>
      </c>
      <c r="DE468" t="s">
        <v>4333</v>
      </c>
    </row>
    <row r="469" spans="1:109" ht="11.25" customHeight="1">
      <c r="A469" s="1314" t="s">
        <v>231</v>
      </c>
      <c r="B469" t="s">
        <v>231</v>
      </c>
      <c r="C469" t="s">
        <v>231</v>
      </c>
      <c r="D469" t="s">
        <v>231</v>
      </c>
      <c r="E469" t="s">
        <v>231</v>
      </c>
      <c r="F469" t="s">
        <v>231</v>
      </c>
      <c r="G469" t="s">
        <v>231</v>
      </c>
      <c r="H469" t="s">
        <v>231</v>
      </c>
      <c r="I469" t="s">
        <v>3521</v>
      </c>
      <c r="J469" t="s">
        <v>231</v>
      </c>
      <c r="K469" t="s">
        <v>231</v>
      </c>
      <c r="L469" t="s">
        <v>231</v>
      </c>
      <c r="M469" t="s">
        <v>231</v>
      </c>
      <c r="N469" t="s">
        <v>231</v>
      </c>
      <c r="O469" t="s">
        <v>231</v>
      </c>
      <c r="P469" t="s">
        <v>231</v>
      </c>
      <c r="Q469" t="s">
        <v>231</v>
      </c>
      <c r="R469" t="s">
        <v>3615</v>
      </c>
      <c r="S469" t="s">
        <v>231</v>
      </c>
      <c r="T469" t="s">
        <v>231</v>
      </c>
      <c r="U469" t="s">
        <v>101</v>
      </c>
      <c r="V469" t="s">
        <v>231</v>
      </c>
      <c r="W469" t="s">
        <v>231</v>
      </c>
      <c r="X469" t="s">
        <v>3523</v>
      </c>
      <c r="Y469" t="s">
        <v>231</v>
      </c>
      <c r="Z469" t="s">
        <v>160</v>
      </c>
      <c r="AA469" t="s">
        <v>151</v>
      </c>
      <c r="AB469" t="s">
        <v>151</v>
      </c>
      <c r="AC469" t="s">
        <v>2289</v>
      </c>
      <c r="AD469" t="s">
        <v>2289</v>
      </c>
      <c r="AE469" t="s">
        <v>2290</v>
      </c>
      <c r="AF469" t="s">
        <v>4596</v>
      </c>
      <c r="AG469" t="s">
        <v>4597</v>
      </c>
      <c r="AH469" t="s">
        <v>4522</v>
      </c>
      <c r="AI469" t="s">
        <v>1725</v>
      </c>
      <c r="AJ469" t="s">
        <v>4481</v>
      </c>
      <c r="AK469" t="s">
        <v>3716</v>
      </c>
      <c r="AL469" t="s">
        <v>3548</v>
      </c>
      <c r="AM469" t="s">
        <v>3531</v>
      </c>
      <c r="AN469" t="s">
        <v>3595</v>
      </c>
      <c r="AO469" t="s">
        <v>4099</v>
      </c>
      <c r="AP469" t="s">
        <v>231</v>
      </c>
      <c r="AQ469" t="s">
        <v>231</v>
      </c>
      <c r="AR469" t="s">
        <v>231</v>
      </c>
      <c r="AS469" t="s">
        <v>231</v>
      </c>
      <c r="AT469" t="s">
        <v>231</v>
      </c>
      <c r="AU469" t="s">
        <v>231</v>
      </c>
      <c r="AV469" t="s">
        <v>231</v>
      </c>
      <c r="AW469" t="s">
        <v>231</v>
      </c>
      <c r="AX469" t="s">
        <v>231</v>
      </c>
      <c r="AY469" t="s">
        <v>231</v>
      </c>
      <c r="AZ469" t="s">
        <v>231</v>
      </c>
      <c r="BA469" t="s">
        <v>231</v>
      </c>
      <c r="BB469" t="s">
        <v>231</v>
      </c>
      <c r="BC469" t="s">
        <v>231</v>
      </c>
      <c r="BD469" t="s">
        <v>231</v>
      </c>
      <c r="BE469" t="s">
        <v>231</v>
      </c>
      <c r="BF469" t="s">
        <v>231</v>
      </c>
      <c r="BG469" t="s">
        <v>231</v>
      </c>
      <c r="BH469" t="s">
        <v>231</v>
      </c>
      <c r="BI469" t="s">
        <v>231</v>
      </c>
      <c r="BJ469" t="s">
        <v>231</v>
      </c>
      <c r="BK469" t="s">
        <v>231</v>
      </c>
      <c r="BL469" t="s">
        <v>231</v>
      </c>
      <c r="BM469" t="s">
        <v>231</v>
      </c>
      <c r="BN469" t="s">
        <v>231</v>
      </c>
      <c r="BO469" t="s">
        <v>231</v>
      </c>
      <c r="BP469" t="s">
        <v>231</v>
      </c>
      <c r="BQ469" t="s">
        <v>231</v>
      </c>
      <c r="BR469" t="s">
        <v>231</v>
      </c>
      <c r="BS469" t="s">
        <v>231</v>
      </c>
      <c r="BT469" t="s">
        <v>231</v>
      </c>
      <c r="BU469" t="s">
        <v>231</v>
      </c>
      <c r="BV469" t="s">
        <v>231</v>
      </c>
      <c r="BW469" t="s">
        <v>231</v>
      </c>
      <c r="BX469" t="s">
        <v>231</v>
      </c>
      <c r="BY469" t="s">
        <v>231</v>
      </c>
      <c r="BZ469" t="s">
        <v>231</v>
      </c>
      <c r="CA469" t="s">
        <v>231</v>
      </c>
      <c r="CB469" t="s">
        <v>231</v>
      </c>
      <c r="CC469" t="s">
        <v>231</v>
      </c>
      <c r="CD469" t="s">
        <v>231</v>
      </c>
      <c r="CE469" t="s">
        <v>231</v>
      </c>
      <c r="CF469" t="s">
        <v>231</v>
      </c>
      <c r="CG469" t="s">
        <v>231</v>
      </c>
      <c r="CH469" t="s">
        <v>231</v>
      </c>
      <c r="CI469" t="s">
        <v>231</v>
      </c>
      <c r="CJ469" t="s">
        <v>231</v>
      </c>
      <c r="CK469" t="s">
        <v>231</v>
      </c>
      <c r="CL469" t="s">
        <v>231</v>
      </c>
      <c r="CM469" t="s">
        <v>231</v>
      </c>
      <c r="CN469" t="s">
        <v>231</v>
      </c>
      <c r="CO469" t="s">
        <v>231</v>
      </c>
      <c r="CP469" t="s">
        <v>231</v>
      </c>
      <c r="CQ469" t="s">
        <v>231</v>
      </c>
      <c r="CR469" t="s">
        <v>231</v>
      </c>
      <c r="CS469" t="s">
        <v>231</v>
      </c>
      <c r="CT469" t="s">
        <v>3534</v>
      </c>
      <c r="CU469" t="s">
        <v>3535</v>
      </c>
      <c r="CV469" t="s">
        <v>3536</v>
      </c>
      <c r="CW469" t="s">
        <v>3589</v>
      </c>
      <c r="CX469" t="s">
        <v>223</v>
      </c>
      <c r="CY469" t="s">
        <v>3536</v>
      </c>
      <c r="CZ469" t="s">
        <v>3590</v>
      </c>
      <c r="DA469" t="s">
        <v>3591</v>
      </c>
      <c r="DB469" t="s">
        <v>3589</v>
      </c>
      <c r="DC469" t="s">
        <v>363</v>
      </c>
      <c r="DD469" t="s">
        <v>282</v>
      </c>
      <c r="DE469" t="s">
        <v>4598</v>
      </c>
    </row>
    <row r="470" spans="1:109" ht="11.25" customHeight="1">
      <c r="A470" s="1314" t="s">
        <v>231</v>
      </c>
      <c r="B470" t="s">
        <v>231</v>
      </c>
      <c r="C470" t="s">
        <v>231</v>
      </c>
      <c r="D470" t="s">
        <v>231</v>
      </c>
      <c r="E470" t="s">
        <v>231</v>
      </c>
      <c r="F470" t="s">
        <v>231</v>
      </c>
      <c r="G470" t="s">
        <v>231</v>
      </c>
      <c r="H470" t="s">
        <v>231</v>
      </c>
      <c r="I470" t="s">
        <v>3521</v>
      </c>
      <c r="J470" t="s">
        <v>231</v>
      </c>
      <c r="K470" t="s">
        <v>231</v>
      </c>
      <c r="L470" t="s">
        <v>231</v>
      </c>
      <c r="M470" t="s">
        <v>231</v>
      </c>
      <c r="N470" t="s">
        <v>231</v>
      </c>
      <c r="O470" t="s">
        <v>231</v>
      </c>
      <c r="P470" t="s">
        <v>231</v>
      </c>
      <c r="Q470" t="s">
        <v>231</v>
      </c>
      <c r="R470" t="s">
        <v>3615</v>
      </c>
      <c r="S470" t="s">
        <v>231</v>
      </c>
      <c r="T470" t="s">
        <v>231</v>
      </c>
      <c r="U470" t="s">
        <v>101</v>
      </c>
      <c r="V470" t="s">
        <v>231</v>
      </c>
      <c r="W470" t="s">
        <v>231</v>
      </c>
      <c r="X470" t="s">
        <v>3523</v>
      </c>
      <c r="Y470" t="s">
        <v>231</v>
      </c>
      <c r="Z470" t="s">
        <v>160</v>
      </c>
      <c r="AA470" t="s">
        <v>151</v>
      </c>
      <c r="AB470" t="s">
        <v>151</v>
      </c>
      <c r="AC470" t="s">
        <v>2287</v>
      </c>
      <c r="AD470" t="s">
        <v>2287</v>
      </c>
      <c r="AE470" t="s">
        <v>2288</v>
      </c>
      <c r="AF470" t="s">
        <v>4310</v>
      </c>
      <c r="AG470" t="s">
        <v>4311</v>
      </c>
      <c r="AH470" t="s">
        <v>4312</v>
      </c>
      <c r="AI470" t="s">
        <v>4313</v>
      </c>
      <c r="AJ470" t="s">
        <v>3619</v>
      </c>
      <c r="AK470" t="s">
        <v>4314</v>
      </c>
      <c r="AL470" t="s">
        <v>3548</v>
      </c>
      <c r="AM470" t="s">
        <v>3531</v>
      </c>
      <c r="AN470" t="s">
        <v>3621</v>
      </c>
      <c r="AO470" t="s">
        <v>3679</v>
      </c>
      <c r="AP470" t="s">
        <v>231</v>
      </c>
      <c r="AQ470" t="s">
        <v>231</v>
      </c>
      <c r="AR470" t="s">
        <v>231</v>
      </c>
      <c r="AS470" t="s">
        <v>231</v>
      </c>
      <c r="AT470" t="s">
        <v>231</v>
      </c>
      <c r="AU470" t="s">
        <v>231</v>
      </c>
      <c r="AV470" t="s">
        <v>231</v>
      </c>
      <c r="AW470" t="s">
        <v>231</v>
      </c>
      <c r="AX470" t="s">
        <v>231</v>
      </c>
      <c r="AY470" t="s">
        <v>231</v>
      </c>
      <c r="AZ470" t="s">
        <v>231</v>
      </c>
      <c r="BA470" t="s">
        <v>231</v>
      </c>
      <c r="BB470" t="s">
        <v>231</v>
      </c>
      <c r="BC470" t="s">
        <v>231</v>
      </c>
      <c r="BD470" t="s">
        <v>231</v>
      </c>
      <c r="BE470" t="s">
        <v>231</v>
      </c>
      <c r="BF470" t="s">
        <v>231</v>
      </c>
      <c r="BG470" t="s">
        <v>231</v>
      </c>
      <c r="BH470" t="s">
        <v>231</v>
      </c>
      <c r="BI470" t="s">
        <v>231</v>
      </c>
      <c r="BJ470" t="s">
        <v>231</v>
      </c>
      <c r="BK470" t="s">
        <v>231</v>
      </c>
      <c r="BL470" t="s">
        <v>231</v>
      </c>
      <c r="BM470" t="s">
        <v>231</v>
      </c>
      <c r="BN470" t="s">
        <v>231</v>
      </c>
      <c r="BO470" t="s">
        <v>231</v>
      </c>
      <c r="BP470" t="s">
        <v>231</v>
      </c>
      <c r="BQ470" t="s">
        <v>231</v>
      </c>
      <c r="BR470" t="s">
        <v>231</v>
      </c>
      <c r="BS470" t="s">
        <v>231</v>
      </c>
      <c r="BT470" t="s">
        <v>231</v>
      </c>
      <c r="BU470" t="s">
        <v>231</v>
      </c>
      <c r="BV470" t="s">
        <v>231</v>
      </c>
      <c r="BW470" t="s">
        <v>231</v>
      </c>
      <c r="BX470" t="s">
        <v>231</v>
      </c>
      <c r="BY470" t="s">
        <v>231</v>
      </c>
      <c r="BZ470" t="s">
        <v>231</v>
      </c>
      <c r="CA470" t="s">
        <v>231</v>
      </c>
      <c r="CB470" t="s">
        <v>231</v>
      </c>
      <c r="CC470" t="s">
        <v>231</v>
      </c>
      <c r="CD470" t="s">
        <v>231</v>
      </c>
      <c r="CE470" t="s">
        <v>231</v>
      </c>
      <c r="CF470" t="s">
        <v>231</v>
      </c>
      <c r="CG470" t="s">
        <v>231</v>
      </c>
      <c r="CH470" t="s">
        <v>231</v>
      </c>
      <c r="CI470" t="s">
        <v>231</v>
      </c>
      <c r="CJ470" t="s">
        <v>231</v>
      </c>
      <c r="CK470" t="s">
        <v>231</v>
      </c>
      <c r="CL470" t="s">
        <v>231</v>
      </c>
      <c r="CM470" t="s">
        <v>231</v>
      </c>
      <c r="CN470" t="s">
        <v>231</v>
      </c>
      <c r="CO470" t="s">
        <v>231</v>
      </c>
      <c r="CP470" t="s">
        <v>231</v>
      </c>
      <c r="CQ470" t="s">
        <v>231</v>
      </c>
      <c r="CR470" t="s">
        <v>231</v>
      </c>
      <c r="CS470" t="s">
        <v>231</v>
      </c>
      <c r="CT470" t="s">
        <v>3534</v>
      </c>
      <c r="CU470" t="s">
        <v>3535</v>
      </c>
      <c r="CV470" t="s">
        <v>3536</v>
      </c>
      <c r="CW470" t="s">
        <v>3623</v>
      </c>
      <c r="CX470" t="s">
        <v>223</v>
      </c>
      <c r="CY470" t="s">
        <v>3536</v>
      </c>
      <c r="CZ470" t="s">
        <v>3624</v>
      </c>
      <c r="DA470" t="s">
        <v>3625</v>
      </c>
      <c r="DB470" t="s">
        <v>3623</v>
      </c>
      <c r="DC470" t="s">
        <v>363</v>
      </c>
      <c r="DD470" t="s">
        <v>282</v>
      </c>
      <c r="DE470" t="s">
        <v>4315</v>
      </c>
    </row>
    <row r="471" spans="1:109" ht="11.25" customHeight="1">
      <c r="A471" s="1314" t="s">
        <v>231</v>
      </c>
      <c r="B471" t="s">
        <v>231</v>
      </c>
      <c r="C471" t="s">
        <v>231</v>
      </c>
      <c r="D471" t="s">
        <v>231</v>
      </c>
      <c r="E471" t="s">
        <v>231</v>
      </c>
      <c r="F471" t="s">
        <v>231</v>
      </c>
      <c r="G471" t="s">
        <v>231</v>
      </c>
      <c r="H471" t="s">
        <v>231</v>
      </c>
      <c r="I471" t="s">
        <v>3521</v>
      </c>
      <c r="J471" t="s">
        <v>231</v>
      </c>
      <c r="K471" t="s">
        <v>231</v>
      </c>
      <c r="L471" t="s">
        <v>231</v>
      </c>
      <c r="M471" t="s">
        <v>231</v>
      </c>
      <c r="N471" t="s">
        <v>231</v>
      </c>
      <c r="O471" t="s">
        <v>231</v>
      </c>
      <c r="P471" t="s">
        <v>231</v>
      </c>
      <c r="Q471" t="s">
        <v>231</v>
      </c>
      <c r="R471" t="s">
        <v>4603</v>
      </c>
      <c r="S471" t="s">
        <v>231</v>
      </c>
      <c r="T471" t="s">
        <v>231</v>
      </c>
      <c r="U471" t="s">
        <v>101</v>
      </c>
      <c r="V471" t="s">
        <v>231</v>
      </c>
      <c r="W471" t="s">
        <v>231</v>
      </c>
      <c r="X471" t="s">
        <v>3628</v>
      </c>
      <c r="Y471" t="s">
        <v>231</v>
      </c>
      <c r="Z471" t="s">
        <v>151</v>
      </c>
      <c r="AA471" t="s">
        <v>151</v>
      </c>
      <c r="AB471" t="s">
        <v>160</v>
      </c>
      <c r="AC471" t="s">
        <v>2287</v>
      </c>
      <c r="AD471" t="s">
        <v>2287</v>
      </c>
      <c r="AE471" t="s">
        <v>2288</v>
      </c>
      <c r="AF471" t="s">
        <v>4310</v>
      </c>
      <c r="AG471" t="s">
        <v>4311</v>
      </c>
      <c r="AH471" t="s">
        <v>3618</v>
      </c>
      <c r="AI471" t="s">
        <v>3618</v>
      </c>
      <c r="AJ471" t="s">
        <v>231</v>
      </c>
      <c r="AK471" t="s">
        <v>231</v>
      </c>
      <c r="AL471" t="s">
        <v>231</v>
      </c>
      <c r="AM471" t="s">
        <v>231</v>
      </c>
      <c r="AN471" t="s">
        <v>231</v>
      </c>
      <c r="AO471" t="s">
        <v>231</v>
      </c>
      <c r="AP471" t="s">
        <v>231</v>
      </c>
      <c r="AQ471" t="s">
        <v>231</v>
      </c>
      <c r="AR471" t="s">
        <v>231</v>
      </c>
      <c r="AS471" t="s">
        <v>231</v>
      </c>
      <c r="AT471" t="s">
        <v>231</v>
      </c>
      <c r="AU471" t="s">
        <v>231</v>
      </c>
      <c r="AV471" t="s">
        <v>231</v>
      </c>
      <c r="AW471" t="s">
        <v>231</v>
      </c>
      <c r="AX471" t="s">
        <v>231</v>
      </c>
      <c r="AY471" t="s">
        <v>231</v>
      </c>
      <c r="AZ471" t="s">
        <v>231</v>
      </c>
      <c r="BA471" t="s">
        <v>231</v>
      </c>
      <c r="BB471" t="s">
        <v>231</v>
      </c>
      <c r="BC471" t="s">
        <v>231</v>
      </c>
      <c r="BD471" t="s">
        <v>231</v>
      </c>
      <c r="BE471" t="s">
        <v>3619</v>
      </c>
      <c r="BF471" t="s">
        <v>4314</v>
      </c>
      <c r="BG471" t="s">
        <v>111</v>
      </c>
      <c r="BH471" t="s">
        <v>3632</v>
      </c>
      <c r="BI471" t="s">
        <v>122</v>
      </c>
      <c r="BJ471" t="s">
        <v>231</v>
      </c>
      <c r="BK471" t="s">
        <v>3651</v>
      </c>
      <c r="BL471" t="s">
        <v>2287</v>
      </c>
      <c r="BM471" t="s">
        <v>2287</v>
      </c>
      <c r="BN471" t="s">
        <v>3842</v>
      </c>
      <c r="BO471" t="s">
        <v>4310</v>
      </c>
      <c r="BP471" t="s">
        <v>4604</v>
      </c>
      <c r="BQ471" t="s">
        <v>3618</v>
      </c>
      <c r="BR471" t="s">
        <v>3618</v>
      </c>
      <c r="BS471" t="s">
        <v>231</v>
      </c>
      <c r="BT471" t="s">
        <v>3694</v>
      </c>
      <c r="BU471" t="s">
        <v>4605</v>
      </c>
      <c r="BV471" t="s">
        <v>4605</v>
      </c>
      <c r="BW471" t="s">
        <v>3641</v>
      </c>
      <c r="BX471" t="s">
        <v>3641</v>
      </c>
      <c r="BY471" t="s">
        <v>3641</v>
      </c>
      <c r="BZ471" t="s">
        <v>3641</v>
      </c>
      <c r="CA471" t="s">
        <v>3641</v>
      </c>
      <c r="CB471" t="s">
        <v>231</v>
      </c>
      <c r="CC471" t="s">
        <v>231</v>
      </c>
      <c r="CD471" t="s">
        <v>231</v>
      </c>
      <c r="CE471" t="s">
        <v>231</v>
      </c>
      <c r="CF471" t="s">
        <v>231</v>
      </c>
      <c r="CG471" t="s">
        <v>3641</v>
      </c>
      <c r="CH471" t="s">
        <v>231</v>
      </c>
      <c r="CI471" t="s">
        <v>231</v>
      </c>
      <c r="CJ471" t="s">
        <v>231</v>
      </c>
      <c r="CK471" t="s">
        <v>231</v>
      </c>
      <c r="CL471" t="s">
        <v>231</v>
      </c>
      <c r="CM471" t="s">
        <v>4605</v>
      </c>
      <c r="CN471" t="s">
        <v>4605</v>
      </c>
      <c r="CO471" t="s">
        <v>231</v>
      </c>
      <c r="CP471" t="s">
        <v>231</v>
      </c>
      <c r="CQ471" t="s">
        <v>231</v>
      </c>
      <c r="CR471" t="s">
        <v>231</v>
      </c>
      <c r="CS471" t="s">
        <v>3621</v>
      </c>
      <c r="CT471" t="s">
        <v>3534</v>
      </c>
      <c r="CU471" t="s">
        <v>3535</v>
      </c>
      <c r="CV471" t="s">
        <v>3536</v>
      </c>
      <c r="CW471" t="s">
        <v>3623</v>
      </c>
      <c r="CX471" t="s">
        <v>223</v>
      </c>
      <c r="CY471" t="s">
        <v>3536</v>
      </c>
      <c r="CZ471" t="s">
        <v>3624</v>
      </c>
      <c r="DA471" t="s">
        <v>3625</v>
      </c>
      <c r="DB471" t="s">
        <v>3623</v>
      </c>
      <c r="DC471" t="s">
        <v>363</v>
      </c>
      <c r="DD471" t="s">
        <v>282</v>
      </c>
      <c r="DE471" t="s">
        <v>4606</v>
      </c>
    </row>
    <row r="472" spans="1:109" ht="11.25" customHeight="1">
      <c r="A472" s="1314" t="s">
        <v>231</v>
      </c>
      <c r="B472" t="s">
        <v>231</v>
      </c>
      <c r="C472" t="s">
        <v>231</v>
      </c>
      <c r="D472" t="s">
        <v>231</v>
      </c>
      <c r="E472" t="s">
        <v>231</v>
      </c>
      <c r="F472" t="s">
        <v>231</v>
      </c>
      <c r="G472" t="s">
        <v>231</v>
      </c>
      <c r="H472" t="s">
        <v>231</v>
      </c>
      <c r="I472" t="s">
        <v>3521</v>
      </c>
      <c r="J472" t="s">
        <v>231</v>
      </c>
      <c r="K472" t="s">
        <v>231</v>
      </c>
      <c r="L472" t="s">
        <v>231</v>
      </c>
      <c r="M472" t="s">
        <v>231</v>
      </c>
      <c r="N472" t="s">
        <v>231</v>
      </c>
      <c r="O472" t="s">
        <v>231</v>
      </c>
      <c r="P472" t="s">
        <v>231</v>
      </c>
      <c r="Q472" t="s">
        <v>231</v>
      </c>
      <c r="R472" t="s">
        <v>3615</v>
      </c>
      <c r="S472" t="s">
        <v>231</v>
      </c>
      <c r="T472" t="s">
        <v>231</v>
      </c>
      <c r="U472" t="s">
        <v>101</v>
      </c>
      <c r="V472" t="s">
        <v>231</v>
      </c>
      <c r="W472" t="s">
        <v>231</v>
      </c>
      <c r="X472" t="s">
        <v>3523</v>
      </c>
      <c r="Y472" t="s">
        <v>231</v>
      </c>
      <c r="Z472" t="s">
        <v>160</v>
      </c>
      <c r="AA472" t="s">
        <v>151</v>
      </c>
      <c r="AB472" t="s">
        <v>151</v>
      </c>
      <c r="AC472" t="s">
        <v>2287</v>
      </c>
      <c r="AD472" t="s">
        <v>2287</v>
      </c>
      <c r="AE472" t="s">
        <v>2288</v>
      </c>
      <c r="AF472" t="s">
        <v>4607</v>
      </c>
      <c r="AG472" t="s">
        <v>4608</v>
      </c>
      <c r="AH472" t="s">
        <v>3618</v>
      </c>
      <c r="AI472" t="s">
        <v>3618</v>
      </c>
      <c r="AJ472" t="s">
        <v>3619</v>
      </c>
      <c r="AK472" t="s">
        <v>4609</v>
      </c>
      <c r="AL472" t="s">
        <v>3548</v>
      </c>
      <c r="AM472" t="s">
        <v>3531</v>
      </c>
      <c r="AN472" t="s">
        <v>3621</v>
      </c>
      <c r="AO472" t="s">
        <v>3622</v>
      </c>
      <c r="AP472" t="s">
        <v>231</v>
      </c>
      <c r="AQ472" t="s">
        <v>231</v>
      </c>
      <c r="AR472" t="s">
        <v>231</v>
      </c>
      <c r="AS472" t="s">
        <v>231</v>
      </c>
      <c r="AT472" t="s">
        <v>231</v>
      </c>
      <c r="AU472" t="s">
        <v>231</v>
      </c>
      <c r="AV472" t="s">
        <v>231</v>
      </c>
      <c r="AW472" t="s">
        <v>231</v>
      </c>
      <c r="AX472" t="s">
        <v>231</v>
      </c>
      <c r="AY472" t="s">
        <v>231</v>
      </c>
      <c r="AZ472" t="s">
        <v>231</v>
      </c>
      <c r="BA472" t="s">
        <v>231</v>
      </c>
      <c r="BB472" t="s">
        <v>231</v>
      </c>
      <c r="BC472" t="s">
        <v>231</v>
      </c>
      <c r="BD472" t="s">
        <v>231</v>
      </c>
      <c r="BE472" t="s">
        <v>231</v>
      </c>
      <c r="BF472" t="s">
        <v>231</v>
      </c>
      <c r="BG472" t="s">
        <v>231</v>
      </c>
      <c r="BH472" t="s">
        <v>231</v>
      </c>
      <c r="BI472" t="s">
        <v>231</v>
      </c>
      <c r="BJ472" t="s">
        <v>231</v>
      </c>
      <c r="BK472" t="s">
        <v>231</v>
      </c>
      <c r="BL472" t="s">
        <v>231</v>
      </c>
      <c r="BM472" t="s">
        <v>231</v>
      </c>
      <c r="BN472" t="s">
        <v>231</v>
      </c>
      <c r="BO472" t="s">
        <v>231</v>
      </c>
      <c r="BP472" t="s">
        <v>231</v>
      </c>
      <c r="BQ472" t="s">
        <v>231</v>
      </c>
      <c r="BR472" t="s">
        <v>231</v>
      </c>
      <c r="BS472" t="s">
        <v>231</v>
      </c>
      <c r="BT472" t="s">
        <v>231</v>
      </c>
      <c r="BU472" t="s">
        <v>231</v>
      </c>
      <c r="BV472" t="s">
        <v>231</v>
      </c>
      <c r="BW472" t="s">
        <v>231</v>
      </c>
      <c r="BX472" t="s">
        <v>231</v>
      </c>
      <c r="BY472" t="s">
        <v>231</v>
      </c>
      <c r="BZ472" t="s">
        <v>231</v>
      </c>
      <c r="CA472" t="s">
        <v>231</v>
      </c>
      <c r="CB472" t="s">
        <v>231</v>
      </c>
      <c r="CC472" t="s">
        <v>231</v>
      </c>
      <c r="CD472" t="s">
        <v>231</v>
      </c>
      <c r="CE472" t="s">
        <v>231</v>
      </c>
      <c r="CF472" t="s">
        <v>231</v>
      </c>
      <c r="CG472" t="s">
        <v>231</v>
      </c>
      <c r="CH472" t="s">
        <v>231</v>
      </c>
      <c r="CI472" t="s">
        <v>231</v>
      </c>
      <c r="CJ472" t="s">
        <v>231</v>
      </c>
      <c r="CK472" t="s">
        <v>231</v>
      </c>
      <c r="CL472" t="s">
        <v>231</v>
      </c>
      <c r="CM472" t="s">
        <v>231</v>
      </c>
      <c r="CN472" t="s">
        <v>231</v>
      </c>
      <c r="CO472" t="s">
        <v>231</v>
      </c>
      <c r="CP472" t="s">
        <v>231</v>
      </c>
      <c r="CQ472" t="s">
        <v>231</v>
      </c>
      <c r="CR472" t="s">
        <v>231</v>
      </c>
      <c r="CS472" t="s">
        <v>231</v>
      </c>
      <c r="CT472" t="s">
        <v>3534</v>
      </c>
      <c r="CU472" t="s">
        <v>3535</v>
      </c>
      <c r="CV472" t="s">
        <v>3536</v>
      </c>
      <c r="CW472" t="s">
        <v>3623</v>
      </c>
      <c r="CX472" t="s">
        <v>223</v>
      </c>
      <c r="CY472" t="s">
        <v>3536</v>
      </c>
      <c r="CZ472" t="s">
        <v>3624</v>
      </c>
      <c r="DA472" t="s">
        <v>3625</v>
      </c>
      <c r="DB472" t="s">
        <v>3623</v>
      </c>
      <c r="DC472" t="s">
        <v>363</v>
      </c>
      <c r="DD472" t="s">
        <v>282</v>
      </c>
      <c r="DE472" t="s">
        <v>4610</v>
      </c>
    </row>
    <row r="473" spans="1:109" ht="11.25" customHeight="1">
      <c r="A473" s="1314" t="s">
        <v>231</v>
      </c>
      <c r="B473" t="s">
        <v>231</v>
      </c>
      <c r="C473" t="s">
        <v>231</v>
      </c>
      <c r="D473" t="s">
        <v>231</v>
      </c>
      <c r="E473" t="s">
        <v>231</v>
      </c>
      <c r="F473" t="s">
        <v>231</v>
      </c>
      <c r="G473" t="s">
        <v>231</v>
      </c>
      <c r="H473" t="s">
        <v>231</v>
      </c>
      <c r="I473" t="s">
        <v>3521</v>
      </c>
      <c r="J473" t="s">
        <v>231</v>
      </c>
      <c r="K473" t="s">
        <v>231</v>
      </c>
      <c r="L473" t="s">
        <v>231</v>
      </c>
      <c r="M473" t="s">
        <v>231</v>
      </c>
      <c r="N473" t="s">
        <v>231</v>
      </c>
      <c r="O473" t="s">
        <v>231</v>
      </c>
      <c r="P473" t="s">
        <v>231</v>
      </c>
      <c r="Q473" t="s">
        <v>231</v>
      </c>
      <c r="R473" t="s">
        <v>3541</v>
      </c>
      <c r="S473" t="s">
        <v>231</v>
      </c>
      <c r="T473" t="s">
        <v>231</v>
      </c>
      <c r="U473" t="s">
        <v>101</v>
      </c>
      <c r="V473" t="s">
        <v>231</v>
      </c>
      <c r="W473" t="s">
        <v>231</v>
      </c>
      <c r="X473" t="s">
        <v>3523</v>
      </c>
      <c r="Y473" t="s">
        <v>231</v>
      </c>
      <c r="Z473" t="s">
        <v>160</v>
      </c>
      <c r="AA473" t="s">
        <v>151</v>
      </c>
      <c r="AB473" t="s">
        <v>151</v>
      </c>
      <c r="AC473" t="s">
        <v>2283</v>
      </c>
      <c r="AD473" t="s">
        <v>2283</v>
      </c>
      <c r="AE473" t="s">
        <v>2284</v>
      </c>
      <c r="AF473" t="s">
        <v>4001</v>
      </c>
      <c r="AG473" t="s">
        <v>4002</v>
      </c>
      <c r="AH473" t="s">
        <v>4006</v>
      </c>
      <c r="AI473" t="s">
        <v>3545</v>
      </c>
      <c r="AJ473" t="s">
        <v>3546</v>
      </c>
      <c r="AK473" t="s">
        <v>3546</v>
      </c>
      <c r="AL473" t="s">
        <v>3648</v>
      </c>
      <c r="AM473" t="s">
        <v>3531</v>
      </c>
      <c r="AN473" t="s">
        <v>3549</v>
      </c>
      <c r="AO473" t="s">
        <v>3550</v>
      </c>
      <c r="AP473" t="s">
        <v>231</v>
      </c>
      <c r="AQ473" t="s">
        <v>231</v>
      </c>
      <c r="AR473" t="s">
        <v>231</v>
      </c>
      <c r="AS473" t="s">
        <v>231</v>
      </c>
      <c r="AT473" t="s">
        <v>231</v>
      </c>
      <c r="AU473" t="s">
        <v>231</v>
      </c>
      <c r="AV473" t="s">
        <v>231</v>
      </c>
      <c r="AW473" t="s">
        <v>231</v>
      </c>
      <c r="AX473" t="s">
        <v>231</v>
      </c>
      <c r="AY473" t="s">
        <v>231</v>
      </c>
      <c r="AZ473" t="s">
        <v>231</v>
      </c>
      <c r="BA473" t="s">
        <v>231</v>
      </c>
      <c r="BB473" t="s">
        <v>231</v>
      </c>
      <c r="BC473" t="s">
        <v>231</v>
      </c>
      <c r="BD473" t="s">
        <v>231</v>
      </c>
      <c r="BE473" t="s">
        <v>231</v>
      </c>
      <c r="BF473" t="s">
        <v>231</v>
      </c>
      <c r="BG473" t="s">
        <v>231</v>
      </c>
      <c r="BH473" t="s">
        <v>231</v>
      </c>
      <c r="BI473" t="s">
        <v>231</v>
      </c>
      <c r="BJ473" t="s">
        <v>231</v>
      </c>
      <c r="BK473" t="s">
        <v>231</v>
      </c>
      <c r="BL473" t="s">
        <v>231</v>
      </c>
      <c r="BM473" t="s">
        <v>231</v>
      </c>
      <c r="BN473" t="s">
        <v>231</v>
      </c>
      <c r="BO473" t="s">
        <v>231</v>
      </c>
      <c r="BP473" t="s">
        <v>231</v>
      </c>
      <c r="BQ473" t="s">
        <v>231</v>
      </c>
      <c r="BR473" t="s">
        <v>231</v>
      </c>
      <c r="BS473" t="s">
        <v>231</v>
      </c>
      <c r="BT473" t="s">
        <v>231</v>
      </c>
      <c r="BU473" t="s">
        <v>231</v>
      </c>
      <c r="BV473" t="s">
        <v>231</v>
      </c>
      <c r="BW473" t="s">
        <v>231</v>
      </c>
      <c r="BX473" t="s">
        <v>231</v>
      </c>
      <c r="BY473" t="s">
        <v>231</v>
      </c>
      <c r="BZ473" t="s">
        <v>231</v>
      </c>
      <c r="CA473" t="s">
        <v>231</v>
      </c>
      <c r="CB473" t="s">
        <v>231</v>
      </c>
      <c r="CC473" t="s">
        <v>231</v>
      </c>
      <c r="CD473" t="s">
        <v>231</v>
      </c>
      <c r="CE473" t="s">
        <v>231</v>
      </c>
      <c r="CF473" t="s">
        <v>231</v>
      </c>
      <c r="CG473" t="s">
        <v>231</v>
      </c>
      <c r="CH473" t="s">
        <v>231</v>
      </c>
      <c r="CI473" t="s">
        <v>231</v>
      </c>
      <c r="CJ473" t="s">
        <v>231</v>
      </c>
      <c r="CK473" t="s">
        <v>231</v>
      </c>
      <c r="CL473" t="s">
        <v>231</v>
      </c>
      <c r="CM473" t="s">
        <v>231</v>
      </c>
      <c r="CN473" t="s">
        <v>231</v>
      </c>
      <c r="CO473" t="s">
        <v>231</v>
      </c>
      <c r="CP473" t="s">
        <v>231</v>
      </c>
      <c r="CQ473" t="s">
        <v>231</v>
      </c>
      <c r="CR473" t="s">
        <v>231</v>
      </c>
      <c r="CS473" t="s">
        <v>231</v>
      </c>
      <c r="CT473" t="s">
        <v>3534</v>
      </c>
      <c r="CU473" t="s">
        <v>3535</v>
      </c>
      <c r="CV473" t="s">
        <v>3536</v>
      </c>
      <c r="CW473" t="s">
        <v>3551</v>
      </c>
      <c r="CX473" t="s">
        <v>223</v>
      </c>
      <c r="CY473" t="s">
        <v>3536</v>
      </c>
      <c r="CZ473" t="s">
        <v>3552</v>
      </c>
      <c r="DA473" t="s">
        <v>3553</v>
      </c>
      <c r="DB473" t="s">
        <v>3551</v>
      </c>
      <c r="DC473" t="s">
        <v>363</v>
      </c>
      <c r="DD473" t="s">
        <v>282</v>
      </c>
      <c r="DE473" t="s">
        <v>4287</v>
      </c>
    </row>
    <row r="474" spans="1:109" ht="11.25" customHeight="1">
      <c r="A474" s="1314" t="s">
        <v>231</v>
      </c>
      <c r="B474" t="s">
        <v>231</v>
      </c>
      <c r="C474" t="s">
        <v>231</v>
      </c>
      <c r="D474" t="s">
        <v>231</v>
      </c>
      <c r="E474" t="s">
        <v>231</v>
      </c>
      <c r="F474" t="s">
        <v>231</v>
      </c>
      <c r="G474" t="s">
        <v>231</v>
      </c>
      <c r="H474" t="s">
        <v>231</v>
      </c>
      <c r="I474" t="s">
        <v>3521</v>
      </c>
      <c r="J474" t="s">
        <v>231</v>
      </c>
      <c r="K474" t="s">
        <v>231</v>
      </c>
      <c r="L474" t="s">
        <v>231</v>
      </c>
      <c r="M474" t="s">
        <v>231</v>
      </c>
      <c r="N474" t="s">
        <v>231</v>
      </c>
      <c r="O474" t="s">
        <v>231</v>
      </c>
      <c r="P474" t="s">
        <v>231</v>
      </c>
      <c r="Q474" t="s">
        <v>231</v>
      </c>
      <c r="R474" t="s">
        <v>4352</v>
      </c>
      <c r="S474" t="s">
        <v>231</v>
      </c>
      <c r="T474" t="s">
        <v>231</v>
      </c>
      <c r="U474" t="s">
        <v>101</v>
      </c>
      <c r="V474" t="s">
        <v>231</v>
      </c>
      <c r="W474" t="s">
        <v>231</v>
      </c>
      <c r="X474" t="s">
        <v>3523</v>
      </c>
      <c r="Y474" t="s">
        <v>231</v>
      </c>
      <c r="Z474" t="s">
        <v>160</v>
      </c>
      <c r="AA474" t="s">
        <v>151</v>
      </c>
      <c r="AB474" t="s">
        <v>151</v>
      </c>
      <c r="AC474" t="s">
        <v>2283</v>
      </c>
      <c r="AD474" t="s">
        <v>2283</v>
      </c>
      <c r="AE474" t="s">
        <v>2284</v>
      </c>
      <c r="AF474" t="s">
        <v>4001</v>
      </c>
      <c r="AG474" t="s">
        <v>4002</v>
      </c>
      <c r="AH474" t="s">
        <v>4353</v>
      </c>
      <c r="AI474" t="s">
        <v>4354</v>
      </c>
      <c r="AJ474" t="s">
        <v>3546</v>
      </c>
      <c r="AK474" t="s">
        <v>3546</v>
      </c>
      <c r="AL474" t="s">
        <v>3648</v>
      </c>
      <c r="AM474" t="s">
        <v>3531</v>
      </c>
      <c r="AN474" t="s">
        <v>3549</v>
      </c>
      <c r="AO474" t="s">
        <v>4355</v>
      </c>
      <c r="AP474" t="s">
        <v>231</v>
      </c>
      <c r="AQ474" t="s">
        <v>231</v>
      </c>
      <c r="AR474" t="s">
        <v>231</v>
      </c>
      <c r="AS474" t="s">
        <v>231</v>
      </c>
      <c r="AT474" t="s">
        <v>231</v>
      </c>
      <c r="AU474" t="s">
        <v>231</v>
      </c>
      <c r="AV474" t="s">
        <v>231</v>
      </c>
      <c r="AW474" t="s">
        <v>231</v>
      </c>
      <c r="AX474" t="s">
        <v>231</v>
      </c>
      <c r="AY474" t="s">
        <v>231</v>
      </c>
      <c r="AZ474" t="s">
        <v>231</v>
      </c>
      <c r="BA474" t="s">
        <v>231</v>
      </c>
      <c r="BB474" t="s">
        <v>231</v>
      </c>
      <c r="BC474" t="s">
        <v>231</v>
      </c>
      <c r="BD474" t="s">
        <v>231</v>
      </c>
      <c r="BE474" t="s">
        <v>231</v>
      </c>
      <c r="BF474" t="s">
        <v>231</v>
      </c>
      <c r="BG474" t="s">
        <v>231</v>
      </c>
      <c r="BH474" t="s">
        <v>231</v>
      </c>
      <c r="BI474" t="s">
        <v>231</v>
      </c>
      <c r="BJ474" t="s">
        <v>231</v>
      </c>
      <c r="BK474" t="s">
        <v>231</v>
      </c>
      <c r="BL474" t="s">
        <v>231</v>
      </c>
      <c r="BM474" t="s">
        <v>231</v>
      </c>
      <c r="BN474" t="s">
        <v>231</v>
      </c>
      <c r="BO474" t="s">
        <v>231</v>
      </c>
      <c r="BP474" t="s">
        <v>231</v>
      </c>
      <c r="BQ474" t="s">
        <v>231</v>
      </c>
      <c r="BR474" t="s">
        <v>231</v>
      </c>
      <c r="BS474" t="s">
        <v>231</v>
      </c>
      <c r="BT474" t="s">
        <v>231</v>
      </c>
      <c r="BU474" t="s">
        <v>231</v>
      </c>
      <c r="BV474" t="s">
        <v>231</v>
      </c>
      <c r="BW474" t="s">
        <v>231</v>
      </c>
      <c r="BX474" t="s">
        <v>231</v>
      </c>
      <c r="BY474" t="s">
        <v>231</v>
      </c>
      <c r="BZ474" t="s">
        <v>231</v>
      </c>
      <c r="CA474" t="s">
        <v>231</v>
      </c>
      <c r="CB474" t="s">
        <v>231</v>
      </c>
      <c r="CC474" t="s">
        <v>231</v>
      </c>
      <c r="CD474" t="s">
        <v>231</v>
      </c>
      <c r="CE474" t="s">
        <v>231</v>
      </c>
      <c r="CF474" t="s">
        <v>231</v>
      </c>
      <c r="CG474" t="s">
        <v>231</v>
      </c>
      <c r="CH474" t="s">
        <v>231</v>
      </c>
      <c r="CI474" t="s">
        <v>231</v>
      </c>
      <c r="CJ474" t="s">
        <v>231</v>
      </c>
      <c r="CK474" t="s">
        <v>231</v>
      </c>
      <c r="CL474" t="s">
        <v>231</v>
      </c>
      <c r="CM474" t="s">
        <v>231</v>
      </c>
      <c r="CN474" t="s">
        <v>231</v>
      </c>
      <c r="CO474" t="s">
        <v>231</v>
      </c>
      <c r="CP474" t="s">
        <v>231</v>
      </c>
      <c r="CQ474" t="s">
        <v>231</v>
      </c>
      <c r="CR474" t="s">
        <v>231</v>
      </c>
      <c r="CS474" t="s">
        <v>231</v>
      </c>
      <c r="CT474" t="s">
        <v>3534</v>
      </c>
      <c r="CU474" t="s">
        <v>3535</v>
      </c>
      <c r="CV474" t="s">
        <v>3536</v>
      </c>
      <c r="CW474" t="s">
        <v>3551</v>
      </c>
      <c r="CX474" t="s">
        <v>223</v>
      </c>
      <c r="CY474" t="s">
        <v>3536</v>
      </c>
      <c r="CZ474" t="s">
        <v>3552</v>
      </c>
      <c r="DA474" t="s">
        <v>3553</v>
      </c>
      <c r="DB474" t="s">
        <v>3551</v>
      </c>
      <c r="DC474" t="s">
        <v>363</v>
      </c>
      <c r="DD474" t="s">
        <v>282</v>
      </c>
      <c r="DE474" t="s">
        <v>4356</v>
      </c>
    </row>
    <row r="475" spans="1:109" ht="11.25" customHeight="1">
      <c r="A475" s="1314" t="s">
        <v>231</v>
      </c>
      <c r="B475" t="s">
        <v>231</v>
      </c>
      <c r="C475" t="s">
        <v>231</v>
      </c>
      <c r="D475" t="s">
        <v>231</v>
      </c>
      <c r="E475" t="s">
        <v>231</v>
      </c>
      <c r="F475" t="s">
        <v>231</v>
      </c>
      <c r="G475" t="s">
        <v>231</v>
      </c>
      <c r="H475" t="s">
        <v>231</v>
      </c>
      <c r="I475" t="s">
        <v>3521</v>
      </c>
      <c r="J475" t="s">
        <v>231</v>
      </c>
      <c r="K475" t="s">
        <v>231</v>
      </c>
      <c r="L475" t="s">
        <v>231</v>
      </c>
      <c r="M475" t="s">
        <v>231</v>
      </c>
      <c r="N475" t="s">
        <v>231</v>
      </c>
      <c r="O475" t="s">
        <v>231</v>
      </c>
      <c r="P475" t="s">
        <v>231</v>
      </c>
      <c r="Q475" t="s">
        <v>231</v>
      </c>
      <c r="R475" t="s">
        <v>3651</v>
      </c>
      <c r="S475" t="s">
        <v>231</v>
      </c>
      <c r="T475" t="s">
        <v>231</v>
      </c>
      <c r="U475" t="s">
        <v>101</v>
      </c>
      <c r="V475" t="s">
        <v>231</v>
      </c>
      <c r="W475" t="s">
        <v>231</v>
      </c>
      <c r="X475" t="s">
        <v>3523</v>
      </c>
      <c r="Y475" t="s">
        <v>231</v>
      </c>
      <c r="Z475" t="s">
        <v>160</v>
      </c>
      <c r="AA475" t="s">
        <v>151</v>
      </c>
      <c r="AB475" t="s">
        <v>151</v>
      </c>
      <c r="AC475" t="s">
        <v>2283</v>
      </c>
      <c r="AD475" t="s">
        <v>2283</v>
      </c>
      <c r="AE475" t="s">
        <v>2284</v>
      </c>
      <c r="AF475" t="s">
        <v>4001</v>
      </c>
      <c r="AG475" t="s">
        <v>4002</v>
      </c>
      <c r="AH475" t="s">
        <v>4539</v>
      </c>
      <c r="AI475" t="s">
        <v>4540</v>
      </c>
      <c r="AJ475" t="s">
        <v>3546</v>
      </c>
      <c r="AK475" t="s">
        <v>3546</v>
      </c>
      <c r="AL475" t="s">
        <v>3648</v>
      </c>
      <c r="AM475" t="s">
        <v>3531</v>
      </c>
      <c r="AN475" t="s">
        <v>3549</v>
      </c>
      <c r="AO475" t="s">
        <v>4541</v>
      </c>
      <c r="AP475" t="s">
        <v>231</v>
      </c>
      <c r="AQ475" t="s">
        <v>231</v>
      </c>
      <c r="AR475" t="s">
        <v>231</v>
      </c>
      <c r="AS475" t="s">
        <v>231</v>
      </c>
      <c r="AT475" t="s">
        <v>231</v>
      </c>
      <c r="AU475" t="s">
        <v>231</v>
      </c>
      <c r="AV475" t="s">
        <v>231</v>
      </c>
      <c r="AW475" t="s">
        <v>231</v>
      </c>
      <c r="AX475" t="s">
        <v>231</v>
      </c>
      <c r="AY475" t="s">
        <v>231</v>
      </c>
      <c r="AZ475" t="s">
        <v>231</v>
      </c>
      <c r="BA475" t="s">
        <v>231</v>
      </c>
      <c r="BB475" t="s">
        <v>231</v>
      </c>
      <c r="BC475" t="s">
        <v>231</v>
      </c>
      <c r="BD475" t="s">
        <v>231</v>
      </c>
      <c r="BE475" t="s">
        <v>231</v>
      </c>
      <c r="BF475" t="s">
        <v>231</v>
      </c>
      <c r="BG475" t="s">
        <v>231</v>
      </c>
      <c r="BH475" t="s">
        <v>231</v>
      </c>
      <c r="BI475" t="s">
        <v>231</v>
      </c>
      <c r="BJ475" t="s">
        <v>231</v>
      </c>
      <c r="BK475" t="s">
        <v>231</v>
      </c>
      <c r="BL475" t="s">
        <v>231</v>
      </c>
      <c r="BM475" t="s">
        <v>231</v>
      </c>
      <c r="BN475" t="s">
        <v>231</v>
      </c>
      <c r="BO475" t="s">
        <v>231</v>
      </c>
      <c r="BP475" t="s">
        <v>231</v>
      </c>
      <c r="BQ475" t="s">
        <v>231</v>
      </c>
      <c r="BR475" t="s">
        <v>231</v>
      </c>
      <c r="BS475" t="s">
        <v>231</v>
      </c>
      <c r="BT475" t="s">
        <v>231</v>
      </c>
      <c r="BU475" t="s">
        <v>231</v>
      </c>
      <c r="BV475" t="s">
        <v>231</v>
      </c>
      <c r="BW475" t="s">
        <v>231</v>
      </c>
      <c r="BX475" t="s">
        <v>231</v>
      </c>
      <c r="BY475" t="s">
        <v>231</v>
      </c>
      <c r="BZ475" t="s">
        <v>231</v>
      </c>
      <c r="CA475" t="s">
        <v>231</v>
      </c>
      <c r="CB475" t="s">
        <v>231</v>
      </c>
      <c r="CC475" t="s">
        <v>231</v>
      </c>
      <c r="CD475" t="s">
        <v>231</v>
      </c>
      <c r="CE475" t="s">
        <v>231</v>
      </c>
      <c r="CF475" t="s">
        <v>231</v>
      </c>
      <c r="CG475" t="s">
        <v>231</v>
      </c>
      <c r="CH475" t="s">
        <v>231</v>
      </c>
      <c r="CI475" t="s">
        <v>231</v>
      </c>
      <c r="CJ475" t="s">
        <v>231</v>
      </c>
      <c r="CK475" t="s">
        <v>231</v>
      </c>
      <c r="CL475" t="s">
        <v>231</v>
      </c>
      <c r="CM475" t="s">
        <v>231</v>
      </c>
      <c r="CN475" t="s">
        <v>231</v>
      </c>
      <c r="CO475" t="s">
        <v>231</v>
      </c>
      <c r="CP475" t="s">
        <v>231</v>
      </c>
      <c r="CQ475" t="s">
        <v>231</v>
      </c>
      <c r="CR475" t="s">
        <v>231</v>
      </c>
      <c r="CS475" t="s">
        <v>231</v>
      </c>
      <c r="CT475" t="s">
        <v>3534</v>
      </c>
      <c r="CU475" t="s">
        <v>3535</v>
      </c>
      <c r="CV475" t="s">
        <v>3536</v>
      </c>
      <c r="CW475" t="s">
        <v>3551</v>
      </c>
      <c r="CX475" t="s">
        <v>223</v>
      </c>
      <c r="CY475" t="s">
        <v>3536</v>
      </c>
      <c r="CZ475" t="s">
        <v>3552</v>
      </c>
      <c r="DA475" t="s">
        <v>3553</v>
      </c>
      <c r="DB475" t="s">
        <v>3551</v>
      </c>
      <c r="DC475" t="s">
        <v>363</v>
      </c>
      <c r="DD475" t="s">
        <v>282</v>
      </c>
      <c r="DE475" t="s">
        <v>4542</v>
      </c>
    </row>
    <row r="476" spans="1:109" ht="11.25" customHeight="1">
      <c r="A476" s="1314" t="s">
        <v>231</v>
      </c>
      <c r="B476" t="s">
        <v>231</v>
      </c>
      <c r="C476" t="s">
        <v>231</v>
      </c>
      <c r="D476" t="s">
        <v>231</v>
      </c>
      <c r="E476" t="s">
        <v>231</v>
      </c>
      <c r="F476" t="s">
        <v>231</v>
      </c>
      <c r="G476" t="s">
        <v>231</v>
      </c>
      <c r="H476" t="s">
        <v>231</v>
      </c>
      <c r="I476" t="s">
        <v>3521</v>
      </c>
      <c r="J476" t="s">
        <v>231</v>
      </c>
      <c r="K476" t="s">
        <v>231</v>
      </c>
      <c r="L476" t="s">
        <v>231</v>
      </c>
      <c r="M476" t="s">
        <v>231</v>
      </c>
      <c r="N476" t="s">
        <v>231</v>
      </c>
      <c r="O476" t="s">
        <v>231</v>
      </c>
      <c r="P476" t="s">
        <v>231</v>
      </c>
      <c r="Q476" t="s">
        <v>231</v>
      </c>
      <c r="R476" t="s">
        <v>3651</v>
      </c>
      <c r="S476" t="s">
        <v>231</v>
      </c>
      <c r="T476" t="s">
        <v>231</v>
      </c>
      <c r="U476" t="s">
        <v>101</v>
      </c>
      <c r="V476" t="s">
        <v>231</v>
      </c>
      <c r="W476" t="s">
        <v>231</v>
      </c>
      <c r="X476" t="s">
        <v>3523</v>
      </c>
      <c r="Y476" t="s">
        <v>231</v>
      </c>
      <c r="Z476" t="s">
        <v>160</v>
      </c>
      <c r="AA476" t="s">
        <v>151</v>
      </c>
      <c r="AB476" t="s">
        <v>151</v>
      </c>
      <c r="AC476" t="s">
        <v>2283</v>
      </c>
      <c r="AD476" t="s">
        <v>2283</v>
      </c>
      <c r="AE476" t="s">
        <v>2284</v>
      </c>
      <c r="AF476" t="s">
        <v>4487</v>
      </c>
      <c r="AG476" t="s">
        <v>4488</v>
      </c>
      <c r="AH476" t="s">
        <v>4490</v>
      </c>
      <c r="AI476" t="s">
        <v>4963</v>
      </c>
      <c r="AJ476" t="s">
        <v>3546</v>
      </c>
      <c r="AK476" t="s">
        <v>3547</v>
      </c>
      <c r="AL476" t="s">
        <v>3548</v>
      </c>
      <c r="AM476" t="s">
        <v>3531</v>
      </c>
      <c r="AN476" t="s">
        <v>3549</v>
      </c>
      <c r="AO476" t="s">
        <v>3739</v>
      </c>
      <c r="AP476" t="s">
        <v>231</v>
      </c>
      <c r="AQ476" t="s">
        <v>231</v>
      </c>
      <c r="AR476" t="s">
        <v>231</v>
      </c>
      <c r="AS476" t="s">
        <v>231</v>
      </c>
      <c r="AT476" t="s">
        <v>231</v>
      </c>
      <c r="AU476" t="s">
        <v>231</v>
      </c>
      <c r="AV476" t="s">
        <v>231</v>
      </c>
      <c r="AW476" t="s">
        <v>231</v>
      </c>
      <c r="AX476" t="s">
        <v>231</v>
      </c>
      <c r="AY476" t="s">
        <v>231</v>
      </c>
      <c r="AZ476" t="s">
        <v>231</v>
      </c>
      <c r="BA476" t="s">
        <v>231</v>
      </c>
      <c r="BB476" t="s">
        <v>231</v>
      </c>
      <c r="BC476" t="s">
        <v>231</v>
      </c>
      <c r="BD476" t="s">
        <v>231</v>
      </c>
      <c r="BE476" t="s">
        <v>231</v>
      </c>
      <c r="BF476" t="s">
        <v>231</v>
      </c>
      <c r="BG476" t="s">
        <v>231</v>
      </c>
      <c r="BH476" t="s">
        <v>231</v>
      </c>
      <c r="BI476" t="s">
        <v>231</v>
      </c>
      <c r="BJ476" t="s">
        <v>231</v>
      </c>
      <c r="BK476" t="s">
        <v>231</v>
      </c>
      <c r="BL476" t="s">
        <v>231</v>
      </c>
      <c r="BM476" t="s">
        <v>231</v>
      </c>
      <c r="BN476" t="s">
        <v>231</v>
      </c>
      <c r="BO476" t="s">
        <v>231</v>
      </c>
      <c r="BP476" t="s">
        <v>231</v>
      </c>
      <c r="BQ476" t="s">
        <v>231</v>
      </c>
      <c r="BR476" t="s">
        <v>231</v>
      </c>
      <c r="BS476" t="s">
        <v>231</v>
      </c>
      <c r="BT476" t="s">
        <v>231</v>
      </c>
      <c r="BU476" t="s">
        <v>231</v>
      </c>
      <c r="BV476" t="s">
        <v>231</v>
      </c>
      <c r="BW476" t="s">
        <v>231</v>
      </c>
      <c r="BX476" t="s">
        <v>231</v>
      </c>
      <c r="BY476" t="s">
        <v>231</v>
      </c>
      <c r="BZ476" t="s">
        <v>231</v>
      </c>
      <c r="CA476" t="s">
        <v>231</v>
      </c>
      <c r="CB476" t="s">
        <v>231</v>
      </c>
      <c r="CC476" t="s">
        <v>231</v>
      </c>
      <c r="CD476" t="s">
        <v>231</v>
      </c>
      <c r="CE476" t="s">
        <v>231</v>
      </c>
      <c r="CF476" t="s">
        <v>231</v>
      </c>
      <c r="CG476" t="s">
        <v>231</v>
      </c>
      <c r="CH476" t="s">
        <v>231</v>
      </c>
      <c r="CI476" t="s">
        <v>231</v>
      </c>
      <c r="CJ476" t="s">
        <v>231</v>
      </c>
      <c r="CK476" t="s">
        <v>231</v>
      </c>
      <c r="CL476" t="s">
        <v>231</v>
      </c>
      <c r="CM476" t="s">
        <v>231</v>
      </c>
      <c r="CN476" t="s">
        <v>231</v>
      </c>
      <c r="CO476" t="s">
        <v>231</v>
      </c>
      <c r="CP476" t="s">
        <v>231</v>
      </c>
      <c r="CQ476" t="s">
        <v>231</v>
      </c>
      <c r="CR476" t="s">
        <v>231</v>
      </c>
      <c r="CS476" t="s">
        <v>231</v>
      </c>
      <c r="CT476" t="s">
        <v>3534</v>
      </c>
      <c r="CU476" t="s">
        <v>3535</v>
      </c>
      <c r="CV476" t="s">
        <v>3536</v>
      </c>
      <c r="CW476" t="s">
        <v>3551</v>
      </c>
      <c r="CX476" t="s">
        <v>223</v>
      </c>
      <c r="CY476" t="s">
        <v>3536</v>
      </c>
      <c r="CZ476" t="s">
        <v>3552</v>
      </c>
      <c r="DA476" t="s">
        <v>3553</v>
      </c>
      <c r="DB476" t="s">
        <v>3551</v>
      </c>
      <c r="DC476" t="s">
        <v>363</v>
      </c>
      <c r="DD476" t="s">
        <v>282</v>
      </c>
      <c r="DE476" t="s">
        <v>4964</v>
      </c>
    </row>
    <row r="477" spans="1:109" ht="11.25" customHeight="1">
      <c r="A477" s="1314" t="s">
        <v>231</v>
      </c>
      <c r="B477" t="s">
        <v>231</v>
      </c>
      <c r="C477" t="s">
        <v>231</v>
      </c>
      <c r="D477" t="s">
        <v>231</v>
      </c>
      <c r="E477" t="s">
        <v>231</v>
      </c>
      <c r="F477" t="s">
        <v>231</v>
      </c>
      <c r="G477" t="s">
        <v>231</v>
      </c>
      <c r="H477" t="s">
        <v>231</v>
      </c>
      <c r="I477" t="s">
        <v>3521</v>
      </c>
      <c r="J477" t="s">
        <v>231</v>
      </c>
      <c r="K477" t="s">
        <v>231</v>
      </c>
      <c r="L477" t="s">
        <v>231</v>
      </c>
      <c r="M477" t="s">
        <v>231</v>
      </c>
      <c r="N477" t="s">
        <v>231</v>
      </c>
      <c r="O477" t="s">
        <v>231</v>
      </c>
      <c r="P477" t="s">
        <v>231</v>
      </c>
      <c r="Q477" t="s">
        <v>231</v>
      </c>
      <c r="R477" t="s">
        <v>3749</v>
      </c>
      <c r="S477" t="s">
        <v>231</v>
      </c>
      <c r="T477" t="s">
        <v>231</v>
      </c>
      <c r="U477" t="s">
        <v>101</v>
      </c>
      <c r="V477" t="s">
        <v>231</v>
      </c>
      <c r="W477" t="s">
        <v>231</v>
      </c>
      <c r="X477" t="s">
        <v>3628</v>
      </c>
      <c r="Y477" t="s">
        <v>231</v>
      </c>
      <c r="Z477" t="s">
        <v>151</v>
      </c>
      <c r="AA477" t="s">
        <v>151</v>
      </c>
      <c r="AB477" t="s">
        <v>160</v>
      </c>
      <c r="AC477" t="s">
        <v>2283</v>
      </c>
      <c r="AD477" t="s">
        <v>2283</v>
      </c>
      <c r="AE477" t="s">
        <v>2284</v>
      </c>
      <c r="AF477" t="s">
        <v>3664</v>
      </c>
      <c r="AG477" t="s">
        <v>3665</v>
      </c>
      <c r="AH477" t="s">
        <v>3664</v>
      </c>
      <c r="AI477" t="s">
        <v>3688</v>
      </c>
      <c r="AJ477" t="s">
        <v>231</v>
      </c>
      <c r="AK477" t="s">
        <v>231</v>
      </c>
      <c r="AL477" t="s">
        <v>231</v>
      </c>
      <c r="AM477" t="s">
        <v>231</v>
      </c>
      <c r="AN477" t="s">
        <v>231</v>
      </c>
      <c r="AO477" t="s">
        <v>231</v>
      </c>
      <c r="AP477" t="s">
        <v>231</v>
      </c>
      <c r="AQ477" t="s">
        <v>231</v>
      </c>
      <c r="AR477" t="s">
        <v>231</v>
      </c>
      <c r="AS477" t="s">
        <v>231</v>
      </c>
      <c r="AT477" t="s">
        <v>231</v>
      </c>
      <c r="AU477" t="s">
        <v>231</v>
      </c>
      <c r="AV477" t="s">
        <v>231</v>
      </c>
      <c r="AW477" t="s">
        <v>231</v>
      </c>
      <c r="AX477" t="s">
        <v>231</v>
      </c>
      <c r="AY477" t="s">
        <v>231</v>
      </c>
      <c r="AZ477" t="s">
        <v>231</v>
      </c>
      <c r="BA477" t="s">
        <v>231</v>
      </c>
      <c r="BB477" t="s">
        <v>231</v>
      </c>
      <c r="BC477" t="s">
        <v>231</v>
      </c>
      <c r="BD477" t="s">
        <v>231</v>
      </c>
      <c r="BE477" t="s">
        <v>3689</v>
      </c>
      <c r="BF477" t="s">
        <v>3689</v>
      </c>
      <c r="BG477" t="s">
        <v>111</v>
      </c>
      <c r="BH477" t="s">
        <v>3632</v>
      </c>
      <c r="BI477" t="s">
        <v>122</v>
      </c>
      <c r="BJ477" t="s">
        <v>231</v>
      </c>
      <c r="BK477" t="s">
        <v>3651</v>
      </c>
      <c r="BL477" t="s">
        <v>2283</v>
      </c>
      <c r="BM477" t="s">
        <v>2283</v>
      </c>
      <c r="BN477" t="s">
        <v>3690</v>
      </c>
      <c r="BO477" t="s">
        <v>3664</v>
      </c>
      <c r="BP477" t="s">
        <v>4965</v>
      </c>
      <c r="BQ477" t="s">
        <v>3666</v>
      </c>
      <c r="BR477" t="s">
        <v>4660</v>
      </c>
      <c r="BS477" t="s">
        <v>231</v>
      </c>
      <c r="BT477" t="s">
        <v>3694</v>
      </c>
      <c r="BU477" t="s">
        <v>5052</v>
      </c>
      <c r="BV477" t="s">
        <v>5052</v>
      </c>
      <c r="BW477" t="s">
        <v>3641</v>
      </c>
      <c r="BX477" t="s">
        <v>3641</v>
      </c>
      <c r="BY477" t="s">
        <v>3641</v>
      </c>
      <c r="BZ477" t="s">
        <v>3641</v>
      </c>
      <c r="CA477" t="s">
        <v>3641</v>
      </c>
      <c r="CB477" t="s">
        <v>231</v>
      </c>
      <c r="CC477" t="s">
        <v>231</v>
      </c>
      <c r="CD477" t="s">
        <v>231</v>
      </c>
      <c r="CE477" t="s">
        <v>231</v>
      </c>
      <c r="CF477" t="s">
        <v>231</v>
      </c>
      <c r="CG477" t="s">
        <v>3641</v>
      </c>
      <c r="CH477" t="s">
        <v>231</v>
      </c>
      <c r="CI477" t="s">
        <v>231</v>
      </c>
      <c r="CJ477" t="s">
        <v>231</v>
      </c>
      <c r="CK477" t="s">
        <v>231</v>
      </c>
      <c r="CL477" t="s">
        <v>231</v>
      </c>
      <c r="CM477" t="s">
        <v>5052</v>
      </c>
      <c r="CN477" t="s">
        <v>5052</v>
      </c>
      <c r="CO477" t="s">
        <v>231</v>
      </c>
      <c r="CP477" t="s">
        <v>231</v>
      </c>
      <c r="CQ477" t="s">
        <v>231</v>
      </c>
      <c r="CR477" t="s">
        <v>231</v>
      </c>
      <c r="CS477" t="s">
        <v>3549</v>
      </c>
      <c r="CT477" t="s">
        <v>3534</v>
      </c>
      <c r="CU477" t="s">
        <v>3535</v>
      </c>
      <c r="CV477" t="s">
        <v>3536</v>
      </c>
      <c r="CW477" t="s">
        <v>3551</v>
      </c>
      <c r="CX477" t="s">
        <v>223</v>
      </c>
      <c r="CY477" t="s">
        <v>3536</v>
      </c>
      <c r="CZ477" t="s">
        <v>3552</v>
      </c>
      <c r="DA477" t="s">
        <v>3553</v>
      </c>
      <c r="DB477" t="s">
        <v>3551</v>
      </c>
      <c r="DC477" t="s">
        <v>363</v>
      </c>
      <c r="DD477" t="s">
        <v>282</v>
      </c>
      <c r="DE477" t="s">
        <v>4967</v>
      </c>
    </row>
    <row r="478" spans="1:109" ht="11.25" customHeight="1">
      <c r="A478" s="1314" t="s">
        <v>231</v>
      </c>
      <c r="B478" t="s">
        <v>231</v>
      </c>
      <c r="C478" t="s">
        <v>231</v>
      </c>
      <c r="D478" t="s">
        <v>231</v>
      </c>
      <c r="E478" t="s">
        <v>231</v>
      </c>
      <c r="F478" t="s">
        <v>231</v>
      </c>
      <c r="G478" t="s">
        <v>231</v>
      </c>
      <c r="H478" t="s">
        <v>231</v>
      </c>
      <c r="I478" t="s">
        <v>3521</v>
      </c>
      <c r="J478" t="s">
        <v>231</v>
      </c>
      <c r="K478" t="s">
        <v>231</v>
      </c>
      <c r="L478" t="s">
        <v>231</v>
      </c>
      <c r="M478" t="s">
        <v>231</v>
      </c>
      <c r="N478" t="s">
        <v>231</v>
      </c>
      <c r="O478" t="s">
        <v>231</v>
      </c>
      <c r="P478" t="s">
        <v>231</v>
      </c>
      <c r="Q478" t="s">
        <v>231</v>
      </c>
      <c r="R478" t="s">
        <v>3615</v>
      </c>
      <c r="S478" t="s">
        <v>231</v>
      </c>
      <c r="T478" t="s">
        <v>231</v>
      </c>
      <c r="U478" t="s">
        <v>101</v>
      </c>
      <c r="V478" t="s">
        <v>231</v>
      </c>
      <c r="W478" t="s">
        <v>231</v>
      </c>
      <c r="X478" t="s">
        <v>3523</v>
      </c>
      <c r="Y478" t="s">
        <v>231</v>
      </c>
      <c r="Z478" t="s">
        <v>160</v>
      </c>
      <c r="AA478" t="s">
        <v>151</v>
      </c>
      <c r="AB478" t="s">
        <v>151</v>
      </c>
      <c r="AC478" t="s">
        <v>2289</v>
      </c>
      <c r="AD478" t="s">
        <v>2289</v>
      </c>
      <c r="AE478" t="s">
        <v>2290</v>
      </c>
      <c r="AF478" t="s">
        <v>3880</v>
      </c>
      <c r="AG478" t="s">
        <v>3881</v>
      </c>
      <c r="AH478" t="s">
        <v>3714</v>
      </c>
      <c r="AI478" t="s">
        <v>3593</v>
      </c>
      <c r="AJ478" t="s">
        <v>3546</v>
      </c>
      <c r="AK478" t="s">
        <v>3716</v>
      </c>
      <c r="AL478" t="s">
        <v>3548</v>
      </c>
      <c r="AM478" t="s">
        <v>3531</v>
      </c>
      <c r="AN478" t="s">
        <v>3587</v>
      </c>
      <c r="AO478" t="s">
        <v>3882</v>
      </c>
      <c r="AP478" t="s">
        <v>231</v>
      </c>
      <c r="AQ478" t="s">
        <v>231</v>
      </c>
      <c r="AR478" t="s">
        <v>231</v>
      </c>
      <c r="AS478" t="s">
        <v>231</v>
      </c>
      <c r="AT478" t="s">
        <v>231</v>
      </c>
      <c r="AU478" t="s">
        <v>231</v>
      </c>
      <c r="AV478" t="s">
        <v>231</v>
      </c>
      <c r="AW478" t="s">
        <v>231</v>
      </c>
      <c r="AX478" t="s">
        <v>231</v>
      </c>
      <c r="AY478" t="s">
        <v>231</v>
      </c>
      <c r="AZ478" t="s">
        <v>231</v>
      </c>
      <c r="BA478" t="s">
        <v>231</v>
      </c>
      <c r="BB478" t="s">
        <v>231</v>
      </c>
      <c r="BC478" t="s">
        <v>231</v>
      </c>
      <c r="BD478" t="s">
        <v>231</v>
      </c>
      <c r="BE478" t="s">
        <v>231</v>
      </c>
      <c r="BF478" t="s">
        <v>231</v>
      </c>
      <c r="BG478" t="s">
        <v>231</v>
      </c>
      <c r="BH478" t="s">
        <v>231</v>
      </c>
      <c r="BI478" t="s">
        <v>231</v>
      </c>
      <c r="BJ478" t="s">
        <v>231</v>
      </c>
      <c r="BK478" t="s">
        <v>231</v>
      </c>
      <c r="BL478" t="s">
        <v>231</v>
      </c>
      <c r="BM478" t="s">
        <v>231</v>
      </c>
      <c r="BN478" t="s">
        <v>231</v>
      </c>
      <c r="BO478" t="s">
        <v>231</v>
      </c>
      <c r="BP478" t="s">
        <v>231</v>
      </c>
      <c r="BQ478" t="s">
        <v>231</v>
      </c>
      <c r="BR478" t="s">
        <v>231</v>
      </c>
      <c r="BS478" t="s">
        <v>231</v>
      </c>
      <c r="BT478" t="s">
        <v>231</v>
      </c>
      <c r="BU478" t="s">
        <v>231</v>
      </c>
      <c r="BV478" t="s">
        <v>231</v>
      </c>
      <c r="BW478" t="s">
        <v>231</v>
      </c>
      <c r="BX478" t="s">
        <v>231</v>
      </c>
      <c r="BY478" t="s">
        <v>231</v>
      </c>
      <c r="BZ478" t="s">
        <v>231</v>
      </c>
      <c r="CA478" t="s">
        <v>231</v>
      </c>
      <c r="CB478" t="s">
        <v>231</v>
      </c>
      <c r="CC478" t="s">
        <v>231</v>
      </c>
      <c r="CD478" t="s">
        <v>231</v>
      </c>
      <c r="CE478" t="s">
        <v>231</v>
      </c>
      <c r="CF478" t="s">
        <v>231</v>
      </c>
      <c r="CG478" t="s">
        <v>231</v>
      </c>
      <c r="CH478" t="s">
        <v>231</v>
      </c>
      <c r="CI478" t="s">
        <v>231</v>
      </c>
      <c r="CJ478" t="s">
        <v>231</v>
      </c>
      <c r="CK478" t="s">
        <v>231</v>
      </c>
      <c r="CL478" t="s">
        <v>231</v>
      </c>
      <c r="CM478" t="s">
        <v>231</v>
      </c>
      <c r="CN478" t="s">
        <v>231</v>
      </c>
      <c r="CO478" t="s">
        <v>231</v>
      </c>
      <c r="CP478" t="s">
        <v>231</v>
      </c>
      <c r="CQ478" t="s">
        <v>231</v>
      </c>
      <c r="CR478" t="s">
        <v>231</v>
      </c>
      <c r="CS478" t="s">
        <v>231</v>
      </c>
      <c r="CT478" t="s">
        <v>3534</v>
      </c>
      <c r="CU478" t="s">
        <v>3535</v>
      </c>
      <c r="CV478" t="s">
        <v>3536</v>
      </c>
      <c r="CW478" t="s">
        <v>3589</v>
      </c>
      <c r="CX478" t="s">
        <v>223</v>
      </c>
      <c r="CY478" t="s">
        <v>3536</v>
      </c>
      <c r="CZ478" t="s">
        <v>3590</v>
      </c>
      <c r="DA478" t="s">
        <v>3591</v>
      </c>
      <c r="DB478" t="s">
        <v>3589</v>
      </c>
      <c r="DC478" t="s">
        <v>363</v>
      </c>
      <c r="DD478" t="s">
        <v>282</v>
      </c>
      <c r="DE478" t="s">
        <v>3883</v>
      </c>
    </row>
    <row r="479" spans="1:109" ht="11.25" customHeight="1">
      <c r="A479" s="1314" t="s">
        <v>231</v>
      </c>
      <c r="B479" t="s">
        <v>231</v>
      </c>
      <c r="C479" t="s">
        <v>231</v>
      </c>
      <c r="D479" t="s">
        <v>231</v>
      </c>
      <c r="E479" t="s">
        <v>231</v>
      </c>
      <c r="F479" t="s">
        <v>231</v>
      </c>
      <c r="G479" t="s">
        <v>231</v>
      </c>
      <c r="H479" t="s">
        <v>231</v>
      </c>
      <c r="I479" t="s">
        <v>3521</v>
      </c>
      <c r="J479" t="s">
        <v>231</v>
      </c>
      <c r="K479" t="s">
        <v>231</v>
      </c>
      <c r="L479" t="s">
        <v>231</v>
      </c>
      <c r="M479" t="s">
        <v>231</v>
      </c>
      <c r="N479" t="s">
        <v>231</v>
      </c>
      <c r="O479" t="s">
        <v>231</v>
      </c>
      <c r="P479" t="s">
        <v>231</v>
      </c>
      <c r="Q479" t="s">
        <v>231</v>
      </c>
      <c r="R479" t="s">
        <v>4968</v>
      </c>
      <c r="S479" t="s">
        <v>231</v>
      </c>
      <c r="T479" t="s">
        <v>231</v>
      </c>
      <c r="U479" t="s">
        <v>101</v>
      </c>
      <c r="V479" t="s">
        <v>231</v>
      </c>
      <c r="W479" t="s">
        <v>231</v>
      </c>
      <c r="X479" t="s">
        <v>3628</v>
      </c>
      <c r="Y479" t="s">
        <v>231</v>
      </c>
      <c r="Z479" t="s">
        <v>151</v>
      </c>
      <c r="AA479" t="s">
        <v>151</v>
      </c>
      <c r="AB479" t="s">
        <v>160</v>
      </c>
      <c r="AC479" t="s">
        <v>2289</v>
      </c>
      <c r="AD479" t="s">
        <v>2289</v>
      </c>
      <c r="AE479" t="s">
        <v>2290</v>
      </c>
      <c r="AF479" t="s">
        <v>4712</v>
      </c>
      <c r="AG479" t="s">
        <v>4713</v>
      </c>
      <c r="AH479" t="s">
        <v>3618</v>
      </c>
      <c r="AI479" t="s">
        <v>3618</v>
      </c>
      <c r="AJ479" t="s">
        <v>231</v>
      </c>
      <c r="AK479" t="s">
        <v>231</v>
      </c>
      <c r="AL479" t="s">
        <v>231</v>
      </c>
      <c r="AM479" t="s">
        <v>231</v>
      </c>
      <c r="AN479" t="s">
        <v>231</v>
      </c>
      <c r="AO479" t="s">
        <v>231</v>
      </c>
      <c r="AP479" t="s">
        <v>231</v>
      </c>
      <c r="AQ479" t="s">
        <v>231</v>
      </c>
      <c r="AR479" t="s">
        <v>231</v>
      </c>
      <c r="AS479" t="s">
        <v>231</v>
      </c>
      <c r="AT479" t="s">
        <v>231</v>
      </c>
      <c r="AU479" t="s">
        <v>231</v>
      </c>
      <c r="AV479" t="s">
        <v>231</v>
      </c>
      <c r="AW479" t="s">
        <v>231</v>
      </c>
      <c r="AX479" t="s">
        <v>231</v>
      </c>
      <c r="AY479" t="s">
        <v>231</v>
      </c>
      <c r="AZ479" t="s">
        <v>231</v>
      </c>
      <c r="BA479" t="s">
        <v>231</v>
      </c>
      <c r="BB479" t="s">
        <v>231</v>
      </c>
      <c r="BC479" t="s">
        <v>231</v>
      </c>
      <c r="BD479" t="s">
        <v>231</v>
      </c>
      <c r="BE479" t="s">
        <v>3546</v>
      </c>
      <c r="BF479" t="s">
        <v>3586</v>
      </c>
      <c r="BG479" t="s">
        <v>111</v>
      </c>
      <c r="BH479" t="s">
        <v>3632</v>
      </c>
      <c r="BI479" t="s">
        <v>122</v>
      </c>
      <c r="BJ479" t="s">
        <v>231</v>
      </c>
      <c r="BK479" t="s">
        <v>3651</v>
      </c>
      <c r="BL479" t="s">
        <v>2289</v>
      </c>
      <c r="BM479" t="s">
        <v>2289</v>
      </c>
      <c r="BN479" t="s">
        <v>3707</v>
      </c>
      <c r="BO479" t="s">
        <v>4712</v>
      </c>
      <c r="BP479" t="s">
        <v>4969</v>
      </c>
      <c r="BQ479" t="s">
        <v>3618</v>
      </c>
      <c r="BR479" t="s">
        <v>3618</v>
      </c>
      <c r="BS479" t="s">
        <v>231</v>
      </c>
      <c r="BT479" t="s">
        <v>3694</v>
      </c>
      <c r="BU479" t="s">
        <v>4970</v>
      </c>
      <c r="BV479" t="s">
        <v>4970</v>
      </c>
      <c r="BW479" t="s">
        <v>3641</v>
      </c>
      <c r="BX479" t="s">
        <v>3641</v>
      </c>
      <c r="BY479" t="s">
        <v>3641</v>
      </c>
      <c r="BZ479" t="s">
        <v>3641</v>
      </c>
      <c r="CA479" t="s">
        <v>3641</v>
      </c>
      <c r="CB479" t="s">
        <v>231</v>
      </c>
      <c r="CC479" t="s">
        <v>231</v>
      </c>
      <c r="CD479" t="s">
        <v>231</v>
      </c>
      <c r="CE479" t="s">
        <v>231</v>
      </c>
      <c r="CF479" t="s">
        <v>231</v>
      </c>
      <c r="CG479" t="s">
        <v>3641</v>
      </c>
      <c r="CH479" t="s">
        <v>231</v>
      </c>
      <c r="CI479" t="s">
        <v>231</v>
      </c>
      <c r="CJ479" t="s">
        <v>231</v>
      </c>
      <c r="CK479" t="s">
        <v>231</v>
      </c>
      <c r="CL479" t="s">
        <v>231</v>
      </c>
      <c r="CM479" t="s">
        <v>4970</v>
      </c>
      <c r="CN479" t="s">
        <v>4970</v>
      </c>
      <c r="CO479" t="s">
        <v>231</v>
      </c>
      <c r="CP479" t="s">
        <v>231</v>
      </c>
      <c r="CQ479" t="s">
        <v>231</v>
      </c>
      <c r="CR479" t="s">
        <v>231</v>
      </c>
      <c r="CS479" t="s">
        <v>3710</v>
      </c>
      <c r="CT479" t="s">
        <v>3534</v>
      </c>
      <c r="CU479" t="s">
        <v>3535</v>
      </c>
      <c r="CV479" t="s">
        <v>3536</v>
      </c>
      <c r="CW479" t="s">
        <v>3589</v>
      </c>
      <c r="CX479" t="s">
        <v>223</v>
      </c>
      <c r="CY479" t="s">
        <v>3536</v>
      </c>
      <c r="CZ479" t="s">
        <v>3590</v>
      </c>
      <c r="DA479" t="s">
        <v>3591</v>
      </c>
      <c r="DB479" t="s">
        <v>3589</v>
      </c>
      <c r="DC479" t="s">
        <v>363</v>
      </c>
      <c r="DD479" t="s">
        <v>282</v>
      </c>
      <c r="DE479" t="s">
        <v>4971</v>
      </c>
    </row>
    <row r="480" spans="1:109" ht="11.25" customHeight="1">
      <c r="A480" s="1314" t="s">
        <v>231</v>
      </c>
      <c r="B480" t="s">
        <v>231</v>
      </c>
      <c r="C480" t="s">
        <v>231</v>
      </c>
      <c r="D480" t="s">
        <v>231</v>
      </c>
      <c r="E480" t="s">
        <v>231</v>
      </c>
      <c r="F480" t="s">
        <v>231</v>
      </c>
      <c r="G480" t="s">
        <v>231</v>
      </c>
      <c r="H480" t="s">
        <v>231</v>
      </c>
      <c r="I480" t="s">
        <v>3521</v>
      </c>
      <c r="J480" t="s">
        <v>231</v>
      </c>
      <c r="K480" t="s">
        <v>231</v>
      </c>
      <c r="L480" t="s">
        <v>231</v>
      </c>
      <c r="M480" t="s">
        <v>231</v>
      </c>
      <c r="N480" t="s">
        <v>231</v>
      </c>
      <c r="O480" t="s">
        <v>231</v>
      </c>
      <c r="P480" t="s">
        <v>231</v>
      </c>
      <c r="Q480" t="s">
        <v>231</v>
      </c>
      <c r="R480" t="s">
        <v>4972</v>
      </c>
      <c r="S480" t="s">
        <v>231</v>
      </c>
      <c r="T480" t="s">
        <v>231</v>
      </c>
      <c r="U480" t="s">
        <v>101</v>
      </c>
      <c r="V480" t="s">
        <v>231</v>
      </c>
      <c r="W480" t="s">
        <v>231</v>
      </c>
      <c r="X480" t="s">
        <v>3523</v>
      </c>
      <c r="Y480" t="s">
        <v>231</v>
      </c>
      <c r="Z480" t="s">
        <v>160</v>
      </c>
      <c r="AA480" t="s">
        <v>151</v>
      </c>
      <c r="AB480" t="s">
        <v>151</v>
      </c>
      <c r="AC480" t="s">
        <v>2289</v>
      </c>
      <c r="AD480" t="s">
        <v>2289</v>
      </c>
      <c r="AE480" t="s">
        <v>2290</v>
      </c>
      <c r="AF480" t="s">
        <v>3766</v>
      </c>
      <c r="AG480" t="s">
        <v>3767</v>
      </c>
      <c r="AH480" t="s">
        <v>4973</v>
      </c>
      <c r="AI480" t="s">
        <v>4016</v>
      </c>
      <c r="AJ480" t="s">
        <v>3594</v>
      </c>
      <c r="AK480" t="s">
        <v>3716</v>
      </c>
      <c r="AL480" t="s">
        <v>3548</v>
      </c>
      <c r="AM480" t="s">
        <v>3531</v>
      </c>
      <c r="AN480" t="s">
        <v>3529</v>
      </c>
      <c r="AO480" t="s">
        <v>4500</v>
      </c>
      <c r="AP480" t="s">
        <v>231</v>
      </c>
      <c r="AQ480" t="s">
        <v>231</v>
      </c>
      <c r="AR480" t="s">
        <v>231</v>
      </c>
      <c r="AS480" t="s">
        <v>231</v>
      </c>
      <c r="AT480" t="s">
        <v>231</v>
      </c>
      <c r="AU480" t="s">
        <v>231</v>
      </c>
      <c r="AV480" t="s">
        <v>231</v>
      </c>
      <c r="AW480" t="s">
        <v>231</v>
      </c>
      <c r="AX480" t="s">
        <v>231</v>
      </c>
      <c r="AY480" t="s">
        <v>231</v>
      </c>
      <c r="AZ480" t="s">
        <v>231</v>
      </c>
      <c r="BA480" t="s">
        <v>231</v>
      </c>
      <c r="BB480" t="s">
        <v>231</v>
      </c>
      <c r="BC480" t="s">
        <v>231</v>
      </c>
      <c r="BD480" t="s">
        <v>231</v>
      </c>
      <c r="BE480" t="s">
        <v>231</v>
      </c>
      <c r="BF480" t="s">
        <v>231</v>
      </c>
      <c r="BG480" t="s">
        <v>231</v>
      </c>
      <c r="BH480" t="s">
        <v>231</v>
      </c>
      <c r="BI480" t="s">
        <v>231</v>
      </c>
      <c r="BJ480" t="s">
        <v>231</v>
      </c>
      <c r="BK480" t="s">
        <v>231</v>
      </c>
      <c r="BL480" t="s">
        <v>231</v>
      </c>
      <c r="BM480" t="s">
        <v>231</v>
      </c>
      <c r="BN480" t="s">
        <v>231</v>
      </c>
      <c r="BO480" t="s">
        <v>231</v>
      </c>
      <c r="BP480" t="s">
        <v>231</v>
      </c>
      <c r="BQ480" t="s">
        <v>231</v>
      </c>
      <c r="BR480" t="s">
        <v>231</v>
      </c>
      <c r="BS480" t="s">
        <v>231</v>
      </c>
      <c r="BT480" t="s">
        <v>231</v>
      </c>
      <c r="BU480" t="s">
        <v>231</v>
      </c>
      <c r="BV480" t="s">
        <v>231</v>
      </c>
      <c r="BW480" t="s">
        <v>231</v>
      </c>
      <c r="BX480" t="s">
        <v>231</v>
      </c>
      <c r="BY480" t="s">
        <v>231</v>
      </c>
      <c r="BZ480" t="s">
        <v>231</v>
      </c>
      <c r="CA480" t="s">
        <v>231</v>
      </c>
      <c r="CB480" t="s">
        <v>231</v>
      </c>
      <c r="CC480" t="s">
        <v>231</v>
      </c>
      <c r="CD480" t="s">
        <v>231</v>
      </c>
      <c r="CE480" t="s">
        <v>231</v>
      </c>
      <c r="CF480" t="s">
        <v>231</v>
      </c>
      <c r="CG480" t="s">
        <v>231</v>
      </c>
      <c r="CH480" t="s">
        <v>231</v>
      </c>
      <c r="CI480" t="s">
        <v>231</v>
      </c>
      <c r="CJ480" t="s">
        <v>231</v>
      </c>
      <c r="CK480" t="s">
        <v>231</v>
      </c>
      <c r="CL480" t="s">
        <v>231</v>
      </c>
      <c r="CM480" t="s">
        <v>231</v>
      </c>
      <c r="CN480" t="s">
        <v>231</v>
      </c>
      <c r="CO480" t="s">
        <v>231</v>
      </c>
      <c r="CP480" t="s">
        <v>231</v>
      </c>
      <c r="CQ480" t="s">
        <v>231</v>
      </c>
      <c r="CR480" t="s">
        <v>231</v>
      </c>
      <c r="CS480" t="s">
        <v>231</v>
      </c>
      <c r="CT480" t="s">
        <v>3534</v>
      </c>
      <c r="CU480" t="s">
        <v>3535</v>
      </c>
      <c r="CV480" t="s">
        <v>3536</v>
      </c>
      <c r="CW480" t="s">
        <v>3589</v>
      </c>
      <c r="CX480" t="s">
        <v>223</v>
      </c>
      <c r="CY480" t="s">
        <v>3536</v>
      </c>
      <c r="CZ480" t="s">
        <v>3590</v>
      </c>
      <c r="DA480" t="s">
        <v>3591</v>
      </c>
      <c r="DB480" t="s">
        <v>3589</v>
      </c>
      <c r="DC480" t="s">
        <v>363</v>
      </c>
      <c r="DD480" t="s">
        <v>282</v>
      </c>
      <c r="DE480" t="s">
        <v>4974</v>
      </c>
    </row>
    <row r="481" spans="1:109" ht="11.25" customHeight="1">
      <c r="A481" s="1314" t="s">
        <v>231</v>
      </c>
      <c r="B481" t="s">
        <v>231</v>
      </c>
      <c r="C481" t="s">
        <v>231</v>
      </c>
      <c r="D481" t="s">
        <v>231</v>
      </c>
      <c r="E481" t="s">
        <v>231</v>
      </c>
      <c r="F481" t="s">
        <v>231</v>
      </c>
      <c r="G481" t="s">
        <v>231</v>
      </c>
      <c r="H481" t="s">
        <v>231</v>
      </c>
      <c r="I481" t="s">
        <v>3521</v>
      </c>
      <c r="J481" t="s">
        <v>231</v>
      </c>
      <c r="K481" t="s">
        <v>231</v>
      </c>
      <c r="L481" t="s">
        <v>231</v>
      </c>
      <c r="M481" t="s">
        <v>231</v>
      </c>
      <c r="N481" t="s">
        <v>231</v>
      </c>
      <c r="O481" t="s">
        <v>231</v>
      </c>
      <c r="P481" t="s">
        <v>231</v>
      </c>
      <c r="Q481" t="s">
        <v>231</v>
      </c>
      <c r="R481" t="s">
        <v>3765</v>
      </c>
      <c r="S481" t="s">
        <v>231</v>
      </c>
      <c r="T481" t="s">
        <v>231</v>
      </c>
      <c r="U481" t="s">
        <v>101</v>
      </c>
      <c r="V481" t="s">
        <v>231</v>
      </c>
      <c r="W481" t="s">
        <v>231</v>
      </c>
      <c r="X481" t="s">
        <v>3628</v>
      </c>
      <c r="Y481" t="s">
        <v>231</v>
      </c>
      <c r="Z481" t="s">
        <v>151</v>
      </c>
      <c r="AA481" t="s">
        <v>151</v>
      </c>
      <c r="AB481" t="s">
        <v>160</v>
      </c>
      <c r="AC481" t="s">
        <v>2289</v>
      </c>
      <c r="AD481" t="s">
        <v>2289</v>
      </c>
      <c r="AE481" t="s">
        <v>2290</v>
      </c>
      <c r="AF481" t="s">
        <v>3766</v>
      </c>
      <c r="AG481" t="s">
        <v>3767</v>
      </c>
      <c r="AH481" t="s">
        <v>3618</v>
      </c>
      <c r="AI481" t="s">
        <v>3618</v>
      </c>
      <c r="AJ481" t="s">
        <v>231</v>
      </c>
      <c r="AK481" t="s">
        <v>231</v>
      </c>
      <c r="AL481" t="s">
        <v>231</v>
      </c>
      <c r="AM481" t="s">
        <v>231</v>
      </c>
      <c r="AN481" t="s">
        <v>231</v>
      </c>
      <c r="AO481" t="s">
        <v>231</v>
      </c>
      <c r="AP481" t="s">
        <v>231</v>
      </c>
      <c r="AQ481" t="s">
        <v>231</v>
      </c>
      <c r="AR481" t="s">
        <v>231</v>
      </c>
      <c r="AS481" t="s">
        <v>231</v>
      </c>
      <c r="AT481" t="s">
        <v>231</v>
      </c>
      <c r="AU481" t="s">
        <v>231</v>
      </c>
      <c r="AV481" t="s">
        <v>231</v>
      </c>
      <c r="AW481" t="s">
        <v>231</v>
      </c>
      <c r="AX481" t="s">
        <v>231</v>
      </c>
      <c r="AY481" t="s">
        <v>231</v>
      </c>
      <c r="AZ481" t="s">
        <v>231</v>
      </c>
      <c r="BA481" t="s">
        <v>231</v>
      </c>
      <c r="BB481" t="s">
        <v>231</v>
      </c>
      <c r="BC481" t="s">
        <v>231</v>
      </c>
      <c r="BD481" t="s">
        <v>231</v>
      </c>
      <c r="BE481" t="s">
        <v>3546</v>
      </c>
      <c r="BF481" t="s">
        <v>3586</v>
      </c>
      <c r="BG481" t="s">
        <v>111</v>
      </c>
      <c r="BH481" t="s">
        <v>3632</v>
      </c>
      <c r="BI481" t="s">
        <v>122</v>
      </c>
      <c r="BJ481" t="s">
        <v>231</v>
      </c>
      <c r="BK481" t="s">
        <v>3651</v>
      </c>
      <c r="BL481" t="s">
        <v>2289</v>
      </c>
      <c r="BM481" t="s">
        <v>2289</v>
      </c>
      <c r="BN481" t="s">
        <v>3707</v>
      </c>
      <c r="BO481" t="s">
        <v>3766</v>
      </c>
      <c r="BP481" t="s">
        <v>3768</v>
      </c>
      <c r="BQ481" t="s">
        <v>3618</v>
      </c>
      <c r="BR481" t="s">
        <v>3618</v>
      </c>
      <c r="BS481" t="s">
        <v>231</v>
      </c>
      <c r="BT481" t="s">
        <v>3694</v>
      </c>
      <c r="BU481" t="s">
        <v>3769</v>
      </c>
      <c r="BV481" t="s">
        <v>3769</v>
      </c>
      <c r="BW481" t="s">
        <v>3641</v>
      </c>
      <c r="BX481" t="s">
        <v>3641</v>
      </c>
      <c r="BY481" t="s">
        <v>3641</v>
      </c>
      <c r="BZ481" t="s">
        <v>3641</v>
      </c>
      <c r="CA481" t="s">
        <v>3641</v>
      </c>
      <c r="CB481" t="s">
        <v>231</v>
      </c>
      <c r="CC481" t="s">
        <v>231</v>
      </c>
      <c r="CD481" t="s">
        <v>231</v>
      </c>
      <c r="CE481" t="s">
        <v>231</v>
      </c>
      <c r="CF481" t="s">
        <v>231</v>
      </c>
      <c r="CG481" t="s">
        <v>3641</v>
      </c>
      <c r="CH481" t="s">
        <v>231</v>
      </c>
      <c r="CI481" t="s">
        <v>231</v>
      </c>
      <c r="CJ481" t="s">
        <v>231</v>
      </c>
      <c r="CK481" t="s">
        <v>231</v>
      </c>
      <c r="CL481" t="s">
        <v>231</v>
      </c>
      <c r="CM481" t="s">
        <v>3769</v>
      </c>
      <c r="CN481" t="s">
        <v>3769</v>
      </c>
      <c r="CO481" t="s">
        <v>231</v>
      </c>
      <c r="CP481" t="s">
        <v>231</v>
      </c>
      <c r="CQ481" t="s">
        <v>231</v>
      </c>
      <c r="CR481" t="s">
        <v>231</v>
      </c>
      <c r="CS481" t="s">
        <v>3710</v>
      </c>
      <c r="CT481" t="s">
        <v>3534</v>
      </c>
      <c r="CU481" t="s">
        <v>3535</v>
      </c>
      <c r="CV481" t="s">
        <v>3536</v>
      </c>
      <c r="CW481" t="s">
        <v>3589</v>
      </c>
      <c r="CX481" t="s">
        <v>223</v>
      </c>
      <c r="CY481" t="s">
        <v>3536</v>
      </c>
      <c r="CZ481" t="s">
        <v>3590</v>
      </c>
      <c r="DA481" t="s">
        <v>3591</v>
      </c>
      <c r="DB481" t="s">
        <v>3589</v>
      </c>
      <c r="DC481" t="s">
        <v>363</v>
      </c>
      <c r="DD481" t="s">
        <v>282</v>
      </c>
      <c r="DE481" t="s">
        <v>3770</v>
      </c>
    </row>
    <row r="482" spans="1:109" ht="11.25" customHeight="1">
      <c r="A482" s="1314" t="s">
        <v>231</v>
      </c>
      <c r="B482" t="s">
        <v>231</v>
      </c>
      <c r="C482" t="s">
        <v>231</v>
      </c>
      <c r="D482" t="s">
        <v>231</v>
      </c>
      <c r="E482" t="s">
        <v>231</v>
      </c>
      <c r="F482" t="s">
        <v>231</v>
      </c>
      <c r="G482" t="s">
        <v>231</v>
      </c>
      <c r="H482" t="s">
        <v>231</v>
      </c>
      <c r="I482" t="s">
        <v>3521</v>
      </c>
      <c r="J482" t="s">
        <v>231</v>
      </c>
      <c r="K482" t="s">
        <v>231</v>
      </c>
      <c r="L482" t="s">
        <v>231</v>
      </c>
      <c r="M482" t="s">
        <v>231</v>
      </c>
      <c r="N482" t="s">
        <v>231</v>
      </c>
      <c r="O482" t="s">
        <v>231</v>
      </c>
      <c r="P482" t="s">
        <v>231</v>
      </c>
      <c r="Q482" t="s">
        <v>231</v>
      </c>
      <c r="R482" t="s">
        <v>3873</v>
      </c>
      <c r="S482" t="s">
        <v>231</v>
      </c>
      <c r="T482" t="s">
        <v>231</v>
      </c>
      <c r="U482" t="s">
        <v>101</v>
      </c>
      <c r="V482" t="s">
        <v>231</v>
      </c>
      <c r="W482" t="s">
        <v>231</v>
      </c>
      <c r="X482" t="s">
        <v>3628</v>
      </c>
      <c r="Y482" t="s">
        <v>231</v>
      </c>
      <c r="Z482" t="s">
        <v>151</v>
      </c>
      <c r="AA482" t="s">
        <v>151</v>
      </c>
      <c r="AB482" t="s">
        <v>160</v>
      </c>
      <c r="AC482" t="s">
        <v>2289</v>
      </c>
      <c r="AD482" t="s">
        <v>2289</v>
      </c>
      <c r="AE482" t="s">
        <v>2290</v>
      </c>
      <c r="AF482" t="s">
        <v>3874</v>
      </c>
      <c r="AG482" t="s">
        <v>3875</v>
      </c>
      <c r="AH482" t="s">
        <v>3618</v>
      </c>
      <c r="AI482" t="s">
        <v>3618</v>
      </c>
      <c r="AJ482" t="s">
        <v>231</v>
      </c>
      <c r="AK482" t="s">
        <v>231</v>
      </c>
      <c r="AL482" t="s">
        <v>231</v>
      </c>
      <c r="AM482" t="s">
        <v>231</v>
      </c>
      <c r="AN482" t="s">
        <v>231</v>
      </c>
      <c r="AO482" t="s">
        <v>231</v>
      </c>
      <c r="AP482" t="s">
        <v>231</v>
      </c>
      <c r="AQ482" t="s">
        <v>231</v>
      </c>
      <c r="AR482" t="s">
        <v>231</v>
      </c>
      <c r="AS482" t="s">
        <v>231</v>
      </c>
      <c r="AT482" t="s">
        <v>231</v>
      </c>
      <c r="AU482" t="s">
        <v>231</v>
      </c>
      <c r="AV482" t="s">
        <v>231</v>
      </c>
      <c r="AW482" t="s">
        <v>231</v>
      </c>
      <c r="AX482" t="s">
        <v>231</v>
      </c>
      <c r="AY482" t="s">
        <v>231</v>
      </c>
      <c r="AZ482" t="s">
        <v>231</v>
      </c>
      <c r="BA482" t="s">
        <v>231</v>
      </c>
      <c r="BB482" t="s">
        <v>231</v>
      </c>
      <c r="BC482" t="s">
        <v>231</v>
      </c>
      <c r="BD482" t="s">
        <v>231</v>
      </c>
      <c r="BE482" t="s">
        <v>3619</v>
      </c>
      <c r="BF482" t="s">
        <v>3876</v>
      </c>
      <c r="BG482" t="s">
        <v>111</v>
      </c>
      <c r="BH482" t="s">
        <v>3632</v>
      </c>
      <c r="BI482" t="s">
        <v>122</v>
      </c>
      <c r="BJ482" t="s">
        <v>231</v>
      </c>
      <c r="BK482" t="s">
        <v>3651</v>
      </c>
      <c r="BL482" t="s">
        <v>2289</v>
      </c>
      <c r="BM482" t="s">
        <v>2289</v>
      </c>
      <c r="BN482" t="s">
        <v>3707</v>
      </c>
      <c r="BO482" t="s">
        <v>3874</v>
      </c>
      <c r="BP482" t="s">
        <v>3877</v>
      </c>
      <c r="BQ482" t="s">
        <v>3618</v>
      </c>
      <c r="BR482" t="s">
        <v>3618</v>
      </c>
      <c r="BS482" t="s">
        <v>231</v>
      </c>
      <c r="BT482" t="s">
        <v>3694</v>
      </c>
      <c r="BU482" t="s">
        <v>3878</v>
      </c>
      <c r="BV482" t="s">
        <v>3878</v>
      </c>
      <c r="BW482" t="s">
        <v>3641</v>
      </c>
      <c r="BX482" t="s">
        <v>3641</v>
      </c>
      <c r="BY482" t="s">
        <v>3641</v>
      </c>
      <c r="BZ482" t="s">
        <v>3641</v>
      </c>
      <c r="CA482" t="s">
        <v>3641</v>
      </c>
      <c r="CB482" t="s">
        <v>231</v>
      </c>
      <c r="CC482" t="s">
        <v>231</v>
      </c>
      <c r="CD482" t="s">
        <v>231</v>
      </c>
      <c r="CE482" t="s">
        <v>231</v>
      </c>
      <c r="CF482" t="s">
        <v>231</v>
      </c>
      <c r="CG482" t="s">
        <v>3641</v>
      </c>
      <c r="CH482" t="s">
        <v>231</v>
      </c>
      <c r="CI482" t="s">
        <v>231</v>
      </c>
      <c r="CJ482" t="s">
        <v>231</v>
      </c>
      <c r="CK482" t="s">
        <v>231</v>
      </c>
      <c r="CL482" t="s">
        <v>231</v>
      </c>
      <c r="CM482" t="s">
        <v>3878</v>
      </c>
      <c r="CN482" t="s">
        <v>3878</v>
      </c>
      <c r="CO482" t="s">
        <v>231</v>
      </c>
      <c r="CP482" t="s">
        <v>231</v>
      </c>
      <c r="CQ482" t="s">
        <v>231</v>
      </c>
      <c r="CR482" t="s">
        <v>231</v>
      </c>
      <c r="CS482" t="s">
        <v>3710</v>
      </c>
      <c r="CT482" t="s">
        <v>3534</v>
      </c>
      <c r="CU482" t="s">
        <v>3535</v>
      </c>
      <c r="CV482" t="s">
        <v>3536</v>
      </c>
      <c r="CW482" t="s">
        <v>3589</v>
      </c>
      <c r="CX482" t="s">
        <v>223</v>
      </c>
      <c r="CY482" t="s">
        <v>3536</v>
      </c>
      <c r="CZ482" t="s">
        <v>3590</v>
      </c>
      <c r="DA482" t="s">
        <v>3591</v>
      </c>
      <c r="DB482" t="s">
        <v>3589</v>
      </c>
      <c r="DC482" t="s">
        <v>363</v>
      </c>
      <c r="DD482" t="s">
        <v>282</v>
      </c>
      <c r="DE482" t="s">
        <v>3879</v>
      </c>
    </row>
    <row r="483" spans="1:109" ht="11.25" customHeight="1">
      <c r="A483" s="1314" t="s">
        <v>231</v>
      </c>
      <c r="B483" t="s">
        <v>231</v>
      </c>
      <c r="C483" t="s">
        <v>231</v>
      </c>
      <c r="D483" t="s">
        <v>231</v>
      </c>
      <c r="E483" t="s">
        <v>231</v>
      </c>
      <c r="F483" t="s">
        <v>231</v>
      </c>
      <c r="G483" t="s">
        <v>231</v>
      </c>
      <c r="H483" t="s">
        <v>231</v>
      </c>
      <c r="I483" t="s">
        <v>3521</v>
      </c>
      <c r="J483" t="s">
        <v>231</v>
      </c>
      <c r="K483" t="s">
        <v>231</v>
      </c>
      <c r="L483" t="s">
        <v>231</v>
      </c>
      <c r="M483" t="s">
        <v>231</v>
      </c>
      <c r="N483" t="s">
        <v>231</v>
      </c>
      <c r="O483" t="s">
        <v>231</v>
      </c>
      <c r="P483" t="s">
        <v>231</v>
      </c>
      <c r="Q483" t="s">
        <v>231</v>
      </c>
      <c r="R483" t="s">
        <v>5053</v>
      </c>
      <c r="S483" t="s">
        <v>231</v>
      </c>
      <c r="T483" t="s">
        <v>231</v>
      </c>
      <c r="U483" t="s">
        <v>101</v>
      </c>
      <c r="V483" t="s">
        <v>231</v>
      </c>
      <c r="W483" t="s">
        <v>231</v>
      </c>
      <c r="X483" t="s">
        <v>3523</v>
      </c>
      <c r="Y483" t="s">
        <v>231</v>
      </c>
      <c r="Z483" t="s">
        <v>160</v>
      </c>
      <c r="AA483" t="s">
        <v>151</v>
      </c>
      <c r="AB483" t="s">
        <v>151</v>
      </c>
      <c r="AC483" t="s">
        <v>343</v>
      </c>
      <c r="AD483" t="s">
        <v>343</v>
      </c>
      <c r="AE483" t="s">
        <v>344</v>
      </c>
      <c r="AF483" t="s">
        <v>3561</v>
      </c>
      <c r="AG483" t="s">
        <v>3562</v>
      </c>
      <c r="AH483" t="s">
        <v>4640</v>
      </c>
      <c r="AI483" t="s">
        <v>3978</v>
      </c>
      <c r="AJ483" t="s">
        <v>3918</v>
      </c>
      <c r="AK483" t="s">
        <v>4641</v>
      </c>
      <c r="AL483" t="s">
        <v>3566</v>
      </c>
      <c r="AM483" t="s">
        <v>3531</v>
      </c>
      <c r="AN483" t="s">
        <v>4642</v>
      </c>
      <c r="AO483" t="s">
        <v>4643</v>
      </c>
      <c r="AP483" t="s">
        <v>231</v>
      </c>
      <c r="AQ483" t="s">
        <v>231</v>
      </c>
      <c r="AR483" t="s">
        <v>231</v>
      </c>
      <c r="AS483" t="s">
        <v>231</v>
      </c>
      <c r="AT483" t="s">
        <v>231</v>
      </c>
      <c r="AU483" t="s">
        <v>231</v>
      </c>
      <c r="AV483" t="s">
        <v>231</v>
      </c>
      <c r="AW483" t="s">
        <v>231</v>
      </c>
      <c r="AX483" t="s">
        <v>231</v>
      </c>
      <c r="AY483" t="s">
        <v>231</v>
      </c>
      <c r="AZ483" t="s">
        <v>231</v>
      </c>
      <c r="BA483" t="s">
        <v>231</v>
      </c>
      <c r="BB483" t="s">
        <v>231</v>
      </c>
      <c r="BC483" t="s">
        <v>231</v>
      </c>
      <c r="BD483" t="s">
        <v>231</v>
      </c>
      <c r="BE483" t="s">
        <v>231</v>
      </c>
      <c r="BF483" t="s">
        <v>231</v>
      </c>
      <c r="BG483" t="s">
        <v>231</v>
      </c>
      <c r="BH483" t="s">
        <v>231</v>
      </c>
      <c r="BI483" t="s">
        <v>231</v>
      </c>
      <c r="BJ483" t="s">
        <v>231</v>
      </c>
      <c r="BK483" t="s">
        <v>231</v>
      </c>
      <c r="BL483" t="s">
        <v>231</v>
      </c>
      <c r="BM483" t="s">
        <v>231</v>
      </c>
      <c r="BN483" t="s">
        <v>231</v>
      </c>
      <c r="BO483" t="s">
        <v>231</v>
      </c>
      <c r="BP483" t="s">
        <v>231</v>
      </c>
      <c r="BQ483" t="s">
        <v>231</v>
      </c>
      <c r="BR483" t="s">
        <v>231</v>
      </c>
      <c r="BS483" t="s">
        <v>231</v>
      </c>
      <c r="BT483" t="s">
        <v>231</v>
      </c>
      <c r="BU483" t="s">
        <v>231</v>
      </c>
      <c r="BV483" t="s">
        <v>231</v>
      </c>
      <c r="BW483" t="s">
        <v>231</v>
      </c>
      <c r="BX483" t="s">
        <v>231</v>
      </c>
      <c r="BY483" t="s">
        <v>231</v>
      </c>
      <c r="BZ483" t="s">
        <v>231</v>
      </c>
      <c r="CA483" t="s">
        <v>231</v>
      </c>
      <c r="CB483" t="s">
        <v>231</v>
      </c>
      <c r="CC483" t="s">
        <v>231</v>
      </c>
      <c r="CD483" t="s">
        <v>231</v>
      </c>
      <c r="CE483" t="s">
        <v>231</v>
      </c>
      <c r="CF483" t="s">
        <v>231</v>
      </c>
      <c r="CG483" t="s">
        <v>231</v>
      </c>
      <c r="CH483" t="s">
        <v>231</v>
      </c>
      <c r="CI483" t="s">
        <v>231</v>
      </c>
      <c r="CJ483" t="s">
        <v>231</v>
      </c>
      <c r="CK483" t="s">
        <v>231</v>
      </c>
      <c r="CL483" t="s">
        <v>231</v>
      </c>
      <c r="CM483" t="s">
        <v>231</v>
      </c>
      <c r="CN483" t="s">
        <v>231</v>
      </c>
      <c r="CO483" t="s">
        <v>231</v>
      </c>
      <c r="CP483" t="s">
        <v>231</v>
      </c>
      <c r="CQ483" t="s">
        <v>231</v>
      </c>
      <c r="CR483" t="s">
        <v>231</v>
      </c>
      <c r="CS483" t="s">
        <v>231</v>
      </c>
      <c r="CT483" t="s">
        <v>3534</v>
      </c>
      <c r="CU483" t="s">
        <v>3535</v>
      </c>
      <c r="CV483" t="s">
        <v>3536</v>
      </c>
      <c r="CW483" t="s">
        <v>3569</v>
      </c>
      <c r="CX483" t="s">
        <v>3570</v>
      </c>
      <c r="CY483" t="s">
        <v>3536</v>
      </c>
      <c r="CZ483" t="s">
        <v>224</v>
      </c>
      <c r="DA483" t="s">
        <v>3571</v>
      </c>
      <c r="DB483" t="s">
        <v>3569</v>
      </c>
      <c r="DC483" t="s">
        <v>363</v>
      </c>
      <c r="DD483" t="s">
        <v>282</v>
      </c>
      <c r="DE483" t="s">
        <v>4644</v>
      </c>
    </row>
    <row r="484" spans="1:109" ht="11.25" customHeight="1">
      <c r="A484" s="1314" t="s">
        <v>231</v>
      </c>
      <c r="B484" t="s">
        <v>231</v>
      </c>
      <c r="C484" t="s">
        <v>231</v>
      </c>
      <c r="D484" t="s">
        <v>231</v>
      </c>
      <c r="E484" t="s">
        <v>231</v>
      </c>
      <c r="F484" t="s">
        <v>231</v>
      </c>
      <c r="G484" t="s">
        <v>231</v>
      </c>
      <c r="H484" t="s">
        <v>231</v>
      </c>
      <c r="I484" t="s">
        <v>3521</v>
      </c>
      <c r="J484" t="s">
        <v>231</v>
      </c>
      <c r="K484" t="s">
        <v>231</v>
      </c>
      <c r="L484" t="s">
        <v>231</v>
      </c>
      <c r="M484" t="s">
        <v>231</v>
      </c>
      <c r="N484" t="s">
        <v>231</v>
      </c>
      <c r="O484" t="s">
        <v>231</v>
      </c>
      <c r="P484" t="s">
        <v>231</v>
      </c>
      <c r="Q484" t="s">
        <v>231</v>
      </c>
      <c r="R484" t="s">
        <v>3615</v>
      </c>
      <c r="S484" t="s">
        <v>231</v>
      </c>
      <c r="T484" t="s">
        <v>231</v>
      </c>
      <c r="U484" t="s">
        <v>101</v>
      </c>
      <c r="V484" t="s">
        <v>231</v>
      </c>
      <c r="W484" t="s">
        <v>231</v>
      </c>
      <c r="X484" t="s">
        <v>3523</v>
      </c>
      <c r="Y484" t="s">
        <v>231</v>
      </c>
      <c r="Z484" t="s">
        <v>160</v>
      </c>
      <c r="AA484" t="s">
        <v>151</v>
      </c>
      <c r="AB484" t="s">
        <v>151</v>
      </c>
      <c r="AC484" t="s">
        <v>2289</v>
      </c>
      <c r="AD484" t="s">
        <v>2289</v>
      </c>
      <c r="AE484" t="s">
        <v>2290</v>
      </c>
      <c r="AF484" t="s">
        <v>4100</v>
      </c>
      <c r="AG484" t="s">
        <v>4101</v>
      </c>
      <c r="AH484" t="s">
        <v>4102</v>
      </c>
      <c r="AI484" t="s">
        <v>4103</v>
      </c>
      <c r="AJ484" t="s">
        <v>3594</v>
      </c>
      <c r="AK484" t="s">
        <v>3716</v>
      </c>
      <c r="AL484" t="s">
        <v>3548</v>
      </c>
      <c r="AM484" t="s">
        <v>3531</v>
      </c>
      <c r="AN484" t="s">
        <v>3595</v>
      </c>
      <c r="AO484" t="s">
        <v>3796</v>
      </c>
      <c r="AP484" t="s">
        <v>231</v>
      </c>
      <c r="AQ484" t="s">
        <v>231</v>
      </c>
      <c r="AR484" t="s">
        <v>231</v>
      </c>
      <c r="AS484" t="s">
        <v>231</v>
      </c>
      <c r="AT484" t="s">
        <v>231</v>
      </c>
      <c r="AU484" t="s">
        <v>231</v>
      </c>
      <c r="AV484" t="s">
        <v>231</v>
      </c>
      <c r="AW484" t="s">
        <v>231</v>
      </c>
      <c r="AX484" t="s">
        <v>231</v>
      </c>
      <c r="AY484" t="s">
        <v>231</v>
      </c>
      <c r="AZ484" t="s">
        <v>231</v>
      </c>
      <c r="BA484" t="s">
        <v>231</v>
      </c>
      <c r="BB484" t="s">
        <v>231</v>
      </c>
      <c r="BC484" t="s">
        <v>231</v>
      </c>
      <c r="BD484" t="s">
        <v>231</v>
      </c>
      <c r="BE484" t="s">
        <v>231</v>
      </c>
      <c r="BF484" t="s">
        <v>231</v>
      </c>
      <c r="BG484" t="s">
        <v>231</v>
      </c>
      <c r="BH484" t="s">
        <v>231</v>
      </c>
      <c r="BI484" t="s">
        <v>231</v>
      </c>
      <c r="BJ484" t="s">
        <v>231</v>
      </c>
      <c r="BK484" t="s">
        <v>231</v>
      </c>
      <c r="BL484" t="s">
        <v>231</v>
      </c>
      <c r="BM484" t="s">
        <v>231</v>
      </c>
      <c r="BN484" t="s">
        <v>231</v>
      </c>
      <c r="BO484" t="s">
        <v>231</v>
      </c>
      <c r="BP484" t="s">
        <v>231</v>
      </c>
      <c r="BQ484" t="s">
        <v>231</v>
      </c>
      <c r="BR484" t="s">
        <v>231</v>
      </c>
      <c r="BS484" t="s">
        <v>231</v>
      </c>
      <c r="BT484" t="s">
        <v>231</v>
      </c>
      <c r="BU484" t="s">
        <v>231</v>
      </c>
      <c r="BV484" t="s">
        <v>231</v>
      </c>
      <c r="BW484" t="s">
        <v>231</v>
      </c>
      <c r="BX484" t="s">
        <v>231</v>
      </c>
      <c r="BY484" t="s">
        <v>231</v>
      </c>
      <c r="BZ484" t="s">
        <v>231</v>
      </c>
      <c r="CA484" t="s">
        <v>231</v>
      </c>
      <c r="CB484" t="s">
        <v>231</v>
      </c>
      <c r="CC484" t="s">
        <v>231</v>
      </c>
      <c r="CD484" t="s">
        <v>231</v>
      </c>
      <c r="CE484" t="s">
        <v>231</v>
      </c>
      <c r="CF484" t="s">
        <v>231</v>
      </c>
      <c r="CG484" t="s">
        <v>231</v>
      </c>
      <c r="CH484" t="s">
        <v>231</v>
      </c>
      <c r="CI484" t="s">
        <v>231</v>
      </c>
      <c r="CJ484" t="s">
        <v>231</v>
      </c>
      <c r="CK484" t="s">
        <v>231</v>
      </c>
      <c r="CL484" t="s">
        <v>231</v>
      </c>
      <c r="CM484" t="s">
        <v>231</v>
      </c>
      <c r="CN484" t="s">
        <v>231</v>
      </c>
      <c r="CO484" t="s">
        <v>231</v>
      </c>
      <c r="CP484" t="s">
        <v>231</v>
      </c>
      <c r="CQ484" t="s">
        <v>231</v>
      </c>
      <c r="CR484" t="s">
        <v>231</v>
      </c>
      <c r="CS484" t="s">
        <v>231</v>
      </c>
      <c r="CT484" t="s">
        <v>3534</v>
      </c>
      <c r="CU484" t="s">
        <v>3535</v>
      </c>
      <c r="CV484" t="s">
        <v>3536</v>
      </c>
      <c r="CW484" t="s">
        <v>3589</v>
      </c>
      <c r="CX484" t="s">
        <v>223</v>
      </c>
      <c r="CY484" t="s">
        <v>3536</v>
      </c>
      <c r="CZ484" t="s">
        <v>3590</v>
      </c>
      <c r="DA484" t="s">
        <v>3591</v>
      </c>
      <c r="DB484" t="s">
        <v>3589</v>
      </c>
      <c r="DC484" t="s">
        <v>363</v>
      </c>
      <c r="DD484" t="s">
        <v>282</v>
      </c>
      <c r="DE484" t="s">
        <v>4104</v>
      </c>
    </row>
    <row r="485" spans="1:109" ht="11.25" customHeight="1">
      <c r="A485" s="1314" t="s">
        <v>231</v>
      </c>
      <c r="B485" t="s">
        <v>231</v>
      </c>
      <c r="C485" t="s">
        <v>231</v>
      </c>
      <c r="D485" t="s">
        <v>231</v>
      </c>
      <c r="E485" t="s">
        <v>231</v>
      </c>
      <c r="F485" t="s">
        <v>231</v>
      </c>
      <c r="G485" t="s">
        <v>231</v>
      </c>
      <c r="H485" t="s">
        <v>231</v>
      </c>
      <c r="I485" t="s">
        <v>3521</v>
      </c>
      <c r="J485" t="s">
        <v>231</v>
      </c>
      <c r="K485" t="s">
        <v>231</v>
      </c>
      <c r="L485" t="s">
        <v>231</v>
      </c>
      <c r="M485" t="s">
        <v>231</v>
      </c>
      <c r="N485" t="s">
        <v>231</v>
      </c>
      <c r="O485" t="s">
        <v>231</v>
      </c>
      <c r="P485" t="s">
        <v>231</v>
      </c>
      <c r="Q485" t="s">
        <v>231</v>
      </c>
      <c r="R485" t="s">
        <v>4599</v>
      </c>
      <c r="S485" t="s">
        <v>231</v>
      </c>
      <c r="T485" t="s">
        <v>231</v>
      </c>
      <c r="U485" t="s">
        <v>101</v>
      </c>
      <c r="V485" t="s">
        <v>231</v>
      </c>
      <c r="W485" t="s">
        <v>231</v>
      </c>
      <c r="X485" t="s">
        <v>3628</v>
      </c>
      <c r="Y485" t="s">
        <v>231</v>
      </c>
      <c r="Z485" t="s">
        <v>151</v>
      </c>
      <c r="AA485" t="s">
        <v>151</v>
      </c>
      <c r="AB485" t="s">
        <v>160</v>
      </c>
      <c r="AC485" t="s">
        <v>2289</v>
      </c>
      <c r="AD485" t="s">
        <v>2289</v>
      </c>
      <c r="AE485" t="s">
        <v>2290</v>
      </c>
      <c r="AF485" t="s">
        <v>4596</v>
      </c>
      <c r="AG485" t="s">
        <v>4597</v>
      </c>
      <c r="AH485" t="s">
        <v>3618</v>
      </c>
      <c r="AI485" t="s">
        <v>3618</v>
      </c>
      <c r="AJ485" t="s">
        <v>231</v>
      </c>
      <c r="AK485" t="s">
        <v>231</v>
      </c>
      <c r="AL485" t="s">
        <v>231</v>
      </c>
      <c r="AM485" t="s">
        <v>231</v>
      </c>
      <c r="AN485" t="s">
        <v>231</v>
      </c>
      <c r="AO485" t="s">
        <v>231</v>
      </c>
      <c r="AP485" t="s">
        <v>231</v>
      </c>
      <c r="AQ485" t="s">
        <v>231</v>
      </c>
      <c r="AR485" t="s">
        <v>231</v>
      </c>
      <c r="AS485" t="s">
        <v>231</v>
      </c>
      <c r="AT485" t="s">
        <v>231</v>
      </c>
      <c r="AU485" t="s">
        <v>231</v>
      </c>
      <c r="AV485" t="s">
        <v>231</v>
      </c>
      <c r="AW485" t="s">
        <v>231</v>
      </c>
      <c r="AX485" t="s">
        <v>231</v>
      </c>
      <c r="AY485" t="s">
        <v>231</v>
      </c>
      <c r="AZ485" t="s">
        <v>231</v>
      </c>
      <c r="BA485" t="s">
        <v>231</v>
      </c>
      <c r="BB485" t="s">
        <v>231</v>
      </c>
      <c r="BC485" t="s">
        <v>231</v>
      </c>
      <c r="BD485" t="s">
        <v>231</v>
      </c>
      <c r="BE485" t="s">
        <v>3594</v>
      </c>
      <c r="BF485" t="s">
        <v>3716</v>
      </c>
      <c r="BG485" t="s">
        <v>111</v>
      </c>
      <c r="BH485" t="s">
        <v>3632</v>
      </c>
      <c r="BI485" t="s">
        <v>122</v>
      </c>
      <c r="BJ485" t="s">
        <v>231</v>
      </c>
      <c r="BK485" t="s">
        <v>3651</v>
      </c>
      <c r="BL485" t="s">
        <v>2289</v>
      </c>
      <c r="BM485" t="s">
        <v>2289</v>
      </c>
      <c r="BN485" t="s">
        <v>3707</v>
      </c>
      <c r="BO485" t="s">
        <v>4596</v>
      </c>
      <c r="BP485" t="s">
        <v>4600</v>
      </c>
      <c r="BQ485" t="s">
        <v>3618</v>
      </c>
      <c r="BR485" t="s">
        <v>3618</v>
      </c>
      <c r="BS485" t="s">
        <v>231</v>
      </c>
      <c r="BT485" t="s">
        <v>3694</v>
      </c>
      <c r="BU485" t="s">
        <v>4601</v>
      </c>
      <c r="BV485" t="s">
        <v>4601</v>
      </c>
      <c r="BW485" t="s">
        <v>3641</v>
      </c>
      <c r="BX485" t="s">
        <v>3641</v>
      </c>
      <c r="BY485" t="s">
        <v>3641</v>
      </c>
      <c r="BZ485" t="s">
        <v>3641</v>
      </c>
      <c r="CA485" t="s">
        <v>3641</v>
      </c>
      <c r="CB485" t="s">
        <v>231</v>
      </c>
      <c r="CC485" t="s">
        <v>231</v>
      </c>
      <c r="CD485" t="s">
        <v>231</v>
      </c>
      <c r="CE485" t="s">
        <v>231</v>
      </c>
      <c r="CF485" t="s">
        <v>231</v>
      </c>
      <c r="CG485" t="s">
        <v>3641</v>
      </c>
      <c r="CH485" t="s">
        <v>231</v>
      </c>
      <c r="CI485" t="s">
        <v>231</v>
      </c>
      <c r="CJ485" t="s">
        <v>231</v>
      </c>
      <c r="CK485" t="s">
        <v>231</v>
      </c>
      <c r="CL485" t="s">
        <v>231</v>
      </c>
      <c r="CM485" t="s">
        <v>4601</v>
      </c>
      <c r="CN485" t="s">
        <v>4601</v>
      </c>
      <c r="CO485" t="s">
        <v>231</v>
      </c>
      <c r="CP485" t="s">
        <v>231</v>
      </c>
      <c r="CQ485" t="s">
        <v>231</v>
      </c>
      <c r="CR485" t="s">
        <v>231</v>
      </c>
      <c r="CS485" t="s">
        <v>3710</v>
      </c>
      <c r="CT485" t="s">
        <v>3534</v>
      </c>
      <c r="CU485" t="s">
        <v>3535</v>
      </c>
      <c r="CV485" t="s">
        <v>3536</v>
      </c>
      <c r="CW485" t="s">
        <v>3589</v>
      </c>
      <c r="CX485" t="s">
        <v>223</v>
      </c>
      <c r="CY485" t="s">
        <v>3536</v>
      </c>
      <c r="CZ485" t="s">
        <v>3590</v>
      </c>
      <c r="DA485" t="s">
        <v>3591</v>
      </c>
      <c r="DB485" t="s">
        <v>3589</v>
      </c>
      <c r="DC485" t="s">
        <v>363</v>
      </c>
      <c r="DD485" t="s">
        <v>282</v>
      </c>
      <c r="DE485" t="s">
        <v>4602</v>
      </c>
    </row>
    <row r="486" spans="1:109" ht="11.25" customHeight="1">
      <c r="A486" s="1314" t="s">
        <v>231</v>
      </c>
      <c r="B486" t="s">
        <v>231</v>
      </c>
      <c r="C486" t="s">
        <v>231</v>
      </c>
      <c r="D486" t="s">
        <v>231</v>
      </c>
      <c r="E486" t="s">
        <v>231</v>
      </c>
      <c r="F486" t="s">
        <v>231</v>
      </c>
      <c r="G486" t="s">
        <v>231</v>
      </c>
      <c r="H486" t="s">
        <v>231</v>
      </c>
      <c r="I486" t="s">
        <v>3521</v>
      </c>
      <c r="J486" t="s">
        <v>231</v>
      </c>
      <c r="K486" t="s">
        <v>231</v>
      </c>
      <c r="L486" t="s">
        <v>231</v>
      </c>
      <c r="M486" t="s">
        <v>231</v>
      </c>
      <c r="N486" t="s">
        <v>231</v>
      </c>
      <c r="O486" t="s">
        <v>231</v>
      </c>
      <c r="P486" t="s">
        <v>231</v>
      </c>
      <c r="Q486" t="s">
        <v>231</v>
      </c>
      <c r="R486" t="s">
        <v>3615</v>
      </c>
      <c r="S486" t="s">
        <v>231</v>
      </c>
      <c r="T486" t="s">
        <v>231</v>
      </c>
      <c r="U486" t="s">
        <v>101</v>
      </c>
      <c r="V486" t="s">
        <v>231</v>
      </c>
      <c r="W486" t="s">
        <v>231</v>
      </c>
      <c r="X486" t="s">
        <v>3523</v>
      </c>
      <c r="Y486" t="s">
        <v>231</v>
      </c>
      <c r="Z486" t="s">
        <v>160</v>
      </c>
      <c r="AA486" t="s">
        <v>151</v>
      </c>
      <c r="AB486" t="s">
        <v>151</v>
      </c>
      <c r="AC486" t="s">
        <v>2289</v>
      </c>
      <c r="AD486" t="s">
        <v>2289</v>
      </c>
      <c r="AE486" t="s">
        <v>2290</v>
      </c>
      <c r="AF486" t="s">
        <v>4782</v>
      </c>
      <c r="AG486" t="s">
        <v>4783</v>
      </c>
      <c r="AH486" t="s">
        <v>3728</v>
      </c>
      <c r="AI486" t="s">
        <v>3618</v>
      </c>
      <c r="AJ486" t="s">
        <v>3546</v>
      </c>
      <c r="AK486" t="s">
        <v>3586</v>
      </c>
      <c r="AL486" t="s">
        <v>3548</v>
      </c>
      <c r="AM486" t="s">
        <v>3531</v>
      </c>
      <c r="AN486" t="s">
        <v>3595</v>
      </c>
      <c r="AO486" t="s">
        <v>3668</v>
      </c>
      <c r="AP486" t="s">
        <v>231</v>
      </c>
      <c r="AQ486" t="s">
        <v>231</v>
      </c>
      <c r="AR486" t="s">
        <v>231</v>
      </c>
      <c r="AS486" t="s">
        <v>231</v>
      </c>
      <c r="AT486" t="s">
        <v>231</v>
      </c>
      <c r="AU486" t="s">
        <v>231</v>
      </c>
      <c r="AV486" t="s">
        <v>231</v>
      </c>
      <c r="AW486" t="s">
        <v>231</v>
      </c>
      <c r="AX486" t="s">
        <v>231</v>
      </c>
      <c r="AY486" t="s">
        <v>231</v>
      </c>
      <c r="AZ486" t="s">
        <v>231</v>
      </c>
      <c r="BA486" t="s">
        <v>231</v>
      </c>
      <c r="BB486" t="s">
        <v>231</v>
      </c>
      <c r="BC486" t="s">
        <v>231</v>
      </c>
      <c r="BD486" t="s">
        <v>231</v>
      </c>
      <c r="BE486" t="s">
        <v>231</v>
      </c>
      <c r="BF486" t="s">
        <v>231</v>
      </c>
      <c r="BG486" t="s">
        <v>231</v>
      </c>
      <c r="BH486" t="s">
        <v>231</v>
      </c>
      <c r="BI486" t="s">
        <v>231</v>
      </c>
      <c r="BJ486" t="s">
        <v>231</v>
      </c>
      <c r="BK486" t="s">
        <v>231</v>
      </c>
      <c r="BL486" t="s">
        <v>231</v>
      </c>
      <c r="BM486" t="s">
        <v>231</v>
      </c>
      <c r="BN486" t="s">
        <v>231</v>
      </c>
      <c r="BO486" t="s">
        <v>231</v>
      </c>
      <c r="BP486" t="s">
        <v>231</v>
      </c>
      <c r="BQ486" t="s">
        <v>231</v>
      </c>
      <c r="BR486" t="s">
        <v>231</v>
      </c>
      <c r="BS486" t="s">
        <v>231</v>
      </c>
      <c r="BT486" t="s">
        <v>231</v>
      </c>
      <c r="BU486" t="s">
        <v>231</v>
      </c>
      <c r="BV486" t="s">
        <v>231</v>
      </c>
      <c r="BW486" t="s">
        <v>231</v>
      </c>
      <c r="BX486" t="s">
        <v>231</v>
      </c>
      <c r="BY486" t="s">
        <v>231</v>
      </c>
      <c r="BZ486" t="s">
        <v>231</v>
      </c>
      <c r="CA486" t="s">
        <v>231</v>
      </c>
      <c r="CB486" t="s">
        <v>231</v>
      </c>
      <c r="CC486" t="s">
        <v>231</v>
      </c>
      <c r="CD486" t="s">
        <v>231</v>
      </c>
      <c r="CE486" t="s">
        <v>231</v>
      </c>
      <c r="CF486" t="s">
        <v>231</v>
      </c>
      <c r="CG486" t="s">
        <v>231</v>
      </c>
      <c r="CH486" t="s">
        <v>231</v>
      </c>
      <c r="CI486" t="s">
        <v>231</v>
      </c>
      <c r="CJ486" t="s">
        <v>231</v>
      </c>
      <c r="CK486" t="s">
        <v>231</v>
      </c>
      <c r="CL486" t="s">
        <v>231</v>
      </c>
      <c r="CM486" t="s">
        <v>231</v>
      </c>
      <c r="CN486" t="s">
        <v>231</v>
      </c>
      <c r="CO486" t="s">
        <v>231</v>
      </c>
      <c r="CP486" t="s">
        <v>231</v>
      </c>
      <c r="CQ486" t="s">
        <v>231</v>
      </c>
      <c r="CR486" t="s">
        <v>231</v>
      </c>
      <c r="CS486" t="s">
        <v>231</v>
      </c>
      <c r="CT486" t="s">
        <v>3534</v>
      </c>
      <c r="CU486" t="s">
        <v>3535</v>
      </c>
      <c r="CV486" t="s">
        <v>3536</v>
      </c>
      <c r="CW486" t="s">
        <v>3589</v>
      </c>
      <c r="CX486" t="s">
        <v>223</v>
      </c>
      <c r="CY486" t="s">
        <v>3536</v>
      </c>
      <c r="CZ486" t="s">
        <v>3590</v>
      </c>
      <c r="DA486" t="s">
        <v>3591</v>
      </c>
      <c r="DB486" t="s">
        <v>3589</v>
      </c>
      <c r="DC486" t="s">
        <v>363</v>
      </c>
      <c r="DD486" t="s">
        <v>282</v>
      </c>
      <c r="DE486" t="s">
        <v>4784</v>
      </c>
    </row>
    <row r="487" spans="1:109" ht="11.25" customHeight="1">
      <c r="A487" s="1314" t="s">
        <v>231</v>
      </c>
      <c r="B487" t="s">
        <v>231</v>
      </c>
      <c r="C487" t="s">
        <v>231</v>
      </c>
      <c r="D487" t="s">
        <v>231</v>
      </c>
      <c r="E487" t="s">
        <v>231</v>
      </c>
      <c r="F487" t="s">
        <v>231</v>
      </c>
      <c r="G487" t="s">
        <v>231</v>
      </c>
      <c r="H487" t="s">
        <v>231</v>
      </c>
      <c r="I487" t="s">
        <v>3521</v>
      </c>
      <c r="J487" t="s">
        <v>231</v>
      </c>
      <c r="K487" t="s">
        <v>231</v>
      </c>
      <c r="L487" t="s">
        <v>231</v>
      </c>
      <c r="M487" t="s">
        <v>231</v>
      </c>
      <c r="N487" t="s">
        <v>231</v>
      </c>
      <c r="O487" t="s">
        <v>231</v>
      </c>
      <c r="P487" t="s">
        <v>231</v>
      </c>
      <c r="Q487" t="s">
        <v>231</v>
      </c>
      <c r="R487" t="s">
        <v>4840</v>
      </c>
      <c r="S487" t="s">
        <v>231</v>
      </c>
      <c r="T487" t="s">
        <v>231</v>
      </c>
      <c r="U487" t="s">
        <v>101</v>
      </c>
      <c r="V487" t="s">
        <v>231</v>
      </c>
      <c r="W487" t="s">
        <v>231</v>
      </c>
      <c r="X487" t="s">
        <v>3628</v>
      </c>
      <c r="Y487" t="s">
        <v>231</v>
      </c>
      <c r="Z487" t="s">
        <v>151</v>
      </c>
      <c r="AA487" t="s">
        <v>151</v>
      </c>
      <c r="AB487" t="s">
        <v>160</v>
      </c>
      <c r="AC487" t="s">
        <v>2287</v>
      </c>
      <c r="AD487" t="s">
        <v>2287</v>
      </c>
      <c r="AE487" t="s">
        <v>2288</v>
      </c>
      <c r="AF487" t="s">
        <v>4607</v>
      </c>
      <c r="AG487" t="s">
        <v>4608</v>
      </c>
      <c r="AH487" t="s">
        <v>3618</v>
      </c>
      <c r="AI487" t="s">
        <v>3618</v>
      </c>
      <c r="AJ487" t="s">
        <v>231</v>
      </c>
      <c r="AK487" t="s">
        <v>231</v>
      </c>
      <c r="AL487" t="s">
        <v>231</v>
      </c>
      <c r="AM487" t="s">
        <v>231</v>
      </c>
      <c r="AN487" t="s">
        <v>231</v>
      </c>
      <c r="AO487" t="s">
        <v>231</v>
      </c>
      <c r="AP487" t="s">
        <v>231</v>
      </c>
      <c r="AQ487" t="s">
        <v>231</v>
      </c>
      <c r="AR487" t="s">
        <v>231</v>
      </c>
      <c r="AS487" t="s">
        <v>231</v>
      </c>
      <c r="AT487" t="s">
        <v>231</v>
      </c>
      <c r="AU487" t="s">
        <v>231</v>
      </c>
      <c r="AV487" t="s">
        <v>231</v>
      </c>
      <c r="AW487" t="s">
        <v>231</v>
      </c>
      <c r="AX487" t="s">
        <v>231</v>
      </c>
      <c r="AY487" t="s">
        <v>231</v>
      </c>
      <c r="AZ487" t="s">
        <v>231</v>
      </c>
      <c r="BA487" t="s">
        <v>231</v>
      </c>
      <c r="BB487" t="s">
        <v>231</v>
      </c>
      <c r="BC487" t="s">
        <v>231</v>
      </c>
      <c r="BD487" t="s">
        <v>231</v>
      </c>
      <c r="BE487" t="s">
        <v>3619</v>
      </c>
      <c r="BF487" t="s">
        <v>4609</v>
      </c>
      <c r="BG487" t="s">
        <v>111</v>
      </c>
      <c r="BH487" t="s">
        <v>3632</v>
      </c>
      <c r="BI487" t="s">
        <v>122</v>
      </c>
      <c r="BJ487" t="s">
        <v>231</v>
      </c>
      <c r="BK487" t="s">
        <v>3651</v>
      </c>
      <c r="BL487" t="s">
        <v>2287</v>
      </c>
      <c r="BM487" t="s">
        <v>2287</v>
      </c>
      <c r="BN487" t="s">
        <v>3842</v>
      </c>
      <c r="BO487" t="s">
        <v>4607</v>
      </c>
      <c r="BP487" t="s">
        <v>4841</v>
      </c>
      <c r="BQ487" t="s">
        <v>3618</v>
      </c>
      <c r="BR487" t="s">
        <v>3618</v>
      </c>
      <c r="BS487" t="s">
        <v>231</v>
      </c>
      <c r="BT487" t="s">
        <v>3694</v>
      </c>
      <c r="BU487" t="s">
        <v>4842</v>
      </c>
      <c r="BV487" t="s">
        <v>4842</v>
      </c>
      <c r="BW487" t="s">
        <v>3641</v>
      </c>
      <c r="BX487" t="s">
        <v>3641</v>
      </c>
      <c r="BY487" t="s">
        <v>3641</v>
      </c>
      <c r="BZ487" t="s">
        <v>3641</v>
      </c>
      <c r="CA487" t="s">
        <v>3641</v>
      </c>
      <c r="CB487" t="s">
        <v>231</v>
      </c>
      <c r="CC487" t="s">
        <v>231</v>
      </c>
      <c r="CD487" t="s">
        <v>231</v>
      </c>
      <c r="CE487" t="s">
        <v>231</v>
      </c>
      <c r="CF487" t="s">
        <v>231</v>
      </c>
      <c r="CG487" t="s">
        <v>3641</v>
      </c>
      <c r="CH487" t="s">
        <v>231</v>
      </c>
      <c r="CI487" t="s">
        <v>231</v>
      </c>
      <c r="CJ487" t="s">
        <v>231</v>
      </c>
      <c r="CK487" t="s">
        <v>231</v>
      </c>
      <c r="CL487" t="s">
        <v>231</v>
      </c>
      <c r="CM487" t="s">
        <v>4842</v>
      </c>
      <c r="CN487" t="s">
        <v>4842</v>
      </c>
      <c r="CO487" t="s">
        <v>231</v>
      </c>
      <c r="CP487" t="s">
        <v>231</v>
      </c>
      <c r="CQ487" t="s">
        <v>231</v>
      </c>
      <c r="CR487" t="s">
        <v>231</v>
      </c>
      <c r="CS487" t="s">
        <v>3595</v>
      </c>
      <c r="CT487" t="s">
        <v>3534</v>
      </c>
      <c r="CU487" t="s">
        <v>3535</v>
      </c>
      <c r="CV487" t="s">
        <v>3536</v>
      </c>
      <c r="CW487" t="s">
        <v>3623</v>
      </c>
      <c r="CX487" t="s">
        <v>223</v>
      </c>
      <c r="CY487" t="s">
        <v>3536</v>
      </c>
      <c r="CZ487" t="s">
        <v>3624</v>
      </c>
      <c r="DA487" t="s">
        <v>3625</v>
      </c>
      <c r="DB487" t="s">
        <v>3623</v>
      </c>
      <c r="DC487" t="s">
        <v>363</v>
      </c>
      <c r="DD487" t="s">
        <v>282</v>
      </c>
      <c r="DE487" t="s">
        <v>4610</v>
      </c>
    </row>
    <row r="488" spans="1:109" ht="11.25" customHeight="1">
      <c r="A488" s="1314" t="s">
        <v>231</v>
      </c>
      <c r="B488" t="s">
        <v>231</v>
      </c>
      <c r="C488" t="s">
        <v>231</v>
      </c>
      <c r="D488" t="s">
        <v>231</v>
      </c>
      <c r="E488" t="s">
        <v>231</v>
      </c>
      <c r="F488" t="s">
        <v>231</v>
      </c>
      <c r="G488" t="s">
        <v>231</v>
      </c>
      <c r="H488" t="s">
        <v>231</v>
      </c>
      <c r="I488" t="s">
        <v>3521</v>
      </c>
      <c r="J488" t="s">
        <v>231</v>
      </c>
      <c r="K488" t="s">
        <v>231</v>
      </c>
      <c r="L488" t="s">
        <v>231</v>
      </c>
      <c r="M488" t="s">
        <v>231</v>
      </c>
      <c r="N488" t="s">
        <v>231</v>
      </c>
      <c r="O488" t="s">
        <v>231</v>
      </c>
      <c r="P488" t="s">
        <v>231</v>
      </c>
      <c r="Q488" t="s">
        <v>231</v>
      </c>
      <c r="R488" t="s">
        <v>3615</v>
      </c>
      <c r="S488" t="s">
        <v>231</v>
      </c>
      <c r="T488" t="s">
        <v>231</v>
      </c>
      <c r="U488" t="s">
        <v>101</v>
      </c>
      <c r="V488" t="s">
        <v>231</v>
      </c>
      <c r="W488" t="s">
        <v>231</v>
      </c>
      <c r="X488" t="s">
        <v>3523</v>
      </c>
      <c r="Y488" t="s">
        <v>231</v>
      </c>
      <c r="Z488" t="s">
        <v>160</v>
      </c>
      <c r="AA488" t="s">
        <v>151</v>
      </c>
      <c r="AB488" t="s">
        <v>151</v>
      </c>
      <c r="AC488" t="s">
        <v>2287</v>
      </c>
      <c r="AD488" t="s">
        <v>2287</v>
      </c>
      <c r="AE488" t="s">
        <v>2288</v>
      </c>
      <c r="AF488" t="s">
        <v>4788</v>
      </c>
      <c r="AG488" t="s">
        <v>4789</v>
      </c>
      <c r="AH488" t="s">
        <v>4790</v>
      </c>
      <c r="AI488" t="s">
        <v>3618</v>
      </c>
      <c r="AJ488" t="s">
        <v>4568</v>
      </c>
      <c r="AK488" t="s">
        <v>4467</v>
      </c>
      <c r="AL488" t="s">
        <v>3548</v>
      </c>
      <c r="AM488" t="s">
        <v>3531</v>
      </c>
      <c r="AN488" t="s">
        <v>3621</v>
      </c>
      <c r="AO488" t="s">
        <v>3901</v>
      </c>
      <c r="AP488" t="s">
        <v>231</v>
      </c>
      <c r="AQ488" t="s">
        <v>231</v>
      </c>
      <c r="AR488" t="s">
        <v>231</v>
      </c>
      <c r="AS488" t="s">
        <v>231</v>
      </c>
      <c r="AT488" t="s">
        <v>231</v>
      </c>
      <c r="AU488" t="s">
        <v>231</v>
      </c>
      <c r="AV488" t="s">
        <v>231</v>
      </c>
      <c r="AW488" t="s">
        <v>231</v>
      </c>
      <c r="AX488" t="s">
        <v>231</v>
      </c>
      <c r="AY488" t="s">
        <v>231</v>
      </c>
      <c r="AZ488" t="s">
        <v>231</v>
      </c>
      <c r="BA488" t="s">
        <v>231</v>
      </c>
      <c r="BB488" t="s">
        <v>231</v>
      </c>
      <c r="BC488" t="s">
        <v>231</v>
      </c>
      <c r="BD488" t="s">
        <v>231</v>
      </c>
      <c r="BE488" t="s">
        <v>231</v>
      </c>
      <c r="BF488" t="s">
        <v>231</v>
      </c>
      <c r="BG488" t="s">
        <v>231</v>
      </c>
      <c r="BH488" t="s">
        <v>231</v>
      </c>
      <c r="BI488" t="s">
        <v>231</v>
      </c>
      <c r="BJ488" t="s">
        <v>231</v>
      </c>
      <c r="BK488" t="s">
        <v>231</v>
      </c>
      <c r="BL488" t="s">
        <v>231</v>
      </c>
      <c r="BM488" t="s">
        <v>231</v>
      </c>
      <c r="BN488" t="s">
        <v>231</v>
      </c>
      <c r="BO488" t="s">
        <v>231</v>
      </c>
      <c r="BP488" t="s">
        <v>231</v>
      </c>
      <c r="BQ488" t="s">
        <v>231</v>
      </c>
      <c r="BR488" t="s">
        <v>231</v>
      </c>
      <c r="BS488" t="s">
        <v>231</v>
      </c>
      <c r="BT488" t="s">
        <v>231</v>
      </c>
      <c r="BU488" t="s">
        <v>231</v>
      </c>
      <c r="BV488" t="s">
        <v>231</v>
      </c>
      <c r="BW488" t="s">
        <v>231</v>
      </c>
      <c r="BX488" t="s">
        <v>231</v>
      </c>
      <c r="BY488" t="s">
        <v>231</v>
      </c>
      <c r="BZ488" t="s">
        <v>231</v>
      </c>
      <c r="CA488" t="s">
        <v>231</v>
      </c>
      <c r="CB488" t="s">
        <v>231</v>
      </c>
      <c r="CC488" t="s">
        <v>231</v>
      </c>
      <c r="CD488" t="s">
        <v>231</v>
      </c>
      <c r="CE488" t="s">
        <v>231</v>
      </c>
      <c r="CF488" t="s">
        <v>231</v>
      </c>
      <c r="CG488" t="s">
        <v>231</v>
      </c>
      <c r="CH488" t="s">
        <v>231</v>
      </c>
      <c r="CI488" t="s">
        <v>231</v>
      </c>
      <c r="CJ488" t="s">
        <v>231</v>
      </c>
      <c r="CK488" t="s">
        <v>231</v>
      </c>
      <c r="CL488" t="s">
        <v>231</v>
      </c>
      <c r="CM488" t="s">
        <v>231</v>
      </c>
      <c r="CN488" t="s">
        <v>231</v>
      </c>
      <c r="CO488" t="s">
        <v>231</v>
      </c>
      <c r="CP488" t="s">
        <v>231</v>
      </c>
      <c r="CQ488" t="s">
        <v>231</v>
      </c>
      <c r="CR488" t="s">
        <v>231</v>
      </c>
      <c r="CS488" t="s">
        <v>231</v>
      </c>
      <c r="CT488" t="s">
        <v>3534</v>
      </c>
      <c r="CU488" t="s">
        <v>3535</v>
      </c>
      <c r="CV488" t="s">
        <v>3536</v>
      </c>
      <c r="CW488" t="s">
        <v>3623</v>
      </c>
      <c r="CX488" t="s">
        <v>223</v>
      </c>
      <c r="CY488" t="s">
        <v>3536</v>
      </c>
      <c r="CZ488" t="s">
        <v>3624</v>
      </c>
      <c r="DA488" t="s">
        <v>3625</v>
      </c>
      <c r="DB488" t="s">
        <v>3623</v>
      </c>
      <c r="DC488" t="s">
        <v>363</v>
      </c>
      <c r="DD488" t="s">
        <v>282</v>
      </c>
      <c r="DE488" t="s">
        <v>4791</v>
      </c>
    </row>
    <row r="489" spans="1:109" ht="11.25" customHeight="1">
      <c r="A489" s="1314" t="s">
        <v>231</v>
      </c>
      <c r="B489" t="s">
        <v>231</v>
      </c>
      <c r="C489" t="s">
        <v>231</v>
      </c>
      <c r="D489" t="s">
        <v>231</v>
      </c>
      <c r="E489" t="s">
        <v>231</v>
      </c>
      <c r="F489" t="s">
        <v>231</v>
      </c>
      <c r="G489" t="s">
        <v>231</v>
      </c>
      <c r="H489" t="s">
        <v>231</v>
      </c>
      <c r="I489" t="s">
        <v>3521</v>
      </c>
      <c r="J489" t="s">
        <v>231</v>
      </c>
      <c r="K489" t="s">
        <v>231</v>
      </c>
      <c r="L489" t="s">
        <v>231</v>
      </c>
      <c r="M489" t="s">
        <v>231</v>
      </c>
      <c r="N489" t="s">
        <v>231</v>
      </c>
      <c r="O489" t="s">
        <v>231</v>
      </c>
      <c r="P489" t="s">
        <v>231</v>
      </c>
      <c r="Q489" t="s">
        <v>231</v>
      </c>
      <c r="R489" t="s">
        <v>4683</v>
      </c>
      <c r="S489" t="s">
        <v>231</v>
      </c>
      <c r="T489" t="s">
        <v>231</v>
      </c>
      <c r="U489" t="s">
        <v>101</v>
      </c>
      <c r="V489" t="s">
        <v>231</v>
      </c>
      <c r="W489" t="s">
        <v>231</v>
      </c>
      <c r="X489" t="s">
        <v>3523</v>
      </c>
      <c r="Y489" t="s">
        <v>231</v>
      </c>
      <c r="Z489" t="s">
        <v>160</v>
      </c>
      <c r="AA489" t="s">
        <v>151</v>
      </c>
      <c r="AB489" t="s">
        <v>151</v>
      </c>
      <c r="AC489" t="s">
        <v>2262</v>
      </c>
      <c r="AD489" t="s">
        <v>2262</v>
      </c>
      <c r="AE489" t="s">
        <v>2264</v>
      </c>
      <c r="AF489" t="s">
        <v>3524</v>
      </c>
      <c r="AG489" t="s">
        <v>3525</v>
      </c>
      <c r="AH489" t="s">
        <v>4422</v>
      </c>
      <c r="AI489" t="s">
        <v>4684</v>
      </c>
      <c r="AJ489" t="s">
        <v>3532</v>
      </c>
      <c r="AK489" t="s">
        <v>3641</v>
      </c>
      <c r="AL489" t="s">
        <v>3648</v>
      </c>
      <c r="AM489" t="s">
        <v>3531</v>
      </c>
      <c r="AN489" t="s">
        <v>3587</v>
      </c>
      <c r="AO489" t="s">
        <v>4244</v>
      </c>
      <c r="AP489" t="s">
        <v>231</v>
      </c>
      <c r="AQ489" t="s">
        <v>231</v>
      </c>
      <c r="AR489" t="s">
        <v>231</v>
      </c>
      <c r="AS489" t="s">
        <v>231</v>
      </c>
      <c r="AT489" t="s">
        <v>231</v>
      </c>
      <c r="AU489" t="s">
        <v>231</v>
      </c>
      <c r="AV489" t="s">
        <v>231</v>
      </c>
      <c r="AW489" t="s">
        <v>231</v>
      </c>
      <c r="AX489" t="s">
        <v>231</v>
      </c>
      <c r="AY489" t="s">
        <v>231</v>
      </c>
      <c r="AZ489" t="s">
        <v>231</v>
      </c>
      <c r="BA489" t="s">
        <v>231</v>
      </c>
      <c r="BB489" t="s">
        <v>231</v>
      </c>
      <c r="BC489" t="s">
        <v>231</v>
      </c>
      <c r="BD489" t="s">
        <v>231</v>
      </c>
      <c r="BE489" t="s">
        <v>231</v>
      </c>
      <c r="BF489" t="s">
        <v>231</v>
      </c>
      <c r="BG489" t="s">
        <v>231</v>
      </c>
      <c r="BH489" t="s">
        <v>231</v>
      </c>
      <c r="BI489" t="s">
        <v>231</v>
      </c>
      <c r="BJ489" t="s">
        <v>231</v>
      </c>
      <c r="BK489" t="s">
        <v>231</v>
      </c>
      <c r="BL489" t="s">
        <v>231</v>
      </c>
      <c r="BM489" t="s">
        <v>231</v>
      </c>
      <c r="BN489" t="s">
        <v>231</v>
      </c>
      <c r="BO489" t="s">
        <v>231</v>
      </c>
      <c r="BP489" t="s">
        <v>231</v>
      </c>
      <c r="BQ489" t="s">
        <v>231</v>
      </c>
      <c r="BR489" t="s">
        <v>231</v>
      </c>
      <c r="BS489" t="s">
        <v>231</v>
      </c>
      <c r="BT489" t="s">
        <v>231</v>
      </c>
      <c r="BU489" t="s">
        <v>231</v>
      </c>
      <c r="BV489" t="s">
        <v>231</v>
      </c>
      <c r="BW489" t="s">
        <v>231</v>
      </c>
      <c r="BX489" t="s">
        <v>231</v>
      </c>
      <c r="BY489" t="s">
        <v>231</v>
      </c>
      <c r="BZ489" t="s">
        <v>231</v>
      </c>
      <c r="CA489" t="s">
        <v>231</v>
      </c>
      <c r="CB489" t="s">
        <v>231</v>
      </c>
      <c r="CC489" t="s">
        <v>231</v>
      </c>
      <c r="CD489" t="s">
        <v>231</v>
      </c>
      <c r="CE489" t="s">
        <v>231</v>
      </c>
      <c r="CF489" t="s">
        <v>231</v>
      </c>
      <c r="CG489" t="s">
        <v>231</v>
      </c>
      <c r="CH489" t="s">
        <v>231</v>
      </c>
      <c r="CI489" t="s">
        <v>231</v>
      </c>
      <c r="CJ489" t="s">
        <v>231</v>
      </c>
      <c r="CK489" t="s">
        <v>231</v>
      </c>
      <c r="CL489" t="s">
        <v>231</v>
      </c>
      <c r="CM489" t="s">
        <v>231</v>
      </c>
      <c r="CN489" t="s">
        <v>231</v>
      </c>
      <c r="CO489" t="s">
        <v>231</v>
      </c>
      <c r="CP489" t="s">
        <v>231</v>
      </c>
      <c r="CQ489" t="s">
        <v>231</v>
      </c>
      <c r="CR489" t="s">
        <v>231</v>
      </c>
      <c r="CS489" t="s">
        <v>231</v>
      </c>
      <c r="CT489" t="s">
        <v>3534</v>
      </c>
      <c r="CU489" t="s">
        <v>3535</v>
      </c>
      <c r="CV489" t="s">
        <v>3536</v>
      </c>
      <c r="CW489" t="s">
        <v>3537</v>
      </c>
      <c r="CX489" t="s">
        <v>223</v>
      </c>
      <c r="CY489" t="s">
        <v>3536</v>
      </c>
      <c r="CZ489" t="s">
        <v>3538</v>
      </c>
      <c r="DA489" t="s">
        <v>3539</v>
      </c>
      <c r="DB489" t="s">
        <v>3537</v>
      </c>
      <c r="DC489" t="s">
        <v>363</v>
      </c>
      <c r="DD489" t="s">
        <v>282</v>
      </c>
      <c r="DE489" t="s">
        <v>5054</v>
      </c>
    </row>
    <row r="490" spans="1:109" ht="11.25" customHeight="1">
      <c r="A490" s="1314" t="s">
        <v>231</v>
      </c>
      <c r="B490" t="s">
        <v>231</v>
      </c>
      <c r="C490" t="s">
        <v>231</v>
      </c>
      <c r="D490" t="s">
        <v>231</v>
      </c>
      <c r="E490" t="s">
        <v>231</v>
      </c>
      <c r="F490" t="s">
        <v>231</v>
      </c>
      <c r="G490" t="s">
        <v>231</v>
      </c>
      <c r="H490" t="s">
        <v>231</v>
      </c>
      <c r="I490" t="s">
        <v>3521</v>
      </c>
      <c r="J490" t="s">
        <v>231</v>
      </c>
      <c r="K490" t="s">
        <v>231</v>
      </c>
      <c r="L490" t="s">
        <v>231</v>
      </c>
      <c r="M490" t="s">
        <v>231</v>
      </c>
      <c r="N490" t="s">
        <v>231</v>
      </c>
      <c r="O490" t="s">
        <v>231</v>
      </c>
      <c r="P490" t="s">
        <v>231</v>
      </c>
      <c r="Q490" t="s">
        <v>231</v>
      </c>
      <c r="R490" t="s">
        <v>3685</v>
      </c>
      <c r="S490" t="s">
        <v>231</v>
      </c>
      <c r="T490" t="s">
        <v>231</v>
      </c>
      <c r="U490" t="s">
        <v>101</v>
      </c>
      <c r="V490" t="s">
        <v>231</v>
      </c>
      <c r="W490" t="s">
        <v>231</v>
      </c>
      <c r="X490" t="s">
        <v>3628</v>
      </c>
      <c r="Y490" t="s">
        <v>231</v>
      </c>
      <c r="Z490" t="s">
        <v>151</v>
      </c>
      <c r="AA490" t="s">
        <v>151</v>
      </c>
      <c r="AB490" t="s">
        <v>160</v>
      </c>
      <c r="AC490" t="s">
        <v>2262</v>
      </c>
      <c r="AD490" t="s">
        <v>2262</v>
      </c>
      <c r="AE490" t="s">
        <v>2264</v>
      </c>
      <c r="AF490" t="s">
        <v>3524</v>
      </c>
      <c r="AG490" t="s">
        <v>3525</v>
      </c>
      <c r="AH490" t="s">
        <v>4686</v>
      </c>
      <c r="AI490" t="s">
        <v>3618</v>
      </c>
      <c r="AJ490" t="s">
        <v>231</v>
      </c>
      <c r="AK490" t="s">
        <v>231</v>
      </c>
      <c r="AL490" t="s">
        <v>231</v>
      </c>
      <c r="AM490" t="s">
        <v>231</v>
      </c>
      <c r="AN490" t="s">
        <v>231</v>
      </c>
      <c r="AO490" t="s">
        <v>231</v>
      </c>
      <c r="AP490" t="s">
        <v>231</v>
      </c>
      <c r="AQ490" t="s">
        <v>231</v>
      </c>
      <c r="AR490" t="s">
        <v>231</v>
      </c>
      <c r="AS490" t="s">
        <v>231</v>
      </c>
      <c r="AT490" t="s">
        <v>231</v>
      </c>
      <c r="AU490" t="s">
        <v>231</v>
      </c>
      <c r="AV490" t="s">
        <v>231</v>
      </c>
      <c r="AW490" t="s">
        <v>231</v>
      </c>
      <c r="AX490" t="s">
        <v>231</v>
      </c>
      <c r="AY490" t="s">
        <v>231</v>
      </c>
      <c r="AZ490" t="s">
        <v>231</v>
      </c>
      <c r="BA490" t="s">
        <v>231</v>
      </c>
      <c r="BB490" t="s">
        <v>231</v>
      </c>
      <c r="BC490" t="s">
        <v>231</v>
      </c>
      <c r="BD490" t="s">
        <v>231</v>
      </c>
      <c r="BE490" t="s">
        <v>4579</v>
      </c>
      <c r="BF490" t="s">
        <v>4580</v>
      </c>
      <c r="BG490" t="s">
        <v>111</v>
      </c>
      <c r="BH490" t="s">
        <v>3632</v>
      </c>
      <c r="BI490" t="s">
        <v>122</v>
      </c>
      <c r="BJ490" t="s">
        <v>231</v>
      </c>
      <c r="BK490" t="s">
        <v>4574</v>
      </c>
      <c r="BL490" t="s">
        <v>2260</v>
      </c>
      <c r="BM490" t="s">
        <v>2260</v>
      </c>
      <c r="BN490" t="s">
        <v>4687</v>
      </c>
      <c r="BO490" t="s">
        <v>4575</v>
      </c>
      <c r="BP490" t="s">
        <v>4688</v>
      </c>
      <c r="BQ490" t="s">
        <v>4575</v>
      </c>
      <c r="BR490" t="s">
        <v>4578</v>
      </c>
      <c r="BS490" t="s">
        <v>231</v>
      </c>
      <c r="BT490" t="s">
        <v>3694</v>
      </c>
      <c r="BU490" t="s">
        <v>5055</v>
      </c>
      <c r="BV490" t="s">
        <v>5056</v>
      </c>
      <c r="BW490" t="s">
        <v>4691</v>
      </c>
      <c r="BX490" t="s">
        <v>3532</v>
      </c>
      <c r="BY490" t="s">
        <v>4692</v>
      </c>
      <c r="BZ490" t="s">
        <v>4693</v>
      </c>
      <c r="CA490" t="s">
        <v>3641</v>
      </c>
      <c r="CB490" t="s">
        <v>231</v>
      </c>
      <c r="CC490" t="s">
        <v>231</v>
      </c>
      <c r="CD490" t="s">
        <v>231</v>
      </c>
      <c r="CE490" t="s">
        <v>231</v>
      </c>
      <c r="CF490" t="s">
        <v>231</v>
      </c>
      <c r="CG490" t="s">
        <v>3641</v>
      </c>
      <c r="CH490" t="s">
        <v>231</v>
      </c>
      <c r="CI490" t="s">
        <v>231</v>
      </c>
      <c r="CJ490" t="s">
        <v>231</v>
      </c>
      <c r="CK490" t="s">
        <v>231</v>
      </c>
      <c r="CL490" t="s">
        <v>231</v>
      </c>
      <c r="CM490" t="s">
        <v>5055</v>
      </c>
      <c r="CN490" t="s">
        <v>5056</v>
      </c>
      <c r="CO490" t="s">
        <v>4691</v>
      </c>
      <c r="CP490" t="s">
        <v>3532</v>
      </c>
      <c r="CQ490" t="s">
        <v>4692</v>
      </c>
      <c r="CR490" t="s">
        <v>4693</v>
      </c>
      <c r="CS490" t="s">
        <v>4694</v>
      </c>
      <c r="CT490" t="s">
        <v>3534</v>
      </c>
      <c r="CU490" t="s">
        <v>3535</v>
      </c>
      <c r="CV490" t="s">
        <v>3536</v>
      </c>
      <c r="CW490" t="s">
        <v>3537</v>
      </c>
      <c r="CX490" t="s">
        <v>223</v>
      </c>
      <c r="CY490" t="s">
        <v>3536</v>
      </c>
      <c r="CZ490" t="s">
        <v>3538</v>
      </c>
      <c r="DA490" t="s">
        <v>3539</v>
      </c>
      <c r="DB490" t="s">
        <v>3537</v>
      </c>
      <c r="DC490" t="s">
        <v>363</v>
      </c>
      <c r="DD490" t="s">
        <v>282</v>
      </c>
      <c r="DE490" t="s">
        <v>4695</v>
      </c>
    </row>
    <row r="491" spans="1:109" ht="11.25" customHeight="1">
      <c r="A491" s="1314" t="s">
        <v>231</v>
      </c>
      <c r="B491" t="s">
        <v>231</v>
      </c>
      <c r="C491" t="s">
        <v>231</v>
      </c>
      <c r="D491" t="s">
        <v>231</v>
      </c>
      <c r="E491" t="s">
        <v>231</v>
      </c>
      <c r="F491" t="s">
        <v>231</v>
      </c>
      <c r="G491" t="s">
        <v>231</v>
      </c>
      <c r="H491" t="s">
        <v>231</v>
      </c>
      <c r="I491" t="s">
        <v>3521</v>
      </c>
      <c r="J491" t="s">
        <v>231</v>
      </c>
      <c r="K491" t="s">
        <v>231</v>
      </c>
      <c r="L491" t="s">
        <v>231</v>
      </c>
      <c r="M491" t="s">
        <v>231</v>
      </c>
      <c r="N491" t="s">
        <v>231</v>
      </c>
      <c r="O491" t="s">
        <v>231</v>
      </c>
      <c r="P491" t="s">
        <v>231</v>
      </c>
      <c r="Q491" t="s">
        <v>231</v>
      </c>
      <c r="R491" t="s">
        <v>5024</v>
      </c>
      <c r="S491" t="s">
        <v>231</v>
      </c>
      <c r="T491" t="s">
        <v>231</v>
      </c>
      <c r="U491" t="s">
        <v>101</v>
      </c>
      <c r="V491" t="s">
        <v>231</v>
      </c>
      <c r="W491" t="s">
        <v>231</v>
      </c>
      <c r="X491" t="s">
        <v>3955</v>
      </c>
      <c r="Y491" t="s">
        <v>231</v>
      </c>
      <c r="Z491" t="s">
        <v>151</v>
      </c>
      <c r="AA491" t="s">
        <v>160</v>
      </c>
      <c r="AB491" t="s">
        <v>151</v>
      </c>
      <c r="AC491" t="s">
        <v>343</v>
      </c>
      <c r="AD491" t="s">
        <v>343</v>
      </c>
      <c r="AE491" t="s">
        <v>344</v>
      </c>
      <c r="AF491" t="s">
        <v>3561</v>
      </c>
      <c r="AG491" t="s">
        <v>3562</v>
      </c>
      <c r="AH491" t="s">
        <v>3629</v>
      </c>
      <c r="AI491" t="s">
        <v>3575</v>
      </c>
      <c r="AJ491" t="s">
        <v>231</v>
      </c>
      <c r="AK491" t="s">
        <v>231</v>
      </c>
      <c r="AL491" t="s">
        <v>231</v>
      </c>
      <c r="AM491" t="s">
        <v>231</v>
      </c>
      <c r="AN491" t="s">
        <v>231</v>
      </c>
      <c r="AO491" t="s">
        <v>231</v>
      </c>
      <c r="AP491" t="s">
        <v>3630</v>
      </c>
      <c r="AQ491" t="s">
        <v>4427</v>
      </c>
      <c r="AR491" t="s">
        <v>111</v>
      </c>
      <c r="AS491" t="s">
        <v>3632</v>
      </c>
      <c r="AT491" t="s">
        <v>5021</v>
      </c>
      <c r="AU491" t="s">
        <v>231</v>
      </c>
      <c r="AV491" t="s">
        <v>4428</v>
      </c>
      <c r="AW491" t="s">
        <v>2258</v>
      </c>
      <c r="AX491" t="s">
        <v>2258</v>
      </c>
      <c r="AY491" t="s">
        <v>3959</v>
      </c>
      <c r="AZ491" t="s">
        <v>4429</v>
      </c>
      <c r="BA491" t="s">
        <v>4430</v>
      </c>
      <c r="BB491" t="s">
        <v>3629</v>
      </c>
      <c r="BC491" t="s">
        <v>3575</v>
      </c>
      <c r="BD491" t="s">
        <v>4039</v>
      </c>
      <c r="BE491" t="s">
        <v>231</v>
      </c>
      <c r="BF491" t="s">
        <v>231</v>
      </c>
      <c r="BG491" t="s">
        <v>231</v>
      </c>
      <c r="BH491" t="s">
        <v>231</v>
      </c>
      <c r="BI491" t="s">
        <v>231</v>
      </c>
      <c r="BJ491" t="s">
        <v>231</v>
      </c>
      <c r="BK491" t="s">
        <v>231</v>
      </c>
      <c r="BL491" t="s">
        <v>231</v>
      </c>
      <c r="BM491" t="s">
        <v>231</v>
      </c>
      <c r="BN491" t="s">
        <v>231</v>
      </c>
      <c r="BO491" t="s">
        <v>231</v>
      </c>
      <c r="BP491" t="s">
        <v>231</v>
      </c>
      <c r="BQ491" t="s">
        <v>231</v>
      </c>
      <c r="BR491" t="s">
        <v>231</v>
      </c>
      <c r="BS491" t="s">
        <v>231</v>
      </c>
      <c r="BT491" t="s">
        <v>231</v>
      </c>
      <c r="BU491" t="s">
        <v>231</v>
      </c>
      <c r="BV491" t="s">
        <v>231</v>
      </c>
      <c r="BW491" t="s">
        <v>231</v>
      </c>
      <c r="BX491" t="s">
        <v>231</v>
      </c>
      <c r="BY491" t="s">
        <v>231</v>
      </c>
      <c r="BZ491" t="s">
        <v>231</v>
      </c>
      <c r="CA491" t="s">
        <v>231</v>
      </c>
      <c r="CB491" t="s">
        <v>231</v>
      </c>
      <c r="CC491" t="s">
        <v>231</v>
      </c>
      <c r="CD491" t="s">
        <v>231</v>
      </c>
      <c r="CE491" t="s">
        <v>231</v>
      </c>
      <c r="CF491" t="s">
        <v>231</v>
      </c>
      <c r="CG491" t="s">
        <v>231</v>
      </c>
      <c r="CH491" t="s">
        <v>231</v>
      </c>
      <c r="CI491" t="s">
        <v>231</v>
      </c>
      <c r="CJ491" t="s">
        <v>231</v>
      </c>
      <c r="CK491" t="s">
        <v>231</v>
      </c>
      <c r="CL491" t="s">
        <v>231</v>
      </c>
      <c r="CM491" t="s">
        <v>231</v>
      </c>
      <c r="CN491" t="s">
        <v>231</v>
      </c>
      <c r="CO491" t="s">
        <v>231</v>
      </c>
      <c r="CP491" t="s">
        <v>231</v>
      </c>
      <c r="CQ491" t="s">
        <v>231</v>
      </c>
      <c r="CR491" t="s">
        <v>231</v>
      </c>
      <c r="CS491" t="s">
        <v>231</v>
      </c>
      <c r="CT491" t="s">
        <v>3534</v>
      </c>
      <c r="CU491" t="s">
        <v>3535</v>
      </c>
      <c r="CV491" t="s">
        <v>3536</v>
      </c>
      <c r="CW491" t="s">
        <v>3569</v>
      </c>
      <c r="CX491" t="s">
        <v>3570</v>
      </c>
      <c r="CY491" t="s">
        <v>3536</v>
      </c>
      <c r="CZ491" t="s">
        <v>224</v>
      </c>
      <c r="DA491" t="s">
        <v>3571</v>
      </c>
      <c r="DB491" t="s">
        <v>3569</v>
      </c>
      <c r="DC491" t="s">
        <v>363</v>
      </c>
      <c r="DD491" t="s">
        <v>282</v>
      </c>
      <c r="DE491" t="s">
        <v>3644</v>
      </c>
    </row>
    <row r="492" spans="1:109" ht="11.25" customHeight="1">
      <c r="A492" s="1314" t="s">
        <v>231</v>
      </c>
      <c r="B492" t="s">
        <v>231</v>
      </c>
      <c r="C492" t="s">
        <v>231</v>
      </c>
      <c r="D492" t="s">
        <v>231</v>
      </c>
      <c r="E492" t="s">
        <v>231</v>
      </c>
      <c r="F492" t="s">
        <v>231</v>
      </c>
      <c r="G492" t="s">
        <v>231</v>
      </c>
      <c r="H492" t="s">
        <v>231</v>
      </c>
      <c r="I492" t="s">
        <v>3521</v>
      </c>
      <c r="J492" t="s">
        <v>231</v>
      </c>
      <c r="K492" t="s">
        <v>231</v>
      </c>
      <c r="L492" t="s">
        <v>231</v>
      </c>
      <c r="M492" t="s">
        <v>231</v>
      </c>
      <c r="N492" t="s">
        <v>231</v>
      </c>
      <c r="O492" t="s">
        <v>231</v>
      </c>
      <c r="P492" t="s">
        <v>231</v>
      </c>
      <c r="Q492" t="s">
        <v>231</v>
      </c>
      <c r="R492" t="s">
        <v>3685</v>
      </c>
      <c r="S492" t="s">
        <v>231</v>
      </c>
      <c r="T492" t="s">
        <v>231</v>
      </c>
      <c r="U492" t="s">
        <v>101</v>
      </c>
      <c r="V492" t="s">
        <v>231</v>
      </c>
      <c r="W492" t="s">
        <v>231</v>
      </c>
      <c r="X492" t="s">
        <v>3628</v>
      </c>
      <c r="Y492" t="s">
        <v>231</v>
      </c>
      <c r="Z492" t="s">
        <v>151</v>
      </c>
      <c r="AA492" t="s">
        <v>151</v>
      </c>
      <c r="AB492" t="s">
        <v>160</v>
      </c>
      <c r="AC492" t="s">
        <v>2262</v>
      </c>
      <c r="AD492" t="s">
        <v>2262</v>
      </c>
      <c r="AE492" t="s">
        <v>2264</v>
      </c>
      <c r="AF492" t="s">
        <v>4879</v>
      </c>
      <c r="AG492" t="s">
        <v>4880</v>
      </c>
      <c r="AH492" t="s">
        <v>4881</v>
      </c>
      <c r="AI492" t="s">
        <v>3618</v>
      </c>
      <c r="AJ492" t="s">
        <v>231</v>
      </c>
      <c r="AK492" t="s">
        <v>231</v>
      </c>
      <c r="AL492" t="s">
        <v>231</v>
      </c>
      <c r="AM492" t="s">
        <v>231</v>
      </c>
      <c r="AN492" t="s">
        <v>231</v>
      </c>
      <c r="AO492" t="s">
        <v>231</v>
      </c>
      <c r="AP492" t="s">
        <v>231</v>
      </c>
      <c r="AQ492" t="s">
        <v>231</v>
      </c>
      <c r="AR492" t="s">
        <v>231</v>
      </c>
      <c r="AS492" t="s">
        <v>231</v>
      </c>
      <c r="AT492" t="s">
        <v>231</v>
      </c>
      <c r="AU492" t="s">
        <v>231</v>
      </c>
      <c r="AV492" t="s">
        <v>231</v>
      </c>
      <c r="AW492" t="s">
        <v>231</v>
      </c>
      <c r="AX492" t="s">
        <v>231</v>
      </c>
      <c r="AY492" t="s">
        <v>231</v>
      </c>
      <c r="AZ492" t="s">
        <v>231</v>
      </c>
      <c r="BA492" t="s">
        <v>231</v>
      </c>
      <c r="BB492" t="s">
        <v>231</v>
      </c>
      <c r="BC492" t="s">
        <v>231</v>
      </c>
      <c r="BD492" t="s">
        <v>231</v>
      </c>
      <c r="BE492" t="s">
        <v>4882</v>
      </c>
      <c r="BF492" t="s">
        <v>4883</v>
      </c>
      <c r="BG492" t="s">
        <v>111</v>
      </c>
      <c r="BH492" t="s">
        <v>3632</v>
      </c>
      <c r="BI492" t="s">
        <v>122</v>
      </c>
      <c r="BJ492" t="s">
        <v>231</v>
      </c>
      <c r="BK492" t="s">
        <v>3618</v>
      </c>
      <c r="BL492" t="s">
        <v>2262</v>
      </c>
      <c r="BM492" t="s">
        <v>2262</v>
      </c>
      <c r="BN492" t="s">
        <v>4884</v>
      </c>
      <c r="BO492" t="s">
        <v>4879</v>
      </c>
      <c r="BP492" t="s">
        <v>4885</v>
      </c>
      <c r="BQ492" t="s">
        <v>4881</v>
      </c>
      <c r="BR492" t="s">
        <v>3618</v>
      </c>
      <c r="BS492" t="s">
        <v>231</v>
      </c>
      <c r="BT492" t="s">
        <v>3694</v>
      </c>
      <c r="BU492" t="s">
        <v>5057</v>
      </c>
      <c r="BV492" t="s">
        <v>5058</v>
      </c>
      <c r="BW492" t="s">
        <v>3641</v>
      </c>
      <c r="BX492" t="s">
        <v>4888</v>
      </c>
      <c r="BY492" t="s">
        <v>3641</v>
      </c>
      <c r="BZ492" t="s">
        <v>4889</v>
      </c>
      <c r="CA492" t="s">
        <v>3641</v>
      </c>
      <c r="CB492" t="s">
        <v>231</v>
      </c>
      <c r="CC492" t="s">
        <v>231</v>
      </c>
      <c r="CD492" t="s">
        <v>231</v>
      </c>
      <c r="CE492" t="s">
        <v>231</v>
      </c>
      <c r="CF492" t="s">
        <v>231</v>
      </c>
      <c r="CG492" t="s">
        <v>3641</v>
      </c>
      <c r="CH492" t="s">
        <v>231</v>
      </c>
      <c r="CI492" t="s">
        <v>231</v>
      </c>
      <c r="CJ492" t="s">
        <v>231</v>
      </c>
      <c r="CK492" t="s">
        <v>231</v>
      </c>
      <c r="CL492" t="s">
        <v>231</v>
      </c>
      <c r="CM492" t="s">
        <v>5057</v>
      </c>
      <c r="CN492" t="s">
        <v>5058</v>
      </c>
      <c r="CO492" t="s">
        <v>3641</v>
      </c>
      <c r="CP492" t="s">
        <v>4888</v>
      </c>
      <c r="CQ492" t="s">
        <v>3641</v>
      </c>
      <c r="CR492" t="s">
        <v>4889</v>
      </c>
      <c r="CS492" t="s">
        <v>4155</v>
      </c>
      <c r="CT492" t="s">
        <v>3534</v>
      </c>
      <c r="CU492" t="s">
        <v>3535</v>
      </c>
      <c r="CV492" t="s">
        <v>3536</v>
      </c>
      <c r="CW492" t="s">
        <v>4890</v>
      </c>
      <c r="CX492" t="s">
        <v>223</v>
      </c>
      <c r="CY492" t="s">
        <v>3536</v>
      </c>
      <c r="CZ492" t="s">
        <v>321</v>
      </c>
      <c r="DA492" t="s">
        <v>3539</v>
      </c>
      <c r="DB492" t="s">
        <v>4891</v>
      </c>
      <c r="DC492" t="s">
        <v>363</v>
      </c>
      <c r="DD492" t="s">
        <v>282</v>
      </c>
      <c r="DE492" t="s">
        <v>4892</v>
      </c>
    </row>
    <row r="493" spans="1:109" ht="11.25" customHeight="1">
      <c r="A493" s="1314" t="s">
        <v>231</v>
      </c>
      <c r="B493" t="s">
        <v>231</v>
      </c>
      <c r="C493" t="s">
        <v>231</v>
      </c>
      <c r="D493" t="s">
        <v>231</v>
      </c>
      <c r="E493" t="s">
        <v>231</v>
      </c>
      <c r="F493" t="s">
        <v>231</v>
      </c>
      <c r="G493" t="s">
        <v>231</v>
      </c>
      <c r="H493" t="s">
        <v>231</v>
      </c>
      <c r="I493" t="s">
        <v>3521</v>
      </c>
      <c r="J493" t="s">
        <v>231</v>
      </c>
      <c r="K493" t="s">
        <v>231</v>
      </c>
      <c r="L493" t="s">
        <v>231</v>
      </c>
      <c r="M493" t="s">
        <v>231</v>
      </c>
      <c r="N493" t="s">
        <v>231</v>
      </c>
      <c r="O493" t="s">
        <v>231</v>
      </c>
      <c r="P493" t="s">
        <v>231</v>
      </c>
      <c r="Q493" t="s">
        <v>231</v>
      </c>
      <c r="R493" t="s">
        <v>4929</v>
      </c>
      <c r="S493" t="s">
        <v>231</v>
      </c>
      <c r="T493" t="s">
        <v>231</v>
      </c>
      <c r="U493" t="s">
        <v>101</v>
      </c>
      <c r="V493" t="s">
        <v>231</v>
      </c>
      <c r="W493" t="s">
        <v>231</v>
      </c>
      <c r="X493" t="s">
        <v>3523</v>
      </c>
      <c r="Y493" t="s">
        <v>231</v>
      </c>
      <c r="Z493" t="s">
        <v>160</v>
      </c>
      <c r="AA493" t="s">
        <v>151</v>
      </c>
      <c r="AB493" t="s">
        <v>151</v>
      </c>
      <c r="AC493" t="s">
        <v>2283</v>
      </c>
      <c r="AD493" t="s">
        <v>2283</v>
      </c>
      <c r="AE493" t="s">
        <v>2284</v>
      </c>
      <c r="AF493" t="s">
        <v>4001</v>
      </c>
      <c r="AG493" t="s">
        <v>4002</v>
      </c>
      <c r="AH493" t="s">
        <v>4006</v>
      </c>
      <c r="AI493" t="s">
        <v>4930</v>
      </c>
      <c r="AJ493" t="s">
        <v>3546</v>
      </c>
      <c r="AK493" t="s">
        <v>3546</v>
      </c>
      <c r="AL493" t="s">
        <v>3648</v>
      </c>
      <c r="AM493" t="s">
        <v>3531</v>
      </c>
      <c r="AN493" t="s">
        <v>3549</v>
      </c>
      <c r="AO493" t="s">
        <v>3790</v>
      </c>
      <c r="AP493" t="s">
        <v>231</v>
      </c>
      <c r="AQ493" t="s">
        <v>231</v>
      </c>
      <c r="AR493" t="s">
        <v>231</v>
      </c>
      <c r="AS493" t="s">
        <v>231</v>
      </c>
      <c r="AT493" t="s">
        <v>231</v>
      </c>
      <c r="AU493" t="s">
        <v>231</v>
      </c>
      <c r="AV493" t="s">
        <v>231</v>
      </c>
      <c r="AW493" t="s">
        <v>231</v>
      </c>
      <c r="AX493" t="s">
        <v>231</v>
      </c>
      <c r="AY493" t="s">
        <v>231</v>
      </c>
      <c r="AZ493" t="s">
        <v>231</v>
      </c>
      <c r="BA493" t="s">
        <v>231</v>
      </c>
      <c r="BB493" t="s">
        <v>231</v>
      </c>
      <c r="BC493" t="s">
        <v>231</v>
      </c>
      <c r="BD493" t="s">
        <v>231</v>
      </c>
      <c r="BE493" t="s">
        <v>231</v>
      </c>
      <c r="BF493" t="s">
        <v>231</v>
      </c>
      <c r="BG493" t="s">
        <v>231</v>
      </c>
      <c r="BH493" t="s">
        <v>231</v>
      </c>
      <c r="BI493" t="s">
        <v>231</v>
      </c>
      <c r="BJ493" t="s">
        <v>231</v>
      </c>
      <c r="BK493" t="s">
        <v>231</v>
      </c>
      <c r="BL493" t="s">
        <v>231</v>
      </c>
      <c r="BM493" t="s">
        <v>231</v>
      </c>
      <c r="BN493" t="s">
        <v>231</v>
      </c>
      <c r="BO493" t="s">
        <v>231</v>
      </c>
      <c r="BP493" t="s">
        <v>231</v>
      </c>
      <c r="BQ493" t="s">
        <v>231</v>
      </c>
      <c r="BR493" t="s">
        <v>231</v>
      </c>
      <c r="BS493" t="s">
        <v>231</v>
      </c>
      <c r="BT493" t="s">
        <v>231</v>
      </c>
      <c r="BU493" t="s">
        <v>231</v>
      </c>
      <c r="BV493" t="s">
        <v>231</v>
      </c>
      <c r="BW493" t="s">
        <v>231</v>
      </c>
      <c r="BX493" t="s">
        <v>231</v>
      </c>
      <c r="BY493" t="s">
        <v>231</v>
      </c>
      <c r="BZ493" t="s">
        <v>231</v>
      </c>
      <c r="CA493" t="s">
        <v>231</v>
      </c>
      <c r="CB493" t="s">
        <v>231</v>
      </c>
      <c r="CC493" t="s">
        <v>231</v>
      </c>
      <c r="CD493" t="s">
        <v>231</v>
      </c>
      <c r="CE493" t="s">
        <v>231</v>
      </c>
      <c r="CF493" t="s">
        <v>231</v>
      </c>
      <c r="CG493" t="s">
        <v>231</v>
      </c>
      <c r="CH493" t="s">
        <v>231</v>
      </c>
      <c r="CI493" t="s">
        <v>231</v>
      </c>
      <c r="CJ493" t="s">
        <v>231</v>
      </c>
      <c r="CK493" t="s">
        <v>231</v>
      </c>
      <c r="CL493" t="s">
        <v>231</v>
      </c>
      <c r="CM493" t="s">
        <v>231</v>
      </c>
      <c r="CN493" t="s">
        <v>231</v>
      </c>
      <c r="CO493" t="s">
        <v>231</v>
      </c>
      <c r="CP493" t="s">
        <v>231</v>
      </c>
      <c r="CQ493" t="s">
        <v>231</v>
      </c>
      <c r="CR493" t="s">
        <v>231</v>
      </c>
      <c r="CS493" t="s">
        <v>231</v>
      </c>
      <c r="CT493" t="s">
        <v>3534</v>
      </c>
      <c r="CU493" t="s">
        <v>3535</v>
      </c>
      <c r="CV493" t="s">
        <v>3536</v>
      </c>
      <c r="CW493" t="s">
        <v>3551</v>
      </c>
      <c r="CX493" t="s">
        <v>223</v>
      </c>
      <c r="CY493" t="s">
        <v>3536</v>
      </c>
      <c r="CZ493" t="s">
        <v>3552</v>
      </c>
      <c r="DA493" t="s">
        <v>3553</v>
      </c>
      <c r="DB493" t="s">
        <v>3551</v>
      </c>
      <c r="DC493" t="s">
        <v>363</v>
      </c>
      <c r="DD493" t="s">
        <v>282</v>
      </c>
      <c r="DE493" t="s">
        <v>4931</v>
      </c>
    </row>
    <row r="494" spans="1:109" ht="11.25" customHeight="1">
      <c r="A494" s="1314" t="s">
        <v>231</v>
      </c>
      <c r="B494" t="s">
        <v>231</v>
      </c>
      <c r="C494" t="s">
        <v>231</v>
      </c>
      <c r="D494" t="s">
        <v>231</v>
      </c>
      <c r="E494" t="s">
        <v>231</v>
      </c>
      <c r="F494" t="s">
        <v>231</v>
      </c>
      <c r="G494" t="s">
        <v>231</v>
      </c>
      <c r="H494" t="s">
        <v>231</v>
      </c>
      <c r="I494" t="s">
        <v>3521</v>
      </c>
      <c r="J494" t="s">
        <v>231</v>
      </c>
      <c r="K494" t="s">
        <v>231</v>
      </c>
      <c r="L494" t="s">
        <v>231</v>
      </c>
      <c r="M494" t="s">
        <v>231</v>
      </c>
      <c r="N494" t="s">
        <v>231</v>
      </c>
      <c r="O494" t="s">
        <v>231</v>
      </c>
      <c r="P494" t="s">
        <v>231</v>
      </c>
      <c r="Q494" t="s">
        <v>231</v>
      </c>
      <c r="R494" t="s">
        <v>3651</v>
      </c>
      <c r="S494" t="s">
        <v>231</v>
      </c>
      <c r="T494" t="s">
        <v>231</v>
      </c>
      <c r="U494" t="s">
        <v>101</v>
      </c>
      <c r="V494" t="s">
        <v>231</v>
      </c>
      <c r="W494" t="s">
        <v>231</v>
      </c>
      <c r="X494" t="s">
        <v>3523</v>
      </c>
      <c r="Y494" t="s">
        <v>231</v>
      </c>
      <c r="Z494" t="s">
        <v>160</v>
      </c>
      <c r="AA494" t="s">
        <v>151</v>
      </c>
      <c r="AB494" t="s">
        <v>151</v>
      </c>
      <c r="AC494" t="s">
        <v>2283</v>
      </c>
      <c r="AD494" t="s">
        <v>2283</v>
      </c>
      <c r="AE494" t="s">
        <v>2284</v>
      </c>
      <c r="AF494" t="s">
        <v>3652</v>
      </c>
      <c r="AG494" t="s">
        <v>3653</v>
      </c>
      <c r="AH494" t="s">
        <v>3654</v>
      </c>
      <c r="AI494" t="s">
        <v>3655</v>
      </c>
      <c r="AJ494" t="s">
        <v>3546</v>
      </c>
      <c r="AK494" t="s">
        <v>3547</v>
      </c>
      <c r="AL494" t="s">
        <v>3648</v>
      </c>
      <c r="AM494" t="s">
        <v>3531</v>
      </c>
      <c r="AN494" t="s">
        <v>3549</v>
      </c>
      <c r="AO494" t="s">
        <v>3656</v>
      </c>
      <c r="AP494" t="s">
        <v>231</v>
      </c>
      <c r="AQ494" t="s">
        <v>231</v>
      </c>
      <c r="AR494" t="s">
        <v>231</v>
      </c>
      <c r="AS494" t="s">
        <v>231</v>
      </c>
      <c r="AT494" t="s">
        <v>231</v>
      </c>
      <c r="AU494" t="s">
        <v>231</v>
      </c>
      <c r="AV494" t="s">
        <v>231</v>
      </c>
      <c r="AW494" t="s">
        <v>231</v>
      </c>
      <c r="AX494" t="s">
        <v>231</v>
      </c>
      <c r="AY494" t="s">
        <v>231</v>
      </c>
      <c r="AZ494" t="s">
        <v>231</v>
      </c>
      <c r="BA494" t="s">
        <v>231</v>
      </c>
      <c r="BB494" t="s">
        <v>231</v>
      </c>
      <c r="BC494" t="s">
        <v>231</v>
      </c>
      <c r="BD494" t="s">
        <v>231</v>
      </c>
      <c r="BE494" t="s">
        <v>231</v>
      </c>
      <c r="BF494" t="s">
        <v>231</v>
      </c>
      <c r="BG494" t="s">
        <v>231</v>
      </c>
      <c r="BH494" t="s">
        <v>231</v>
      </c>
      <c r="BI494" t="s">
        <v>231</v>
      </c>
      <c r="BJ494" t="s">
        <v>231</v>
      </c>
      <c r="BK494" t="s">
        <v>231</v>
      </c>
      <c r="BL494" t="s">
        <v>231</v>
      </c>
      <c r="BM494" t="s">
        <v>231</v>
      </c>
      <c r="BN494" t="s">
        <v>231</v>
      </c>
      <c r="BO494" t="s">
        <v>231</v>
      </c>
      <c r="BP494" t="s">
        <v>231</v>
      </c>
      <c r="BQ494" t="s">
        <v>231</v>
      </c>
      <c r="BR494" t="s">
        <v>231</v>
      </c>
      <c r="BS494" t="s">
        <v>231</v>
      </c>
      <c r="BT494" t="s">
        <v>231</v>
      </c>
      <c r="BU494" t="s">
        <v>231</v>
      </c>
      <c r="BV494" t="s">
        <v>231</v>
      </c>
      <c r="BW494" t="s">
        <v>231</v>
      </c>
      <c r="BX494" t="s">
        <v>231</v>
      </c>
      <c r="BY494" t="s">
        <v>231</v>
      </c>
      <c r="BZ494" t="s">
        <v>231</v>
      </c>
      <c r="CA494" t="s">
        <v>231</v>
      </c>
      <c r="CB494" t="s">
        <v>231</v>
      </c>
      <c r="CC494" t="s">
        <v>231</v>
      </c>
      <c r="CD494" t="s">
        <v>231</v>
      </c>
      <c r="CE494" t="s">
        <v>231</v>
      </c>
      <c r="CF494" t="s">
        <v>231</v>
      </c>
      <c r="CG494" t="s">
        <v>231</v>
      </c>
      <c r="CH494" t="s">
        <v>231</v>
      </c>
      <c r="CI494" t="s">
        <v>231</v>
      </c>
      <c r="CJ494" t="s">
        <v>231</v>
      </c>
      <c r="CK494" t="s">
        <v>231</v>
      </c>
      <c r="CL494" t="s">
        <v>231</v>
      </c>
      <c r="CM494" t="s">
        <v>231</v>
      </c>
      <c r="CN494" t="s">
        <v>231</v>
      </c>
      <c r="CO494" t="s">
        <v>231</v>
      </c>
      <c r="CP494" t="s">
        <v>231</v>
      </c>
      <c r="CQ494" t="s">
        <v>231</v>
      </c>
      <c r="CR494" t="s">
        <v>231</v>
      </c>
      <c r="CS494" t="s">
        <v>231</v>
      </c>
      <c r="CT494" t="s">
        <v>3534</v>
      </c>
      <c r="CU494" t="s">
        <v>3535</v>
      </c>
      <c r="CV494" t="s">
        <v>3536</v>
      </c>
      <c r="CW494" t="s">
        <v>3551</v>
      </c>
      <c r="CX494" t="s">
        <v>223</v>
      </c>
      <c r="CY494" t="s">
        <v>3536</v>
      </c>
      <c r="CZ494" t="s">
        <v>3552</v>
      </c>
      <c r="DA494" t="s">
        <v>3553</v>
      </c>
      <c r="DB494" t="s">
        <v>3551</v>
      </c>
      <c r="DC494" t="s">
        <v>363</v>
      </c>
      <c r="DD494" t="s">
        <v>282</v>
      </c>
      <c r="DE494" t="s">
        <v>3657</v>
      </c>
    </row>
    <row r="495" spans="1:109" ht="11.25" customHeight="1">
      <c r="A495" s="1314" t="s">
        <v>231</v>
      </c>
      <c r="B495" t="s">
        <v>231</v>
      </c>
      <c r="C495" t="s">
        <v>231</v>
      </c>
      <c r="D495" t="s">
        <v>231</v>
      </c>
      <c r="E495" t="s">
        <v>231</v>
      </c>
      <c r="F495" t="s">
        <v>231</v>
      </c>
      <c r="G495" t="s">
        <v>231</v>
      </c>
      <c r="H495" t="s">
        <v>231</v>
      </c>
      <c r="I495" t="s">
        <v>3521</v>
      </c>
      <c r="J495" t="s">
        <v>231</v>
      </c>
      <c r="K495" t="s">
        <v>231</v>
      </c>
      <c r="L495" t="s">
        <v>231</v>
      </c>
      <c r="M495" t="s">
        <v>231</v>
      </c>
      <c r="N495" t="s">
        <v>231</v>
      </c>
      <c r="O495" t="s">
        <v>231</v>
      </c>
      <c r="P495" t="s">
        <v>231</v>
      </c>
      <c r="Q495" t="s">
        <v>231</v>
      </c>
      <c r="R495" t="s">
        <v>3651</v>
      </c>
      <c r="S495" t="s">
        <v>231</v>
      </c>
      <c r="T495" t="s">
        <v>231</v>
      </c>
      <c r="U495" t="s">
        <v>101</v>
      </c>
      <c r="V495" t="s">
        <v>231</v>
      </c>
      <c r="W495" t="s">
        <v>231</v>
      </c>
      <c r="X495" t="s">
        <v>3523</v>
      </c>
      <c r="Y495" t="s">
        <v>231</v>
      </c>
      <c r="Z495" t="s">
        <v>160</v>
      </c>
      <c r="AA495" t="s">
        <v>151</v>
      </c>
      <c r="AB495" t="s">
        <v>151</v>
      </c>
      <c r="AC495" t="s">
        <v>2283</v>
      </c>
      <c r="AD495" t="s">
        <v>2283</v>
      </c>
      <c r="AE495" t="s">
        <v>2284</v>
      </c>
      <c r="AF495" t="s">
        <v>3658</v>
      </c>
      <c r="AG495" t="s">
        <v>3659</v>
      </c>
      <c r="AH495" t="s">
        <v>3660</v>
      </c>
      <c r="AI495" t="s">
        <v>3661</v>
      </c>
      <c r="AJ495" t="s">
        <v>3546</v>
      </c>
      <c r="AK495" t="s">
        <v>3594</v>
      </c>
      <c r="AL495" t="s">
        <v>3648</v>
      </c>
      <c r="AM495" t="s">
        <v>3531</v>
      </c>
      <c r="AN495" t="s">
        <v>3549</v>
      </c>
      <c r="AO495" t="s">
        <v>3662</v>
      </c>
      <c r="AP495" t="s">
        <v>231</v>
      </c>
      <c r="AQ495" t="s">
        <v>231</v>
      </c>
      <c r="AR495" t="s">
        <v>231</v>
      </c>
      <c r="AS495" t="s">
        <v>231</v>
      </c>
      <c r="AT495" t="s">
        <v>231</v>
      </c>
      <c r="AU495" t="s">
        <v>231</v>
      </c>
      <c r="AV495" t="s">
        <v>231</v>
      </c>
      <c r="AW495" t="s">
        <v>231</v>
      </c>
      <c r="AX495" t="s">
        <v>231</v>
      </c>
      <c r="AY495" t="s">
        <v>231</v>
      </c>
      <c r="AZ495" t="s">
        <v>231</v>
      </c>
      <c r="BA495" t="s">
        <v>231</v>
      </c>
      <c r="BB495" t="s">
        <v>231</v>
      </c>
      <c r="BC495" t="s">
        <v>231</v>
      </c>
      <c r="BD495" t="s">
        <v>231</v>
      </c>
      <c r="BE495" t="s">
        <v>231</v>
      </c>
      <c r="BF495" t="s">
        <v>231</v>
      </c>
      <c r="BG495" t="s">
        <v>231</v>
      </c>
      <c r="BH495" t="s">
        <v>231</v>
      </c>
      <c r="BI495" t="s">
        <v>231</v>
      </c>
      <c r="BJ495" t="s">
        <v>231</v>
      </c>
      <c r="BK495" t="s">
        <v>231</v>
      </c>
      <c r="BL495" t="s">
        <v>231</v>
      </c>
      <c r="BM495" t="s">
        <v>231</v>
      </c>
      <c r="BN495" t="s">
        <v>231</v>
      </c>
      <c r="BO495" t="s">
        <v>231</v>
      </c>
      <c r="BP495" t="s">
        <v>231</v>
      </c>
      <c r="BQ495" t="s">
        <v>231</v>
      </c>
      <c r="BR495" t="s">
        <v>231</v>
      </c>
      <c r="BS495" t="s">
        <v>231</v>
      </c>
      <c r="BT495" t="s">
        <v>231</v>
      </c>
      <c r="BU495" t="s">
        <v>231</v>
      </c>
      <c r="BV495" t="s">
        <v>231</v>
      </c>
      <c r="BW495" t="s">
        <v>231</v>
      </c>
      <c r="BX495" t="s">
        <v>231</v>
      </c>
      <c r="BY495" t="s">
        <v>231</v>
      </c>
      <c r="BZ495" t="s">
        <v>231</v>
      </c>
      <c r="CA495" t="s">
        <v>231</v>
      </c>
      <c r="CB495" t="s">
        <v>231</v>
      </c>
      <c r="CC495" t="s">
        <v>231</v>
      </c>
      <c r="CD495" t="s">
        <v>231</v>
      </c>
      <c r="CE495" t="s">
        <v>231</v>
      </c>
      <c r="CF495" t="s">
        <v>231</v>
      </c>
      <c r="CG495" t="s">
        <v>231</v>
      </c>
      <c r="CH495" t="s">
        <v>231</v>
      </c>
      <c r="CI495" t="s">
        <v>231</v>
      </c>
      <c r="CJ495" t="s">
        <v>231</v>
      </c>
      <c r="CK495" t="s">
        <v>231</v>
      </c>
      <c r="CL495" t="s">
        <v>231</v>
      </c>
      <c r="CM495" t="s">
        <v>231</v>
      </c>
      <c r="CN495" t="s">
        <v>231</v>
      </c>
      <c r="CO495" t="s">
        <v>231</v>
      </c>
      <c r="CP495" t="s">
        <v>231</v>
      </c>
      <c r="CQ495" t="s">
        <v>231</v>
      </c>
      <c r="CR495" t="s">
        <v>231</v>
      </c>
      <c r="CS495" t="s">
        <v>231</v>
      </c>
      <c r="CT495" t="s">
        <v>3534</v>
      </c>
      <c r="CU495" t="s">
        <v>3535</v>
      </c>
      <c r="CV495" t="s">
        <v>3536</v>
      </c>
      <c r="CW495" t="s">
        <v>3551</v>
      </c>
      <c r="CX495" t="s">
        <v>223</v>
      </c>
      <c r="CY495" t="s">
        <v>3536</v>
      </c>
      <c r="CZ495" t="s">
        <v>3552</v>
      </c>
      <c r="DA495" t="s">
        <v>3553</v>
      </c>
      <c r="DB495" t="s">
        <v>3551</v>
      </c>
      <c r="DC495" t="s">
        <v>363</v>
      </c>
      <c r="DD495" t="s">
        <v>282</v>
      </c>
      <c r="DE495" t="s">
        <v>3663</v>
      </c>
    </row>
    <row r="496" spans="1:109" ht="11.25" customHeight="1">
      <c r="A496" s="1314" t="s">
        <v>231</v>
      </c>
      <c r="B496" t="s">
        <v>231</v>
      </c>
      <c r="C496" t="s">
        <v>231</v>
      </c>
      <c r="D496" t="s">
        <v>231</v>
      </c>
      <c r="E496" t="s">
        <v>231</v>
      </c>
      <c r="F496" t="s">
        <v>231</v>
      </c>
      <c r="G496" t="s">
        <v>231</v>
      </c>
      <c r="H496" t="s">
        <v>231</v>
      </c>
      <c r="I496" t="s">
        <v>3521</v>
      </c>
      <c r="J496" t="s">
        <v>231</v>
      </c>
      <c r="K496" t="s">
        <v>231</v>
      </c>
      <c r="L496" t="s">
        <v>231</v>
      </c>
      <c r="M496" t="s">
        <v>231</v>
      </c>
      <c r="N496" t="s">
        <v>231</v>
      </c>
      <c r="O496" t="s">
        <v>231</v>
      </c>
      <c r="P496" t="s">
        <v>231</v>
      </c>
      <c r="Q496" t="s">
        <v>231</v>
      </c>
      <c r="R496" t="s">
        <v>3685</v>
      </c>
      <c r="S496" t="s">
        <v>231</v>
      </c>
      <c r="T496" t="s">
        <v>231</v>
      </c>
      <c r="U496" t="s">
        <v>101</v>
      </c>
      <c r="V496" t="s">
        <v>231</v>
      </c>
      <c r="W496" t="s">
        <v>231</v>
      </c>
      <c r="X496" t="s">
        <v>3628</v>
      </c>
      <c r="Y496" t="s">
        <v>231</v>
      </c>
      <c r="Z496" t="s">
        <v>151</v>
      </c>
      <c r="AA496" t="s">
        <v>151</v>
      </c>
      <c r="AB496" t="s">
        <v>160</v>
      </c>
      <c r="AC496" t="s">
        <v>2283</v>
      </c>
      <c r="AD496" t="s">
        <v>2283</v>
      </c>
      <c r="AE496" t="s">
        <v>2284</v>
      </c>
      <c r="AF496" t="s">
        <v>4001</v>
      </c>
      <c r="AG496" t="s">
        <v>4002</v>
      </c>
      <c r="AH496" t="s">
        <v>4003</v>
      </c>
      <c r="AI496" t="s">
        <v>3688</v>
      </c>
      <c r="AJ496" t="s">
        <v>231</v>
      </c>
      <c r="AK496" t="s">
        <v>231</v>
      </c>
      <c r="AL496" t="s">
        <v>231</v>
      </c>
      <c r="AM496" t="s">
        <v>231</v>
      </c>
      <c r="AN496" t="s">
        <v>231</v>
      </c>
      <c r="AO496" t="s">
        <v>231</v>
      </c>
      <c r="AP496" t="s">
        <v>231</v>
      </c>
      <c r="AQ496" t="s">
        <v>231</v>
      </c>
      <c r="AR496" t="s">
        <v>231</v>
      </c>
      <c r="AS496" t="s">
        <v>231</v>
      </c>
      <c r="AT496" t="s">
        <v>231</v>
      </c>
      <c r="AU496" t="s">
        <v>231</v>
      </c>
      <c r="AV496" t="s">
        <v>231</v>
      </c>
      <c r="AW496" t="s">
        <v>231</v>
      </c>
      <c r="AX496" t="s">
        <v>231</v>
      </c>
      <c r="AY496" t="s">
        <v>231</v>
      </c>
      <c r="AZ496" t="s">
        <v>231</v>
      </c>
      <c r="BA496" t="s">
        <v>231</v>
      </c>
      <c r="BB496" t="s">
        <v>231</v>
      </c>
      <c r="BC496" t="s">
        <v>231</v>
      </c>
      <c r="BD496" t="s">
        <v>231</v>
      </c>
      <c r="BE496" t="s">
        <v>3689</v>
      </c>
      <c r="BF496" t="s">
        <v>3689</v>
      </c>
      <c r="BG496" t="s">
        <v>111</v>
      </c>
      <c r="BH496" t="s">
        <v>3632</v>
      </c>
      <c r="BI496" t="s">
        <v>122</v>
      </c>
      <c r="BJ496" t="s">
        <v>231</v>
      </c>
      <c r="BK496" t="s">
        <v>4004</v>
      </c>
      <c r="BL496" t="s">
        <v>2283</v>
      </c>
      <c r="BM496" t="s">
        <v>2283</v>
      </c>
      <c r="BN496" t="s">
        <v>3690</v>
      </c>
      <c r="BO496" t="s">
        <v>4001</v>
      </c>
      <c r="BP496" t="s">
        <v>4005</v>
      </c>
      <c r="BQ496" t="s">
        <v>4006</v>
      </c>
      <c r="BR496" t="s">
        <v>3593</v>
      </c>
      <c r="BS496" t="s">
        <v>231</v>
      </c>
      <c r="BT496" t="s">
        <v>3694</v>
      </c>
      <c r="BU496" t="s">
        <v>4007</v>
      </c>
      <c r="BV496" t="s">
        <v>4007</v>
      </c>
      <c r="BW496" t="s">
        <v>3641</v>
      </c>
      <c r="BX496" t="s">
        <v>3641</v>
      </c>
      <c r="BY496" t="s">
        <v>3641</v>
      </c>
      <c r="BZ496" t="s">
        <v>3641</v>
      </c>
      <c r="CA496" t="s">
        <v>3641</v>
      </c>
      <c r="CB496" t="s">
        <v>231</v>
      </c>
      <c r="CC496" t="s">
        <v>231</v>
      </c>
      <c r="CD496" t="s">
        <v>231</v>
      </c>
      <c r="CE496" t="s">
        <v>231</v>
      </c>
      <c r="CF496" t="s">
        <v>231</v>
      </c>
      <c r="CG496" t="s">
        <v>3641</v>
      </c>
      <c r="CH496" t="s">
        <v>231</v>
      </c>
      <c r="CI496" t="s">
        <v>231</v>
      </c>
      <c r="CJ496" t="s">
        <v>231</v>
      </c>
      <c r="CK496" t="s">
        <v>231</v>
      </c>
      <c r="CL496" t="s">
        <v>231</v>
      </c>
      <c r="CM496" t="s">
        <v>4007</v>
      </c>
      <c r="CN496" t="s">
        <v>4007</v>
      </c>
      <c r="CO496" t="s">
        <v>231</v>
      </c>
      <c r="CP496" t="s">
        <v>231</v>
      </c>
      <c r="CQ496" t="s">
        <v>231</v>
      </c>
      <c r="CR496" t="s">
        <v>231</v>
      </c>
      <c r="CS496" t="s">
        <v>3549</v>
      </c>
      <c r="CT496" t="s">
        <v>3534</v>
      </c>
      <c r="CU496" t="s">
        <v>3535</v>
      </c>
      <c r="CV496" t="s">
        <v>3536</v>
      </c>
      <c r="CW496" t="s">
        <v>3551</v>
      </c>
      <c r="CX496" t="s">
        <v>223</v>
      </c>
      <c r="CY496" t="s">
        <v>3536</v>
      </c>
      <c r="CZ496" t="s">
        <v>3552</v>
      </c>
      <c r="DA496" t="s">
        <v>3553</v>
      </c>
      <c r="DB496" t="s">
        <v>3551</v>
      </c>
      <c r="DC496" t="s">
        <v>363</v>
      </c>
      <c r="DD496" t="s">
        <v>282</v>
      </c>
      <c r="DE496" t="s">
        <v>4008</v>
      </c>
    </row>
    <row r="497" spans="1:109" ht="11.25" customHeight="1">
      <c r="A497" s="1314" t="s">
        <v>231</v>
      </c>
      <c r="B497" t="s">
        <v>231</v>
      </c>
      <c r="C497" t="s">
        <v>231</v>
      </c>
      <c r="D497" t="s">
        <v>231</v>
      </c>
      <c r="E497" t="s">
        <v>231</v>
      </c>
      <c r="F497" t="s">
        <v>231</v>
      </c>
      <c r="G497" t="s">
        <v>231</v>
      </c>
      <c r="H497" t="s">
        <v>231</v>
      </c>
      <c r="I497" t="s">
        <v>3521</v>
      </c>
      <c r="J497" t="s">
        <v>231</v>
      </c>
      <c r="K497" t="s">
        <v>231</v>
      </c>
      <c r="L497" t="s">
        <v>231</v>
      </c>
      <c r="M497" t="s">
        <v>231</v>
      </c>
      <c r="N497" t="s">
        <v>231</v>
      </c>
      <c r="O497" t="s">
        <v>231</v>
      </c>
      <c r="P497" t="s">
        <v>231</v>
      </c>
      <c r="Q497" t="s">
        <v>231</v>
      </c>
      <c r="R497" t="s">
        <v>4276</v>
      </c>
      <c r="S497" t="s">
        <v>231</v>
      </c>
      <c r="T497" t="s">
        <v>231</v>
      </c>
      <c r="U497" t="s">
        <v>101</v>
      </c>
      <c r="V497" t="s">
        <v>231</v>
      </c>
      <c r="W497" t="s">
        <v>231</v>
      </c>
      <c r="X497" t="s">
        <v>3628</v>
      </c>
      <c r="Y497" t="s">
        <v>231</v>
      </c>
      <c r="Z497" t="s">
        <v>151</v>
      </c>
      <c r="AA497" t="s">
        <v>151</v>
      </c>
      <c r="AB497" t="s">
        <v>160</v>
      </c>
      <c r="AC497" t="s">
        <v>2283</v>
      </c>
      <c r="AD497" t="s">
        <v>2283</v>
      </c>
      <c r="AE497" t="s">
        <v>2284</v>
      </c>
      <c r="AF497" t="s">
        <v>4001</v>
      </c>
      <c r="AG497" t="s">
        <v>4002</v>
      </c>
      <c r="AH497" t="s">
        <v>4001</v>
      </c>
      <c r="AI497" t="s">
        <v>3688</v>
      </c>
      <c r="AJ497" t="s">
        <v>231</v>
      </c>
      <c r="AK497" t="s">
        <v>231</v>
      </c>
      <c r="AL497" t="s">
        <v>231</v>
      </c>
      <c r="AM497" t="s">
        <v>231</v>
      </c>
      <c r="AN497" t="s">
        <v>231</v>
      </c>
      <c r="AO497" t="s">
        <v>231</v>
      </c>
      <c r="AP497" t="s">
        <v>231</v>
      </c>
      <c r="AQ497" t="s">
        <v>231</v>
      </c>
      <c r="AR497" t="s">
        <v>231</v>
      </c>
      <c r="AS497" t="s">
        <v>231</v>
      </c>
      <c r="AT497" t="s">
        <v>231</v>
      </c>
      <c r="AU497" t="s">
        <v>231</v>
      </c>
      <c r="AV497" t="s">
        <v>231</v>
      </c>
      <c r="AW497" t="s">
        <v>231</v>
      </c>
      <c r="AX497" t="s">
        <v>231</v>
      </c>
      <c r="AY497" t="s">
        <v>231</v>
      </c>
      <c r="AZ497" t="s">
        <v>231</v>
      </c>
      <c r="BA497" t="s">
        <v>231</v>
      </c>
      <c r="BB497" t="s">
        <v>231</v>
      </c>
      <c r="BC497" t="s">
        <v>231</v>
      </c>
      <c r="BD497" t="s">
        <v>231</v>
      </c>
      <c r="BE497" t="s">
        <v>3689</v>
      </c>
      <c r="BF497" t="s">
        <v>3689</v>
      </c>
      <c r="BG497" t="s">
        <v>111</v>
      </c>
      <c r="BH497" t="s">
        <v>3632</v>
      </c>
      <c r="BI497" t="s">
        <v>122</v>
      </c>
      <c r="BJ497" t="s">
        <v>231</v>
      </c>
      <c r="BK497" t="s">
        <v>3651</v>
      </c>
      <c r="BL497" t="s">
        <v>2283</v>
      </c>
      <c r="BM497" t="s">
        <v>2283</v>
      </c>
      <c r="BN497" t="s">
        <v>3690</v>
      </c>
      <c r="BO497" t="s">
        <v>4001</v>
      </c>
      <c r="BP497" t="s">
        <v>4005</v>
      </c>
      <c r="BQ497" t="s">
        <v>4277</v>
      </c>
      <c r="BR497" t="s">
        <v>4278</v>
      </c>
      <c r="BS497" t="s">
        <v>231</v>
      </c>
      <c r="BT497" t="s">
        <v>3694</v>
      </c>
      <c r="BU497" t="s">
        <v>4279</v>
      </c>
      <c r="BV497" t="s">
        <v>4279</v>
      </c>
      <c r="BW497" t="s">
        <v>3641</v>
      </c>
      <c r="BX497" t="s">
        <v>3641</v>
      </c>
      <c r="BY497" t="s">
        <v>3641</v>
      </c>
      <c r="BZ497" t="s">
        <v>3641</v>
      </c>
      <c r="CA497" t="s">
        <v>3641</v>
      </c>
      <c r="CB497" t="s">
        <v>231</v>
      </c>
      <c r="CC497" t="s">
        <v>231</v>
      </c>
      <c r="CD497" t="s">
        <v>231</v>
      </c>
      <c r="CE497" t="s">
        <v>231</v>
      </c>
      <c r="CF497" t="s">
        <v>231</v>
      </c>
      <c r="CG497" t="s">
        <v>3641</v>
      </c>
      <c r="CH497" t="s">
        <v>231</v>
      </c>
      <c r="CI497" t="s">
        <v>231</v>
      </c>
      <c r="CJ497" t="s">
        <v>231</v>
      </c>
      <c r="CK497" t="s">
        <v>231</v>
      </c>
      <c r="CL497" t="s">
        <v>231</v>
      </c>
      <c r="CM497" t="s">
        <v>4279</v>
      </c>
      <c r="CN497" t="s">
        <v>4279</v>
      </c>
      <c r="CO497" t="s">
        <v>231</v>
      </c>
      <c r="CP497" t="s">
        <v>231</v>
      </c>
      <c r="CQ497" t="s">
        <v>231</v>
      </c>
      <c r="CR497" t="s">
        <v>231</v>
      </c>
      <c r="CS497" t="s">
        <v>3549</v>
      </c>
      <c r="CT497" t="s">
        <v>3534</v>
      </c>
      <c r="CU497" t="s">
        <v>3535</v>
      </c>
      <c r="CV497" t="s">
        <v>3536</v>
      </c>
      <c r="CW497" t="s">
        <v>3551</v>
      </c>
      <c r="CX497" t="s">
        <v>223</v>
      </c>
      <c r="CY497" t="s">
        <v>3536</v>
      </c>
      <c r="CZ497" t="s">
        <v>3552</v>
      </c>
      <c r="DA497" t="s">
        <v>3553</v>
      </c>
      <c r="DB497" t="s">
        <v>3551</v>
      </c>
      <c r="DC497" t="s">
        <v>363</v>
      </c>
      <c r="DD497" t="s">
        <v>282</v>
      </c>
      <c r="DE497" t="s">
        <v>4010</v>
      </c>
    </row>
    <row r="498" spans="1:109" ht="11.25" customHeight="1">
      <c r="A498" s="1314" t="s">
        <v>231</v>
      </c>
      <c r="B498" t="s">
        <v>231</v>
      </c>
      <c r="C498" t="s">
        <v>231</v>
      </c>
      <c r="D498" t="s">
        <v>231</v>
      </c>
      <c r="E498" t="s">
        <v>231</v>
      </c>
      <c r="F498" t="s">
        <v>231</v>
      </c>
      <c r="G498" t="s">
        <v>231</v>
      </c>
      <c r="H498" t="s">
        <v>231</v>
      </c>
      <c r="I498" t="s">
        <v>3521</v>
      </c>
      <c r="J498" t="s">
        <v>231</v>
      </c>
      <c r="K498" t="s">
        <v>231</v>
      </c>
      <c r="L498" t="s">
        <v>231</v>
      </c>
      <c r="M498" t="s">
        <v>231</v>
      </c>
      <c r="N498" t="s">
        <v>231</v>
      </c>
      <c r="O498" t="s">
        <v>231</v>
      </c>
      <c r="P498" t="s">
        <v>231</v>
      </c>
      <c r="Q498" t="s">
        <v>231</v>
      </c>
      <c r="R498" t="s">
        <v>3685</v>
      </c>
      <c r="S498" t="s">
        <v>231</v>
      </c>
      <c r="T498" t="s">
        <v>231</v>
      </c>
      <c r="U498" t="s">
        <v>101</v>
      </c>
      <c r="V498" t="s">
        <v>231</v>
      </c>
      <c r="W498" t="s">
        <v>231</v>
      </c>
      <c r="X498" t="s">
        <v>3628</v>
      </c>
      <c r="Y498" t="s">
        <v>231</v>
      </c>
      <c r="Z498" t="s">
        <v>151</v>
      </c>
      <c r="AA498" t="s">
        <v>151</v>
      </c>
      <c r="AB498" t="s">
        <v>160</v>
      </c>
      <c r="AC498" t="s">
        <v>2283</v>
      </c>
      <c r="AD498" t="s">
        <v>2283</v>
      </c>
      <c r="AE498" t="s">
        <v>2284</v>
      </c>
      <c r="AF498" t="s">
        <v>4280</v>
      </c>
      <c r="AG498" t="s">
        <v>4281</v>
      </c>
      <c r="AH498" t="s">
        <v>4280</v>
      </c>
      <c r="AI498" t="s">
        <v>3688</v>
      </c>
      <c r="AJ498" t="s">
        <v>231</v>
      </c>
      <c r="AK498" t="s">
        <v>231</v>
      </c>
      <c r="AL498" t="s">
        <v>231</v>
      </c>
      <c r="AM498" t="s">
        <v>231</v>
      </c>
      <c r="AN498" t="s">
        <v>231</v>
      </c>
      <c r="AO498" t="s">
        <v>231</v>
      </c>
      <c r="AP498" t="s">
        <v>231</v>
      </c>
      <c r="AQ498" t="s">
        <v>231</v>
      </c>
      <c r="AR498" t="s">
        <v>231</v>
      </c>
      <c r="AS498" t="s">
        <v>231</v>
      </c>
      <c r="AT498" t="s">
        <v>231</v>
      </c>
      <c r="AU498" t="s">
        <v>231</v>
      </c>
      <c r="AV498" t="s">
        <v>231</v>
      </c>
      <c r="AW498" t="s">
        <v>231</v>
      </c>
      <c r="AX498" t="s">
        <v>231</v>
      </c>
      <c r="AY498" t="s">
        <v>231</v>
      </c>
      <c r="AZ498" t="s">
        <v>231</v>
      </c>
      <c r="BA498" t="s">
        <v>231</v>
      </c>
      <c r="BB498" t="s">
        <v>231</v>
      </c>
      <c r="BC498" t="s">
        <v>231</v>
      </c>
      <c r="BD498" t="s">
        <v>231</v>
      </c>
      <c r="BE498" t="s">
        <v>3689</v>
      </c>
      <c r="BF498" t="s">
        <v>3689</v>
      </c>
      <c r="BG498" t="s">
        <v>111</v>
      </c>
      <c r="BH498" t="s">
        <v>3632</v>
      </c>
      <c r="BI498" t="s">
        <v>122</v>
      </c>
      <c r="BJ498" t="s">
        <v>231</v>
      </c>
      <c r="BK498" t="s">
        <v>3651</v>
      </c>
      <c r="BL498" t="s">
        <v>2283</v>
      </c>
      <c r="BM498" t="s">
        <v>2283</v>
      </c>
      <c r="BN498" t="s">
        <v>3690</v>
      </c>
      <c r="BO498" t="s">
        <v>4280</v>
      </c>
      <c r="BP498" t="s">
        <v>4282</v>
      </c>
      <c r="BQ498" t="s">
        <v>4283</v>
      </c>
      <c r="BR498" t="s">
        <v>4240</v>
      </c>
      <c r="BS498" t="s">
        <v>231</v>
      </c>
      <c r="BT498" t="s">
        <v>3694</v>
      </c>
      <c r="BU498" t="s">
        <v>4284</v>
      </c>
      <c r="BV498" t="s">
        <v>4284</v>
      </c>
      <c r="BW498" t="s">
        <v>3641</v>
      </c>
      <c r="BX498" t="s">
        <v>3641</v>
      </c>
      <c r="BY498" t="s">
        <v>3641</v>
      </c>
      <c r="BZ498" t="s">
        <v>3641</v>
      </c>
      <c r="CA498" t="s">
        <v>3641</v>
      </c>
      <c r="CB498" t="s">
        <v>231</v>
      </c>
      <c r="CC498" t="s">
        <v>231</v>
      </c>
      <c r="CD498" t="s">
        <v>231</v>
      </c>
      <c r="CE498" t="s">
        <v>231</v>
      </c>
      <c r="CF498" t="s">
        <v>231</v>
      </c>
      <c r="CG498" t="s">
        <v>3641</v>
      </c>
      <c r="CH498" t="s">
        <v>231</v>
      </c>
      <c r="CI498" t="s">
        <v>231</v>
      </c>
      <c r="CJ498" t="s">
        <v>231</v>
      </c>
      <c r="CK498" t="s">
        <v>231</v>
      </c>
      <c r="CL498" t="s">
        <v>231</v>
      </c>
      <c r="CM498" t="s">
        <v>4284</v>
      </c>
      <c r="CN498" t="s">
        <v>4284</v>
      </c>
      <c r="CO498" t="s">
        <v>231</v>
      </c>
      <c r="CP498" t="s">
        <v>231</v>
      </c>
      <c r="CQ498" t="s">
        <v>231</v>
      </c>
      <c r="CR498" t="s">
        <v>231</v>
      </c>
      <c r="CS498" t="s">
        <v>3549</v>
      </c>
      <c r="CT498" t="s">
        <v>3534</v>
      </c>
      <c r="CU498" t="s">
        <v>3535</v>
      </c>
      <c r="CV498" t="s">
        <v>3536</v>
      </c>
      <c r="CW498" t="s">
        <v>3551</v>
      </c>
      <c r="CX498" t="s">
        <v>223</v>
      </c>
      <c r="CY498" t="s">
        <v>3536</v>
      </c>
      <c r="CZ498" t="s">
        <v>3552</v>
      </c>
      <c r="DA498" t="s">
        <v>3553</v>
      </c>
      <c r="DB498" t="s">
        <v>3551</v>
      </c>
      <c r="DC498" t="s">
        <v>363</v>
      </c>
      <c r="DD498" t="s">
        <v>282</v>
      </c>
      <c r="DE498" t="s">
        <v>4285</v>
      </c>
    </row>
    <row r="499" spans="1:109" ht="11.25" customHeight="1">
      <c r="A499" s="1314" t="s">
        <v>231</v>
      </c>
      <c r="B499" t="s">
        <v>231</v>
      </c>
      <c r="C499" t="s">
        <v>231</v>
      </c>
      <c r="D499" t="s">
        <v>231</v>
      </c>
      <c r="E499" t="s">
        <v>231</v>
      </c>
      <c r="F499" t="s">
        <v>231</v>
      </c>
      <c r="G499" t="s">
        <v>231</v>
      </c>
      <c r="H499" t="s">
        <v>231</v>
      </c>
      <c r="I499" t="s">
        <v>3521</v>
      </c>
      <c r="J499" t="s">
        <v>231</v>
      </c>
      <c r="K499" t="s">
        <v>231</v>
      </c>
      <c r="L499" t="s">
        <v>231</v>
      </c>
      <c r="M499" t="s">
        <v>231</v>
      </c>
      <c r="N499" t="s">
        <v>231</v>
      </c>
      <c r="O499" t="s">
        <v>231</v>
      </c>
      <c r="P499" t="s">
        <v>231</v>
      </c>
      <c r="Q499" t="s">
        <v>231</v>
      </c>
      <c r="R499" t="s">
        <v>3651</v>
      </c>
      <c r="S499" t="s">
        <v>231</v>
      </c>
      <c r="T499" t="s">
        <v>231</v>
      </c>
      <c r="U499" t="s">
        <v>101</v>
      </c>
      <c r="V499" t="s">
        <v>231</v>
      </c>
      <c r="W499" t="s">
        <v>231</v>
      </c>
      <c r="X499" t="s">
        <v>3523</v>
      </c>
      <c r="Y499" t="s">
        <v>231</v>
      </c>
      <c r="Z499" t="s">
        <v>160</v>
      </c>
      <c r="AA499" t="s">
        <v>151</v>
      </c>
      <c r="AB499" t="s">
        <v>151</v>
      </c>
      <c r="AC499" t="s">
        <v>2283</v>
      </c>
      <c r="AD499" t="s">
        <v>2283</v>
      </c>
      <c r="AE499" t="s">
        <v>2284</v>
      </c>
      <c r="AF499" t="s">
        <v>4534</v>
      </c>
      <c r="AG499" t="s">
        <v>4535</v>
      </c>
      <c r="AH499" t="s">
        <v>4796</v>
      </c>
      <c r="AI499" t="s">
        <v>3688</v>
      </c>
      <c r="AJ499" t="s">
        <v>4322</v>
      </c>
      <c r="AK499" t="s">
        <v>3775</v>
      </c>
      <c r="AL499" t="s">
        <v>3648</v>
      </c>
      <c r="AM499" t="s">
        <v>3531</v>
      </c>
      <c r="AN499" t="s">
        <v>3549</v>
      </c>
      <c r="AO499" t="s">
        <v>4541</v>
      </c>
      <c r="AP499" t="s">
        <v>231</v>
      </c>
      <c r="AQ499" t="s">
        <v>231</v>
      </c>
      <c r="AR499" t="s">
        <v>231</v>
      </c>
      <c r="AS499" t="s">
        <v>231</v>
      </c>
      <c r="AT499" t="s">
        <v>231</v>
      </c>
      <c r="AU499" t="s">
        <v>231</v>
      </c>
      <c r="AV499" t="s">
        <v>231</v>
      </c>
      <c r="AW499" t="s">
        <v>231</v>
      </c>
      <c r="AX499" t="s">
        <v>231</v>
      </c>
      <c r="AY499" t="s">
        <v>231</v>
      </c>
      <c r="AZ499" t="s">
        <v>231</v>
      </c>
      <c r="BA499" t="s">
        <v>231</v>
      </c>
      <c r="BB499" t="s">
        <v>231</v>
      </c>
      <c r="BC499" t="s">
        <v>231</v>
      </c>
      <c r="BD499" t="s">
        <v>231</v>
      </c>
      <c r="BE499" t="s">
        <v>231</v>
      </c>
      <c r="BF499" t="s">
        <v>231</v>
      </c>
      <c r="BG499" t="s">
        <v>231</v>
      </c>
      <c r="BH499" t="s">
        <v>231</v>
      </c>
      <c r="BI499" t="s">
        <v>231</v>
      </c>
      <c r="BJ499" t="s">
        <v>231</v>
      </c>
      <c r="BK499" t="s">
        <v>231</v>
      </c>
      <c r="BL499" t="s">
        <v>231</v>
      </c>
      <c r="BM499" t="s">
        <v>231</v>
      </c>
      <c r="BN499" t="s">
        <v>231</v>
      </c>
      <c r="BO499" t="s">
        <v>231</v>
      </c>
      <c r="BP499" t="s">
        <v>231</v>
      </c>
      <c r="BQ499" t="s">
        <v>231</v>
      </c>
      <c r="BR499" t="s">
        <v>231</v>
      </c>
      <c r="BS499" t="s">
        <v>231</v>
      </c>
      <c r="BT499" t="s">
        <v>231</v>
      </c>
      <c r="BU499" t="s">
        <v>231</v>
      </c>
      <c r="BV499" t="s">
        <v>231</v>
      </c>
      <c r="BW499" t="s">
        <v>231</v>
      </c>
      <c r="BX499" t="s">
        <v>231</v>
      </c>
      <c r="BY499" t="s">
        <v>231</v>
      </c>
      <c r="BZ499" t="s">
        <v>231</v>
      </c>
      <c r="CA499" t="s">
        <v>231</v>
      </c>
      <c r="CB499" t="s">
        <v>231</v>
      </c>
      <c r="CC499" t="s">
        <v>231</v>
      </c>
      <c r="CD499" t="s">
        <v>231</v>
      </c>
      <c r="CE499" t="s">
        <v>231</v>
      </c>
      <c r="CF499" t="s">
        <v>231</v>
      </c>
      <c r="CG499" t="s">
        <v>231</v>
      </c>
      <c r="CH499" t="s">
        <v>231</v>
      </c>
      <c r="CI499" t="s">
        <v>231</v>
      </c>
      <c r="CJ499" t="s">
        <v>231</v>
      </c>
      <c r="CK499" t="s">
        <v>231</v>
      </c>
      <c r="CL499" t="s">
        <v>231</v>
      </c>
      <c r="CM499" t="s">
        <v>231</v>
      </c>
      <c r="CN499" t="s">
        <v>231</v>
      </c>
      <c r="CO499" t="s">
        <v>231</v>
      </c>
      <c r="CP499" t="s">
        <v>231</v>
      </c>
      <c r="CQ499" t="s">
        <v>231</v>
      </c>
      <c r="CR499" t="s">
        <v>231</v>
      </c>
      <c r="CS499" t="s">
        <v>231</v>
      </c>
      <c r="CT499" t="s">
        <v>3534</v>
      </c>
      <c r="CU499" t="s">
        <v>3535</v>
      </c>
      <c r="CV499" t="s">
        <v>3536</v>
      </c>
      <c r="CW499" t="s">
        <v>3551</v>
      </c>
      <c r="CX499" t="s">
        <v>223</v>
      </c>
      <c r="CY499" t="s">
        <v>3536</v>
      </c>
      <c r="CZ499" t="s">
        <v>3552</v>
      </c>
      <c r="DA499" t="s">
        <v>3553</v>
      </c>
      <c r="DB499" t="s">
        <v>3551</v>
      </c>
      <c r="DC499" t="s">
        <v>363</v>
      </c>
      <c r="DD499" t="s">
        <v>282</v>
      </c>
      <c r="DE499" t="s">
        <v>4797</v>
      </c>
    </row>
    <row r="500" spans="1:109" ht="11.25" customHeight="1">
      <c r="A500" s="1314" t="s">
        <v>231</v>
      </c>
      <c r="B500" t="s">
        <v>231</v>
      </c>
      <c r="C500" t="s">
        <v>231</v>
      </c>
      <c r="D500" t="s">
        <v>231</v>
      </c>
      <c r="E500" t="s">
        <v>231</v>
      </c>
      <c r="F500" t="s">
        <v>231</v>
      </c>
      <c r="G500" t="s">
        <v>231</v>
      </c>
      <c r="H500" t="s">
        <v>231</v>
      </c>
      <c r="I500" t="s">
        <v>3521</v>
      </c>
      <c r="J500" t="s">
        <v>231</v>
      </c>
      <c r="K500" t="s">
        <v>231</v>
      </c>
      <c r="L500" t="s">
        <v>231</v>
      </c>
      <c r="M500" t="s">
        <v>231</v>
      </c>
      <c r="N500" t="s">
        <v>231</v>
      </c>
      <c r="O500" t="s">
        <v>231</v>
      </c>
      <c r="P500" t="s">
        <v>231</v>
      </c>
      <c r="Q500" t="s">
        <v>231</v>
      </c>
      <c r="R500" t="s">
        <v>4543</v>
      </c>
      <c r="S500" t="s">
        <v>231</v>
      </c>
      <c r="T500" t="s">
        <v>231</v>
      </c>
      <c r="U500" t="s">
        <v>101</v>
      </c>
      <c r="V500" t="s">
        <v>231</v>
      </c>
      <c r="W500" t="s">
        <v>231</v>
      </c>
      <c r="X500" t="s">
        <v>3523</v>
      </c>
      <c r="Y500" t="s">
        <v>231</v>
      </c>
      <c r="Z500" t="s">
        <v>160</v>
      </c>
      <c r="AA500" t="s">
        <v>151</v>
      </c>
      <c r="AB500" t="s">
        <v>151</v>
      </c>
      <c r="AC500" t="s">
        <v>2283</v>
      </c>
      <c r="AD500" t="s">
        <v>2283</v>
      </c>
      <c r="AE500" t="s">
        <v>2284</v>
      </c>
      <c r="AF500" t="s">
        <v>4001</v>
      </c>
      <c r="AG500" t="s">
        <v>4002</v>
      </c>
      <c r="AH500" t="s">
        <v>4544</v>
      </c>
      <c r="AI500" t="s">
        <v>4278</v>
      </c>
      <c r="AJ500" t="s">
        <v>3546</v>
      </c>
      <c r="AK500" t="s">
        <v>3546</v>
      </c>
      <c r="AL500" t="s">
        <v>3648</v>
      </c>
      <c r="AM500" t="s">
        <v>3531</v>
      </c>
      <c r="AN500" t="s">
        <v>3549</v>
      </c>
      <c r="AO500" t="s">
        <v>4545</v>
      </c>
      <c r="AP500" t="s">
        <v>231</v>
      </c>
      <c r="AQ500" t="s">
        <v>231</v>
      </c>
      <c r="AR500" t="s">
        <v>231</v>
      </c>
      <c r="AS500" t="s">
        <v>231</v>
      </c>
      <c r="AT500" t="s">
        <v>231</v>
      </c>
      <c r="AU500" t="s">
        <v>231</v>
      </c>
      <c r="AV500" t="s">
        <v>231</v>
      </c>
      <c r="AW500" t="s">
        <v>231</v>
      </c>
      <c r="AX500" t="s">
        <v>231</v>
      </c>
      <c r="AY500" t="s">
        <v>231</v>
      </c>
      <c r="AZ500" t="s">
        <v>231</v>
      </c>
      <c r="BA500" t="s">
        <v>231</v>
      </c>
      <c r="BB500" t="s">
        <v>231</v>
      </c>
      <c r="BC500" t="s">
        <v>231</v>
      </c>
      <c r="BD500" t="s">
        <v>231</v>
      </c>
      <c r="BE500" t="s">
        <v>231</v>
      </c>
      <c r="BF500" t="s">
        <v>231</v>
      </c>
      <c r="BG500" t="s">
        <v>231</v>
      </c>
      <c r="BH500" t="s">
        <v>231</v>
      </c>
      <c r="BI500" t="s">
        <v>231</v>
      </c>
      <c r="BJ500" t="s">
        <v>231</v>
      </c>
      <c r="BK500" t="s">
        <v>231</v>
      </c>
      <c r="BL500" t="s">
        <v>231</v>
      </c>
      <c r="BM500" t="s">
        <v>231</v>
      </c>
      <c r="BN500" t="s">
        <v>231</v>
      </c>
      <c r="BO500" t="s">
        <v>231</v>
      </c>
      <c r="BP500" t="s">
        <v>231</v>
      </c>
      <c r="BQ500" t="s">
        <v>231</v>
      </c>
      <c r="BR500" t="s">
        <v>231</v>
      </c>
      <c r="BS500" t="s">
        <v>231</v>
      </c>
      <c r="BT500" t="s">
        <v>231</v>
      </c>
      <c r="BU500" t="s">
        <v>231</v>
      </c>
      <c r="BV500" t="s">
        <v>231</v>
      </c>
      <c r="BW500" t="s">
        <v>231</v>
      </c>
      <c r="BX500" t="s">
        <v>231</v>
      </c>
      <c r="BY500" t="s">
        <v>231</v>
      </c>
      <c r="BZ500" t="s">
        <v>231</v>
      </c>
      <c r="CA500" t="s">
        <v>231</v>
      </c>
      <c r="CB500" t="s">
        <v>231</v>
      </c>
      <c r="CC500" t="s">
        <v>231</v>
      </c>
      <c r="CD500" t="s">
        <v>231</v>
      </c>
      <c r="CE500" t="s">
        <v>231</v>
      </c>
      <c r="CF500" t="s">
        <v>231</v>
      </c>
      <c r="CG500" t="s">
        <v>231</v>
      </c>
      <c r="CH500" t="s">
        <v>231</v>
      </c>
      <c r="CI500" t="s">
        <v>231</v>
      </c>
      <c r="CJ500" t="s">
        <v>231</v>
      </c>
      <c r="CK500" t="s">
        <v>231</v>
      </c>
      <c r="CL500" t="s">
        <v>231</v>
      </c>
      <c r="CM500" t="s">
        <v>231</v>
      </c>
      <c r="CN500" t="s">
        <v>231</v>
      </c>
      <c r="CO500" t="s">
        <v>231</v>
      </c>
      <c r="CP500" t="s">
        <v>231</v>
      </c>
      <c r="CQ500" t="s">
        <v>231</v>
      </c>
      <c r="CR500" t="s">
        <v>231</v>
      </c>
      <c r="CS500" t="s">
        <v>231</v>
      </c>
      <c r="CT500" t="s">
        <v>3534</v>
      </c>
      <c r="CU500" t="s">
        <v>3535</v>
      </c>
      <c r="CV500" t="s">
        <v>3536</v>
      </c>
      <c r="CW500" t="s">
        <v>3551</v>
      </c>
      <c r="CX500" t="s">
        <v>223</v>
      </c>
      <c r="CY500" t="s">
        <v>3536</v>
      </c>
      <c r="CZ500" t="s">
        <v>3552</v>
      </c>
      <c r="DA500" t="s">
        <v>3553</v>
      </c>
      <c r="DB500" t="s">
        <v>3551</v>
      </c>
      <c r="DC500" t="s">
        <v>363</v>
      </c>
      <c r="DD500" t="s">
        <v>282</v>
      </c>
      <c r="DE500" t="s">
        <v>4546</v>
      </c>
    </row>
    <row r="501" spans="1:109" ht="11.25" customHeight="1">
      <c r="A501" s="1314" t="s">
        <v>231</v>
      </c>
      <c r="B501" t="s">
        <v>231</v>
      </c>
      <c r="C501" t="s">
        <v>231</v>
      </c>
      <c r="D501" t="s">
        <v>231</v>
      </c>
      <c r="E501" t="s">
        <v>231</v>
      </c>
      <c r="F501" t="s">
        <v>231</v>
      </c>
      <c r="G501" t="s">
        <v>231</v>
      </c>
      <c r="H501" t="s">
        <v>231</v>
      </c>
      <c r="I501" t="s">
        <v>3521</v>
      </c>
      <c r="J501" t="s">
        <v>231</v>
      </c>
      <c r="K501" t="s">
        <v>231</v>
      </c>
      <c r="L501" t="s">
        <v>231</v>
      </c>
      <c r="M501" t="s">
        <v>231</v>
      </c>
      <c r="N501" t="s">
        <v>231</v>
      </c>
      <c r="O501" t="s">
        <v>231</v>
      </c>
      <c r="P501" t="s">
        <v>231</v>
      </c>
      <c r="Q501" t="s">
        <v>231</v>
      </c>
      <c r="R501" t="s">
        <v>3651</v>
      </c>
      <c r="S501" t="s">
        <v>231</v>
      </c>
      <c r="T501" t="s">
        <v>231</v>
      </c>
      <c r="U501" t="s">
        <v>101</v>
      </c>
      <c r="V501" t="s">
        <v>231</v>
      </c>
      <c r="W501" t="s">
        <v>231</v>
      </c>
      <c r="X501" t="s">
        <v>3523</v>
      </c>
      <c r="Y501" t="s">
        <v>231</v>
      </c>
      <c r="Z501" t="s">
        <v>160</v>
      </c>
      <c r="AA501" t="s">
        <v>151</v>
      </c>
      <c r="AB501" t="s">
        <v>151</v>
      </c>
      <c r="AC501" t="s">
        <v>2283</v>
      </c>
      <c r="AD501" t="s">
        <v>2283</v>
      </c>
      <c r="AE501" t="s">
        <v>2284</v>
      </c>
      <c r="AF501" t="s">
        <v>4280</v>
      </c>
      <c r="AG501" t="s">
        <v>4281</v>
      </c>
      <c r="AH501" t="s">
        <v>4547</v>
      </c>
      <c r="AI501" t="s">
        <v>4548</v>
      </c>
      <c r="AJ501" t="s">
        <v>3619</v>
      </c>
      <c r="AK501" t="s">
        <v>3800</v>
      </c>
      <c r="AL501" t="s">
        <v>3648</v>
      </c>
      <c r="AM501" t="s">
        <v>3531</v>
      </c>
      <c r="AN501" t="s">
        <v>3549</v>
      </c>
      <c r="AO501" t="s">
        <v>4400</v>
      </c>
      <c r="AP501" t="s">
        <v>231</v>
      </c>
      <c r="AQ501" t="s">
        <v>231</v>
      </c>
      <c r="AR501" t="s">
        <v>231</v>
      </c>
      <c r="AS501" t="s">
        <v>231</v>
      </c>
      <c r="AT501" t="s">
        <v>231</v>
      </c>
      <c r="AU501" t="s">
        <v>231</v>
      </c>
      <c r="AV501" t="s">
        <v>231</v>
      </c>
      <c r="AW501" t="s">
        <v>231</v>
      </c>
      <c r="AX501" t="s">
        <v>231</v>
      </c>
      <c r="AY501" t="s">
        <v>231</v>
      </c>
      <c r="AZ501" t="s">
        <v>231</v>
      </c>
      <c r="BA501" t="s">
        <v>231</v>
      </c>
      <c r="BB501" t="s">
        <v>231</v>
      </c>
      <c r="BC501" t="s">
        <v>231</v>
      </c>
      <c r="BD501" t="s">
        <v>231</v>
      </c>
      <c r="BE501" t="s">
        <v>231</v>
      </c>
      <c r="BF501" t="s">
        <v>231</v>
      </c>
      <c r="BG501" t="s">
        <v>231</v>
      </c>
      <c r="BH501" t="s">
        <v>231</v>
      </c>
      <c r="BI501" t="s">
        <v>231</v>
      </c>
      <c r="BJ501" t="s">
        <v>231</v>
      </c>
      <c r="BK501" t="s">
        <v>231</v>
      </c>
      <c r="BL501" t="s">
        <v>231</v>
      </c>
      <c r="BM501" t="s">
        <v>231</v>
      </c>
      <c r="BN501" t="s">
        <v>231</v>
      </c>
      <c r="BO501" t="s">
        <v>231</v>
      </c>
      <c r="BP501" t="s">
        <v>231</v>
      </c>
      <c r="BQ501" t="s">
        <v>231</v>
      </c>
      <c r="BR501" t="s">
        <v>231</v>
      </c>
      <c r="BS501" t="s">
        <v>231</v>
      </c>
      <c r="BT501" t="s">
        <v>231</v>
      </c>
      <c r="BU501" t="s">
        <v>231</v>
      </c>
      <c r="BV501" t="s">
        <v>231</v>
      </c>
      <c r="BW501" t="s">
        <v>231</v>
      </c>
      <c r="BX501" t="s">
        <v>231</v>
      </c>
      <c r="BY501" t="s">
        <v>231</v>
      </c>
      <c r="BZ501" t="s">
        <v>231</v>
      </c>
      <c r="CA501" t="s">
        <v>231</v>
      </c>
      <c r="CB501" t="s">
        <v>231</v>
      </c>
      <c r="CC501" t="s">
        <v>231</v>
      </c>
      <c r="CD501" t="s">
        <v>231</v>
      </c>
      <c r="CE501" t="s">
        <v>231</v>
      </c>
      <c r="CF501" t="s">
        <v>231</v>
      </c>
      <c r="CG501" t="s">
        <v>231</v>
      </c>
      <c r="CH501" t="s">
        <v>231</v>
      </c>
      <c r="CI501" t="s">
        <v>231</v>
      </c>
      <c r="CJ501" t="s">
        <v>231</v>
      </c>
      <c r="CK501" t="s">
        <v>231</v>
      </c>
      <c r="CL501" t="s">
        <v>231</v>
      </c>
      <c r="CM501" t="s">
        <v>231</v>
      </c>
      <c r="CN501" t="s">
        <v>231</v>
      </c>
      <c r="CO501" t="s">
        <v>231</v>
      </c>
      <c r="CP501" t="s">
        <v>231</v>
      </c>
      <c r="CQ501" t="s">
        <v>231</v>
      </c>
      <c r="CR501" t="s">
        <v>231</v>
      </c>
      <c r="CS501" t="s">
        <v>231</v>
      </c>
      <c r="CT501" t="s">
        <v>3534</v>
      </c>
      <c r="CU501" t="s">
        <v>3535</v>
      </c>
      <c r="CV501" t="s">
        <v>3536</v>
      </c>
      <c r="CW501" t="s">
        <v>3551</v>
      </c>
      <c r="CX501" t="s">
        <v>223</v>
      </c>
      <c r="CY501" t="s">
        <v>3536</v>
      </c>
      <c r="CZ501" t="s">
        <v>3552</v>
      </c>
      <c r="DA501" t="s">
        <v>3553</v>
      </c>
      <c r="DB501" t="s">
        <v>3551</v>
      </c>
      <c r="DC501" t="s">
        <v>363</v>
      </c>
      <c r="DD501" t="s">
        <v>282</v>
      </c>
      <c r="DE501" t="s">
        <v>4549</v>
      </c>
    </row>
    <row r="502" spans="1:109" ht="11.25" customHeight="1">
      <c r="A502" s="1314" t="s">
        <v>231</v>
      </c>
      <c r="B502" t="s">
        <v>231</v>
      </c>
      <c r="C502" t="s">
        <v>231</v>
      </c>
      <c r="D502" t="s">
        <v>231</v>
      </c>
      <c r="E502" t="s">
        <v>231</v>
      </c>
      <c r="F502" t="s">
        <v>231</v>
      </c>
      <c r="G502" t="s">
        <v>231</v>
      </c>
      <c r="H502" t="s">
        <v>231</v>
      </c>
      <c r="I502" t="s">
        <v>3521</v>
      </c>
      <c r="J502" t="s">
        <v>231</v>
      </c>
      <c r="K502" t="s">
        <v>231</v>
      </c>
      <c r="L502" t="s">
        <v>231</v>
      </c>
      <c r="M502" t="s">
        <v>231</v>
      </c>
      <c r="N502" t="s">
        <v>231</v>
      </c>
      <c r="O502" t="s">
        <v>231</v>
      </c>
      <c r="P502" t="s">
        <v>231</v>
      </c>
      <c r="Q502" t="s">
        <v>231</v>
      </c>
      <c r="R502" t="s">
        <v>3651</v>
      </c>
      <c r="S502" t="s">
        <v>231</v>
      </c>
      <c r="T502" t="s">
        <v>231</v>
      </c>
      <c r="U502" t="s">
        <v>101</v>
      </c>
      <c r="V502" t="s">
        <v>231</v>
      </c>
      <c r="W502" t="s">
        <v>231</v>
      </c>
      <c r="X502" t="s">
        <v>3523</v>
      </c>
      <c r="Y502" t="s">
        <v>231</v>
      </c>
      <c r="Z502" t="s">
        <v>160</v>
      </c>
      <c r="AA502" t="s">
        <v>151</v>
      </c>
      <c r="AB502" t="s">
        <v>151</v>
      </c>
      <c r="AC502" t="s">
        <v>2283</v>
      </c>
      <c r="AD502" t="s">
        <v>2283</v>
      </c>
      <c r="AE502" t="s">
        <v>2284</v>
      </c>
      <c r="AF502" t="s">
        <v>3664</v>
      </c>
      <c r="AG502" t="s">
        <v>3665</v>
      </c>
      <c r="AH502" t="s">
        <v>3666</v>
      </c>
      <c r="AI502" t="s">
        <v>3667</v>
      </c>
      <c r="AJ502" t="s">
        <v>3546</v>
      </c>
      <c r="AK502" t="s">
        <v>3547</v>
      </c>
      <c r="AL502" t="s">
        <v>3548</v>
      </c>
      <c r="AM502" t="s">
        <v>3531</v>
      </c>
      <c r="AN502" t="s">
        <v>3549</v>
      </c>
      <c r="AO502" t="s">
        <v>3668</v>
      </c>
      <c r="AP502" t="s">
        <v>231</v>
      </c>
      <c r="AQ502" t="s">
        <v>231</v>
      </c>
      <c r="AR502" t="s">
        <v>231</v>
      </c>
      <c r="AS502" t="s">
        <v>231</v>
      </c>
      <c r="AT502" t="s">
        <v>231</v>
      </c>
      <c r="AU502" t="s">
        <v>231</v>
      </c>
      <c r="AV502" t="s">
        <v>231</v>
      </c>
      <c r="AW502" t="s">
        <v>231</v>
      </c>
      <c r="AX502" t="s">
        <v>231</v>
      </c>
      <c r="AY502" t="s">
        <v>231</v>
      </c>
      <c r="AZ502" t="s">
        <v>231</v>
      </c>
      <c r="BA502" t="s">
        <v>231</v>
      </c>
      <c r="BB502" t="s">
        <v>231</v>
      </c>
      <c r="BC502" t="s">
        <v>231</v>
      </c>
      <c r="BD502" t="s">
        <v>231</v>
      </c>
      <c r="BE502" t="s">
        <v>231</v>
      </c>
      <c r="BF502" t="s">
        <v>231</v>
      </c>
      <c r="BG502" t="s">
        <v>231</v>
      </c>
      <c r="BH502" t="s">
        <v>231</v>
      </c>
      <c r="BI502" t="s">
        <v>231</v>
      </c>
      <c r="BJ502" t="s">
        <v>231</v>
      </c>
      <c r="BK502" t="s">
        <v>231</v>
      </c>
      <c r="BL502" t="s">
        <v>231</v>
      </c>
      <c r="BM502" t="s">
        <v>231</v>
      </c>
      <c r="BN502" t="s">
        <v>231</v>
      </c>
      <c r="BO502" t="s">
        <v>231</v>
      </c>
      <c r="BP502" t="s">
        <v>231</v>
      </c>
      <c r="BQ502" t="s">
        <v>231</v>
      </c>
      <c r="BR502" t="s">
        <v>231</v>
      </c>
      <c r="BS502" t="s">
        <v>231</v>
      </c>
      <c r="BT502" t="s">
        <v>231</v>
      </c>
      <c r="BU502" t="s">
        <v>231</v>
      </c>
      <c r="BV502" t="s">
        <v>231</v>
      </c>
      <c r="BW502" t="s">
        <v>231</v>
      </c>
      <c r="BX502" t="s">
        <v>231</v>
      </c>
      <c r="BY502" t="s">
        <v>231</v>
      </c>
      <c r="BZ502" t="s">
        <v>231</v>
      </c>
      <c r="CA502" t="s">
        <v>231</v>
      </c>
      <c r="CB502" t="s">
        <v>231</v>
      </c>
      <c r="CC502" t="s">
        <v>231</v>
      </c>
      <c r="CD502" t="s">
        <v>231</v>
      </c>
      <c r="CE502" t="s">
        <v>231</v>
      </c>
      <c r="CF502" t="s">
        <v>231</v>
      </c>
      <c r="CG502" t="s">
        <v>231</v>
      </c>
      <c r="CH502" t="s">
        <v>231</v>
      </c>
      <c r="CI502" t="s">
        <v>231</v>
      </c>
      <c r="CJ502" t="s">
        <v>231</v>
      </c>
      <c r="CK502" t="s">
        <v>231</v>
      </c>
      <c r="CL502" t="s">
        <v>231</v>
      </c>
      <c r="CM502" t="s">
        <v>231</v>
      </c>
      <c r="CN502" t="s">
        <v>231</v>
      </c>
      <c r="CO502" t="s">
        <v>231</v>
      </c>
      <c r="CP502" t="s">
        <v>231</v>
      </c>
      <c r="CQ502" t="s">
        <v>231</v>
      </c>
      <c r="CR502" t="s">
        <v>231</v>
      </c>
      <c r="CS502" t="s">
        <v>231</v>
      </c>
      <c r="CT502" t="s">
        <v>3534</v>
      </c>
      <c r="CU502" t="s">
        <v>3535</v>
      </c>
      <c r="CV502" t="s">
        <v>3536</v>
      </c>
      <c r="CW502" t="s">
        <v>3551</v>
      </c>
      <c r="CX502" t="s">
        <v>223</v>
      </c>
      <c r="CY502" t="s">
        <v>3536</v>
      </c>
      <c r="CZ502" t="s">
        <v>3552</v>
      </c>
      <c r="DA502" t="s">
        <v>3553</v>
      </c>
      <c r="DB502" t="s">
        <v>3551</v>
      </c>
      <c r="DC502" t="s">
        <v>363</v>
      </c>
      <c r="DD502" t="s">
        <v>282</v>
      </c>
      <c r="DE502" t="s">
        <v>3669</v>
      </c>
    </row>
    <row r="503" spans="1:109" ht="11.25" customHeight="1">
      <c r="A503" s="1314" t="s">
        <v>231</v>
      </c>
      <c r="B503" t="s">
        <v>231</v>
      </c>
      <c r="C503" t="s">
        <v>231</v>
      </c>
      <c r="D503" t="s">
        <v>231</v>
      </c>
      <c r="E503" t="s">
        <v>231</v>
      </c>
      <c r="F503" t="s">
        <v>231</v>
      </c>
      <c r="G503" t="s">
        <v>231</v>
      </c>
      <c r="H503" t="s">
        <v>231</v>
      </c>
      <c r="I503" t="s">
        <v>3521</v>
      </c>
      <c r="J503" t="s">
        <v>231</v>
      </c>
      <c r="K503" t="s">
        <v>231</v>
      </c>
      <c r="L503" t="s">
        <v>231</v>
      </c>
      <c r="M503" t="s">
        <v>231</v>
      </c>
      <c r="N503" t="s">
        <v>231</v>
      </c>
      <c r="O503" t="s">
        <v>231</v>
      </c>
      <c r="P503" t="s">
        <v>231</v>
      </c>
      <c r="Q503" t="s">
        <v>231</v>
      </c>
      <c r="R503" t="s">
        <v>3651</v>
      </c>
      <c r="S503" t="s">
        <v>231</v>
      </c>
      <c r="T503" t="s">
        <v>231</v>
      </c>
      <c r="U503" t="s">
        <v>101</v>
      </c>
      <c r="V503" t="s">
        <v>231</v>
      </c>
      <c r="W503" t="s">
        <v>231</v>
      </c>
      <c r="X503" t="s">
        <v>3523</v>
      </c>
      <c r="Y503" t="s">
        <v>231</v>
      </c>
      <c r="Z503" t="s">
        <v>160</v>
      </c>
      <c r="AA503" t="s">
        <v>151</v>
      </c>
      <c r="AB503" t="s">
        <v>151</v>
      </c>
      <c r="AC503" t="s">
        <v>2283</v>
      </c>
      <c r="AD503" t="s">
        <v>2283</v>
      </c>
      <c r="AE503" t="s">
        <v>2284</v>
      </c>
      <c r="AF503" t="s">
        <v>3664</v>
      </c>
      <c r="AG503" t="s">
        <v>3665</v>
      </c>
      <c r="AH503" t="s">
        <v>3666</v>
      </c>
      <c r="AI503" t="s">
        <v>3683</v>
      </c>
      <c r="AJ503" t="s">
        <v>3546</v>
      </c>
      <c r="AK503" t="s">
        <v>3547</v>
      </c>
      <c r="AL503" t="s">
        <v>3548</v>
      </c>
      <c r="AM503" t="s">
        <v>3531</v>
      </c>
      <c r="AN503" t="s">
        <v>3549</v>
      </c>
      <c r="AO503" t="s">
        <v>3739</v>
      </c>
      <c r="AP503" t="s">
        <v>231</v>
      </c>
      <c r="AQ503" t="s">
        <v>231</v>
      </c>
      <c r="AR503" t="s">
        <v>231</v>
      </c>
      <c r="AS503" t="s">
        <v>231</v>
      </c>
      <c r="AT503" t="s">
        <v>231</v>
      </c>
      <c r="AU503" t="s">
        <v>231</v>
      </c>
      <c r="AV503" t="s">
        <v>231</v>
      </c>
      <c r="AW503" t="s">
        <v>231</v>
      </c>
      <c r="AX503" t="s">
        <v>231</v>
      </c>
      <c r="AY503" t="s">
        <v>231</v>
      </c>
      <c r="AZ503" t="s">
        <v>231</v>
      </c>
      <c r="BA503" t="s">
        <v>231</v>
      </c>
      <c r="BB503" t="s">
        <v>231</v>
      </c>
      <c r="BC503" t="s">
        <v>231</v>
      </c>
      <c r="BD503" t="s">
        <v>231</v>
      </c>
      <c r="BE503" t="s">
        <v>231</v>
      </c>
      <c r="BF503" t="s">
        <v>231</v>
      </c>
      <c r="BG503" t="s">
        <v>231</v>
      </c>
      <c r="BH503" t="s">
        <v>231</v>
      </c>
      <c r="BI503" t="s">
        <v>231</v>
      </c>
      <c r="BJ503" t="s">
        <v>231</v>
      </c>
      <c r="BK503" t="s">
        <v>231</v>
      </c>
      <c r="BL503" t="s">
        <v>231</v>
      </c>
      <c r="BM503" t="s">
        <v>231</v>
      </c>
      <c r="BN503" t="s">
        <v>231</v>
      </c>
      <c r="BO503" t="s">
        <v>231</v>
      </c>
      <c r="BP503" t="s">
        <v>231</v>
      </c>
      <c r="BQ503" t="s">
        <v>231</v>
      </c>
      <c r="BR503" t="s">
        <v>231</v>
      </c>
      <c r="BS503" t="s">
        <v>231</v>
      </c>
      <c r="BT503" t="s">
        <v>231</v>
      </c>
      <c r="BU503" t="s">
        <v>231</v>
      </c>
      <c r="BV503" t="s">
        <v>231</v>
      </c>
      <c r="BW503" t="s">
        <v>231</v>
      </c>
      <c r="BX503" t="s">
        <v>231</v>
      </c>
      <c r="BY503" t="s">
        <v>231</v>
      </c>
      <c r="BZ503" t="s">
        <v>231</v>
      </c>
      <c r="CA503" t="s">
        <v>231</v>
      </c>
      <c r="CB503" t="s">
        <v>231</v>
      </c>
      <c r="CC503" t="s">
        <v>231</v>
      </c>
      <c r="CD503" t="s">
        <v>231</v>
      </c>
      <c r="CE503" t="s">
        <v>231</v>
      </c>
      <c r="CF503" t="s">
        <v>231</v>
      </c>
      <c r="CG503" t="s">
        <v>231</v>
      </c>
      <c r="CH503" t="s">
        <v>231</v>
      </c>
      <c r="CI503" t="s">
        <v>231</v>
      </c>
      <c r="CJ503" t="s">
        <v>231</v>
      </c>
      <c r="CK503" t="s">
        <v>231</v>
      </c>
      <c r="CL503" t="s">
        <v>231</v>
      </c>
      <c r="CM503" t="s">
        <v>231</v>
      </c>
      <c r="CN503" t="s">
        <v>231</v>
      </c>
      <c r="CO503" t="s">
        <v>231</v>
      </c>
      <c r="CP503" t="s">
        <v>231</v>
      </c>
      <c r="CQ503" t="s">
        <v>231</v>
      </c>
      <c r="CR503" t="s">
        <v>231</v>
      </c>
      <c r="CS503" t="s">
        <v>231</v>
      </c>
      <c r="CT503" t="s">
        <v>3534</v>
      </c>
      <c r="CU503" t="s">
        <v>3535</v>
      </c>
      <c r="CV503" t="s">
        <v>3536</v>
      </c>
      <c r="CW503" t="s">
        <v>3551</v>
      </c>
      <c r="CX503" t="s">
        <v>223</v>
      </c>
      <c r="CY503" t="s">
        <v>3536</v>
      </c>
      <c r="CZ503" t="s">
        <v>3552</v>
      </c>
      <c r="DA503" t="s">
        <v>3553</v>
      </c>
      <c r="DB503" t="s">
        <v>3551</v>
      </c>
      <c r="DC503" t="s">
        <v>363</v>
      </c>
      <c r="DD503" t="s">
        <v>282</v>
      </c>
      <c r="DE503" t="s">
        <v>3741</v>
      </c>
    </row>
    <row r="504" spans="1:109" ht="11.25" customHeight="1">
      <c r="A504" s="1314" t="s">
        <v>231</v>
      </c>
      <c r="B504" t="s">
        <v>231</v>
      </c>
      <c r="C504" t="s">
        <v>231</v>
      </c>
      <c r="D504" t="s">
        <v>231</v>
      </c>
      <c r="E504" t="s">
        <v>231</v>
      </c>
      <c r="F504" t="s">
        <v>231</v>
      </c>
      <c r="G504" t="s">
        <v>231</v>
      </c>
      <c r="H504" t="s">
        <v>231</v>
      </c>
      <c r="I504" t="s">
        <v>3521</v>
      </c>
      <c r="J504" t="s">
        <v>231</v>
      </c>
      <c r="K504" t="s">
        <v>231</v>
      </c>
      <c r="L504" t="s">
        <v>231</v>
      </c>
      <c r="M504" t="s">
        <v>231</v>
      </c>
      <c r="N504" t="s">
        <v>231</v>
      </c>
      <c r="O504" t="s">
        <v>231</v>
      </c>
      <c r="P504" t="s">
        <v>231</v>
      </c>
      <c r="Q504" t="s">
        <v>231</v>
      </c>
      <c r="R504" t="s">
        <v>3749</v>
      </c>
      <c r="S504" t="s">
        <v>231</v>
      </c>
      <c r="T504" t="s">
        <v>231</v>
      </c>
      <c r="U504" t="s">
        <v>101</v>
      </c>
      <c r="V504" t="s">
        <v>231</v>
      </c>
      <c r="W504" t="s">
        <v>231</v>
      </c>
      <c r="X504" t="s">
        <v>3628</v>
      </c>
      <c r="Y504" t="s">
        <v>231</v>
      </c>
      <c r="Z504" t="s">
        <v>151</v>
      </c>
      <c r="AA504" t="s">
        <v>151</v>
      </c>
      <c r="AB504" t="s">
        <v>160</v>
      </c>
      <c r="AC504" t="s">
        <v>2283</v>
      </c>
      <c r="AD504" t="s">
        <v>2283</v>
      </c>
      <c r="AE504" t="s">
        <v>2284</v>
      </c>
      <c r="AF504" t="s">
        <v>3750</v>
      </c>
      <c r="AG504" t="s">
        <v>3751</v>
      </c>
      <c r="AH504" t="s">
        <v>3544</v>
      </c>
      <c r="AI504" t="s">
        <v>3688</v>
      </c>
      <c r="AJ504" t="s">
        <v>231</v>
      </c>
      <c r="AK504" t="s">
        <v>231</v>
      </c>
      <c r="AL504" t="s">
        <v>231</v>
      </c>
      <c r="AM504" t="s">
        <v>231</v>
      </c>
      <c r="AN504" t="s">
        <v>231</v>
      </c>
      <c r="AO504" t="s">
        <v>231</v>
      </c>
      <c r="AP504" t="s">
        <v>231</v>
      </c>
      <c r="AQ504" t="s">
        <v>231</v>
      </c>
      <c r="AR504" t="s">
        <v>231</v>
      </c>
      <c r="AS504" t="s">
        <v>231</v>
      </c>
      <c r="AT504" t="s">
        <v>231</v>
      </c>
      <c r="AU504" t="s">
        <v>231</v>
      </c>
      <c r="AV504" t="s">
        <v>231</v>
      </c>
      <c r="AW504" t="s">
        <v>231</v>
      </c>
      <c r="AX504" t="s">
        <v>231</v>
      </c>
      <c r="AY504" t="s">
        <v>231</v>
      </c>
      <c r="AZ504" t="s">
        <v>231</v>
      </c>
      <c r="BA504" t="s">
        <v>231</v>
      </c>
      <c r="BB504" t="s">
        <v>231</v>
      </c>
      <c r="BC504" t="s">
        <v>231</v>
      </c>
      <c r="BD504" t="s">
        <v>231</v>
      </c>
      <c r="BE504" t="s">
        <v>3689</v>
      </c>
      <c r="BF504" t="s">
        <v>3689</v>
      </c>
      <c r="BG504" t="s">
        <v>111</v>
      </c>
      <c r="BH504" t="s">
        <v>3632</v>
      </c>
      <c r="BI504" t="s">
        <v>122</v>
      </c>
      <c r="BJ504" t="s">
        <v>231</v>
      </c>
      <c r="BK504" t="s">
        <v>3651</v>
      </c>
      <c r="BL504" t="s">
        <v>2283</v>
      </c>
      <c r="BM504" t="s">
        <v>2283</v>
      </c>
      <c r="BN504" t="s">
        <v>3690</v>
      </c>
      <c r="BO504" t="s">
        <v>3750</v>
      </c>
      <c r="BP504" t="s">
        <v>3752</v>
      </c>
      <c r="BQ504" t="s">
        <v>3753</v>
      </c>
      <c r="BR504" t="s">
        <v>3754</v>
      </c>
      <c r="BS504" t="s">
        <v>231</v>
      </c>
      <c r="BT504" t="s">
        <v>3694</v>
      </c>
      <c r="BU504" t="s">
        <v>5059</v>
      </c>
      <c r="BV504" t="s">
        <v>5059</v>
      </c>
      <c r="BW504" t="s">
        <v>3641</v>
      </c>
      <c r="BX504" t="s">
        <v>3641</v>
      </c>
      <c r="BY504" t="s">
        <v>3641</v>
      </c>
      <c r="BZ504" t="s">
        <v>3641</v>
      </c>
      <c r="CA504" t="s">
        <v>3641</v>
      </c>
      <c r="CB504" t="s">
        <v>231</v>
      </c>
      <c r="CC504" t="s">
        <v>231</v>
      </c>
      <c r="CD504" t="s">
        <v>231</v>
      </c>
      <c r="CE504" t="s">
        <v>231</v>
      </c>
      <c r="CF504" t="s">
        <v>231</v>
      </c>
      <c r="CG504" t="s">
        <v>3641</v>
      </c>
      <c r="CH504" t="s">
        <v>231</v>
      </c>
      <c r="CI504" t="s">
        <v>231</v>
      </c>
      <c r="CJ504" t="s">
        <v>231</v>
      </c>
      <c r="CK504" t="s">
        <v>231</v>
      </c>
      <c r="CL504" t="s">
        <v>231</v>
      </c>
      <c r="CM504" t="s">
        <v>5059</v>
      </c>
      <c r="CN504" t="s">
        <v>5059</v>
      </c>
      <c r="CO504" t="s">
        <v>231</v>
      </c>
      <c r="CP504" t="s">
        <v>231</v>
      </c>
      <c r="CQ504" t="s">
        <v>231</v>
      </c>
      <c r="CR504" t="s">
        <v>231</v>
      </c>
      <c r="CS504" t="s">
        <v>3549</v>
      </c>
      <c r="CT504" t="s">
        <v>3534</v>
      </c>
      <c r="CU504" t="s">
        <v>3535</v>
      </c>
      <c r="CV504" t="s">
        <v>3536</v>
      </c>
      <c r="CW504" t="s">
        <v>3551</v>
      </c>
      <c r="CX504" t="s">
        <v>223</v>
      </c>
      <c r="CY504" t="s">
        <v>3536</v>
      </c>
      <c r="CZ504" t="s">
        <v>3552</v>
      </c>
      <c r="DA504" t="s">
        <v>3553</v>
      </c>
      <c r="DB504" t="s">
        <v>3551</v>
      </c>
      <c r="DC504" t="s">
        <v>363</v>
      </c>
      <c r="DD504" t="s">
        <v>282</v>
      </c>
      <c r="DE504" t="s">
        <v>3756</v>
      </c>
    </row>
    <row r="505" spans="1:109" ht="11.25" customHeight="1">
      <c r="A505" s="1314" t="s">
        <v>231</v>
      </c>
      <c r="B505" t="s">
        <v>231</v>
      </c>
      <c r="C505" t="s">
        <v>231</v>
      </c>
      <c r="D505" t="s">
        <v>231</v>
      </c>
      <c r="E505" t="s">
        <v>231</v>
      </c>
      <c r="F505" t="s">
        <v>231</v>
      </c>
      <c r="G505" t="s">
        <v>231</v>
      </c>
      <c r="H505" t="s">
        <v>231</v>
      </c>
      <c r="I505" t="s">
        <v>3521</v>
      </c>
      <c r="J505" t="s">
        <v>231</v>
      </c>
      <c r="K505" t="s">
        <v>231</v>
      </c>
      <c r="L505" t="s">
        <v>231</v>
      </c>
      <c r="M505" t="s">
        <v>231</v>
      </c>
      <c r="N505" t="s">
        <v>231</v>
      </c>
      <c r="O505" t="s">
        <v>231</v>
      </c>
      <c r="P505" t="s">
        <v>231</v>
      </c>
      <c r="Q505" t="s">
        <v>231</v>
      </c>
      <c r="R505" t="s">
        <v>3615</v>
      </c>
      <c r="S505" t="s">
        <v>231</v>
      </c>
      <c r="T505" t="s">
        <v>231</v>
      </c>
      <c r="U505" t="s">
        <v>101</v>
      </c>
      <c r="V505" t="s">
        <v>231</v>
      </c>
      <c r="W505" t="s">
        <v>231</v>
      </c>
      <c r="X505" t="s">
        <v>3523</v>
      </c>
      <c r="Y505" t="s">
        <v>231</v>
      </c>
      <c r="Z505" t="s">
        <v>160</v>
      </c>
      <c r="AA505" t="s">
        <v>151</v>
      </c>
      <c r="AB505" t="s">
        <v>151</v>
      </c>
      <c r="AC505" t="s">
        <v>2289</v>
      </c>
      <c r="AD505" t="s">
        <v>2289</v>
      </c>
      <c r="AE505" t="s">
        <v>2290</v>
      </c>
      <c r="AF505" t="s">
        <v>3771</v>
      </c>
      <c r="AG505" t="s">
        <v>3772</v>
      </c>
      <c r="AH505" t="s">
        <v>3773</v>
      </c>
      <c r="AI505" t="s">
        <v>3774</v>
      </c>
      <c r="AJ505" t="s">
        <v>3619</v>
      </c>
      <c r="AK505" t="s">
        <v>3775</v>
      </c>
      <c r="AL505" t="s">
        <v>3548</v>
      </c>
      <c r="AM505" t="s">
        <v>3531</v>
      </c>
      <c r="AN505" t="s">
        <v>3529</v>
      </c>
      <c r="AO505" t="s">
        <v>3558</v>
      </c>
      <c r="AP505" t="s">
        <v>231</v>
      </c>
      <c r="AQ505" t="s">
        <v>231</v>
      </c>
      <c r="AR505" t="s">
        <v>231</v>
      </c>
      <c r="AS505" t="s">
        <v>231</v>
      </c>
      <c r="AT505" t="s">
        <v>231</v>
      </c>
      <c r="AU505" t="s">
        <v>231</v>
      </c>
      <c r="AV505" t="s">
        <v>231</v>
      </c>
      <c r="AW505" t="s">
        <v>231</v>
      </c>
      <c r="AX505" t="s">
        <v>231</v>
      </c>
      <c r="AY505" t="s">
        <v>231</v>
      </c>
      <c r="AZ505" t="s">
        <v>231</v>
      </c>
      <c r="BA505" t="s">
        <v>231</v>
      </c>
      <c r="BB505" t="s">
        <v>231</v>
      </c>
      <c r="BC505" t="s">
        <v>231</v>
      </c>
      <c r="BD505" t="s">
        <v>231</v>
      </c>
      <c r="BE505" t="s">
        <v>231</v>
      </c>
      <c r="BF505" t="s">
        <v>231</v>
      </c>
      <c r="BG505" t="s">
        <v>231</v>
      </c>
      <c r="BH505" t="s">
        <v>231</v>
      </c>
      <c r="BI505" t="s">
        <v>231</v>
      </c>
      <c r="BJ505" t="s">
        <v>231</v>
      </c>
      <c r="BK505" t="s">
        <v>231</v>
      </c>
      <c r="BL505" t="s">
        <v>231</v>
      </c>
      <c r="BM505" t="s">
        <v>231</v>
      </c>
      <c r="BN505" t="s">
        <v>231</v>
      </c>
      <c r="BO505" t="s">
        <v>231</v>
      </c>
      <c r="BP505" t="s">
        <v>231</v>
      </c>
      <c r="BQ505" t="s">
        <v>231</v>
      </c>
      <c r="BR505" t="s">
        <v>231</v>
      </c>
      <c r="BS505" t="s">
        <v>231</v>
      </c>
      <c r="BT505" t="s">
        <v>231</v>
      </c>
      <c r="BU505" t="s">
        <v>231</v>
      </c>
      <c r="BV505" t="s">
        <v>231</v>
      </c>
      <c r="BW505" t="s">
        <v>231</v>
      </c>
      <c r="BX505" t="s">
        <v>231</v>
      </c>
      <c r="BY505" t="s">
        <v>231</v>
      </c>
      <c r="BZ505" t="s">
        <v>231</v>
      </c>
      <c r="CA505" t="s">
        <v>231</v>
      </c>
      <c r="CB505" t="s">
        <v>231</v>
      </c>
      <c r="CC505" t="s">
        <v>231</v>
      </c>
      <c r="CD505" t="s">
        <v>231</v>
      </c>
      <c r="CE505" t="s">
        <v>231</v>
      </c>
      <c r="CF505" t="s">
        <v>231</v>
      </c>
      <c r="CG505" t="s">
        <v>231</v>
      </c>
      <c r="CH505" t="s">
        <v>231</v>
      </c>
      <c r="CI505" t="s">
        <v>231</v>
      </c>
      <c r="CJ505" t="s">
        <v>231</v>
      </c>
      <c r="CK505" t="s">
        <v>231</v>
      </c>
      <c r="CL505" t="s">
        <v>231</v>
      </c>
      <c r="CM505" t="s">
        <v>231</v>
      </c>
      <c r="CN505" t="s">
        <v>231</v>
      </c>
      <c r="CO505" t="s">
        <v>231</v>
      </c>
      <c r="CP505" t="s">
        <v>231</v>
      </c>
      <c r="CQ505" t="s">
        <v>231</v>
      </c>
      <c r="CR505" t="s">
        <v>231</v>
      </c>
      <c r="CS505" t="s">
        <v>231</v>
      </c>
      <c r="CT505" t="s">
        <v>3534</v>
      </c>
      <c r="CU505" t="s">
        <v>3535</v>
      </c>
      <c r="CV505" t="s">
        <v>3536</v>
      </c>
      <c r="CW505" t="s">
        <v>3589</v>
      </c>
      <c r="CX505" t="s">
        <v>223</v>
      </c>
      <c r="CY505" t="s">
        <v>3536</v>
      </c>
      <c r="CZ505" t="s">
        <v>3590</v>
      </c>
      <c r="DA505" t="s">
        <v>3591</v>
      </c>
      <c r="DB505" t="s">
        <v>3589</v>
      </c>
      <c r="DC505" t="s">
        <v>363</v>
      </c>
      <c r="DD505" t="s">
        <v>282</v>
      </c>
      <c r="DE505" t="s">
        <v>3776</v>
      </c>
    </row>
    <row r="506" spans="1:109" ht="11.25" customHeight="1">
      <c r="A506" s="1314" t="s">
        <v>231</v>
      </c>
      <c r="B506" t="s">
        <v>231</v>
      </c>
      <c r="C506" t="s">
        <v>231</v>
      </c>
      <c r="D506" t="s">
        <v>231</v>
      </c>
      <c r="E506" t="s">
        <v>231</v>
      </c>
      <c r="F506" t="s">
        <v>231</v>
      </c>
      <c r="G506" t="s">
        <v>231</v>
      </c>
      <c r="H506" t="s">
        <v>231</v>
      </c>
      <c r="I506" t="s">
        <v>3521</v>
      </c>
      <c r="J506" t="s">
        <v>231</v>
      </c>
      <c r="K506" t="s">
        <v>231</v>
      </c>
      <c r="L506" t="s">
        <v>231</v>
      </c>
      <c r="M506" t="s">
        <v>231</v>
      </c>
      <c r="N506" t="s">
        <v>231</v>
      </c>
      <c r="O506" t="s">
        <v>231</v>
      </c>
      <c r="P506" t="s">
        <v>231</v>
      </c>
      <c r="Q506" t="s">
        <v>231</v>
      </c>
      <c r="R506" t="s">
        <v>3615</v>
      </c>
      <c r="S506" t="s">
        <v>231</v>
      </c>
      <c r="T506" t="s">
        <v>231</v>
      </c>
      <c r="U506" t="s">
        <v>101</v>
      </c>
      <c r="V506" t="s">
        <v>231</v>
      </c>
      <c r="W506" t="s">
        <v>231</v>
      </c>
      <c r="X506" t="s">
        <v>3523</v>
      </c>
      <c r="Y506" t="s">
        <v>231</v>
      </c>
      <c r="Z506" t="s">
        <v>160</v>
      </c>
      <c r="AA506" t="s">
        <v>151</v>
      </c>
      <c r="AB506" t="s">
        <v>151</v>
      </c>
      <c r="AC506" t="s">
        <v>2289</v>
      </c>
      <c r="AD506" t="s">
        <v>2289</v>
      </c>
      <c r="AE506" t="s">
        <v>2290</v>
      </c>
      <c r="AF506" t="s">
        <v>3771</v>
      </c>
      <c r="AG506" t="s">
        <v>3772</v>
      </c>
      <c r="AH506" t="s">
        <v>3777</v>
      </c>
      <c r="AI506" t="s">
        <v>3778</v>
      </c>
      <c r="AJ506" t="s">
        <v>3594</v>
      </c>
      <c r="AK506" t="s">
        <v>3586</v>
      </c>
      <c r="AL506" t="s">
        <v>3548</v>
      </c>
      <c r="AM506" t="s">
        <v>3531</v>
      </c>
      <c r="AN506" t="s">
        <v>3529</v>
      </c>
      <c r="AO506" t="s">
        <v>3779</v>
      </c>
      <c r="AP506" t="s">
        <v>231</v>
      </c>
      <c r="AQ506" t="s">
        <v>231</v>
      </c>
      <c r="AR506" t="s">
        <v>231</v>
      </c>
      <c r="AS506" t="s">
        <v>231</v>
      </c>
      <c r="AT506" t="s">
        <v>231</v>
      </c>
      <c r="AU506" t="s">
        <v>231</v>
      </c>
      <c r="AV506" t="s">
        <v>231</v>
      </c>
      <c r="AW506" t="s">
        <v>231</v>
      </c>
      <c r="AX506" t="s">
        <v>231</v>
      </c>
      <c r="AY506" t="s">
        <v>231</v>
      </c>
      <c r="AZ506" t="s">
        <v>231</v>
      </c>
      <c r="BA506" t="s">
        <v>231</v>
      </c>
      <c r="BB506" t="s">
        <v>231</v>
      </c>
      <c r="BC506" t="s">
        <v>231</v>
      </c>
      <c r="BD506" t="s">
        <v>231</v>
      </c>
      <c r="BE506" t="s">
        <v>231</v>
      </c>
      <c r="BF506" t="s">
        <v>231</v>
      </c>
      <c r="BG506" t="s">
        <v>231</v>
      </c>
      <c r="BH506" t="s">
        <v>231</v>
      </c>
      <c r="BI506" t="s">
        <v>231</v>
      </c>
      <c r="BJ506" t="s">
        <v>231</v>
      </c>
      <c r="BK506" t="s">
        <v>231</v>
      </c>
      <c r="BL506" t="s">
        <v>231</v>
      </c>
      <c r="BM506" t="s">
        <v>231</v>
      </c>
      <c r="BN506" t="s">
        <v>231</v>
      </c>
      <c r="BO506" t="s">
        <v>231</v>
      </c>
      <c r="BP506" t="s">
        <v>231</v>
      </c>
      <c r="BQ506" t="s">
        <v>231</v>
      </c>
      <c r="BR506" t="s">
        <v>231</v>
      </c>
      <c r="BS506" t="s">
        <v>231</v>
      </c>
      <c r="BT506" t="s">
        <v>231</v>
      </c>
      <c r="BU506" t="s">
        <v>231</v>
      </c>
      <c r="BV506" t="s">
        <v>231</v>
      </c>
      <c r="BW506" t="s">
        <v>231</v>
      </c>
      <c r="BX506" t="s">
        <v>231</v>
      </c>
      <c r="BY506" t="s">
        <v>231</v>
      </c>
      <c r="BZ506" t="s">
        <v>231</v>
      </c>
      <c r="CA506" t="s">
        <v>231</v>
      </c>
      <c r="CB506" t="s">
        <v>231</v>
      </c>
      <c r="CC506" t="s">
        <v>231</v>
      </c>
      <c r="CD506" t="s">
        <v>231</v>
      </c>
      <c r="CE506" t="s">
        <v>231</v>
      </c>
      <c r="CF506" t="s">
        <v>231</v>
      </c>
      <c r="CG506" t="s">
        <v>231</v>
      </c>
      <c r="CH506" t="s">
        <v>231</v>
      </c>
      <c r="CI506" t="s">
        <v>231</v>
      </c>
      <c r="CJ506" t="s">
        <v>231</v>
      </c>
      <c r="CK506" t="s">
        <v>231</v>
      </c>
      <c r="CL506" t="s">
        <v>231</v>
      </c>
      <c r="CM506" t="s">
        <v>231</v>
      </c>
      <c r="CN506" t="s">
        <v>231</v>
      </c>
      <c r="CO506" t="s">
        <v>231</v>
      </c>
      <c r="CP506" t="s">
        <v>231</v>
      </c>
      <c r="CQ506" t="s">
        <v>231</v>
      </c>
      <c r="CR506" t="s">
        <v>231</v>
      </c>
      <c r="CS506" t="s">
        <v>231</v>
      </c>
      <c r="CT506" t="s">
        <v>3534</v>
      </c>
      <c r="CU506" t="s">
        <v>3535</v>
      </c>
      <c r="CV506" t="s">
        <v>3536</v>
      </c>
      <c r="CW506" t="s">
        <v>3589</v>
      </c>
      <c r="CX506" t="s">
        <v>223</v>
      </c>
      <c r="CY506" t="s">
        <v>3536</v>
      </c>
      <c r="CZ506" t="s">
        <v>3590</v>
      </c>
      <c r="DA506" t="s">
        <v>3591</v>
      </c>
      <c r="DB506" t="s">
        <v>3589</v>
      </c>
      <c r="DC506" t="s">
        <v>363</v>
      </c>
      <c r="DD506" t="s">
        <v>282</v>
      </c>
      <c r="DE506" t="s">
        <v>3780</v>
      </c>
    </row>
    <row r="507" spans="1:109" ht="11.25" customHeight="1">
      <c r="A507" s="1314" t="s">
        <v>231</v>
      </c>
      <c r="B507" t="s">
        <v>231</v>
      </c>
      <c r="C507" t="s">
        <v>231</v>
      </c>
      <c r="D507" t="s">
        <v>231</v>
      </c>
      <c r="E507" t="s">
        <v>231</v>
      </c>
      <c r="F507" t="s">
        <v>231</v>
      </c>
      <c r="G507" t="s">
        <v>231</v>
      </c>
      <c r="H507" t="s">
        <v>231</v>
      </c>
      <c r="I507" t="s">
        <v>3521</v>
      </c>
      <c r="J507" t="s">
        <v>231</v>
      </c>
      <c r="K507" t="s">
        <v>231</v>
      </c>
      <c r="L507" t="s">
        <v>231</v>
      </c>
      <c r="M507" t="s">
        <v>231</v>
      </c>
      <c r="N507" t="s">
        <v>231</v>
      </c>
      <c r="O507" t="s">
        <v>231</v>
      </c>
      <c r="P507" t="s">
        <v>231</v>
      </c>
      <c r="Q507" t="s">
        <v>231</v>
      </c>
      <c r="R507" t="s">
        <v>5060</v>
      </c>
      <c r="S507" t="s">
        <v>231</v>
      </c>
      <c r="T507" t="s">
        <v>231</v>
      </c>
      <c r="U507" t="s">
        <v>101</v>
      </c>
      <c r="V507" t="s">
        <v>231</v>
      </c>
      <c r="W507" t="s">
        <v>231</v>
      </c>
      <c r="X507" t="s">
        <v>3523</v>
      </c>
      <c r="Y507" t="s">
        <v>231</v>
      </c>
      <c r="Z507" t="s">
        <v>160</v>
      </c>
      <c r="AA507" t="s">
        <v>151</v>
      </c>
      <c r="AB507" t="s">
        <v>151</v>
      </c>
      <c r="AC507" t="s">
        <v>343</v>
      </c>
      <c r="AD507" t="s">
        <v>343</v>
      </c>
      <c r="AE507" t="s">
        <v>344</v>
      </c>
      <c r="AF507" t="s">
        <v>3561</v>
      </c>
      <c r="AG507" t="s">
        <v>3562</v>
      </c>
      <c r="AH507" t="s">
        <v>3782</v>
      </c>
      <c r="AI507" t="s">
        <v>3575</v>
      </c>
      <c r="AJ507" t="s">
        <v>3760</v>
      </c>
      <c r="AK507" t="s">
        <v>3783</v>
      </c>
      <c r="AL507" t="s">
        <v>3530</v>
      </c>
      <c r="AM507" t="s">
        <v>3531</v>
      </c>
      <c r="AN507" t="s">
        <v>3784</v>
      </c>
      <c r="AO507" t="s">
        <v>3785</v>
      </c>
      <c r="AP507" t="s">
        <v>231</v>
      </c>
      <c r="AQ507" t="s">
        <v>231</v>
      </c>
      <c r="AR507" t="s">
        <v>231</v>
      </c>
      <c r="AS507" t="s">
        <v>231</v>
      </c>
      <c r="AT507" t="s">
        <v>231</v>
      </c>
      <c r="AU507" t="s">
        <v>231</v>
      </c>
      <c r="AV507" t="s">
        <v>231</v>
      </c>
      <c r="AW507" t="s">
        <v>231</v>
      </c>
      <c r="AX507" t="s">
        <v>231</v>
      </c>
      <c r="AY507" t="s">
        <v>231</v>
      </c>
      <c r="AZ507" t="s">
        <v>231</v>
      </c>
      <c r="BA507" t="s">
        <v>231</v>
      </c>
      <c r="BB507" t="s">
        <v>231</v>
      </c>
      <c r="BC507" t="s">
        <v>231</v>
      </c>
      <c r="BD507" t="s">
        <v>231</v>
      </c>
      <c r="BE507" t="s">
        <v>231</v>
      </c>
      <c r="BF507" t="s">
        <v>231</v>
      </c>
      <c r="BG507" t="s">
        <v>231</v>
      </c>
      <c r="BH507" t="s">
        <v>231</v>
      </c>
      <c r="BI507" t="s">
        <v>231</v>
      </c>
      <c r="BJ507" t="s">
        <v>231</v>
      </c>
      <c r="BK507" t="s">
        <v>231</v>
      </c>
      <c r="BL507" t="s">
        <v>231</v>
      </c>
      <c r="BM507" t="s">
        <v>231</v>
      </c>
      <c r="BN507" t="s">
        <v>231</v>
      </c>
      <c r="BO507" t="s">
        <v>231</v>
      </c>
      <c r="BP507" t="s">
        <v>231</v>
      </c>
      <c r="BQ507" t="s">
        <v>231</v>
      </c>
      <c r="BR507" t="s">
        <v>231</v>
      </c>
      <c r="BS507" t="s">
        <v>231</v>
      </c>
      <c r="BT507" t="s">
        <v>231</v>
      </c>
      <c r="BU507" t="s">
        <v>231</v>
      </c>
      <c r="BV507" t="s">
        <v>231</v>
      </c>
      <c r="BW507" t="s">
        <v>231</v>
      </c>
      <c r="BX507" t="s">
        <v>231</v>
      </c>
      <c r="BY507" t="s">
        <v>231</v>
      </c>
      <c r="BZ507" t="s">
        <v>231</v>
      </c>
      <c r="CA507" t="s">
        <v>231</v>
      </c>
      <c r="CB507" t="s">
        <v>231</v>
      </c>
      <c r="CC507" t="s">
        <v>231</v>
      </c>
      <c r="CD507" t="s">
        <v>231</v>
      </c>
      <c r="CE507" t="s">
        <v>231</v>
      </c>
      <c r="CF507" t="s">
        <v>231</v>
      </c>
      <c r="CG507" t="s">
        <v>231</v>
      </c>
      <c r="CH507" t="s">
        <v>231</v>
      </c>
      <c r="CI507" t="s">
        <v>231</v>
      </c>
      <c r="CJ507" t="s">
        <v>231</v>
      </c>
      <c r="CK507" t="s">
        <v>231</v>
      </c>
      <c r="CL507" t="s">
        <v>231</v>
      </c>
      <c r="CM507" t="s">
        <v>231</v>
      </c>
      <c r="CN507" t="s">
        <v>231</v>
      </c>
      <c r="CO507" t="s">
        <v>231</v>
      </c>
      <c r="CP507" t="s">
        <v>231</v>
      </c>
      <c r="CQ507" t="s">
        <v>231</v>
      </c>
      <c r="CR507" t="s">
        <v>231</v>
      </c>
      <c r="CS507" t="s">
        <v>231</v>
      </c>
      <c r="CT507" t="s">
        <v>3534</v>
      </c>
      <c r="CU507" t="s">
        <v>3535</v>
      </c>
      <c r="CV507" t="s">
        <v>3536</v>
      </c>
      <c r="CW507" t="s">
        <v>3569</v>
      </c>
      <c r="CX507" t="s">
        <v>3570</v>
      </c>
      <c r="CY507" t="s">
        <v>3536</v>
      </c>
      <c r="CZ507" t="s">
        <v>224</v>
      </c>
      <c r="DA507" t="s">
        <v>3571</v>
      </c>
      <c r="DB507" t="s">
        <v>3569</v>
      </c>
      <c r="DC507" t="s">
        <v>363</v>
      </c>
      <c r="DD507" t="s">
        <v>282</v>
      </c>
      <c r="DE507" t="s">
        <v>3786</v>
      </c>
    </row>
    <row r="508" spans="1:109" ht="11.25" customHeight="1">
      <c r="A508" s="1314" t="s">
        <v>231</v>
      </c>
      <c r="B508" t="s">
        <v>231</v>
      </c>
      <c r="C508" t="s">
        <v>231</v>
      </c>
      <c r="D508" t="s">
        <v>231</v>
      </c>
      <c r="E508" t="s">
        <v>231</v>
      </c>
      <c r="F508" t="s">
        <v>231</v>
      </c>
      <c r="G508" t="s">
        <v>231</v>
      </c>
      <c r="H508" t="s">
        <v>231</v>
      </c>
      <c r="I508" t="s">
        <v>3521</v>
      </c>
      <c r="J508" t="s">
        <v>231</v>
      </c>
      <c r="K508" t="s">
        <v>231</v>
      </c>
      <c r="L508" t="s">
        <v>231</v>
      </c>
      <c r="M508" t="s">
        <v>231</v>
      </c>
      <c r="N508" t="s">
        <v>231</v>
      </c>
      <c r="O508" t="s">
        <v>231</v>
      </c>
      <c r="P508" t="s">
        <v>231</v>
      </c>
      <c r="Q508" t="s">
        <v>231</v>
      </c>
      <c r="R508" t="s">
        <v>4105</v>
      </c>
      <c r="S508" t="s">
        <v>231</v>
      </c>
      <c r="T508" t="s">
        <v>231</v>
      </c>
      <c r="U508" t="s">
        <v>101</v>
      </c>
      <c r="V508" t="s">
        <v>231</v>
      </c>
      <c r="W508" t="s">
        <v>231</v>
      </c>
      <c r="X508" t="s">
        <v>3628</v>
      </c>
      <c r="Y508" t="s">
        <v>231</v>
      </c>
      <c r="Z508" t="s">
        <v>151</v>
      </c>
      <c r="AA508" t="s">
        <v>151</v>
      </c>
      <c r="AB508" t="s">
        <v>160</v>
      </c>
      <c r="AC508" t="s">
        <v>2289</v>
      </c>
      <c r="AD508" t="s">
        <v>2289</v>
      </c>
      <c r="AE508" t="s">
        <v>2290</v>
      </c>
      <c r="AF508" t="s">
        <v>4100</v>
      </c>
      <c r="AG508" t="s">
        <v>4101</v>
      </c>
      <c r="AH508" t="s">
        <v>3618</v>
      </c>
      <c r="AI508" t="s">
        <v>3618</v>
      </c>
      <c r="AJ508" t="s">
        <v>231</v>
      </c>
      <c r="AK508" t="s">
        <v>231</v>
      </c>
      <c r="AL508" t="s">
        <v>231</v>
      </c>
      <c r="AM508" t="s">
        <v>231</v>
      </c>
      <c r="AN508" t="s">
        <v>231</v>
      </c>
      <c r="AO508" t="s">
        <v>231</v>
      </c>
      <c r="AP508" t="s">
        <v>231</v>
      </c>
      <c r="AQ508" t="s">
        <v>231</v>
      </c>
      <c r="AR508" t="s">
        <v>231</v>
      </c>
      <c r="AS508" t="s">
        <v>231</v>
      </c>
      <c r="AT508" t="s">
        <v>231</v>
      </c>
      <c r="AU508" t="s">
        <v>231</v>
      </c>
      <c r="AV508" t="s">
        <v>231</v>
      </c>
      <c r="AW508" t="s">
        <v>231</v>
      </c>
      <c r="AX508" t="s">
        <v>231</v>
      </c>
      <c r="AY508" t="s">
        <v>231</v>
      </c>
      <c r="AZ508" t="s">
        <v>231</v>
      </c>
      <c r="BA508" t="s">
        <v>231</v>
      </c>
      <c r="BB508" t="s">
        <v>231</v>
      </c>
      <c r="BC508" t="s">
        <v>231</v>
      </c>
      <c r="BD508" t="s">
        <v>231</v>
      </c>
      <c r="BE508" t="s">
        <v>3594</v>
      </c>
      <c r="BF508" t="s">
        <v>3716</v>
      </c>
      <c r="BG508" t="s">
        <v>111</v>
      </c>
      <c r="BH508" t="s">
        <v>3632</v>
      </c>
      <c r="BI508" t="s">
        <v>122</v>
      </c>
      <c r="BJ508" t="s">
        <v>231</v>
      </c>
      <c r="BK508" t="s">
        <v>3651</v>
      </c>
      <c r="BL508" t="s">
        <v>2289</v>
      </c>
      <c r="BM508" t="s">
        <v>2289</v>
      </c>
      <c r="BN508" t="s">
        <v>3707</v>
      </c>
      <c r="BO508" t="s">
        <v>4100</v>
      </c>
      <c r="BP508" t="s">
        <v>4106</v>
      </c>
      <c r="BQ508" t="s">
        <v>3618</v>
      </c>
      <c r="BR508" t="s">
        <v>3618</v>
      </c>
      <c r="BS508" t="s">
        <v>231</v>
      </c>
      <c r="BT508" t="s">
        <v>3694</v>
      </c>
      <c r="BU508" t="s">
        <v>4107</v>
      </c>
      <c r="BV508" t="s">
        <v>4107</v>
      </c>
      <c r="BW508" t="s">
        <v>3641</v>
      </c>
      <c r="BX508" t="s">
        <v>3641</v>
      </c>
      <c r="BY508" t="s">
        <v>3641</v>
      </c>
      <c r="BZ508" t="s">
        <v>3641</v>
      </c>
      <c r="CA508" t="s">
        <v>3641</v>
      </c>
      <c r="CB508" t="s">
        <v>231</v>
      </c>
      <c r="CC508" t="s">
        <v>231</v>
      </c>
      <c r="CD508" t="s">
        <v>231</v>
      </c>
      <c r="CE508" t="s">
        <v>231</v>
      </c>
      <c r="CF508" t="s">
        <v>231</v>
      </c>
      <c r="CG508" t="s">
        <v>3641</v>
      </c>
      <c r="CH508" t="s">
        <v>231</v>
      </c>
      <c r="CI508" t="s">
        <v>231</v>
      </c>
      <c r="CJ508" t="s">
        <v>231</v>
      </c>
      <c r="CK508" t="s">
        <v>231</v>
      </c>
      <c r="CL508" t="s">
        <v>231</v>
      </c>
      <c r="CM508" t="s">
        <v>4107</v>
      </c>
      <c r="CN508" t="s">
        <v>4107</v>
      </c>
      <c r="CO508" t="s">
        <v>231</v>
      </c>
      <c r="CP508" t="s">
        <v>231</v>
      </c>
      <c r="CQ508" t="s">
        <v>231</v>
      </c>
      <c r="CR508" t="s">
        <v>231</v>
      </c>
      <c r="CS508" t="s">
        <v>3710</v>
      </c>
      <c r="CT508" t="s">
        <v>3534</v>
      </c>
      <c r="CU508" t="s">
        <v>3535</v>
      </c>
      <c r="CV508" t="s">
        <v>3536</v>
      </c>
      <c r="CW508" t="s">
        <v>3589</v>
      </c>
      <c r="CX508" t="s">
        <v>223</v>
      </c>
      <c r="CY508" t="s">
        <v>3536</v>
      </c>
      <c r="CZ508" t="s">
        <v>3590</v>
      </c>
      <c r="DA508" t="s">
        <v>3591</v>
      </c>
      <c r="DB508" t="s">
        <v>3589</v>
      </c>
      <c r="DC508" t="s">
        <v>363</v>
      </c>
      <c r="DD508" t="s">
        <v>282</v>
      </c>
      <c r="DE508" t="s">
        <v>4108</v>
      </c>
    </row>
    <row r="509" spans="1:109" ht="11.25" customHeight="1">
      <c r="A509" s="1314" t="s">
        <v>231</v>
      </c>
      <c r="B509" t="s">
        <v>231</v>
      </c>
      <c r="C509" t="s">
        <v>231</v>
      </c>
      <c r="D509" t="s">
        <v>231</v>
      </c>
      <c r="E509" t="s">
        <v>231</v>
      </c>
      <c r="F509" t="s">
        <v>231</v>
      </c>
      <c r="G509" t="s">
        <v>231</v>
      </c>
      <c r="H509" t="s">
        <v>231</v>
      </c>
      <c r="I509" t="s">
        <v>3521</v>
      </c>
      <c r="J509" t="s">
        <v>231</v>
      </c>
      <c r="K509" t="s">
        <v>231</v>
      </c>
      <c r="L509" t="s">
        <v>231</v>
      </c>
      <c r="M509" t="s">
        <v>231</v>
      </c>
      <c r="N509" t="s">
        <v>231</v>
      </c>
      <c r="O509" t="s">
        <v>231</v>
      </c>
      <c r="P509" t="s">
        <v>231</v>
      </c>
      <c r="Q509" t="s">
        <v>231</v>
      </c>
      <c r="R509" t="s">
        <v>3615</v>
      </c>
      <c r="S509" t="s">
        <v>231</v>
      </c>
      <c r="T509" t="s">
        <v>231</v>
      </c>
      <c r="U509" t="s">
        <v>101</v>
      </c>
      <c r="V509" t="s">
        <v>231</v>
      </c>
      <c r="W509" t="s">
        <v>231</v>
      </c>
      <c r="X509" t="s">
        <v>3523</v>
      </c>
      <c r="Y509" t="s">
        <v>231</v>
      </c>
      <c r="Z509" t="s">
        <v>160</v>
      </c>
      <c r="AA509" t="s">
        <v>151</v>
      </c>
      <c r="AB509" t="s">
        <v>151</v>
      </c>
      <c r="AC509" t="s">
        <v>2289</v>
      </c>
      <c r="AD509" t="s">
        <v>2289</v>
      </c>
      <c r="AE509" t="s">
        <v>2290</v>
      </c>
      <c r="AF509" t="s">
        <v>4167</v>
      </c>
      <c r="AG509" t="s">
        <v>4168</v>
      </c>
      <c r="AH509" t="s">
        <v>3818</v>
      </c>
      <c r="AI509" t="s">
        <v>3774</v>
      </c>
      <c r="AJ509" t="s">
        <v>3594</v>
      </c>
      <c r="AK509" t="s">
        <v>3716</v>
      </c>
      <c r="AL509" t="s">
        <v>3548</v>
      </c>
      <c r="AM509" t="s">
        <v>3531</v>
      </c>
      <c r="AN509" t="s">
        <v>3595</v>
      </c>
      <c r="AO509" t="s">
        <v>3796</v>
      </c>
      <c r="AP509" t="s">
        <v>231</v>
      </c>
      <c r="AQ509" t="s">
        <v>231</v>
      </c>
      <c r="AR509" t="s">
        <v>231</v>
      </c>
      <c r="AS509" t="s">
        <v>231</v>
      </c>
      <c r="AT509" t="s">
        <v>231</v>
      </c>
      <c r="AU509" t="s">
        <v>231</v>
      </c>
      <c r="AV509" t="s">
        <v>231</v>
      </c>
      <c r="AW509" t="s">
        <v>231</v>
      </c>
      <c r="AX509" t="s">
        <v>231</v>
      </c>
      <c r="AY509" t="s">
        <v>231</v>
      </c>
      <c r="AZ509" t="s">
        <v>231</v>
      </c>
      <c r="BA509" t="s">
        <v>231</v>
      </c>
      <c r="BB509" t="s">
        <v>231</v>
      </c>
      <c r="BC509" t="s">
        <v>231</v>
      </c>
      <c r="BD509" t="s">
        <v>231</v>
      </c>
      <c r="BE509" t="s">
        <v>231</v>
      </c>
      <c r="BF509" t="s">
        <v>231</v>
      </c>
      <c r="BG509" t="s">
        <v>231</v>
      </c>
      <c r="BH509" t="s">
        <v>231</v>
      </c>
      <c r="BI509" t="s">
        <v>231</v>
      </c>
      <c r="BJ509" t="s">
        <v>231</v>
      </c>
      <c r="BK509" t="s">
        <v>231</v>
      </c>
      <c r="BL509" t="s">
        <v>231</v>
      </c>
      <c r="BM509" t="s">
        <v>231</v>
      </c>
      <c r="BN509" t="s">
        <v>231</v>
      </c>
      <c r="BO509" t="s">
        <v>231</v>
      </c>
      <c r="BP509" t="s">
        <v>231</v>
      </c>
      <c r="BQ509" t="s">
        <v>231</v>
      </c>
      <c r="BR509" t="s">
        <v>231</v>
      </c>
      <c r="BS509" t="s">
        <v>231</v>
      </c>
      <c r="BT509" t="s">
        <v>231</v>
      </c>
      <c r="BU509" t="s">
        <v>231</v>
      </c>
      <c r="BV509" t="s">
        <v>231</v>
      </c>
      <c r="BW509" t="s">
        <v>231</v>
      </c>
      <c r="BX509" t="s">
        <v>231</v>
      </c>
      <c r="BY509" t="s">
        <v>231</v>
      </c>
      <c r="BZ509" t="s">
        <v>231</v>
      </c>
      <c r="CA509" t="s">
        <v>231</v>
      </c>
      <c r="CB509" t="s">
        <v>231</v>
      </c>
      <c r="CC509" t="s">
        <v>231</v>
      </c>
      <c r="CD509" t="s">
        <v>231</v>
      </c>
      <c r="CE509" t="s">
        <v>231</v>
      </c>
      <c r="CF509" t="s">
        <v>231</v>
      </c>
      <c r="CG509" t="s">
        <v>231</v>
      </c>
      <c r="CH509" t="s">
        <v>231</v>
      </c>
      <c r="CI509" t="s">
        <v>231</v>
      </c>
      <c r="CJ509" t="s">
        <v>231</v>
      </c>
      <c r="CK509" t="s">
        <v>231</v>
      </c>
      <c r="CL509" t="s">
        <v>231</v>
      </c>
      <c r="CM509" t="s">
        <v>231</v>
      </c>
      <c r="CN509" t="s">
        <v>231</v>
      </c>
      <c r="CO509" t="s">
        <v>231</v>
      </c>
      <c r="CP509" t="s">
        <v>231</v>
      </c>
      <c r="CQ509" t="s">
        <v>231</v>
      </c>
      <c r="CR509" t="s">
        <v>231</v>
      </c>
      <c r="CS509" t="s">
        <v>231</v>
      </c>
      <c r="CT509" t="s">
        <v>3534</v>
      </c>
      <c r="CU509" t="s">
        <v>3535</v>
      </c>
      <c r="CV509" t="s">
        <v>3536</v>
      </c>
      <c r="CW509" t="s">
        <v>3589</v>
      </c>
      <c r="CX509" t="s">
        <v>223</v>
      </c>
      <c r="CY509" t="s">
        <v>3536</v>
      </c>
      <c r="CZ509" t="s">
        <v>3590</v>
      </c>
      <c r="DA509" t="s">
        <v>3591</v>
      </c>
      <c r="DB509" t="s">
        <v>3589</v>
      </c>
      <c r="DC509" t="s">
        <v>363</v>
      </c>
      <c r="DD509" t="s">
        <v>282</v>
      </c>
      <c r="DE509" t="s">
        <v>4169</v>
      </c>
    </row>
    <row r="510" spans="1:109" ht="11.25" customHeight="1">
      <c r="A510" s="1314" t="s">
        <v>231</v>
      </c>
      <c r="B510" t="s">
        <v>231</v>
      </c>
      <c r="C510" t="s">
        <v>231</v>
      </c>
      <c r="D510" t="s">
        <v>231</v>
      </c>
      <c r="E510" t="s">
        <v>231</v>
      </c>
      <c r="F510" t="s">
        <v>231</v>
      </c>
      <c r="G510" t="s">
        <v>231</v>
      </c>
      <c r="H510" t="s">
        <v>231</v>
      </c>
      <c r="I510" t="s">
        <v>3521</v>
      </c>
      <c r="J510" t="s">
        <v>231</v>
      </c>
      <c r="K510" t="s">
        <v>231</v>
      </c>
      <c r="L510" t="s">
        <v>231</v>
      </c>
      <c r="M510" t="s">
        <v>231</v>
      </c>
      <c r="N510" t="s">
        <v>231</v>
      </c>
      <c r="O510" t="s">
        <v>231</v>
      </c>
      <c r="P510" t="s">
        <v>231</v>
      </c>
      <c r="Q510" t="s">
        <v>231</v>
      </c>
      <c r="R510" t="s">
        <v>3615</v>
      </c>
      <c r="S510" t="s">
        <v>231</v>
      </c>
      <c r="T510" t="s">
        <v>231</v>
      </c>
      <c r="U510" t="s">
        <v>101</v>
      </c>
      <c r="V510" t="s">
        <v>231</v>
      </c>
      <c r="W510" t="s">
        <v>231</v>
      </c>
      <c r="X510" t="s">
        <v>3523</v>
      </c>
      <c r="Y510" t="s">
        <v>231</v>
      </c>
      <c r="Z510" t="s">
        <v>160</v>
      </c>
      <c r="AA510" t="s">
        <v>151</v>
      </c>
      <c r="AB510" t="s">
        <v>151</v>
      </c>
      <c r="AC510" t="s">
        <v>2289</v>
      </c>
      <c r="AD510" t="s">
        <v>2289</v>
      </c>
      <c r="AE510" t="s">
        <v>2290</v>
      </c>
      <c r="AF510" t="s">
        <v>4782</v>
      </c>
      <c r="AG510" t="s">
        <v>4783</v>
      </c>
      <c r="AH510" t="s">
        <v>4785</v>
      </c>
      <c r="AI510" t="s">
        <v>3618</v>
      </c>
      <c r="AJ510" t="s">
        <v>3546</v>
      </c>
      <c r="AK510" t="s">
        <v>3716</v>
      </c>
      <c r="AL510" t="s">
        <v>3548</v>
      </c>
      <c r="AM510" t="s">
        <v>3531</v>
      </c>
      <c r="AN510" t="s">
        <v>3595</v>
      </c>
      <c r="AO510" t="s">
        <v>4786</v>
      </c>
      <c r="AP510" t="s">
        <v>231</v>
      </c>
      <c r="AQ510" t="s">
        <v>231</v>
      </c>
      <c r="AR510" t="s">
        <v>231</v>
      </c>
      <c r="AS510" t="s">
        <v>231</v>
      </c>
      <c r="AT510" t="s">
        <v>231</v>
      </c>
      <c r="AU510" t="s">
        <v>231</v>
      </c>
      <c r="AV510" t="s">
        <v>231</v>
      </c>
      <c r="AW510" t="s">
        <v>231</v>
      </c>
      <c r="AX510" t="s">
        <v>231</v>
      </c>
      <c r="AY510" t="s">
        <v>231</v>
      </c>
      <c r="AZ510" t="s">
        <v>231</v>
      </c>
      <c r="BA510" t="s">
        <v>231</v>
      </c>
      <c r="BB510" t="s">
        <v>231</v>
      </c>
      <c r="BC510" t="s">
        <v>231</v>
      </c>
      <c r="BD510" t="s">
        <v>231</v>
      </c>
      <c r="BE510" t="s">
        <v>231</v>
      </c>
      <c r="BF510" t="s">
        <v>231</v>
      </c>
      <c r="BG510" t="s">
        <v>231</v>
      </c>
      <c r="BH510" t="s">
        <v>231</v>
      </c>
      <c r="BI510" t="s">
        <v>231</v>
      </c>
      <c r="BJ510" t="s">
        <v>231</v>
      </c>
      <c r="BK510" t="s">
        <v>231</v>
      </c>
      <c r="BL510" t="s">
        <v>231</v>
      </c>
      <c r="BM510" t="s">
        <v>231</v>
      </c>
      <c r="BN510" t="s">
        <v>231</v>
      </c>
      <c r="BO510" t="s">
        <v>231</v>
      </c>
      <c r="BP510" t="s">
        <v>231</v>
      </c>
      <c r="BQ510" t="s">
        <v>231</v>
      </c>
      <c r="BR510" t="s">
        <v>231</v>
      </c>
      <c r="BS510" t="s">
        <v>231</v>
      </c>
      <c r="BT510" t="s">
        <v>231</v>
      </c>
      <c r="BU510" t="s">
        <v>231</v>
      </c>
      <c r="BV510" t="s">
        <v>231</v>
      </c>
      <c r="BW510" t="s">
        <v>231</v>
      </c>
      <c r="BX510" t="s">
        <v>231</v>
      </c>
      <c r="BY510" t="s">
        <v>231</v>
      </c>
      <c r="BZ510" t="s">
        <v>231</v>
      </c>
      <c r="CA510" t="s">
        <v>231</v>
      </c>
      <c r="CB510" t="s">
        <v>231</v>
      </c>
      <c r="CC510" t="s">
        <v>231</v>
      </c>
      <c r="CD510" t="s">
        <v>231</v>
      </c>
      <c r="CE510" t="s">
        <v>231</v>
      </c>
      <c r="CF510" t="s">
        <v>231</v>
      </c>
      <c r="CG510" t="s">
        <v>231</v>
      </c>
      <c r="CH510" t="s">
        <v>231</v>
      </c>
      <c r="CI510" t="s">
        <v>231</v>
      </c>
      <c r="CJ510" t="s">
        <v>231</v>
      </c>
      <c r="CK510" t="s">
        <v>231</v>
      </c>
      <c r="CL510" t="s">
        <v>231</v>
      </c>
      <c r="CM510" t="s">
        <v>231</v>
      </c>
      <c r="CN510" t="s">
        <v>231</v>
      </c>
      <c r="CO510" t="s">
        <v>231</v>
      </c>
      <c r="CP510" t="s">
        <v>231</v>
      </c>
      <c r="CQ510" t="s">
        <v>231</v>
      </c>
      <c r="CR510" t="s">
        <v>231</v>
      </c>
      <c r="CS510" t="s">
        <v>231</v>
      </c>
      <c r="CT510" t="s">
        <v>3534</v>
      </c>
      <c r="CU510" t="s">
        <v>3535</v>
      </c>
      <c r="CV510" t="s">
        <v>3536</v>
      </c>
      <c r="CW510" t="s">
        <v>3589</v>
      </c>
      <c r="CX510" t="s">
        <v>223</v>
      </c>
      <c r="CY510" t="s">
        <v>3536</v>
      </c>
      <c r="CZ510" t="s">
        <v>3590</v>
      </c>
      <c r="DA510" t="s">
        <v>3591</v>
      </c>
      <c r="DB510" t="s">
        <v>3589</v>
      </c>
      <c r="DC510" t="s">
        <v>363</v>
      </c>
      <c r="DD510" t="s">
        <v>282</v>
      </c>
      <c r="DE510" t="s">
        <v>4787</v>
      </c>
    </row>
    <row r="511" spans="1:109" ht="11.25" customHeight="1">
      <c r="A511" s="1314" t="s">
        <v>231</v>
      </c>
      <c r="B511" t="s">
        <v>231</v>
      </c>
      <c r="C511" t="s">
        <v>231</v>
      </c>
      <c r="D511" t="s">
        <v>231</v>
      </c>
      <c r="E511" t="s">
        <v>231</v>
      </c>
      <c r="F511" t="s">
        <v>231</v>
      </c>
      <c r="G511" t="s">
        <v>231</v>
      </c>
      <c r="H511" t="s">
        <v>231</v>
      </c>
      <c r="I511" t="s">
        <v>3521</v>
      </c>
      <c r="J511" t="s">
        <v>231</v>
      </c>
      <c r="K511" t="s">
        <v>231</v>
      </c>
      <c r="L511" t="s">
        <v>231</v>
      </c>
      <c r="M511" t="s">
        <v>231</v>
      </c>
      <c r="N511" t="s">
        <v>231</v>
      </c>
      <c r="O511" t="s">
        <v>231</v>
      </c>
      <c r="P511" t="s">
        <v>231</v>
      </c>
      <c r="Q511" t="s">
        <v>231</v>
      </c>
      <c r="R511" t="s">
        <v>5002</v>
      </c>
      <c r="S511" t="s">
        <v>231</v>
      </c>
      <c r="T511" t="s">
        <v>231</v>
      </c>
      <c r="U511" t="s">
        <v>101</v>
      </c>
      <c r="V511" t="s">
        <v>231</v>
      </c>
      <c r="W511" t="s">
        <v>231</v>
      </c>
      <c r="X511" t="s">
        <v>3628</v>
      </c>
      <c r="Y511" t="s">
        <v>231</v>
      </c>
      <c r="Z511" t="s">
        <v>151</v>
      </c>
      <c r="AA511" t="s">
        <v>151</v>
      </c>
      <c r="AB511" t="s">
        <v>160</v>
      </c>
      <c r="AC511" t="s">
        <v>2289</v>
      </c>
      <c r="AD511" t="s">
        <v>2289</v>
      </c>
      <c r="AE511" t="s">
        <v>2290</v>
      </c>
      <c r="AF511" t="s">
        <v>4782</v>
      </c>
      <c r="AG511" t="s">
        <v>4783</v>
      </c>
      <c r="AH511" t="s">
        <v>3618</v>
      </c>
      <c r="AI511" t="s">
        <v>3618</v>
      </c>
      <c r="AJ511" t="s">
        <v>231</v>
      </c>
      <c r="AK511" t="s">
        <v>231</v>
      </c>
      <c r="AL511" t="s">
        <v>231</v>
      </c>
      <c r="AM511" t="s">
        <v>231</v>
      </c>
      <c r="AN511" t="s">
        <v>231</v>
      </c>
      <c r="AO511" t="s">
        <v>231</v>
      </c>
      <c r="AP511" t="s">
        <v>231</v>
      </c>
      <c r="AQ511" t="s">
        <v>231</v>
      </c>
      <c r="AR511" t="s">
        <v>231</v>
      </c>
      <c r="AS511" t="s">
        <v>231</v>
      </c>
      <c r="AT511" t="s">
        <v>231</v>
      </c>
      <c r="AU511" t="s">
        <v>231</v>
      </c>
      <c r="AV511" t="s">
        <v>231</v>
      </c>
      <c r="AW511" t="s">
        <v>231</v>
      </c>
      <c r="AX511" t="s">
        <v>231</v>
      </c>
      <c r="AY511" t="s">
        <v>231</v>
      </c>
      <c r="AZ511" t="s">
        <v>231</v>
      </c>
      <c r="BA511" t="s">
        <v>231</v>
      </c>
      <c r="BB511" t="s">
        <v>231</v>
      </c>
      <c r="BC511" t="s">
        <v>231</v>
      </c>
      <c r="BD511" t="s">
        <v>231</v>
      </c>
      <c r="BE511" t="s">
        <v>3619</v>
      </c>
      <c r="BF511" t="s">
        <v>3586</v>
      </c>
      <c r="BG511" t="s">
        <v>111</v>
      </c>
      <c r="BH511" t="s">
        <v>3632</v>
      </c>
      <c r="BI511" t="s">
        <v>122</v>
      </c>
      <c r="BJ511" t="s">
        <v>231</v>
      </c>
      <c r="BK511" t="s">
        <v>3651</v>
      </c>
      <c r="BL511" t="s">
        <v>2289</v>
      </c>
      <c r="BM511" t="s">
        <v>2289</v>
      </c>
      <c r="BN511" t="s">
        <v>3707</v>
      </c>
      <c r="BO511" t="s">
        <v>4782</v>
      </c>
      <c r="BP511" t="s">
        <v>5003</v>
      </c>
      <c r="BQ511" t="s">
        <v>3618</v>
      </c>
      <c r="BR511" t="s">
        <v>3618</v>
      </c>
      <c r="BS511" t="s">
        <v>231</v>
      </c>
      <c r="BT511" t="s">
        <v>3694</v>
      </c>
      <c r="BU511" t="s">
        <v>5004</v>
      </c>
      <c r="BV511" t="s">
        <v>5004</v>
      </c>
      <c r="BW511" t="s">
        <v>3641</v>
      </c>
      <c r="BX511" t="s">
        <v>3641</v>
      </c>
      <c r="BY511" t="s">
        <v>3641</v>
      </c>
      <c r="BZ511" t="s">
        <v>3641</v>
      </c>
      <c r="CA511" t="s">
        <v>3641</v>
      </c>
      <c r="CB511" t="s">
        <v>231</v>
      </c>
      <c r="CC511" t="s">
        <v>231</v>
      </c>
      <c r="CD511" t="s">
        <v>231</v>
      </c>
      <c r="CE511" t="s">
        <v>231</v>
      </c>
      <c r="CF511" t="s">
        <v>231</v>
      </c>
      <c r="CG511" t="s">
        <v>3641</v>
      </c>
      <c r="CH511" t="s">
        <v>231</v>
      </c>
      <c r="CI511" t="s">
        <v>231</v>
      </c>
      <c r="CJ511" t="s">
        <v>231</v>
      </c>
      <c r="CK511" t="s">
        <v>231</v>
      </c>
      <c r="CL511" t="s">
        <v>231</v>
      </c>
      <c r="CM511" t="s">
        <v>5004</v>
      </c>
      <c r="CN511" t="s">
        <v>5004</v>
      </c>
      <c r="CO511" t="s">
        <v>231</v>
      </c>
      <c r="CP511" t="s">
        <v>231</v>
      </c>
      <c r="CQ511" t="s">
        <v>231</v>
      </c>
      <c r="CR511" t="s">
        <v>231</v>
      </c>
      <c r="CS511" t="s">
        <v>3710</v>
      </c>
      <c r="CT511" t="s">
        <v>3534</v>
      </c>
      <c r="CU511" t="s">
        <v>3535</v>
      </c>
      <c r="CV511" t="s">
        <v>3536</v>
      </c>
      <c r="CW511" t="s">
        <v>3589</v>
      </c>
      <c r="CX511" t="s">
        <v>223</v>
      </c>
      <c r="CY511" t="s">
        <v>3536</v>
      </c>
      <c r="CZ511" t="s">
        <v>3590</v>
      </c>
      <c r="DA511" t="s">
        <v>3591</v>
      </c>
      <c r="DB511" t="s">
        <v>3589</v>
      </c>
      <c r="DC511" t="s">
        <v>363</v>
      </c>
      <c r="DD511" t="s">
        <v>282</v>
      </c>
      <c r="DE511" t="s">
        <v>5005</v>
      </c>
    </row>
    <row r="512" spans="1:109" ht="11.25" customHeight="1">
      <c r="A512" s="1314" t="s">
        <v>231</v>
      </c>
      <c r="B512" t="s">
        <v>231</v>
      </c>
      <c r="C512" t="s">
        <v>231</v>
      </c>
      <c r="D512" t="s">
        <v>231</v>
      </c>
      <c r="E512" t="s">
        <v>231</v>
      </c>
      <c r="F512" t="s">
        <v>231</v>
      </c>
      <c r="G512" t="s">
        <v>231</v>
      </c>
      <c r="H512" t="s">
        <v>231</v>
      </c>
      <c r="I512" t="s">
        <v>3521</v>
      </c>
      <c r="J512" t="s">
        <v>231</v>
      </c>
      <c r="K512" t="s">
        <v>231</v>
      </c>
      <c r="L512" t="s">
        <v>231</v>
      </c>
      <c r="M512" t="s">
        <v>231</v>
      </c>
      <c r="N512" t="s">
        <v>231</v>
      </c>
      <c r="O512" t="s">
        <v>231</v>
      </c>
      <c r="P512" t="s">
        <v>231</v>
      </c>
      <c r="Q512" t="s">
        <v>231</v>
      </c>
      <c r="R512" t="s">
        <v>3615</v>
      </c>
      <c r="S512" t="s">
        <v>231</v>
      </c>
      <c r="T512" t="s">
        <v>231</v>
      </c>
      <c r="U512" t="s">
        <v>101</v>
      </c>
      <c r="V512" t="s">
        <v>231</v>
      </c>
      <c r="W512" t="s">
        <v>231</v>
      </c>
      <c r="X512" t="s">
        <v>3523</v>
      </c>
      <c r="Y512" t="s">
        <v>231</v>
      </c>
      <c r="Z512" t="s">
        <v>160</v>
      </c>
      <c r="AA512" t="s">
        <v>151</v>
      </c>
      <c r="AB512" t="s">
        <v>151</v>
      </c>
      <c r="AC512" t="s">
        <v>2289</v>
      </c>
      <c r="AD512" t="s">
        <v>2289</v>
      </c>
      <c r="AE512" t="s">
        <v>2290</v>
      </c>
      <c r="AF512" t="s">
        <v>4782</v>
      </c>
      <c r="AG512" t="s">
        <v>4783</v>
      </c>
      <c r="AH512" t="s">
        <v>4174</v>
      </c>
      <c r="AI512" t="s">
        <v>3618</v>
      </c>
      <c r="AJ512" t="s">
        <v>3546</v>
      </c>
      <c r="AK512" t="s">
        <v>3586</v>
      </c>
      <c r="AL512" t="s">
        <v>3548</v>
      </c>
      <c r="AM512" t="s">
        <v>3531</v>
      </c>
      <c r="AN512" t="s">
        <v>3587</v>
      </c>
      <c r="AO512" t="s">
        <v>3550</v>
      </c>
      <c r="AP512" t="s">
        <v>231</v>
      </c>
      <c r="AQ512" t="s">
        <v>231</v>
      </c>
      <c r="AR512" t="s">
        <v>231</v>
      </c>
      <c r="AS512" t="s">
        <v>231</v>
      </c>
      <c r="AT512" t="s">
        <v>231</v>
      </c>
      <c r="AU512" t="s">
        <v>231</v>
      </c>
      <c r="AV512" t="s">
        <v>231</v>
      </c>
      <c r="AW512" t="s">
        <v>231</v>
      </c>
      <c r="AX512" t="s">
        <v>231</v>
      </c>
      <c r="AY512" t="s">
        <v>231</v>
      </c>
      <c r="AZ512" t="s">
        <v>231</v>
      </c>
      <c r="BA512" t="s">
        <v>231</v>
      </c>
      <c r="BB512" t="s">
        <v>231</v>
      </c>
      <c r="BC512" t="s">
        <v>231</v>
      </c>
      <c r="BD512" t="s">
        <v>231</v>
      </c>
      <c r="BE512" t="s">
        <v>231</v>
      </c>
      <c r="BF512" t="s">
        <v>231</v>
      </c>
      <c r="BG512" t="s">
        <v>231</v>
      </c>
      <c r="BH512" t="s">
        <v>231</v>
      </c>
      <c r="BI512" t="s">
        <v>231</v>
      </c>
      <c r="BJ512" t="s">
        <v>231</v>
      </c>
      <c r="BK512" t="s">
        <v>231</v>
      </c>
      <c r="BL512" t="s">
        <v>231</v>
      </c>
      <c r="BM512" t="s">
        <v>231</v>
      </c>
      <c r="BN512" t="s">
        <v>231</v>
      </c>
      <c r="BO512" t="s">
        <v>231</v>
      </c>
      <c r="BP512" t="s">
        <v>231</v>
      </c>
      <c r="BQ512" t="s">
        <v>231</v>
      </c>
      <c r="BR512" t="s">
        <v>231</v>
      </c>
      <c r="BS512" t="s">
        <v>231</v>
      </c>
      <c r="BT512" t="s">
        <v>231</v>
      </c>
      <c r="BU512" t="s">
        <v>231</v>
      </c>
      <c r="BV512" t="s">
        <v>231</v>
      </c>
      <c r="BW512" t="s">
        <v>231</v>
      </c>
      <c r="BX512" t="s">
        <v>231</v>
      </c>
      <c r="BY512" t="s">
        <v>231</v>
      </c>
      <c r="BZ512" t="s">
        <v>231</v>
      </c>
      <c r="CA512" t="s">
        <v>231</v>
      </c>
      <c r="CB512" t="s">
        <v>231</v>
      </c>
      <c r="CC512" t="s">
        <v>231</v>
      </c>
      <c r="CD512" t="s">
        <v>231</v>
      </c>
      <c r="CE512" t="s">
        <v>231</v>
      </c>
      <c r="CF512" t="s">
        <v>231</v>
      </c>
      <c r="CG512" t="s">
        <v>231</v>
      </c>
      <c r="CH512" t="s">
        <v>231</v>
      </c>
      <c r="CI512" t="s">
        <v>231</v>
      </c>
      <c r="CJ512" t="s">
        <v>231</v>
      </c>
      <c r="CK512" t="s">
        <v>231</v>
      </c>
      <c r="CL512" t="s">
        <v>231</v>
      </c>
      <c r="CM512" t="s">
        <v>231</v>
      </c>
      <c r="CN512" t="s">
        <v>231</v>
      </c>
      <c r="CO512" t="s">
        <v>231</v>
      </c>
      <c r="CP512" t="s">
        <v>231</v>
      </c>
      <c r="CQ512" t="s">
        <v>231</v>
      </c>
      <c r="CR512" t="s">
        <v>231</v>
      </c>
      <c r="CS512" t="s">
        <v>231</v>
      </c>
      <c r="CT512" t="s">
        <v>3534</v>
      </c>
      <c r="CU512" t="s">
        <v>3535</v>
      </c>
      <c r="CV512" t="s">
        <v>3536</v>
      </c>
      <c r="CW512" t="s">
        <v>3589</v>
      </c>
      <c r="CX512" t="s">
        <v>223</v>
      </c>
      <c r="CY512" t="s">
        <v>3536</v>
      </c>
      <c r="CZ512" t="s">
        <v>3590</v>
      </c>
      <c r="DA512" t="s">
        <v>3591</v>
      </c>
      <c r="DB512" t="s">
        <v>3589</v>
      </c>
      <c r="DC512" t="s">
        <v>363</v>
      </c>
      <c r="DD512" t="s">
        <v>282</v>
      </c>
      <c r="DE512" t="s">
        <v>5006</v>
      </c>
    </row>
    <row r="513" spans="1:109" ht="11.25" customHeight="1">
      <c r="A513" s="1314" t="s">
        <v>231</v>
      </c>
      <c r="B513" t="s">
        <v>231</v>
      </c>
      <c r="C513" t="s">
        <v>231</v>
      </c>
      <c r="D513" t="s">
        <v>231</v>
      </c>
      <c r="E513" t="s">
        <v>231</v>
      </c>
      <c r="F513" t="s">
        <v>231</v>
      </c>
      <c r="G513" t="s">
        <v>231</v>
      </c>
      <c r="H513" t="s">
        <v>231</v>
      </c>
      <c r="I513" t="s">
        <v>3521</v>
      </c>
      <c r="J513" t="s">
        <v>231</v>
      </c>
      <c r="K513" t="s">
        <v>231</v>
      </c>
      <c r="L513" t="s">
        <v>231</v>
      </c>
      <c r="M513" t="s">
        <v>231</v>
      </c>
      <c r="N513" t="s">
        <v>231</v>
      </c>
      <c r="O513" t="s">
        <v>231</v>
      </c>
      <c r="P513" t="s">
        <v>231</v>
      </c>
      <c r="Q513" t="s">
        <v>231</v>
      </c>
      <c r="R513" t="s">
        <v>4843</v>
      </c>
      <c r="S513" t="s">
        <v>231</v>
      </c>
      <c r="T513" t="s">
        <v>231</v>
      </c>
      <c r="U513" t="s">
        <v>101</v>
      </c>
      <c r="V513" t="s">
        <v>231</v>
      </c>
      <c r="W513" t="s">
        <v>231</v>
      </c>
      <c r="X513" t="s">
        <v>3628</v>
      </c>
      <c r="Y513" t="s">
        <v>231</v>
      </c>
      <c r="Z513" t="s">
        <v>151</v>
      </c>
      <c r="AA513" t="s">
        <v>151</v>
      </c>
      <c r="AB513" t="s">
        <v>160</v>
      </c>
      <c r="AC513" t="s">
        <v>2287</v>
      </c>
      <c r="AD513" t="s">
        <v>2287</v>
      </c>
      <c r="AE513" t="s">
        <v>2288</v>
      </c>
      <c r="AF513" t="s">
        <v>4788</v>
      </c>
      <c r="AG513" t="s">
        <v>4789</v>
      </c>
      <c r="AH513" t="s">
        <v>3618</v>
      </c>
      <c r="AI513" t="s">
        <v>3618</v>
      </c>
      <c r="AJ513" t="s">
        <v>231</v>
      </c>
      <c r="AK513" t="s">
        <v>231</v>
      </c>
      <c r="AL513" t="s">
        <v>231</v>
      </c>
      <c r="AM513" t="s">
        <v>231</v>
      </c>
      <c r="AN513" t="s">
        <v>231</v>
      </c>
      <c r="AO513" t="s">
        <v>231</v>
      </c>
      <c r="AP513" t="s">
        <v>231</v>
      </c>
      <c r="AQ513" t="s">
        <v>231</v>
      </c>
      <c r="AR513" t="s">
        <v>231</v>
      </c>
      <c r="AS513" t="s">
        <v>231</v>
      </c>
      <c r="AT513" t="s">
        <v>231</v>
      </c>
      <c r="AU513" t="s">
        <v>231</v>
      </c>
      <c r="AV513" t="s">
        <v>231</v>
      </c>
      <c r="AW513" t="s">
        <v>231</v>
      </c>
      <c r="AX513" t="s">
        <v>231</v>
      </c>
      <c r="AY513" t="s">
        <v>231</v>
      </c>
      <c r="AZ513" t="s">
        <v>231</v>
      </c>
      <c r="BA513" t="s">
        <v>231</v>
      </c>
      <c r="BB513" t="s">
        <v>231</v>
      </c>
      <c r="BC513" t="s">
        <v>231</v>
      </c>
      <c r="BD513" t="s">
        <v>231</v>
      </c>
      <c r="BE513" t="s">
        <v>4568</v>
      </c>
      <c r="BF513" t="s">
        <v>4467</v>
      </c>
      <c r="BG513" t="s">
        <v>111</v>
      </c>
      <c r="BH513" t="s">
        <v>3632</v>
      </c>
      <c r="BI513" t="s">
        <v>122</v>
      </c>
      <c r="BJ513" t="s">
        <v>231</v>
      </c>
      <c r="BK513" t="s">
        <v>3651</v>
      </c>
      <c r="BL513" t="s">
        <v>2287</v>
      </c>
      <c r="BM513" t="s">
        <v>2287</v>
      </c>
      <c r="BN513" t="s">
        <v>3842</v>
      </c>
      <c r="BO513" t="s">
        <v>4788</v>
      </c>
      <c r="BP513" t="s">
        <v>4844</v>
      </c>
      <c r="BQ513" t="s">
        <v>3618</v>
      </c>
      <c r="BR513" t="s">
        <v>3618</v>
      </c>
      <c r="BS513" t="s">
        <v>231</v>
      </c>
      <c r="BT513" t="s">
        <v>3694</v>
      </c>
      <c r="BU513" t="s">
        <v>4845</v>
      </c>
      <c r="BV513" t="s">
        <v>4845</v>
      </c>
      <c r="BW513" t="s">
        <v>3641</v>
      </c>
      <c r="BX513" t="s">
        <v>3641</v>
      </c>
      <c r="BY513" t="s">
        <v>3641</v>
      </c>
      <c r="BZ513" t="s">
        <v>3641</v>
      </c>
      <c r="CA513" t="s">
        <v>3641</v>
      </c>
      <c r="CB513" t="s">
        <v>231</v>
      </c>
      <c r="CC513" t="s">
        <v>231</v>
      </c>
      <c r="CD513" t="s">
        <v>231</v>
      </c>
      <c r="CE513" t="s">
        <v>231</v>
      </c>
      <c r="CF513" t="s">
        <v>231</v>
      </c>
      <c r="CG513" t="s">
        <v>3641</v>
      </c>
      <c r="CH513" t="s">
        <v>231</v>
      </c>
      <c r="CI513" t="s">
        <v>231</v>
      </c>
      <c r="CJ513" t="s">
        <v>231</v>
      </c>
      <c r="CK513" t="s">
        <v>231</v>
      </c>
      <c r="CL513" t="s">
        <v>231</v>
      </c>
      <c r="CM513" t="s">
        <v>4845</v>
      </c>
      <c r="CN513" t="s">
        <v>4845</v>
      </c>
      <c r="CO513" t="s">
        <v>231</v>
      </c>
      <c r="CP513" t="s">
        <v>231</v>
      </c>
      <c r="CQ513" t="s">
        <v>231</v>
      </c>
      <c r="CR513" t="s">
        <v>231</v>
      </c>
      <c r="CS513" t="s">
        <v>3529</v>
      </c>
      <c r="CT513" t="s">
        <v>3534</v>
      </c>
      <c r="CU513" t="s">
        <v>3535</v>
      </c>
      <c r="CV513" t="s">
        <v>3536</v>
      </c>
      <c r="CW513" t="s">
        <v>3623</v>
      </c>
      <c r="CX513" t="s">
        <v>223</v>
      </c>
      <c r="CY513" t="s">
        <v>3536</v>
      </c>
      <c r="CZ513" t="s">
        <v>3624</v>
      </c>
      <c r="DA513" t="s">
        <v>3625</v>
      </c>
      <c r="DB513" t="s">
        <v>3623</v>
      </c>
      <c r="DC513" t="s">
        <v>363</v>
      </c>
      <c r="DD513" t="s">
        <v>282</v>
      </c>
      <c r="DE513" t="s">
        <v>4846</v>
      </c>
    </row>
    <row r="514" spans="1:109" ht="11.25" customHeight="1">
      <c r="A514" s="1314" t="s">
        <v>231</v>
      </c>
      <c r="B514" t="s">
        <v>231</v>
      </c>
      <c r="C514" t="s">
        <v>231</v>
      </c>
      <c r="D514" t="s">
        <v>231</v>
      </c>
      <c r="E514" t="s">
        <v>231</v>
      </c>
      <c r="F514" t="s">
        <v>231</v>
      </c>
      <c r="G514" t="s">
        <v>231</v>
      </c>
      <c r="H514" t="s">
        <v>231</v>
      </c>
      <c r="I514" t="s">
        <v>3521</v>
      </c>
      <c r="J514" t="s">
        <v>231</v>
      </c>
      <c r="K514" t="s">
        <v>231</v>
      </c>
      <c r="L514" t="s">
        <v>231</v>
      </c>
      <c r="M514" t="s">
        <v>231</v>
      </c>
      <c r="N514" t="s">
        <v>231</v>
      </c>
      <c r="O514" t="s">
        <v>231</v>
      </c>
      <c r="P514" t="s">
        <v>231</v>
      </c>
      <c r="Q514" t="s">
        <v>231</v>
      </c>
      <c r="R514" t="s">
        <v>3615</v>
      </c>
      <c r="S514" t="s">
        <v>231</v>
      </c>
      <c r="T514" t="s">
        <v>231</v>
      </c>
      <c r="U514" t="s">
        <v>101</v>
      </c>
      <c r="V514" t="s">
        <v>231</v>
      </c>
      <c r="W514" t="s">
        <v>231</v>
      </c>
      <c r="X514" t="s">
        <v>3523</v>
      </c>
      <c r="Y514" t="s">
        <v>231</v>
      </c>
      <c r="Z514" t="s">
        <v>160</v>
      </c>
      <c r="AA514" t="s">
        <v>151</v>
      </c>
      <c r="AB514" t="s">
        <v>151</v>
      </c>
      <c r="AC514" t="s">
        <v>2287</v>
      </c>
      <c r="AD514" t="s">
        <v>2287</v>
      </c>
      <c r="AE514" t="s">
        <v>2288</v>
      </c>
      <c r="AF514" t="s">
        <v>5009</v>
      </c>
      <c r="AG514" t="s">
        <v>5010</v>
      </c>
      <c r="AH514" t="s">
        <v>3618</v>
      </c>
      <c r="AI514" t="s">
        <v>3618</v>
      </c>
      <c r="AJ514" t="s">
        <v>4568</v>
      </c>
      <c r="AK514" t="s">
        <v>3620</v>
      </c>
      <c r="AL514" t="s">
        <v>3548</v>
      </c>
      <c r="AM514" t="s">
        <v>3531</v>
      </c>
      <c r="AN514" t="s">
        <v>3621</v>
      </c>
      <c r="AO514" t="s">
        <v>3622</v>
      </c>
      <c r="AP514" t="s">
        <v>231</v>
      </c>
      <c r="AQ514" t="s">
        <v>231</v>
      </c>
      <c r="AR514" t="s">
        <v>231</v>
      </c>
      <c r="AS514" t="s">
        <v>231</v>
      </c>
      <c r="AT514" t="s">
        <v>231</v>
      </c>
      <c r="AU514" t="s">
        <v>231</v>
      </c>
      <c r="AV514" t="s">
        <v>231</v>
      </c>
      <c r="AW514" t="s">
        <v>231</v>
      </c>
      <c r="AX514" t="s">
        <v>231</v>
      </c>
      <c r="AY514" t="s">
        <v>231</v>
      </c>
      <c r="AZ514" t="s">
        <v>231</v>
      </c>
      <c r="BA514" t="s">
        <v>231</v>
      </c>
      <c r="BB514" t="s">
        <v>231</v>
      </c>
      <c r="BC514" t="s">
        <v>231</v>
      </c>
      <c r="BD514" t="s">
        <v>231</v>
      </c>
      <c r="BE514" t="s">
        <v>231</v>
      </c>
      <c r="BF514" t="s">
        <v>231</v>
      </c>
      <c r="BG514" t="s">
        <v>231</v>
      </c>
      <c r="BH514" t="s">
        <v>231</v>
      </c>
      <c r="BI514" t="s">
        <v>231</v>
      </c>
      <c r="BJ514" t="s">
        <v>231</v>
      </c>
      <c r="BK514" t="s">
        <v>231</v>
      </c>
      <c r="BL514" t="s">
        <v>231</v>
      </c>
      <c r="BM514" t="s">
        <v>231</v>
      </c>
      <c r="BN514" t="s">
        <v>231</v>
      </c>
      <c r="BO514" t="s">
        <v>231</v>
      </c>
      <c r="BP514" t="s">
        <v>231</v>
      </c>
      <c r="BQ514" t="s">
        <v>231</v>
      </c>
      <c r="BR514" t="s">
        <v>231</v>
      </c>
      <c r="BS514" t="s">
        <v>231</v>
      </c>
      <c r="BT514" t="s">
        <v>231</v>
      </c>
      <c r="BU514" t="s">
        <v>231</v>
      </c>
      <c r="BV514" t="s">
        <v>231</v>
      </c>
      <c r="BW514" t="s">
        <v>231</v>
      </c>
      <c r="BX514" t="s">
        <v>231</v>
      </c>
      <c r="BY514" t="s">
        <v>231</v>
      </c>
      <c r="BZ514" t="s">
        <v>231</v>
      </c>
      <c r="CA514" t="s">
        <v>231</v>
      </c>
      <c r="CB514" t="s">
        <v>231</v>
      </c>
      <c r="CC514" t="s">
        <v>231</v>
      </c>
      <c r="CD514" t="s">
        <v>231</v>
      </c>
      <c r="CE514" t="s">
        <v>231</v>
      </c>
      <c r="CF514" t="s">
        <v>231</v>
      </c>
      <c r="CG514" t="s">
        <v>231</v>
      </c>
      <c r="CH514" t="s">
        <v>231</v>
      </c>
      <c r="CI514" t="s">
        <v>231</v>
      </c>
      <c r="CJ514" t="s">
        <v>231</v>
      </c>
      <c r="CK514" t="s">
        <v>231</v>
      </c>
      <c r="CL514" t="s">
        <v>231</v>
      </c>
      <c r="CM514" t="s">
        <v>231</v>
      </c>
      <c r="CN514" t="s">
        <v>231</v>
      </c>
      <c r="CO514" t="s">
        <v>231</v>
      </c>
      <c r="CP514" t="s">
        <v>231</v>
      </c>
      <c r="CQ514" t="s">
        <v>231</v>
      </c>
      <c r="CR514" t="s">
        <v>231</v>
      </c>
      <c r="CS514" t="s">
        <v>231</v>
      </c>
      <c r="CT514" t="s">
        <v>3534</v>
      </c>
      <c r="CU514" t="s">
        <v>3535</v>
      </c>
      <c r="CV514" t="s">
        <v>3536</v>
      </c>
      <c r="CW514" t="s">
        <v>3623</v>
      </c>
      <c r="CX514" t="s">
        <v>223</v>
      </c>
      <c r="CY514" t="s">
        <v>3536</v>
      </c>
      <c r="CZ514" t="s">
        <v>3624</v>
      </c>
      <c r="DA514" t="s">
        <v>3625</v>
      </c>
      <c r="DB514" t="s">
        <v>3623</v>
      </c>
      <c r="DC514" t="s">
        <v>363</v>
      </c>
      <c r="DD514" t="s">
        <v>282</v>
      </c>
      <c r="DE514" t="s">
        <v>5011</v>
      </c>
    </row>
    <row r="515" spans="1:109" ht="11.25" customHeight="1">
      <c r="A515" s="1314" t="s">
        <v>231</v>
      </c>
      <c r="B515" t="s">
        <v>231</v>
      </c>
      <c r="C515" t="s">
        <v>231</v>
      </c>
      <c r="D515" t="s">
        <v>231</v>
      </c>
      <c r="E515" t="s">
        <v>231</v>
      </c>
      <c r="F515" t="s">
        <v>231</v>
      </c>
      <c r="G515" t="s">
        <v>231</v>
      </c>
      <c r="H515" t="s">
        <v>231</v>
      </c>
      <c r="I515" t="s">
        <v>3521</v>
      </c>
      <c r="J515" t="s">
        <v>231</v>
      </c>
      <c r="K515" t="s">
        <v>231</v>
      </c>
      <c r="L515" t="s">
        <v>231</v>
      </c>
      <c r="M515" t="s">
        <v>231</v>
      </c>
      <c r="N515" t="s">
        <v>231</v>
      </c>
      <c r="O515" t="s">
        <v>231</v>
      </c>
      <c r="P515" t="s">
        <v>231</v>
      </c>
      <c r="Q515" t="s">
        <v>231</v>
      </c>
      <c r="R515" t="s">
        <v>5012</v>
      </c>
      <c r="S515" t="s">
        <v>231</v>
      </c>
      <c r="T515" t="s">
        <v>231</v>
      </c>
      <c r="U515" t="s">
        <v>101</v>
      </c>
      <c r="V515" t="s">
        <v>231</v>
      </c>
      <c r="W515" t="s">
        <v>231</v>
      </c>
      <c r="X515" t="s">
        <v>3628</v>
      </c>
      <c r="Y515" t="s">
        <v>231</v>
      </c>
      <c r="Z515" t="s">
        <v>151</v>
      </c>
      <c r="AA515" t="s">
        <v>151</v>
      </c>
      <c r="AB515" t="s">
        <v>160</v>
      </c>
      <c r="AC515" t="s">
        <v>2287</v>
      </c>
      <c r="AD515" t="s">
        <v>2287</v>
      </c>
      <c r="AE515" t="s">
        <v>2288</v>
      </c>
      <c r="AF515" t="s">
        <v>5009</v>
      </c>
      <c r="AG515" t="s">
        <v>5010</v>
      </c>
      <c r="AH515" t="s">
        <v>3618</v>
      </c>
      <c r="AI515" t="s">
        <v>3618</v>
      </c>
      <c r="AJ515" t="s">
        <v>231</v>
      </c>
      <c r="AK515" t="s">
        <v>231</v>
      </c>
      <c r="AL515" t="s">
        <v>231</v>
      </c>
      <c r="AM515" t="s">
        <v>231</v>
      </c>
      <c r="AN515" t="s">
        <v>231</v>
      </c>
      <c r="AO515" t="s">
        <v>231</v>
      </c>
      <c r="AP515" t="s">
        <v>231</v>
      </c>
      <c r="AQ515" t="s">
        <v>231</v>
      </c>
      <c r="AR515" t="s">
        <v>231</v>
      </c>
      <c r="AS515" t="s">
        <v>231</v>
      </c>
      <c r="AT515" t="s">
        <v>231</v>
      </c>
      <c r="AU515" t="s">
        <v>231</v>
      </c>
      <c r="AV515" t="s">
        <v>231</v>
      </c>
      <c r="AW515" t="s">
        <v>231</v>
      </c>
      <c r="AX515" t="s">
        <v>231</v>
      </c>
      <c r="AY515" t="s">
        <v>231</v>
      </c>
      <c r="AZ515" t="s">
        <v>231</v>
      </c>
      <c r="BA515" t="s">
        <v>231</v>
      </c>
      <c r="BB515" t="s">
        <v>231</v>
      </c>
      <c r="BC515" t="s">
        <v>231</v>
      </c>
      <c r="BD515" t="s">
        <v>231</v>
      </c>
      <c r="BE515" t="s">
        <v>4568</v>
      </c>
      <c r="BF515" t="s">
        <v>3620</v>
      </c>
      <c r="BG515" t="s">
        <v>111</v>
      </c>
      <c r="BH515" t="s">
        <v>3632</v>
      </c>
      <c r="BI515" t="s">
        <v>122</v>
      </c>
      <c r="BJ515" t="s">
        <v>231</v>
      </c>
      <c r="BK515" t="s">
        <v>3651</v>
      </c>
      <c r="BL515" t="s">
        <v>2287</v>
      </c>
      <c r="BM515" t="s">
        <v>2287</v>
      </c>
      <c r="BN515" t="s">
        <v>3842</v>
      </c>
      <c r="BO515" t="s">
        <v>5009</v>
      </c>
      <c r="BP515" t="s">
        <v>5013</v>
      </c>
      <c r="BQ515" t="s">
        <v>3618</v>
      </c>
      <c r="BR515" t="s">
        <v>3618</v>
      </c>
      <c r="BS515" t="s">
        <v>231</v>
      </c>
      <c r="BT515" t="s">
        <v>3694</v>
      </c>
      <c r="BU515" t="s">
        <v>5014</v>
      </c>
      <c r="BV515" t="s">
        <v>5014</v>
      </c>
      <c r="BW515" t="s">
        <v>3641</v>
      </c>
      <c r="BX515" t="s">
        <v>3641</v>
      </c>
      <c r="BY515" t="s">
        <v>3641</v>
      </c>
      <c r="BZ515" t="s">
        <v>3641</v>
      </c>
      <c r="CA515" t="s">
        <v>3641</v>
      </c>
      <c r="CB515" t="s">
        <v>231</v>
      </c>
      <c r="CC515" t="s">
        <v>231</v>
      </c>
      <c r="CD515" t="s">
        <v>231</v>
      </c>
      <c r="CE515" t="s">
        <v>231</v>
      </c>
      <c r="CF515" t="s">
        <v>231</v>
      </c>
      <c r="CG515" t="s">
        <v>3641</v>
      </c>
      <c r="CH515" t="s">
        <v>231</v>
      </c>
      <c r="CI515" t="s">
        <v>231</v>
      </c>
      <c r="CJ515" t="s">
        <v>231</v>
      </c>
      <c r="CK515" t="s">
        <v>231</v>
      </c>
      <c r="CL515" t="s">
        <v>231</v>
      </c>
      <c r="CM515" t="s">
        <v>5014</v>
      </c>
      <c r="CN515" t="s">
        <v>5014</v>
      </c>
      <c r="CO515" t="s">
        <v>231</v>
      </c>
      <c r="CP515" t="s">
        <v>231</v>
      </c>
      <c r="CQ515" t="s">
        <v>231</v>
      </c>
      <c r="CR515" t="s">
        <v>231</v>
      </c>
      <c r="CS515" t="s">
        <v>3529</v>
      </c>
      <c r="CT515" t="s">
        <v>3534</v>
      </c>
      <c r="CU515" t="s">
        <v>3535</v>
      </c>
      <c r="CV515" t="s">
        <v>3536</v>
      </c>
      <c r="CW515" t="s">
        <v>3623</v>
      </c>
      <c r="CX515" t="s">
        <v>223</v>
      </c>
      <c r="CY515" t="s">
        <v>3536</v>
      </c>
      <c r="CZ515" t="s">
        <v>3624</v>
      </c>
      <c r="DA515" t="s">
        <v>3625</v>
      </c>
      <c r="DB515" t="s">
        <v>3623</v>
      </c>
      <c r="DC515" t="s">
        <v>363</v>
      </c>
      <c r="DD515" t="s">
        <v>282</v>
      </c>
      <c r="DE515" t="s">
        <v>5011</v>
      </c>
    </row>
    <row r="516" spans="1:109" ht="11.25" customHeight="1">
      <c r="A516" s="1314" t="s">
        <v>231</v>
      </c>
      <c r="B516" t="s">
        <v>231</v>
      </c>
      <c r="C516" t="s">
        <v>231</v>
      </c>
      <c r="D516" t="s">
        <v>231</v>
      </c>
      <c r="E516" t="s">
        <v>231</v>
      </c>
      <c r="F516" t="s">
        <v>231</v>
      </c>
      <c r="G516" t="s">
        <v>231</v>
      </c>
      <c r="H516" t="s">
        <v>231</v>
      </c>
      <c r="I516" t="s">
        <v>3521</v>
      </c>
      <c r="J516" t="s">
        <v>231</v>
      </c>
      <c r="K516" t="s">
        <v>231</v>
      </c>
      <c r="L516" t="s">
        <v>231</v>
      </c>
      <c r="M516" t="s">
        <v>231</v>
      </c>
      <c r="N516" t="s">
        <v>231</v>
      </c>
      <c r="O516" t="s">
        <v>231</v>
      </c>
      <c r="P516" t="s">
        <v>231</v>
      </c>
      <c r="Q516" t="s">
        <v>231</v>
      </c>
      <c r="R516" t="s">
        <v>3685</v>
      </c>
      <c r="S516" t="s">
        <v>231</v>
      </c>
      <c r="T516" t="s">
        <v>231</v>
      </c>
      <c r="U516" t="s">
        <v>101</v>
      </c>
      <c r="V516" t="s">
        <v>231</v>
      </c>
      <c r="W516" t="s">
        <v>231</v>
      </c>
      <c r="X516" t="s">
        <v>3628</v>
      </c>
      <c r="Y516" t="s">
        <v>231</v>
      </c>
      <c r="Z516" t="s">
        <v>151</v>
      </c>
      <c r="AA516" t="s">
        <v>151</v>
      </c>
      <c r="AB516" t="s">
        <v>160</v>
      </c>
      <c r="AC516" t="s">
        <v>2283</v>
      </c>
      <c r="AD516" t="s">
        <v>2283</v>
      </c>
      <c r="AE516" t="s">
        <v>2284</v>
      </c>
      <c r="AF516" t="s">
        <v>3675</v>
      </c>
      <c r="AG516" t="s">
        <v>3676</v>
      </c>
      <c r="AH516" t="s">
        <v>3675</v>
      </c>
      <c r="AI516" t="s">
        <v>3688</v>
      </c>
      <c r="AJ516" t="s">
        <v>231</v>
      </c>
      <c r="AK516" t="s">
        <v>231</v>
      </c>
      <c r="AL516" t="s">
        <v>231</v>
      </c>
      <c r="AM516" t="s">
        <v>231</v>
      </c>
      <c r="AN516" t="s">
        <v>231</v>
      </c>
      <c r="AO516" t="s">
        <v>231</v>
      </c>
      <c r="AP516" t="s">
        <v>231</v>
      </c>
      <c r="AQ516" t="s">
        <v>231</v>
      </c>
      <c r="AR516" t="s">
        <v>231</v>
      </c>
      <c r="AS516" t="s">
        <v>231</v>
      </c>
      <c r="AT516" t="s">
        <v>231</v>
      </c>
      <c r="AU516" t="s">
        <v>231</v>
      </c>
      <c r="AV516" t="s">
        <v>231</v>
      </c>
      <c r="AW516" t="s">
        <v>231</v>
      </c>
      <c r="AX516" t="s">
        <v>231</v>
      </c>
      <c r="AY516" t="s">
        <v>231</v>
      </c>
      <c r="AZ516" t="s">
        <v>231</v>
      </c>
      <c r="BA516" t="s">
        <v>231</v>
      </c>
      <c r="BB516" t="s">
        <v>231</v>
      </c>
      <c r="BC516" t="s">
        <v>231</v>
      </c>
      <c r="BD516" t="s">
        <v>231</v>
      </c>
      <c r="BE516" t="s">
        <v>3689</v>
      </c>
      <c r="BF516" t="s">
        <v>3689</v>
      </c>
      <c r="BG516" t="s">
        <v>111</v>
      </c>
      <c r="BH516" t="s">
        <v>3632</v>
      </c>
      <c r="BI516" t="s">
        <v>122</v>
      </c>
      <c r="BJ516" t="s">
        <v>231</v>
      </c>
      <c r="BK516" t="s">
        <v>3651</v>
      </c>
      <c r="BL516" t="s">
        <v>2283</v>
      </c>
      <c r="BM516" t="s">
        <v>2283</v>
      </c>
      <c r="BN516" t="s">
        <v>3690</v>
      </c>
      <c r="BO516" t="s">
        <v>3675</v>
      </c>
      <c r="BP516" t="s">
        <v>4798</v>
      </c>
      <c r="BQ516" t="s">
        <v>3677</v>
      </c>
      <c r="BR516" t="s">
        <v>4799</v>
      </c>
      <c r="BS516" t="s">
        <v>231</v>
      </c>
      <c r="BT516" t="s">
        <v>3694</v>
      </c>
      <c r="BU516" t="s">
        <v>4800</v>
      </c>
      <c r="BV516" t="s">
        <v>4800</v>
      </c>
      <c r="BW516" t="s">
        <v>3641</v>
      </c>
      <c r="BX516" t="s">
        <v>3641</v>
      </c>
      <c r="BY516" t="s">
        <v>3641</v>
      </c>
      <c r="BZ516" t="s">
        <v>3641</v>
      </c>
      <c r="CA516" t="s">
        <v>3641</v>
      </c>
      <c r="CB516" t="s">
        <v>231</v>
      </c>
      <c r="CC516" t="s">
        <v>231</v>
      </c>
      <c r="CD516" t="s">
        <v>231</v>
      </c>
      <c r="CE516" t="s">
        <v>231</v>
      </c>
      <c r="CF516" t="s">
        <v>231</v>
      </c>
      <c r="CG516" t="s">
        <v>3641</v>
      </c>
      <c r="CH516" t="s">
        <v>231</v>
      </c>
      <c r="CI516" t="s">
        <v>231</v>
      </c>
      <c r="CJ516" t="s">
        <v>231</v>
      </c>
      <c r="CK516" t="s">
        <v>231</v>
      </c>
      <c r="CL516" t="s">
        <v>231</v>
      </c>
      <c r="CM516" t="s">
        <v>4800</v>
      </c>
      <c r="CN516" t="s">
        <v>4800</v>
      </c>
      <c r="CO516" t="s">
        <v>231</v>
      </c>
      <c r="CP516" t="s">
        <v>231</v>
      </c>
      <c r="CQ516" t="s">
        <v>231</v>
      </c>
      <c r="CR516" t="s">
        <v>231</v>
      </c>
      <c r="CS516" t="s">
        <v>3549</v>
      </c>
      <c r="CT516" t="s">
        <v>3534</v>
      </c>
      <c r="CU516" t="s">
        <v>3535</v>
      </c>
      <c r="CV516" t="s">
        <v>3536</v>
      </c>
      <c r="CW516" t="s">
        <v>3551</v>
      </c>
      <c r="CX516" t="s">
        <v>223</v>
      </c>
      <c r="CY516" t="s">
        <v>3536</v>
      </c>
      <c r="CZ516" t="s">
        <v>3552</v>
      </c>
      <c r="DA516" t="s">
        <v>3553</v>
      </c>
      <c r="DB516" t="s">
        <v>3551</v>
      </c>
      <c r="DC516" t="s">
        <v>363</v>
      </c>
      <c r="DD516" t="s">
        <v>282</v>
      </c>
      <c r="DE516" t="s">
        <v>4801</v>
      </c>
    </row>
    <row r="517" spans="1:109" ht="11.25" customHeight="1">
      <c r="A517" s="1314" t="s">
        <v>231</v>
      </c>
      <c r="B517" t="s">
        <v>231</v>
      </c>
      <c r="C517" t="s">
        <v>231</v>
      </c>
      <c r="D517" t="s">
        <v>231</v>
      </c>
      <c r="E517" t="s">
        <v>231</v>
      </c>
      <c r="F517" t="s">
        <v>231</v>
      </c>
      <c r="G517" t="s">
        <v>231</v>
      </c>
      <c r="H517" t="s">
        <v>231</v>
      </c>
      <c r="I517" t="s">
        <v>3521</v>
      </c>
      <c r="J517" t="s">
        <v>231</v>
      </c>
      <c r="K517" t="s">
        <v>231</v>
      </c>
      <c r="L517" t="s">
        <v>231</v>
      </c>
      <c r="M517" t="s">
        <v>231</v>
      </c>
      <c r="N517" t="s">
        <v>231</v>
      </c>
      <c r="O517" t="s">
        <v>231</v>
      </c>
      <c r="P517" t="s">
        <v>231</v>
      </c>
      <c r="Q517" t="s">
        <v>231</v>
      </c>
      <c r="R517" t="s">
        <v>5061</v>
      </c>
      <c r="S517" t="s">
        <v>231</v>
      </c>
      <c r="T517" t="s">
        <v>231</v>
      </c>
      <c r="U517" t="s">
        <v>101</v>
      </c>
      <c r="V517" t="s">
        <v>231</v>
      </c>
      <c r="W517" t="s">
        <v>231</v>
      </c>
      <c r="X517" t="s">
        <v>3523</v>
      </c>
      <c r="Y517" t="s">
        <v>231</v>
      </c>
      <c r="Z517" t="s">
        <v>160</v>
      </c>
      <c r="AA517" t="s">
        <v>151</v>
      </c>
      <c r="AB517" t="s">
        <v>151</v>
      </c>
      <c r="AC517" t="s">
        <v>343</v>
      </c>
      <c r="AD517" t="s">
        <v>343</v>
      </c>
      <c r="AE517" t="s">
        <v>344</v>
      </c>
      <c r="AF517" t="s">
        <v>3561</v>
      </c>
      <c r="AG517" t="s">
        <v>3562</v>
      </c>
      <c r="AH517" t="s">
        <v>3671</v>
      </c>
      <c r="AI517" t="s">
        <v>3575</v>
      </c>
      <c r="AJ517" t="s">
        <v>3646</v>
      </c>
      <c r="AK517" t="s">
        <v>3672</v>
      </c>
      <c r="AL517" t="s">
        <v>3566</v>
      </c>
      <c r="AM517" t="s">
        <v>3531</v>
      </c>
      <c r="AN517" t="s">
        <v>3673</v>
      </c>
      <c r="AO517" t="s">
        <v>3649</v>
      </c>
      <c r="AP517" t="s">
        <v>231</v>
      </c>
      <c r="AQ517" t="s">
        <v>231</v>
      </c>
      <c r="AR517" t="s">
        <v>231</v>
      </c>
      <c r="AS517" t="s">
        <v>231</v>
      </c>
      <c r="AT517" t="s">
        <v>231</v>
      </c>
      <c r="AU517" t="s">
        <v>231</v>
      </c>
      <c r="AV517" t="s">
        <v>231</v>
      </c>
      <c r="AW517" t="s">
        <v>231</v>
      </c>
      <c r="AX517" t="s">
        <v>231</v>
      </c>
      <c r="AY517" t="s">
        <v>231</v>
      </c>
      <c r="AZ517" t="s">
        <v>231</v>
      </c>
      <c r="BA517" t="s">
        <v>231</v>
      </c>
      <c r="BB517" t="s">
        <v>231</v>
      </c>
      <c r="BC517" t="s">
        <v>231</v>
      </c>
      <c r="BD517" t="s">
        <v>231</v>
      </c>
      <c r="BE517" t="s">
        <v>231</v>
      </c>
      <c r="BF517" t="s">
        <v>231</v>
      </c>
      <c r="BG517" t="s">
        <v>231</v>
      </c>
      <c r="BH517" t="s">
        <v>231</v>
      </c>
      <c r="BI517" t="s">
        <v>231</v>
      </c>
      <c r="BJ517" t="s">
        <v>231</v>
      </c>
      <c r="BK517" t="s">
        <v>231</v>
      </c>
      <c r="BL517" t="s">
        <v>231</v>
      </c>
      <c r="BM517" t="s">
        <v>231</v>
      </c>
      <c r="BN517" t="s">
        <v>231</v>
      </c>
      <c r="BO517" t="s">
        <v>231</v>
      </c>
      <c r="BP517" t="s">
        <v>231</v>
      </c>
      <c r="BQ517" t="s">
        <v>231</v>
      </c>
      <c r="BR517" t="s">
        <v>231</v>
      </c>
      <c r="BS517" t="s">
        <v>231</v>
      </c>
      <c r="BT517" t="s">
        <v>231</v>
      </c>
      <c r="BU517" t="s">
        <v>231</v>
      </c>
      <c r="BV517" t="s">
        <v>231</v>
      </c>
      <c r="BW517" t="s">
        <v>231</v>
      </c>
      <c r="BX517" t="s">
        <v>231</v>
      </c>
      <c r="BY517" t="s">
        <v>231</v>
      </c>
      <c r="BZ517" t="s">
        <v>231</v>
      </c>
      <c r="CA517" t="s">
        <v>231</v>
      </c>
      <c r="CB517" t="s">
        <v>231</v>
      </c>
      <c r="CC517" t="s">
        <v>231</v>
      </c>
      <c r="CD517" t="s">
        <v>231</v>
      </c>
      <c r="CE517" t="s">
        <v>231</v>
      </c>
      <c r="CF517" t="s">
        <v>231</v>
      </c>
      <c r="CG517" t="s">
        <v>231</v>
      </c>
      <c r="CH517" t="s">
        <v>231</v>
      </c>
      <c r="CI517" t="s">
        <v>231</v>
      </c>
      <c r="CJ517" t="s">
        <v>231</v>
      </c>
      <c r="CK517" t="s">
        <v>231</v>
      </c>
      <c r="CL517" t="s">
        <v>231</v>
      </c>
      <c r="CM517" t="s">
        <v>231</v>
      </c>
      <c r="CN517" t="s">
        <v>231</v>
      </c>
      <c r="CO517" t="s">
        <v>231</v>
      </c>
      <c r="CP517" t="s">
        <v>231</v>
      </c>
      <c r="CQ517" t="s">
        <v>231</v>
      </c>
      <c r="CR517" t="s">
        <v>231</v>
      </c>
      <c r="CS517" t="s">
        <v>231</v>
      </c>
      <c r="CT517" t="s">
        <v>3534</v>
      </c>
      <c r="CU517" t="s">
        <v>3535</v>
      </c>
      <c r="CV517" t="s">
        <v>3536</v>
      </c>
      <c r="CW517" t="s">
        <v>3569</v>
      </c>
      <c r="CX517" t="s">
        <v>3570</v>
      </c>
      <c r="CY517" t="s">
        <v>3536</v>
      </c>
      <c r="CZ517" t="s">
        <v>224</v>
      </c>
      <c r="DA517" t="s">
        <v>3571</v>
      </c>
      <c r="DB517" t="s">
        <v>3569</v>
      </c>
      <c r="DC517" t="s">
        <v>363</v>
      </c>
      <c r="DD517" t="s">
        <v>282</v>
      </c>
      <c r="DE517" t="s">
        <v>3674</v>
      </c>
    </row>
    <row r="518" spans="1:109" ht="11.25" customHeight="1">
      <c r="A518" s="1314" t="s">
        <v>231</v>
      </c>
      <c r="B518" t="s">
        <v>231</v>
      </c>
      <c r="C518" t="s">
        <v>231</v>
      </c>
      <c r="D518" t="s">
        <v>231</v>
      </c>
      <c r="E518" t="s">
        <v>231</v>
      </c>
      <c r="F518" t="s">
        <v>231</v>
      </c>
      <c r="G518" t="s">
        <v>231</v>
      </c>
      <c r="H518" t="s">
        <v>231</v>
      </c>
      <c r="I518" t="s">
        <v>3521</v>
      </c>
      <c r="J518" t="s">
        <v>231</v>
      </c>
      <c r="K518" t="s">
        <v>231</v>
      </c>
      <c r="L518" t="s">
        <v>231</v>
      </c>
      <c r="M518" t="s">
        <v>231</v>
      </c>
      <c r="N518" t="s">
        <v>231</v>
      </c>
      <c r="O518" t="s">
        <v>231</v>
      </c>
      <c r="P518" t="s">
        <v>231</v>
      </c>
      <c r="Q518" t="s">
        <v>231</v>
      </c>
      <c r="R518" t="s">
        <v>3651</v>
      </c>
      <c r="S518" t="s">
        <v>231</v>
      </c>
      <c r="T518" t="s">
        <v>231</v>
      </c>
      <c r="U518" t="s">
        <v>101</v>
      </c>
      <c r="V518" t="s">
        <v>231</v>
      </c>
      <c r="W518" t="s">
        <v>231</v>
      </c>
      <c r="X518" t="s">
        <v>3523</v>
      </c>
      <c r="Y518" t="s">
        <v>231</v>
      </c>
      <c r="Z518" t="s">
        <v>160</v>
      </c>
      <c r="AA518" t="s">
        <v>151</v>
      </c>
      <c r="AB518" t="s">
        <v>151</v>
      </c>
      <c r="AC518" t="s">
        <v>2283</v>
      </c>
      <c r="AD518" t="s">
        <v>2283</v>
      </c>
      <c r="AE518" t="s">
        <v>2284</v>
      </c>
      <c r="AF518" t="s">
        <v>3675</v>
      </c>
      <c r="AG518" t="s">
        <v>3676</v>
      </c>
      <c r="AH518" t="s">
        <v>3677</v>
      </c>
      <c r="AI518" t="s">
        <v>3678</v>
      </c>
      <c r="AJ518" t="s">
        <v>3546</v>
      </c>
      <c r="AK518" t="s">
        <v>3547</v>
      </c>
      <c r="AL518" t="s">
        <v>3648</v>
      </c>
      <c r="AM518" t="s">
        <v>3531</v>
      </c>
      <c r="AN518" t="s">
        <v>3549</v>
      </c>
      <c r="AO518" t="s">
        <v>3679</v>
      </c>
      <c r="AP518" t="s">
        <v>231</v>
      </c>
      <c r="AQ518" t="s">
        <v>231</v>
      </c>
      <c r="AR518" t="s">
        <v>231</v>
      </c>
      <c r="AS518" t="s">
        <v>231</v>
      </c>
      <c r="AT518" t="s">
        <v>231</v>
      </c>
      <c r="AU518" t="s">
        <v>231</v>
      </c>
      <c r="AV518" t="s">
        <v>231</v>
      </c>
      <c r="AW518" t="s">
        <v>231</v>
      </c>
      <c r="AX518" t="s">
        <v>231</v>
      </c>
      <c r="AY518" t="s">
        <v>231</v>
      </c>
      <c r="AZ518" t="s">
        <v>231</v>
      </c>
      <c r="BA518" t="s">
        <v>231</v>
      </c>
      <c r="BB518" t="s">
        <v>231</v>
      </c>
      <c r="BC518" t="s">
        <v>231</v>
      </c>
      <c r="BD518" t="s">
        <v>231</v>
      </c>
      <c r="BE518" t="s">
        <v>231</v>
      </c>
      <c r="BF518" t="s">
        <v>231</v>
      </c>
      <c r="BG518" t="s">
        <v>231</v>
      </c>
      <c r="BH518" t="s">
        <v>231</v>
      </c>
      <c r="BI518" t="s">
        <v>231</v>
      </c>
      <c r="BJ518" t="s">
        <v>231</v>
      </c>
      <c r="BK518" t="s">
        <v>231</v>
      </c>
      <c r="BL518" t="s">
        <v>231</v>
      </c>
      <c r="BM518" t="s">
        <v>231</v>
      </c>
      <c r="BN518" t="s">
        <v>231</v>
      </c>
      <c r="BO518" t="s">
        <v>231</v>
      </c>
      <c r="BP518" t="s">
        <v>231</v>
      </c>
      <c r="BQ518" t="s">
        <v>231</v>
      </c>
      <c r="BR518" t="s">
        <v>231</v>
      </c>
      <c r="BS518" t="s">
        <v>231</v>
      </c>
      <c r="BT518" t="s">
        <v>231</v>
      </c>
      <c r="BU518" t="s">
        <v>231</v>
      </c>
      <c r="BV518" t="s">
        <v>231</v>
      </c>
      <c r="BW518" t="s">
        <v>231</v>
      </c>
      <c r="BX518" t="s">
        <v>231</v>
      </c>
      <c r="BY518" t="s">
        <v>231</v>
      </c>
      <c r="BZ518" t="s">
        <v>231</v>
      </c>
      <c r="CA518" t="s">
        <v>231</v>
      </c>
      <c r="CB518" t="s">
        <v>231</v>
      </c>
      <c r="CC518" t="s">
        <v>231</v>
      </c>
      <c r="CD518" t="s">
        <v>231</v>
      </c>
      <c r="CE518" t="s">
        <v>231</v>
      </c>
      <c r="CF518" t="s">
        <v>231</v>
      </c>
      <c r="CG518" t="s">
        <v>231</v>
      </c>
      <c r="CH518" t="s">
        <v>231</v>
      </c>
      <c r="CI518" t="s">
        <v>231</v>
      </c>
      <c r="CJ518" t="s">
        <v>231</v>
      </c>
      <c r="CK518" t="s">
        <v>231</v>
      </c>
      <c r="CL518" t="s">
        <v>231</v>
      </c>
      <c r="CM518" t="s">
        <v>231</v>
      </c>
      <c r="CN518" t="s">
        <v>231</v>
      </c>
      <c r="CO518" t="s">
        <v>231</v>
      </c>
      <c r="CP518" t="s">
        <v>231</v>
      </c>
      <c r="CQ518" t="s">
        <v>231</v>
      </c>
      <c r="CR518" t="s">
        <v>231</v>
      </c>
      <c r="CS518" t="s">
        <v>231</v>
      </c>
      <c r="CT518" t="s">
        <v>3534</v>
      </c>
      <c r="CU518" t="s">
        <v>3535</v>
      </c>
      <c r="CV518" t="s">
        <v>3536</v>
      </c>
      <c r="CW518" t="s">
        <v>3551</v>
      </c>
      <c r="CX518" t="s">
        <v>223</v>
      </c>
      <c r="CY518" t="s">
        <v>3536</v>
      </c>
      <c r="CZ518" t="s">
        <v>3552</v>
      </c>
      <c r="DA518" t="s">
        <v>3553</v>
      </c>
      <c r="DB518" t="s">
        <v>3551</v>
      </c>
      <c r="DC518" t="s">
        <v>363</v>
      </c>
      <c r="DD518" t="s">
        <v>282</v>
      </c>
      <c r="DE518" t="s">
        <v>3680</v>
      </c>
    </row>
    <row r="519" spans="1:109" ht="11.25" customHeight="1">
      <c r="A519" s="1314" t="s">
        <v>231</v>
      </c>
      <c r="B519" t="s">
        <v>231</v>
      </c>
      <c r="C519" t="s">
        <v>231</v>
      </c>
      <c r="D519" t="s">
        <v>231</v>
      </c>
      <c r="E519" t="s">
        <v>231</v>
      </c>
      <c r="F519" t="s">
        <v>231</v>
      </c>
      <c r="G519" t="s">
        <v>231</v>
      </c>
      <c r="H519" t="s">
        <v>231</v>
      </c>
      <c r="I519" t="s">
        <v>3521</v>
      </c>
      <c r="J519" t="s">
        <v>231</v>
      </c>
      <c r="K519" t="s">
        <v>231</v>
      </c>
      <c r="L519" t="s">
        <v>231</v>
      </c>
      <c r="M519" t="s">
        <v>231</v>
      </c>
      <c r="N519" t="s">
        <v>231</v>
      </c>
      <c r="O519" t="s">
        <v>231</v>
      </c>
      <c r="P519" t="s">
        <v>231</v>
      </c>
      <c r="Q519" t="s">
        <v>231</v>
      </c>
      <c r="R519" t="s">
        <v>3681</v>
      </c>
      <c r="S519" t="s">
        <v>231</v>
      </c>
      <c r="T519" t="s">
        <v>231</v>
      </c>
      <c r="U519" t="s">
        <v>101</v>
      </c>
      <c r="V519" t="s">
        <v>231</v>
      </c>
      <c r="W519" t="s">
        <v>231</v>
      </c>
      <c r="X519" t="s">
        <v>3523</v>
      </c>
      <c r="Y519" t="s">
        <v>231</v>
      </c>
      <c r="Z519" t="s">
        <v>160</v>
      </c>
      <c r="AA519" t="s">
        <v>151</v>
      </c>
      <c r="AB519" t="s">
        <v>151</v>
      </c>
      <c r="AC519" t="s">
        <v>2283</v>
      </c>
      <c r="AD519" t="s">
        <v>2283</v>
      </c>
      <c r="AE519" t="s">
        <v>2284</v>
      </c>
      <c r="AF519" t="s">
        <v>3675</v>
      </c>
      <c r="AG519" t="s">
        <v>3676</v>
      </c>
      <c r="AH519" t="s">
        <v>3682</v>
      </c>
      <c r="AI519" t="s">
        <v>3683</v>
      </c>
      <c r="AJ519" t="s">
        <v>3546</v>
      </c>
      <c r="AK519" t="s">
        <v>3547</v>
      </c>
      <c r="AL519" t="s">
        <v>3648</v>
      </c>
      <c r="AM519" t="s">
        <v>3531</v>
      </c>
      <c r="AN519" t="s">
        <v>3549</v>
      </c>
      <c r="AO519" t="s">
        <v>3679</v>
      </c>
      <c r="AP519" t="s">
        <v>231</v>
      </c>
      <c r="AQ519" t="s">
        <v>231</v>
      </c>
      <c r="AR519" t="s">
        <v>231</v>
      </c>
      <c r="AS519" t="s">
        <v>231</v>
      </c>
      <c r="AT519" t="s">
        <v>231</v>
      </c>
      <c r="AU519" t="s">
        <v>231</v>
      </c>
      <c r="AV519" t="s">
        <v>231</v>
      </c>
      <c r="AW519" t="s">
        <v>231</v>
      </c>
      <c r="AX519" t="s">
        <v>231</v>
      </c>
      <c r="AY519" t="s">
        <v>231</v>
      </c>
      <c r="AZ519" t="s">
        <v>231</v>
      </c>
      <c r="BA519" t="s">
        <v>231</v>
      </c>
      <c r="BB519" t="s">
        <v>231</v>
      </c>
      <c r="BC519" t="s">
        <v>231</v>
      </c>
      <c r="BD519" t="s">
        <v>231</v>
      </c>
      <c r="BE519" t="s">
        <v>231</v>
      </c>
      <c r="BF519" t="s">
        <v>231</v>
      </c>
      <c r="BG519" t="s">
        <v>231</v>
      </c>
      <c r="BH519" t="s">
        <v>231</v>
      </c>
      <c r="BI519" t="s">
        <v>231</v>
      </c>
      <c r="BJ519" t="s">
        <v>231</v>
      </c>
      <c r="BK519" t="s">
        <v>231</v>
      </c>
      <c r="BL519" t="s">
        <v>231</v>
      </c>
      <c r="BM519" t="s">
        <v>231</v>
      </c>
      <c r="BN519" t="s">
        <v>231</v>
      </c>
      <c r="BO519" t="s">
        <v>231</v>
      </c>
      <c r="BP519" t="s">
        <v>231</v>
      </c>
      <c r="BQ519" t="s">
        <v>231</v>
      </c>
      <c r="BR519" t="s">
        <v>231</v>
      </c>
      <c r="BS519" t="s">
        <v>231</v>
      </c>
      <c r="BT519" t="s">
        <v>231</v>
      </c>
      <c r="BU519" t="s">
        <v>231</v>
      </c>
      <c r="BV519" t="s">
        <v>231</v>
      </c>
      <c r="BW519" t="s">
        <v>231</v>
      </c>
      <c r="BX519" t="s">
        <v>231</v>
      </c>
      <c r="BY519" t="s">
        <v>231</v>
      </c>
      <c r="BZ519" t="s">
        <v>231</v>
      </c>
      <c r="CA519" t="s">
        <v>231</v>
      </c>
      <c r="CB519" t="s">
        <v>231</v>
      </c>
      <c r="CC519" t="s">
        <v>231</v>
      </c>
      <c r="CD519" t="s">
        <v>231</v>
      </c>
      <c r="CE519" t="s">
        <v>231</v>
      </c>
      <c r="CF519" t="s">
        <v>231</v>
      </c>
      <c r="CG519" t="s">
        <v>231</v>
      </c>
      <c r="CH519" t="s">
        <v>231</v>
      </c>
      <c r="CI519" t="s">
        <v>231</v>
      </c>
      <c r="CJ519" t="s">
        <v>231</v>
      </c>
      <c r="CK519" t="s">
        <v>231</v>
      </c>
      <c r="CL519" t="s">
        <v>231</v>
      </c>
      <c r="CM519" t="s">
        <v>231</v>
      </c>
      <c r="CN519" t="s">
        <v>231</v>
      </c>
      <c r="CO519" t="s">
        <v>231</v>
      </c>
      <c r="CP519" t="s">
        <v>231</v>
      </c>
      <c r="CQ519" t="s">
        <v>231</v>
      </c>
      <c r="CR519" t="s">
        <v>231</v>
      </c>
      <c r="CS519" t="s">
        <v>231</v>
      </c>
      <c r="CT519" t="s">
        <v>3534</v>
      </c>
      <c r="CU519" t="s">
        <v>3535</v>
      </c>
      <c r="CV519" t="s">
        <v>3536</v>
      </c>
      <c r="CW519" t="s">
        <v>3551</v>
      </c>
      <c r="CX519" t="s">
        <v>223</v>
      </c>
      <c r="CY519" t="s">
        <v>3536</v>
      </c>
      <c r="CZ519" t="s">
        <v>3552</v>
      </c>
      <c r="DA519" t="s">
        <v>3553</v>
      </c>
      <c r="DB519" t="s">
        <v>3551</v>
      </c>
      <c r="DC519" t="s">
        <v>363</v>
      </c>
      <c r="DD519" t="s">
        <v>282</v>
      </c>
      <c r="DE519" t="s">
        <v>3684</v>
      </c>
    </row>
    <row r="520" spans="1:109" ht="11.25" customHeight="1">
      <c r="A520" s="1314" t="s">
        <v>231</v>
      </c>
      <c r="B520" t="s">
        <v>231</v>
      </c>
      <c r="C520" t="s">
        <v>231</v>
      </c>
      <c r="D520" t="s">
        <v>231</v>
      </c>
      <c r="E520" t="s">
        <v>231</v>
      </c>
      <c r="F520" t="s">
        <v>231</v>
      </c>
      <c r="G520" t="s">
        <v>231</v>
      </c>
      <c r="H520" t="s">
        <v>231</v>
      </c>
      <c r="I520" t="s">
        <v>3521</v>
      </c>
      <c r="J520" t="s">
        <v>231</v>
      </c>
      <c r="K520" t="s">
        <v>231</v>
      </c>
      <c r="L520" t="s">
        <v>231</v>
      </c>
      <c r="M520" t="s">
        <v>231</v>
      </c>
      <c r="N520" t="s">
        <v>231</v>
      </c>
      <c r="O520" t="s">
        <v>231</v>
      </c>
      <c r="P520" t="s">
        <v>231</v>
      </c>
      <c r="Q520" t="s">
        <v>231</v>
      </c>
      <c r="R520" t="s">
        <v>5062</v>
      </c>
      <c r="S520" t="s">
        <v>231</v>
      </c>
      <c r="T520" t="s">
        <v>231</v>
      </c>
      <c r="U520" t="s">
        <v>101</v>
      </c>
      <c r="V520" t="s">
        <v>231</v>
      </c>
      <c r="W520" t="s">
        <v>231</v>
      </c>
      <c r="X520" t="s">
        <v>3523</v>
      </c>
      <c r="Y520" t="s">
        <v>231</v>
      </c>
      <c r="Z520" t="s">
        <v>160</v>
      </c>
      <c r="AA520" t="s">
        <v>151</v>
      </c>
      <c r="AB520" t="s">
        <v>151</v>
      </c>
      <c r="AC520" t="s">
        <v>343</v>
      </c>
      <c r="AD520" t="s">
        <v>343</v>
      </c>
      <c r="AE520" t="s">
        <v>344</v>
      </c>
      <c r="AF520" t="s">
        <v>3561</v>
      </c>
      <c r="AG520" t="s">
        <v>3562</v>
      </c>
      <c r="AH520" t="s">
        <v>3758</v>
      </c>
      <c r="AI520" t="s">
        <v>3759</v>
      </c>
      <c r="AJ520" t="s">
        <v>3760</v>
      </c>
      <c r="AK520" t="s">
        <v>3761</v>
      </c>
      <c r="AL520" t="s">
        <v>3566</v>
      </c>
      <c r="AM520" t="s">
        <v>3531</v>
      </c>
      <c r="AN520" t="s">
        <v>3762</v>
      </c>
      <c r="AO520" t="s">
        <v>3763</v>
      </c>
      <c r="AP520" t="s">
        <v>231</v>
      </c>
      <c r="AQ520" t="s">
        <v>231</v>
      </c>
      <c r="AR520" t="s">
        <v>231</v>
      </c>
      <c r="AS520" t="s">
        <v>231</v>
      </c>
      <c r="AT520" t="s">
        <v>231</v>
      </c>
      <c r="AU520" t="s">
        <v>231</v>
      </c>
      <c r="AV520" t="s">
        <v>231</v>
      </c>
      <c r="AW520" t="s">
        <v>231</v>
      </c>
      <c r="AX520" t="s">
        <v>231</v>
      </c>
      <c r="AY520" t="s">
        <v>231</v>
      </c>
      <c r="AZ520" t="s">
        <v>231</v>
      </c>
      <c r="BA520" t="s">
        <v>231</v>
      </c>
      <c r="BB520" t="s">
        <v>231</v>
      </c>
      <c r="BC520" t="s">
        <v>231</v>
      </c>
      <c r="BD520" t="s">
        <v>231</v>
      </c>
      <c r="BE520" t="s">
        <v>231</v>
      </c>
      <c r="BF520" t="s">
        <v>231</v>
      </c>
      <c r="BG520" t="s">
        <v>231</v>
      </c>
      <c r="BH520" t="s">
        <v>231</v>
      </c>
      <c r="BI520" t="s">
        <v>231</v>
      </c>
      <c r="BJ520" t="s">
        <v>231</v>
      </c>
      <c r="BK520" t="s">
        <v>231</v>
      </c>
      <c r="BL520" t="s">
        <v>231</v>
      </c>
      <c r="BM520" t="s">
        <v>231</v>
      </c>
      <c r="BN520" t="s">
        <v>231</v>
      </c>
      <c r="BO520" t="s">
        <v>231</v>
      </c>
      <c r="BP520" t="s">
        <v>231</v>
      </c>
      <c r="BQ520" t="s">
        <v>231</v>
      </c>
      <c r="BR520" t="s">
        <v>231</v>
      </c>
      <c r="BS520" t="s">
        <v>231</v>
      </c>
      <c r="BT520" t="s">
        <v>231</v>
      </c>
      <c r="BU520" t="s">
        <v>231</v>
      </c>
      <c r="BV520" t="s">
        <v>231</v>
      </c>
      <c r="BW520" t="s">
        <v>231</v>
      </c>
      <c r="BX520" t="s">
        <v>231</v>
      </c>
      <c r="BY520" t="s">
        <v>231</v>
      </c>
      <c r="BZ520" t="s">
        <v>231</v>
      </c>
      <c r="CA520" t="s">
        <v>231</v>
      </c>
      <c r="CB520" t="s">
        <v>231</v>
      </c>
      <c r="CC520" t="s">
        <v>231</v>
      </c>
      <c r="CD520" t="s">
        <v>231</v>
      </c>
      <c r="CE520" t="s">
        <v>231</v>
      </c>
      <c r="CF520" t="s">
        <v>231</v>
      </c>
      <c r="CG520" t="s">
        <v>231</v>
      </c>
      <c r="CH520" t="s">
        <v>231</v>
      </c>
      <c r="CI520" t="s">
        <v>231</v>
      </c>
      <c r="CJ520" t="s">
        <v>231</v>
      </c>
      <c r="CK520" t="s">
        <v>231</v>
      </c>
      <c r="CL520" t="s">
        <v>231</v>
      </c>
      <c r="CM520" t="s">
        <v>231</v>
      </c>
      <c r="CN520" t="s">
        <v>231</v>
      </c>
      <c r="CO520" t="s">
        <v>231</v>
      </c>
      <c r="CP520" t="s">
        <v>231</v>
      </c>
      <c r="CQ520" t="s">
        <v>231</v>
      </c>
      <c r="CR520" t="s">
        <v>231</v>
      </c>
      <c r="CS520" t="s">
        <v>231</v>
      </c>
      <c r="CT520" t="s">
        <v>3534</v>
      </c>
      <c r="CU520" t="s">
        <v>3535</v>
      </c>
      <c r="CV520" t="s">
        <v>3536</v>
      </c>
      <c r="CW520" t="s">
        <v>3569</v>
      </c>
      <c r="CX520" t="s">
        <v>3570</v>
      </c>
      <c r="CY520" t="s">
        <v>3536</v>
      </c>
      <c r="CZ520" t="s">
        <v>224</v>
      </c>
      <c r="DA520" t="s">
        <v>3571</v>
      </c>
      <c r="DB520" t="s">
        <v>3569</v>
      </c>
      <c r="DC520" t="s">
        <v>363</v>
      </c>
      <c r="DD520" t="s">
        <v>282</v>
      </c>
      <c r="DE520" t="s">
        <v>3764</v>
      </c>
    </row>
    <row r="521" spans="1:109" ht="11.25" customHeight="1">
      <c r="A521" s="1314" t="s">
        <v>231</v>
      </c>
      <c r="B521" t="s">
        <v>231</v>
      </c>
      <c r="C521" t="s">
        <v>231</v>
      </c>
      <c r="D521" t="s">
        <v>231</v>
      </c>
      <c r="E521" t="s">
        <v>231</v>
      </c>
      <c r="F521" t="s">
        <v>231</v>
      </c>
      <c r="G521" t="s">
        <v>231</v>
      </c>
      <c r="H521" t="s">
        <v>231</v>
      </c>
      <c r="I521" t="s">
        <v>3521</v>
      </c>
      <c r="J521" t="s">
        <v>231</v>
      </c>
      <c r="K521" t="s">
        <v>231</v>
      </c>
      <c r="L521" t="s">
        <v>231</v>
      </c>
      <c r="M521" t="s">
        <v>231</v>
      </c>
      <c r="N521" t="s">
        <v>231</v>
      </c>
      <c r="O521" t="s">
        <v>231</v>
      </c>
      <c r="P521" t="s">
        <v>231</v>
      </c>
      <c r="Q521" t="s">
        <v>231</v>
      </c>
      <c r="R521" t="s">
        <v>3651</v>
      </c>
      <c r="S521" t="s">
        <v>231</v>
      </c>
      <c r="T521" t="s">
        <v>231</v>
      </c>
      <c r="U521" t="s">
        <v>101</v>
      </c>
      <c r="V521" t="s">
        <v>231</v>
      </c>
      <c r="W521" t="s">
        <v>231</v>
      </c>
      <c r="X521" t="s">
        <v>3523</v>
      </c>
      <c r="Y521" t="s">
        <v>231</v>
      </c>
      <c r="Z521" t="s">
        <v>160</v>
      </c>
      <c r="AA521" t="s">
        <v>151</v>
      </c>
      <c r="AB521" t="s">
        <v>151</v>
      </c>
      <c r="AC521" t="s">
        <v>2283</v>
      </c>
      <c r="AD521" t="s">
        <v>2283</v>
      </c>
      <c r="AE521" t="s">
        <v>2284</v>
      </c>
      <c r="AF521" t="s">
        <v>3750</v>
      </c>
      <c r="AG521" t="s">
        <v>3751</v>
      </c>
      <c r="AH521" t="s">
        <v>3753</v>
      </c>
      <c r="AI521" t="s">
        <v>4018</v>
      </c>
      <c r="AJ521" t="s">
        <v>3546</v>
      </c>
      <c r="AK521" t="s">
        <v>3547</v>
      </c>
      <c r="AL521" t="s">
        <v>3548</v>
      </c>
      <c r="AM521" t="s">
        <v>3531</v>
      </c>
      <c r="AN521" t="s">
        <v>3549</v>
      </c>
      <c r="AO521" t="s">
        <v>3812</v>
      </c>
      <c r="AP521" t="s">
        <v>231</v>
      </c>
      <c r="AQ521" t="s">
        <v>231</v>
      </c>
      <c r="AR521" t="s">
        <v>231</v>
      </c>
      <c r="AS521" t="s">
        <v>231</v>
      </c>
      <c r="AT521" t="s">
        <v>231</v>
      </c>
      <c r="AU521" t="s">
        <v>231</v>
      </c>
      <c r="AV521" t="s">
        <v>231</v>
      </c>
      <c r="AW521" t="s">
        <v>231</v>
      </c>
      <c r="AX521" t="s">
        <v>231</v>
      </c>
      <c r="AY521" t="s">
        <v>231</v>
      </c>
      <c r="AZ521" t="s">
        <v>231</v>
      </c>
      <c r="BA521" t="s">
        <v>231</v>
      </c>
      <c r="BB521" t="s">
        <v>231</v>
      </c>
      <c r="BC521" t="s">
        <v>231</v>
      </c>
      <c r="BD521" t="s">
        <v>231</v>
      </c>
      <c r="BE521" t="s">
        <v>231</v>
      </c>
      <c r="BF521" t="s">
        <v>231</v>
      </c>
      <c r="BG521" t="s">
        <v>231</v>
      </c>
      <c r="BH521" t="s">
        <v>231</v>
      </c>
      <c r="BI521" t="s">
        <v>231</v>
      </c>
      <c r="BJ521" t="s">
        <v>231</v>
      </c>
      <c r="BK521" t="s">
        <v>231</v>
      </c>
      <c r="BL521" t="s">
        <v>231</v>
      </c>
      <c r="BM521" t="s">
        <v>231</v>
      </c>
      <c r="BN521" t="s">
        <v>231</v>
      </c>
      <c r="BO521" t="s">
        <v>231</v>
      </c>
      <c r="BP521" t="s">
        <v>231</v>
      </c>
      <c r="BQ521" t="s">
        <v>231</v>
      </c>
      <c r="BR521" t="s">
        <v>231</v>
      </c>
      <c r="BS521" t="s">
        <v>231</v>
      </c>
      <c r="BT521" t="s">
        <v>231</v>
      </c>
      <c r="BU521" t="s">
        <v>231</v>
      </c>
      <c r="BV521" t="s">
        <v>231</v>
      </c>
      <c r="BW521" t="s">
        <v>231</v>
      </c>
      <c r="BX521" t="s">
        <v>231</v>
      </c>
      <c r="BY521" t="s">
        <v>231</v>
      </c>
      <c r="BZ521" t="s">
        <v>231</v>
      </c>
      <c r="CA521" t="s">
        <v>231</v>
      </c>
      <c r="CB521" t="s">
        <v>231</v>
      </c>
      <c r="CC521" t="s">
        <v>231</v>
      </c>
      <c r="CD521" t="s">
        <v>231</v>
      </c>
      <c r="CE521" t="s">
        <v>231</v>
      </c>
      <c r="CF521" t="s">
        <v>231</v>
      </c>
      <c r="CG521" t="s">
        <v>231</v>
      </c>
      <c r="CH521" t="s">
        <v>231</v>
      </c>
      <c r="CI521" t="s">
        <v>231</v>
      </c>
      <c r="CJ521" t="s">
        <v>231</v>
      </c>
      <c r="CK521" t="s">
        <v>231</v>
      </c>
      <c r="CL521" t="s">
        <v>231</v>
      </c>
      <c r="CM521" t="s">
        <v>231</v>
      </c>
      <c r="CN521" t="s">
        <v>231</v>
      </c>
      <c r="CO521" t="s">
        <v>231</v>
      </c>
      <c r="CP521" t="s">
        <v>231</v>
      </c>
      <c r="CQ521" t="s">
        <v>231</v>
      </c>
      <c r="CR521" t="s">
        <v>231</v>
      </c>
      <c r="CS521" t="s">
        <v>231</v>
      </c>
      <c r="CT521" t="s">
        <v>3534</v>
      </c>
      <c r="CU521" t="s">
        <v>3535</v>
      </c>
      <c r="CV521" t="s">
        <v>3536</v>
      </c>
      <c r="CW521" t="s">
        <v>3551</v>
      </c>
      <c r="CX521" t="s">
        <v>223</v>
      </c>
      <c r="CY521" t="s">
        <v>3536</v>
      </c>
      <c r="CZ521" t="s">
        <v>3552</v>
      </c>
      <c r="DA521" t="s">
        <v>3553</v>
      </c>
      <c r="DB521" t="s">
        <v>3551</v>
      </c>
      <c r="DC521" t="s">
        <v>363</v>
      </c>
      <c r="DD521" t="s">
        <v>282</v>
      </c>
      <c r="DE521" t="s">
        <v>4019</v>
      </c>
    </row>
    <row r="522" spans="1:109" ht="11.25" customHeight="1">
      <c r="A522" s="1314" t="s">
        <v>231</v>
      </c>
      <c r="B522" t="s">
        <v>231</v>
      </c>
      <c r="C522" t="s">
        <v>231</v>
      </c>
      <c r="D522" t="s">
        <v>231</v>
      </c>
      <c r="E522" t="s">
        <v>231</v>
      </c>
      <c r="F522" t="s">
        <v>231</v>
      </c>
      <c r="G522" t="s">
        <v>231</v>
      </c>
      <c r="H522" t="s">
        <v>231</v>
      </c>
      <c r="I522" t="s">
        <v>3521</v>
      </c>
      <c r="J522" t="s">
        <v>231</v>
      </c>
      <c r="K522" t="s">
        <v>231</v>
      </c>
      <c r="L522" t="s">
        <v>231</v>
      </c>
      <c r="M522" t="s">
        <v>231</v>
      </c>
      <c r="N522" t="s">
        <v>231</v>
      </c>
      <c r="O522" t="s">
        <v>231</v>
      </c>
      <c r="P522" t="s">
        <v>231</v>
      </c>
      <c r="Q522" t="s">
        <v>231</v>
      </c>
      <c r="R522" t="s">
        <v>3749</v>
      </c>
      <c r="S522" t="s">
        <v>231</v>
      </c>
      <c r="T522" t="s">
        <v>231</v>
      </c>
      <c r="U522" t="s">
        <v>101</v>
      </c>
      <c r="V522" t="s">
        <v>231</v>
      </c>
      <c r="W522" t="s">
        <v>231</v>
      </c>
      <c r="X522" t="s">
        <v>3628</v>
      </c>
      <c r="Y522" t="s">
        <v>231</v>
      </c>
      <c r="Z522" t="s">
        <v>151</v>
      </c>
      <c r="AA522" t="s">
        <v>151</v>
      </c>
      <c r="AB522" t="s">
        <v>160</v>
      </c>
      <c r="AC522" t="s">
        <v>2283</v>
      </c>
      <c r="AD522" t="s">
        <v>2283</v>
      </c>
      <c r="AE522" t="s">
        <v>2284</v>
      </c>
      <c r="AF522" t="s">
        <v>3658</v>
      </c>
      <c r="AG522" t="s">
        <v>3659</v>
      </c>
      <c r="AH522" t="s">
        <v>3658</v>
      </c>
      <c r="AI522" t="s">
        <v>3688</v>
      </c>
      <c r="AJ522" t="s">
        <v>231</v>
      </c>
      <c r="AK522" t="s">
        <v>231</v>
      </c>
      <c r="AL522" t="s">
        <v>231</v>
      </c>
      <c r="AM522" t="s">
        <v>231</v>
      </c>
      <c r="AN522" t="s">
        <v>231</v>
      </c>
      <c r="AO522" t="s">
        <v>231</v>
      </c>
      <c r="AP522" t="s">
        <v>231</v>
      </c>
      <c r="AQ522" t="s">
        <v>231</v>
      </c>
      <c r="AR522" t="s">
        <v>231</v>
      </c>
      <c r="AS522" t="s">
        <v>231</v>
      </c>
      <c r="AT522" t="s">
        <v>231</v>
      </c>
      <c r="AU522" t="s">
        <v>231</v>
      </c>
      <c r="AV522" t="s">
        <v>231</v>
      </c>
      <c r="AW522" t="s">
        <v>231</v>
      </c>
      <c r="AX522" t="s">
        <v>231</v>
      </c>
      <c r="AY522" t="s">
        <v>231</v>
      </c>
      <c r="AZ522" t="s">
        <v>231</v>
      </c>
      <c r="BA522" t="s">
        <v>231</v>
      </c>
      <c r="BB522" t="s">
        <v>231</v>
      </c>
      <c r="BC522" t="s">
        <v>231</v>
      </c>
      <c r="BD522" t="s">
        <v>231</v>
      </c>
      <c r="BE522" t="s">
        <v>3689</v>
      </c>
      <c r="BF522" t="s">
        <v>3689</v>
      </c>
      <c r="BG522" t="s">
        <v>111</v>
      </c>
      <c r="BH522" t="s">
        <v>3632</v>
      </c>
      <c r="BI522" t="s">
        <v>122</v>
      </c>
      <c r="BJ522" t="s">
        <v>231</v>
      </c>
      <c r="BK522" t="s">
        <v>3651</v>
      </c>
      <c r="BL522" t="s">
        <v>2283</v>
      </c>
      <c r="BM522" t="s">
        <v>2283</v>
      </c>
      <c r="BN522" t="s">
        <v>3690</v>
      </c>
      <c r="BO522" t="s">
        <v>3658</v>
      </c>
      <c r="BP522" t="s">
        <v>4080</v>
      </c>
      <c r="BQ522" t="s">
        <v>3544</v>
      </c>
      <c r="BR522" t="s">
        <v>3661</v>
      </c>
      <c r="BS522" t="s">
        <v>231</v>
      </c>
      <c r="BT522" t="s">
        <v>3694</v>
      </c>
      <c r="BU522" t="s">
        <v>4081</v>
      </c>
      <c r="BV522" t="s">
        <v>4081</v>
      </c>
      <c r="BW522" t="s">
        <v>3641</v>
      </c>
      <c r="BX522" t="s">
        <v>3641</v>
      </c>
      <c r="BY522" t="s">
        <v>3641</v>
      </c>
      <c r="BZ522" t="s">
        <v>3641</v>
      </c>
      <c r="CA522" t="s">
        <v>3641</v>
      </c>
      <c r="CB522" t="s">
        <v>231</v>
      </c>
      <c r="CC522" t="s">
        <v>231</v>
      </c>
      <c r="CD522" t="s">
        <v>231</v>
      </c>
      <c r="CE522" t="s">
        <v>231</v>
      </c>
      <c r="CF522" t="s">
        <v>231</v>
      </c>
      <c r="CG522" t="s">
        <v>3641</v>
      </c>
      <c r="CH522" t="s">
        <v>231</v>
      </c>
      <c r="CI522" t="s">
        <v>231</v>
      </c>
      <c r="CJ522" t="s">
        <v>231</v>
      </c>
      <c r="CK522" t="s">
        <v>231</v>
      </c>
      <c r="CL522" t="s">
        <v>231</v>
      </c>
      <c r="CM522" t="s">
        <v>4081</v>
      </c>
      <c r="CN522" t="s">
        <v>4081</v>
      </c>
      <c r="CO522" t="s">
        <v>231</v>
      </c>
      <c r="CP522" t="s">
        <v>231</v>
      </c>
      <c r="CQ522" t="s">
        <v>231</v>
      </c>
      <c r="CR522" t="s">
        <v>231</v>
      </c>
      <c r="CS522" t="s">
        <v>3549</v>
      </c>
      <c r="CT522" t="s">
        <v>3534</v>
      </c>
      <c r="CU522" t="s">
        <v>3535</v>
      </c>
      <c r="CV522" t="s">
        <v>3536</v>
      </c>
      <c r="CW522" t="s">
        <v>3551</v>
      </c>
      <c r="CX522" t="s">
        <v>223</v>
      </c>
      <c r="CY522" t="s">
        <v>3536</v>
      </c>
      <c r="CZ522" t="s">
        <v>3552</v>
      </c>
      <c r="DA522" t="s">
        <v>3553</v>
      </c>
      <c r="DB522" t="s">
        <v>3551</v>
      </c>
      <c r="DC522" t="s">
        <v>363</v>
      </c>
      <c r="DD522" t="s">
        <v>282</v>
      </c>
      <c r="DE522" t="s">
        <v>4082</v>
      </c>
    </row>
    <row r="523" spans="1:109" ht="11.25" customHeight="1">
      <c r="A523" s="1314" t="s">
        <v>231</v>
      </c>
      <c r="B523" t="s">
        <v>231</v>
      </c>
      <c r="C523" t="s">
        <v>231</v>
      </c>
      <c r="D523" t="s">
        <v>231</v>
      </c>
      <c r="E523" t="s">
        <v>231</v>
      </c>
      <c r="F523" t="s">
        <v>231</v>
      </c>
      <c r="G523" t="s">
        <v>231</v>
      </c>
      <c r="H523" t="s">
        <v>231</v>
      </c>
      <c r="I523" t="s">
        <v>3521</v>
      </c>
      <c r="J523" t="s">
        <v>231</v>
      </c>
      <c r="K523" t="s">
        <v>231</v>
      </c>
      <c r="L523" t="s">
        <v>231</v>
      </c>
      <c r="M523" t="s">
        <v>231</v>
      </c>
      <c r="N523" t="s">
        <v>231</v>
      </c>
      <c r="O523" t="s">
        <v>231</v>
      </c>
      <c r="P523" t="s">
        <v>231</v>
      </c>
      <c r="Q523" t="s">
        <v>231</v>
      </c>
      <c r="R523" t="s">
        <v>3615</v>
      </c>
      <c r="S523" t="s">
        <v>231</v>
      </c>
      <c r="T523" t="s">
        <v>231</v>
      </c>
      <c r="U523" t="s">
        <v>101</v>
      </c>
      <c r="V523" t="s">
        <v>231</v>
      </c>
      <c r="W523" t="s">
        <v>231</v>
      </c>
      <c r="X523" t="s">
        <v>3523</v>
      </c>
      <c r="Y523" t="s">
        <v>231</v>
      </c>
      <c r="Z523" t="s">
        <v>160</v>
      </c>
      <c r="AA523" t="s">
        <v>151</v>
      </c>
      <c r="AB523" t="s">
        <v>151</v>
      </c>
      <c r="AC523" t="s">
        <v>2289</v>
      </c>
      <c r="AD523" t="s">
        <v>2289</v>
      </c>
      <c r="AE523" t="s">
        <v>2290</v>
      </c>
      <c r="AF523" t="s">
        <v>3771</v>
      </c>
      <c r="AG523" t="s">
        <v>3772</v>
      </c>
      <c r="AH523" t="s">
        <v>3870</v>
      </c>
      <c r="AI523" t="s">
        <v>3871</v>
      </c>
      <c r="AJ523" t="s">
        <v>3594</v>
      </c>
      <c r="AK523" t="s">
        <v>3586</v>
      </c>
      <c r="AL523" t="s">
        <v>3548</v>
      </c>
      <c r="AM523" t="s">
        <v>3531</v>
      </c>
      <c r="AN523" t="s">
        <v>3587</v>
      </c>
      <c r="AO523" t="s">
        <v>3550</v>
      </c>
      <c r="AP523" t="s">
        <v>231</v>
      </c>
      <c r="AQ523" t="s">
        <v>231</v>
      </c>
      <c r="AR523" t="s">
        <v>231</v>
      </c>
      <c r="AS523" t="s">
        <v>231</v>
      </c>
      <c r="AT523" t="s">
        <v>231</v>
      </c>
      <c r="AU523" t="s">
        <v>231</v>
      </c>
      <c r="AV523" t="s">
        <v>231</v>
      </c>
      <c r="AW523" t="s">
        <v>231</v>
      </c>
      <c r="AX523" t="s">
        <v>231</v>
      </c>
      <c r="AY523" t="s">
        <v>231</v>
      </c>
      <c r="AZ523" t="s">
        <v>231</v>
      </c>
      <c r="BA523" t="s">
        <v>231</v>
      </c>
      <c r="BB523" t="s">
        <v>231</v>
      </c>
      <c r="BC523" t="s">
        <v>231</v>
      </c>
      <c r="BD523" t="s">
        <v>231</v>
      </c>
      <c r="BE523" t="s">
        <v>231</v>
      </c>
      <c r="BF523" t="s">
        <v>231</v>
      </c>
      <c r="BG523" t="s">
        <v>231</v>
      </c>
      <c r="BH523" t="s">
        <v>231</v>
      </c>
      <c r="BI523" t="s">
        <v>231</v>
      </c>
      <c r="BJ523" t="s">
        <v>231</v>
      </c>
      <c r="BK523" t="s">
        <v>231</v>
      </c>
      <c r="BL523" t="s">
        <v>231</v>
      </c>
      <c r="BM523" t="s">
        <v>231</v>
      </c>
      <c r="BN523" t="s">
        <v>231</v>
      </c>
      <c r="BO523" t="s">
        <v>231</v>
      </c>
      <c r="BP523" t="s">
        <v>231</v>
      </c>
      <c r="BQ523" t="s">
        <v>231</v>
      </c>
      <c r="BR523" t="s">
        <v>231</v>
      </c>
      <c r="BS523" t="s">
        <v>231</v>
      </c>
      <c r="BT523" t="s">
        <v>231</v>
      </c>
      <c r="BU523" t="s">
        <v>231</v>
      </c>
      <c r="BV523" t="s">
        <v>231</v>
      </c>
      <c r="BW523" t="s">
        <v>231</v>
      </c>
      <c r="BX523" t="s">
        <v>231</v>
      </c>
      <c r="BY523" t="s">
        <v>231</v>
      </c>
      <c r="BZ523" t="s">
        <v>231</v>
      </c>
      <c r="CA523" t="s">
        <v>231</v>
      </c>
      <c r="CB523" t="s">
        <v>231</v>
      </c>
      <c r="CC523" t="s">
        <v>231</v>
      </c>
      <c r="CD523" t="s">
        <v>231</v>
      </c>
      <c r="CE523" t="s">
        <v>231</v>
      </c>
      <c r="CF523" t="s">
        <v>231</v>
      </c>
      <c r="CG523" t="s">
        <v>231</v>
      </c>
      <c r="CH523" t="s">
        <v>231</v>
      </c>
      <c r="CI523" t="s">
        <v>231</v>
      </c>
      <c r="CJ523" t="s">
        <v>231</v>
      </c>
      <c r="CK523" t="s">
        <v>231</v>
      </c>
      <c r="CL523" t="s">
        <v>231</v>
      </c>
      <c r="CM523" t="s">
        <v>231</v>
      </c>
      <c r="CN523" t="s">
        <v>231</v>
      </c>
      <c r="CO523" t="s">
        <v>231</v>
      </c>
      <c r="CP523" t="s">
        <v>231</v>
      </c>
      <c r="CQ523" t="s">
        <v>231</v>
      </c>
      <c r="CR523" t="s">
        <v>231</v>
      </c>
      <c r="CS523" t="s">
        <v>231</v>
      </c>
      <c r="CT523" t="s">
        <v>3534</v>
      </c>
      <c r="CU523" t="s">
        <v>3535</v>
      </c>
      <c r="CV523" t="s">
        <v>3536</v>
      </c>
      <c r="CW523" t="s">
        <v>3589</v>
      </c>
      <c r="CX523" t="s">
        <v>223</v>
      </c>
      <c r="CY523" t="s">
        <v>3536</v>
      </c>
      <c r="CZ523" t="s">
        <v>3590</v>
      </c>
      <c r="DA523" t="s">
        <v>3591</v>
      </c>
      <c r="DB523" t="s">
        <v>3589</v>
      </c>
      <c r="DC523" t="s">
        <v>363</v>
      </c>
      <c r="DD523" t="s">
        <v>282</v>
      </c>
      <c r="DE523" t="s">
        <v>3872</v>
      </c>
    </row>
    <row r="524" spans="1:109" ht="11.25" customHeight="1">
      <c r="A524" s="1314" t="s">
        <v>231</v>
      </c>
      <c r="B524" t="s">
        <v>231</v>
      </c>
      <c r="C524" t="s">
        <v>231</v>
      </c>
      <c r="D524" t="s">
        <v>231</v>
      </c>
      <c r="E524" t="s">
        <v>231</v>
      </c>
      <c r="F524" t="s">
        <v>231</v>
      </c>
      <c r="G524" t="s">
        <v>231</v>
      </c>
      <c r="H524" t="s">
        <v>231</v>
      </c>
      <c r="I524" t="s">
        <v>3521</v>
      </c>
      <c r="J524" t="s">
        <v>231</v>
      </c>
      <c r="K524" t="s">
        <v>231</v>
      </c>
      <c r="L524" t="s">
        <v>231</v>
      </c>
      <c r="M524" t="s">
        <v>231</v>
      </c>
      <c r="N524" t="s">
        <v>231</v>
      </c>
      <c r="O524" t="s">
        <v>231</v>
      </c>
      <c r="P524" t="s">
        <v>231</v>
      </c>
      <c r="Q524" t="s">
        <v>231</v>
      </c>
      <c r="R524" t="s">
        <v>4091</v>
      </c>
      <c r="S524" t="s">
        <v>231</v>
      </c>
      <c r="T524" t="s">
        <v>231</v>
      </c>
      <c r="U524" t="s">
        <v>101</v>
      </c>
      <c r="V524" t="s">
        <v>231</v>
      </c>
      <c r="W524" t="s">
        <v>231</v>
      </c>
      <c r="X524" t="s">
        <v>3628</v>
      </c>
      <c r="Y524" t="s">
        <v>231</v>
      </c>
      <c r="Z524" t="s">
        <v>151</v>
      </c>
      <c r="AA524" t="s">
        <v>151</v>
      </c>
      <c r="AB524" t="s">
        <v>160</v>
      </c>
      <c r="AC524" t="s">
        <v>2289</v>
      </c>
      <c r="AD524" t="s">
        <v>2289</v>
      </c>
      <c r="AE524" t="s">
        <v>2290</v>
      </c>
      <c r="AF524" t="s">
        <v>3771</v>
      </c>
      <c r="AG524" t="s">
        <v>3772</v>
      </c>
      <c r="AH524" t="s">
        <v>3618</v>
      </c>
      <c r="AI524" t="s">
        <v>3618</v>
      </c>
      <c r="AJ524" t="s">
        <v>231</v>
      </c>
      <c r="AK524" t="s">
        <v>231</v>
      </c>
      <c r="AL524" t="s">
        <v>231</v>
      </c>
      <c r="AM524" t="s">
        <v>231</v>
      </c>
      <c r="AN524" t="s">
        <v>231</v>
      </c>
      <c r="AO524" t="s">
        <v>231</v>
      </c>
      <c r="AP524" t="s">
        <v>231</v>
      </c>
      <c r="AQ524" t="s">
        <v>231</v>
      </c>
      <c r="AR524" t="s">
        <v>231</v>
      </c>
      <c r="AS524" t="s">
        <v>231</v>
      </c>
      <c r="AT524" t="s">
        <v>231</v>
      </c>
      <c r="AU524" t="s">
        <v>231</v>
      </c>
      <c r="AV524" t="s">
        <v>231</v>
      </c>
      <c r="AW524" t="s">
        <v>231</v>
      </c>
      <c r="AX524" t="s">
        <v>231</v>
      </c>
      <c r="AY524" t="s">
        <v>231</v>
      </c>
      <c r="AZ524" t="s">
        <v>231</v>
      </c>
      <c r="BA524" t="s">
        <v>231</v>
      </c>
      <c r="BB524" t="s">
        <v>231</v>
      </c>
      <c r="BC524" t="s">
        <v>231</v>
      </c>
      <c r="BD524" t="s">
        <v>231</v>
      </c>
      <c r="BE524" t="s">
        <v>3546</v>
      </c>
      <c r="BF524" t="s">
        <v>3586</v>
      </c>
      <c r="BG524" t="s">
        <v>111</v>
      </c>
      <c r="BH524" t="s">
        <v>3632</v>
      </c>
      <c r="BI524" t="s">
        <v>122</v>
      </c>
      <c r="BJ524" t="s">
        <v>231</v>
      </c>
      <c r="BK524" t="s">
        <v>3651</v>
      </c>
      <c r="BL524" t="s">
        <v>2289</v>
      </c>
      <c r="BM524" t="s">
        <v>2289</v>
      </c>
      <c r="BN524" t="s">
        <v>3707</v>
      </c>
      <c r="BO524" t="s">
        <v>3771</v>
      </c>
      <c r="BP524" t="s">
        <v>4092</v>
      </c>
      <c r="BQ524" t="s">
        <v>3618</v>
      </c>
      <c r="BR524" t="s">
        <v>3618</v>
      </c>
      <c r="BS524" t="s">
        <v>231</v>
      </c>
      <c r="BT524" t="s">
        <v>3694</v>
      </c>
      <c r="BU524" t="s">
        <v>4093</v>
      </c>
      <c r="BV524" t="s">
        <v>4093</v>
      </c>
      <c r="BW524" t="s">
        <v>3641</v>
      </c>
      <c r="BX524" t="s">
        <v>3641</v>
      </c>
      <c r="BY524" t="s">
        <v>3641</v>
      </c>
      <c r="BZ524" t="s">
        <v>3641</v>
      </c>
      <c r="CA524" t="s">
        <v>3641</v>
      </c>
      <c r="CB524" t="s">
        <v>231</v>
      </c>
      <c r="CC524" t="s">
        <v>231</v>
      </c>
      <c r="CD524" t="s">
        <v>231</v>
      </c>
      <c r="CE524" t="s">
        <v>231</v>
      </c>
      <c r="CF524" t="s">
        <v>231</v>
      </c>
      <c r="CG524" t="s">
        <v>3641</v>
      </c>
      <c r="CH524" t="s">
        <v>231</v>
      </c>
      <c r="CI524" t="s">
        <v>231</v>
      </c>
      <c r="CJ524" t="s">
        <v>231</v>
      </c>
      <c r="CK524" t="s">
        <v>231</v>
      </c>
      <c r="CL524" t="s">
        <v>231</v>
      </c>
      <c r="CM524" t="s">
        <v>4093</v>
      </c>
      <c r="CN524" t="s">
        <v>4093</v>
      </c>
      <c r="CO524" t="s">
        <v>231</v>
      </c>
      <c r="CP524" t="s">
        <v>231</v>
      </c>
      <c r="CQ524" t="s">
        <v>231</v>
      </c>
      <c r="CR524" t="s">
        <v>231</v>
      </c>
      <c r="CS524" t="s">
        <v>3710</v>
      </c>
      <c r="CT524" t="s">
        <v>3534</v>
      </c>
      <c r="CU524" t="s">
        <v>3535</v>
      </c>
      <c r="CV524" t="s">
        <v>3536</v>
      </c>
      <c r="CW524" t="s">
        <v>3589</v>
      </c>
      <c r="CX524" t="s">
        <v>223</v>
      </c>
      <c r="CY524" t="s">
        <v>3536</v>
      </c>
      <c r="CZ524" t="s">
        <v>3590</v>
      </c>
      <c r="DA524" t="s">
        <v>3591</v>
      </c>
      <c r="DB524" t="s">
        <v>3589</v>
      </c>
      <c r="DC524" t="s">
        <v>363</v>
      </c>
      <c r="DD524" t="s">
        <v>282</v>
      </c>
      <c r="DE524" t="s">
        <v>4094</v>
      </c>
    </row>
    <row r="525" spans="1:109" ht="11.25" customHeight="1">
      <c r="A525" s="1314" t="s">
        <v>231</v>
      </c>
      <c r="B525" t="s">
        <v>231</v>
      </c>
      <c r="C525" t="s">
        <v>231</v>
      </c>
      <c r="D525" t="s">
        <v>231</v>
      </c>
      <c r="E525" t="s">
        <v>231</v>
      </c>
      <c r="F525" t="s">
        <v>231</v>
      </c>
      <c r="G525" t="s">
        <v>231</v>
      </c>
      <c r="H525" t="s">
        <v>231</v>
      </c>
      <c r="I525" t="s">
        <v>3521</v>
      </c>
      <c r="J525" t="s">
        <v>231</v>
      </c>
      <c r="K525" t="s">
        <v>231</v>
      </c>
      <c r="L525" t="s">
        <v>231</v>
      </c>
      <c r="M525" t="s">
        <v>231</v>
      </c>
      <c r="N525" t="s">
        <v>231</v>
      </c>
      <c r="O525" t="s">
        <v>231</v>
      </c>
      <c r="P525" t="s">
        <v>231</v>
      </c>
      <c r="Q525" t="s">
        <v>231</v>
      </c>
      <c r="R525" t="s">
        <v>3615</v>
      </c>
      <c r="S525" t="s">
        <v>231</v>
      </c>
      <c r="T525" t="s">
        <v>231</v>
      </c>
      <c r="U525" t="s">
        <v>101</v>
      </c>
      <c r="V525" t="s">
        <v>231</v>
      </c>
      <c r="W525" t="s">
        <v>231</v>
      </c>
      <c r="X525" t="s">
        <v>3523</v>
      </c>
      <c r="Y525" t="s">
        <v>231</v>
      </c>
      <c r="Z525" t="s">
        <v>160</v>
      </c>
      <c r="AA525" t="s">
        <v>151</v>
      </c>
      <c r="AB525" t="s">
        <v>151</v>
      </c>
      <c r="AC525" t="s">
        <v>2289</v>
      </c>
      <c r="AD525" t="s">
        <v>2289</v>
      </c>
      <c r="AE525" t="s">
        <v>2290</v>
      </c>
      <c r="AF525" t="s">
        <v>3890</v>
      </c>
      <c r="AG525" t="s">
        <v>3891</v>
      </c>
      <c r="AH525" t="s">
        <v>4174</v>
      </c>
      <c r="AI525" t="s">
        <v>332</v>
      </c>
      <c r="AJ525" t="s">
        <v>3546</v>
      </c>
      <c r="AK525" t="s">
        <v>3586</v>
      </c>
      <c r="AL525" t="s">
        <v>3548</v>
      </c>
      <c r="AM525" t="s">
        <v>3531</v>
      </c>
      <c r="AN525" t="s">
        <v>3587</v>
      </c>
      <c r="AO525" t="s">
        <v>3724</v>
      </c>
      <c r="AP525" t="s">
        <v>231</v>
      </c>
      <c r="AQ525" t="s">
        <v>231</v>
      </c>
      <c r="AR525" t="s">
        <v>231</v>
      </c>
      <c r="AS525" t="s">
        <v>231</v>
      </c>
      <c r="AT525" t="s">
        <v>231</v>
      </c>
      <c r="AU525" t="s">
        <v>231</v>
      </c>
      <c r="AV525" t="s">
        <v>231</v>
      </c>
      <c r="AW525" t="s">
        <v>231</v>
      </c>
      <c r="AX525" t="s">
        <v>231</v>
      </c>
      <c r="AY525" t="s">
        <v>231</v>
      </c>
      <c r="AZ525" t="s">
        <v>231</v>
      </c>
      <c r="BA525" t="s">
        <v>231</v>
      </c>
      <c r="BB525" t="s">
        <v>231</v>
      </c>
      <c r="BC525" t="s">
        <v>231</v>
      </c>
      <c r="BD525" t="s">
        <v>231</v>
      </c>
      <c r="BE525" t="s">
        <v>231</v>
      </c>
      <c r="BF525" t="s">
        <v>231</v>
      </c>
      <c r="BG525" t="s">
        <v>231</v>
      </c>
      <c r="BH525" t="s">
        <v>231</v>
      </c>
      <c r="BI525" t="s">
        <v>231</v>
      </c>
      <c r="BJ525" t="s">
        <v>231</v>
      </c>
      <c r="BK525" t="s">
        <v>231</v>
      </c>
      <c r="BL525" t="s">
        <v>231</v>
      </c>
      <c r="BM525" t="s">
        <v>231</v>
      </c>
      <c r="BN525" t="s">
        <v>231</v>
      </c>
      <c r="BO525" t="s">
        <v>231</v>
      </c>
      <c r="BP525" t="s">
        <v>231</v>
      </c>
      <c r="BQ525" t="s">
        <v>231</v>
      </c>
      <c r="BR525" t="s">
        <v>231</v>
      </c>
      <c r="BS525" t="s">
        <v>231</v>
      </c>
      <c r="BT525" t="s">
        <v>231</v>
      </c>
      <c r="BU525" t="s">
        <v>231</v>
      </c>
      <c r="BV525" t="s">
        <v>231</v>
      </c>
      <c r="BW525" t="s">
        <v>231</v>
      </c>
      <c r="BX525" t="s">
        <v>231</v>
      </c>
      <c r="BY525" t="s">
        <v>231</v>
      </c>
      <c r="BZ525" t="s">
        <v>231</v>
      </c>
      <c r="CA525" t="s">
        <v>231</v>
      </c>
      <c r="CB525" t="s">
        <v>231</v>
      </c>
      <c r="CC525" t="s">
        <v>231</v>
      </c>
      <c r="CD525" t="s">
        <v>231</v>
      </c>
      <c r="CE525" t="s">
        <v>231</v>
      </c>
      <c r="CF525" t="s">
        <v>231</v>
      </c>
      <c r="CG525" t="s">
        <v>231</v>
      </c>
      <c r="CH525" t="s">
        <v>231</v>
      </c>
      <c r="CI525" t="s">
        <v>231</v>
      </c>
      <c r="CJ525" t="s">
        <v>231</v>
      </c>
      <c r="CK525" t="s">
        <v>231</v>
      </c>
      <c r="CL525" t="s">
        <v>231</v>
      </c>
      <c r="CM525" t="s">
        <v>231</v>
      </c>
      <c r="CN525" t="s">
        <v>231</v>
      </c>
      <c r="CO525" t="s">
        <v>231</v>
      </c>
      <c r="CP525" t="s">
        <v>231</v>
      </c>
      <c r="CQ525" t="s">
        <v>231</v>
      </c>
      <c r="CR525" t="s">
        <v>231</v>
      </c>
      <c r="CS525" t="s">
        <v>231</v>
      </c>
      <c r="CT525" t="s">
        <v>3534</v>
      </c>
      <c r="CU525" t="s">
        <v>3535</v>
      </c>
      <c r="CV525" t="s">
        <v>3536</v>
      </c>
      <c r="CW525" t="s">
        <v>3589</v>
      </c>
      <c r="CX525" t="s">
        <v>223</v>
      </c>
      <c r="CY525" t="s">
        <v>3536</v>
      </c>
      <c r="CZ525" t="s">
        <v>3590</v>
      </c>
      <c r="DA525" t="s">
        <v>3591</v>
      </c>
      <c r="DB525" t="s">
        <v>3589</v>
      </c>
      <c r="DC525" t="s">
        <v>363</v>
      </c>
      <c r="DD525" t="s">
        <v>282</v>
      </c>
      <c r="DE525" t="s">
        <v>4362</v>
      </c>
    </row>
    <row r="526" spans="1:109" ht="11.25" customHeight="1">
      <c r="A526" s="1314" t="s">
        <v>231</v>
      </c>
      <c r="B526" t="s">
        <v>231</v>
      </c>
      <c r="C526" t="s">
        <v>231</v>
      </c>
      <c r="D526" t="s">
        <v>231</v>
      </c>
      <c r="E526" t="s">
        <v>231</v>
      </c>
      <c r="F526" t="s">
        <v>231</v>
      </c>
      <c r="G526" t="s">
        <v>231</v>
      </c>
      <c r="H526" t="s">
        <v>231</v>
      </c>
      <c r="I526" t="s">
        <v>3521</v>
      </c>
      <c r="J526" t="s">
        <v>231</v>
      </c>
      <c r="K526" t="s">
        <v>231</v>
      </c>
      <c r="L526" t="s">
        <v>231</v>
      </c>
      <c r="M526" t="s">
        <v>231</v>
      </c>
      <c r="N526" t="s">
        <v>231</v>
      </c>
      <c r="O526" t="s">
        <v>231</v>
      </c>
      <c r="P526" t="s">
        <v>231</v>
      </c>
      <c r="Q526" t="s">
        <v>231</v>
      </c>
      <c r="R526" t="s">
        <v>4372</v>
      </c>
      <c r="S526" t="s">
        <v>231</v>
      </c>
      <c r="T526" t="s">
        <v>231</v>
      </c>
      <c r="U526" t="s">
        <v>101</v>
      </c>
      <c r="V526" t="s">
        <v>231</v>
      </c>
      <c r="W526" t="s">
        <v>231</v>
      </c>
      <c r="X526" t="s">
        <v>3628</v>
      </c>
      <c r="Y526" t="s">
        <v>231</v>
      </c>
      <c r="Z526" t="s">
        <v>151</v>
      </c>
      <c r="AA526" t="s">
        <v>151</v>
      </c>
      <c r="AB526" t="s">
        <v>160</v>
      </c>
      <c r="AC526" t="s">
        <v>2289</v>
      </c>
      <c r="AD526" t="s">
        <v>2289</v>
      </c>
      <c r="AE526" t="s">
        <v>2290</v>
      </c>
      <c r="AF526" t="s">
        <v>4167</v>
      </c>
      <c r="AG526" t="s">
        <v>4168</v>
      </c>
      <c r="AH526" t="s">
        <v>3618</v>
      </c>
      <c r="AI526" t="s">
        <v>3618</v>
      </c>
      <c r="AJ526" t="s">
        <v>231</v>
      </c>
      <c r="AK526" t="s">
        <v>231</v>
      </c>
      <c r="AL526" t="s">
        <v>231</v>
      </c>
      <c r="AM526" t="s">
        <v>231</v>
      </c>
      <c r="AN526" t="s">
        <v>231</v>
      </c>
      <c r="AO526" t="s">
        <v>231</v>
      </c>
      <c r="AP526" t="s">
        <v>231</v>
      </c>
      <c r="AQ526" t="s">
        <v>231</v>
      </c>
      <c r="AR526" t="s">
        <v>231</v>
      </c>
      <c r="AS526" t="s">
        <v>231</v>
      </c>
      <c r="AT526" t="s">
        <v>231</v>
      </c>
      <c r="AU526" t="s">
        <v>231</v>
      </c>
      <c r="AV526" t="s">
        <v>231</v>
      </c>
      <c r="AW526" t="s">
        <v>231</v>
      </c>
      <c r="AX526" t="s">
        <v>231</v>
      </c>
      <c r="AY526" t="s">
        <v>231</v>
      </c>
      <c r="AZ526" t="s">
        <v>231</v>
      </c>
      <c r="BA526" t="s">
        <v>231</v>
      </c>
      <c r="BB526" t="s">
        <v>231</v>
      </c>
      <c r="BC526" t="s">
        <v>231</v>
      </c>
      <c r="BD526" t="s">
        <v>231</v>
      </c>
      <c r="BE526" t="s">
        <v>3594</v>
      </c>
      <c r="BF526" t="s">
        <v>3716</v>
      </c>
      <c r="BG526" t="s">
        <v>111</v>
      </c>
      <c r="BH526" t="s">
        <v>3632</v>
      </c>
      <c r="BI526" t="s">
        <v>122</v>
      </c>
      <c r="BJ526" t="s">
        <v>231</v>
      </c>
      <c r="BK526" t="s">
        <v>3651</v>
      </c>
      <c r="BL526" t="s">
        <v>2289</v>
      </c>
      <c r="BM526" t="s">
        <v>2289</v>
      </c>
      <c r="BN526" t="s">
        <v>3707</v>
      </c>
      <c r="BO526" t="s">
        <v>4167</v>
      </c>
      <c r="BP526" t="s">
        <v>4373</v>
      </c>
      <c r="BQ526" t="s">
        <v>3618</v>
      </c>
      <c r="BR526" t="s">
        <v>3618</v>
      </c>
      <c r="BS526" t="s">
        <v>231</v>
      </c>
      <c r="BT526" t="s">
        <v>3694</v>
      </c>
      <c r="BU526" t="s">
        <v>4374</v>
      </c>
      <c r="BV526" t="s">
        <v>4374</v>
      </c>
      <c r="BW526" t="s">
        <v>3641</v>
      </c>
      <c r="BX526" t="s">
        <v>3641</v>
      </c>
      <c r="BY526" t="s">
        <v>3641</v>
      </c>
      <c r="BZ526" t="s">
        <v>3641</v>
      </c>
      <c r="CA526" t="s">
        <v>3641</v>
      </c>
      <c r="CB526" t="s">
        <v>231</v>
      </c>
      <c r="CC526" t="s">
        <v>231</v>
      </c>
      <c r="CD526" t="s">
        <v>231</v>
      </c>
      <c r="CE526" t="s">
        <v>231</v>
      </c>
      <c r="CF526" t="s">
        <v>231</v>
      </c>
      <c r="CG526" t="s">
        <v>3641</v>
      </c>
      <c r="CH526" t="s">
        <v>231</v>
      </c>
      <c r="CI526" t="s">
        <v>231</v>
      </c>
      <c r="CJ526" t="s">
        <v>231</v>
      </c>
      <c r="CK526" t="s">
        <v>231</v>
      </c>
      <c r="CL526" t="s">
        <v>231</v>
      </c>
      <c r="CM526" t="s">
        <v>4374</v>
      </c>
      <c r="CN526" t="s">
        <v>4374</v>
      </c>
      <c r="CO526" t="s">
        <v>231</v>
      </c>
      <c r="CP526" t="s">
        <v>231</v>
      </c>
      <c r="CQ526" t="s">
        <v>231</v>
      </c>
      <c r="CR526" t="s">
        <v>231</v>
      </c>
      <c r="CS526" t="s">
        <v>3710</v>
      </c>
      <c r="CT526" t="s">
        <v>3534</v>
      </c>
      <c r="CU526" t="s">
        <v>3535</v>
      </c>
      <c r="CV526" t="s">
        <v>3536</v>
      </c>
      <c r="CW526" t="s">
        <v>3589</v>
      </c>
      <c r="CX526" t="s">
        <v>223</v>
      </c>
      <c r="CY526" t="s">
        <v>3536</v>
      </c>
      <c r="CZ526" t="s">
        <v>3590</v>
      </c>
      <c r="DA526" t="s">
        <v>3591</v>
      </c>
      <c r="DB526" t="s">
        <v>3589</v>
      </c>
      <c r="DC526" t="s">
        <v>363</v>
      </c>
      <c r="DD526" t="s">
        <v>282</v>
      </c>
      <c r="DE526" t="s">
        <v>4375</v>
      </c>
    </row>
    <row r="527" spans="1:109" ht="11.25" customHeight="1">
      <c r="A527" s="1314" t="s">
        <v>231</v>
      </c>
      <c r="B527" t="s">
        <v>231</v>
      </c>
      <c r="C527" t="s">
        <v>231</v>
      </c>
      <c r="D527" t="s">
        <v>231</v>
      </c>
      <c r="E527" t="s">
        <v>231</v>
      </c>
      <c r="F527" t="s">
        <v>231</v>
      </c>
      <c r="G527" t="s">
        <v>231</v>
      </c>
      <c r="H527" t="s">
        <v>231</v>
      </c>
      <c r="I527" t="s">
        <v>3521</v>
      </c>
      <c r="J527" t="s">
        <v>231</v>
      </c>
      <c r="K527" t="s">
        <v>231</v>
      </c>
      <c r="L527" t="s">
        <v>231</v>
      </c>
      <c r="M527" t="s">
        <v>231</v>
      </c>
      <c r="N527" t="s">
        <v>231</v>
      </c>
      <c r="O527" t="s">
        <v>231</v>
      </c>
      <c r="P527" t="s">
        <v>231</v>
      </c>
      <c r="Q527" t="s">
        <v>231</v>
      </c>
      <c r="R527" t="s">
        <v>3615</v>
      </c>
      <c r="S527" t="s">
        <v>231</v>
      </c>
      <c r="T527" t="s">
        <v>231</v>
      </c>
      <c r="U527" t="s">
        <v>101</v>
      </c>
      <c r="V527" t="s">
        <v>231</v>
      </c>
      <c r="W527" t="s">
        <v>231</v>
      </c>
      <c r="X527" t="s">
        <v>3523</v>
      </c>
      <c r="Y527" t="s">
        <v>231</v>
      </c>
      <c r="Z527" t="s">
        <v>160</v>
      </c>
      <c r="AA527" t="s">
        <v>151</v>
      </c>
      <c r="AB527" t="s">
        <v>151</v>
      </c>
      <c r="AC527" t="s">
        <v>2289</v>
      </c>
      <c r="AD527" t="s">
        <v>2289</v>
      </c>
      <c r="AE527" t="s">
        <v>2290</v>
      </c>
      <c r="AF527" t="s">
        <v>3930</v>
      </c>
      <c r="AG527" t="s">
        <v>3931</v>
      </c>
      <c r="AH527" t="s">
        <v>4439</v>
      </c>
      <c r="AI527" t="s">
        <v>3661</v>
      </c>
      <c r="AJ527" t="s">
        <v>3546</v>
      </c>
      <c r="AK527" t="s">
        <v>3594</v>
      </c>
      <c r="AL527" t="s">
        <v>3548</v>
      </c>
      <c r="AM527" t="s">
        <v>3531</v>
      </c>
      <c r="AN527" t="s">
        <v>3529</v>
      </c>
      <c r="AO527" t="s">
        <v>4440</v>
      </c>
      <c r="AP527" t="s">
        <v>231</v>
      </c>
      <c r="AQ527" t="s">
        <v>231</v>
      </c>
      <c r="AR527" t="s">
        <v>231</v>
      </c>
      <c r="AS527" t="s">
        <v>231</v>
      </c>
      <c r="AT527" t="s">
        <v>231</v>
      </c>
      <c r="AU527" t="s">
        <v>231</v>
      </c>
      <c r="AV527" t="s">
        <v>231</v>
      </c>
      <c r="AW527" t="s">
        <v>231</v>
      </c>
      <c r="AX527" t="s">
        <v>231</v>
      </c>
      <c r="AY527" t="s">
        <v>231</v>
      </c>
      <c r="AZ527" t="s">
        <v>231</v>
      </c>
      <c r="BA527" t="s">
        <v>231</v>
      </c>
      <c r="BB527" t="s">
        <v>231</v>
      </c>
      <c r="BC527" t="s">
        <v>231</v>
      </c>
      <c r="BD527" t="s">
        <v>231</v>
      </c>
      <c r="BE527" t="s">
        <v>231</v>
      </c>
      <c r="BF527" t="s">
        <v>231</v>
      </c>
      <c r="BG527" t="s">
        <v>231</v>
      </c>
      <c r="BH527" t="s">
        <v>231</v>
      </c>
      <c r="BI527" t="s">
        <v>231</v>
      </c>
      <c r="BJ527" t="s">
        <v>231</v>
      </c>
      <c r="BK527" t="s">
        <v>231</v>
      </c>
      <c r="BL527" t="s">
        <v>231</v>
      </c>
      <c r="BM527" t="s">
        <v>231</v>
      </c>
      <c r="BN527" t="s">
        <v>231</v>
      </c>
      <c r="BO527" t="s">
        <v>231</v>
      </c>
      <c r="BP527" t="s">
        <v>231</v>
      </c>
      <c r="BQ527" t="s">
        <v>231</v>
      </c>
      <c r="BR527" t="s">
        <v>231</v>
      </c>
      <c r="BS527" t="s">
        <v>231</v>
      </c>
      <c r="BT527" t="s">
        <v>231</v>
      </c>
      <c r="BU527" t="s">
        <v>231</v>
      </c>
      <c r="BV527" t="s">
        <v>231</v>
      </c>
      <c r="BW527" t="s">
        <v>231</v>
      </c>
      <c r="BX527" t="s">
        <v>231</v>
      </c>
      <c r="BY527" t="s">
        <v>231</v>
      </c>
      <c r="BZ527" t="s">
        <v>231</v>
      </c>
      <c r="CA527" t="s">
        <v>231</v>
      </c>
      <c r="CB527" t="s">
        <v>231</v>
      </c>
      <c r="CC527" t="s">
        <v>231</v>
      </c>
      <c r="CD527" t="s">
        <v>231</v>
      </c>
      <c r="CE527" t="s">
        <v>231</v>
      </c>
      <c r="CF527" t="s">
        <v>231</v>
      </c>
      <c r="CG527" t="s">
        <v>231</v>
      </c>
      <c r="CH527" t="s">
        <v>231</v>
      </c>
      <c r="CI527" t="s">
        <v>231</v>
      </c>
      <c r="CJ527" t="s">
        <v>231</v>
      </c>
      <c r="CK527" t="s">
        <v>231</v>
      </c>
      <c r="CL527" t="s">
        <v>231</v>
      </c>
      <c r="CM527" t="s">
        <v>231</v>
      </c>
      <c r="CN527" t="s">
        <v>231</v>
      </c>
      <c r="CO527" t="s">
        <v>231</v>
      </c>
      <c r="CP527" t="s">
        <v>231</v>
      </c>
      <c r="CQ527" t="s">
        <v>231</v>
      </c>
      <c r="CR527" t="s">
        <v>231</v>
      </c>
      <c r="CS527" t="s">
        <v>231</v>
      </c>
      <c r="CT527" t="s">
        <v>3534</v>
      </c>
      <c r="CU527" t="s">
        <v>3535</v>
      </c>
      <c r="CV527" t="s">
        <v>3536</v>
      </c>
      <c r="CW527" t="s">
        <v>3589</v>
      </c>
      <c r="CX527" t="s">
        <v>223</v>
      </c>
      <c r="CY527" t="s">
        <v>3536</v>
      </c>
      <c r="CZ527" t="s">
        <v>3590</v>
      </c>
      <c r="DA527" t="s">
        <v>3591</v>
      </c>
      <c r="DB527" t="s">
        <v>3589</v>
      </c>
      <c r="DC527" t="s">
        <v>363</v>
      </c>
      <c r="DD527" t="s">
        <v>282</v>
      </c>
      <c r="DE527" t="s">
        <v>4441</v>
      </c>
    </row>
    <row r="528" spans="1:109" ht="11.25" customHeight="1">
      <c r="A528" s="1314" t="s">
        <v>231</v>
      </c>
      <c r="B528" t="s">
        <v>231</v>
      </c>
      <c r="C528" t="s">
        <v>231</v>
      </c>
      <c r="D528" t="s">
        <v>231</v>
      </c>
      <c r="E528" t="s">
        <v>231</v>
      </c>
      <c r="F528" t="s">
        <v>231</v>
      </c>
      <c r="G528" t="s">
        <v>231</v>
      </c>
      <c r="H528" t="s">
        <v>231</v>
      </c>
      <c r="I528" t="s">
        <v>3521</v>
      </c>
      <c r="J528" t="s">
        <v>231</v>
      </c>
      <c r="K528" t="s">
        <v>231</v>
      </c>
      <c r="L528" t="s">
        <v>231</v>
      </c>
      <c r="M528" t="s">
        <v>231</v>
      </c>
      <c r="N528" t="s">
        <v>231</v>
      </c>
      <c r="O528" t="s">
        <v>231</v>
      </c>
      <c r="P528" t="s">
        <v>231</v>
      </c>
      <c r="Q528" t="s">
        <v>231</v>
      </c>
      <c r="R528" t="s">
        <v>3615</v>
      </c>
      <c r="S528" t="s">
        <v>231</v>
      </c>
      <c r="T528" t="s">
        <v>231</v>
      </c>
      <c r="U528" t="s">
        <v>101</v>
      </c>
      <c r="V528" t="s">
        <v>231</v>
      </c>
      <c r="W528" t="s">
        <v>231</v>
      </c>
      <c r="X528" t="s">
        <v>3523</v>
      </c>
      <c r="Y528" t="s">
        <v>231</v>
      </c>
      <c r="Z528" t="s">
        <v>160</v>
      </c>
      <c r="AA528" t="s">
        <v>151</v>
      </c>
      <c r="AB528" t="s">
        <v>151</v>
      </c>
      <c r="AC528" t="s">
        <v>2289</v>
      </c>
      <c r="AD528" t="s">
        <v>2289</v>
      </c>
      <c r="AE528" t="s">
        <v>2290</v>
      </c>
      <c r="AF528" t="s">
        <v>3885</v>
      </c>
      <c r="AG528" t="s">
        <v>3886</v>
      </c>
      <c r="AH528" t="s">
        <v>3932</v>
      </c>
      <c r="AI528" t="s">
        <v>4624</v>
      </c>
      <c r="AJ528" t="s">
        <v>3546</v>
      </c>
      <c r="AK528" t="s">
        <v>3586</v>
      </c>
      <c r="AL528" t="s">
        <v>3548</v>
      </c>
      <c r="AM528" t="s">
        <v>3531</v>
      </c>
      <c r="AN528" t="s">
        <v>3587</v>
      </c>
      <c r="AO528" t="s">
        <v>3882</v>
      </c>
      <c r="AP528" t="s">
        <v>231</v>
      </c>
      <c r="AQ528" t="s">
        <v>231</v>
      </c>
      <c r="AR528" t="s">
        <v>231</v>
      </c>
      <c r="AS528" t="s">
        <v>231</v>
      </c>
      <c r="AT528" t="s">
        <v>231</v>
      </c>
      <c r="AU528" t="s">
        <v>231</v>
      </c>
      <c r="AV528" t="s">
        <v>231</v>
      </c>
      <c r="AW528" t="s">
        <v>231</v>
      </c>
      <c r="AX528" t="s">
        <v>231</v>
      </c>
      <c r="AY528" t="s">
        <v>231</v>
      </c>
      <c r="AZ528" t="s">
        <v>231</v>
      </c>
      <c r="BA528" t="s">
        <v>231</v>
      </c>
      <c r="BB528" t="s">
        <v>231</v>
      </c>
      <c r="BC528" t="s">
        <v>231</v>
      </c>
      <c r="BD528" t="s">
        <v>231</v>
      </c>
      <c r="BE528" t="s">
        <v>231</v>
      </c>
      <c r="BF528" t="s">
        <v>231</v>
      </c>
      <c r="BG528" t="s">
        <v>231</v>
      </c>
      <c r="BH528" t="s">
        <v>231</v>
      </c>
      <c r="BI528" t="s">
        <v>231</v>
      </c>
      <c r="BJ528" t="s">
        <v>231</v>
      </c>
      <c r="BK528" t="s">
        <v>231</v>
      </c>
      <c r="BL528" t="s">
        <v>231</v>
      </c>
      <c r="BM528" t="s">
        <v>231</v>
      </c>
      <c r="BN528" t="s">
        <v>231</v>
      </c>
      <c r="BO528" t="s">
        <v>231</v>
      </c>
      <c r="BP528" t="s">
        <v>231</v>
      </c>
      <c r="BQ528" t="s">
        <v>231</v>
      </c>
      <c r="BR528" t="s">
        <v>231</v>
      </c>
      <c r="BS528" t="s">
        <v>231</v>
      </c>
      <c r="BT528" t="s">
        <v>231</v>
      </c>
      <c r="BU528" t="s">
        <v>231</v>
      </c>
      <c r="BV528" t="s">
        <v>231</v>
      </c>
      <c r="BW528" t="s">
        <v>231</v>
      </c>
      <c r="BX528" t="s">
        <v>231</v>
      </c>
      <c r="BY528" t="s">
        <v>231</v>
      </c>
      <c r="BZ528" t="s">
        <v>231</v>
      </c>
      <c r="CA528" t="s">
        <v>231</v>
      </c>
      <c r="CB528" t="s">
        <v>231</v>
      </c>
      <c r="CC528" t="s">
        <v>231</v>
      </c>
      <c r="CD528" t="s">
        <v>231</v>
      </c>
      <c r="CE528" t="s">
        <v>231</v>
      </c>
      <c r="CF528" t="s">
        <v>231</v>
      </c>
      <c r="CG528" t="s">
        <v>231</v>
      </c>
      <c r="CH528" t="s">
        <v>231</v>
      </c>
      <c r="CI528" t="s">
        <v>231</v>
      </c>
      <c r="CJ528" t="s">
        <v>231</v>
      </c>
      <c r="CK528" t="s">
        <v>231</v>
      </c>
      <c r="CL528" t="s">
        <v>231</v>
      </c>
      <c r="CM528" t="s">
        <v>231</v>
      </c>
      <c r="CN528" t="s">
        <v>231</v>
      </c>
      <c r="CO528" t="s">
        <v>231</v>
      </c>
      <c r="CP528" t="s">
        <v>231</v>
      </c>
      <c r="CQ528" t="s">
        <v>231</v>
      </c>
      <c r="CR528" t="s">
        <v>231</v>
      </c>
      <c r="CS528" t="s">
        <v>231</v>
      </c>
      <c r="CT528" t="s">
        <v>3534</v>
      </c>
      <c r="CU528" t="s">
        <v>3535</v>
      </c>
      <c r="CV528" t="s">
        <v>3536</v>
      </c>
      <c r="CW528" t="s">
        <v>3589</v>
      </c>
      <c r="CX528" t="s">
        <v>223</v>
      </c>
      <c r="CY528" t="s">
        <v>3536</v>
      </c>
      <c r="CZ528" t="s">
        <v>3590</v>
      </c>
      <c r="DA528" t="s">
        <v>3591</v>
      </c>
      <c r="DB528" t="s">
        <v>3589</v>
      </c>
      <c r="DC528" t="s">
        <v>363</v>
      </c>
      <c r="DD528" t="s">
        <v>282</v>
      </c>
      <c r="DE528" t="s">
        <v>5007</v>
      </c>
    </row>
    <row r="529" spans="1:109" ht="11.25" customHeight="1">
      <c r="A529" s="1314" t="s">
        <v>231</v>
      </c>
      <c r="B529" t="s">
        <v>231</v>
      </c>
      <c r="C529" t="s">
        <v>231</v>
      </c>
      <c r="D529" t="s">
        <v>231</v>
      </c>
      <c r="E529" t="s">
        <v>231</v>
      </c>
      <c r="F529" t="s">
        <v>231</v>
      </c>
      <c r="G529" t="s">
        <v>231</v>
      </c>
      <c r="H529" t="s">
        <v>231</v>
      </c>
      <c r="I529" t="s">
        <v>3521</v>
      </c>
      <c r="J529" t="s">
        <v>231</v>
      </c>
      <c r="K529" t="s">
        <v>231</v>
      </c>
      <c r="L529" t="s">
        <v>231</v>
      </c>
      <c r="M529" t="s">
        <v>231</v>
      </c>
      <c r="N529" t="s">
        <v>231</v>
      </c>
      <c r="O529" t="s">
        <v>231</v>
      </c>
      <c r="P529" t="s">
        <v>231</v>
      </c>
      <c r="Q529" t="s">
        <v>231</v>
      </c>
      <c r="R529" t="s">
        <v>5063</v>
      </c>
      <c r="S529" t="s">
        <v>231</v>
      </c>
      <c r="T529" t="s">
        <v>231</v>
      </c>
      <c r="U529" t="s">
        <v>101</v>
      </c>
      <c r="V529" t="s">
        <v>231</v>
      </c>
      <c r="W529" t="s">
        <v>231</v>
      </c>
      <c r="X529" t="s">
        <v>3523</v>
      </c>
      <c r="Y529" t="s">
        <v>231</v>
      </c>
      <c r="Z529" t="s">
        <v>160</v>
      </c>
      <c r="AA529" t="s">
        <v>151</v>
      </c>
      <c r="AB529" t="s">
        <v>151</v>
      </c>
      <c r="AC529" t="s">
        <v>343</v>
      </c>
      <c r="AD529" t="s">
        <v>343</v>
      </c>
      <c r="AE529" t="s">
        <v>344</v>
      </c>
      <c r="AF529" t="s">
        <v>3561</v>
      </c>
      <c r="AG529" t="s">
        <v>3562</v>
      </c>
      <c r="AH529" t="s">
        <v>4177</v>
      </c>
      <c r="AI529" t="s">
        <v>3575</v>
      </c>
      <c r="AJ529" t="s">
        <v>3630</v>
      </c>
      <c r="AK529" t="s">
        <v>4178</v>
      </c>
      <c r="AL529" t="s">
        <v>3530</v>
      </c>
      <c r="AM529" t="s">
        <v>3531</v>
      </c>
      <c r="AN529" t="s">
        <v>3939</v>
      </c>
      <c r="AO529" t="s">
        <v>4179</v>
      </c>
      <c r="AP529" t="s">
        <v>231</v>
      </c>
      <c r="AQ529" t="s">
        <v>231</v>
      </c>
      <c r="AR529" t="s">
        <v>231</v>
      </c>
      <c r="AS529" t="s">
        <v>231</v>
      </c>
      <c r="AT529" t="s">
        <v>231</v>
      </c>
      <c r="AU529" t="s">
        <v>231</v>
      </c>
      <c r="AV529" t="s">
        <v>231</v>
      </c>
      <c r="AW529" t="s">
        <v>231</v>
      </c>
      <c r="AX529" t="s">
        <v>231</v>
      </c>
      <c r="AY529" t="s">
        <v>231</v>
      </c>
      <c r="AZ529" t="s">
        <v>231</v>
      </c>
      <c r="BA529" t="s">
        <v>231</v>
      </c>
      <c r="BB529" t="s">
        <v>231</v>
      </c>
      <c r="BC529" t="s">
        <v>231</v>
      </c>
      <c r="BD529" t="s">
        <v>231</v>
      </c>
      <c r="BE529" t="s">
        <v>231</v>
      </c>
      <c r="BF529" t="s">
        <v>231</v>
      </c>
      <c r="BG529" t="s">
        <v>231</v>
      </c>
      <c r="BH529" t="s">
        <v>231</v>
      </c>
      <c r="BI529" t="s">
        <v>231</v>
      </c>
      <c r="BJ529" t="s">
        <v>231</v>
      </c>
      <c r="BK529" t="s">
        <v>231</v>
      </c>
      <c r="BL529" t="s">
        <v>231</v>
      </c>
      <c r="BM529" t="s">
        <v>231</v>
      </c>
      <c r="BN529" t="s">
        <v>231</v>
      </c>
      <c r="BO529" t="s">
        <v>231</v>
      </c>
      <c r="BP529" t="s">
        <v>231</v>
      </c>
      <c r="BQ529" t="s">
        <v>231</v>
      </c>
      <c r="BR529" t="s">
        <v>231</v>
      </c>
      <c r="BS529" t="s">
        <v>231</v>
      </c>
      <c r="BT529" t="s">
        <v>231</v>
      </c>
      <c r="BU529" t="s">
        <v>231</v>
      </c>
      <c r="BV529" t="s">
        <v>231</v>
      </c>
      <c r="BW529" t="s">
        <v>231</v>
      </c>
      <c r="BX529" t="s">
        <v>231</v>
      </c>
      <c r="BY529" t="s">
        <v>231</v>
      </c>
      <c r="BZ529" t="s">
        <v>231</v>
      </c>
      <c r="CA529" t="s">
        <v>231</v>
      </c>
      <c r="CB529" t="s">
        <v>231</v>
      </c>
      <c r="CC529" t="s">
        <v>231</v>
      </c>
      <c r="CD529" t="s">
        <v>231</v>
      </c>
      <c r="CE529" t="s">
        <v>231</v>
      </c>
      <c r="CF529" t="s">
        <v>231</v>
      </c>
      <c r="CG529" t="s">
        <v>231</v>
      </c>
      <c r="CH529" t="s">
        <v>231</v>
      </c>
      <c r="CI529" t="s">
        <v>231</v>
      </c>
      <c r="CJ529" t="s">
        <v>231</v>
      </c>
      <c r="CK529" t="s">
        <v>231</v>
      </c>
      <c r="CL529" t="s">
        <v>231</v>
      </c>
      <c r="CM529" t="s">
        <v>231</v>
      </c>
      <c r="CN529" t="s">
        <v>231</v>
      </c>
      <c r="CO529" t="s">
        <v>231</v>
      </c>
      <c r="CP529" t="s">
        <v>231</v>
      </c>
      <c r="CQ529" t="s">
        <v>231</v>
      </c>
      <c r="CR529" t="s">
        <v>231</v>
      </c>
      <c r="CS529" t="s">
        <v>231</v>
      </c>
      <c r="CT529" t="s">
        <v>3534</v>
      </c>
      <c r="CU529" t="s">
        <v>3535</v>
      </c>
      <c r="CV529" t="s">
        <v>3536</v>
      </c>
      <c r="CW529" t="s">
        <v>3569</v>
      </c>
      <c r="CX529" t="s">
        <v>3570</v>
      </c>
      <c r="CY529" t="s">
        <v>3536</v>
      </c>
      <c r="CZ529" t="s">
        <v>224</v>
      </c>
      <c r="DA529" t="s">
        <v>3571</v>
      </c>
      <c r="DB529" t="s">
        <v>3569</v>
      </c>
      <c r="DC529" t="s">
        <v>363</v>
      </c>
      <c r="DD529" t="s">
        <v>282</v>
      </c>
      <c r="DE529" t="s">
        <v>4180</v>
      </c>
    </row>
    <row r="530" spans="1:109" ht="11.25" customHeight="1">
      <c r="A530" s="1314" t="s">
        <v>231</v>
      </c>
      <c r="B530" t="s">
        <v>231</v>
      </c>
      <c r="C530" t="s">
        <v>231</v>
      </c>
      <c r="D530" t="s">
        <v>231</v>
      </c>
      <c r="E530" t="s">
        <v>231</v>
      </c>
      <c r="F530" t="s">
        <v>231</v>
      </c>
      <c r="G530" t="s">
        <v>231</v>
      </c>
      <c r="H530" t="s">
        <v>231</v>
      </c>
      <c r="I530" t="s">
        <v>3521</v>
      </c>
      <c r="J530" t="s">
        <v>231</v>
      </c>
      <c r="K530" t="s">
        <v>231</v>
      </c>
      <c r="L530" t="s">
        <v>231</v>
      </c>
      <c r="M530" t="s">
        <v>231</v>
      </c>
      <c r="N530" t="s">
        <v>231</v>
      </c>
      <c r="O530" t="s">
        <v>231</v>
      </c>
      <c r="P530" t="s">
        <v>231</v>
      </c>
      <c r="Q530" t="s">
        <v>231</v>
      </c>
      <c r="R530" t="s">
        <v>3615</v>
      </c>
      <c r="S530" t="s">
        <v>231</v>
      </c>
      <c r="T530" t="s">
        <v>231</v>
      </c>
      <c r="U530" t="s">
        <v>101</v>
      </c>
      <c r="V530" t="s">
        <v>231</v>
      </c>
      <c r="W530" t="s">
        <v>231</v>
      </c>
      <c r="X530" t="s">
        <v>3523</v>
      </c>
      <c r="Y530" t="s">
        <v>231</v>
      </c>
      <c r="Z530" t="s">
        <v>160</v>
      </c>
      <c r="AA530" t="s">
        <v>151</v>
      </c>
      <c r="AB530" t="s">
        <v>151</v>
      </c>
      <c r="AC530" t="s">
        <v>2289</v>
      </c>
      <c r="AD530" t="s">
        <v>2289</v>
      </c>
      <c r="AE530" t="s">
        <v>2290</v>
      </c>
      <c r="AF530" t="s">
        <v>3885</v>
      </c>
      <c r="AG530" t="s">
        <v>3886</v>
      </c>
      <c r="AH530" t="s">
        <v>4170</v>
      </c>
      <c r="AI530" t="s">
        <v>4016</v>
      </c>
      <c r="AJ530" t="s">
        <v>3546</v>
      </c>
      <c r="AK530" t="s">
        <v>3586</v>
      </c>
      <c r="AL530" t="s">
        <v>3548</v>
      </c>
      <c r="AM530" t="s">
        <v>3531</v>
      </c>
      <c r="AN530" t="s">
        <v>3867</v>
      </c>
      <c r="AO530" t="s">
        <v>4545</v>
      </c>
      <c r="AP530" t="s">
        <v>231</v>
      </c>
      <c r="AQ530" t="s">
        <v>231</v>
      </c>
      <c r="AR530" t="s">
        <v>231</v>
      </c>
      <c r="AS530" t="s">
        <v>231</v>
      </c>
      <c r="AT530" t="s">
        <v>231</v>
      </c>
      <c r="AU530" t="s">
        <v>231</v>
      </c>
      <c r="AV530" t="s">
        <v>231</v>
      </c>
      <c r="AW530" t="s">
        <v>231</v>
      </c>
      <c r="AX530" t="s">
        <v>231</v>
      </c>
      <c r="AY530" t="s">
        <v>231</v>
      </c>
      <c r="AZ530" t="s">
        <v>231</v>
      </c>
      <c r="BA530" t="s">
        <v>231</v>
      </c>
      <c r="BB530" t="s">
        <v>231</v>
      </c>
      <c r="BC530" t="s">
        <v>231</v>
      </c>
      <c r="BD530" t="s">
        <v>231</v>
      </c>
      <c r="BE530" t="s">
        <v>231</v>
      </c>
      <c r="BF530" t="s">
        <v>231</v>
      </c>
      <c r="BG530" t="s">
        <v>231</v>
      </c>
      <c r="BH530" t="s">
        <v>231</v>
      </c>
      <c r="BI530" t="s">
        <v>231</v>
      </c>
      <c r="BJ530" t="s">
        <v>231</v>
      </c>
      <c r="BK530" t="s">
        <v>231</v>
      </c>
      <c r="BL530" t="s">
        <v>231</v>
      </c>
      <c r="BM530" t="s">
        <v>231</v>
      </c>
      <c r="BN530" t="s">
        <v>231</v>
      </c>
      <c r="BO530" t="s">
        <v>231</v>
      </c>
      <c r="BP530" t="s">
        <v>231</v>
      </c>
      <c r="BQ530" t="s">
        <v>231</v>
      </c>
      <c r="BR530" t="s">
        <v>231</v>
      </c>
      <c r="BS530" t="s">
        <v>231</v>
      </c>
      <c r="BT530" t="s">
        <v>231</v>
      </c>
      <c r="BU530" t="s">
        <v>231</v>
      </c>
      <c r="BV530" t="s">
        <v>231</v>
      </c>
      <c r="BW530" t="s">
        <v>231</v>
      </c>
      <c r="BX530" t="s">
        <v>231</v>
      </c>
      <c r="BY530" t="s">
        <v>231</v>
      </c>
      <c r="BZ530" t="s">
        <v>231</v>
      </c>
      <c r="CA530" t="s">
        <v>231</v>
      </c>
      <c r="CB530" t="s">
        <v>231</v>
      </c>
      <c r="CC530" t="s">
        <v>231</v>
      </c>
      <c r="CD530" t="s">
        <v>231</v>
      </c>
      <c r="CE530" t="s">
        <v>231</v>
      </c>
      <c r="CF530" t="s">
        <v>231</v>
      </c>
      <c r="CG530" t="s">
        <v>231</v>
      </c>
      <c r="CH530" t="s">
        <v>231</v>
      </c>
      <c r="CI530" t="s">
        <v>231</v>
      </c>
      <c r="CJ530" t="s">
        <v>231</v>
      </c>
      <c r="CK530" t="s">
        <v>231</v>
      </c>
      <c r="CL530" t="s">
        <v>231</v>
      </c>
      <c r="CM530" t="s">
        <v>231</v>
      </c>
      <c r="CN530" t="s">
        <v>231</v>
      </c>
      <c r="CO530" t="s">
        <v>231</v>
      </c>
      <c r="CP530" t="s">
        <v>231</v>
      </c>
      <c r="CQ530" t="s">
        <v>231</v>
      </c>
      <c r="CR530" t="s">
        <v>231</v>
      </c>
      <c r="CS530" t="s">
        <v>231</v>
      </c>
      <c r="CT530" t="s">
        <v>3534</v>
      </c>
      <c r="CU530" t="s">
        <v>3535</v>
      </c>
      <c r="CV530" t="s">
        <v>3536</v>
      </c>
      <c r="CW530" t="s">
        <v>3589</v>
      </c>
      <c r="CX530" t="s">
        <v>223</v>
      </c>
      <c r="CY530" t="s">
        <v>3536</v>
      </c>
      <c r="CZ530" t="s">
        <v>3590</v>
      </c>
      <c r="DA530" t="s">
        <v>3591</v>
      </c>
      <c r="DB530" t="s">
        <v>3589</v>
      </c>
      <c r="DC530" t="s">
        <v>363</v>
      </c>
      <c r="DD530" t="s">
        <v>282</v>
      </c>
      <c r="DE530" t="s">
        <v>5008</v>
      </c>
    </row>
    <row r="531" spans="1:109" ht="11.25" customHeight="1">
      <c r="A531" s="1314" t="s">
        <v>231</v>
      </c>
      <c r="B531" t="s">
        <v>231</v>
      </c>
      <c r="C531" t="s">
        <v>231</v>
      </c>
      <c r="D531" t="s">
        <v>231</v>
      </c>
      <c r="E531" t="s">
        <v>231</v>
      </c>
      <c r="F531" t="s">
        <v>231</v>
      </c>
      <c r="G531" t="s">
        <v>231</v>
      </c>
      <c r="H531" t="s">
        <v>231</v>
      </c>
      <c r="I531" t="s">
        <v>3521</v>
      </c>
      <c r="J531" t="s">
        <v>231</v>
      </c>
      <c r="K531" t="s">
        <v>231</v>
      </c>
      <c r="L531" t="s">
        <v>231</v>
      </c>
      <c r="M531" t="s">
        <v>231</v>
      </c>
      <c r="N531" t="s">
        <v>231</v>
      </c>
      <c r="O531" t="s">
        <v>231</v>
      </c>
      <c r="P531" t="s">
        <v>231</v>
      </c>
      <c r="Q531" t="s">
        <v>231</v>
      </c>
      <c r="R531" t="s">
        <v>3884</v>
      </c>
      <c r="S531" t="s">
        <v>231</v>
      </c>
      <c r="T531" t="s">
        <v>231</v>
      </c>
      <c r="U531" t="s">
        <v>101</v>
      </c>
      <c r="V531" t="s">
        <v>231</v>
      </c>
      <c r="W531" t="s">
        <v>231</v>
      </c>
      <c r="X531" t="s">
        <v>3628</v>
      </c>
      <c r="Y531" t="s">
        <v>231</v>
      </c>
      <c r="Z531" t="s">
        <v>151</v>
      </c>
      <c r="AA531" t="s">
        <v>151</v>
      </c>
      <c r="AB531" t="s">
        <v>160</v>
      </c>
      <c r="AC531" t="s">
        <v>2289</v>
      </c>
      <c r="AD531" t="s">
        <v>2289</v>
      </c>
      <c r="AE531" t="s">
        <v>2290</v>
      </c>
      <c r="AF531" t="s">
        <v>3885</v>
      </c>
      <c r="AG531" t="s">
        <v>3886</v>
      </c>
      <c r="AH531" t="s">
        <v>3618</v>
      </c>
      <c r="AI531" t="s">
        <v>3618</v>
      </c>
      <c r="AJ531" t="s">
        <v>231</v>
      </c>
      <c r="AK531" t="s">
        <v>231</v>
      </c>
      <c r="AL531" t="s">
        <v>231</v>
      </c>
      <c r="AM531" t="s">
        <v>231</v>
      </c>
      <c r="AN531" t="s">
        <v>231</v>
      </c>
      <c r="AO531" t="s">
        <v>231</v>
      </c>
      <c r="AP531" t="s">
        <v>231</v>
      </c>
      <c r="AQ531" t="s">
        <v>231</v>
      </c>
      <c r="AR531" t="s">
        <v>231</v>
      </c>
      <c r="AS531" t="s">
        <v>231</v>
      </c>
      <c r="AT531" t="s">
        <v>231</v>
      </c>
      <c r="AU531" t="s">
        <v>231</v>
      </c>
      <c r="AV531" t="s">
        <v>231</v>
      </c>
      <c r="AW531" t="s">
        <v>231</v>
      </c>
      <c r="AX531" t="s">
        <v>231</v>
      </c>
      <c r="AY531" t="s">
        <v>231</v>
      </c>
      <c r="AZ531" t="s">
        <v>231</v>
      </c>
      <c r="BA531" t="s">
        <v>231</v>
      </c>
      <c r="BB531" t="s">
        <v>231</v>
      </c>
      <c r="BC531" t="s">
        <v>231</v>
      </c>
      <c r="BD531" t="s">
        <v>231</v>
      </c>
      <c r="BE531" t="s">
        <v>3594</v>
      </c>
      <c r="BF531" t="s">
        <v>3716</v>
      </c>
      <c r="BG531" t="s">
        <v>111</v>
      </c>
      <c r="BH531" t="s">
        <v>3632</v>
      </c>
      <c r="BI531" t="s">
        <v>122</v>
      </c>
      <c r="BJ531" t="s">
        <v>231</v>
      </c>
      <c r="BK531" t="s">
        <v>3651</v>
      </c>
      <c r="BL531" t="s">
        <v>2289</v>
      </c>
      <c r="BM531" t="s">
        <v>2289</v>
      </c>
      <c r="BN531" t="s">
        <v>3707</v>
      </c>
      <c r="BO531" t="s">
        <v>3885</v>
      </c>
      <c r="BP531" t="s">
        <v>3887</v>
      </c>
      <c r="BQ531" t="s">
        <v>3618</v>
      </c>
      <c r="BR531" t="s">
        <v>3618</v>
      </c>
      <c r="BS531" t="s">
        <v>231</v>
      </c>
      <c r="BT531" t="s">
        <v>3694</v>
      </c>
      <c r="BU531" t="s">
        <v>3888</v>
      </c>
      <c r="BV531" t="s">
        <v>3888</v>
      </c>
      <c r="BW531" t="s">
        <v>3641</v>
      </c>
      <c r="BX531" t="s">
        <v>3641</v>
      </c>
      <c r="BY531" t="s">
        <v>3641</v>
      </c>
      <c r="BZ531" t="s">
        <v>3641</v>
      </c>
      <c r="CA531" t="s">
        <v>3641</v>
      </c>
      <c r="CB531" t="s">
        <v>231</v>
      </c>
      <c r="CC531" t="s">
        <v>231</v>
      </c>
      <c r="CD531" t="s">
        <v>231</v>
      </c>
      <c r="CE531" t="s">
        <v>231</v>
      </c>
      <c r="CF531" t="s">
        <v>231</v>
      </c>
      <c r="CG531" t="s">
        <v>3641</v>
      </c>
      <c r="CH531" t="s">
        <v>231</v>
      </c>
      <c r="CI531" t="s">
        <v>231</v>
      </c>
      <c r="CJ531" t="s">
        <v>231</v>
      </c>
      <c r="CK531" t="s">
        <v>231</v>
      </c>
      <c r="CL531" t="s">
        <v>231</v>
      </c>
      <c r="CM531" t="s">
        <v>3888</v>
      </c>
      <c r="CN531" t="s">
        <v>3888</v>
      </c>
      <c r="CO531" t="s">
        <v>231</v>
      </c>
      <c r="CP531" t="s">
        <v>231</v>
      </c>
      <c r="CQ531" t="s">
        <v>231</v>
      </c>
      <c r="CR531" t="s">
        <v>231</v>
      </c>
      <c r="CS531" t="s">
        <v>3710</v>
      </c>
      <c r="CT531" t="s">
        <v>3534</v>
      </c>
      <c r="CU531" t="s">
        <v>3535</v>
      </c>
      <c r="CV531" t="s">
        <v>3536</v>
      </c>
      <c r="CW531" t="s">
        <v>3589</v>
      </c>
      <c r="CX531" t="s">
        <v>223</v>
      </c>
      <c r="CY531" t="s">
        <v>3536</v>
      </c>
      <c r="CZ531" t="s">
        <v>3590</v>
      </c>
      <c r="DA531" t="s">
        <v>3591</v>
      </c>
      <c r="DB531" t="s">
        <v>3589</v>
      </c>
      <c r="DC531" t="s">
        <v>363</v>
      </c>
      <c r="DD531" t="s">
        <v>282</v>
      </c>
      <c r="DE531" t="s">
        <v>3889</v>
      </c>
    </row>
    <row r="532" spans="1:109" ht="11.25" customHeight="1">
      <c r="A532" s="1314" t="s">
        <v>231</v>
      </c>
      <c r="B532" t="s">
        <v>231</v>
      </c>
      <c r="C532" t="s">
        <v>231</v>
      </c>
      <c r="D532" t="s">
        <v>231</v>
      </c>
      <c r="E532" t="s">
        <v>231</v>
      </c>
      <c r="F532" t="s">
        <v>231</v>
      </c>
      <c r="G532" t="s">
        <v>231</v>
      </c>
      <c r="H532" t="s">
        <v>231</v>
      </c>
      <c r="I532" t="s">
        <v>3521</v>
      </c>
      <c r="J532" t="s">
        <v>231</v>
      </c>
      <c r="K532" t="s">
        <v>231</v>
      </c>
      <c r="L532" t="s">
        <v>231</v>
      </c>
      <c r="M532" t="s">
        <v>231</v>
      </c>
      <c r="N532" t="s">
        <v>231</v>
      </c>
      <c r="O532" t="s">
        <v>231</v>
      </c>
      <c r="P532" t="s">
        <v>231</v>
      </c>
      <c r="Q532" t="s">
        <v>231</v>
      </c>
      <c r="R532" t="s">
        <v>5064</v>
      </c>
      <c r="S532" t="s">
        <v>231</v>
      </c>
      <c r="T532" t="s">
        <v>231</v>
      </c>
      <c r="U532" t="s">
        <v>101</v>
      </c>
      <c r="V532" t="s">
        <v>231</v>
      </c>
      <c r="W532" t="s">
        <v>231</v>
      </c>
      <c r="X532" t="s">
        <v>3523</v>
      </c>
      <c r="Y532" t="s">
        <v>231</v>
      </c>
      <c r="Z532" t="s">
        <v>160</v>
      </c>
      <c r="AA532" t="s">
        <v>151</v>
      </c>
      <c r="AB532" t="s">
        <v>151</v>
      </c>
      <c r="AC532" t="s">
        <v>343</v>
      </c>
      <c r="AD532" t="s">
        <v>343</v>
      </c>
      <c r="AE532" t="s">
        <v>344</v>
      </c>
      <c r="AF532" t="s">
        <v>3561</v>
      </c>
      <c r="AG532" t="s">
        <v>3562</v>
      </c>
      <c r="AH532" t="s">
        <v>3609</v>
      </c>
      <c r="AI532" t="s">
        <v>3610</v>
      </c>
      <c r="AJ532" t="s">
        <v>3611</v>
      </c>
      <c r="AK532" t="s">
        <v>3612</v>
      </c>
      <c r="AL532" t="s">
        <v>3613</v>
      </c>
      <c r="AM532" t="s">
        <v>3531</v>
      </c>
      <c r="AN532" t="s">
        <v>3567</v>
      </c>
      <c r="AO532" t="s">
        <v>3568</v>
      </c>
      <c r="AP532" t="s">
        <v>231</v>
      </c>
      <c r="AQ532" t="s">
        <v>231</v>
      </c>
      <c r="AR532" t="s">
        <v>231</v>
      </c>
      <c r="AS532" t="s">
        <v>231</v>
      </c>
      <c r="AT532" t="s">
        <v>231</v>
      </c>
      <c r="AU532" t="s">
        <v>231</v>
      </c>
      <c r="AV532" t="s">
        <v>231</v>
      </c>
      <c r="AW532" t="s">
        <v>231</v>
      </c>
      <c r="AX532" t="s">
        <v>231</v>
      </c>
      <c r="AY532" t="s">
        <v>231</v>
      </c>
      <c r="AZ532" t="s">
        <v>231</v>
      </c>
      <c r="BA532" t="s">
        <v>231</v>
      </c>
      <c r="BB532" t="s">
        <v>231</v>
      </c>
      <c r="BC532" t="s">
        <v>231</v>
      </c>
      <c r="BD532" t="s">
        <v>231</v>
      </c>
      <c r="BE532" t="s">
        <v>231</v>
      </c>
      <c r="BF532" t="s">
        <v>231</v>
      </c>
      <c r="BG532" t="s">
        <v>231</v>
      </c>
      <c r="BH532" t="s">
        <v>231</v>
      </c>
      <c r="BI532" t="s">
        <v>231</v>
      </c>
      <c r="BJ532" t="s">
        <v>231</v>
      </c>
      <c r="BK532" t="s">
        <v>231</v>
      </c>
      <c r="BL532" t="s">
        <v>231</v>
      </c>
      <c r="BM532" t="s">
        <v>231</v>
      </c>
      <c r="BN532" t="s">
        <v>231</v>
      </c>
      <c r="BO532" t="s">
        <v>231</v>
      </c>
      <c r="BP532" t="s">
        <v>231</v>
      </c>
      <c r="BQ532" t="s">
        <v>231</v>
      </c>
      <c r="BR532" t="s">
        <v>231</v>
      </c>
      <c r="BS532" t="s">
        <v>231</v>
      </c>
      <c r="BT532" t="s">
        <v>231</v>
      </c>
      <c r="BU532" t="s">
        <v>231</v>
      </c>
      <c r="BV532" t="s">
        <v>231</v>
      </c>
      <c r="BW532" t="s">
        <v>231</v>
      </c>
      <c r="BX532" t="s">
        <v>231</v>
      </c>
      <c r="BY532" t="s">
        <v>231</v>
      </c>
      <c r="BZ532" t="s">
        <v>231</v>
      </c>
      <c r="CA532" t="s">
        <v>231</v>
      </c>
      <c r="CB532" t="s">
        <v>231</v>
      </c>
      <c r="CC532" t="s">
        <v>231</v>
      </c>
      <c r="CD532" t="s">
        <v>231</v>
      </c>
      <c r="CE532" t="s">
        <v>231</v>
      </c>
      <c r="CF532" t="s">
        <v>231</v>
      </c>
      <c r="CG532" t="s">
        <v>231</v>
      </c>
      <c r="CH532" t="s">
        <v>231</v>
      </c>
      <c r="CI532" t="s">
        <v>231</v>
      </c>
      <c r="CJ532" t="s">
        <v>231</v>
      </c>
      <c r="CK532" t="s">
        <v>231</v>
      </c>
      <c r="CL532" t="s">
        <v>231</v>
      </c>
      <c r="CM532" t="s">
        <v>231</v>
      </c>
      <c r="CN532" t="s">
        <v>231</v>
      </c>
      <c r="CO532" t="s">
        <v>231</v>
      </c>
      <c r="CP532" t="s">
        <v>231</v>
      </c>
      <c r="CQ532" t="s">
        <v>231</v>
      </c>
      <c r="CR532" t="s">
        <v>231</v>
      </c>
      <c r="CS532" t="s">
        <v>231</v>
      </c>
      <c r="CT532" t="s">
        <v>3534</v>
      </c>
      <c r="CU532" t="s">
        <v>3535</v>
      </c>
      <c r="CV532" t="s">
        <v>3536</v>
      </c>
      <c r="CW532" t="s">
        <v>3569</v>
      </c>
      <c r="CX532" t="s">
        <v>3570</v>
      </c>
      <c r="CY532" t="s">
        <v>3536</v>
      </c>
      <c r="CZ532" t="s">
        <v>224</v>
      </c>
      <c r="DA532" t="s">
        <v>3571</v>
      </c>
      <c r="DB532" t="s">
        <v>3569</v>
      </c>
      <c r="DC532" t="s">
        <v>363</v>
      </c>
      <c r="DD532" t="s">
        <v>282</v>
      </c>
      <c r="DE532" t="s">
        <v>3614</v>
      </c>
    </row>
    <row r="533" spans="1:109" ht="11.25" customHeight="1">
      <c r="A533" s="1314" t="s">
        <v>231</v>
      </c>
      <c r="B533" t="s">
        <v>231</v>
      </c>
      <c r="C533" t="s">
        <v>231</v>
      </c>
      <c r="D533" t="s">
        <v>231</v>
      </c>
      <c r="E533" t="s">
        <v>231</v>
      </c>
      <c r="F533" t="s">
        <v>231</v>
      </c>
      <c r="G533" t="s">
        <v>231</v>
      </c>
      <c r="H533" t="s">
        <v>231</v>
      </c>
      <c r="I533" t="s">
        <v>3521</v>
      </c>
      <c r="J533" t="s">
        <v>231</v>
      </c>
      <c r="K533" t="s">
        <v>231</v>
      </c>
      <c r="L533" t="s">
        <v>231</v>
      </c>
      <c r="M533" t="s">
        <v>231</v>
      </c>
      <c r="N533" t="s">
        <v>231</v>
      </c>
      <c r="O533" t="s">
        <v>231</v>
      </c>
      <c r="P533" t="s">
        <v>231</v>
      </c>
      <c r="Q533" t="s">
        <v>231</v>
      </c>
      <c r="R533" t="s">
        <v>3615</v>
      </c>
      <c r="S533" t="s">
        <v>231</v>
      </c>
      <c r="T533" t="s">
        <v>231</v>
      </c>
      <c r="U533" t="s">
        <v>101</v>
      </c>
      <c r="V533" t="s">
        <v>231</v>
      </c>
      <c r="W533" t="s">
        <v>231</v>
      </c>
      <c r="X533" t="s">
        <v>3523</v>
      </c>
      <c r="Y533" t="s">
        <v>231</v>
      </c>
      <c r="Z533" t="s">
        <v>160</v>
      </c>
      <c r="AA533" t="s">
        <v>151</v>
      </c>
      <c r="AB533" t="s">
        <v>151</v>
      </c>
      <c r="AC533" t="s">
        <v>2287</v>
      </c>
      <c r="AD533" t="s">
        <v>2287</v>
      </c>
      <c r="AE533" t="s">
        <v>2288</v>
      </c>
      <c r="AF533" t="s">
        <v>3616</v>
      </c>
      <c r="AG533" t="s">
        <v>3617</v>
      </c>
      <c r="AH533" t="s">
        <v>3618</v>
      </c>
      <c r="AI533" t="s">
        <v>3618</v>
      </c>
      <c r="AJ533" t="s">
        <v>3619</v>
      </c>
      <c r="AK533" t="s">
        <v>3620</v>
      </c>
      <c r="AL533" t="s">
        <v>3548</v>
      </c>
      <c r="AM533" t="s">
        <v>3531</v>
      </c>
      <c r="AN533" t="s">
        <v>3621</v>
      </c>
      <c r="AO533" t="s">
        <v>3622</v>
      </c>
      <c r="AP533" t="s">
        <v>231</v>
      </c>
      <c r="AQ533" t="s">
        <v>231</v>
      </c>
      <c r="AR533" t="s">
        <v>231</v>
      </c>
      <c r="AS533" t="s">
        <v>231</v>
      </c>
      <c r="AT533" t="s">
        <v>231</v>
      </c>
      <c r="AU533" t="s">
        <v>231</v>
      </c>
      <c r="AV533" t="s">
        <v>231</v>
      </c>
      <c r="AW533" t="s">
        <v>231</v>
      </c>
      <c r="AX533" t="s">
        <v>231</v>
      </c>
      <c r="AY533" t="s">
        <v>231</v>
      </c>
      <c r="AZ533" t="s">
        <v>231</v>
      </c>
      <c r="BA533" t="s">
        <v>231</v>
      </c>
      <c r="BB533" t="s">
        <v>231</v>
      </c>
      <c r="BC533" t="s">
        <v>231</v>
      </c>
      <c r="BD533" t="s">
        <v>231</v>
      </c>
      <c r="BE533" t="s">
        <v>231</v>
      </c>
      <c r="BF533" t="s">
        <v>231</v>
      </c>
      <c r="BG533" t="s">
        <v>231</v>
      </c>
      <c r="BH533" t="s">
        <v>231</v>
      </c>
      <c r="BI533" t="s">
        <v>231</v>
      </c>
      <c r="BJ533" t="s">
        <v>231</v>
      </c>
      <c r="BK533" t="s">
        <v>231</v>
      </c>
      <c r="BL533" t="s">
        <v>231</v>
      </c>
      <c r="BM533" t="s">
        <v>231</v>
      </c>
      <c r="BN533" t="s">
        <v>231</v>
      </c>
      <c r="BO533" t="s">
        <v>231</v>
      </c>
      <c r="BP533" t="s">
        <v>231</v>
      </c>
      <c r="BQ533" t="s">
        <v>231</v>
      </c>
      <c r="BR533" t="s">
        <v>231</v>
      </c>
      <c r="BS533" t="s">
        <v>231</v>
      </c>
      <c r="BT533" t="s">
        <v>231</v>
      </c>
      <c r="BU533" t="s">
        <v>231</v>
      </c>
      <c r="BV533" t="s">
        <v>231</v>
      </c>
      <c r="BW533" t="s">
        <v>231</v>
      </c>
      <c r="BX533" t="s">
        <v>231</v>
      </c>
      <c r="BY533" t="s">
        <v>231</v>
      </c>
      <c r="BZ533" t="s">
        <v>231</v>
      </c>
      <c r="CA533" t="s">
        <v>231</v>
      </c>
      <c r="CB533" t="s">
        <v>231</v>
      </c>
      <c r="CC533" t="s">
        <v>231</v>
      </c>
      <c r="CD533" t="s">
        <v>231</v>
      </c>
      <c r="CE533" t="s">
        <v>231</v>
      </c>
      <c r="CF533" t="s">
        <v>231</v>
      </c>
      <c r="CG533" t="s">
        <v>231</v>
      </c>
      <c r="CH533" t="s">
        <v>231</v>
      </c>
      <c r="CI533" t="s">
        <v>231</v>
      </c>
      <c r="CJ533" t="s">
        <v>231</v>
      </c>
      <c r="CK533" t="s">
        <v>231</v>
      </c>
      <c r="CL533" t="s">
        <v>231</v>
      </c>
      <c r="CM533" t="s">
        <v>231</v>
      </c>
      <c r="CN533" t="s">
        <v>231</v>
      </c>
      <c r="CO533" t="s">
        <v>231</v>
      </c>
      <c r="CP533" t="s">
        <v>231</v>
      </c>
      <c r="CQ533" t="s">
        <v>231</v>
      </c>
      <c r="CR533" t="s">
        <v>231</v>
      </c>
      <c r="CS533" t="s">
        <v>231</v>
      </c>
      <c r="CT533" t="s">
        <v>3534</v>
      </c>
      <c r="CU533" t="s">
        <v>3535</v>
      </c>
      <c r="CV533" t="s">
        <v>3536</v>
      </c>
      <c r="CW533" t="s">
        <v>3623</v>
      </c>
      <c r="CX533" t="s">
        <v>223</v>
      </c>
      <c r="CY533" t="s">
        <v>3536</v>
      </c>
      <c r="CZ533" t="s">
        <v>3624</v>
      </c>
      <c r="DA533" t="s">
        <v>3625</v>
      </c>
      <c r="DB533" t="s">
        <v>3623</v>
      </c>
      <c r="DC533" t="s">
        <v>363</v>
      </c>
      <c r="DD533" t="s">
        <v>282</v>
      </c>
      <c r="DE533" t="s">
        <v>3626</v>
      </c>
    </row>
    <row r="534" spans="1:109" ht="11.25" customHeight="1">
      <c r="A534" s="1314" t="s">
        <v>231</v>
      </c>
      <c r="B534" t="s">
        <v>231</v>
      </c>
      <c r="C534" t="s">
        <v>231</v>
      </c>
      <c r="D534" t="s">
        <v>231</v>
      </c>
      <c r="E534" t="s">
        <v>231</v>
      </c>
      <c r="F534" t="s">
        <v>231</v>
      </c>
      <c r="G534" t="s">
        <v>231</v>
      </c>
      <c r="H534" t="s">
        <v>231</v>
      </c>
      <c r="I534" t="s">
        <v>3521</v>
      </c>
      <c r="J534" t="s">
        <v>231</v>
      </c>
      <c r="K534" t="s">
        <v>231</v>
      </c>
      <c r="L534" t="s">
        <v>231</v>
      </c>
      <c r="M534" t="s">
        <v>231</v>
      </c>
      <c r="N534" t="s">
        <v>231</v>
      </c>
      <c r="O534" t="s">
        <v>231</v>
      </c>
      <c r="P534" t="s">
        <v>231</v>
      </c>
      <c r="Q534" t="s">
        <v>231</v>
      </c>
      <c r="R534" t="s">
        <v>3895</v>
      </c>
      <c r="S534" t="s">
        <v>231</v>
      </c>
      <c r="T534" t="s">
        <v>231</v>
      </c>
      <c r="U534" t="s">
        <v>101</v>
      </c>
      <c r="V534" t="s">
        <v>231</v>
      </c>
      <c r="W534" t="s">
        <v>231</v>
      </c>
      <c r="X534" t="s">
        <v>3628</v>
      </c>
      <c r="Y534" t="s">
        <v>231</v>
      </c>
      <c r="Z534" t="s">
        <v>151</v>
      </c>
      <c r="AA534" t="s">
        <v>151</v>
      </c>
      <c r="AB534" t="s">
        <v>160</v>
      </c>
      <c r="AC534" t="s">
        <v>2287</v>
      </c>
      <c r="AD534" t="s">
        <v>2287</v>
      </c>
      <c r="AE534" t="s">
        <v>2288</v>
      </c>
      <c r="AF534" t="s">
        <v>3616</v>
      </c>
      <c r="AG534" t="s">
        <v>3617</v>
      </c>
      <c r="AH534" t="s">
        <v>3618</v>
      </c>
      <c r="AI534" t="s">
        <v>3618</v>
      </c>
      <c r="AJ534" t="s">
        <v>231</v>
      </c>
      <c r="AK534" t="s">
        <v>231</v>
      </c>
      <c r="AL534" t="s">
        <v>231</v>
      </c>
      <c r="AM534" t="s">
        <v>231</v>
      </c>
      <c r="AN534" t="s">
        <v>231</v>
      </c>
      <c r="AO534" t="s">
        <v>231</v>
      </c>
      <c r="AP534" t="s">
        <v>231</v>
      </c>
      <c r="AQ534" t="s">
        <v>231</v>
      </c>
      <c r="AR534" t="s">
        <v>231</v>
      </c>
      <c r="AS534" t="s">
        <v>231</v>
      </c>
      <c r="AT534" t="s">
        <v>231</v>
      </c>
      <c r="AU534" t="s">
        <v>231</v>
      </c>
      <c r="AV534" t="s">
        <v>231</v>
      </c>
      <c r="AW534" t="s">
        <v>231</v>
      </c>
      <c r="AX534" t="s">
        <v>231</v>
      </c>
      <c r="AY534" t="s">
        <v>231</v>
      </c>
      <c r="AZ534" t="s">
        <v>231</v>
      </c>
      <c r="BA534" t="s">
        <v>231</v>
      </c>
      <c r="BB534" t="s">
        <v>231</v>
      </c>
      <c r="BC534" t="s">
        <v>231</v>
      </c>
      <c r="BD534" t="s">
        <v>231</v>
      </c>
      <c r="BE534" t="s">
        <v>3619</v>
      </c>
      <c r="BF534" t="s">
        <v>3620</v>
      </c>
      <c r="BG534" t="s">
        <v>111</v>
      </c>
      <c r="BH534" t="s">
        <v>3632</v>
      </c>
      <c r="BI534" t="s">
        <v>122</v>
      </c>
      <c r="BJ534" t="s">
        <v>231</v>
      </c>
      <c r="BK534" t="s">
        <v>3651</v>
      </c>
      <c r="BL534" t="s">
        <v>2287</v>
      </c>
      <c r="BM534" t="s">
        <v>2287</v>
      </c>
      <c r="BN534" t="s">
        <v>3842</v>
      </c>
      <c r="BO534" t="s">
        <v>3616</v>
      </c>
      <c r="BP534" t="s">
        <v>3896</v>
      </c>
      <c r="BQ534" t="s">
        <v>3618</v>
      </c>
      <c r="BR534" t="s">
        <v>3618</v>
      </c>
      <c r="BS534" t="s">
        <v>231</v>
      </c>
      <c r="BT534" t="s">
        <v>3694</v>
      </c>
      <c r="BU534" t="s">
        <v>3897</v>
      </c>
      <c r="BV534" t="s">
        <v>3897</v>
      </c>
      <c r="BW534" t="s">
        <v>3641</v>
      </c>
      <c r="BX534" t="s">
        <v>3641</v>
      </c>
      <c r="BY534" t="s">
        <v>3641</v>
      </c>
      <c r="BZ534" t="s">
        <v>3641</v>
      </c>
      <c r="CA534" t="s">
        <v>3641</v>
      </c>
      <c r="CB534" t="s">
        <v>231</v>
      </c>
      <c r="CC534" t="s">
        <v>231</v>
      </c>
      <c r="CD534" t="s">
        <v>231</v>
      </c>
      <c r="CE534" t="s">
        <v>231</v>
      </c>
      <c r="CF534" t="s">
        <v>231</v>
      </c>
      <c r="CG534" t="s">
        <v>3641</v>
      </c>
      <c r="CH534" t="s">
        <v>231</v>
      </c>
      <c r="CI534" t="s">
        <v>231</v>
      </c>
      <c r="CJ534" t="s">
        <v>231</v>
      </c>
      <c r="CK534" t="s">
        <v>231</v>
      </c>
      <c r="CL534" t="s">
        <v>231</v>
      </c>
      <c r="CM534" t="s">
        <v>3897</v>
      </c>
      <c r="CN534" t="s">
        <v>3897</v>
      </c>
      <c r="CO534" t="s">
        <v>231</v>
      </c>
      <c r="CP534" t="s">
        <v>231</v>
      </c>
      <c r="CQ534" t="s">
        <v>231</v>
      </c>
      <c r="CR534" t="s">
        <v>231</v>
      </c>
      <c r="CS534" t="s">
        <v>3595</v>
      </c>
      <c r="CT534" t="s">
        <v>3534</v>
      </c>
      <c r="CU534" t="s">
        <v>3535</v>
      </c>
      <c r="CV534" t="s">
        <v>3536</v>
      </c>
      <c r="CW534" t="s">
        <v>3623</v>
      </c>
      <c r="CX534" t="s">
        <v>223</v>
      </c>
      <c r="CY534" t="s">
        <v>3536</v>
      </c>
      <c r="CZ534" t="s">
        <v>3624</v>
      </c>
      <c r="DA534" t="s">
        <v>3625</v>
      </c>
      <c r="DB534" t="s">
        <v>3623</v>
      </c>
      <c r="DC534" t="s">
        <v>363</v>
      </c>
      <c r="DD534" t="s">
        <v>282</v>
      </c>
      <c r="DE534" t="s">
        <v>3626</v>
      </c>
    </row>
    <row r="535" spans="1:109" ht="11.25" customHeight="1">
      <c r="A535" s="1314" t="s">
        <v>231</v>
      </c>
      <c r="B535" t="s">
        <v>231</v>
      </c>
      <c r="C535" t="s">
        <v>231</v>
      </c>
      <c r="D535" t="s">
        <v>231</v>
      </c>
      <c r="E535" t="s">
        <v>231</v>
      </c>
      <c r="F535" t="s">
        <v>231</v>
      </c>
      <c r="G535" t="s">
        <v>231</v>
      </c>
      <c r="H535" t="s">
        <v>231</v>
      </c>
      <c r="I535" t="s">
        <v>3521</v>
      </c>
      <c r="J535" t="s">
        <v>231</v>
      </c>
      <c r="K535" t="s">
        <v>231</v>
      </c>
      <c r="L535" t="s">
        <v>231</v>
      </c>
      <c r="M535" t="s">
        <v>231</v>
      </c>
      <c r="N535" t="s">
        <v>231</v>
      </c>
      <c r="O535" t="s">
        <v>231</v>
      </c>
      <c r="P535" t="s">
        <v>231</v>
      </c>
      <c r="Q535" t="s">
        <v>231</v>
      </c>
      <c r="R535" t="s">
        <v>5065</v>
      </c>
      <c r="S535" t="s">
        <v>231</v>
      </c>
      <c r="T535" t="s">
        <v>231</v>
      </c>
      <c r="U535" t="s">
        <v>101</v>
      </c>
      <c r="V535" t="s">
        <v>231</v>
      </c>
      <c r="W535" t="s">
        <v>231</v>
      </c>
      <c r="X535" t="s">
        <v>3628</v>
      </c>
      <c r="Y535" t="s">
        <v>231</v>
      </c>
      <c r="Z535" t="s">
        <v>151</v>
      </c>
      <c r="AA535" t="s">
        <v>151</v>
      </c>
      <c r="AB535" t="s">
        <v>160</v>
      </c>
      <c r="AC535" t="s">
        <v>343</v>
      </c>
      <c r="AD535" t="s">
        <v>343</v>
      </c>
      <c r="AE535" t="s">
        <v>344</v>
      </c>
      <c r="AF535" t="s">
        <v>3561</v>
      </c>
      <c r="AG535" t="s">
        <v>3562</v>
      </c>
      <c r="AH535" t="s">
        <v>3636</v>
      </c>
      <c r="AI535" t="s">
        <v>3575</v>
      </c>
      <c r="AJ535" t="s">
        <v>231</v>
      </c>
      <c r="AK535" t="s">
        <v>231</v>
      </c>
      <c r="AL535" t="s">
        <v>231</v>
      </c>
      <c r="AM535" t="s">
        <v>231</v>
      </c>
      <c r="AN535" t="s">
        <v>231</v>
      </c>
      <c r="AO535" t="s">
        <v>231</v>
      </c>
      <c r="AP535" t="s">
        <v>231</v>
      </c>
      <c r="AQ535" t="s">
        <v>231</v>
      </c>
      <c r="AR535" t="s">
        <v>231</v>
      </c>
      <c r="AS535" t="s">
        <v>231</v>
      </c>
      <c r="AT535" t="s">
        <v>231</v>
      </c>
      <c r="AU535" t="s">
        <v>231</v>
      </c>
      <c r="AV535" t="s">
        <v>231</v>
      </c>
      <c r="AW535" t="s">
        <v>231</v>
      </c>
      <c r="AX535" t="s">
        <v>231</v>
      </c>
      <c r="AY535" t="s">
        <v>231</v>
      </c>
      <c r="AZ535" t="s">
        <v>231</v>
      </c>
      <c r="BA535" t="s">
        <v>231</v>
      </c>
      <c r="BB535" t="s">
        <v>231</v>
      </c>
      <c r="BC535" t="s">
        <v>231</v>
      </c>
      <c r="BD535" t="s">
        <v>231</v>
      </c>
      <c r="BE535" t="s">
        <v>3646</v>
      </c>
      <c r="BF535" t="s">
        <v>4866</v>
      </c>
      <c r="BG535" t="s">
        <v>111</v>
      </c>
      <c r="BH535" t="s">
        <v>3632</v>
      </c>
      <c r="BI535" t="s">
        <v>122</v>
      </c>
      <c r="BJ535" t="s">
        <v>231</v>
      </c>
      <c r="BK535" t="s">
        <v>4867</v>
      </c>
      <c r="BL535" t="s">
        <v>343</v>
      </c>
      <c r="BM535" t="s">
        <v>343</v>
      </c>
      <c r="BN535" t="s">
        <v>3634</v>
      </c>
      <c r="BO535" t="s">
        <v>3561</v>
      </c>
      <c r="BP535" t="s">
        <v>3635</v>
      </c>
      <c r="BQ535" t="s">
        <v>3636</v>
      </c>
      <c r="BR535" t="s">
        <v>3575</v>
      </c>
      <c r="BS535" t="s">
        <v>231</v>
      </c>
      <c r="BT535" t="s">
        <v>3637</v>
      </c>
      <c r="BU535" t="s">
        <v>5066</v>
      </c>
      <c r="BV535" t="s">
        <v>5067</v>
      </c>
      <c r="BW535" t="s">
        <v>4870</v>
      </c>
      <c r="BX535" t="s">
        <v>4871</v>
      </c>
      <c r="BY535" t="s">
        <v>3641</v>
      </c>
      <c r="BZ535" t="s">
        <v>3641</v>
      </c>
      <c r="CA535" t="s">
        <v>4872</v>
      </c>
      <c r="CB535" t="s">
        <v>3641</v>
      </c>
      <c r="CC535" t="s">
        <v>4872</v>
      </c>
      <c r="CD535" t="s">
        <v>3641</v>
      </c>
      <c r="CE535" t="s">
        <v>3641</v>
      </c>
      <c r="CF535" t="s">
        <v>3641</v>
      </c>
      <c r="CG535" t="s">
        <v>3641</v>
      </c>
      <c r="CH535" t="s">
        <v>3641</v>
      </c>
      <c r="CI535" t="s">
        <v>3641</v>
      </c>
      <c r="CJ535" t="s">
        <v>3641</v>
      </c>
      <c r="CK535" t="s">
        <v>3641</v>
      </c>
      <c r="CL535" t="s">
        <v>3641</v>
      </c>
      <c r="CM535" t="s">
        <v>5068</v>
      </c>
      <c r="CN535" t="s">
        <v>5067</v>
      </c>
      <c r="CO535" t="s">
        <v>4874</v>
      </c>
      <c r="CP535" t="s">
        <v>4871</v>
      </c>
      <c r="CQ535" t="s">
        <v>3641</v>
      </c>
      <c r="CR535" t="s">
        <v>3641</v>
      </c>
      <c r="CS535" t="s">
        <v>3642</v>
      </c>
      <c r="CT535" t="s">
        <v>3534</v>
      </c>
      <c r="CU535" t="s">
        <v>3535</v>
      </c>
      <c r="CV535" t="s">
        <v>3536</v>
      </c>
      <c r="CW535" t="s">
        <v>3643</v>
      </c>
      <c r="CX535" t="s">
        <v>3570</v>
      </c>
      <c r="CY535" t="s">
        <v>3536</v>
      </c>
      <c r="CZ535" t="s">
        <v>224</v>
      </c>
      <c r="DA535" t="s">
        <v>3571</v>
      </c>
      <c r="DB535" t="s">
        <v>3643</v>
      </c>
      <c r="DC535" t="s">
        <v>363</v>
      </c>
      <c r="DD535" t="s">
        <v>282</v>
      </c>
      <c r="DE535" t="s">
        <v>3650</v>
      </c>
    </row>
    <row r="536" spans="1:109" ht="11.25" customHeight="1">
      <c r="A536" s="1314" t="s">
        <v>231</v>
      </c>
      <c r="B536" t="s">
        <v>231</v>
      </c>
      <c r="C536" t="s">
        <v>231</v>
      </c>
      <c r="D536" t="s">
        <v>231</v>
      </c>
      <c r="E536" t="s">
        <v>231</v>
      </c>
      <c r="F536" t="s">
        <v>231</v>
      </c>
      <c r="G536" t="s">
        <v>231</v>
      </c>
      <c r="H536" t="s">
        <v>231</v>
      </c>
      <c r="I536" t="s">
        <v>3521</v>
      </c>
      <c r="J536" t="s">
        <v>231</v>
      </c>
      <c r="K536" t="s">
        <v>231</v>
      </c>
      <c r="L536" t="s">
        <v>231</v>
      </c>
      <c r="M536" t="s">
        <v>231</v>
      </c>
      <c r="N536" t="s">
        <v>231</v>
      </c>
      <c r="O536" t="s">
        <v>231</v>
      </c>
      <c r="P536" t="s">
        <v>231</v>
      </c>
      <c r="Q536" t="s">
        <v>231</v>
      </c>
      <c r="R536" t="s">
        <v>5069</v>
      </c>
      <c r="S536" t="s">
        <v>231</v>
      </c>
      <c r="T536" t="s">
        <v>231</v>
      </c>
      <c r="U536" t="s">
        <v>101</v>
      </c>
      <c r="V536" t="s">
        <v>231</v>
      </c>
      <c r="W536" t="s">
        <v>231</v>
      </c>
      <c r="X536" t="s">
        <v>3628</v>
      </c>
      <c r="Y536" t="s">
        <v>231</v>
      </c>
      <c r="Z536" t="s">
        <v>151</v>
      </c>
      <c r="AA536" t="s">
        <v>151</v>
      </c>
      <c r="AB536" t="s">
        <v>160</v>
      </c>
      <c r="AC536" t="s">
        <v>343</v>
      </c>
      <c r="AD536" t="s">
        <v>343</v>
      </c>
      <c r="AE536" t="s">
        <v>344</v>
      </c>
      <c r="AF536" t="s">
        <v>3561</v>
      </c>
      <c r="AG536" t="s">
        <v>3562</v>
      </c>
      <c r="AH536" t="s">
        <v>3629</v>
      </c>
      <c r="AI536" t="s">
        <v>3575</v>
      </c>
      <c r="AJ536" t="s">
        <v>231</v>
      </c>
      <c r="AK536" t="s">
        <v>231</v>
      </c>
      <c r="AL536" t="s">
        <v>231</v>
      </c>
      <c r="AM536" t="s">
        <v>231</v>
      </c>
      <c r="AN536" t="s">
        <v>231</v>
      </c>
      <c r="AO536" t="s">
        <v>231</v>
      </c>
      <c r="AP536" t="s">
        <v>231</v>
      </c>
      <c r="AQ536" t="s">
        <v>231</v>
      </c>
      <c r="AR536" t="s">
        <v>231</v>
      </c>
      <c r="AS536" t="s">
        <v>231</v>
      </c>
      <c r="AT536" t="s">
        <v>231</v>
      </c>
      <c r="AU536" t="s">
        <v>231</v>
      </c>
      <c r="AV536" t="s">
        <v>231</v>
      </c>
      <c r="AW536" t="s">
        <v>231</v>
      </c>
      <c r="AX536" t="s">
        <v>231</v>
      </c>
      <c r="AY536" t="s">
        <v>231</v>
      </c>
      <c r="AZ536" t="s">
        <v>231</v>
      </c>
      <c r="BA536" t="s">
        <v>231</v>
      </c>
      <c r="BB536" t="s">
        <v>231</v>
      </c>
      <c r="BC536" t="s">
        <v>231</v>
      </c>
      <c r="BD536" t="s">
        <v>231</v>
      </c>
      <c r="BE536" t="s">
        <v>3630</v>
      </c>
      <c r="BF536" t="s">
        <v>3631</v>
      </c>
      <c r="BG536" t="s">
        <v>111</v>
      </c>
      <c r="BH536" t="s">
        <v>3632</v>
      </c>
      <c r="BI536" t="s">
        <v>122</v>
      </c>
      <c r="BJ536" t="s">
        <v>231</v>
      </c>
      <c r="BK536" t="s">
        <v>3633</v>
      </c>
      <c r="BL536" t="s">
        <v>343</v>
      </c>
      <c r="BM536" t="s">
        <v>343</v>
      </c>
      <c r="BN536" t="s">
        <v>3634</v>
      </c>
      <c r="BO536" t="s">
        <v>3561</v>
      </c>
      <c r="BP536" t="s">
        <v>3635</v>
      </c>
      <c r="BQ536" t="s">
        <v>3636</v>
      </c>
      <c r="BR536" t="s">
        <v>3575</v>
      </c>
      <c r="BS536" t="s">
        <v>231</v>
      </c>
      <c r="BT536" t="s">
        <v>3637</v>
      </c>
      <c r="BU536" t="s">
        <v>5070</v>
      </c>
      <c r="BV536" t="s">
        <v>5071</v>
      </c>
      <c r="BW536" t="s">
        <v>3640</v>
      </c>
      <c r="BX536" t="s">
        <v>3641</v>
      </c>
      <c r="BY536" t="s">
        <v>3641</v>
      </c>
      <c r="BZ536" t="s">
        <v>3641</v>
      </c>
      <c r="CA536" t="s">
        <v>3641</v>
      </c>
      <c r="CB536" t="s">
        <v>3641</v>
      </c>
      <c r="CC536" t="s">
        <v>3641</v>
      </c>
      <c r="CD536" t="s">
        <v>3641</v>
      </c>
      <c r="CE536" t="s">
        <v>3641</v>
      </c>
      <c r="CF536" t="s">
        <v>3641</v>
      </c>
      <c r="CG536" t="s">
        <v>3641</v>
      </c>
      <c r="CH536" t="s">
        <v>3641</v>
      </c>
      <c r="CI536" t="s">
        <v>3641</v>
      </c>
      <c r="CJ536" t="s">
        <v>3641</v>
      </c>
      <c r="CK536" t="s">
        <v>3641</v>
      </c>
      <c r="CL536" t="s">
        <v>3641</v>
      </c>
      <c r="CM536" t="s">
        <v>5070</v>
      </c>
      <c r="CN536" t="s">
        <v>5071</v>
      </c>
      <c r="CO536" t="s">
        <v>3640</v>
      </c>
      <c r="CP536" t="s">
        <v>3641</v>
      </c>
      <c r="CQ536" t="s">
        <v>3641</v>
      </c>
      <c r="CR536" t="s">
        <v>3641</v>
      </c>
      <c r="CS536" t="s">
        <v>3642</v>
      </c>
      <c r="CT536" t="s">
        <v>3534</v>
      </c>
      <c r="CU536" t="s">
        <v>3535</v>
      </c>
      <c r="CV536" t="s">
        <v>3536</v>
      </c>
      <c r="CW536" t="s">
        <v>3643</v>
      </c>
      <c r="CX536" t="s">
        <v>3570</v>
      </c>
      <c r="CY536" t="s">
        <v>3536</v>
      </c>
      <c r="CZ536" t="s">
        <v>224</v>
      </c>
      <c r="DA536" t="s">
        <v>3571</v>
      </c>
      <c r="DB536" t="s">
        <v>3643</v>
      </c>
      <c r="DC536" t="s">
        <v>363</v>
      </c>
      <c r="DD536" t="s">
        <v>282</v>
      </c>
      <c r="DE536" t="s">
        <v>3644</v>
      </c>
    </row>
    <row r="537" spans="1:109" ht="11.25" customHeight="1">
      <c r="A537" s="1314" t="s">
        <v>231</v>
      </c>
      <c r="B537" t="s">
        <v>231</v>
      </c>
      <c r="C537" t="s">
        <v>231</v>
      </c>
      <c r="D537" t="s">
        <v>231</v>
      </c>
      <c r="E537" t="s">
        <v>231</v>
      </c>
      <c r="F537" t="s">
        <v>231</v>
      </c>
      <c r="G537" t="s">
        <v>231</v>
      </c>
      <c r="H537" t="s">
        <v>231</v>
      </c>
      <c r="I537" t="s">
        <v>3521</v>
      </c>
      <c r="J537" t="s">
        <v>231</v>
      </c>
      <c r="K537" t="s">
        <v>231</v>
      </c>
      <c r="L537" t="s">
        <v>231</v>
      </c>
      <c r="M537" t="s">
        <v>231</v>
      </c>
      <c r="N537" t="s">
        <v>231</v>
      </c>
      <c r="O537" t="s">
        <v>231</v>
      </c>
      <c r="P537" t="s">
        <v>231</v>
      </c>
      <c r="Q537" t="s">
        <v>231</v>
      </c>
      <c r="R537" t="s">
        <v>3645</v>
      </c>
      <c r="S537" t="s">
        <v>231</v>
      </c>
      <c r="T537" t="s">
        <v>231</v>
      </c>
      <c r="U537" t="s">
        <v>101</v>
      </c>
      <c r="V537" t="s">
        <v>231</v>
      </c>
      <c r="W537" t="s">
        <v>231</v>
      </c>
      <c r="X537" t="s">
        <v>3523</v>
      </c>
      <c r="Y537" t="s">
        <v>231</v>
      </c>
      <c r="Z537" t="s">
        <v>160</v>
      </c>
      <c r="AA537" t="s">
        <v>151</v>
      </c>
      <c r="AB537" t="s">
        <v>151</v>
      </c>
      <c r="AC537" t="s">
        <v>343</v>
      </c>
      <c r="AD537" t="s">
        <v>343</v>
      </c>
      <c r="AE537" t="s">
        <v>344</v>
      </c>
      <c r="AF537" t="s">
        <v>3561</v>
      </c>
      <c r="AG537" t="s">
        <v>3562</v>
      </c>
      <c r="AH537" t="s">
        <v>3636</v>
      </c>
      <c r="AI537" t="s">
        <v>3575</v>
      </c>
      <c r="AJ537" t="s">
        <v>3646</v>
      </c>
      <c r="AK537" t="s">
        <v>3647</v>
      </c>
      <c r="AL537" t="s">
        <v>3648</v>
      </c>
      <c r="AM537" t="s">
        <v>3531</v>
      </c>
      <c r="AN537" t="s">
        <v>3621</v>
      </c>
      <c r="AO537" t="s">
        <v>3649</v>
      </c>
      <c r="AP537" t="s">
        <v>231</v>
      </c>
      <c r="AQ537" t="s">
        <v>231</v>
      </c>
      <c r="AR537" t="s">
        <v>231</v>
      </c>
      <c r="AS537" t="s">
        <v>231</v>
      </c>
      <c r="AT537" t="s">
        <v>231</v>
      </c>
      <c r="AU537" t="s">
        <v>231</v>
      </c>
      <c r="AV537" t="s">
        <v>231</v>
      </c>
      <c r="AW537" t="s">
        <v>231</v>
      </c>
      <c r="AX537" t="s">
        <v>231</v>
      </c>
      <c r="AY537" t="s">
        <v>231</v>
      </c>
      <c r="AZ537" t="s">
        <v>231</v>
      </c>
      <c r="BA537" t="s">
        <v>231</v>
      </c>
      <c r="BB537" t="s">
        <v>231</v>
      </c>
      <c r="BC537" t="s">
        <v>231</v>
      </c>
      <c r="BD537" t="s">
        <v>231</v>
      </c>
      <c r="BE537" t="s">
        <v>231</v>
      </c>
      <c r="BF537" t="s">
        <v>231</v>
      </c>
      <c r="BG537" t="s">
        <v>231</v>
      </c>
      <c r="BH537" t="s">
        <v>231</v>
      </c>
      <c r="BI537" t="s">
        <v>231</v>
      </c>
      <c r="BJ537" t="s">
        <v>231</v>
      </c>
      <c r="BK537" t="s">
        <v>231</v>
      </c>
      <c r="BL537" t="s">
        <v>231</v>
      </c>
      <c r="BM537" t="s">
        <v>231</v>
      </c>
      <c r="BN537" t="s">
        <v>231</v>
      </c>
      <c r="BO537" t="s">
        <v>231</v>
      </c>
      <c r="BP537" t="s">
        <v>231</v>
      </c>
      <c r="BQ537" t="s">
        <v>231</v>
      </c>
      <c r="BR537" t="s">
        <v>231</v>
      </c>
      <c r="BS537" t="s">
        <v>231</v>
      </c>
      <c r="BT537" t="s">
        <v>231</v>
      </c>
      <c r="BU537" t="s">
        <v>231</v>
      </c>
      <c r="BV537" t="s">
        <v>231</v>
      </c>
      <c r="BW537" t="s">
        <v>231</v>
      </c>
      <c r="BX537" t="s">
        <v>231</v>
      </c>
      <c r="BY537" t="s">
        <v>231</v>
      </c>
      <c r="BZ537" t="s">
        <v>231</v>
      </c>
      <c r="CA537" t="s">
        <v>231</v>
      </c>
      <c r="CB537" t="s">
        <v>231</v>
      </c>
      <c r="CC537" t="s">
        <v>231</v>
      </c>
      <c r="CD537" t="s">
        <v>231</v>
      </c>
      <c r="CE537" t="s">
        <v>231</v>
      </c>
      <c r="CF537" t="s">
        <v>231</v>
      </c>
      <c r="CG537" t="s">
        <v>231</v>
      </c>
      <c r="CH537" t="s">
        <v>231</v>
      </c>
      <c r="CI537" t="s">
        <v>231</v>
      </c>
      <c r="CJ537" t="s">
        <v>231</v>
      </c>
      <c r="CK537" t="s">
        <v>231</v>
      </c>
      <c r="CL537" t="s">
        <v>231</v>
      </c>
      <c r="CM537" t="s">
        <v>231</v>
      </c>
      <c r="CN537" t="s">
        <v>231</v>
      </c>
      <c r="CO537" t="s">
        <v>231</v>
      </c>
      <c r="CP537" t="s">
        <v>231</v>
      </c>
      <c r="CQ537" t="s">
        <v>231</v>
      </c>
      <c r="CR537" t="s">
        <v>231</v>
      </c>
      <c r="CS537" t="s">
        <v>231</v>
      </c>
      <c r="CT537" t="s">
        <v>3534</v>
      </c>
      <c r="CU537" t="s">
        <v>3535</v>
      </c>
      <c r="CV537" t="s">
        <v>3536</v>
      </c>
      <c r="CW537" t="s">
        <v>3569</v>
      </c>
      <c r="CX537" t="s">
        <v>3570</v>
      </c>
      <c r="CY537" t="s">
        <v>3536</v>
      </c>
      <c r="CZ537" t="s">
        <v>224</v>
      </c>
      <c r="DA537" t="s">
        <v>3571</v>
      </c>
      <c r="DB537" t="s">
        <v>3569</v>
      </c>
      <c r="DC537" t="s">
        <v>363</v>
      </c>
      <c r="DD537" t="s">
        <v>282</v>
      </c>
      <c r="DE537" t="s">
        <v>3650</v>
      </c>
    </row>
    <row r="538" spans="1:109" ht="11.25" customHeight="1">
      <c r="A538" s="1314" t="s">
        <v>231</v>
      </c>
      <c r="B538" t="s">
        <v>231</v>
      </c>
      <c r="C538" t="s">
        <v>231</v>
      </c>
      <c r="D538" t="s">
        <v>231</v>
      </c>
      <c r="E538" t="s">
        <v>231</v>
      </c>
      <c r="F538" t="s">
        <v>231</v>
      </c>
      <c r="G538" t="s">
        <v>231</v>
      </c>
      <c r="H538" t="s">
        <v>231</v>
      </c>
      <c r="I538" t="s">
        <v>3521</v>
      </c>
      <c r="J538" t="s">
        <v>231</v>
      </c>
      <c r="K538" t="s">
        <v>231</v>
      </c>
      <c r="L538" t="s">
        <v>231</v>
      </c>
      <c r="M538" t="s">
        <v>231</v>
      </c>
      <c r="N538" t="s">
        <v>231</v>
      </c>
      <c r="O538" t="s">
        <v>231</v>
      </c>
      <c r="P538" t="s">
        <v>231</v>
      </c>
      <c r="Q538" t="s">
        <v>231</v>
      </c>
      <c r="R538" t="s">
        <v>3980</v>
      </c>
      <c r="S538" t="s">
        <v>231</v>
      </c>
      <c r="T538" t="s">
        <v>231</v>
      </c>
      <c r="U538" t="s">
        <v>101</v>
      </c>
      <c r="V538" t="s">
        <v>231</v>
      </c>
      <c r="W538" t="s">
        <v>231</v>
      </c>
      <c r="X538" t="s">
        <v>3628</v>
      </c>
      <c r="Y538" t="s">
        <v>231</v>
      </c>
      <c r="Z538" t="s">
        <v>151</v>
      </c>
      <c r="AA538" t="s">
        <v>151</v>
      </c>
      <c r="AB538" t="s">
        <v>160</v>
      </c>
      <c r="AC538" t="s">
        <v>343</v>
      </c>
      <c r="AD538" t="s">
        <v>343</v>
      </c>
      <c r="AE538" t="s">
        <v>344</v>
      </c>
      <c r="AF538" t="s">
        <v>3561</v>
      </c>
      <c r="AG538" t="s">
        <v>3562</v>
      </c>
      <c r="AH538" t="s">
        <v>3609</v>
      </c>
      <c r="AI538" t="s">
        <v>3610</v>
      </c>
      <c r="AJ538" t="s">
        <v>231</v>
      </c>
      <c r="AK538" t="s">
        <v>231</v>
      </c>
      <c r="AL538" t="s">
        <v>231</v>
      </c>
      <c r="AM538" t="s">
        <v>231</v>
      </c>
      <c r="AN538" t="s">
        <v>231</v>
      </c>
      <c r="AO538" t="s">
        <v>231</v>
      </c>
      <c r="AP538" t="s">
        <v>231</v>
      </c>
      <c r="AQ538" t="s">
        <v>231</v>
      </c>
      <c r="AR538" t="s">
        <v>231</v>
      </c>
      <c r="AS538" t="s">
        <v>231</v>
      </c>
      <c r="AT538" t="s">
        <v>231</v>
      </c>
      <c r="AU538" t="s">
        <v>231</v>
      </c>
      <c r="AV538" t="s">
        <v>231</v>
      </c>
      <c r="AW538" t="s">
        <v>231</v>
      </c>
      <c r="AX538" t="s">
        <v>231</v>
      </c>
      <c r="AY538" t="s">
        <v>231</v>
      </c>
      <c r="AZ538" t="s">
        <v>231</v>
      </c>
      <c r="BA538" t="s">
        <v>231</v>
      </c>
      <c r="BB538" t="s">
        <v>231</v>
      </c>
      <c r="BC538" t="s">
        <v>231</v>
      </c>
      <c r="BD538" t="s">
        <v>231</v>
      </c>
      <c r="BE538" t="s">
        <v>3981</v>
      </c>
      <c r="BF538" t="s">
        <v>3565</v>
      </c>
      <c r="BG538" t="s">
        <v>111</v>
      </c>
      <c r="BH538" t="s">
        <v>3632</v>
      </c>
      <c r="BI538" t="s">
        <v>122</v>
      </c>
      <c r="BJ538" t="s">
        <v>231</v>
      </c>
      <c r="BK538" t="s">
        <v>3982</v>
      </c>
      <c r="BL538" t="s">
        <v>343</v>
      </c>
      <c r="BM538" t="s">
        <v>343</v>
      </c>
      <c r="BN538" t="s">
        <v>3634</v>
      </c>
      <c r="BO538" t="s">
        <v>3561</v>
      </c>
      <c r="BP538" t="s">
        <v>3635</v>
      </c>
      <c r="BQ538" t="s">
        <v>3983</v>
      </c>
      <c r="BR538" t="s">
        <v>3610</v>
      </c>
      <c r="BS538" t="s">
        <v>231</v>
      </c>
      <c r="BT538" t="s">
        <v>3637</v>
      </c>
      <c r="BU538" t="s">
        <v>5072</v>
      </c>
      <c r="BV538" t="s">
        <v>5073</v>
      </c>
      <c r="BW538" t="s">
        <v>5074</v>
      </c>
      <c r="BX538" t="s">
        <v>3987</v>
      </c>
      <c r="BY538" t="s">
        <v>3988</v>
      </c>
      <c r="BZ538" t="s">
        <v>3989</v>
      </c>
      <c r="CA538" t="s">
        <v>3641</v>
      </c>
      <c r="CB538" t="s">
        <v>3641</v>
      </c>
      <c r="CC538" t="s">
        <v>3641</v>
      </c>
      <c r="CD538" t="s">
        <v>3641</v>
      </c>
      <c r="CE538" t="s">
        <v>3641</v>
      </c>
      <c r="CF538" t="s">
        <v>3641</v>
      </c>
      <c r="CG538" t="s">
        <v>3641</v>
      </c>
      <c r="CH538" t="s">
        <v>3641</v>
      </c>
      <c r="CI538" t="s">
        <v>3641</v>
      </c>
      <c r="CJ538" t="s">
        <v>3641</v>
      </c>
      <c r="CK538" t="s">
        <v>3641</v>
      </c>
      <c r="CL538" t="s">
        <v>3641</v>
      </c>
      <c r="CM538" t="s">
        <v>5072</v>
      </c>
      <c r="CN538" t="s">
        <v>5073</v>
      </c>
      <c r="CO538" t="s">
        <v>5074</v>
      </c>
      <c r="CP538" t="s">
        <v>3987</v>
      </c>
      <c r="CQ538" t="s">
        <v>3988</v>
      </c>
      <c r="CR538" t="s">
        <v>3989</v>
      </c>
      <c r="CS538" t="s">
        <v>3642</v>
      </c>
      <c r="CT538" t="s">
        <v>3534</v>
      </c>
      <c r="CU538" t="s">
        <v>3535</v>
      </c>
      <c r="CV538" t="s">
        <v>3536</v>
      </c>
      <c r="CW538" t="s">
        <v>3643</v>
      </c>
      <c r="CX538" t="s">
        <v>3570</v>
      </c>
      <c r="CY538" t="s">
        <v>3536</v>
      </c>
      <c r="CZ538" t="s">
        <v>224</v>
      </c>
      <c r="DA538" t="s">
        <v>3571</v>
      </c>
      <c r="DB538" t="s">
        <v>3643</v>
      </c>
      <c r="DC538" t="s">
        <v>363</v>
      </c>
      <c r="DD538" t="s">
        <v>282</v>
      </c>
      <c r="DE538" t="s">
        <v>3614</v>
      </c>
    </row>
    <row r="539" spans="1:109" ht="11.25" customHeight="1">
      <c r="A539" s="1314" t="s">
        <v>231</v>
      </c>
      <c r="B539" t="s">
        <v>231</v>
      </c>
      <c r="C539" t="s">
        <v>231</v>
      </c>
      <c r="D539" t="s">
        <v>231</v>
      </c>
      <c r="E539" t="s">
        <v>231</v>
      </c>
      <c r="F539" t="s">
        <v>231</v>
      </c>
      <c r="G539" t="s">
        <v>231</v>
      </c>
      <c r="H539" t="s">
        <v>231</v>
      </c>
      <c r="I539" t="s">
        <v>3521</v>
      </c>
      <c r="J539" t="s">
        <v>231</v>
      </c>
      <c r="K539" t="s">
        <v>231</v>
      </c>
      <c r="L539" t="s">
        <v>231</v>
      </c>
      <c r="M539" t="s">
        <v>231</v>
      </c>
      <c r="N539" t="s">
        <v>231</v>
      </c>
      <c r="O539" t="s">
        <v>231</v>
      </c>
      <c r="P539" t="s">
        <v>231</v>
      </c>
      <c r="Q539" t="s">
        <v>231</v>
      </c>
      <c r="R539" t="s">
        <v>3990</v>
      </c>
      <c r="S539" t="s">
        <v>231</v>
      </c>
      <c r="T539" t="s">
        <v>231</v>
      </c>
      <c r="U539" t="s">
        <v>101</v>
      </c>
      <c r="V539" t="s">
        <v>231</v>
      </c>
      <c r="W539" t="s">
        <v>231</v>
      </c>
      <c r="X539" t="s">
        <v>3523</v>
      </c>
      <c r="Y539" t="s">
        <v>231</v>
      </c>
      <c r="Z539" t="s">
        <v>160</v>
      </c>
      <c r="AA539" t="s">
        <v>151</v>
      </c>
      <c r="AB539" t="s">
        <v>151</v>
      </c>
      <c r="AC539" t="s">
        <v>2691</v>
      </c>
      <c r="AD539" t="s">
        <v>2691</v>
      </c>
      <c r="AE539" t="s">
        <v>2692</v>
      </c>
      <c r="AF539" t="s">
        <v>3991</v>
      </c>
      <c r="AG539" t="s">
        <v>3992</v>
      </c>
      <c r="AH539" t="s">
        <v>3993</v>
      </c>
      <c r="AI539" t="s">
        <v>151</v>
      </c>
      <c r="AJ539" t="s">
        <v>3994</v>
      </c>
      <c r="AK539" t="s">
        <v>3995</v>
      </c>
      <c r="AL539" t="s">
        <v>3613</v>
      </c>
      <c r="AM539" t="s">
        <v>3531</v>
      </c>
      <c r="AN539" t="s">
        <v>3621</v>
      </c>
      <c r="AO539" t="s">
        <v>3996</v>
      </c>
      <c r="AP539" t="s">
        <v>231</v>
      </c>
      <c r="AQ539" t="s">
        <v>231</v>
      </c>
      <c r="AR539" t="s">
        <v>231</v>
      </c>
      <c r="AS539" t="s">
        <v>231</v>
      </c>
      <c r="AT539" t="s">
        <v>231</v>
      </c>
      <c r="AU539" t="s">
        <v>231</v>
      </c>
      <c r="AV539" t="s">
        <v>231</v>
      </c>
      <c r="AW539" t="s">
        <v>231</v>
      </c>
      <c r="AX539" t="s">
        <v>231</v>
      </c>
      <c r="AY539" t="s">
        <v>231</v>
      </c>
      <c r="AZ539" t="s">
        <v>231</v>
      </c>
      <c r="BA539" t="s">
        <v>231</v>
      </c>
      <c r="BB539" t="s">
        <v>231</v>
      </c>
      <c r="BC539" t="s">
        <v>231</v>
      </c>
      <c r="BD539" t="s">
        <v>231</v>
      </c>
      <c r="BE539" t="s">
        <v>231</v>
      </c>
      <c r="BF539" t="s">
        <v>231</v>
      </c>
      <c r="BG539" t="s">
        <v>231</v>
      </c>
      <c r="BH539" t="s">
        <v>231</v>
      </c>
      <c r="BI539" t="s">
        <v>231</v>
      </c>
      <c r="BJ539" t="s">
        <v>231</v>
      </c>
      <c r="BK539" t="s">
        <v>231</v>
      </c>
      <c r="BL539" t="s">
        <v>231</v>
      </c>
      <c r="BM539" t="s">
        <v>231</v>
      </c>
      <c r="BN539" t="s">
        <v>231</v>
      </c>
      <c r="BO539" t="s">
        <v>231</v>
      </c>
      <c r="BP539" t="s">
        <v>231</v>
      </c>
      <c r="BQ539" t="s">
        <v>231</v>
      </c>
      <c r="BR539" t="s">
        <v>231</v>
      </c>
      <c r="BS539" t="s">
        <v>231</v>
      </c>
      <c r="BT539" t="s">
        <v>231</v>
      </c>
      <c r="BU539" t="s">
        <v>231</v>
      </c>
      <c r="BV539" t="s">
        <v>231</v>
      </c>
      <c r="BW539" t="s">
        <v>231</v>
      </c>
      <c r="BX539" t="s">
        <v>231</v>
      </c>
      <c r="BY539" t="s">
        <v>231</v>
      </c>
      <c r="BZ539" t="s">
        <v>231</v>
      </c>
      <c r="CA539" t="s">
        <v>231</v>
      </c>
      <c r="CB539" t="s">
        <v>231</v>
      </c>
      <c r="CC539" t="s">
        <v>231</v>
      </c>
      <c r="CD539" t="s">
        <v>231</v>
      </c>
      <c r="CE539" t="s">
        <v>231</v>
      </c>
      <c r="CF539" t="s">
        <v>231</v>
      </c>
      <c r="CG539" t="s">
        <v>231</v>
      </c>
      <c r="CH539" t="s">
        <v>231</v>
      </c>
      <c r="CI539" t="s">
        <v>231</v>
      </c>
      <c r="CJ539" t="s">
        <v>231</v>
      </c>
      <c r="CK539" t="s">
        <v>231</v>
      </c>
      <c r="CL539" t="s">
        <v>231</v>
      </c>
      <c r="CM539" t="s">
        <v>231</v>
      </c>
      <c r="CN539" t="s">
        <v>231</v>
      </c>
      <c r="CO539" t="s">
        <v>231</v>
      </c>
      <c r="CP539" t="s">
        <v>231</v>
      </c>
      <c r="CQ539" t="s">
        <v>231</v>
      </c>
      <c r="CR539" t="s">
        <v>231</v>
      </c>
      <c r="CS539" t="s">
        <v>231</v>
      </c>
      <c r="CT539" t="s">
        <v>3534</v>
      </c>
      <c r="CU539" t="s">
        <v>3535</v>
      </c>
      <c r="CV539" t="s">
        <v>3997</v>
      </c>
      <c r="CW539" t="s">
        <v>3998</v>
      </c>
      <c r="CX539" t="s">
        <v>3570</v>
      </c>
      <c r="CY539" t="s">
        <v>3997</v>
      </c>
      <c r="CZ539" t="s">
        <v>3575</v>
      </c>
      <c r="DA539" t="s">
        <v>3999</v>
      </c>
      <c r="DB539" t="s">
        <v>3643</v>
      </c>
      <c r="DC539" t="s">
        <v>363</v>
      </c>
      <c r="DD539" t="s">
        <v>282</v>
      </c>
      <c r="DE539" t="s">
        <v>4000</v>
      </c>
    </row>
    <row r="540" spans="1:109" ht="11.25" customHeight="1">
      <c r="A540" s="1314" t="s">
        <v>231</v>
      </c>
      <c r="B540" t="s">
        <v>231</v>
      </c>
      <c r="C540" t="s">
        <v>231</v>
      </c>
      <c r="D540" t="s">
        <v>231</v>
      </c>
      <c r="E540" t="s">
        <v>231</v>
      </c>
      <c r="F540" t="s">
        <v>231</v>
      </c>
      <c r="G540" t="s">
        <v>231</v>
      </c>
      <c r="H540" t="s">
        <v>231</v>
      </c>
      <c r="I540" t="s">
        <v>3521</v>
      </c>
      <c r="J540" t="s">
        <v>231</v>
      </c>
      <c r="K540" t="s">
        <v>231</v>
      </c>
      <c r="L540" t="s">
        <v>231</v>
      </c>
      <c r="M540" t="s">
        <v>231</v>
      </c>
      <c r="N540" t="s">
        <v>231</v>
      </c>
      <c r="O540" t="s">
        <v>231</v>
      </c>
      <c r="P540" t="s">
        <v>231</v>
      </c>
      <c r="Q540" t="s">
        <v>231</v>
      </c>
      <c r="R540" t="s">
        <v>4256</v>
      </c>
      <c r="S540" t="s">
        <v>231</v>
      </c>
      <c r="T540" t="s">
        <v>231</v>
      </c>
      <c r="U540" t="s">
        <v>101</v>
      </c>
      <c r="V540" t="s">
        <v>231</v>
      </c>
      <c r="W540" t="s">
        <v>231</v>
      </c>
      <c r="X540" t="s">
        <v>3523</v>
      </c>
      <c r="Y540" t="s">
        <v>231</v>
      </c>
      <c r="Z540" t="s">
        <v>160</v>
      </c>
      <c r="AA540" t="s">
        <v>151</v>
      </c>
      <c r="AB540" t="s">
        <v>151</v>
      </c>
      <c r="AC540" t="s">
        <v>2691</v>
      </c>
      <c r="AD540" t="s">
        <v>2691</v>
      </c>
      <c r="AE540" t="s">
        <v>2692</v>
      </c>
      <c r="AF540" t="s">
        <v>3991</v>
      </c>
      <c r="AG540" t="s">
        <v>3992</v>
      </c>
      <c r="AH540" t="s">
        <v>4113</v>
      </c>
      <c r="AI540" t="s">
        <v>151</v>
      </c>
      <c r="AJ540" t="s">
        <v>4257</v>
      </c>
      <c r="AK540" t="s">
        <v>4258</v>
      </c>
      <c r="AL540" t="s">
        <v>4259</v>
      </c>
      <c r="AM540" t="s">
        <v>3531</v>
      </c>
      <c r="AN540" t="s">
        <v>4260</v>
      </c>
      <c r="AO540" t="s">
        <v>4261</v>
      </c>
      <c r="AP540" t="s">
        <v>231</v>
      </c>
      <c r="AQ540" t="s">
        <v>231</v>
      </c>
      <c r="AR540" t="s">
        <v>231</v>
      </c>
      <c r="AS540" t="s">
        <v>231</v>
      </c>
      <c r="AT540" t="s">
        <v>231</v>
      </c>
      <c r="AU540" t="s">
        <v>231</v>
      </c>
      <c r="AV540" t="s">
        <v>231</v>
      </c>
      <c r="AW540" t="s">
        <v>231</v>
      </c>
      <c r="AX540" t="s">
        <v>231</v>
      </c>
      <c r="AY540" t="s">
        <v>231</v>
      </c>
      <c r="AZ540" t="s">
        <v>231</v>
      </c>
      <c r="BA540" t="s">
        <v>231</v>
      </c>
      <c r="BB540" t="s">
        <v>231</v>
      </c>
      <c r="BC540" t="s">
        <v>231</v>
      </c>
      <c r="BD540" t="s">
        <v>231</v>
      </c>
      <c r="BE540" t="s">
        <v>231</v>
      </c>
      <c r="BF540" t="s">
        <v>231</v>
      </c>
      <c r="BG540" t="s">
        <v>231</v>
      </c>
      <c r="BH540" t="s">
        <v>231</v>
      </c>
      <c r="BI540" t="s">
        <v>231</v>
      </c>
      <c r="BJ540" t="s">
        <v>231</v>
      </c>
      <c r="BK540" t="s">
        <v>231</v>
      </c>
      <c r="BL540" t="s">
        <v>231</v>
      </c>
      <c r="BM540" t="s">
        <v>231</v>
      </c>
      <c r="BN540" t="s">
        <v>231</v>
      </c>
      <c r="BO540" t="s">
        <v>231</v>
      </c>
      <c r="BP540" t="s">
        <v>231</v>
      </c>
      <c r="BQ540" t="s">
        <v>231</v>
      </c>
      <c r="BR540" t="s">
        <v>231</v>
      </c>
      <c r="BS540" t="s">
        <v>231</v>
      </c>
      <c r="BT540" t="s">
        <v>231</v>
      </c>
      <c r="BU540" t="s">
        <v>231</v>
      </c>
      <c r="BV540" t="s">
        <v>231</v>
      </c>
      <c r="BW540" t="s">
        <v>231</v>
      </c>
      <c r="BX540" t="s">
        <v>231</v>
      </c>
      <c r="BY540" t="s">
        <v>231</v>
      </c>
      <c r="BZ540" t="s">
        <v>231</v>
      </c>
      <c r="CA540" t="s">
        <v>231</v>
      </c>
      <c r="CB540" t="s">
        <v>231</v>
      </c>
      <c r="CC540" t="s">
        <v>231</v>
      </c>
      <c r="CD540" t="s">
        <v>231</v>
      </c>
      <c r="CE540" t="s">
        <v>231</v>
      </c>
      <c r="CF540" t="s">
        <v>231</v>
      </c>
      <c r="CG540" t="s">
        <v>231</v>
      </c>
      <c r="CH540" t="s">
        <v>231</v>
      </c>
      <c r="CI540" t="s">
        <v>231</v>
      </c>
      <c r="CJ540" t="s">
        <v>231</v>
      </c>
      <c r="CK540" t="s">
        <v>231</v>
      </c>
      <c r="CL540" t="s">
        <v>231</v>
      </c>
      <c r="CM540" t="s">
        <v>231</v>
      </c>
      <c r="CN540" t="s">
        <v>231</v>
      </c>
      <c r="CO540" t="s">
        <v>231</v>
      </c>
      <c r="CP540" t="s">
        <v>231</v>
      </c>
      <c r="CQ540" t="s">
        <v>231</v>
      </c>
      <c r="CR540" t="s">
        <v>231</v>
      </c>
      <c r="CS540" t="s">
        <v>231</v>
      </c>
      <c r="CT540" t="s">
        <v>3534</v>
      </c>
      <c r="CU540" t="s">
        <v>3535</v>
      </c>
      <c r="CV540" t="s">
        <v>3997</v>
      </c>
      <c r="CW540" t="s">
        <v>3998</v>
      </c>
      <c r="CX540" t="s">
        <v>3570</v>
      </c>
      <c r="CY540" t="s">
        <v>3997</v>
      </c>
      <c r="CZ540" t="s">
        <v>3575</v>
      </c>
      <c r="DA540" t="s">
        <v>3999</v>
      </c>
      <c r="DB540" t="s">
        <v>3643</v>
      </c>
      <c r="DC540" t="s">
        <v>363</v>
      </c>
      <c r="DD540" t="s">
        <v>282</v>
      </c>
      <c r="DE540" t="s">
        <v>4123</v>
      </c>
    </row>
    <row r="541" spans="1:109" ht="11.25" customHeight="1">
      <c r="A541" s="1314" t="s">
        <v>231</v>
      </c>
      <c r="B541" t="s">
        <v>231</v>
      </c>
      <c r="C541" t="s">
        <v>231</v>
      </c>
      <c r="D541" t="s">
        <v>231</v>
      </c>
      <c r="E541" t="s">
        <v>231</v>
      </c>
      <c r="F541" t="s">
        <v>231</v>
      </c>
      <c r="G541" t="s">
        <v>231</v>
      </c>
      <c r="H541" t="s">
        <v>231</v>
      </c>
      <c r="I541" t="s">
        <v>3521</v>
      </c>
      <c r="J541" t="s">
        <v>231</v>
      </c>
      <c r="K541" t="s">
        <v>231</v>
      </c>
      <c r="L541" t="s">
        <v>231</v>
      </c>
      <c r="M541" t="s">
        <v>231</v>
      </c>
      <c r="N541" t="s">
        <v>231</v>
      </c>
      <c r="O541" t="s">
        <v>231</v>
      </c>
      <c r="P541" t="s">
        <v>231</v>
      </c>
      <c r="Q541" t="s">
        <v>231</v>
      </c>
      <c r="R541" t="s">
        <v>3685</v>
      </c>
      <c r="S541" t="s">
        <v>231</v>
      </c>
      <c r="T541" t="s">
        <v>231</v>
      </c>
      <c r="U541" t="s">
        <v>101</v>
      </c>
      <c r="V541" t="s">
        <v>231</v>
      </c>
      <c r="W541" t="s">
        <v>231</v>
      </c>
      <c r="X541" t="s">
        <v>3628</v>
      </c>
      <c r="Y541" t="s">
        <v>231</v>
      </c>
      <c r="Z541" t="s">
        <v>151</v>
      </c>
      <c r="AA541" t="s">
        <v>151</v>
      </c>
      <c r="AB541" t="s">
        <v>160</v>
      </c>
      <c r="AC541" t="s">
        <v>2283</v>
      </c>
      <c r="AD541" t="s">
        <v>2283</v>
      </c>
      <c r="AE541" t="s">
        <v>2284</v>
      </c>
      <c r="AF541" t="s">
        <v>3686</v>
      </c>
      <c r="AG541" t="s">
        <v>3687</v>
      </c>
      <c r="AH541" t="s">
        <v>3686</v>
      </c>
      <c r="AI541" t="s">
        <v>3688</v>
      </c>
      <c r="AJ541" t="s">
        <v>231</v>
      </c>
      <c r="AK541" t="s">
        <v>231</v>
      </c>
      <c r="AL541" t="s">
        <v>231</v>
      </c>
      <c r="AM541" t="s">
        <v>231</v>
      </c>
      <c r="AN541" t="s">
        <v>231</v>
      </c>
      <c r="AO541" t="s">
        <v>231</v>
      </c>
      <c r="AP541" t="s">
        <v>231</v>
      </c>
      <c r="AQ541" t="s">
        <v>231</v>
      </c>
      <c r="AR541" t="s">
        <v>231</v>
      </c>
      <c r="AS541" t="s">
        <v>231</v>
      </c>
      <c r="AT541" t="s">
        <v>231</v>
      </c>
      <c r="AU541" t="s">
        <v>231</v>
      </c>
      <c r="AV541" t="s">
        <v>231</v>
      </c>
      <c r="AW541" t="s">
        <v>231</v>
      </c>
      <c r="AX541" t="s">
        <v>231</v>
      </c>
      <c r="AY541" t="s">
        <v>231</v>
      </c>
      <c r="AZ541" t="s">
        <v>231</v>
      </c>
      <c r="BA541" t="s">
        <v>231</v>
      </c>
      <c r="BB541" t="s">
        <v>231</v>
      </c>
      <c r="BC541" t="s">
        <v>231</v>
      </c>
      <c r="BD541" t="s">
        <v>231</v>
      </c>
      <c r="BE541" t="s">
        <v>3689</v>
      </c>
      <c r="BF541" t="s">
        <v>3689</v>
      </c>
      <c r="BG541" t="s">
        <v>111</v>
      </c>
      <c r="BH541" t="s">
        <v>3632</v>
      </c>
      <c r="BI541" t="s">
        <v>122</v>
      </c>
      <c r="BJ541" t="s">
        <v>231</v>
      </c>
      <c r="BK541" t="s">
        <v>3651</v>
      </c>
      <c r="BL541" t="s">
        <v>2283</v>
      </c>
      <c r="BM541" t="s">
        <v>2283</v>
      </c>
      <c r="BN541" t="s">
        <v>3690</v>
      </c>
      <c r="BO541" t="s">
        <v>3686</v>
      </c>
      <c r="BP541" t="s">
        <v>3691</v>
      </c>
      <c r="BQ541" t="s">
        <v>3692</v>
      </c>
      <c r="BR541" t="s">
        <v>3693</v>
      </c>
      <c r="BS541" t="s">
        <v>231</v>
      </c>
      <c r="BT541" t="s">
        <v>3694</v>
      </c>
      <c r="BU541" t="s">
        <v>3695</v>
      </c>
      <c r="BV541" t="s">
        <v>3695</v>
      </c>
      <c r="BW541" t="s">
        <v>3641</v>
      </c>
      <c r="BX541" t="s">
        <v>3641</v>
      </c>
      <c r="BY541" t="s">
        <v>3641</v>
      </c>
      <c r="BZ541" t="s">
        <v>3641</v>
      </c>
      <c r="CA541" t="s">
        <v>3641</v>
      </c>
      <c r="CB541" t="s">
        <v>231</v>
      </c>
      <c r="CC541" t="s">
        <v>231</v>
      </c>
      <c r="CD541" t="s">
        <v>231</v>
      </c>
      <c r="CE541" t="s">
        <v>231</v>
      </c>
      <c r="CF541" t="s">
        <v>231</v>
      </c>
      <c r="CG541" t="s">
        <v>3641</v>
      </c>
      <c r="CH541" t="s">
        <v>231</v>
      </c>
      <c r="CI541" t="s">
        <v>231</v>
      </c>
      <c r="CJ541" t="s">
        <v>231</v>
      </c>
      <c r="CK541" t="s">
        <v>231</v>
      </c>
      <c r="CL541" t="s">
        <v>231</v>
      </c>
      <c r="CM541" t="s">
        <v>3695</v>
      </c>
      <c r="CN541" t="s">
        <v>3695</v>
      </c>
      <c r="CO541" t="s">
        <v>231</v>
      </c>
      <c r="CP541" t="s">
        <v>231</v>
      </c>
      <c r="CQ541" t="s">
        <v>231</v>
      </c>
      <c r="CR541" t="s">
        <v>231</v>
      </c>
      <c r="CS541" t="s">
        <v>3549</v>
      </c>
      <c r="CT541" t="s">
        <v>3534</v>
      </c>
      <c r="CU541" t="s">
        <v>3535</v>
      </c>
      <c r="CV541" t="s">
        <v>3536</v>
      </c>
      <c r="CW541" t="s">
        <v>3551</v>
      </c>
      <c r="CX541" t="s">
        <v>223</v>
      </c>
      <c r="CY541" t="s">
        <v>3536</v>
      </c>
      <c r="CZ541" t="s">
        <v>3552</v>
      </c>
      <c r="DA541" t="s">
        <v>3553</v>
      </c>
      <c r="DB541" t="s">
        <v>3551</v>
      </c>
      <c r="DC541" t="s">
        <v>363</v>
      </c>
      <c r="DD541" t="s">
        <v>282</v>
      </c>
      <c r="DE541" t="s">
        <v>3696</v>
      </c>
    </row>
    <row r="542" spans="1:109" ht="11.25" customHeight="1">
      <c r="A542" s="1314" t="s">
        <v>231</v>
      </c>
      <c r="B542" t="s">
        <v>231</v>
      </c>
      <c r="C542" t="s">
        <v>231</v>
      </c>
      <c r="D542" t="s">
        <v>231</v>
      </c>
      <c r="E542" t="s">
        <v>231</v>
      </c>
      <c r="F542" t="s">
        <v>231</v>
      </c>
      <c r="G542" t="s">
        <v>231</v>
      </c>
      <c r="H542" t="s">
        <v>231</v>
      </c>
      <c r="I542" t="s">
        <v>3521</v>
      </c>
      <c r="J542" t="s">
        <v>231</v>
      </c>
      <c r="K542" t="s">
        <v>231</v>
      </c>
      <c r="L542" t="s">
        <v>231</v>
      </c>
      <c r="M542" t="s">
        <v>231</v>
      </c>
      <c r="N542" t="s">
        <v>231</v>
      </c>
      <c r="O542" t="s">
        <v>231</v>
      </c>
      <c r="P542" t="s">
        <v>231</v>
      </c>
      <c r="Q542" t="s">
        <v>231</v>
      </c>
      <c r="R542" t="s">
        <v>3651</v>
      </c>
      <c r="S542" t="s">
        <v>231</v>
      </c>
      <c r="T542" t="s">
        <v>231</v>
      </c>
      <c r="U542" t="s">
        <v>101</v>
      </c>
      <c r="V542" t="s">
        <v>231</v>
      </c>
      <c r="W542" t="s">
        <v>231</v>
      </c>
      <c r="X542" t="s">
        <v>3523</v>
      </c>
      <c r="Y542" t="s">
        <v>231</v>
      </c>
      <c r="Z542" t="s">
        <v>160</v>
      </c>
      <c r="AA542" t="s">
        <v>151</v>
      </c>
      <c r="AB542" t="s">
        <v>151</v>
      </c>
      <c r="AC542" t="s">
        <v>2283</v>
      </c>
      <c r="AD542" t="s">
        <v>2283</v>
      </c>
      <c r="AE542" t="s">
        <v>2284</v>
      </c>
      <c r="AF542" t="s">
        <v>3686</v>
      </c>
      <c r="AG542" t="s">
        <v>3687</v>
      </c>
      <c r="AH542" t="s">
        <v>3692</v>
      </c>
      <c r="AI542" t="s">
        <v>3693</v>
      </c>
      <c r="AJ542" t="s">
        <v>3546</v>
      </c>
      <c r="AK542" t="s">
        <v>3547</v>
      </c>
      <c r="AL542" t="s">
        <v>3548</v>
      </c>
      <c r="AM542" t="s">
        <v>3531</v>
      </c>
      <c r="AN542" t="s">
        <v>3549</v>
      </c>
      <c r="AO542" t="s">
        <v>4124</v>
      </c>
      <c r="AP542" t="s">
        <v>231</v>
      </c>
      <c r="AQ542" t="s">
        <v>231</v>
      </c>
      <c r="AR542" t="s">
        <v>231</v>
      </c>
      <c r="AS542" t="s">
        <v>231</v>
      </c>
      <c r="AT542" t="s">
        <v>231</v>
      </c>
      <c r="AU542" t="s">
        <v>231</v>
      </c>
      <c r="AV542" t="s">
        <v>231</v>
      </c>
      <c r="AW542" t="s">
        <v>231</v>
      </c>
      <c r="AX542" t="s">
        <v>231</v>
      </c>
      <c r="AY542" t="s">
        <v>231</v>
      </c>
      <c r="AZ542" t="s">
        <v>231</v>
      </c>
      <c r="BA542" t="s">
        <v>231</v>
      </c>
      <c r="BB542" t="s">
        <v>231</v>
      </c>
      <c r="BC542" t="s">
        <v>231</v>
      </c>
      <c r="BD542" t="s">
        <v>231</v>
      </c>
      <c r="BE542" t="s">
        <v>231</v>
      </c>
      <c r="BF542" t="s">
        <v>231</v>
      </c>
      <c r="BG542" t="s">
        <v>231</v>
      </c>
      <c r="BH542" t="s">
        <v>231</v>
      </c>
      <c r="BI542" t="s">
        <v>231</v>
      </c>
      <c r="BJ542" t="s">
        <v>231</v>
      </c>
      <c r="BK542" t="s">
        <v>231</v>
      </c>
      <c r="BL542" t="s">
        <v>231</v>
      </c>
      <c r="BM542" t="s">
        <v>231</v>
      </c>
      <c r="BN542" t="s">
        <v>231</v>
      </c>
      <c r="BO542" t="s">
        <v>231</v>
      </c>
      <c r="BP542" t="s">
        <v>231</v>
      </c>
      <c r="BQ542" t="s">
        <v>231</v>
      </c>
      <c r="BR542" t="s">
        <v>231</v>
      </c>
      <c r="BS542" t="s">
        <v>231</v>
      </c>
      <c r="BT542" t="s">
        <v>231</v>
      </c>
      <c r="BU542" t="s">
        <v>231</v>
      </c>
      <c r="BV542" t="s">
        <v>231</v>
      </c>
      <c r="BW542" t="s">
        <v>231</v>
      </c>
      <c r="BX542" t="s">
        <v>231</v>
      </c>
      <c r="BY542" t="s">
        <v>231</v>
      </c>
      <c r="BZ542" t="s">
        <v>231</v>
      </c>
      <c r="CA542" t="s">
        <v>231</v>
      </c>
      <c r="CB542" t="s">
        <v>231</v>
      </c>
      <c r="CC542" t="s">
        <v>231</v>
      </c>
      <c r="CD542" t="s">
        <v>231</v>
      </c>
      <c r="CE542" t="s">
        <v>231</v>
      </c>
      <c r="CF542" t="s">
        <v>231</v>
      </c>
      <c r="CG542" t="s">
        <v>231</v>
      </c>
      <c r="CH542" t="s">
        <v>231</v>
      </c>
      <c r="CI542" t="s">
        <v>231</v>
      </c>
      <c r="CJ542" t="s">
        <v>231</v>
      </c>
      <c r="CK542" t="s">
        <v>231</v>
      </c>
      <c r="CL542" t="s">
        <v>231</v>
      </c>
      <c r="CM542" t="s">
        <v>231</v>
      </c>
      <c r="CN542" t="s">
        <v>231</v>
      </c>
      <c r="CO542" t="s">
        <v>231</v>
      </c>
      <c r="CP542" t="s">
        <v>231</v>
      </c>
      <c r="CQ542" t="s">
        <v>231</v>
      </c>
      <c r="CR542" t="s">
        <v>231</v>
      </c>
      <c r="CS542" t="s">
        <v>231</v>
      </c>
      <c r="CT542" t="s">
        <v>3534</v>
      </c>
      <c r="CU542" t="s">
        <v>3535</v>
      </c>
      <c r="CV542" t="s">
        <v>3536</v>
      </c>
      <c r="CW542" t="s">
        <v>3551</v>
      </c>
      <c r="CX542" t="s">
        <v>223</v>
      </c>
      <c r="CY542" t="s">
        <v>3536</v>
      </c>
      <c r="CZ542" t="s">
        <v>3552</v>
      </c>
      <c r="DA542" t="s">
        <v>3553</v>
      </c>
      <c r="DB542" t="s">
        <v>3551</v>
      </c>
      <c r="DC542" t="s">
        <v>363</v>
      </c>
      <c r="DD542" t="s">
        <v>282</v>
      </c>
      <c r="DE542" t="s">
        <v>4125</v>
      </c>
    </row>
    <row r="543" spans="1:109" ht="11.25" customHeight="1">
      <c r="A543" s="1314" t="s">
        <v>231</v>
      </c>
      <c r="B543" t="s">
        <v>231</v>
      </c>
      <c r="C543" t="s">
        <v>231</v>
      </c>
      <c r="D543" t="s">
        <v>231</v>
      </c>
      <c r="E543" t="s">
        <v>231</v>
      </c>
      <c r="F543" t="s">
        <v>231</v>
      </c>
      <c r="G543" t="s">
        <v>231</v>
      </c>
      <c r="H543" t="s">
        <v>231</v>
      </c>
      <c r="I543" t="s">
        <v>3521</v>
      </c>
      <c r="J543" t="s">
        <v>231</v>
      </c>
      <c r="K543" t="s">
        <v>231</v>
      </c>
      <c r="L543" t="s">
        <v>231</v>
      </c>
      <c r="M543" t="s">
        <v>231</v>
      </c>
      <c r="N543" t="s">
        <v>231</v>
      </c>
      <c r="O543" t="s">
        <v>231</v>
      </c>
      <c r="P543" t="s">
        <v>231</v>
      </c>
      <c r="Q543" t="s">
        <v>231</v>
      </c>
      <c r="R543" t="s">
        <v>3749</v>
      </c>
      <c r="S543" t="s">
        <v>231</v>
      </c>
      <c r="T543" t="s">
        <v>231</v>
      </c>
      <c r="U543" t="s">
        <v>101</v>
      </c>
      <c r="V543" t="s">
        <v>231</v>
      </c>
      <c r="W543" t="s">
        <v>231</v>
      </c>
      <c r="X543" t="s">
        <v>3628</v>
      </c>
      <c r="Y543" t="s">
        <v>231</v>
      </c>
      <c r="Z543" t="s">
        <v>151</v>
      </c>
      <c r="AA543" t="s">
        <v>151</v>
      </c>
      <c r="AB543" t="s">
        <v>160</v>
      </c>
      <c r="AC543" t="s">
        <v>2283</v>
      </c>
      <c r="AD543" t="s">
        <v>2283</v>
      </c>
      <c r="AE543" t="s">
        <v>2284</v>
      </c>
      <c r="AF543" t="s">
        <v>4083</v>
      </c>
      <c r="AG543" t="s">
        <v>4084</v>
      </c>
      <c r="AH543" t="s">
        <v>4083</v>
      </c>
      <c r="AI543" t="s">
        <v>3688</v>
      </c>
      <c r="AJ543" t="s">
        <v>231</v>
      </c>
      <c r="AK543" t="s">
        <v>231</v>
      </c>
      <c r="AL543" t="s">
        <v>231</v>
      </c>
      <c r="AM543" t="s">
        <v>231</v>
      </c>
      <c r="AN543" t="s">
        <v>231</v>
      </c>
      <c r="AO543" t="s">
        <v>231</v>
      </c>
      <c r="AP543" t="s">
        <v>231</v>
      </c>
      <c r="AQ543" t="s">
        <v>231</v>
      </c>
      <c r="AR543" t="s">
        <v>231</v>
      </c>
      <c r="AS543" t="s">
        <v>231</v>
      </c>
      <c r="AT543" t="s">
        <v>231</v>
      </c>
      <c r="AU543" t="s">
        <v>231</v>
      </c>
      <c r="AV543" t="s">
        <v>231</v>
      </c>
      <c r="AW543" t="s">
        <v>231</v>
      </c>
      <c r="AX543" t="s">
        <v>231</v>
      </c>
      <c r="AY543" t="s">
        <v>231</v>
      </c>
      <c r="AZ543" t="s">
        <v>231</v>
      </c>
      <c r="BA543" t="s">
        <v>231</v>
      </c>
      <c r="BB543" t="s">
        <v>231</v>
      </c>
      <c r="BC543" t="s">
        <v>231</v>
      </c>
      <c r="BD543" t="s">
        <v>231</v>
      </c>
      <c r="BE543" t="s">
        <v>3689</v>
      </c>
      <c r="BF543" t="s">
        <v>3689</v>
      </c>
      <c r="BG543" t="s">
        <v>111</v>
      </c>
      <c r="BH543" t="s">
        <v>3632</v>
      </c>
      <c r="BI543" t="s">
        <v>122</v>
      </c>
      <c r="BJ543" t="s">
        <v>231</v>
      </c>
      <c r="BK543" t="s">
        <v>4085</v>
      </c>
      <c r="BL543" t="s">
        <v>2283</v>
      </c>
      <c r="BM543" t="s">
        <v>2283</v>
      </c>
      <c r="BN543" t="s">
        <v>3690</v>
      </c>
      <c r="BO543" t="s">
        <v>4083</v>
      </c>
      <c r="BP543" t="s">
        <v>4086</v>
      </c>
      <c r="BQ543" t="s">
        <v>4087</v>
      </c>
      <c r="BR543" t="s">
        <v>4088</v>
      </c>
      <c r="BS543" t="s">
        <v>231</v>
      </c>
      <c r="BT543" t="s">
        <v>3694</v>
      </c>
      <c r="BU543" t="s">
        <v>5075</v>
      </c>
      <c r="BV543" t="s">
        <v>5075</v>
      </c>
      <c r="BW543" t="s">
        <v>3641</v>
      </c>
      <c r="BX543" t="s">
        <v>3641</v>
      </c>
      <c r="BY543" t="s">
        <v>3641</v>
      </c>
      <c r="BZ543" t="s">
        <v>3641</v>
      </c>
      <c r="CA543" t="s">
        <v>3641</v>
      </c>
      <c r="CB543" t="s">
        <v>231</v>
      </c>
      <c r="CC543" t="s">
        <v>231</v>
      </c>
      <c r="CD543" t="s">
        <v>231</v>
      </c>
      <c r="CE543" t="s">
        <v>231</v>
      </c>
      <c r="CF543" t="s">
        <v>231</v>
      </c>
      <c r="CG543" t="s">
        <v>3641</v>
      </c>
      <c r="CH543" t="s">
        <v>231</v>
      </c>
      <c r="CI543" t="s">
        <v>231</v>
      </c>
      <c r="CJ543" t="s">
        <v>231</v>
      </c>
      <c r="CK543" t="s">
        <v>231</v>
      </c>
      <c r="CL543" t="s">
        <v>231</v>
      </c>
      <c r="CM543" t="s">
        <v>5075</v>
      </c>
      <c r="CN543" t="s">
        <v>5075</v>
      </c>
      <c r="CO543" t="s">
        <v>231</v>
      </c>
      <c r="CP543" t="s">
        <v>231</v>
      </c>
      <c r="CQ543" t="s">
        <v>231</v>
      </c>
      <c r="CR543" t="s">
        <v>231</v>
      </c>
      <c r="CS543" t="s">
        <v>3549</v>
      </c>
      <c r="CT543" t="s">
        <v>3534</v>
      </c>
      <c r="CU543" t="s">
        <v>3535</v>
      </c>
      <c r="CV543" t="s">
        <v>3536</v>
      </c>
      <c r="CW543" t="s">
        <v>3551</v>
      </c>
      <c r="CX543" t="s">
        <v>223</v>
      </c>
      <c r="CY543" t="s">
        <v>3536</v>
      </c>
      <c r="CZ543" t="s">
        <v>3552</v>
      </c>
      <c r="DA543" t="s">
        <v>3553</v>
      </c>
      <c r="DB543" t="s">
        <v>3551</v>
      </c>
      <c r="DC543" t="s">
        <v>363</v>
      </c>
      <c r="DD543" t="s">
        <v>282</v>
      </c>
      <c r="DE543" t="s">
        <v>4090</v>
      </c>
    </row>
    <row r="544" spans="1:109" ht="11.25" customHeight="1">
      <c r="A544" s="1314" t="s">
        <v>231</v>
      </c>
      <c r="B544" t="s">
        <v>231</v>
      </c>
      <c r="C544" t="s">
        <v>231</v>
      </c>
      <c r="D544" t="s">
        <v>231</v>
      </c>
      <c r="E544" t="s">
        <v>231</v>
      </c>
      <c r="F544" t="s">
        <v>231</v>
      </c>
      <c r="G544" t="s">
        <v>231</v>
      </c>
      <c r="H544" t="s">
        <v>231</v>
      </c>
      <c r="I544" t="s">
        <v>3521</v>
      </c>
      <c r="J544" t="s">
        <v>231</v>
      </c>
      <c r="K544" t="s">
        <v>231</v>
      </c>
      <c r="L544" t="s">
        <v>231</v>
      </c>
      <c r="M544" t="s">
        <v>231</v>
      </c>
      <c r="N544" t="s">
        <v>231</v>
      </c>
      <c r="O544" t="s">
        <v>231</v>
      </c>
      <c r="P544" t="s">
        <v>231</v>
      </c>
      <c r="Q544" t="s">
        <v>231</v>
      </c>
      <c r="R544" t="s">
        <v>4357</v>
      </c>
      <c r="S544" t="s">
        <v>231</v>
      </c>
      <c r="T544" t="s">
        <v>231</v>
      </c>
      <c r="U544" t="s">
        <v>101</v>
      </c>
      <c r="V544" t="s">
        <v>231</v>
      </c>
      <c r="W544" t="s">
        <v>231</v>
      </c>
      <c r="X544" t="s">
        <v>3523</v>
      </c>
      <c r="Y544" t="s">
        <v>231</v>
      </c>
      <c r="Z544" t="s">
        <v>160</v>
      </c>
      <c r="AA544" t="s">
        <v>151</v>
      </c>
      <c r="AB544" t="s">
        <v>151</v>
      </c>
      <c r="AC544" t="s">
        <v>2283</v>
      </c>
      <c r="AD544" t="s">
        <v>2283</v>
      </c>
      <c r="AE544" t="s">
        <v>2284</v>
      </c>
      <c r="AF544" t="s">
        <v>4083</v>
      </c>
      <c r="AG544" t="s">
        <v>4084</v>
      </c>
      <c r="AH544" t="s">
        <v>4087</v>
      </c>
      <c r="AI544" t="s">
        <v>4088</v>
      </c>
      <c r="AJ544" t="s">
        <v>3546</v>
      </c>
      <c r="AK544" t="s">
        <v>3547</v>
      </c>
      <c r="AL544" t="s">
        <v>3548</v>
      </c>
      <c r="AM544" t="s">
        <v>3531</v>
      </c>
      <c r="AN544" t="s">
        <v>3549</v>
      </c>
      <c r="AO544" t="s">
        <v>3679</v>
      </c>
      <c r="AP544" t="s">
        <v>231</v>
      </c>
      <c r="AQ544" t="s">
        <v>231</v>
      </c>
      <c r="AR544" t="s">
        <v>231</v>
      </c>
      <c r="AS544" t="s">
        <v>231</v>
      </c>
      <c r="AT544" t="s">
        <v>231</v>
      </c>
      <c r="AU544" t="s">
        <v>231</v>
      </c>
      <c r="AV544" t="s">
        <v>231</v>
      </c>
      <c r="AW544" t="s">
        <v>231</v>
      </c>
      <c r="AX544" t="s">
        <v>231</v>
      </c>
      <c r="AY544" t="s">
        <v>231</v>
      </c>
      <c r="AZ544" t="s">
        <v>231</v>
      </c>
      <c r="BA544" t="s">
        <v>231</v>
      </c>
      <c r="BB544" t="s">
        <v>231</v>
      </c>
      <c r="BC544" t="s">
        <v>231</v>
      </c>
      <c r="BD544" t="s">
        <v>231</v>
      </c>
      <c r="BE544" t="s">
        <v>231</v>
      </c>
      <c r="BF544" t="s">
        <v>231</v>
      </c>
      <c r="BG544" t="s">
        <v>231</v>
      </c>
      <c r="BH544" t="s">
        <v>231</v>
      </c>
      <c r="BI544" t="s">
        <v>231</v>
      </c>
      <c r="BJ544" t="s">
        <v>231</v>
      </c>
      <c r="BK544" t="s">
        <v>231</v>
      </c>
      <c r="BL544" t="s">
        <v>231</v>
      </c>
      <c r="BM544" t="s">
        <v>231</v>
      </c>
      <c r="BN544" t="s">
        <v>231</v>
      </c>
      <c r="BO544" t="s">
        <v>231</v>
      </c>
      <c r="BP544" t="s">
        <v>231</v>
      </c>
      <c r="BQ544" t="s">
        <v>231</v>
      </c>
      <c r="BR544" t="s">
        <v>231</v>
      </c>
      <c r="BS544" t="s">
        <v>231</v>
      </c>
      <c r="BT544" t="s">
        <v>231</v>
      </c>
      <c r="BU544" t="s">
        <v>231</v>
      </c>
      <c r="BV544" t="s">
        <v>231</v>
      </c>
      <c r="BW544" t="s">
        <v>231</v>
      </c>
      <c r="BX544" t="s">
        <v>231</v>
      </c>
      <c r="BY544" t="s">
        <v>231</v>
      </c>
      <c r="BZ544" t="s">
        <v>231</v>
      </c>
      <c r="CA544" t="s">
        <v>231</v>
      </c>
      <c r="CB544" t="s">
        <v>231</v>
      </c>
      <c r="CC544" t="s">
        <v>231</v>
      </c>
      <c r="CD544" t="s">
        <v>231</v>
      </c>
      <c r="CE544" t="s">
        <v>231</v>
      </c>
      <c r="CF544" t="s">
        <v>231</v>
      </c>
      <c r="CG544" t="s">
        <v>231</v>
      </c>
      <c r="CH544" t="s">
        <v>231</v>
      </c>
      <c r="CI544" t="s">
        <v>231</v>
      </c>
      <c r="CJ544" t="s">
        <v>231</v>
      </c>
      <c r="CK544" t="s">
        <v>231</v>
      </c>
      <c r="CL544" t="s">
        <v>231</v>
      </c>
      <c r="CM544" t="s">
        <v>231</v>
      </c>
      <c r="CN544" t="s">
        <v>231</v>
      </c>
      <c r="CO544" t="s">
        <v>231</v>
      </c>
      <c r="CP544" t="s">
        <v>231</v>
      </c>
      <c r="CQ544" t="s">
        <v>231</v>
      </c>
      <c r="CR544" t="s">
        <v>231</v>
      </c>
      <c r="CS544" t="s">
        <v>231</v>
      </c>
      <c r="CT544" t="s">
        <v>3534</v>
      </c>
      <c r="CU544" t="s">
        <v>3535</v>
      </c>
      <c r="CV544" t="s">
        <v>3536</v>
      </c>
      <c r="CW544" t="s">
        <v>3551</v>
      </c>
      <c r="CX544" t="s">
        <v>223</v>
      </c>
      <c r="CY544" t="s">
        <v>3536</v>
      </c>
      <c r="CZ544" t="s">
        <v>3552</v>
      </c>
      <c r="DA544" t="s">
        <v>3553</v>
      </c>
      <c r="DB544" t="s">
        <v>3551</v>
      </c>
      <c r="DC544" t="s">
        <v>363</v>
      </c>
      <c r="DD544" t="s">
        <v>282</v>
      </c>
      <c r="DE544" t="s">
        <v>4358</v>
      </c>
    </row>
    <row r="545" spans="1:109" ht="11.25" customHeight="1">
      <c r="A545" s="1314" t="s">
        <v>231</v>
      </c>
      <c r="B545" t="s">
        <v>231</v>
      </c>
      <c r="C545" t="s">
        <v>231</v>
      </c>
      <c r="D545" t="s">
        <v>231</v>
      </c>
      <c r="E545" t="s">
        <v>231</v>
      </c>
      <c r="F545" t="s">
        <v>231</v>
      </c>
      <c r="G545" t="s">
        <v>231</v>
      </c>
      <c r="H545" t="s">
        <v>231</v>
      </c>
      <c r="I545" t="s">
        <v>3521</v>
      </c>
      <c r="J545" t="s">
        <v>231</v>
      </c>
      <c r="K545" t="s">
        <v>231</v>
      </c>
      <c r="L545" t="s">
        <v>231</v>
      </c>
      <c r="M545" t="s">
        <v>231</v>
      </c>
      <c r="N545" t="s">
        <v>231</v>
      </c>
      <c r="O545" t="s">
        <v>231</v>
      </c>
      <c r="P545" t="s">
        <v>231</v>
      </c>
      <c r="Q545" t="s">
        <v>231</v>
      </c>
      <c r="R545" t="s">
        <v>4359</v>
      </c>
      <c r="S545" t="s">
        <v>231</v>
      </c>
      <c r="T545" t="s">
        <v>231</v>
      </c>
      <c r="U545" t="s">
        <v>101</v>
      </c>
      <c r="V545" t="s">
        <v>231</v>
      </c>
      <c r="W545" t="s">
        <v>231</v>
      </c>
      <c r="X545" t="s">
        <v>3523</v>
      </c>
      <c r="Y545" t="s">
        <v>231</v>
      </c>
      <c r="Z545" t="s">
        <v>160</v>
      </c>
      <c r="AA545" t="s">
        <v>151</v>
      </c>
      <c r="AB545" t="s">
        <v>151</v>
      </c>
      <c r="AC545" t="s">
        <v>2289</v>
      </c>
      <c r="AD545" t="s">
        <v>2289</v>
      </c>
      <c r="AE545" t="s">
        <v>2290</v>
      </c>
      <c r="AF545" t="s">
        <v>3793</v>
      </c>
      <c r="AG545" t="s">
        <v>3794</v>
      </c>
      <c r="AH545" t="s">
        <v>3728</v>
      </c>
      <c r="AI545" t="s">
        <v>4360</v>
      </c>
      <c r="AJ545" t="s">
        <v>3549</v>
      </c>
      <c r="AK545" t="s">
        <v>3587</v>
      </c>
      <c r="AL545" t="s">
        <v>4163</v>
      </c>
      <c r="AM545" t="s">
        <v>3531</v>
      </c>
      <c r="AN545" t="s">
        <v>3595</v>
      </c>
      <c r="AO545" t="s">
        <v>3796</v>
      </c>
      <c r="AP545" t="s">
        <v>231</v>
      </c>
      <c r="AQ545" t="s">
        <v>231</v>
      </c>
      <c r="AR545" t="s">
        <v>231</v>
      </c>
      <c r="AS545" t="s">
        <v>231</v>
      </c>
      <c r="AT545" t="s">
        <v>231</v>
      </c>
      <c r="AU545" t="s">
        <v>231</v>
      </c>
      <c r="AV545" t="s">
        <v>231</v>
      </c>
      <c r="AW545" t="s">
        <v>231</v>
      </c>
      <c r="AX545" t="s">
        <v>231</v>
      </c>
      <c r="AY545" t="s">
        <v>231</v>
      </c>
      <c r="AZ545" t="s">
        <v>231</v>
      </c>
      <c r="BA545" t="s">
        <v>231</v>
      </c>
      <c r="BB545" t="s">
        <v>231</v>
      </c>
      <c r="BC545" t="s">
        <v>231</v>
      </c>
      <c r="BD545" t="s">
        <v>231</v>
      </c>
      <c r="BE545" t="s">
        <v>231</v>
      </c>
      <c r="BF545" t="s">
        <v>231</v>
      </c>
      <c r="BG545" t="s">
        <v>231</v>
      </c>
      <c r="BH545" t="s">
        <v>231</v>
      </c>
      <c r="BI545" t="s">
        <v>231</v>
      </c>
      <c r="BJ545" t="s">
        <v>231</v>
      </c>
      <c r="BK545" t="s">
        <v>231</v>
      </c>
      <c r="BL545" t="s">
        <v>231</v>
      </c>
      <c r="BM545" t="s">
        <v>231</v>
      </c>
      <c r="BN545" t="s">
        <v>231</v>
      </c>
      <c r="BO545" t="s">
        <v>231</v>
      </c>
      <c r="BP545" t="s">
        <v>231</v>
      </c>
      <c r="BQ545" t="s">
        <v>231</v>
      </c>
      <c r="BR545" t="s">
        <v>231</v>
      </c>
      <c r="BS545" t="s">
        <v>231</v>
      </c>
      <c r="BT545" t="s">
        <v>231</v>
      </c>
      <c r="BU545" t="s">
        <v>231</v>
      </c>
      <c r="BV545" t="s">
        <v>231</v>
      </c>
      <c r="BW545" t="s">
        <v>231</v>
      </c>
      <c r="BX545" t="s">
        <v>231</v>
      </c>
      <c r="BY545" t="s">
        <v>231</v>
      </c>
      <c r="BZ545" t="s">
        <v>231</v>
      </c>
      <c r="CA545" t="s">
        <v>231</v>
      </c>
      <c r="CB545" t="s">
        <v>231</v>
      </c>
      <c r="CC545" t="s">
        <v>231</v>
      </c>
      <c r="CD545" t="s">
        <v>231</v>
      </c>
      <c r="CE545" t="s">
        <v>231</v>
      </c>
      <c r="CF545" t="s">
        <v>231</v>
      </c>
      <c r="CG545" t="s">
        <v>231</v>
      </c>
      <c r="CH545" t="s">
        <v>231</v>
      </c>
      <c r="CI545" t="s">
        <v>231</v>
      </c>
      <c r="CJ545" t="s">
        <v>231</v>
      </c>
      <c r="CK545" t="s">
        <v>231</v>
      </c>
      <c r="CL545" t="s">
        <v>231</v>
      </c>
      <c r="CM545" t="s">
        <v>231</v>
      </c>
      <c r="CN545" t="s">
        <v>231</v>
      </c>
      <c r="CO545" t="s">
        <v>231</v>
      </c>
      <c r="CP545" t="s">
        <v>231</v>
      </c>
      <c r="CQ545" t="s">
        <v>231</v>
      </c>
      <c r="CR545" t="s">
        <v>231</v>
      </c>
      <c r="CS545" t="s">
        <v>231</v>
      </c>
      <c r="CT545" t="s">
        <v>3534</v>
      </c>
      <c r="CU545" t="s">
        <v>3535</v>
      </c>
      <c r="CV545" t="s">
        <v>3536</v>
      </c>
      <c r="CW545" t="s">
        <v>3589</v>
      </c>
      <c r="CX545" t="s">
        <v>223</v>
      </c>
      <c r="CY545" t="s">
        <v>3536</v>
      </c>
      <c r="CZ545" t="s">
        <v>3590</v>
      </c>
      <c r="DA545" t="s">
        <v>3591</v>
      </c>
      <c r="DB545" t="s">
        <v>3589</v>
      </c>
      <c r="DC545" t="s">
        <v>363</v>
      </c>
      <c r="DD545" t="s">
        <v>282</v>
      </c>
      <c r="DE545" t="s">
        <v>4361</v>
      </c>
    </row>
    <row r="546" spans="1:109" ht="11.25" customHeight="1">
      <c r="A546" s="1314" t="s">
        <v>231</v>
      </c>
      <c r="B546" t="s">
        <v>231</v>
      </c>
      <c r="C546" t="s">
        <v>231</v>
      </c>
      <c r="D546" t="s">
        <v>231</v>
      </c>
      <c r="E546" t="s">
        <v>231</v>
      </c>
      <c r="F546" t="s">
        <v>231</v>
      </c>
      <c r="G546" t="s">
        <v>231</v>
      </c>
      <c r="H546" t="s">
        <v>231</v>
      </c>
      <c r="I546" t="s">
        <v>3521</v>
      </c>
      <c r="J546" t="s">
        <v>231</v>
      </c>
      <c r="K546" t="s">
        <v>231</v>
      </c>
      <c r="L546" t="s">
        <v>231</v>
      </c>
      <c r="M546" t="s">
        <v>231</v>
      </c>
      <c r="N546" t="s">
        <v>231</v>
      </c>
      <c r="O546" t="s">
        <v>231</v>
      </c>
      <c r="P546" t="s">
        <v>231</v>
      </c>
      <c r="Q546" t="s">
        <v>231</v>
      </c>
      <c r="R546" t="s">
        <v>4363</v>
      </c>
      <c r="S546" t="s">
        <v>231</v>
      </c>
      <c r="T546" t="s">
        <v>231</v>
      </c>
      <c r="U546" t="s">
        <v>101</v>
      </c>
      <c r="V546" t="s">
        <v>231</v>
      </c>
      <c r="W546" t="s">
        <v>231</v>
      </c>
      <c r="X546" t="s">
        <v>3628</v>
      </c>
      <c r="Y546" t="s">
        <v>231</v>
      </c>
      <c r="Z546" t="s">
        <v>151</v>
      </c>
      <c r="AA546" t="s">
        <v>151</v>
      </c>
      <c r="AB546" t="s">
        <v>160</v>
      </c>
      <c r="AC546" t="s">
        <v>2289</v>
      </c>
      <c r="AD546" t="s">
        <v>2289</v>
      </c>
      <c r="AE546" t="s">
        <v>2290</v>
      </c>
      <c r="AF546" t="s">
        <v>3890</v>
      </c>
      <c r="AG546" t="s">
        <v>3891</v>
      </c>
      <c r="AH546" t="s">
        <v>3618</v>
      </c>
      <c r="AI546" t="s">
        <v>3618</v>
      </c>
      <c r="AJ546" t="s">
        <v>231</v>
      </c>
      <c r="AK546" t="s">
        <v>231</v>
      </c>
      <c r="AL546" t="s">
        <v>231</v>
      </c>
      <c r="AM546" t="s">
        <v>231</v>
      </c>
      <c r="AN546" t="s">
        <v>231</v>
      </c>
      <c r="AO546" t="s">
        <v>231</v>
      </c>
      <c r="AP546" t="s">
        <v>231</v>
      </c>
      <c r="AQ546" t="s">
        <v>231</v>
      </c>
      <c r="AR546" t="s">
        <v>231</v>
      </c>
      <c r="AS546" t="s">
        <v>231</v>
      </c>
      <c r="AT546" t="s">
        <v>231</v>
      </c>
      <c r="AU546" t="s">
        <v>231</v>
      </c>
      <c r="AV546" t="s">
        <v>231</v>
      </c>
      <c r="AW546" t="s">
        <v>231</v>
      </c>
      <c r="AX546" t="s">
        <v>231</v>
      </c>
      <c r="AY546" t="s">
        <v>231</v>
      </c>
      <c r="AZ546" t="s">
        <v>231</v>
      </c>
      <c r="BA546" t="s">
        <v>231</v>
      </c>
      <c r="BB546" t="s">
        <v>231</v>
      </c>
      <c r="BC546" t="s">
        <v>231</v>
      </c>
      <c r="BD546" t="s">
        <v>231</v>
      </c>
      <c r="BE546" t="s">
        <v>3546</v>
      </c>
      <c r="BF546" t="s">
        <v>3586</v>
      </c>
      <c r="BG546" t="s">
        <v>111</v>
      </c>
      <c r="BH546" t="s">
        <v>3632</v>
      </c>
      <c r="BI546" t="s">
        <v>122</v>
      </c>
      <c r="BJ546" t="s">
        <v>231</v>
      </c>
      <c r="BK546" t="s">
        <v>3651</v>
      </c>
      <c r="BL546" t="s">
        <v>2289</v>
      </c>
      <c r="BM546" t="s">
        <v>2289</v>
      </c>
      <c r="BN546" t="s">
        <v>3707</v>
      </c>
      <c r="BO546" t="s">
        <v>3890</v>
      </c>
      <c r="BP546" t="s">
        <v>4364</v>
      </c>
      <c r="BQ546" t="s">
        <v>3618</v>
      </c>
      <c r="BR546" t="s">
        <v>3618</v>
      </c>
      <c r="BS546" t="s">
        <v>231</v>
      </c>
      <c r="BT546" t="s">
        <v>3694</v>
      </c>
      <c r="BU546" t="s">
        <v>4365</v>
      </c>
      <c r="BV546" t="s">
        <v>4365</v>
      </c>
      <c r="BW546" t="s">
        <v>3641</v>
      </c>
      <c r="BX546" t="s">
        <v>3641</v>
      </c>
      <c r="BY546" t="s">
        <v>3641</v>
      </c>
      <c r="BZ546" t="s">
        <v>3641</v>
      </c>
      <c r="CA546" t="s">
        <v>3641</v>
      </c>
      <c r="CB546" t="s">
        <v>231</v>
      </c>
      <c r="CC546" t="s">
        <v>231</v>
      </c>
      <c r="CD546" t="s">
        <v>231</v>
      </c>
      <c r="CE546" t="s">
        <v>231</v>
      </c>
      <c r="CF546" t="s">
        <v>231</v>
      </c>
      <c r="CG546" t="s">
        <v>3641</v>
      </c>
      <c r="CH546" t="s">
        <v>231</v>
      </c>
      <c r="CI546" t="s">
        <v>231</v>
      </c>
      <c r="CJ546" t="s">
        <v>231</v>
      </c>
      <c r="CK546" t="s">
        <v>231</v>
      </c>
      <c r="CL546" t="s">
        <v>231</v>
      </c>
      <c r="CM546" t="s">
        <v>4365</v>
      </c>
      <c r="CN546" t="s">
        <v>4365</v>
      </c>
      <c r="CO546" t="s">
        <v>231</v>
      </c>
      <c r="CP546" t="s">
        <v>231</v>
      </c>
      <c r="CQ546" t="s">
        <v>231</v>
      </c>
      <c r="CR546" t="s">
        <v>231</v>
      </c>
      <c r="CS546" t="s">
        <v>3710</v>
      </c>
      <c r="CT546" t="s">
        <v>3534</v>
      </c>
      <c r="CU546" t="s">
        <v>3535</v>
      </c>
      <c r="CV546" t="s">
        <v>3536</v>
      </c>
      <c r="CW546" t="s">
        <v>3589</v>
      </c>
      <c r="CX546" t="s">
        <v>223</v>
      </c>
      <c r="CY546" t="s">
        <v>3536</v>
      </c>
      <c r="CZ546" t="s">
        <v>3590</v>
      </c>
      <c r="DA546" t="s">
        <v>3591</v>
      </c>
      <c r="DB546" t="s">
        <v>3589</v>
      </c>
      <c r="DC546" t="s">
        <v>363</v>
      </c>
      <c r="DD546" t="s">
        <v>282</v>
      </c>
      <c r="DE546" t="s">
        <v>4366</v>
      </c>
    </row>
    <row r="547" spans="1:109" ht="11.25" customHeight="1">
      <c r="A547" s="1314" t="s">
        <v>231</v>
      </c>
      <c r="B547" t="s">
        <v>231</v>
      </c>
      <c r="C547" t="s">
        <v>231</v>
      </c>
      <c r="D547" t="s">
        <v>231</v>
      </c>
      <c r="E547" t="s">
        <v>231</v>
      </c>
      <c r="F547" t="s">
        <v>231</v>
      </c>
      <c r="G547" t="s">
        <v>231</v>
      </c>
      <c r="H547" t="s">
        <v>231</v>
      </c>
      <c r="I547" t="s">
        <v>3521</v>
      </c>
      <c r="J547" t="s">
        <v>231</v>
      </c>
      <c r="K547" t="s">
        <v>231</v>
      </c>
      <c r="L547" t="s">
        <v>231</v>
      </c>
      <c r="M547" t="s">
        <v>231</v>
      </c>
      <c r="N547" t="s">
        <v>231</v>
      </c>
      <c r="O547" t="s">
        <v>231</v>
      </c>
      <c r="P547" t="s">
        <v>231</v>
      </c>
      <c r="Q547" t="s">
        <v>231</v>
      </c>
      <c r="R547" t="s">
        <v>4367</v>
      </c>
      <c r="S547" t="s">
        <v>231</v>
      </c>
      <c r="T547" t="s">
        <v>231</v>
      </c>
      <c r="U547" t="s">
        <v>101</v>
      </c>
      <c r="V547" t="s">
        <v>231</v>
      </c>
      <c r="W547" t="s">
        <v>231</v>
      </c>
      <c r="X547" t="s">
        <v>3523</v>
      </c>
      <c r="Y547" t="s">
        <v>231</v>
      </c>
      <c r="Z547" t="s">
        <v>160</v>
      </c>
      <c r="AA547" t="s">
        <v>151</v>
      </c>
      <c r="AB547" t="s">
        <v>151</v>
      </c>
      <c r="AC547" t="s">
        <v>2289</v>
      </c>
      <c r="AD547" t="s">
        <v>2289</v>
      </c>
      <c r="AE547" t="s">
        <v>2290</v>
      </c>
      <c r="AF547" t="s">
        <v>4368</v>
      </c>
      <c r="AG547" t="s">
        <v>4369</v>
      </c>
      <c r="AH547" t="s">
        <v>3584</v>
      </c>
      <c r="AI547" t="s">
        <v>4370</v>
      </c>
      <c r="AJ547" t="s">
        <v>3546</v>
      </c>
      <c r="AK547" t="s">
        <v>3820</v>
      </c>
      <c r="AL547" t="s">
        <v>3548</v>
      </c>
      <c r="AM547" t="s">
        <v>3531</v>
      </c>
      <c r="AN547" t="s">
        <v>3587</v>
      </c>
      <c r="AO547" t="s">
        <v>3550</v>
      </c>
      <c r="AP547" t="s">
        <v>231</v>
      </c>
      <c r="AQ547" t="s">
        <v>231</v>
      </c>
      <c r="AR547" t="s">
        <v>231</v>
      </c>
      <c r="AS547" t="s">
        <v>231</v>
      </c>
      <c r="AT547" t="s">
        <v>231</v>
      </c>
      <c r="AU547" t="s">
        <v>231</v>
      </c>
      <c r="AV547" t="s">
        <v>231</v>
      </c>
      <c r="AW547" t="s">
        <v>231</v>
      </c>
      <c r="AX547" t="s">
        <v>231</v>
      </c>
      <c r="AY547" t="s">
        <v>231</v>
      </c>
      <c r="AZ547" t="s">
        <v>231</v>
      </c>
      <c r="BA547" t="s">
        <v>231</v>
      </c>
      <c r="BB547" t="s">
        <v>231</v>
      </c>
      <c r="BC547" t="s">
        <v>231</v>
      </c>
      <c r="BD547" t="s">
        <v>231</v>
      </c>
      <c r="BE547" t="s">
        <v>231</v>
      </c>
      <c r="BF547" t="s">
        <v>231</v>
      </c>
      <c r="BG547" t="s">
        <v>231</v>
      </c>
      <c r="BH547" t="s">
        <v>231</v>
      </c>
      <c r="BI547" t="s">
        <v>231</v>
      </c>
      <c r="BJ547" t="s">
        <v>231</v>
      </c>
      <c r="BK547" t="s">
        <v>231</v>
      </c>
      <c r="BL547" t="s">
        <v>231</v>
      </c>
      <c r="BM547" t="s">
        <v>231</v>
      </c>
      <c r="BN547" t="s">
        <v>231</v>
      </c>
      <c r="BO547" t="s">
        <v>231</v>
      </c>
      <c r="BP547" t="s">
        <v>231</v>
      </c>
      <c r="BQ547" t="s">
        <v>231</v>
      </c>
      <c r="BR547" t="s">
        <v>231</v>
      </c>
      <c r="BS547" t="s">
        <v>231</v>
      </c>
      <c r="BT547" t="s">
        <v>231</v>
      </c>
      <c r="BU547" t="s">
        <v>231</v>
      </c>
      <c r="BV547" t="s">
        <v>231</v>
      </c>
      <c r="BW547" t="s">
        <v>231</v>
      </c>
      <c r="BX547" t="s">
        <v>231</v>
      </c>
      <c r="BY547" t="s">
        <v>231</v>
      </c>
      <c r="BZ547" t="s">
        <v>231</v>
      </c>
      <c r="CA547" t="s">
        <v>231</v>
      </c>
      <c r="CB547" t="s">
        <v>231</v>
      </c>
      <c r="CC547" t="s">
        <v>231</v>
      </c>
      <c r="CD547" t="s">
        <v>231</v>
      </c>
      <c r="CE547" t="s">
        <v>231</v>
      </c>
      <c r="CF547" t="s">
        <v>231</v>
      </c>
      <c r="CG547" t="s">
        <v>231</v>
      </c>
      <c r="CH547" t="s">
        <v>231</v>
      </c>
      <c r="CI547" t="s">
        <v>231</v>
      </c>
      <c r="CJ547" t="s">
        <v>231</v>
      </c>
      <c r="CK547" t="s">
        <v>231</v>
      </c>
      <c r="CL547" t="s">
        <v>231</v>
      </c>
      <c r="CM547" t="s">
        <v>231</v>
      </c>
      <c r="CN547" t="s">
        <v>231</v>
      </c>
      <c r="CO547" t="s">
        <v>231</v>
      </c>
      <c r="CP547" t="s">
        <v>231</v>
      </c>
      <c r="CQ547" t="s">
        <v>231</v>
      </c>
      <c r="CR547" t="s">
        <v>231</v>
      </c>
      <c r="CS547" t="s">
        <v>231</v>
      </c>
      <c r="CT547" t="s">
        <v>3534</v>
      </c>
      <c r="CU547" t="s">
        <v>3535</v>
      </c>
      <c r="CV547" t="s">
        <v>3536</v>
      </c>
      <c r="CW547" t="s">
        <v>3589</v>
      </c>
      <c r="CX547" t="s">
        <v>223</v>
      </c>
      <c r="CY547" t="s">
        <v>3536</v>
      </c>
      <c r="CZ547" t="s">
        <v>3590</v>
      </c>
      <c r="DA547" t="s">
        <v>3591</v>
      </c>
      <c r="DB547" t="s">
        <v>3589</v>
      </c>
      <c r="DC547" t="s">
        <v>363</v>
      </c>
      <c r="DD547" t="s">
        <v>282</v>
      </c>
      <c r="DE547" t="s">
        <v>4371</v>
      </c>
    </row>
    <row r="548" spans="1:109" ht="11.25" customHeight="1">
      <c r="A548" s="1314" t="s">
        <v>231</v>
      </c>
      <c r="B548" t="s">
        <v>231</v>
      </c>
      <c r="C548" t="s">
        <v>231</v>
      </c>
      <c r="D548" t="s">
        <v>231</v>
      </c>
      <c r="E548" t="s">
        <v>231</v>
      </c>
      <c r="F548" t="s">
        <v>231</v>
      </c>
      <c r="G548" t="s">
        <v>231</v>
      </c>
      <c r="H548" t="s">
        <v>231</v>
      </c>
      <c r="I548" t="s">
        <v>3521</v>
      </c>
      <c r="J548" t="s">
        <v>231</v>
      </c>
      <c r="K548" t="s">
        <v>231</v>
      </c>
      <c r="L548" t="s">
        <v>231</v>
      </c>
      <c r="M548" t="s">
        <v>231</v>
      </c>
      <c r="N548" t="s">
        <v>231</v>
      </c>
      <c r="O548" t="s">
        <v>231</v>
      </c>
      <c r="P548" t="s">
        <v>231</v>
      </c>
      <c r="Q548" t="s">
        <v>231</v>
      </c>
      <c r="R548" t="s">
        <v>4447</v>
      </c>
      <c r="S548" t="s">
        <v>231</v>
      </c>
      <c r="T548" t="s">
        <v>231</v>
      </c>
      <c r="U548" t="s">
        <v>101</v>
      </c>
      <c r="V548" t="s">
        <v>231</v>
      </c>
      <c r="W548" t="s">
        <v>231</v>
      </c>
      <c r="X548" t="s">
        <v>3523</v>
      </c>
      <c r="Y548" t="s">
        <v>231</v>
      </c>
      <c r="Z548" t="s">
        <v>160</v>
      </c>
      <c r="AA548" t="s">
        <v>151</v>
      </c>
      <c r="AB548" t="s">
        <v>151</v>
      </c>
      <c r="AC548" t="s">
        <v>2289</v>
      </c>
      <c r="AD548" t="s">
        <v>2289</v>
      </c>
      <c r="AE548" t="s">
        <v>2290</v>
      </c>
      <c r="AF548" t="s">
        <v>3930</v>
      </c>
      <c r="AG548" t="s">
        <v>3931</v>
      </c>
      <c r="AH548" t="s">
        <v>4439</v>
      </c>
      <c r="AI548" t="s">
        <v>3738</v>
      </c>
      <c r="AJ548" t="s">
        <v>3594</v>
      </c>
      <c r="AK548" t="s">
        <v>3820</v>
      </c>
      <c r="AL548" t="s">
        <v>3548</v>
      </c>
      <c r="AM548" t="s">
        <v>3531</v>
      </c>
      <c r="AN548" t="s">
        <v>3595</v>
      </c>
      <c r="AO548" t="s">
        <v>3533</v>
      </c>
      <c r="AP548" t="s">
        <v>231</v>
      </c>
      <c r="AQ548" t="s">
        <v>231</v>
      </c>
      <c r="AR548" t="s">
        <v>231</v>
      </c>
      <c r="AS548" t="s">
        <v>231</v>
      </c>
      <c r="AT548" t="s">
        <v>231</v>
      </c>
      <c r="AU548" t="s">
        <v>231</v>
      </c>
      <c r="AV548" t="s">
        <v>231</v>
      </c>
      <c r="AW548" t="s">
        <v>231</v>
      </c>
      <c r="AX548" t="s">
        <v>231</v>
      </c>
      <c r="AY548" t="s">
        <v>231</v>
      </c>
      <c r="AZ548" t="s">
        <v>231</v>
      </c>
      <c r="BA548" t="s">
        <v>231</v>
      </c>
      <c r="BB548" t="s">
        <v>231</v>
      </c>
      <c r="BC548" t="s">
        <v>231</v>
      </c>
      <c r="BD548" t="s">
        <v>231</v>
      </c>
      <c r="BE548" t="s">
        <v>231</v>
      </c>
      <c r="BF548" t="s">
        <v>231</v>
      </c>
      <c r="BG548" t="s">
        <v>231</v>
      </c>
      <c r="BH548" t="s">
        <v>231</v>
      </c>
      <c r="BI548" t="s">
        <v>231</v>
      </c>
      <c r="BJ548" t="s">
        <v>231</v>
      </c>
      <c r="BK548" t="s">
        <v>231</v>
      </c>
      <c r="BL548" t="s">
        <v>231</v>
      </c>
      <c r="BM548" t="s">
        <v>231</v>
      </c>
      <c r="BN548" t="s">
        <v>231</v>
      </c>
      <c r="BO548" t="s">
        <v>231</v>
      </c>
      <c r="BP548" t="s">
        <v>231</v>
      </c>
      <c r="BQ548" t="s">
        <v>231</v>
      </c>
      <c r="BR548" t="s">
        <v>231</v>
      </c>
      <c r="BS548" t="s">
        <v>231</v>
      </c>
      <c r="BT548" t="s">
        <v>231</v>
      </c>
      <c r="BU548" t="s">
        <v>231</v>
      </c>
      <c r="BV548" t="s">
        <v>231</v>
      </c>
      <c r="BW548" t="s">
        <v>231</v>
      </c>
      <c r="BX548" t="s">
        <v>231</v>
      </c>
      <c r="BY548" t="s">
        <v>231</v>
      </c>
      <c r="BZ548" t="s">
        <v>231</v>
      </c>
      <c r="CA548" t="s">
        <v>231</v>
      </c>
      <c r="CB548" t="s">
        <v>231</v>
      </c>
      <c r="CC548" t="s">
        <v>231</v>
      </c>
      <c r="CD548" t="s">
        <v>231</v>
      </c>
      <c r="CE548" t="s">
        <v>231</v>
      </c>
      <c r="CF548" t="s">
        <v>231</v>
      </c>
      <c r="CG548" t="s">
        <v>231</v>
      </c>
      <c r="CH548" t="s">
        <v>231</v>
      </c>
      <c r="CI548" t="s">
        <v>231</v>
      </c>
      <c r="CJ548" t="s">
        <v>231</v>
      </c>
      <c r="CK548" t="s">
        <v>231</v>
      </c>
      <c r="CL548" t="s">
        <v>231</v>
      </c>
      <c r="CM548" t="s">
        <v>231</v>
      </c>
      <c r="CN548" t="s">
        <v>231</v>
      </c>
      <c r="CO548" t="s">
        <v>231</v>
      </c>
      <c r="CP548" t="s">
        <v>231</v>
      </c>
      <c r="CQ548" t="s">
        <v>231</v>
      </c>
      <c r="CR548" t="s">
        <v>231</v>
      </c>
      <c r="CS548" t="s">
        <v>231</v>
      </c>
      <c r="CT548" t="s">
        <v>3534</v>
      </c>
      <c r="CU548" t="s">
        <v>3535</v>
      </c>
      <c r="CV548" t="s">
        <v>3536</v>
      </c>
      <c r="CW548" t="s">
        <v>3589</v>
      </c>
      <c r="CX548" t="s">
        <v>223</v>
      </c>
      <c r="CY548" t="s">
        <v>3536</v>
      </c>
      <c r="CZ548" t="s">
        <v>3590</v>
      </c>
      <c r="DA548" t="s">
        <v>3591</v>
      </c>
      <c r="DB548" t="s">
        <v>3589</v>
      </c>
      <c r="DC548" t="s">
        <v>363</v>
      </c>
      <c r="DD548" t="s">
        <v>282</v>
      </c>
      <c r="DE548" t="s">
        <v>4448</v>
      </c>
    </row>
    <row r="549" spans="1:109" ht="11.25" customHeight="1">
      <c r="A549" s="1314" t="s">
        <v>231</v>
      </c>
      <c r="B549" t="s">
        <v>231</v>
      </c>
      <c r="C549" t="s">
        <v>231</v>
      </c>
      <c r="D549" t="s">
        <v>231</v>
      </c>
      <c r="E549" t="s">
        <v>231</v>
      </c>
      <c r="F549" t="s">
        <v>231</v>
      </c>
      <c r="G549" t="s">
        <v>231</v>
      </c>
      <c r="H549" t="s">
        <v>231</v>
      </c>
      <c r="I549" t="s">
        <v>3521</v>
      </c>
      <c r="J549" t="s">
        <v>231</v>
      </c>
      <c r="K549" t="s">
        <v>231</v>
      </c>
      <c r="L549" t="s">
        <v>231</v>
      </c>
      <c r="M549" t="s">
        <v>231</v>
      </c>
      <c r="N549" t="s">
        <v>231</v>
      </c>
      <c r="O549" t="s">
        <v>231</v>
      </c>
      <c r="P549" t="s">
        <v>231</v>
      </c>
      <c r="Q549" t="s">
        <v>231</v>
      </c>
      <c r="R549" t="s">
        <v>3615</v>
      </c>
      <c r="S549" t="s">
        <v>231</v>
      </c>
      <c r="T549" t="s">
        <v>231</v>
      </c>
      <c r="U549" t="s">
        <v>101</v>
      </c>
      <c r="V549" t="s">
        <v>231</v>
      </c>
      <c r="W549" t="s">
        <v>231</v>
      </c>
      <c r="X549" t="s">
        <v>3523</v>
      </c>
      <c r="Y549" t="s">
        <v>231</v>
      </c>
      <c r="Z549" t="s">
        <v>160</v>
      </c>
      <c r="AA549" t="s">
        <v>151</v>
      </c>
      <c r="AB549" t="s">
        <v>151</v>
      </c>
      <c r="AC549" t="s">
        <v>2289</v>
      </c>
      <c r="AD549" t="s">
        <v>2289</v>
      </c>
      <c r="AE549" t="s">
        <v>2290</v>
      </c>
      <c r="AF549" t="s">
        <v>3930</v>
      </c>
      <c r="AG549" t="s">
        <v>3931</v>
      </c>
      <c r="AH549" t="s">
        <v>4439</v>
      </c>
      <c r="AI549" t="s">
        <v>4613</v>
      </c>
      <c r="AJ549" t="s">
        <v>3594</v>
      </c>
      <c r="AK549" t="s">
        <v>3586</v>
      </c>
      <c r="AL549" t="s">
        <v>3548</v>
      </c>
      <c r="AM549" t="s">
        <v>3531</v>
      </c>
      <c r="AN549" t="s">
        <v>3595</v>
      </c>
      <c r="AO549" t="s">
        <v>3790</v>
      </c>
      <c r="AP549" t="s">
        <v>231</v>
      </c>
      <c r="AQ549" t="s">
        <v>231</v>
      </c>
      <c r="AR549" t="s">
        <v>231</v>
      </c>
      <c r="AS549" t="s">
        <v>231</v>
      </c>
      <c r="AT549" t="s">
        <v>231</v>
      </c>
      <c r="AU549" t="s">
        <v>231</v>
      </c>
      <c r="AV549" t="s">
        <v>231</v>
      </c>
      <c r="AW549" t="s">
        <v>231</v>
      </c>
      <c r="AX549" t="s">
        <v>231</v>
      </c>
      <c r="AY549" t="s">
        <v>231</v>
      </c>
      <c r="AZ549" t="s">
        <v>231</v>
      </c>
      <c r="BA549" t="s">
        <v>231</v>
      </c>
      <c r="BB549" t="s">
        <v>231</v>
      </c>
      <c r="BC549" t="s">
        <v>231</v>
      </c>
      <c r="BD549" t="s">
        <v>231</v>
      </c>
      <c r="BE549" t="s">
        <v>231</v>
      </c>
      <c r="BF549" t="s">
        <v>231</v>
      </c>
      <c r="BG549" t="s">
        <v>231</v>
      </c>
      <c r="BH549" t="s">
        <v>231</v>
      </c>
      <c r="BI549" t="s">
        <v>231</v>
      </c>
      <c r="BJ549" t="s">
        <v>231</v>
      </c>
      <c r="BK549" t="s">
        <v>231</v>
      </c>
      <c r="BL549" t="s">
        <v>231</v>
      </c>
      <c r="BM549" t="s">
        <v>231</v>
      </c>
      <c r="BN549" t="s">
        <v>231</v>
      </c>
      <c r="BO549" t="s">
        <v>231</v>
      </c>
      <c r="BP549" t="s">
        <v>231</v>
      </c>
      <c r="BQ549" t="s">
        <v>231</v>
      </c>
      <c r="BR549" t="s">
        <v>231</v>
      </c>
      <c r="BS549" t="s">
        <v>231</v>
      </c>
      <c r="BT549" t="s">
        <v>231</v>
      </c>
      <c r="BU549" t="s">
        <v>231</v>
      </c>
      <c r="BV549" t="s">
        <v>231</v>
      </c>
      <c r="BW549" t="s">
        <v>231</v>
      </c>
      <c r="BX549" t="s">
        <v>231</v>
      </c>
      <c r="BY549" t="s">
        <v>231</v>
      </c>
      <c r="BZ549" t="s">
        <v>231</v>
      </c>
      <c r="CA549" t="s">
        <v>231</v>
      </c>
      <c r="CB549" t="s">
        <v>231</v>
      </c>
      <c r="CC549" t="s">
        <v>231</v>
      </c>
      <c r="CD549" t="s">
        <v>231</v>
      </c>
      <c r="CE549" t="s">
        <v>231</v>
      </c>
      <c r="CF549" t="s">
        <v>231</v>
      </c>
      <c r="CG549" t="s">
        <v>231</v>
      </c>
      <c r="CH549" t="s">
        <v>231</v>
      </c>
      <c r="CI549" t="s">
        <v>231</v>
      </c>
      <c r="CJ549" t="s">
        <v>231</v>
      </c>
      <c r="CK549" t="s">
        <v>231</v>
      </c>
      <c r="CL549" t="s">
        <v>231</v>
      </c>
      <c r="CM549" t="s">
        <v>231</v>
      </c>
      <c r="CN549" t="s">
        <v>231</v>
      </c>
      <c r="CO549" t="s">
        <v>231</v>
      </c>
      <c r="CP549" t="s">
        <v>231</v>
      </c>
      <c r="CQ549" t="s">
        <v>231</v>
      </c>
      <c r="CR549" t="s">
        <v>231</v>
      </c>
      <c r="CS549" t="s">
        <v>231</v>
      </c>
      <c r="CT549" t="s">
        <v>3534</v>
      </c>
      <c r="CU549" t="s">
        <v>3535</v>
      </c>
      <c r="CV549" t="s">
        <v>3536</v>
      </c>
      <c r="CW549" t="s">
        <v>3589</v>
      </c>
      <c r="CX549" t="s">
        <v>223</v>
      </c>
      <c r="CY549" t="s">
        <v>3536</v>
      </c>
      <c r="CZ549" t="s">
        <v>3590</v>
      </c>
      <c r="DA549" t="s">
        <v>3591</v>
      </c>
      <c r="DB549" t="s">
        <v>3589</v>
      </c>
      <c r="DC549" t="s">
        <v>363</v>
      </c>
      <c r="DD549" t="s">
        <v>282</v>
      </c>
      <c r="DE549" t="s">
        <v>4638</v>
      </c>
    </row>
    <row r="550" spans="1:109" ht="11.25" customHeight="1">
      <c r="A550" s="1314" t="s">
        <v>231</v>
      </c>
      <c r="B550" t="s">
        <v>231</v>
      </c>
      <c r="C550" t="s">
        <v>231</v>
      </c>
      <c r="D550" t="s">
        <v>231</v>
      </c>
      <c r="E550" t="s">
        <v>231</v>
      </c>
      <c r="F550" t="s">
        <v>231</v>
      </c>
      <c r="G550" t="s">
        <v>231</v>
      </c>
      <c r="H550" t="s">
        <v>231</v>
      </c>
      <c r="I550" t="s">
        <v>3521</v>
      </c>
      <c r="J550" t="s">
        <v>231</v>
      </c>
      <c r="K550" t="s">
        <v>231</v>
      </c>
      <c r="L550" t="s">
        <v>231</v>
      </c>
      <c r="M550" t="s">
        <v>231</v>
      </c>
      <c r="N550" t="s">
        <v>231</v>
      </c>
      <c r="O550" t="s">
        <v>231</v>
      </c>
      <c r="P550" t="s">
        <v>231</v>
      </c>
      <c r="Q550" t="s">
        <v>231</v>
      </c>
      <c r="R550" t="s">
        <v>5076</v>
      </c>
      <c r="S550" t="s">
        <v>231</v>
      </c>
      <c r="T550" t="s">
        <v>231</v>
      </c>
      <c r="U550" t="s">
        <v>101</v>
      </c>
      <c r="V550" t="s">
        <v>231</v>
      </c>
      <c r="W550" t="s">
        <v>231</v>
      </c>
      <c r="X550" t="s">
        <v>3523</v>
      </c>
      <c r="Y550" t="s">
        <v>231</v>
      </c>
      <c r="Z550" t="s">
        <v>160</v>
      </c>
      <c r="AA550" t="s">
        <v>151</v>
      </c>
      <c r="AB550" t="s">
        <v>151</v>
      </c>
      <c r="AC550" t="s">
        <v>343</v>
      </c>
      <c r="AD550" t="s">
        <v>343</v>
      </c>
      <c r="AE550" t="s">
        <v>344</v>
      </c>
      <c r="AF550" t="s">
        <v>3561</v>
      </c>
      <c r="AG550" t="s">
        <v>3562</v>
      </c>
      <c r="AH550" t="s">
        <v>3916</v>
      </c>
      <c r="AI550" t="s">
        <v>3917</v>
      </c>
      <c r="AJ550" t="s">
        <v>3918</v>
      </c>
      <c r="AK550" t="s">
        <v>3919</v>
      </c>
      <c r="AL550" t="s">
        <v>3566</v>
      </c>
      <c r="AM550" t="s">
        <v>3531</v>
      </c>
      <c r="AN550" t="s">
        <v>3920</v>
      </c>
      <c r="AO550" t="s">
        <v>3921</v>
      </c>
      <c r="AP550" t="s">
        <v>231</v>
      </c>
      <c r="AQ550" t="s">
        <v>231</v>
      </c>
      <c r="AR550" t="s">
        <v>231</v>
      </c>
      <c r="AS550" t="s">
        <v>231</v>
      </c>
      <c r="AT550" t="s">
        <v>231</v>
      </c>
      <c r="AU550" t="s">
        <v>231</v>
      </c>
      <c r="AV550" t="s">
        <v>231</v>
      </c>
      <c r="AW550" t="s">
        <v>231</v>
      </c>
      <c r="AX550" t="s">
        <v>231</v>
      </c>
      <c r="AY550" t="s">
        <v>231</v>
      </c>
      <c r="AZ550" t="s">
        <v>231</v>
      </c>
      <c r="BA550" t="s">
        <v>231</v>
      </c>
      <c r="BB550" t="s">
        <v>231</v>
      </c>
      <c r="BC550" t="s">
        <v>231</v>
      </c>
      <c r="BD550" t="s">
        <v>231</v>
      </c>
      <c r="BE550" t="s">
        <v>231</v>
      </c>
      <c r="BF550" t="s">
        <v>231</v>
      </c>
      <c r="BG550" t="s">
        <v>231</v>
      </c>
      <c r="BH550" t="s">
        <v>231</v>
      </c>
      <c r="BI550" t="s">
        <v>231</v>
      </c>
      <c r="BJ550" t="s">
        <v>231</v>
      </c>
      <c r="BK550" t="s">
        <v>231</v>
      </c>
      <c r="BL550" t="s">
        <v>231</v>
      </c>
      <c r="BM550" t="s">
        <v>231</v>
      </c>
      <c r="BN550" t="s">
        <v>231</v>
      </c>
      <c r="BO550" t="s">
        <v>231</v>
      </c>
      <c r="BP550" t="s">
        <v>231</v>
      </c>
      <c r="BQ550" t="s">
        <v>231</v>
      </c>
      <c r="BR550" t="s">
        <v>231</v>
      </c>
      <c r="BS550" t="s">
        <v>231</v>
      </c>
      <c r="BT550" t="s">
        <v>231</v>
      </c>
      <c r="BU550" t="s">
        <v>231</v>
      </c>
      <c r="BV550" t="s">
        <v>231</v>
      </c>
      <c r="BW550" t="s">
        <v>231</v>
      </c>
      <c r="BX550" t="s">
        <v>231</v>
      </c>
      <c r="BY550" t="s">
        <v>231</v>
      </c>
      <c r="BZ550" t="s">
        <v>231</v>
      </c>
      <c r="CA550" t="s">
        <v>231</v>
      </c>
      <c r="CB550" t="s">
        <v>231</v>
      </c>
      <c r="CC550" t="s">
        <v>231</v>
      </c>
      <c r="CD550" t="s">
        <v>231</v>
      </c>
      <c r="CE550" t="s">
        <v>231</v>
      </c>
      <c r="CF550" t="s">
        <v>231</v>
      </c>
      <c r="CG550" t="s">
        <v>231</v>
      </c>
      <c r="CH550" t="s">
        <v>231</v>
      </c>
      <c r="CI550" t="s">
        <v>231</v>
      </c>
      <c r="CJ550" t="s">
        <v>231</v>
      </c>
      <c r="CK550" t="s">
        <v>231</v>
      </c>
      <c r="CL550" t="s">
        <v>231</v>
      </c>
      <c r="CM550" t="s">
        <v>231</v>
      </c>
      <c r="CN550" t="s">
        <v>231</v>
      </c>
      <c r="CO550" t="s">
        <v>231</v>
      </c>
      <c r="CP550" t="s">
        <v>231</v>
      </c>
      <c r="CQ550" t="s">
        <v>231</v>
      </c>
      <c r="CR550" t="s">
        <v>231</v>
      </c>
      <c r="CS550" t="s">
        <v>231</v>
      </c>
      <c r="CT550" t="s">
        <v>3534</v>
      </c>
      <c r="CU550" t="s">
        <v>3535</v>
      </c>
      <c r="CV550" t="s">
        <v>3536</v>
      </c>
      <c r="CW550" t="s">
        <v>3569</v>
      </c>
      <c r="CX550" t="s">
        <v>3570</v>
      </c>
      <c r="CY550" t="s">
        <v>3536</v>
      </c>
      <c r="CZ550" t="s">
        <v>224</v>
      </c>
      <c r="DA550" t="s">
        <v>3571</v>
      </c>
      <c r="DB550" t="s">
        <v>3569</v>
      </c>
      <c r="DC550" t="s">
        <v>363</v>
      </c>
      <c r="DD550" t="s">
        <v>282</v>
      </c>
      <c r="DE550" t="s">
        <v>3922</v>
      </c>
    </row>
    <row r="551" spans="1:109" ht="11.25" customHeight="1">
      <c r="A551" s="1314" t="s">
        <v>231</v>
      </c>
      <c r="B551" t="s">
        <v>231</v>
      </c>
      <c r="C551" t="s">
        <v>231</v>
      </c>
      <c r="D551" t="s">
        <v>231</v>
      </c>
      <c r="E551" t="s">
        <v>231</v>
      </c>
      <c r="F551" t="s">
        <v>231</v>
      </c>
      <c r="G551" t="s">
        <v>231</v>
      </c>
      <c r="H551" t="s">
        <v>231</v>
      </c>
      <c r="I551" t="s">
        <v>3521</v>
      </c>
      <c r="J551" t="s">
        <v>231</v>
      </c>
      <c r="K551" t="s">
        <v>231</v>
      </c>
      <c r="L551" t="s">
        <v>231</v>
      </c>
      <c r="M551" t="s">
        <v>231</v>
      </c>
      <c r="N551" t="s">
        <v>231</v>
      </c>
      <c r="O551" t="s">
        <v>231</v>
      </c>
      <c r="P551" t="s">
        <v>231</v>
      </c>
      <c r="Q551" t="s">
        <v>231</v>
      </c>
      <c r="R551" t="s">
        <v>4645</v>
      </c>
      <c r="S551" t="s">
        <v>231</v>
      </c>
      <c r="T551" t="s">
        <v>231</v>
      </c>
      <c r="U551" t="s">
        <v>101</v>
      </c>
      <c r="V551" t="s">
        <v>231</v>
      </c>
      <c r="W551" t="s">
        <v>231</v>
      </c>
      <c r="X551" t="s">
        <v>3523</v>
      </c>
      <c r="Y551" t="s">
        <v>231</v>
      </c>
      <c r="Z551" t="s">
        <v>160</v>
      </c>
      <c r="AA551" t="s">
        <v>151</v>
      </c>
      <c r="AB551" t="s">
        <v>151</v>
      </c>
      <c r="AC551" t="s">
        <v>2289</v>
      </c>
      <c r="AD551" t="s">
        <v>2289</v>
      </c>
      <c r="AE551" t="s">
        <v>2290</v>
      </c>
      <c r="AF551" t="s">
        <v>3930</v>
      </c>
      <c r="AG551" t="s">
        <v>3931</v>
      </c>
      <c r="AH551" t="s">
        <v>4439</v>
      </c>
      <c r="AI551" t="s">
        <v>3754</v>
      </c>
      <c r="AJ551" t="s">
        <v>3594</v>
      </c>
      <c r="AK551" t="s">
        <v>3820</v>
      </c>
      <c r="AL551" t="s">
        <v>3548</v>
      </c>
      <c r="AM551" t="s">
        <v>3531</v>
      </c>
      <c r="AN551" t="s">
        <v>3595</v>
      </c>
      <c r="AO551" t="s">
        <v>3933</v>
      </c>
      <c r="AP551" t="s">
        <v>231</v>
      </c>
      <c r="AQ551" t="s">
        <v>231</v>
      </c>
      <c r="AR551" t="s">
        <v>231</v>
      </c>
      <c r="AS551" t="s">
        <v>231</v>
      </c>
      <c r="AT551" t="s">
        <v>231</v>
      </c>
      <c r="AU551" t="s">
        <v>231</v>
      </c>
      <c r="AV551" t="s">
        <v>231</v>
      </c>
      <c r="AW551" t="s">
        <v>231</v>
      </c>
      <c r="AX551" t="s">
        <v>231</v>
      </c>
      <c r="AY551" t="s">
        <v>231</v>
      </c>
      <c r="AZ551" t="s">
        <v>231</v>
      </c>
      <c r="BA551" t="s">
        <v>231</v>
      </c>
      <c r="BB551" t="s">
        <v>231</v>
      </c>
      <c r="BC551" t="s">
        <v>231</v>
      </c>
      <c r="BD551" t="s">
        <v>231</v>
      </c>
      <c r="BE551" t="s">
        <v>231</v>
      </c>
      <c r="BF551" t="s">
        <v>231</v>
      </c>
      <c r="BG551" t="s">
        <v>231</v>
      </c>
      <c r="BH551" t="s">
        <v>231</v>
      </c>
      <c r="BI551" t="s">
        <v>231</v>
      </c>
      <c r="BJ551" t="s">
        <v>231</v>
      </c>
      <c r="BK551" t="s">
        <v>231</v>
      </c>
      <c r="BL551" t="s">
        <v>231</v>
      </c>
      <c r="BM551" t="s">
        <v>231</v>
      </c>
      <c r="BN551" t="s">
        <v>231</v>
      </c>
      <c r="BO551" t="s">
        <v>231</v>
      </c>
      <c r="BP551" t="s">
        <v>231</v>
      </c>
      <c r="BQ551" t="s">
        <v>231</v>
      </c>
      <c r="BR551" t="s">
        <v>231</v>
      </c>
      <c r="BS551" t="s">
        <v>231</v>
      </c>
      <c r="BT551" t="s">
        <v>231</v>
      </c>
      <c r="BU551" t="s">
        <v>231</v>
      </c>
      <c r="BV551" t="s">
        <v>231</v>
      </c>
      <c r="BW551" t="s">
        <v>231</v>
      </c>
      <c r="BX551" t="s">
        <v>231</v>
      </c>
      <c r="BY551" t="s">
        <v>231</v>
      </c>
      <c r="BZ551" t="s">
        <v>231</v>
      </c>
      <c r="CA551" t="s">
        <v>231</v>
      </c>
      <c r="CB551" t="s">
        <v>231</v>
      </c>
      <c r="CC551" t="s">
        <v>231</v>
      </c>
      <c r="CD551" t="s">
        <v>231</v>
      </c>
      <c r="CE551" t="s">
        <v>231</v>
      </c>
      <c r="CF551" t="s">
        <v>231</v>
      </c>
      <c r="CG551" t="s">
        <v>231</v>
      </c>
      <c r="CH551" t="s">
        <v>231</v>
      </c>
      <c r="CI551" t="s">
        <v>231</v>
      </c>
      <c r="CJ551" t="s">
        <v>231</v>
      </c>
      <c r="CK551" t="s">
        <v>231</v>
      </c>
      <c r="CL551" t="s">
        <v>231</v>
      </c>
      <c r="CM551" t="s">
        <v>231</v>
      </c>
      <c r="CN551" t="s">
        <v>231</v>
      </c>
      <c r="CO551" t="s">
        <v>231</v>
      </c>
      <c r="CP551" t="s">
        <v>231</v>
      </c>
      <c r="CQ551" t="s">
        <v>231</v>
      </c>
      <c r="CR551" t="s">
        <v>231</v>
      </c>
      <c r="CS551" t="s">
        <v>231</v>
      </c>
      <c r="CT551" t="s">
        <v>3534</v>
      </c>
      <c r="CU551" t="s">
        <v>3535</v>
      </c>
      <c r="CV551" t="s">
        <v>3536</v>
      </c>
      <c r="CW551" t="s">
        <v>3589</v>
      </c>
      <c r="CX551" t="s">
        <v>223</v>
      </c>
      <c r="CY551" t="s">
        <v>3536</v>
      </c>
      <c r="CZ551" t="s">
        <v>3590</v>
      </c>
      <c r="DA551" t="s">
        <v>3591</v>
      </c>
      <c r="DB551" t="s">
        <v>3589</v>
      </c>
      <c r="DC551" t="s">
        <v>363</v>
      </c>
      <c r="DD551" t="s">
        <v>282</v>
      </c>
      <c r="DE551" t="s">
        <v>4646</v>
      </c>
    </row>
    <row r="552" spans="1:109" ht="11.25" customHeight="1">
      <c r="A552" s="1314" t="s">
        <v>231</v>
      </c>
      <c r="B552" t="s">
        <v>231</v>
      </c>
      <c r="C552" t="s">
        <v>231</v>
      </c>
      <c r="D552" t="s">
        <v>231</v>
      </c>
      <c r="E552" t="s">
        <v>231</v>
      </c>
      <c r="F552" t="s">
        <v>231</v>
      </c>
      <c r="G552" t="s">
        <v>231</v>
      </c>
      <c r="H552" t="s">
        <v>231</v>
      </c>
      <c r="I552" t="s">
        <v>3521</v>
      </c>
      <c r="J552" t="s">
        <v>231</v>
      </c>
      <c r="K552" t="s">
        <v>231</v>
      </c>
      <c r="L552" t="s">
        <v>231</v>
      </c>
      <c r="M552" t="s">
        <v>231</v>
      </c>
      <c r="N552" t="s">
        <v>231</v>
      </c>
      <c r="O552" t="s">
        <v>231</v>
      </c>
      <c r="P552" t="s">
        <v>231</v>
      </c>
      <c r="Q552" t="s">
        <v>231</v>
      </c>
      <c r="R552" t="s">
        <v>4893</v>
      </c>
      <c r="S552" t="s">
        <v>231</v>
      </c>
      <c r="T552" t="s">
        <v>231</v>
      </c>
      <c r="U552" t="s">
        <v>101</v>
      </c>
      <c r="V552" t="s">
        <v>231</v>
      </c>
      <c r="W552" t="s">
        <v>231</v>
      </c>
      <c r="X552" t="s">
        <v>3628</v>
      </c>
      <c r="Y552" t="s">
        <v>231</v>
      </c>
      <c r="Z552" t="s">
        <v>151</v>
      </c>
      <c r="AA552" t="s">
        <v>151</v>
      </c>
      <c r="AB552" t="s">
        <v>160</v>
      </c>
      <c r="AC552" t="s">
        <v>2289</v>
      </c>
      <c r="AD552" t="s">
        <v>2289</v>
      </c>
      <c r="AE552" t="s">
        <v>2290</v>
      </c>
      <c r="AF552" t="s">
        <v>3930</v>
      </c>
      <c r="AG552" t="s">
        <v>3931</v>
      </c>
      <c r="AH552" t="s">
        <v>3618</v>
      </c>
      <c r="AI552" t="s">
        <v>3618</v>
      </c>
      <c r="AJ552" t="s">
        <v>231</v>
      </c>
      <c r="AK552" t="s">
        <v>231</v>
      </c>
      <c r="AL552" t="s">
        <v>231</v>
      </c>
      <c r="AM552" t="s">
        <v>231</v>
      </c>
      <c r="AN552" t="s">
        <v>231</v>
      </c>
      <c r="AO552" t="s">
        <v>231</v>
      </c>
      <c r="AP552" t="s">
        <v>231</v>
      </c>
      <c r="AQ552" t="s">
        <v>231</v>
      </c>
      <c r="AR552" t="s">
        <v>231</v>
      </c>
      <c r="AS552" t="s">
        <v>231</v>
      </c>
      <c r="AT552" t="s">
        <v>231</v>
      </c>
      <c r="AU552" t="s">
        <v>231</v>
      </c>
      <c r="AV552" t="s">
        <v>231</v>
      </c>
      <c r="AW552" t="s">
        <v>231</v>
      </c>
      <c r="AX552" t="s">
        <v>231</v>
      </c>
      <c r="AY552" t="s">
        <v>231</v>
      </c>
      <c r="AZ552" t="s">
        <v>231</v>
      </c>
      <c r="BA552" t="s">
        <v>231</v>
      </c>
      <c r="BB552" t="s">
        <v>231</v>
      </c>
      <c r="BC552" t="s">
        <v>231</v>
      </c>
      <c r="BD552" t="s">
        <v>231</v>
      </c>
      <c r="BE552" t="s">
        <v>3594</v>
      </c>
      <c r="BF552" t="s">
        <v>3820</v>
      </c>
      <c r="BG552" t="s">
        <v>111</v>
      </c>
      <c r="BH552" t="s">
        <v>3632</v>
      </c>
      <c r="BI552" t="s">
        <v>122</v>
      </c>
      <c r="BJ552" t="s">
        <v>231</v>
      </c>
      <c r="BK552" t="s">
        <v>3651</v>
      </c>
      <c r="BL552" t="s">
        <v>2289</v>
      </c>
      <c r="BM552" t="s">
        <v>2289</v>
      </c>
      <c r="BN552" t="s">
        <v>3707</v>
      </c>
      <c r="BO552" t="s">
        <v>3930</v>
      </c>
      <c r="BP552" t="s">
        <v>4894</v>
      </c>
      <c r="BQ552" t="s">
        <v>3618</v>
      </c>
      <c r="BR552" t="s">
        <v>3618</v>
      </c>
      <c r="BS552" t="s">
        <v>231</v>
      </c>
      <c r="BT552" t="s">
        <v>3694</v>
      </c>
      <c r="BU552" t="s">
        <v>4895</v>
      </c>
      <c r="BV552" t="s">
        <v>4895</v>
      </c>
      <c r="BW552" t="s">
        <v>3641</v>
      </c>
      <c r="BX552" t="s">
        <v>3641</v>
      </c>
      <c r="BY552" t="s">
        <v>3641</v>
      </c>
      <c r="BZ552" t="s">
        <v>3641</v>
      </c>
      <c r="CA552" t="s">
        <v>3641</v>
      </c>
      <c r="CB552" t="s">
        <v>231</v>
      </c>
      <c r="CC552" t="s">
        <v>231</v>
      </c>
      <c r="CD552" t="s">
        <v>231</v>
      </c>
      <c r="CE552" t="s">
        <v>231</v>
      </c>
      <c r="CF552" t="s">
        <v>231</v>
      </c>
      <c r="CG552" t="s">
        <v>3641</v>
      </c>
      <c r="CH552" t="s">
        <v>231</v>
      </c>
      <c r="CI552" t="s">
        <v>231</v>
      </c>
      <c r="CJ552" t="s">
        <v>231</v>
      </c>
      <c r="CK552" t="s">
        <v>231</v>
      </c>
      <c r="CL552" t="s">
        <v>231</v>
      </c>
      <c r="CM552" t="s">
        <v>4895</v>
      </c>
      <c r="CN552" t="s">
        <v>4895</v>
      </c>
      <c r="CO552" t="s">
        <v>231</v>
      </c>
      <c r="CP552" t="s">
        <v>231</v>
      </c>
      <c r="CQ552" t="s">
        <v>231</v>
      </c>
      <c r="CR552" t="s">
        <v>231</v>
      </c>
      <c r="CS552" t="s">
        <v>3710</v>
      </c>
      <c r="CT552" t="s">
        <v>3534</v>
      </c>
      <c r="CU552" t="s">
        <v>3535</v>
      </c>
      <c r="CV552" t="s">
        <v>3536</v>
      </c>
      <c r="CW552" t="s">
        <v>3589</v>
      </c>
      <c r="CX552" t="s">
        <v>223</v>
      </c>
      <c r="CY552" t="s">
        <v>3536</v>
      </c>
      <c r="CZ552" t="s">
        <v>3590</v>
      </c>
      <c r="DA552" t="s">
        <v>3591</v>
      </c>
      <c r="DB552" t="s">
        <v>3589</v>
      </c>
      <c r="DC552" t="s">
        <v>363</v>
      </c>
      <c r="DD552" t="s">
        <v>282</v>
      </c>
      <c r="DE552" t="s">
        <v>4896</v>
      </c>
    </row>
    <row r="553" spans="1:109" ht="11.25" customHeight="1">
      <c r="A553" s="1314" t="s">
        <v>231</v>
      </c>
      <c r="B553" t="s">
        <v>231</v>
      </c>
      <c r="C553" t="s">
        <v>231</v>
      </c>
      <c r="D553" t="s">
        <v>231</v>
      </c>
      <c r="E553" t="s">
        <v>231</v>
      </c>
      <c r="F553" t="s">
        <v>231</v>
      </c>
      <c r="G553" t="s">
        <v>231</v>
      </c>
      <c r="H553" t="s">
        <v>231</v>
      </c>
      <c r="I553" t="s">
        <v>3521</v>
      </c>
      <c r="J553" t="s">
        <v>231</v>
      </c>
      <c r="K553" t="s">
        <v>231</v>
      </c>
      <c r="L553" t="s">
        <v>231</v>
      </c>
      <c r="M553" t="s">
        <v>231</v>
      </c>
      <c r="N553" t="s">
        <v>231</v>
      </c>
      <c r="O553" t="s">
        <v>231</v>
      </c>
      <c r="P553" t="s">
        <v>231</v>
      </c>
      <c r="Q553" t="s">
        <v>231</v>
      </c>
      <c r="R553" t="s">
        <v>3615</v>
      </c>
      <c r="S553" t="s">
        <v>231</v>
      </c>
      <c r="T553" t="s">
        <v>231</v>
      </c>
      <c r="U553" t="s">
        <v>101</v>
      </c>
      <c r="V553" t="s">
        <v>231</v>
      </c>
      <c r="W553" t="s">
        <v>231</v>
      </c>
      <c r="X553" t="s">
        <v>3523</v>
      </c>
      <c r="Y553" t="s">
        <v>231</v>
      </c>
      <c r="Z553" t="s">
        <v>160</v>
      </c>
      <c r="AA553" t="s">
        <v>151</v>
      </c>
      <c r="AB553" t="s">
        <v>151</v>
      </c>
      <c r="AC553" t="s">
        <v>2289</v>
      </c>
      <c r="AD553" t="s">
        <v>2289</v>
      </c>
      <c r="AE553" t="s">
        <v>2290</v>
      </c>
      <c r="AF553" t="s">
        <v>3890</v>
      </c>
      <c r="AG553" t="s">
        <v>3891</v>
      </c>
      <c r="AH553" t="s">
        <v>3892</v>
      </c>
      <c r="AI553" t="s">
        <v>3893</v>
      </c>
      <c r="AJ553" t="s">
        <v>3546</v>
      </c>
      <c r="AK553" t="s">
        <v>3586</v>
      </c>
      <c r="AL553" t="s">
        <v>3548</v>
      </c>
      <c r="AM553" t="s">
        <v>3531</v>
      </c>
      <c r="AN553" t="s">
        <v>3587</v>
      </c>
      <c r="AO553" t="s">
        <v>3550</v>
      </c>
      <c r="AP553" t="s">
        <v>231</v>
      </c>
      <c r="AQ553" t="s">
        <v>231</v>
      </c>
      <c r="AR553" t="s">
        <v>231</v>
      </c>
      <c r="AS553" t="s">
        <v>231</v>
      </c>
      <c r="AT553" t="s">
        <v>231</v>
      </c>
      <c r="AU553" t="s">
        <v>231</v>
      </c>
      <c r="AV553" t="s">
        <v>231</v>
      </c>
      <c r="AW553" t="s">
        <v>231</v>
      </c>
      <c r="AX553" t="s">
        <v>231</v>
      </c>
      <c r="AY553" t="s">
        <v>231</v>
      </c>
      <c r="AZ553" t="s">
        <v>231</v>
      </c>
      <c r="BA553" t="s">
        <v>231</v>
      </c>
      <c r="BB553" t="s">
        <v>231</v>
      </c>
      <c r="BC553" t="s">
        <v>231</v>
      </c>
      <c r="BD553" t="s">
        <v>231</v>
      </c>
      <c r="BE553" t="s">
        <v>231</v>
      </c>
      <c r="BF553" t="s">
        <v>231</v>
      </c>
      <c r="BG553" t="s">
        <v>231</v>
      </c>
      <c r="BH553" t="s">
        <v>231</v>
      </c>
      <c r="BI553" t="s">
        <v>231</v>
      </c>
      <c r="BJ553" t="s">
        <v>231</v>
      </c>
      <c r="BK553" t="s">
        <v>231</v>
      </c>
      <c r="BL553" t="s">
        <v>231</v>
      </c>
      <c r="BM553" t="s">
        <v>231</v>
      </c>
      <c r="BN553" t="s">
        <v>231</v>
      </c>
      <c r="BO553" t="s">
        <v>231</v>
      </c>
      <c r="BP553" t="s">
        <v>231</v>
      </c>
      <c r="BQ553" t="s">
        <v>231</v>
      </c>
      <c r="BR553" t="s">
        <v>231</v>
      </c>
      <c r="BS553" t="s">
        <v>231</v>
      </c>
      <c r="BT553" t="s">
        <v>231</v>
      </c>
      <c r="BU553" t="s">
        <v>231</v>
      </c>
      <c r="BV553" t="s">
        <v>231</v>
      </c>
      <c r="BW553" t="s">
        <v>231</v>
      </c>
      <c r="BX553" t="s">
        <v>231</v>
      </c>
      <c r="BY553" t="s">
        <v>231</v>
      </c>
      <c r="BZ553" t="s">
        <v>231</v>
      </c>
      <c r="CA553" t="s">
        <v>231</v>
      </c>
      <c r="CB553" t="s">
        <v>231</v>
      </c>
      <c r="CC553" t="s">
        <v>231</v>
      </c>
      <c r="CD553" t="s">
        <v>231</v>
      </c>
      <c r="CE553" t="s">
        <v>231</v>
      </c>
      <c r="CF553" t="s">
        <v>231</v>
      </c>
      <c r="CG553" t="s">
        <v>231</v>
      </c>
      <c r="CH553" t="s">
        <v>231</v>
      </c>
      <c r="CI553" t="s">
        <v>231</v>
      </c>
      <c r="CJ553" t="s">
        <v>231</v>
      </c>
      <c r="CK553" t="s">
        <v>231</v>
      </c>
      <c r="CL553" t="s">
        <v>231</v>
      </c>
      <c r="CM553" t="s">
        <v>231</v>
      </c>
      <c r="CN553" t="s">
        <v>231</v>
      </c>
      <c r="CO553" t="s">
        <v>231</v>
      </c>
      <c r="CP553" t="s">
        <v>231</v>
      </c>
      <c r="CQ553" t="s">
        <v>231</v>
      </c>
      <c r="CR553" t="s">
        <v>231</v>
      </c>
      <c r="CS553" t="s">
        <v>231</v>
      </c>
      <c r="CT553" t="s">
        <v>3534</v>
      </c>
      <c r="CU553" t="s">
        <v>3535</v>
      </c>
      <c r="CV553" t="s">
        <v>3536</v>
      </c>
      <c r="CW553" t="s">
        <v>3589</v>
      </c>
      <c r="CX553" t="s">
        <v>223</v>
      </c>
      <c r="CY553" t="s">
        <v>3536</v>
      </c>
      <c r="CZ553" t="s">
        <v>3590</v>
      </c>
      <c r="DA553" t="s">
        <v>3591</v>
      </c>
      <c r="DB553" t="s">
        <v>3589</v>
      </c>
      <c r="DC553" t="s">
        <v>363</v>
      </c>
      <c r="DD553" t="s">
        <v>282</v>
      </c>
      <c r="DE553" t="s">
        <v>3894</v>
      </c>
    </row>
    <row r="554" spans="1:109" ht="11.25" customHeight="1">
      <c r="A554" s="1314" t="s">
        <v>231</v>
      </c>
      <c r="B554" t="s">
        <v>231</v>
      </c>
      <c r="C554" t="s">
        <v>231</v>
      </c>
      <c r="D554" t="s">
        <v>231</v>
      </c>
      <c r="E554" t="s">
        <v>231</v>
      </c>
      <c r="F554" t="s">
        <v>231</v>
      </c>
      <c r="G554" t="s">
        <v>231</v>
      </c>
      <c r="H554" t="s">
        <v>231</v>
      </c>
      <c r="I554" t="s">
        <v>3521</v>
      </c>
      <c r="J554" t="s">
        <v>231</v>
      </c>
      <c r="K554" t="s">
        <v>231</v>
      </c>
      <c r="L554" t="s">
        <v>231</v>
      </c>
      <c r="M554" t="s">
        <v>231</v>
      </c>
      <c r="N554" t="s">
        <v>231</v>
      </c>
      <c r="O554" t="s">
        <v>231</v>
      </c>
      <c r="P554" t="s">
        <v>231</v>
      </c>
      <c r="Q554" t="s">
        <v>231</v>
      </c>
      <c r="R554" t="s">
        <v>3615</v>
      </c>
      <c r="S554" t="s">
        <v>231</v>
      </c>
      <c r="T554" t="s">
        <v>231</v>
      </c>
      <c r="U554" t="s">
        <v>101</v>
      </c>
      <c r="V554" t="s">
        <v>231</v>
      </c>
      <c r="W554" t="s">
        <v>231</v>
      </c>
      <c r="X554" t="s">
        <v>3523</v>
      </c>
      <c r="Y554" t="s">
        <v>231</v>
      </c>
      <c r="Z554" t="s">
        <v>160</v>
      </c>
      <c r="AA554" t="s">
        <v>151</v>
      </c>
      <c r="AB554" t="s">
        <v>151</v>
      </c>
      <c r="AC554" t="s">
        <v>2289</v>
      </c>
      <c r="AD554" t="s">
        <v>2289</v>
      </c>
      <c r="AE554" t="s">
        <v>2290</v>
      </c>
      <c r="AF554" t="s">
        <v>3890</v>
      </c>
      <c r="AG554" t="s">
        <v>3891</v>
      </c>
      <c r="AH554" t="s">
        <v>4170</v>
      </c>
      <c r="AI554" t="s">
        <v>3778</v>
      </c>
      <c r="AJ554" t="s">
        <v>3546</v>
      </c>
      <c r="AK554" t="s">
        <v>3586</v>
      </c>
      <c r="AL554" t="s">
        <v>3548</v>
      </c>
      <c r="AM554" t="s">
        <v>3531</v>
      </c>
      <c r="AN554" t="s">
        <v>3587</v>
      </c>
      <c r="AO554" t="s">
        <v>3550</v>
      </c>
      <c r="AP554" t="s">
        <v>231</v>
      </c>
      <c r="AQ554" t="s">
        <v>231</v>
      </c>
      <c r="AR554" t="s">
        <v>231</v>
      </c>
      <c r="AS554" t="s">
        <v>231</v>
      </c>
      <c r="AT554" t="s">
        <v>231</v>
      </c>
      <c r="AU554" t="s">
        <v>231</v>
      </c>
      <c r="AV554" t="s">
        <v>231</v>
      </c>
      <c r="AW554" t="s">
        <v>231</v>
      </c>
      <c r="AX554" t="s">
        <v>231</v>
      </c>
      <c r="AY554" t="s">
        <v>231</v>
      </c>
      <c r="AZ554" t="s">
        <v>231</v>
      </c>
      <c r="BA554" t="s">
        <v>231</v>
      </c>
      <c r="BB554" t="s">
        <v>231</v>
      </c>
      <c r="BC554" t="s">
        <v>231</v>
      </c>
      <c r="BD554" t="s">
        <v>231</v>
      </c>
      <c r="BE554" t="s">
        <v>231</v>
      </c>
      <c r="BF554" t="s">
        <v>231</v>
      </c>
      <c r="BG554" t="s">
        <v>231</v>
      </c>
      <c r="BH554" t="s">
        <v>231</v>
      </c>
      <c r="BI554" t="s">
        <v>231</v>
      </c>
      <c r="BJ554" t="s">
        <v>231</v>
      </c>
      <c r="BK554" t="s">
        <v>231</v>
      </c>
      <c r="BL554" t="s">
        <v>231</v>
      </c>
      <c r="BM554" t="s">
        <v>231</v>
      </c>
      <c r="BN554" t="s">
        <v>231</v>
      </c>
      <c r="BO554" t="s">
        <v>231</v>
      </c>
      <c r="BP554" t="s">
        <v>231</v>
      </c>
      <c r="BQ554" t="s">
        <v>231</v>
      </c>
      <c r="BR554" t="s">
        <v>231</v>
      </c>
      <c r="BS554" t="s">
        <v>231</v>
      </c>
      <c r="BT554" t="s">
        <v>231</v>
      </c>
      <c r="BU554" t="s">
        <v>231</v>
      </c>
      <c r="BV554" t="s">
        <v>231</v>
      </c>
      <c r="BW554" t="s">
        <v>231</v>
      </c>
      <c r="BX554" t="s">
        <v>231</v>
      </c>
      <c r="BY554" t="s">
        <v>231</v>
      </c>
      <c r="BZ554" t="s">
        <v>231</v>
      </c>
      <c r="CA554" t="s">
        <v>231</v>
      </c>
      <c r="CB554" t="s">
        <v>231</v>
      </c>
      <c r="CC554" t="s">
        <v>231</v>
      </c>
      <c r="CD554" t="s">
        <v>231</v>
      </c>
      <c r="CE554" t="s">
        <v>231</v>
      </c>
      <c r="CF554" t="s">
        <v>231</v>
      </c>
      <c r="CG554" t="s">
        <v>231</v>
      </c>
      <c r="CH554" t="s">
        <v>231</v>
      </c>
      <c r="CI554" t="s">
        <v>231</v>
      </c>
      <c r="CJ554" t="s">
        <v>231</v>
      </c>
      <c r="CK554" t="s">
        <v>231</v>
      </c>
      <c r="CL554" t="s">
        <v>231</v>
      </c>
      <c r="CM554" t="s">
        <v>231</v>
      </c>
      <c r="CN554" t="s">
        <v>231</v>
      </c>
      <c r="CO554" t="s">
        <v>231</v>
      </c>
      <c r="CP554" t="s">
        <v>231</v>
      </c>
      <c r="CQ554" t="s">
        <v>231</v>
      </c>
      <c r="CR554" t="s">
        <v>231</v>
      </c>
      <c r="CS554" t="s">
        <v>231</v>
      </c>
      <c r="CT554" t="s">
        <v>3534</v>
      </c>
      <c r="CU554" t="s">
        <v>3535</v>
      </c>
      <c r="CV554" t="s">
        <v>3536</v>
      </c>
      <c r="CW554" t="s">
        <v>3589</v>
      </c>
      <c r="CX554" t="s">
        <v>223</v>
      </c>
      <c r="CY554" t="s">
        <v>3536</v>
      </c>
      <c r="CZ554" t="s">
        <v>3590</v>
      </c>
      <c r="DA554" t="s">
        <v>3591</v>
      </c>
      <c r="DB554" t="s">
        <v>3589</v>
      </c>
      <c r="DC554" t="s">
        <v>363</v>
      </c>
      <c r="DD554" t="s">
        <v>282</v>
      </c>
      <c r="DE554" t="s">
        <v>4171</v>
      </c>
    </row>
    <row r="555" spans="1:109" ht="11.25" customHeight="1">
      <c r="A555" s="1314" t="s">
        <v>231</v>
      </c>
      <c r="B555" t="s">
        <v>231</v>
      </c>
      <c r="C555" t="s">
        <v>231</v>
      </c>
      <c r="D555" t="s">
        <v>231</v>
      </c>
      <c r="E555" t="s">
        <v>231</v>
      </c>
      <c r="F555" t="s">
        <v>231</v>
      </c>
      <c r="G555" t="s">
        <v>231</v>
      </c>
      <c r="H555" t="s">
        <v>231</v>
      </c>
      <c r="I555" t="s">
        <v>3521</v>
      </c>
      <c r="J555" t="s">
        <v>231</v>
      </c>
      <c r="K555" t="s">
        <v>231</v>
      </c>
      <c r="L555" t="s">
        <v>231</v>
      </c>
      <c r="M555" t="s">
        <v>231</v>
      </c>
      <c r="N555" t="s">
        <v>231</v>
      </c>
      <c r="O555" t="s">
        <v>231</v>
      </c>
      <c r="P555" t="s">
        <v>231</v>
      </c>
      <c r="Q555" t="s">
        <v>231</v>
      </c>
      <c r="R555" t="s">
        <v>3615</v>
      </c>
      <c r="S555" t="s">
        <v>231</v>
      </c>
      <c r="T555" t="s">
        <v>231</v>
      </c>
      <c r="U555" t="s">
        <v>101</v>
      </c>
      <c r="V555" t="s">
        <v>231</v>
      </c>
      <c r="W555" t="s">
        <v>231</v>
      </c>
      <c r="X555" t="s">
        <v>3523</v>
      </c>
      <c r="Y555" t="s">
        <v>231</v>
      </c>
      <c r="Z555" t="s">
        <v>160</v>
      </c>
      <c r="AA555" t="s">
        <v>151</v>
      </c>
      <c r="AB555" t="s">
        <v>151</v>
      </c>
      <c r="AC555" t="s">
        <v>2287</v>
      </c>
      <c r="AD555" t="s">
        <v>2287</v>
      </c>
      <c r="AE555" t="s">
        <v>2288</v>
      </c>
      <c r="AF555" t="s">
        <v>3898</v>
      </c>
      <c r="AG555" t="s">
        <v>3899</v>
      </c>
      <c r="AH555" t="s">
        <v>3900</v>
      </c>
      <c r="AI555" t="s">
        <v>482</v>
      </c>
      <c r="AJ555" t="s">
        <v>3619</v>
      </c>
      <c r="AK555" t="s">
        <v>3858</v>
      </c>
      <c r="AL555" t="s">
        <v>3548</v>
      </c>
      <c r="AM555" t="s">
        <v>3531</v>
      </c>
      <c r="AN555" t="s">
        <v>3621</v>
      </c>
      <c r="AO555" t="s">
        <v>3901</v>
      </c>
      <c r="AP555" t="s">
        <v>231</v>
      </c>
      <c r="AQ555" t="s">
        <v>231</v>
      </c>
      <c r="AR555" t="s">
        <v>231</v>
      </c>
      <c r="AS555" t="s">
        <v>231</v>
      </c>
      <c r="AT555" t="s">
        <v>231</v>
      </c>
      <c r="AU555" t="s">
        <v>231</v>
      </c>
      <c r="AV555" t="s">
        <v>231</v>
      </c>
      <c r="AW555" t="s">
        <v>231</v>
      </c>
      <c r="AX555" t="s">
        <v>231</v>
      </c>
      <c r="AY555" t="s">
        <v>231</v>
      </c>
      <c r="AZ555" t="s">
        <v>231</v>
      </c>
      <c r="BA555" t="s">
        <v>231</v>
      </c>
      <c r="BB555" t="s">
        <v>231</v>
      </c>
      <c r="BC555" t="s">
        <v>231</v>
      </c>
      <c r="BD555" t="s">
        <v>231</v>
      </c>
      <c r="BE555" t="s">
        <v>231</v>
      </c>
      <c r="BF555" t="s">
        <v>231</v>
      </c>
      <c r="BG555" t="s">
        <v>231</v>
      </c>
      <c r="BH555" t="s">
        <v>231</v>
      </c>
      <c r="BI555" t="s">
        <v>231</v>
      </c>
      <c r="BJ555" t="s">
        <v>231</v>
      </c>
      <c r="BK555" t="s">
        <v>231</v>
      </c>
      <c r="BL555" t="s">
        <v>231</v>
      </c>
      <c r="BM555" t="s">
        <v>231</v>
      </c>
      <c r="BN555" t="s">
        <v>231</v>
      </c>
      <c r="BO555" t="s">
        <v>231</v>
      </c>
      <c r="BP555" t="s">
        <v>231</v>
      </c>
      <c r="BQ555" t="s">
        <v>231</v>
      </c>
      <c r="BR555" t="s">
        <v>231</v>
      </c>
      <c r="BS555" t="s">
        <v>231</v>
      </c>
      <c r="BT555" t="s">
        <v>231</v>
      </c>
      <c r="BU555" t="s">
        <v>231</v>
      </c>
      <c r="BV555" t="s">
        <v>231</v>
      </c>
      <c r="BW555" t="s">
        <v>231</v>
      </c>
      <c r="BX555" t="s">
        <v>231</v>
      </c>
      <c r="BY555" t="s">
        <v>231</v>
      </c>
      <c r="BZ555" t="s">
        <v>231</v>
      </c>
      <c r="CA555" t="s">
        <v>231</v>
      </c>
      <c r="CB555" t="s">
        <v>231</v>
      </c>
      <c r="CC555" t="s">
        <v>231</v>
      </c>
      <c r="CD555" t="s">
        <v>231</v>
      </c>
      <c r="CE555" t="s">
        <v>231</v>
      </c>
      <c r="CF555" t="s">
        <v>231</v>
      </c>
      <c r="CG555" t="s">
        <v>231</v>
      </c>
      <c r="CH555" t="s">
        <v>231</v>
      </c>
      <c r="CI555" t="s">
        <v>231</v>
      </c>
      <c r="CJ555" t="s">
        <v>231</v>
      </c>
      <c r="CK555" t="s">
        <v>231</v>
      </c>
      <c r="CL555" t="s">
        <v>231</v>
      </c>
      <c r="CM555" t="s">
        <v>231</v>
      </c>
      <c r="CN555" t="s">
        <v>231</v>
      </c>
      <c r="CO555" t="s">
        <v>231</v>
      </c>
      <c r="CP555" t="s">
        <v>231</v>
      </c>
      <c r="CQ555" t="s">
        <v>231</v>
      </c>
      <c r="CR555" t="s">
        <v>231</v>
      </c>
      <c r="CS555" t="s">
        <v>231</v>
      </c>
      <c r="CT555" t="s">
        <v>3534</v>
      </c>
      <c r="CU555" t="s">
        <v>3535</v>
      </c>
      <c r="CV555" t="s">
        <v>3536</v>
      </c>
      <c r="CW555" t="s">
        <v>3623</v>
      </c>
      <c r="CX555" t="s">
        <v>223</v>
      </c>
      <c r="CY555" t="s">
        <v>3536</v>
      </c>
      <c r="CZ555" t="s">
        <v>3624</v>
      </c>
      <c r="DA555" t="s">
        <v>3625</v>
      </c>
      <c r="DB555" t="s">
        <v>3623</v>
      </c>
      <c r="DC555" t="s">
        <v>363</v>
      </c>
      <c r="DD555" t="s">
        <v>282</v>
      </c>
      <c r="DE555" t="s">
        <v>3902</v>
      </c>
    </row>
    <row r="556" spans="1:109" ht="11.25" customHeight="1">
      <c r="A556" s="1314" t="s">
        <v>231</v>
      </c>
      <c r="B556" t="s">
        <v>231</v>
      </c>
      <c r="C556" t="s">
        <v>231</v>
      </c>
      <c r="D556" t="s">
        <v>231</v>
      </c>
      <c r="E556" t="s">
        <v>231</v>
      </c>
      <c r="F556" t="s">
        <v>231</v>
      </c>
      <c r="G556" t="s">
        <v>231</v>
      </c>
      <c r="H556" t="s">
        <v>231</v>
      </c>
      <c r="I556" t="s">
        <v>3521</v>
      </c>
      <c r="J556" t="s">
        <v>231</v>
      </c>
      <c r="K556" t="s">
        <v>231</v>
      </c>
      <c r="L556" t="s">
        <v>231</v>
      </c>
      <c r="M556" t="s">
        <v>231</v>
      </c>
      <c r="N556" t="s">
        <v>231</v>
      </c>
      <c r="O556" t="s">
        <v>231</v>
      </c>
      <c r="P556" t="s">
        <v>231</v>
      </c>
      <c r="Q556" t="s">
        <v>231</v>
      </c>
      <c r="R556" t="s">
        <v>3615</v>
      </c>
      <c r="S556" t="s">
        <v>231</v>
      </c>
      <c r="T556" t="s">
        <v>231</v>
      </c>
      <c r="U556" t="s">
        <v>101</v>
      </c>
      <c r="V556" t="s">
        <v>231</v>
      </c>
      <c r="W556" t="s">
        <v>231</v>
      </c>
      <c r="X556" t="s">
        <v>3523</v>
      </c>
      <c r="Y556" t="s">
        <v>231</v>
      </c>
      <c r="Z556" t="s">
        <v>160</v>
      </c>
      <c r="AA556" t="s">
        <v>151</v>
      </c>
      <c r="AB556" t="s">
        <v>151</v>
      </c>
      <c r="AC556" t="s">
        <v>2287</v>
      </c>
      <c r="AD556" t="s">
        <v>2287</v>
      </c>
      <c r="AE556" t="s">
        <v>2288</v>
      </c>
      <c r="AF556" t="s">
        <v>3898</v>
      </c>
      <c r="AG556" t="s">
        <v>3899</v>
      </c>
      <c r="AH556" t="s">
        <v>4181</v>
      </c>
      <c r="AI556" t="s">
        <v>4182</v>
      </c>
      <c r="AJ556" t="s">
        <v>3619</v>
      </c>
      <c r="AK556" t="s">
        <v>3858</v>
      </c>
      <c r="AL556" t="s">
        <v>3548</v>
      </c>
      <c r="AM556" t="s">
        <v>3531</v>
      </c>
      <c r="AN556" t="s">
        <v>3621</v>
      </c>
      <c r="AO556" t="s">
        <v>3812</v>
      </c>
      <c r="AP556" t="s">
        <v>231</v>
      </c>
      <c r="AQ556" t="s">
        <v>231</v>
      </c>
      <c r="AR556" t="s">
        <v>231</v>
      </c>
      <c r="AS556" t="s">
        <v>231</v>
      </c>
      <c r="AT556" t="s">
        <v>231</v>
      </c>
      <c r="AU556" t="s">
        <v>231</v>
      </c>
      <c r="AV556" t="s">
        <v>231</v>
      </c>
      <c r="AW556" t="s">
        <v>231</v>
      </c>
      <c r="AX556" t="s">
        <v>231</v>
      </c>
      <c r="AY556" t="s">
        <v>231</v>
      </c>
      <c r="AZ556" t="s">
        <v>231</v>
      </c>
      <c r="BA556" t="s">
        <v>231</v>
      </c>
      <c r="BB556" t="s">
        <v>231</v>
      </c>
      <c r="BC556" t="s">
        <v>231</v>
      </c>
      <c r="BD556" t="s">
        <v>231</v>
      </c>
      <c r="BE556" t="s">
        <v>231</v>
      </c>
      <c r="BF556" t="s">
        <v>231</v>
      </c>
      <c r="BG556" t="s">
        <v>231</v>
      </c>
      <c r="BH556" t="s">
        <v>231</v>
      </c>
      <c r="BI556" t="s">
        <v>231</v>
      </c>
      <c r="BJ556" t="s">
        <v>231</v>
      </c>
      <c r="BK556" t="s">
        <v>231</v>
      </c>
      <c r="BL556" t="s">
        <v>231</v>
      </c>
      <c r="BM556" t="s">
        <v>231</v>
      </c>
      <c r="BN556" t="s">
        <v>231</v>
      </c>
      <c r="BO556" t="s">
        <v>231</v>
      </c>
      <c r="BP556" t="s">
        <v>231</v>
      </c>
      <c r="BQ556" t="s">
        <v>231</v>
      </c>
      <c r="BR556" t="s">
        <v>231</v>
      </c>
      <c r="BS556" t="s">
        <v>231</v>
      </c>
      <c r="BT556" t="s">
        <v>231</v>
      </c>
      <c r="BU556" t="s">
        <v>231</v>
      </c>
      <c r="BV556" t="s">
        <v>231</v>
      </c>
      <c r="BW556" t="s">
        <v>231</v>
      </c>
      <c r="BX556" t="s">
        <v>231</v>
      </c>
      <c r="BY556" t="s">
        <v>231</v>
      </c>
      <c r="BZ556" t="s">
        <v>231</v>
      </c>
      <c r="CA556" t="s">
        <v>231</v>
      </c>
      <c r="CB556" t="s">
        <v>231</v>
      </c>
      <c r="CC556" t="s">
        <v>231</v>
      </c>
      <c r="CD556" t="s">
        <v>231</v>
      </c>
      <c r="CE556" t="s">
        <v>231</v>
      </c>
      <c r="CF556" t="s">
        <v>231</v>
      </c>
      <c r="CG556" t="s">
        <v>231</v>
      </c>
      <c r="CH556" t="s">
        <v>231</v>
      </c>
      <c r="CI556" t="s">
        <v>231</v>
      </c>
      <c r="CJ556" t="s">
        <v>231</v>
      </c>
      <c r="CK556" t="s">
        <v>231</v>
      </c>
      <c r="CL556" t="s">
        <v>231</v>
      </c>
      <c r="CM556" t="s">
        <v>231</v>
      </c>
      <c r="CN556" t="s">
        <v>231</v>
      </c>
      <c r="CO556" t="s">
        <v>231</v>
      </c>
      <c r="CP556" t="s">
        <v>231</v>
      </c>
      <c r="CQ556" t="s">
        <v>231</v>
      </c>
      <c r="CR556" t="s">
        <v>231</v>
      </c>
      <c r="CS556" t="s">
        <v>231</v>
      </c>
      <c r="CT556" t="s">
        <v>3534</v>
      </c>
      <c r="CU556" t="s">
        <v>3535</v>
      </c>
      <c r="CV556" t="s">
        <v>3536</v>
      </c>
      <c r="CW556" t="s">
        <v>3623</v>
      </c>
      <c r="CX556" t="s">
        <v>223</v>
      </c>
      <c r="CY556" t="s">
        <v>3536</v>
      </c>
      <c r="CZ556" t="s">
        <v>3624</v>
      </c>
      <c r="DA556" t="s">
        <v>3625</v>
      </c>
      <c r="DB556" t="s">
        <v>3623</v>
      </c>
      <c r="DC556" t="s">
        <v>363</v>
      </c>
      <c r="DD556" t="s">
        <v>282</v>
      </c>
      <c r="DE556" t="s">
        <v>4183</v>
      </c>
    </row>
    <row r="557" spans="1:109" ht="11.25" customHeight="1">
      <c r="A557" s="1314" t="s">
        <v>231</v>
      </c>
      <c r="B557" t="s">
        <v>231</v>
      </c>
      <c r="C557" t="s">
        <v>231</v>
      </c>
      <c r="D557" t="s">
        <v>231</v>
      </c>
      <c r="E557" t="s">
        <v>231</v>
      </c>
      <c r="F557" t="s">
        <v>231</v>
      </c>
      <c r="G557" t="s">
        <v>231</v>
      </c>
      <c r="H557" t="s">
        <v>231</v>
      </c>
      <c r="I557" t="s">
        <v>3521</v>
      </c>
      <c r="J557" t="s">
        <v>231</v>
      </c>
      <c r="K557" t="s">
        <v>231</v>
      </c>
      <c r="L557" t="s">
        <v>231</v>
      </c>
      <c r="M557" t="s">
        <v>231</v>
      </c>
      <c r="N557" t="s">
        <v>231</v>
      </c>
      <c r="O557" t="s">
        <v>231</v>
      </c>
      <c r="P557" t="s">
        <v>231</v>
      </c>
      <c r="Q557" t="s">
        <v>231</v>
      </c>
      <c r="R557" t="s">
        <v>4184</v>
      </c>
      <c r="S557" t="s">
        <v>231</v>
      </c>
      <c r="T557" t="s">
        <v>231</v>
      </c>
      <c r="U557" t="s">
        <v>101</v>
      </c>
      <c r="V557" t="s">
        <v>231</v>
      </c>
      <c r="W557" t="s">
        <v>231</v>
      </c>
      <c r="X557" t="s">
        <v>3628</v>
      </c>
      <c r="Y557" t="s">
        <v>231</v>
      </c>
      <c r="Z557" t="s">
        <v>151</v>
      </c>
      <c r="AA557" t="s">
        <v>151</v>
      </c>
      <c r="AB557" t="s">
        <v>160</v>
      </c>
      <c r="AC557" t="s">
        <v>2287</v>
      </c>
      <c r="AD557" t="s">
        <v>2287</v>
      </c>
      <c r="AE557" t="s">
        <v>2288</v>
      </c>
      <c r="AF557" t="s">
        <v>3898</v>
      </c>
      <c r="AG557" t="s">
        <v>3899</v>
      </c>
      <c r="AH557" t="s">
        <v>3618</v>
      </c>
      <c r="AI557" t="s">
        <v>3618</v>
      </c>
      <c r="AJ557" t="s">
        <v>231</v>
      </c>
      <c r="AK557" t="s">
        <v>231</v>
      </c>
      <c r="AL557" t="s">
        <v>231</v>
      </c>
      <c r="AM557" t="s">
        <v>231</v>
      </c>
      <c r="AN557" t="s">
        <v>231</v>
      </c>
      <c r="AO557" t="s">
        <v>231</v>
      </c>
      <c r="AP557" t="s">
        <v>231</v>
      </c>
      <c r="AQ557" t="s">
        <v>231</v>
      </c>
      <c r="AR557" t="s">
        <v>231</v>
      </c>
      <c r="AS557" t="s">
        <v>231</v>
      </c>
      <c r="AT557" t="s">
        <v>231</v>
      </c>
      <c r="AU557" t="s">
        <v>231</v>
      </c>
      <c r="AV557" t="s">
        <v>231</v>
      </c>
      <c r="AW557" t="s">
        <v>231</v>
      </c>
      <c r="AX557" t="s">
        <v>231</v>
      </c>
      <c r="AY557" t="s">
        <v>231</v>
      </c>
      <c r="AZ557" t="s">
        <v>231</v>
      </c>
      <c r="BA557" t="s">
        <v>231</v>
      </c>
      <c r="BB557" t="s">
        <v>231</v>
      </c>
      <c r="BC557" t="s">
        <v>231</v>
      </c>
      <c r="BD557" t="s">
        <v>231</v>
      </c>
      <c r="BE557" t="s">
        <v>4042</v>
      </c>
      <c r="BF557" t="s">
        <v>4185</v>
      </c>
      <c r="BG557" t="s">
        <v>111</v>
      </c>
      <c r="BH557" t="s">
        <v>3632</v>
      </c>
      <c r="BI557" t="s">
        <v>122</v>
      </c>
      <c r="BJ557" t="s">
        <v>231</v>
      </c>
      <c r="BK557" t="s">
        <v>3651</v>
      </c>
      <c r="BL557" t="s">
        <v>2287</v>
      </c>
      <c r="BM557" t="s">
        <v>2287</v>
      </c>
      <c r="BN557" t="s">
        <v>3842</v>
      </c>
      <c r="BO557" t="s">
        <v>3898</v>
      </c>
      <c r="BP557" t="s">
        <v>4186</v>
      </c>
      <c r="BQ557" t="s">
        <v>3618</v>
      </c>
      <c r="BR557" t="s">
        <v>3618</v>
      </c>
      <c r="BS557" t="s">
        <v>231</v>
      </c>
      <c r="BT557" t="s">
        <v>3694</v>
      </c>
      <c r="BU557" t="s">
        <v>4187</v>
      </c>
      <c r="BV557" t="s">
        <v>4187</v>
      </c>
      <c r="BW557" t="s">
        <v>3641</v>
      </c>
      <c r="BX557" t="s">
        <v>3641</v>
      </c>
      <c r="BY557" t="s">
        <v>3641</v>
      </c>
      <c r="BZ557" t="s">
        <v>3641</v>
      </c>
      <c r="CA557" t="s">
        <v>3641</v>
      </c>
      <c r="CB557" t="s">
        <v>231</v>
      </c>
      <c r="CC557" t="s">
        <v>231</v>
      </c>
      <c r="CD557" t="s">
        <v>231</v>
      </c>
      <c r="CE557" t="s">
        <v>231</v>
      </c>
      <c r="CF557" t="s">
        <v>231</v>
      </c>
      <c r="CG557" t="s">
        <v>3641</v>
      </c>
      <c r="CH557" t="s">
        <v>231</v>
      </c>
      <c r="CI557" t="s">
        <v>231</v>
      </c>
      <c r="CJ557" t="s">
        <v>231</v>
      </c>
      <c r="CK557" t="s">
        <v>231</v>
      </c>
      <c r="CL557" t="s">
        <v>231</v>
      </c>
      <c r="CM557" t="s">
        <v>4187</v>
      </c>
      <c r="CN557" t="s">
        <v>4187</v>
      </c>
      <c r="CO557" t="s">
        <v>231</v>
      </c>
      <c r="CP557" t="s">
        <v>231</v>
      </c>
      <c r="CQ557" t="s">
        <v>231</v>
      </c>
      <c r="CR557" t="s">
        <v>231</v>
      </c>
      <c r="CS557" t="s">
        <v>3529</v>
      </c>
      <c r="CT557" t="s">
        <v>3534</v>
      </c>
      <c r="CU557" t="s">
        <v>3535</v>
      </c>
      <c r="CV557" t="s">
        <v>3536</v>
      </c>
      <c r="CW557" t="s">
        <v>3623</v>
      </c>
      <c r="CX557" t="s">
        <v>223</v>
      </c>
      <c r="CY557" t="s">
        <v>3536</v>
      </c>
      <c r="CZ557" t="s">
        <v>3624</v>
      </c>
      <c r="DA557" t="s">
        <v>3625</v>
      </c>
      <c r="DB557" t="s">
        <v>3623</v>
      </c>
      <c r="DC557" t="s">
        <v>363</v>
      </c>
      <c r="DD557" t="s">
        <v>282</v>
      </c>
      <c r="DE557" t="s">
        <v>4188</v>
      </c>
    </row>
    <row r="558" spans="1:109" ht="11.25" customHeight="1">
      <c r="A558" s="1314" t="s">
        <v>231</v>
      </c>
      <c r="B558" t="s">
        <v>231</v>
      </c>
      <c r="C558" t="s">
        <v>231</v>
      </c>
      <c r="D558" t="s">
        <v>231</v>
      </c>
      <c r="E558" t="s">
        <v>231</v>
      </c>
      <c r="F558" t="s">
        <v>231</v>
      </c>
      <c r="G558" t="s">
        <v>231</v>
      </c>
      <c r="H558" t="s">
        <v>231</v>
      </c>
      <c r="I558" t="s">
        <v>3521</v>
      </c>
      <c r="J558" t="s">
        <v>231</v>
      </c>
      <c r="K558" t="s">
        <v>231</v>
      </c>
      <c r="L558" t="s">
        <v>231</v>
      </c>
      <c r="M558" t="s">
        <v>231</v>
      </c>
      <c r="N558" t="s">
        <v>231</v>
      </c>
      <c r="O558" t="s">
        <v>231</v>
      </c>
      <c r="P558" t="s">
        <v>231</v>
      </c>
      <c r="Q558" t="s">
        <v>231</v>
      </c>
      <c r="R558" t="s">
        <v>4271</v>
      </c>
      <c r="S558" t="s">
        <v>231</v>
      </c>
      <c r="T558" t="s">
        <v>231</v>
      </c>
      <c r="U558" t="s">
        <v>101</v>
      </c>
      <c r="V558" t="s">
        <v>231</v>
      </c>
      <c r="W558" t="s">
        <v>231</v>
      </c>
      <c r="X558" t="s">
        <v>3523</v>
      </c>
      <c r="Y558" t="s">
        <v>231</v>
      </c>
      <c r="Z558" t="s">
        <v>160</v>
      </c>
      <c r="AA558" t="s">
        <v>151</v>
      </c>
      <c r="AB558" t="s">
        <v>151</v>
      </c>
      <c r="AC558" t="s">
        <v>2691</v>
      </c>
      <c r="AD558" t="s">
        <v>2691</v>
      </c>
      <c r="AE558" t="s">
        <v>2692</v>
      </c>
      <c r="AF558" t="s">
        <v>3991</v>
      </c>
      <c r="AG558" t="s">
        <v>3992</v>
      </c>
      <c r="AH558" t="s">
        <v>4272</v>
      </c>
      <c r="AI558" t="s">
        <v>151</v>
      </c>
      <c r="AJ558" t="s">
        <v>3587</v>
      </c>
      <c r="AK558" t="s">
        <v>4273</v>
      </c>
      <c r="AL558" t="s">
        <v>3613</v>
      </c>
      <c r="AM558" t="s">
        <v>3531</v>
      </c>
      <c r="AN558" t="s">
        <v>3710</v>
      </c>
      <c r="AO558" t="s">
        <v>4274</v>
      </c>
      <c r="AP558" t="s">
        <v>231</v>
      </c>
      <c r="AQ558" t="s">
        <v>231</v>
      </c>
      <c r="AR558" t="s">
        <v>231</v>
      </c>
      <c r="AS558" t="s">
        <v>231</v>
      </c>
      <c r="AT558" t="s">
        <v>231</v>
      </c>
      <c r="AU558" t="s">
        <v>231</v>
      </c>
      <c r="AV558" t="s">
        <v>231</v>
      </c>
      <c r="AW558" t="s">
        <v>231</v>
      </c>
      <c r="AX558" t="s">
        <v>231</v>
      </c>
      <c r="AY558" t="s">
        <v>231</v>
      </c>
      <c r="AZ558" t="s">
        <v>231</v>
      </c>
      <c r="BA558" t="s">
        <v>231</v>
      </c>
      <c r="BB558" t="s">
        <v>231</v>
      </c>
      <c r="BC558" t="s">
        <v>231</v>
      </c>
      <c r="BD558" t="s">
        <v>231</v>
      </c>
      <c r="BE558" t="s">
        <v>231</v>
      </c>
      <c r="BF558" t="s">
        <v>231</v>
      </c>
      <c r="BG558" t="s">
        <v>231</v>
      </c>
      <c r="BH558" t="s">
        <v>231</v>
      </c>
      <c r="BI558" t="s">
        <v>231</v>
      </c>
      <c r="BJ558" t="s">
        <v>231</v>
      </c>
      <c r="BK558" t="s">
        <v>231</v>
      </c>
      <c r="BL558" t="s">
        <v>231</v>
      </c>
      <c r="BM558" t="s">
        <v>231</v>
      </c>
      <c r="BN558" t="s">
        <v>231</v>
      </c>
      <c r="BO558" t="s">
        <v>231</v>
      </c>
      <c r="BP558" t="s">
        <v>231</v>
      </c>
      <c r="BQ558" t="s">
        <v>231</v>
      </c>
      <c r="BR558" t="s">
        <v>231</v>
      </c>
      <c r="BS558" t="s">
        <v>231</v>
      </c>
      <c r="BT558" t="s">
        <v>231</v>
      </c>
      <c r="BU558" t="s">
        <v>231</v>
      </c>
      <c r="BV558" t="s">
        <v>231</v>
      </c>
      <c r="BW558" t="s">
        <v>231</v>
      </c>
      <c r="BX558" t="s">
        <v>231</v>
      </c>
      <c r="BY558" t="s">
        <v>231</v>
      </c>
      <c r="BZ558" t="s">
        <v>231</v>
      </c>
      <c r="CA558" t="s">
        <v>231</v>
      </c>
      <c r="CB558" t="s">
        <v>231</v>
      </c>
      <c r="CC558" t="s">
        <v>231</v>
      </c>
      <c r="CD558" t="s">
        <v>231</v>
      </c>
      <c r="CE558" t="s">
        <v>231</v>
      </c>
      <c r="CF558" t="s">
        <v>231</v>
      </c>
      <c r="CG558" t="s">
        <v>231</v>
      </c>
      <c r="CH558" t="s">
        <v>231</v>
      </c>
      <c r="CI558" t="s">
        <v>231</v>
      </c>
      <c r="CJ558" t="s">
        <v>231</v>
      </c>
      <c r="CK558" t="s">
        <v>231</v>
      </c>
      <c r="CL558" t="s">
        <v>231</v>
      </c>
      <c r="CM558" t="s">
        <v>231</v>
      </c>
      <c r="CN558" t="s">
        <v>231</v>
      </c>
      <c r="CO558" t="s">
        <v>231</v>
      </c>
      <c r="CP558" t="s">
        <v>231</v>
      </c>
      <c r="CQ558" t="s">
        <v>231</v>
      </c>
      <c r="CR558" t="s">
        <v>231</v>
      </c>
      <c r="CS558" t="s">
        <v>231</v>
      </c>
      <c r="CT558" t="s">
        <v>3534</v>
      </c>
      <c r="CU558" t="s">
        <v>3535</v>
      </c>
      <c r="CV558" t="s">
        <v>3997</v>
      </c>
      <c r="CW558" t="s">
        <v>3998</v>
      </c>
      <c r="CX558" t="s">
        <v>3570</v>
      </c>
      <c r="CY558" t="s">
        <v>3997</v>
      </c>
      <c r="CZ558" t="s">
        <v>3575</v>
      </c>
      <c r="DA558" t="s">
        <v>3999</v>
      </c>
      <c r="DB558" t="s">
        <v>3643</v>
      </c>
      <c r="DC558" t="s">
        <v>363</v>
      </c>
      <c r="DD558" t="s">
        <v>282</v>
      </c>
      <c r="DE558" t="s">
        <v>4275</v>
      </c>
    </row>
    <row r="559" spans="1:109" ht="11.25" customHeight="1">
      <c r="A559" s="1314" t="s">
        <v>231</v>
      </c>
      <c r="B559" t="s">
        <v>231</v>
      </c>
      <c r="C559" t="s">
        <v>231</v>
      </c>
      <c r="D559" t="s">
        <v>231</v>
      </c>
      <c r="E559" t="s">
        <v>231</v>
      </c>
      <c r="F559" t="s">
        <v>231</v>
      </c>
      <c r="G559" t="s">
        <v>231</v>
      </c>
      <c r="H559" t="s">
        <v>231</v>
      </c>
      <c r="I559" t="s">
        <v>3521</v>
      </c>
      <c r="J559" t="s">
        <v>231</v>
      </c>
      <c r="K559" t="s">
        <v>231</v>
      </c>
      <c r="L559" t="s">
        <v>231</v>
      </c>
      <c r="M559" t="s">
        <v>231</v>
      </c>
      <c r="N559" t="s">
        <v>231</v>
      </c>
      <c r="O559" t="s">
        <v>231</v>
      </c>
      <c r="P559" t="s">
        <v>231</v>
      </c>
      <c r="Q559" t="s">
        <v>231</v>
      </c>
      <c r="R559" t="s">
        <v>4442</v>
      </c>
      <c r="S559" t="s">
        <v>231</v>
      </c>
      <c r="T559" t="s">
        <v>231</v>
      </c>
      <c r="U559" t="s">
        <v>101</v>
      </c>
      <c r="V559" t="s">
        <v>231</v>
      </c>
      <c r="W559" t="s">
        <v>231</v>
      </c>
      <c r="X559" t="s">
        <v>3523</v>
      </c>
      <c r="Y559" t="s">
        <v>231</v>
      </c>
      <c r="Z559" t="s">
        <v>160</v>
      </c>
      <c r="AA559" t="s">
        <v>151</v>
      </c>
      <c r="AB559" t="s">
        <v>151</v>
      </c>
      <c r="AC559" t="s">
        <v>2691</v>
      </c>
      <c r="AD559" t="s">
        <v>2691</v>
      </c>
      <c r="AE559" t="s">
        <v>2692</v>
      </c>
      <c r="AF559" t="s">
        <v>3991</v>
      </c>
      <c r="AG559" t="s">
        <v>3992</v>
      </c>
      <c r="AH559" t="s">
        <v>4312</v>
      </c>
      <c r="AI559" t="s">
        <v>151</v>
      </c>
      <c r="AJ559" t="s">
        <v>3587</v>
      </c>
      <c r="AK559" t="s">
        <v>4443</v>
      </c>
      <c r="AL559" t="s">
        <v>3613</v>
      </c>
      <c r="AM559" t="s">
        <v>3531</v>
      </c>
      <c r="AN559" t="s">
        <v>4444</v>
      </c>
      <c r="AO559" t="s">
        <v>4445</v>
      </c>
      <c r="AP559" t="s">
        <v>231</v>
      </c>
      <c r="AQ559" t="s">
        <v>231</v>
      </c>
      <c r="AR559" t="s">
        <v>231</v>
      </c>
      <c r="AS559" t="s">
        <v>231</v>
      </c>
      <c r="AT559" t="s">
        <v>231</v>
      </c>
      <c r="AU559" t="s">
        <v>231</v>
      </c>
      <c r="AV559" t="s">
        <v>231</v>
      </c>
      <c r="AW559" t="s">
        <v>231</v>
      </c>
      <c r="AX559" t="s">
        <v>231</v>
      </c>
      <c r="AY559" t="s">
        <v>231</v>
      </c>
      <c r="AZ559" t="s">
        <v>231</v>
      </c>
      <c r="BA559" t="s">
        <v>231</v>
      </c>
      <c r="BB559" t="s">
        <v>231</v>
      </c>
      <c r="BC559" t="s">
        <v>231</v>
      </c>
      <c r="BD559" t="s">
        <v>231</v>
      </c>
      <c r="BE559" t="s">
        <v>231</v>
      </c>
      <c r="BF559" t="s">
        <v>231</v>
      </c>
      <c r="BG559" t="s">
        <v>231</v>
      </c>
      <c r="BH559" t="s">
        <v>231</v>
      </c>
      <c r="BI559" t="s">
        <v>231</v>
      </c>
      <c r="BJ559" t="s">
        <v>231</v>
      </c>
      <c r="BK559" t="s">
        <v>231</v>
      </c>
      <c r="BL559" t="s">
        <v>231</v>
      </c>
      <c r="BM559" t="s">
        <v>231</v>
      </c>
      <c r="BN559" t="s">
        <v>231</v>
      </c>
      <c r="BO559" t="s">
        <v>231</v>
      </c>
      <c r="BP559" t="s">
        <v>231</v>
      </c>
      <c r="BQ559" t="s">
        <v>231</v>
      </c>
      <c r="BR559" t="s">
        <v>231</v>
      </c>
      <c r="BS559" t="s">
        <v>231</v>
      </c>
      <c r="BT559" t="s">
        <v>231</v>
      </c>
      <c r="BU559" t="s">
        <v>231</v>
      </c>
      <c r="BV559" t="s">
        <v>231</v>
      </c>
      <c r="BW559" t="s">
        <v>231</v>
      </c>
      <c r="BX559" t="s">
        <v>231</v>
      </c>
      <c r="BY559" t="s">
        <v>231</v>
      </c>
      <c r="BZ559" t="s">
        <v>231</v>
      </c>
      <c r="CA559" t="s">
        <v>231</v>
      </c>
      <c r="CB559" t="s">
        <v>231</v>
      </c>
      <c r="CC559" t="s">
        <v>231</v>
      </c>
      <c r="CD559" t="s">
        <v>231</v>
      </c>
      <c r="CE559" t="s">
        <v>231</v>
      </c>
      <c r="CF559" t="s">
        <v>231</v>
      </c>
      <c r="CG559" t="s">
        <v>231</v>
      </c>
      <c r="CH559" t="s">
        <v>231</v>
      </c>
      <c r="CI559" t="s">
        <v>231</v>
      </c>
      <c r="CJ559" t="s">
        <v>231</v>
      </c>
      <c r="CK559" t="s">
        <v>231</v>
      </c>
      <c r="CL559" t="s">
        <v>231</v>
      </c>
      <c r="CM559" t="s">
        <v>231</v>
      </c>
      <c r="CN559" t="s">
        <v>231</v>
      </c>
      <c r="CO559" t="s">
        <v>231</v>
      </c>
      <c r="CP559" t="s">
        <v>231</v>
      </c>
      <c r="CQ559" t="s">
        <v>231</v>
      </c>
      <c r="CR559" t="s">
        <v>231</v>
      </c>
      <c r="CS559" t="s">
        <v>231</v>
      </c>
      <c r="CT559" t="s">
        <v>3534</v>
      </c>
      <c r="CU559" t="s">
        <v>3535</v>
      </c>
      <c r="CV559" t="s">
        <v>3997</v>
      </c>
      <c r="CW559" t="s">
        <v>3998</v>
      </c>
      <c r="CX559" t="s">
        <v>3570</v>
      </c>
      <c r="CY559" t="s">
        <v>3997</v>
      </c>
      <c r="CZ559" t="s">
        <v>3575</v>
      </c>
      <c r="DA559" t="s">
        <v>3999</v>
      </c>
      <c r="DB559" t="s">
        <v>3643</v>
      </c>
      <c r="DC559" t="s">
        <v>363</v>
      </c>
      <c r="DD559" t="s">
        <v>282</v>
      </c>
      <c r="DE559" t="s">
        <v>4446</v>
      </c>
    </row>
    <row r="560" spans="1:109" ht="11.25" customHeight="1">
      <c r="A560" s="1314" t="s">
        <v>231</v>
      </c>
      <c r="B560" t="s">
        <v>231</v>
      </c>
      <c r="C560" t="s">
        <v>231</v>
      </c>
      <c r="D560" t="s">
        <v>231</v>
      </c>
      <c r="E560" t="s">
        <v>231</v>
      </c>
      <c r="F560" t="s">
        <v>231</v>
      </c>
      <c r="G560" t="s">
        <v>231</v>
      </c>
      <c r="H560" t="s">
        <v>231</v>
      </c>
      <c r="I560" t="s">
        <v>3521</v>
      </c>
      <c r="J560" t="s">
        <v>231</v>
      </c>
      <c r="K560" t="s">
        <v>231</v>
      </c>
      <c r="L560" t="s">
        <v>231</v>
      </c>
      <c r="M560" t="s">
        <v>231</v>
      </c>
      <c r="N560" t="s">
        <v>231</v>
      </c>
      <c r="O560" t="s">
        <v>231</v>
      </c>
      <c r="P560" t="s">
        <v>231</v>
      </c>
      <c r="Q560" t="s">
        <v>231</v>
      </c>
      <c r="R560" t="s">
        <v>4525</v>
      </c>
      <c r="S560" t="s">
        <v>231</v>
      </c>
      <c r="T560" t="s">
        <v>231</v>
      </c>
      <c r="U560" t="s">
        <v>101</v>
      </c>
      <c r="V560" t="s">
        <v>231</v>
      </c>
      <c r="W560" t="s">
        <v>231</v>
      </c>
      <c r="X560" t="s">
        <v>3523</v>
      </c>
      <c r="Y560" t="s">
        <v>231</v>
      </c>
      <c r="Z560" t="s">
        <v>160</v>
      </c>
      <c r="AA560" t="s">
        <v>151</v>
      </c>
      <c r="AB560" t="s">
        <v>151</v>
      </c>
      <c r="AC560" t="s">
        <v>2691</v>
      </c>
      <c r="AD560" t="s">
        <v>2691</v>
      </c>
      <c r="AE560" t="s">
        <v>2692</v>
      </c>
      <c r="AF560" t="s">
        <v>3991</v>
      </c>
      <c r="AG560" t="s">
        <v>3992</v>
      </c>
      <c r="AH560" t="s">
        <v>4113</v>
      </c>
      <c r="AI560" t="s">
        <v>151</v>
      </c>
      <c r="AJ560" t="s">
        <v>4526</v>
      </c>
      <c r="AK560" t="s">
        <v>3641</v>
      </c>
      <c r="AL560" t="s">
        <v>3548</v>
      </c>
      <c r="AM560" t="s">
        <v>3531</v>
      </c>
      <c r="AN560" t="s">
        <v>4527</v>
      </c>
      <c r="AO560" t="s">
        <v>4261</v>
      </c>
      <c r="AP560" t="s">
        <v>231</v>
      </c>
      <c r="AQ560" t="s">
        <v>231</v>
      </c>
      <c r="AR560" t="s">
        <v>231</v>
      </c>
      <c r="AS560" t="s">
        <v>231</v>
      </c>
      <c r="AT560" t="s">
        <v>231</v>
      </c>
      <c r="AU560" t="s">
        <v>231</v>
      </c>
      <c r="AV560" t="s">
        <v>231</v>
      </c>
      <c r="AW560" t="s">
        <v>231</v>
      </c>
      <c r="AX560" t="s">
        <v>231</v>
      </c>
      <c r="AY560" t="s">
        <v>231</v>
      </c>
      <c r="AZ560" t="s">
        <v>231</v>
      </c>
      <c r="BA560" t="s">
        <v>231</v>
      </c>
      <c r="BB560" t="s">
        <v>231</v>
      </c>
      <c r="BC560" t="s">
        <v>231</v>
      </c>
      <c r="BD560" t="s">
        <v>231</v>
      </c>
      <c r="BE560" t="s">
        <v>231</v>
      </c>
      <c r="BF560" t="s">
        <v>231</v>
      </c>
      <c r="BG560" t="s">
        <v>231</v>
      </c>
      <c r="BH560" t="s">
        <v>231</v>
      </c>
      <c r="BI560" t="s">
        <v>231</v>
      </c>
      <c r="BJ560" t="s">
        <v>231</v>
      </c>
      <c r="BK560" t="s">
        <v>231</v>
      </c>
      <c r="BL560" t="s">
        <v>231</v>
      </c>
      <c r="BM560" t="s">
        <v>231</v>
      </c>
      <c r="BN560" t="s">
        <v>231</v>
      </c>
      <c r="BO560" t="s">
        <v>231</v>
      </c>
      <c r="BP560" t="s">
        <v>231</v>
      </c>
      <c r="BQ560" t="s">
        <v>231</v>
      </c>
      <c r="BR560" t="s">
        <v>231</v>
      </c>
      <c r="BS560" t="s">
        <v>231</v>
      </c>
      <c r="BT560" t="s">
        <v>231</v>
      </c>
      <c r="BU560" t="s">
        <v>231</v>
      </c>
      <c r="BV560" t="s">
        <v>231</v>
      </c>
      <c r="BW560" t="s">
        <v>231</v>
      </c>
      <c r="BX560" t="s">
        <v>231</v>
      </c>
      <c r="BY560" t="s">
        <v>231</v>
      </c>
      <c r="BZ560" t="s">
        <v>231</v>
      </c>
      <c r="CA560" t="s">
        <v>231</v>
      </c>
      <c r="CB560" t="s">
        <v>231</v>
      </c>
      <c r="CC560" t="s">
        <v>231</v>
      </c>
      <c r="CD560" t="s">
        <v>231</v>
      </c>
      <c r="CE560" t="s">
        <v>231</v>
      </c>
      <c r="CF560" t="s">
        <v>231</v>
      </c>
      <c r="CG560" t="s">
        <v>231</v>
      </c>
      <c r="CH560" t="s">
        <v>231</v>
      </c>
      <c r="CI560" t="s">
        <v>231</v>
      </c>
      <c r="CJ560" t="s">
        <v>231</v>
      </c>
      <c r="CK560" t="s">
        <v>231</v>
      </c>
      <c r="CL560" t="s">
        <v>231</v>
      </c>
      <c r="CM560" t="s">
        <v>231</v>
      </c>
      <c r="CN560" t="s">
        <v>231</v>
      </c>
      <c r="CO560" t="s">
        <v>231</v>
      </c>
      <c r="CP560" t="s">
        <v>231</v>
      </c>
      <c r="CQ560" t="s">
        <v>231</v>
      </c>
      <c r="CR560" t="s">
        <v>231</v>
      </c>
      <c r="CS560" t="s">
        <v>231</v>
      </c>
      <c r="CT560" t="s">
        <v>3534</v>
      </c>
      <c r="CU560" t="s">
        <v>3535</v>
      </c>
      <c r="CV560" t="s">
        <v>3997</v>
      </c>
      <c r="CW560" t="s">
        <v>3998</v>
      </c>
      <c r="CX560" t="s">
        <v>3570</v>
      </c>
      <c r="CY560" t="s">
        <v>3997</v>
      </c>
      <c r="CZ560" t="s">
        <v>3575</v>
      </c>
      <c r="DA560" t="s">
        <v>3999</v>
      </c>
      <c r="DB560" t="s">
        <v>3643</v>
      </c>
      <c r="DC560" t="s">
        <v>363</v>
      </c>
      <c r="DD560" t="s">
        <v>282</v>
      </c>
      <c r="DE560" t="s">
        <v>4123</v>
      </c>
    </row>
    <row r="561" spans="1:109" ht="11.25" customHeight="1">
      <c r="A561" s="1314" t="s">
        <v>231</v>
      </c>
      <c r="B561" t="s">
        <v>231</v>
      </c>
      <c r="C561" t="s">
        <v>231</v>
      </c>
      <c r="D561" t="s">
        <v>231</v>
      </c>
      <c r="E561" t="s">
        <v>231</v>
      </c>
      <c r="F561" t="s">
        <v>231</v>
      </c>
      <c r="G561" t="s">
        <v>231</v>
      </c>
      <c r="H561" t="s">
        <v>231</v>
      </c>
      <c r="I561" t="s">
        <v>3521</v>
      </c>
      <c r="J561" t="s">
        <v>231</v>
      </c>
      <c r="K561" t="s">
        <v>231</v>
      </c>
      <c r="L561" t="s">
        <v>231</v>
      </c>
      <c r="M561" t="s">
        <v>231</v>
      </c>
      <c r="N561" t="s">
        <v>231</v>
      </c>
      <c r="O561" t="s">
        <v>231</v>
      </c>
      <c r="P561" t="s">
        <v>231</v>
      </c>
      <c r="Q561" t="s">
        <v>231</v>
      </c>
      <c r="R561" t="s">
        <v>5077</v>
      </c>
      <c r="S561" t="s">
        <v>231</v>
      </c>
      <c r="T561" t="s">
        <v>231</v>
      </c>
      <c r="U561" t="s">
        <v>101</v>
      </c>
      <c r="V561" t="s">
        <v>231</v>
      </c>
      <c r="W561" t="s">
        <v>231</v>
      </c>
      <c r="X561" t="s">
        <v>3523</v>
      </c>
      <c r="Y561" t="s">
        <v>231</v>
      </c>
      <c r="Z561" t="s">
        <v>160</v>
      </c>
      <c r="AA561" t="s">
        <v>151</v>
      </c>
      <c r="AB561" t="s">
        <v>151</v>
      </c>
      <c r="AC561" t="s">
        <v>343</v>
      </c>
      <c r="AD561" t="s">
        <v>343</v>
      </c>
      <c r="AE561" t="s">
        <v>344</v>
      </c>
      <c r="AF561" t="s">
        <v>3561</v>
      </c>
      <c r="AG561" t="s">
        <v>3562</v>
      </c>
      <c r="AH561" t="s">
        <v>4047</v>
      </c>
      <c r="AI561" t="s">
        <v>3575</v>
      </c>
      <c r="AJ561" t="s">
        <v>4110</v>
      </c>
      <c r="AK561" t="s">
        <v>4048</v>
      </c>
      <c r="AL561" t="s">
        <v>3613</v>
      </c>
      <c r="AM561" t="s">
        <v>3531</v>
      </c>
      <c r="AN561" t="s">
        <v>3621</v>
      </c>
      <c r="AO561" t="s">
        <v>4111</v>
      </c>
      <c r="AP561" t="s">
        <v>231</v>
      </c>
      <c r="AQ561" t="s">
        <v>231</v>
      </c>
      <c r="AR561" t="s">
        <v>231</v>
      </c>
      <c r="AS561" t="s">
        <v>231</v>
      </c>
      <c r="AT561" t="s">
        <v>231</v>
      </c>
      <c r="AU561" t="s">
        <v>231</v>
      </c>
      <c r="AV561" t="s">
        <v>231</v>
      </c>
      <c r="AW561" t="s">
        <v>231</v>
      </c>
      <c r="AX561" t="s">
        <v>231</v>
      </c>
      <c r="AY561" t="s">
        <v>231</v>
      </c>
      <c r="AZ561" t="s">
        <v>231</v>
      </c>
      <c r="BA561" t="s">
        <v>231</v>
      </c>
      <c r="BB561" t="s">
        <v>231</v>
      </c>
      <c r="BC561" t="s">
        <v>231</v>
      </c>
      <c r="BD561" t="s">
        <v>231</v>
      </c>
      <c r="BE561" t="s">
        <v>231</v>
      </c>
      <c r="BF561" t="s">
        <v>231</v>
      </c>
      <c r="BG561" t="s">
        <v>231</v>
      </c>
      <c r="BH561" t="s">
        <v>231</v>
      </c>
      <c r="BI561" t="s">
        <v>231</v>
      </c>
      <c r="BJ561" t="s">
        <v>231</v>
      </c>
      <c r="BK561" t="s">
        <v>231</v>
      </c>
      <c r="BL561" t="s">
        <v>231</v>
      </c>
      <c r="BM561" t="s">
        <v>231</v>
      </c>
      <c r="BN561" t="s">
        <v>231</v>
      </c>
      <c r="BO561" t="s">
        <v>231</v>
      </c>
      <c r="BP561" t="s">
        <v>231</v>
      </c>
      <c r="BQ561" t="s">
        <v>231</v>
      </c>
      <c r="BR561" t="s">
        <v>231</v>
      </c>
      <c r="BS561" t="s">
        <v>231</v>
      </c>
      <c r="BT561" t="s">
        <v>231</v>
      </c>
      <c r="BU561" t="s">
        <v>231</v>
      </c>
      <c r="BV561" t="s">
        <v>231</v>
      </c>
      <c r="BW561" t="s">
        <v>231</v>
      </c>
      <c r="BX561" t="s">
        <v>231</v>
      </c>
      <c r="BY561" t="s">
        <v>231</v>
      </c>
      <c r="BZ561" t="s">
        <v>231</v>
      </c>
      <c r="CA561" t="s">
        <v>231</v>
      </c>
      <c r="CB561" t="s">
        <v>231</v>
      </c>
      <c r="CC561" t="s">
        <v>231</v>
      </c>
      <c r="CD561" t="s">
        <v>231</v>
      </c>
      <c r="CE561" t="s">
        <v>231</v>
      </c>
      <c r="CF561" t="s">
        <v>231</v>
      </c>
      <c r="CG561" t="s">
        <v>231</v>
      </c>
      <c r="CH561" t="s">
        <v>231</v>
      </c>
      <c r="CI561" t="s">
        <v>231</v>
      </c>
      <c r="CJ561" t="s">
        <v>231</v>
      </c>
      <c r="CK561" t="s">
        <v>231</v>
      </c>
      <c r="CL561" t="s">
        <v>231</v>
      </c>
      <c r="CM561" t="s">
        <v>231</v>
      </c>
      <c r="CN561" t="s">
        <v>231</v>
      </c>
      <c r="CO561" t="s">
        <v>231</v>
      </c>
      <c r="CP561" t="s">
        <v>231</v>
      </c>
      <c r="CQ561" t="s">
        <v>231</v>
      </c>
      <c r="CR561" t="s">
        <v>231</v>
      </c>
      <c r="CS561" t="s">
        <v>231</v>
      </c>
      <c r="CT561" t="s">
        <v>3534</v>
      </c>
      <c r="CU561" t="s">
        <v>3535</v>
      </c>
      <c r="CV561" t="s">
        <v>3536</v>
      </c>
      <c r="CW561" t="s">
        <v>3569</v>
      </c>
      <c r="CX561" t="s">
        <v>3570</v>
      </c>
      <c r="CY561" t="s">
        <v>3536</v>
      </c>
      <c r="CZ561" t="s">
        <v>224</v>
      </c>
      <c r="DA561" t="s">
        <v>3571</v>
      </c>
      <c r="DB561" t="s">
        <v>3569</v>
      </c>
      <c r="DC561" t="s">
        <v>363</v>
      </c>
      <c r="DD561" t="s">
        <v>282</v>
      </c>
      <c r="DE561" t="s">
        <v>4050</v>
      </c>
    </row>
    <row r="562" spans="1:109" ht="11.25" customHeight="1">
      <c r="A562" s="1314" t="s">
        <v>231</v>
      </c>
      <c r="B562" t="s">
        <v>231</v>
      </c>
      <c r="C562" t="s">
        <v>231</v>
      </c>
      <c r="D562" t="s">
        <v>231</v>
      </c>
      <c r="E562" t="s">
        <v>231</v>
      </c>
      <c r="F562" t="s">
        <v>231</v>
      </c>
      <c r="G562" t="s">
        <v>231</v>
      </c>
      <c r="H562" t="s">
        <v>231</v>
      </c>
      <c r="I562" t="s">
        <v>3521</v>
      </c>
      <c r="J562" t="s">
        <v>231</v>
      </c>
      <c r="K562" t="s">
        <v>231</v>
      </c>
      <c r="L562" t="s">
        <v>231</v>
      </c>
      <c r="M562" t="s">
        <v>231</v>
      </c>
      <c r="N562" t="s">
        <v>231</v>
      </c>
      <c r="O562" t="s">
        <v>231</v>
      </c>
      <c r="P562" t="s">
        <v>231</v>
      </c>
      <c r="Q562" t="s">
        <v>231</v>
      </c>
      <c r="R562" t="s">
        <v>4528</v>
      </c>
      <c r="S562" t="s">
        <v>231</v>
      </c>
      <c r="T562" t="s">
        <v>231</v>
      </c>
      <c r="U562" t="s">
        <v>101</v>
      </c>
      <c r="V562" t="s">
        <v>231</v>
      </c>
      <c r="W562" t="s">
        <v>231</v>
      </c>
      <c r="X562" t="s">
        <v>3523</v>
      </c>
      <c r="Y562" t="s">
        <v>231</v>
      </c>
      <c r="Z562" t="s">
        <v>160</v>
      </c>
      <c r="AA562" t="s">
        <v>151</v>
      </c>
      <c r="AB562" t="s">
        <v>151</v>
      </c>
      <c r="AC562" t="s">
        <v>2691</v>
      </c>
      <c r="AD562" t="s">
        <v>2691</v>
      </c>
      <c r="AE562" t="s">
        <v>2692</v>
      </c>
      <c r="AF562" t="s">
        <v>3991</v>
      </c>
      <c r="AG562" t="s">
        <v>3992</v>
      </c>
      <c r="AH562" t="s">
        <v>4529</v>
      </c>
      <c r="AI562" t="s">
        <v>151</v>
      </c>
      <c r="AJ562" t="s">
        <v>4530</v>
      </c>
      <c r="AK562" t="s">
        <v>4531</v>
      </c>
      <c r="AL562" t="s">
        <v>3548</v>
      </c>
      <c r="AM562" t="s">
        <v>3531</v>
      </c>
      <c r="AN562" t="s">
        <v>3595</v>
      </c>
      <c r="AO562" t="s">
        <v>4532</v>
      </c>
      <c r="AP562" t="s">
        <v>231</v>
      </c>
      <c r="AQ562" t="s">
        <v>231</v>
      </c>
      <c r="AR562" t="s">
        <v>231</v>
      </c>
      <c r="AS562" t="s">
        <v>231</v>
      </c>
      <c r="AT562" t="s">
        <v>231</v>
      </c>
      <c r="AU562" t="s">
        <v>231</v>
      </c>
      <c r="AV562" t="s">
        <v>231</v>
      </c>
      <c r="AW562" t="s">
        <v>231</v>
      </c>
      <c r="AX562" t="s">
        <v>231</v>
      </c>
      <c r="AY562" t="s">
        <v>231</v>
      </c>
      <c r="AZ562" t="s">
        <v>231</v>
      </c>
      <c r="BA562" t="s">
        <v>231</v>
      </c>
      <c r="BB562" t="s">
        <v>231</v>
      </c>
      <c r="BC562" t="s">
        <v>231</v>
      </c>
      <c r="BD562" t="s">
        <v>231</v>
      </c>
      <c r="BE562" t="s">
        <v>231</v>
      </c>
      <c r="BF562" t="s">
        <v>231</v>
      </c>
      <c r="BG562" t="s">
        <v>231</v>
      </c>
      <c r="BH562" t="s">
        <v>231</v>
      </c>
      <c r="BI562" t="s">
        <v>231</v>
      </c>
      <c r="BJ562" t="s">
        <v>231</v>
      </c>
      <c r="BK562" t="s">
        <v>231</v>
      </c>
      <c r="BL562" t="s">
        <v>231</v>
      </c>
      <c r="BM562" t="s">
        <v>231</v>
      </c>
      <c r="BN562" t="s">
        <v>231</v>
      </c>
      <c r="BO562" t="s">
        <v>231</v>
      </c>
      <c r="BP562" t="s">
        <v>231</v>
      </c>
      <c r="BQ562" t="s">
        <v>231</v>
      </c>
      <c r="BR562" t="s">
        <v>231</v>
      </c>
      <c r="BS562" t="s">
        <v>231</v>
      </c>
      <c r="BT562" t="s">
        <v>231</v>
      </c>
      <c r="BU562" t="s">
        <v>231</v>
      </c>
      <c r="BV562" t="s">
        <v>231</v>
      </c>
      <c r="BW562" t="s">
        <v>231</v>
      </c>
      <c r="BX562" t="s">
        <v>231</v>
      </c>
      <c r="BY562" t="s">
        <v>231</v>
      </c>
      <c r="BZ562" t="s">
        <v>231</v>
      </c>
      <c r="CA562" t="s">
        <v>231</v>
      </c>
      <c r="CB562" t="s">
        <v>231</v>
      </c>
      <c r="CC562" t="s">
        <v>231</v>
      </c>
      <c r="CD562" t="s">
        <v>231</v>
      </c>
      <c r="CE562" t="s">
        <v>231</v>
      </c>
      <c r="CF562" t="s">
        <v>231</v>
      </c>
      <c r="CG562" t="s">
        <v>231</v>
      </c>
      <c r="CH562" t="s">
        <v>231</v>
      </c>
      <c r="CI562" t="s">
        <v>231</v>
      </c>
      <c r="CJ562" t="s">
        <v>231</v>
      </c>
      <c r="CK562" t="s">
        <v>231</v>
      </c>
      <c r="CL562" t="s">
        <v>231</v>
      </c>
      <c r="CM562" t="s">
        <v>231</v>
      </c>
      <c r="CN562" t="s">
        <v>231</v>
      </c>
      <c r="CO562" t="s">
        <v>231</v>
      </c>
      <c r="CP562" t="s">
        <v>231</v>
      </c>
      <c r="CQ562" t="s">
        <v>231</v>
      </c>
      <c r="CR562" t="s">
        <v>231</v>
      </c>
      <c r="CS562" t="s">
        <v>231</v>
      </c>
      <c r="CT562" t="s">
        <v>3534</v>
      </c>
      <c r="CU562" t="s">
        <v>3535</v>
      </c>
      <c r="CV562" t="s">
        <v>3997</v>
      </c>
      <c r="CW562" t="s">
        <v>3998</v>
      </c>
      <c r="CX562" t="s">
        <v>3570</v>
      </c>
      <c r="CY562" t="s">
        <v>3997</v>
      </c>
      <c r="CZ562" t="s">
        <v>3575</v>
      </c>
      <c r="DA562" t="s">
        <v>3999</v>
      </c>
      <c r="DB562" t="s">
        <v>3643</v>
      </c>
      <c r="DC562" t="s">
        <v>363</v>
      </c>
      <c r="DD562" t="s">
        <v>282</v>
      </c>
      <c r="DE562" t="s">
        <v>4533</v>
      </c>
    </row>
    <row r="563" spans="1:109" ht="11.25" customHeight="1">
      <c r="A563" s="1314" t="s">
        <v>231</v>
      </c>
      <c r="B563" t="s">
        <v>231</v>
      </c>
      <c r="C563" t="s">
        <v>231</v>
      </c>
      <c r="D563" t="s">
        <v>231</v>
      </c>
      <c r="E563" t="s">
        <v>231</v>
      </c>
      <c r="F563" t="s">
        <v>231</v>
      </c>
      <c r="G563" t="s">
        <v>231</v>
      </c>
      <c r="H563" t="s">
        <v>231</v>
      </c>
      <c r="I563" t="s">
        <v>3521</v>
      </c>
      <c r="J563" t="s">
        <v>231</v>
      </c>
      <c r="K563" t="s">
        <v>231</v>
      </c>
      <c r="L563" t="s">
        <v>231</v>
      </c>
      <c r="M563" t="s">
        <v>231</v>
      </c>
      <c r="N563" t="s">
        <v>231</v>
      </c>
      <c r="O563" t="s">
        <v>231</v>
      </c>
      <c r="P563" t="s">
        <v>231</v>
      </c>
      <c r="Q563" t="s">
        <v>231</v>
      </c>
      <c r="R563" t="s">
        <v>4737</v>
      </c>
      <c r="S563" t="s">
        <v>231</v>
      </c>
      <c r="T563" t="s">
        <v>231</v>
      </c>
      <c r="U563" t="s">
        <v>101</v>
      </c>
      <c r="V563" t="s">
        <v>231</v>
      </c>
      <c r="W563" t="s">
        <v>231</v>
      </c>
      <c r="X563" t="s">
        <v>3523</v>
      </c>
      <c r="Y563" t="s">
        <v>231</v>
      </c>
      <c r="Z563" t="s">
        <v>160</v>
      </c>
      <c r="AA563" t="s">
        <v>151</v>
      </c>
      <c r="AB563" t="s">
        <v>151</v>
      </c>
      <c r="AC563" t="s">
        <v>2691</v>
      </c>
      <c r="AD563" t="s">
        <v>2691</v>
      </c>
      <c r="AE563" t="s">
        <v>2692</v>
      </c>
      <c r="AF563" t="s">
        <v>3991</v>
      </c>
      <c r="AG563" t="s">
        <v>3992</v>
      </c>
      <c r="AH563" t="s">
        <v>4738</v>
      </c>
      <c r="AI563" t="s">
        <v>151</v>
      </c>
      <c r="AJ563" t="s">
        <v>3866</v>
      </c>
      <c r="AK563" t="s">
        <v>4150</v>
      </c>
      <c r="AL563" t="s">
        <v>3548</v>
      </c>
      <c r="AM563" t="s">
        <v>3531</v>
      </c>
      <c r="AN563" t="s">
        <v>3595</v>
      </c>
      <c r="AO563" t="s">
        <v>4739</v>
      </c>
      <c r="AP563" t="s">
        <v>231</v>
      </c>
      <c r="AQ563" t="s">
        <v>231</v>
      </c>
      <c r="AR563" t="s">
        <v>231</v>
      </c>
      <c r="AS563" t="s">
        <v>231</v>
      </c>
      <c r="AT563" t="s">
        <v>231</v>
      </c>
      <c r="AU563" t="s">
        <v>231</v>
      </c>
      <c r="AV563" t="s">
        <v>231</v>
      </c>
      <c r="AW563" t="s">
        <v>231</v>
      </c>
      <c r="AX563" t="s">
        <v>231</v>
      </c>
      <c r="AY563" t="s">
        <v>231</v>
      </c>
      <c r="AZ563" t="s">
        <v>231</v>
      </c>
      <c r="BA563" t="s">
        <v>231</v>
      </c>
      <c r="BB563" t="s">
        <v>231</v>
      </c>
      <c r="BC563" t="s">
        <v>231</v>
      </c>
      <c r="BD563" t="s">
        <v>231</v>
      </c>
      <c r="BE563" t="s">
        <v>231</v>
      </c>
      <c r="BF563" t="s">
        <v>231</v>
      </c>
      <c r="BG563" t="s">
        <v>231</v>
      </c>
      <c r="BH563" t="s">
        <v>231</v>
      </c>
      <c r="BI563" t="s">
        <v>231</v>
      </c>
      <c r="BJ563" t="s">
        <v>231</v>
      </c>
      <c r="BK563" t="s">
        <v>231</v>
      </c>
      <c r="BL563" t="s">
        <v>231</v>
      </c>
      <c r="BM563" t="s">
        <v>231</v>
      </c>
      <c r="BN563" t="s">
        <v>231</v>
      </c>
      <c r="BO563" t="s">
        <v>231</v>
      </c>
      <c r="BP563" t="s">
        <v>231</v>
      </c>
      <c r="BQ563" t="s">
        <v>231</v>
      </c>
      <c r="BR563" t="s">
        <v>231</v>
      </c>
      <c r="BS563" t="s">
        <v>231</v>
      </c>
      <c r="BT563" t="s">
        <v>231</v>
      </c>
      <c r="BU563" t="s">
        <v>231</v>
      </c>
      <c r="BV563" t="s">
        <v>231</v>
      </c>
      <c r="BW563" t="s">
        <v>231</v>
      </c>
      <c r="BX563" t="s">
        <v>231</v>
      </c>
      <c r="BY563" t="s">
        <v>231</v>
      </c>
      <c r="BZ563" t="s">
        <v>231</v>
      </c>
      <c r="CA563" t="s">
        <v>231</v>
      </c>
      <c r="CB563" t="s">
        <v>231</v>
      </c>
      <c r="CC563" t="s">
        <v>231</v>
      </c>
      <c r="CD563" t="s">
        <v>231</v>
      </c>
      <c r="CE563" t="s">
        <v>231</v>
      </c>
      <c r="CF563" t="s">
        <v>231</v>
      </c>
      <c r="CG563" t="s">
        <v>231</v>
      </c>
      <c r="CH563" t="s">
        <v>231</v>
      </c>
      <c r="CI563" t="s">
        <v>231</v>
      </c>
      <c r="CJ563" t="s">
        <v>231</v>
      </c>
      <c r="CK563" t="s">
        <v>231</v>
      </c>
      <c r="CL563" t="s">
        <v>231</v>
      </c>
      <c r="CM563" t="s">
        <v>231</v>
      </c>
      <c r="CN563" t="s">
        <v>231</v>
      </c>
      <c r="CO563" t="s">
        <v>231</v>
      </c>
      <c r="CP563" t="s">
        <v>231</v>
      </c>
      <c r="CQ563" t="s">
        <v>231</v>
      </c>
      <c r="CR563" t="s">
        <v>231</v>
      </c>
      <c r="CS563" t="s">
        <v>231</v>
      </c>
      <c r="CT563" t="s">
        <v>3534</v>
      </c>
      <c r="CU563" t="s">
        <v>3535</v>
      </c>
      <c r="CV563" t="s">
        <v>3997</v>
      </c>
      <c r="CW563" t="s">
        <v>3998</v>
      </c>
      <c r="CX563" t="s">
        <v>3570</v>
      </c>
      <c r="CY563" t="s">
        <v>3997</v>
      </c>
      <c r="CZ563" t="s">
        <v>3575</v>
      </c>
      <c r="DA563" t="s">
        <v>3999</v>
      </c>
      <c r="DB563" t="s">
        <v>3643</v>
      </c>
      <c r="DC563" t="s">
        <v>363</v>
      </c>
      <c r="DD563" t="s">
        <v>282</v>
      </c>
      <c r="DE563" t="s">
        <v>4740</v>
      </c>
    </row>
    <row r="564" spans="1:109" ht="11.25" customHeight="1">
      <c r="A564" s="1314" t="s">
        <v>231</v>
      </c>
      <c r="B564" t="s">
        <v>231</v>
      </c>
      <c r="C564" t="s">
        <v>231</v>
      </c>
      <c r="D564" t="s">
        <v>231</v>
      </c>
      <c r="E564" t="s">
        <v>231</v>
      </c>
      <c r="F564" t="s">
        <v>231</v>
      </c>
      <c r="G564" t="s">
        <v>231</v>
      </c>
      <c r="H564" t="s">
        <v>231</v>
      </c>
      <c r="I564" t="s">
        <v>3521</v>
      </c>
      <c r="J564" t="s">
        <v>231</v>
      </c>
      <c r="K564" t="s">
        <v>231</v>
      </c>
      <c r="L564" t="s">
        <v>231</v>
      </c>
      <c r="M564" t="s">
        <v>231</v>
      </c>
      <c r="N564" t="s">
        <v>231</v>
      </c>
      <c r="O564" t="s">
        <v>231</v>
      </c>
      <c r="P564" t="s">
        <v>231</v>
      </c>
      <c r="Q564" t="s">
        <v>231</v>
      </c>
      <c r="R564" t="s">
        <v>4741</v>
      </c>
      <c r="S564" t="s">
        <v>231</v>
      </c>
      <c r="T564" t="s">
        <v>231</v>
      </c>
      <c r="U564" t="s">
        <v>101</v>
      </c>
      <c r="V564" t="s">
        <v>231</v>
      </c>
      <c r="W564" t="s">
        <v>231</v>
      </c>
      <c r="X564" t="s">
        <v>3523</v>
      </c>
      <c r="Y564" t="s">
        <v>231</v>
      </c>
      <c r="Z564" t="s">
        <v>160</v>
      </c>
      <c r="AA564" t="s">
        <v>151</v>
      </c>
      <c r="AB564" t="s">
        <v>151</v>
      </c>
      <c r="AC564" t="s">
        <v>2691</v>
      </c>
      <c r="AD564" t="s">
        <v>2691</v>
      </c>
      <c r="AE564" t="s">
        <v>2692</v>
      </c>
      <c r="AF564" t="s">
        <v>3991</v>
      </c>
      <c r="AG564" t="s">
        <v>3992</v>
      </c>
      <c r="AH564" t="s">
        <v>4742</v>
      </c>
      <c r="AI564" t="s">
        <v>482</v>
      </c>
      <c r="AJ564" t="s">
        <v>4743</v>
      </c>
      <c r="AK564" t="s">
        <v>4744</v>
      </c>
      <c r="AL564" t="s">
        <v>3566</v>
      </c>
      <c r="AM564" t="s">
        <v>3531</v>
      </c>
      <c r="AN564" t="s">
        <v>3621</v>
      </c>
      <c r="AO564" t="s">
        <v>4745</v>
      </c>
      <c r="AP564" t="s">
        <v>231</v>
      </c>
      <c r="AQ564" t="s">
        <v>231</v>
      </c>
      <c r="AR564" t="s">
        <v>231</v>
      </c>
      <c r="AS564" t="s">
        <v>231</v>
      </c>
      <c r="AT564" t="s">
        <v>231</v>
      </c>
      <c r="AU564" t="s">
        <v>231</v>
      </c>
      <c r="AV564" t="s">
        <v>231</v>
      </c>
      <c r="AW564" t="s">
        <v>231</v>
      </c>
      <c r="AX564" t="s">
        <v>231</v>
      </c>
      <c r="AY564" t="s">
        <v>231</v>
      </c>
      <c r="AZ564" t="s">
        <v>231</v>
      </c>
      <c r="BA564" t="s">
        <v>231</v>
      </c>
      <c r="BB564" t="s">
        <v>231</v>
      </c>
      <c r="BC564" t="s">
        <v>231</v>
      </c>
      <c r="BD564" t="s">
        <v>231</v>
      </c>
      <c r="BE564" t="s">
        <v>231</v>
      </c>
      <c r="BF564" t="s">
        <v>231</v>
      </c>
      <c r="BG564" t="s">
        <v>231</v>
      </c>
      <c r="BH564" t="s">
        <v>231</v>
      </c>
      <c r="BI564" t="s">
        <v>231</v>
      </c>
      <c r="BJ564" t="s">
        <v>231</v>
      </c>
      <c r="BK564" t="s">
        <v>231</v>
      </c>
      <c r="BL564" t="s">
        <v>231</v>
      </c>
      <c r="BM564" t="s">
        <v>231</v>
      </c>
      <c r="BN564" t="s">
        <v>231</v>
      </c>
      <c r="BO564" t="s">
        <v>231</v>
      </c>
      <c r="BP564" t="s">
        <v>231</v>
      </c>
      <c r="BQ564" t="s">
        <v>231</v>
      </c>
      <c r="BR564" t="s">
        <v>231</v>
      </c>
      <c r="BS564" t="s">
        <v>231</v>
      </c>
      <c r="BT564" t="s">
        <v>231</v>
      </c>
      <c r="BU564" t="s">
        <v>231</v>
      </c>
      <c r="BV564" t="s">
        <v>231</v>
      </c>
      <c r="BW564" t="s">
        <v>231</v>
      </c>
      <c r="BX564" t="s">
        <v>231</v>
      </c>
      <c r="BY564" t="s">
        <v>231</v>
      </c>
      <c r="BZ564" t="s">
        <v>231</v>
      </c>
      <c r="CA564" t="s">
        <v>231</v>
      </c>
      <c r="CB564" t="s">
        <v>231</v>
      </c>
      <c r="CC564" t="s">
        <v>231</v>
      </c>
      <c r="CD564" t="s">
        <v>231</v>
      </c>
      <c r="CE564" t="s">
        <v>231</v>
      </c>
      <c r="CF564" t="s">
        <v>231</v>
      </c>
      <c r="CG564" t="s">
        <v>231</v>
      </c>
      <c r="CH564" t="s">
        <v>231</v>
      </c>
      <c r="CI564" t="s">
        <v>231</v>
      </c>
      <c r="CJ564" t="s">
        <v>231</v>
      </c>
      <c r="CK564" t="s">
        <v>231</v>
      </c>
      <c r="CL564" t="s">
        <v>231</v>
      </c>
      <c r="CM564" t="s">
        <v>231</v>
      </c>
      <c r="CN564" t="s">
        <v>231</v>
      </c>
      <c r="CO564" t="s">
        <v>231</v>
      </c>
      <c r="CP564" t="s">
        <v>231</v>
      </c>
      <c r="CQ564" t="s">
        <v>231</v>
      </c>
      <c r="CR564" t="s">
        <v>231</v>
      </c>
      <c r="CS564" t="s">
        <v>231</v>
      </c>
      <c r="CT564" t="s">
        <v>3534</v>
      </c>
      <c r="CU564" t="s">
        <v>3535</v>
      </c>
      <c r="CV564" t="s">
        <v>3997</v>
      </c>
      <c r="CW564" t="s">
        <v>3998</v>
      </c>
      <c r="CX564" t="s">
        <v>3570</v>
      </c>
      <c r="CY564" t="s">
        <v>3997</v>
      </c>
      <c r="CZ564" t="s">
        <v>3575</v>
      </c>
      <c r="DA564" t="s">
        <v>3999</v>
      </c>
      <c r="DB564" t="s">
        <v>3643</v>
      </c>
      <c r="DC564" t="s">
        <v>363</v>
      </c>
      <c r="DD564" t="s">
        <v>282</v>
      </c>
      <c r="DE564" t="s">
        <v>4746</v>
      </c>
    </row>
    <row r="565" spans="1:109" ht="11.25" customHeight="1">
      <c r="A565" s="1314" t="s">
        <v>231</v>
      </c>
      <c r="B565" t="s">
        <v>231</v>
      </c>
      <c r="C565" t="s">
        <v>231</v>
      </c>
      <c r="D565" t="s">
        <v>231</v>
      </c>
      <c r="E565" t="s">
        <v>231</v>
      </c>
      <c r="F565" t="s">
        <v>231</v>
      </c>
      <c r="G565" t="s">
        <v>231</v>
      </c>
      <c r="H565" t="s">
        <v>231</v>
      </c>
      <c r="I565" t="s">
        <v>3521</v>
      </c>
      <c r="J565" t="s">
        <v>231</v>
      </c>
      <c r="K565" t="s">
        <v>231</v>
      </c>
      <c r="L565" t="s">
        <v>231</v>
      </c>
      <c r="M565" t="s">
        <v>231</v>
      </c>
      <c r="N565" t="s">
        <v>231</v>
      </c>
      <c r="O565" t="s">
        <v>231</v>
      </c>
      <c r="P565" t="s">
        <v>231</v>
      </c>
      <c r="Q565" t="s">
        <v>231</v>
      </c>
      <c r="R565" t="s">
        <v>4903</v>
      </c>
      <c r="S565" t="s">
        <v>231</v>
      </c>
      <c r="T565" t="s">
        <v>231</v>
      </c>
      <c r="U565" t="s">
        <v>101</v>
      </c>
      <c r="V565" t="s">
        <v>231</v>
      </c>
      <c r="W565" t="s">
        <v>231</v>
      </c>
      <c r="X565" t="s">
        <v>3628</v>
      </c>
      <c r="Y565" t="s">
        <v>231</v>
      </c>
      <c r="Z565" t="s">
        <v>151</v>
      </c>
      <c r="AA565" t="s">
        <v>151</v>
      </c>
      <c r="AB565" t="s">
        <v>160</v>
      </c>
      <c r="AC565" t="s">
        <v>2691</v>
      </c>
      <c r="AD565" t="s">
        <v>2691</v>
      </c>
      <c r="AE565" t="s">
        <v>2692</v>
      </c>
      <c r="AF565" t="s">
        <v>3991</v>
      </c>
      <c r="AG565" t="s">
        <v>3992</v>
      </c>
      <c r="AH565" t="s">
        <v>4113</v>
      </c>
      <c r="AI565" t="s">
        <v>151</v>
      </c>
      <c r="AJ565" t="s">
        <v>231</v>
      </c>
      <c r="AK565" t="s">
        <v>231</v>
      </c>
      <c r="AL565" t="s">
        <v>231</v>
      </c>
      <c r="AM565" t="s">
        <v>231</v>
      </c>
      <c r="AN565" t="s">
        <v>231</v>
      </c>
      <c r="AO565" t="s">
        <v>231</v>
      </c>
      <c r="AP565" t="s">
        <v>231</v>
      </c>
      <c r="AQ565" t="s">
        <v>231</v>
      </c>
      <c r="AR565" t="s">
        <v>231</v>
      </c>
      <c r="AS565" t="s">
        <v>231</v>
      </c>
      <c r="AT565" t="s">
        <v>231</v>
      </c>
      <c r="AU565" t="s">
        <v>231</v>
      </c>
      <c r="AV565" t="s">
        <v>231</v>
      </c>
      <c r="AW565" t="s">
        <v>231</v>
      </c>
      <c r="AX565" t="s">
        <v>231</v>
      </c>
      <c r="AY565" t="s">
        <v>231</v>
      </c>
      <c r="AZ565" t="s">
        <v>231</v>
      </c>
      <c r="BA565" t="s">
        <v>231</v>
      </c>
      <c r="BB565" t="s">
        <v>231</v>
      </c>
      <c r="BC565" t="s">
        <v>231</v>
      </c>
      <c r="BD565" t="s">
        <v>231</v>
      </c>
      <c r="BE565" t="s">
        <v>4904</v>
      </c>
      <c r="BF565" t="s">
        <v>4905</v>
      </c>
      <c r="BG565" t="s">
        <v>111</v>
      </c>
      <c r="BH565" t="s">
        <v>3632</v>
      </c>
      <c r="BI565" t="s">
        <v>122</v>
      </c>
      <c r="BJ565" t="s">
        <v>231</v>
      </c>
      <c r="BK565" t="s">
        <v>4906</v>
      </c>
      <c r="BL565" t="s">
        <v>2691</v>
      </c>
      <c r="BM565" t="s">
        <v>2691</v>
      </c>
      <c r="BN565" t="s">
        <v>4116</v>
      </c>
      <c r="BO565" t="s">
        <v>3991</v>
      </c>
      <c r="BP565" t="s">
        <v>4117</v>
      </c>
      <c r="BQ565" t="s">
        <v>4907</v>
      </c>
      <c r="BR565" t="s">
        <v>482</v>
      </c>
      <c r="BS565" t="s">
        <v>231</v>
      </c>
      <c r="BT565" t="s">
        <v>3637</v>
      </c>
      <c r="BU565" t="s">
        <v>4908</v>
      </c>
      <c r="BV565" t="s">
        <v>4909</v>
      </c>
      <c r="BW565" t="s">
        <v>4910</v>
      </c>
      <c r="BX565" t="s">
        <v>4911</v>
      </c>
      <c r="BY565" t="s">
        <v>3641</v>
      </c>
      <c r="BZ565" t="s">
        <v>3641</v>
      </c>
      <c r="CA565" t="s">
        <v>3641</v>
      </c>
      <c r="CB565" t="s">
        <v>3641</v>
      </c>
      <c r="CC565" t="s">
        <v>3641</v>
      </c>
      <c r="CD565" t="s">
        <v>3641</v>
      </c>
      <c r="CE565" t="s">
        <v>3641</v>
      </c>
      <c r="CF565" t="s">
        <v>3641</v>
      </c>
      <c r="CG565" t="s">
        <v>3641</v>
      </c>
      <c r="CH565" t="s">
        <v>3641</v>
      </c>
      <c r="CI565" t="s">
        <v>3641</v>
      </c>
      <c r="CJ565" t="s">
        <v>3641</v>
      </c>
      <c r="CK565" t="s">
        <v>3641</v>
      </c>
      <c r="CL565" t="s">
        <v>3641</v>
      </c>
      <c r="CM565" t="s">
        <v>4908</v>
      </c>
      <c r="CN565" t="s">
        <v>4909</v>
      </c>
      <c r="CO565" t="s">
        <v>4910</v>
      </c>
      <c r="CP565" t="s">
        <v>4911</v>
      </c>
      <c r="CQ565" t="s">
        <v>3641</v>
      </c>
      <c r="CR565" t="s">
        <v>3641</v>
      </c>
      <c r="CS565" t="s">
        <v>4573</v>
      </c>
      <c r="CT565" t="s">
        <v>3534</v>
      </c>
      <c r="CU565" t="s">
        <v>3535</v>
      </c>
      <c r="CV565" t="s">
        <v>3997</v>
      </c>
      <c r="CW565" t="s">
        <v>3998</v>
      </c>
      <c r="CX565" t="s">
        <v>3570</v>
      </c>
      <c r="CY565" t="s">
        <v>3997</v>
      </c>
      <c r="CZ565" t="s">
        <v>3575</v>
      </c>
      <c r="DA565" t="s">
        <v>3999</v>
      </c>
      <c r="DB565" t="s">
        <v>3643</v>
      </c>
      <c r="DC565" t="s">
        <v>363</v>
      </c>
      <c r="DD565" t="s">
        <v>282</v>
      </c>
      <c r="DE565" t="s">
        <v>4123</v>
      </c>
    </row>
    <row r="566" spans="1:109" ht="11.25" customHeight="1">
      <c r="A566" s="1314" t="s">
        <v>231</v>
      </c>
      <c r="B566" t="s">
        <v>231</v>
      </c>
      <c r="C566" t="s">
        <v>231</v>
      </c>
      <c r="D566" t="s">
        <v>231</v>
      </c>
      <c r="E566" t="s">
        <v>231</v>
      </c>
      <c r="F566" t="s">
        <v>231</v>
      </c>
      <c r="G566" t="s">
        <v>231</v>
      </c>
      <c r="H566" t="s">
        <v>231</v>
      </c>
      <c r="I566" t="s">
        <v>3521</v>
      </c>
      <c r="J566" t="s">
        <v>231</v>
      </c>
      <c r="K566" t="s">
        <v>231</v>
      </c>
      <c r="L566" t="s">
        <v>231</v>
      </c>
      <c r="M566" t="s">
        <v>231</v>
      </c>
      <c r="N566" t="s">
        <v>231</v>
      </c>
      <c r="O566" t="s">
        <v>231</v>
      </c>
      <c r="P566" t="s">
        <v>231</v>
      </c>
      <c r="Q566" t="s">
        <v>231</v>
      </c>
      <c r="R566" t="s">
        <v>4912</v>
      </c>
      <c r="S566" t="s">
        <v>231</v>
      </c>
      <c r="T566" t="s">
        <v>231</v>
      </c>
      <c r="U566" t="s">
        <v>101</v>
      </c>
      <c r="V566" t="s">
        <v>231</v>
      </c>
      <c r="W566" t="s">
        <v>231</v>
      </c>
      <c r="X566" t="s">
        <v>3628</v>
      </c>
      <c r="Y566" t="s">
        <v>231</v>
      </c>
      <c r="Z566" t="s">
        <v>151</v>
      </c>
      <c r="AA566" t="s">
        <v>151</v>
      </c>
      <c r="AB566" t="s">
        <v>160</v>
      </c>
      <c r="AC566" t="s">
        <v>2691</v>
      </c>
      <c r="AD566" t="s">
        <v>2691</v>
      </c>
      <c r="AE566" t="s">
        <v>2692</v>
      </c>
      <c r="AF566" t="s">
        <v>3991</v>
      </c>
      <c r="AG566" t="s">
        <v>3992</v>
      </c>
      <c r="AH566" t="s">
        <v>4113</v>
      </c>
      <c r="AI566" t="s">
        <v>151</v>
      </c>
      <c r="AJ566" t="s">
        <v>231</v>
      </c>
      <c r="AK566" t="s">
        <v>231</v>
      </c>
      <c r="AL566" t="s">
        <v>231</v>
      </c>
      <c r="AM566" t="s">
        <v>231</v>
      </c>
      <c r="AN566" t="s">
        <v>231</v>
      </c>
      <c r="AO566" t="s">
        <v>231</v>
      </c>
      <c r="AP566" t="s">
        <v>231</v>
      </c>
      <c r="AQ566" t="s">
        <v>231</v>
      </c>
      <c r="AR566" t="s">
        <v>231</v>
      </c>
      <c r="AS566" t="s">
        <v>231</v>
      </c>
      <c r="AT566" t="s">
        <v>231</v>
      </c>
      <c r="AU566" t="s">
        <v>231</v>
      </c>
      <c r="AV566" t="s">
        <v>231</v>
      </c>
      <c r="AW566" t="s">
        <v>231</v>
      </c>
      <c r="AX566" t="s">
        <v>231</v>
      </c>
      <c r="AY566" t="s">
        <v>231</v>
      </c>
      <c r="AZ566" t="s">
        <v>231</v>
      </c>
      <c r="BA566" t="s">
        <v>231</v>
      </c>
      <c r="BB566" t="s">
        <v>231</v>
      </c>
      <c r="BC566" t="s">
        <v>231</v>
      </c>
      <c r="BD566" t="s">
        <v>231</v>
      </c>
      <c r="BE566" t="s">
        <v>3994</v>
      </c>
      <c r="BF566" t="s">
        <v>4263</v>
      </c>
      <c r="BG566" t="s">
        <v>111</v>
      </c>
      <c r="BH566" t="s">
        <v>3632</v>
      </c>
      <c r="BI566" t="s">
        <v>122</v>
      </c>
      <c r="BJ566" t="s">
        <v>231</v>
      </c>
      <c r="BK566" t="s">
        <v>4262</v>
      </c>
      <c r="BL566" t="s">
        <v>2691</v>
      </c>
      <c r="BM566" t="s">
        <v>2691</v>
      </c>
      <c r="BN566" t="s">
        <v>4116</v>
      </c>
      <c r="BO566" t="s">
        <v>3991</v>
      </c>
      <c r="BP566" t="s">
        <v>4117</v>
      </c>
      <c r="BQ566" t="s">
        <v>4913</v>
      </c>
      <c r="BR566" t="s">
        <v>151</v>
      </c>
      <c r="BS566" t="s">
        <v>231</v>
      </c>
      <c r="BT566" t="s">
        <v>3637</v>
      </c>
      <c r="BU566" t="s">
        <v>4914</v>
      </c>
      <c r="BV566" t="s">
        <v>4915</v>
      </c>
      <c r="BW566" t="s">
        <v>4916</v>
      </c>
      <c r="BX566" t="s">
        <v>3641</v>
      </c>
      <c r="BY566" t="s">
        <v>3641</v>
      </c>
      <c r="BZ566" t="s">
        <v>3641</v>
      </c>
      <c r="CA566" t="s">
        <v>3641</v>
      </c>
      <c r="CB566" t="s">
        <v>3641</v>
      </c>
      <c r="CC566" t="s">
        <v>3641</v>
      </c>
      <c r="CD566" t="s">
        <v>3641</v>
      </c>
      <c r="CE566" t="s">
        <v>3641</v>
      </c>
      <c r="CF566" t="s">
        <v>3641</v>
      </c>
      <c r="CG566" t="s">
        <v>3641</v>
      </c>
      <c r="CH566" t="s">
        <v>3641</v>
      </c>
      <c r="CI566" t="s">
        <v>3641</v>
      </c>
      <c r="CJ566" t="s">
        <v>3641</v>
      </c>
      <c r="CK566" t="s">
        <v>3641</v>
      </c>
      <c r="CL566" t="s">
        <v>3641</v>
      </c>
      <c r="CM566" t="s">
        <v>4914</v>
      </c>
      <c r="CN566" t="s">
        <v>4915</v>
      </c>
      <c r="CO566" t="s">
        <v>4916</v>
      </c>
      <c r="CP566" t="s">
        <v>3641</v>
      </c>
      <c r="CQ566" t="s">
        <v>3641</v>
      </c>
      <c r="CR566" t="s">
        <v>3641</v>
      </c>
      <c r="CS566" t="s">
        <v>4917</v>
      </c>
      <c r="CT566" t="s">
        <v>3534</v>
      </c>
      <c r="CU566" t="s">
        <v>3535</v>
      </c>
      <c r="CV566" t="s">
        <v>3997</v>
      </c>
      <c r="CW566" t="s">
        <v>3998</v>
      </c>
      <c r="CX566" t="s">
        <v>3570</v>
      </c>
      <c r="CY566" t="s">
        <v>3997</v>
      </c>
      <c r="CZ566" t="s">
        <v>3575</v>
      </c>
      <c r="DA566" t="s">
        <v>3999</v>
      </c>
      <c r="DB566" t="s">
        <v>3643</v>
      </c>
      <c r="DC566" t="s">
        <v>363</v>
      </c>
      <c r="DD566" t="s">
        <v>282</v>
      </c>
      <c r="DE566" t="s">
        <v>4123</v>
      </c>
    </row>
    <row r="567" spans="1:109" ht="11.25" customHeight="1">
      <c r="A567" s="1314" t="s">
        <v>231</v>
      </c>
      <c r="B567" t="s">
        <v>231</v>
      </c>
      <c r="C567" t="s">
        <v>231</v>
      </c>
      <c r="D567" t="s">
        <v>231</v>
      </c>
      <c r="E567" t="s">
        <v>231</v>
      </c>
      <c r="F567" t="s">
        <v>231</v>
      </c>
      <c r="G567" t="s">
        <v>231</v>
      </c>
      <c r="H567" t="s">
        <v>231</v>
      </c>
      <c r="I567" t="s">
        <v>3521</v>
      </c>
      <c r="J567" t="s">
        <v>231</v>
      </c>
      <c r="K567" t="s">
        <v>231</v>
      </c>
      <c r="L567" t="s">
        <v>231</v>
      </c>
      <c r="M567" t="s">
        <v>231</v>
      </c>
      <c r="N567" t="s">
        <v>231</v>
      </c>
      <c r="O567" t="s">
        <v>231</v>
      </c>
      <c r="P567" t="s">
        <v>231</v>
      </c>
      <c r="Q567" t="s">
        <v>231</v>
      </c>
      <c r="R567" t="s">
        <v>3685</v>
      </c>
      <c r="S567" t="s">
        <v>231</v>
      </c>
      <c r="T567" t="s">
        <v>231</v>
      </c>
      <c r="U567" t="s">
        <v>101</v>
      </c>
      <c r="V567" t="s">
        <v>231</v>
      </c>
      <c r="W567" t="s">
        <v>231</v>
      </c>
      <c r="X567" t="s">
        <v>3628</v>
      </c>
      <c r="Y567" t="s">
        <v>231</v>
      </c>
      <c r="Z567" t="s">
        <v>151</v>
      </c>
      <c r="AA567" t="s">
        <v>151</v>
      </c>
      <c r="AB567" t="s">
        <v>160</v>
      </c>
      <c r="AC567" t="s">
        <v>2283</v>
      </c>
      <c r="AD567" t="s">
        <v>2283</v>
      </c>
      <c r="AE567" t="s">
        <v>2284</v>
      </c>
      <c r="AF567" t="s">
        <v>3652</v>
      </c>
      <c r="AG567" t="s">
        <v>3653</v>
      </c>
      <c r="AH567" t="s">
        <v>3652</v>
      </c>
      <c r="AI567" t="s">
        <v>3688</v>
      </c>
      <c r="AJ567" t="s">
        <v>231</v>
      </c>
      <c r="AK567" t="s">
        <v>231</v>
      </c>
      <c r="AL567" t="s">
        <v>231</v>
      </c>
      <c r="AM567" t="s">
        <v>231</v>
      </c>
      <c r="AN567" t="s">
        <v>231</v>
      </c>
      <c r="AO567" t="s">
        <v>231</v>
      </c>
      <c r="AP567" t="s">
        <v>231</v>
      </c>
      <c r="AQ567" t="s">
        <v>231</v>
      </c>
      <c r="AR567" t="s">
        <v>231</v>
      </c>
      <c r="AS567" t="s">
        <v>231</v>
      </c>
      <c r="AT567" t="s">
        <v>231</v>
      </c>
      <c r="AU567" t="s">
        <v>231</v>
      </c>
      <c r="AV567" t="s">
        <v>231</v>
      </c>
      <c r="AW567" t="s">
        <v>231</v>
      </c>
      <c r="AX567" t="s">
        <v>231</v>
      </c>
      <c r="AY567" t="s">
        <v>231</v>
      </c>
      <c r="AZ567" t="s">
        <v>231</v>
      </c>
      <c r="BA567" t="s">
        <v>231</v>
      </c>
      <c r="BB567" t="s">
        <v>231</v>
      </c>
      <c r="BC567" t="s">
        <v>231</v>
      </c>
      <c r="BD567" t="s">
        <v>231</v>
      </c>
      <c r="BE567" t="s">
        <v>3689</v>
      </c>
      <c r="BF567" t="s">
        <v>3689</v>
      </c>
      <c r="BG567" t="s">
        <v>111</v>
      </c>
      <c r="BH567" t="s">
        <v>3632</v>
      </c>
      <c r="BI567" t="s">
        <v>122</v>
      </c>
      <c r="BJ567" t="s">
        <v>231</v>
      </c>
      <c r="BK567" t="s">
        <v>3651</v>
      </c>
      <c r="BL567" t="s">
        <v>2283</v>
      </c>
      <c r="BM567" t="s">
        <v>2283</v>
      </c>
      <c r="BN567" t="s">
        <v>3690</v>
      </c>
      <c r="BO567" t="s">
        <v>3652</v>
      </c>
      <c r="BP567" t="s">
        <v>4126</v>
      </c>
      <c r="BQ567" t="s">
        <v>4127</v>
      </c>
      <c r="BR567" t="s">
        <v>3655</v>
      </c>
      <c r="BS567" t="s">
        <v>231</v>
      </c>
      <c r="BT567" t="s">
        <v>3694</v>
      </c>
      <c r="BU567" t="s">
        <v>4128</v>
      </c>
      <c r="BV567" t="s">
        <v>4128</v>
      </c>
      <c r="BW567" t="s">
        <v>3641</v>
      </c>
      <c r="BX567" t="s">
        <v>3641</v>
      </c>
      <c r="BY567" t="s">
        <v>3641</v>
      </c>
      <c r="BZ567" t="s">
        <v>3641</v>
      </c>
      <c r="CA567" t="s">
        <v>3641</v>
      </c>
      <c r="CB567" t="s">
        <v>231</v>
      </c>
      <c r="CC567" t="s">
        <v>231</v>
      </c>
      <c r="CD567" t="s">
        <v>231</v>
      </c>
      <c r="CE567" t="s">
        <v>231</v>
      </c>
      <c r="CF567" t="s">
        <v>231</v>
      </c>
      <c r="CG567" t="s">
        <v>3641</v>
      </c>
      <c r="CH567" t="s">
        <v>231</v>
      </c>
      <c r="CI567" t="s">
        <v>231</v>
      </c>
      <c r="CJ567" t="s">
        <v>231</v>
      </c>
      <c r="CK567" t="s">
        <v>231</v>
      </c>
      <c r="CL567" t="s">
        <v>231</v>
      </c>
      <c r="CM567" t="s">
        <v>4128</v>
      </c>
      <c r="CN567" t="s">
        <v>4128</v>
      </c>
      <c r="CO567" t="s">
        <v>231</v>
      </c>
      <c r="CP567" t="s">
        <v>231</v>
      </c>
      <c r="CQ567" t="s">
        <v>231</v>
      </c>
      <c r="CR567" t="s">
        <v>231</v>
      </c>
      <c r="CS567" t="s">
        <v>3549</v>
      </c>
      <c r="CT567" t="s">
        <v>3534</v>
      </c>
      <c r="CU567" t="s">
        <v>3535</v>
      </c>
      <c r="CV567" t="s">
        <v>3536</v>
      </c>
      <c r="CW567" t="s">
        <v>3551</v>
      </c>
      <c r="CX567" t="s">
        <v>223</v>
      </c>
      <c r="CY567" t="s">
        <v>3536</v>
      </c>
      <c r="CZ567" t="s">
        <v>3552</v>
      </c>
      <c r="DA567" t="s">
        <v>3553</v>
      </c>
      <c r="DB567" t="s">
        <v>3551</v>
      </c>
      <c r="DC567" t="s">
        <v>363</v>
      </c>
      <c r="DD567" t="s">
        <v>282</v>
      </c>
      <c r="DE567" t="s">
        <v>4129</v>
      </c>
    </row>
    <row r="568" spans="1:109" ht="11.25" customHeight="1">
      <c r="A568" s="1314" t="s">
        <v>231</v>
      </c>
      <c r="B568" t="s">
        <v>231</v>
      </c>
      <c r="C568" t="s">
        <v>231</v>
      </c>
      <c r="D568" t="s">
        <v>231</v>
      </c>
      <c r="E568" t="s">
        <v>231</v>
      </c>
      <c r="F568" t="s">
        <v>231</v>
      </c>
      <c r="G568" t="s">
        <v>231</v>
      </c>
      <c r="H568" t="s">
        <v>231</v>
      </c>
      <c r="I568" t="s">
        <v>3521</v>
      </c>
      <c r="J568" t="s">
        <v>231</v>
      </c>
      <c r="K568" t="s">
        <v>231</v>
      </c>
      <c r="L568" t="s">
        <v>231</v>
      </c>
      <c r="M568" t="s">
        <v>231</v>
      </c>
      <c r="N568" t="s">
        <v>231</v>
      </c>
      <c r="O568" t="s">
        <v>231</v>
      </c>
      <c r="P568" t="s">
        <v>231</v>
      </c>
      <c r="Q568" t="s">
        <v>231</v>
      </c>
      <c r="R568" t="s">
        <v>4320</v>
      </c>
      <c r="S568" t="s">
        <v>231</v>
      </c>
      <c r="T568" t="s">
        <v>231</v>
      </c>
      <c r="U568" t="s">
        <v>101</v>
      </c>
      <c r="V568" t="s">
        <v>231</v>
      </c>
      <c r="W568" t="s">
        <v>231</v>
      </c>
      <c r="X568" t="s">
        <v>3523</v>
      </c>
      <c r="Y568" t="s">
        <v>231</v>
      </c>
      <c r="Z568" t="s">
        <v>160</v>
      </c>
      <c r="AA568" t="s">
        <v>151</v>
      </c>
      <c r="AB568" t="s">
        <v>151</v>
      </c>
      <c r="AC568" t="s">
        <v>2283</v>
      </c>
      <c r="AD568" t="s">
        <v>2283</v>
      </c>
      <c r="AE568" t="s">
        <v>2284</v>
      </c>
      <c r="AF568" t="s">
        <v>3652</v>
      </c>
      <c r="AG568" t="s">
        <v>3653</v>
      </c>
      <c r="AH568" t="s">
        <v>3544</v>
      </c>
      <c r="AI568" t="s">
        <v>4321</v>
      </c>
      <c r="AJ568" t="s">
        <v>4322</v>
      </c>
      <c r="AK568" t="s">
        <v>3775</v>
      </c>
      <c r="AL568" t="s">
        <v>3548</v>
      </c>
      <c r="AM568" t="s">
        <v>3531</v>
      </c>
      <c r="AN568" t="s">
        <v>3549</v>
      </c>
      <c r="AO568" t="s">
        <v>3656</v>
      </c>
      <c r="AP568" t="s">
        <v>231</v>
      </c>
      <c r="AQ568" t="s">
        <v>231</v>
      </c>
      <c r="AR568" t="s">
        <v>231</v>
      </c>
      <c r="AS568" t="s">
        <v>231</v>
      </c>
      <c r="AT568" t="s">
        <v>231</v>
      </c>
      <c r="AU568" t="s">
        <v>231</v>
      </c>
      <c r="AV568" t="s">
        <v>231</v>
      </c>
      <c r="AW568" t="s">
        <v>231</v>
      </c>
      <c r="AX568" t="s">
        <v>231</v>
      </c>
      <c r="AY568" t="s">
        <v>231</v>
      </c>
      <c r="AZ568" t="s">
        <v>231</v>
      </c>
      <c r="BA568" t="s">
        <v>231</v>
      </c>
      <c r="BB568" t="s">
        <v>231</v>
      </c>
      <c r="BC568" t="s">
        <v>231</v>
      </c>
      <c r="BD568" t="s">
        <v>231</v>
      </c>
      <c r="BE568" t="s">
        <v>231</v>
      </c>
      <c r="BF568" t="s">
        <v>231</v>
      </c>
      <c r="BG568" t="s">
        <v>231</v>
      </c>
      <c r="BH568" t="s">
        <v>231</v>
      </c>
      <c r="BI568" t="s">
        <v>231</v>
      </c>
      <c r="BJ568" t="s">
        <v>231</v>
      </c>
      <c r="BK568" t="s">
        <v>231</v>
      </c>
      <c r="BL568" t="s">
        <v>231</v>
      </c>
      <c r="BM568" t="s">
        <v>231</v>
      </c>
      <c r="BN568" t="s">
        <v>231</v>
      </c>
      <c r="BO568" t="s">
        <v>231</v>
      </c>
      <c r="BP568" t="s">
        <v>231</v>
      </c>
      <c r="BQ568" t="s">
        <v>231</v>
      </c>
      <c r="BR568" t="s">
        <v>231</v>
      </c>
      <c r="BS568" t="s">
        <v>231</v>
      </c>
      <c r="BT568" t="s">
        <v>231</v>
      </c>
      <c r="BU568" t="s">
        <v>231</v>
      </c>
      <c r="BV568" t="s">
        <v>231</v>
      </c>
      <c r="BW568" t="s">
        <v>231</v>
      </c>
      <c r="BX568" t="s">
        <v>231</v>
      </c>
      <c r="BY568" t="s">
        <v>231</v>
      </c>
      <c r="BZ568" t="s">
        <v>231</v>
      </c>
      <c r="CA568" t="s">
        <v>231</v>
      </c>
      <c r="CB568" t="s">
        <v>231</v>
      </c>
      <c r="CC568" t="s">
        <v>231</v>
      </c>
      <c r="CD568" t="s">
        <v>231</v>
      </c>
      <c r="CE568" t="s">
        <v>231</v>
      </c>
      <c r="CF568" t="s">
        <v>231</v>
      </c>
      <c r="CG568" t="s">
        <v>231</v>
      </c>
      <c r="CH568" t="s">
        <v>231</v>
      </c>
      <c r="CI568" t="s">
        <v>231</v>
      </c>
      <c r="CJ568" t="s">
        <v>231</v>
      </c>
      <c r="CK568" t="s">
        <v>231</v>
      </c>
      <c r="CL568" t="s">
        <v>231</v>
      </c>
      <c r="CM568" t="s">
        <v>231</v>
      </c>
      <c r="CN568" t="s">
        <v>231</v>
      </c>
      <c r="CO568" t="s">
        <v>231</v>
      </c>
      <c r="CP568" t="s">
        <v>231</v>
      </c>
      <c r="CQ568" t="s">
        <v>231</v>
      </c>
      <c r="CR568" t="s">
        <v>231</v>
      </c>
      <c r="CS568" t="s">
        <v>231</v>
      </c>
      <c r="CT568" t="s">
        <v>3534</v>
      </c>
      <c r="CU568" t="s">
        <v>3535</v>
      </c>
      <c r="CV568" t="s">
        <v>3536</v>
      </c>
      <c r="CW568" t="s">
        <v>3551</v>
      </c>
      <c r="CX568" t="s">
        <v>223</v>
      </c>
      <c r="CY568" t="s">
        <v>3536</v>
      </c>
      <c r="CZ568" t="s">
        <v>3552</v>
      </c>
      <c r="DA568" t="s">
        <v>3553</v>
      </c>
      <c r="DB568" t="s">
        <v>3551</v>
      </c>
      <c r="DC568" t="s">
        <v>363</v>
      </c>
      <c r="DD568" t="s">
        <v>282</v>
      </c>
      <c r="DE568" t="s">
        <v>4323</v>
      </c>
    </row>
    <row r="569" spans="1:109" ht="11.25" customHeight="1">
      <c r="A569" s="1314" t="s">
        <v>231</v>
      </c>
      <c r="B569" t="s">
        <v>231</v>
      </c>
      <c r="C569" t="s">
        <v>231</v>
      </c>
      <c r="D569" t="s">
        <v>231</v>
      </c>
      <c r="E569" t="s">
        <v>231</v>
      </c>
      <c r="F569" t="s">
        <v>231</v>
      </c>
      <c r="G569" t="s">
        <v>231</v>
      </c>
      <c r="H569" t="s">
        <v>231</v>
      </c>
      <c r="I569" t="s">
        <v>3521</v>
      </c>
      <c r="J569" t="s">
        <v>231</v>
      </c>
      <c r="K569" t="s">
        <v>231</v>
      </c>
      <c r="L569" t="s">
        <v>231</v>
      </c>
      <c r="M569" t="s">
        <v>231</v>
      </c>
      <c r="N569" t="s">
        <v>231</v>
      </c>
      <c r="O569" t="s">
        <v>231</v>
      </c>
      <c r="P569" t="s">
        <v>231</v>
      </c>
      <c r="Q569" t="s">
        <v>231</v>
      </c>
      <c r="R569" t="s">
        <v>4376</v>
      </c>
      <c r="S569" t="s">
        <v>231</v>
      </c>
      <c r="T569" t="s">
        <v>231</v>
      </c>
      <c r="U569" t="s">
        <v>101</v>
      </c>
      <c r="V569" t="s">
        <v>231</v>
      </c>
      <c r="W569" t="s">
        <v>231</v>
      </c>
      <c r="X569" t="s">
        <v>3628</v>
      </c>
      <c r="Y569" t="s">
        <v>231</v>
      </c>
      <c r="Z569" t="s">
        <v>151</v>
      </c>
      <c r="AA569" t="s">
        <v>151</v>
      </c>
      <c r="AB569" t="s">
        <v>160</v>
      </c>
      <c r="AC569" t="s">
        <v>2283</v>
      </c>
      <c r="AD569" t="s">
        <v>2283</v>
      </c>
      <c r="AE569" t="s">
        <v>2284</v>
      </c>
      <c r="AF569" t="s">
        <v>4377</v>
      </c>
      <c r="AG569" t="s">
        <v>4378</v>
      </c>
      <c r="AH569" t="s">
        <v>4379</v>
      </c>
      <c r="AI569" t="s">
        <v>4380</v>
      </c>
      <c r="AJ569" t="s">
        <v>231</v>
      </c>
      <c r="AK569" t="s">
        <v>231</v>
      </c>
      <c r="AL569" t="s">
        <v>231</v>
      </c>
      <c r="AM569" t="s">
        <v>231</v>
      </c>
      <c r="AN569" t="s">
        <v>231</v>
      </c>
      <c r="AO569" t="s">
        <v>231</v>
      </c>
      <c r="AP569" t="s">
        <v>231</v>
      </c>
      <c r="AQ569" t="s">
        <v>231</v>
      </c>
      <c r="AR569" t="s">
        <v>231</v>
      </c>
      <c r="AS569" t="s">
        <v>231</v>
      </c>
      <c r="AT569" t="s">
        <v>231</v>
      </c>
      <c r="AU569" t="s">
        <v>231</v>
      </c>
      <c r="AV569" t="s">
        <v>231</v>
      </c>
      <c r="AW569" t="s">
        <v>231</v>
      </c>
      <c r="AX569" t="s">
        <v>231</v>
      </c>
      <c r="AY569" t="s">
        <v>231</v>
      </c>
      <c r="AZ569" t="s">
        <v>231</v>
      </c>
      <c r="BA569" t="s">
        <v>231</v>
      </c>
      <c r="BB569" t="s">
        <v>231</v>
      </c>
      <c r="BC569" t="s">
        <v>231</v>
      </c>
      <c r="BD569" t="s">
        <v>231</v>
      </c>
      <c r="BE569" t="s">
        <v>3689</v>
      </c>
      <c r="BF569" t="s">
        <v>3689</v>
      </c>
      <c r="BG569" t="s">
        <v>111</v>
      </c>
      <c r="BH569" t="s">
        <v>3632</v>
      </c>
      <c r="BI569" t="s">
        <v>122</v>
      </c>
      <c r="BJ569" t="s">
        <v>231</v>
      </c>
      <c r="BK569" t="s">
        <v>3651</v>
      </c>
      <c r="BL569" t="s">
        <v>2283</v>
      </c>
      <c r="BM569" t="s">
        <v>2283</v>
      </c>
      <c r="BN569" t="s">
        <v>3690</v>
      </c>
      <c r="BO569" t="s">
        <v>4377</v>
      </c>
      <c r="BP569" t="s">
        <v>4381</v>
      </c>
      <c r="BQ569" t="s">
        <v>4382</v>
      </c>
      <c r="BR569" t="s">
        <v>4383</v>
      </c>
      <c r="BS569" t="s">
        <v>231</v>
      </c>
      <c r="BT569" t="s">
        <v>3694</v>
      </c>
      <c r="BU569" t="s">
        <v>4384</v>
      </c>
      <c r="BV569" t="s">
        <v>4384</v>
      </c>
      <c r="BW569" t="s">
        <v>3641</v>
      </c>
      <c r="BX569" t="s">
        <v>3641</v>
      </c>
      <c r="BY569" t="s">
        <v>3641</v>
      </c>
      <c r="BZ569" t="s">
        <v>3641</v>
      </c>
      <c r="CA569" t="s">
        <v>3641</v>
      </c>
      <c r="CB569" t="s">
        <v>231</v>
      </c>
      <c r="CC569" t="s">
        <v>231</v>
      </c>
      <c r="CD569" t="s">
        <v>231</v>
      </c>
      <c r="CE569" t="s">
        <v>231</v>
      </c>
      <c r="CF569" t="s">
        <v>231</v>
      </c>
      <c r="CG569" t="s">
        <v>3641</v>
      </c>
      <c r="CH569" t="s">
        <v>231</v>
      </c>
      <c r="CI569" t="s">
        <v>231</v>
      </c>
      <c r="CJ569" t="s">
        <v>231</v>
      </c>
      <c r="CK569" t="s">
        <v>231</v>
      </c>
      <c r="CL569" t="s">
        <v>231</v>
      </c>
      <c r="CM569" t="s">
        <v>4384</v>
      </c>
      <c r="CN569" t="s">
        <v>4384</v>
      </c>
      <c r="CO569" t="s">
        <v>231</v>
      </c>
      <c r="CP569" t="s">
        <v>231</v>
      </c>
      <c r="CQ569" t="s">
        <v>231</v>
      </c>
      <c r="CR569" t="s">
        <v>231</v>
      </c>
      <c r="CS569" t="s">
        <v>3549</v>
      </c>
      <c r="CT569" t="s">
        <v>3534</v>
      </c>
      <c r="CU569" t="s">
        <v>3535</v>
      </c>
      <c r="CV569" t="s">
        <v>3536</v>
      </c>
      <c r="CW569" t="s">
        <v>3551</v>
      </c>
      <c r="CX569" t="s">
        <v>223</v>
      </c>
      <c r="CY569" t="s">
        <v>3536</v>
      </c>
      <c r="CZ569" t="s">
        <v>3552</v>
      </c>
      <c r="DA569" t="s">
        <v>3553</v>
      </c>
      <c r="DB569" t="s">
        <v>3551</v>
      </c>
      <c r="DC569" t="s">
        <v>363</v>
      </c>
      <c r="DD569" t="s">
        <v>282</v>
      </c>
      <c r="DE569" t="s">
        <v>4385</v>
      </c>
    </row>
    <row r="570" spans="1:109" ht="11.25" customHeight="1">
      <c r="A570" s="1314" t="s">
        <v>231</v>
      </c>
      <c r="B570" t="s">
        <v>231</v>
      </c>
      <c r="C570" t="s">
        <v>231</v>
      </c>
      <c r="D570" t="s">
        <v>231</v>
      </c>
      <c r="E570" t="s">
        <v>231</v>
      </c>
      <c r="F570" t="s">
        <v>231</v>
      </c>
      <c r="G570" t="s">
        <v>231</v>
      </c>
      <c r="H570" t="s">
        <v>231</v>
      </c>
      <c r="I570" t="s">
        <v>3521</v>
      </c>
      <c r="J570" t="s">
        <v>231</v>
      </c>
      <c r="K570" t="s">
        <v>231</v>
      </c>
      <c r="L570" t="s">
        <v>231</v>
      </c>
      <c r="M570" t="s">
        <v>231</v>
      </c>
      <c r="N570" t="s">
        <v>231</v>
      </c>
      <c r="O570" t="s">
        <v>231</v>
      </c>
      <c r="P570" t="s">
        <v>231</v>
      </c>
      <c r="Q570" t="s">
        <v>231</v>
      </c>
      <c r="R570" t="s">
        <v>3523</v>
      </c>
      <c r="S570" t="s">
        <v>231</v>
      </c>
      <c r="T570" t="s">
        <v>231</v>
      </c>
      <c r="U570" t="s">
        <v>101</v>
      </c>
      <c r="V570" t="s">
        <v>231</v>
      </c>
      <c r="W570" t="s">
        <v>231</v>
      </c>
      <c r="X570" t="s">
        <v>3523</v>
      </c>
      <c r="Y570" t="s">
        <v>231</v>
      </c>
      <c r="Z570" t="s">
        <v>160</v>
      </c>
      <c r="AA570" t="s">
        <v>151</v>
      </c>
      <c r="AB570" t="s">
        <v>151</v>
      </c>
      <c r="AC570" t="s">
        <v>2289</v>
      </c>
      <c r="AD570" t="s">
        <v>2289</v>
      </c>
      <c r="AE570" t="s">
        <v>2290</v>
      </c>
      <c r="AF570" t="s">
        <v>3793</v>
      </c>
      <c r="AG570" t="s">
        <v>3794</v>
      </c>
      <c r="AH570" t="s">
        <v>3728</v>
      </c>
      <c r="AI570" t="s">
        <v>4360</v>
      </c>
      <c r="AJ570" t="s">
        <v>3621</v>
      </c>
      <c r="AK570" t="s">
        <v>3587</v>
      </c>
      <c r="AL570" t="s">
        <v>4163</v>
      </c>
      <c r="AM570" t="s">
        <v>3531</v>
      </c>
      <c r="AN570" t="s">
        <v>3595</v>
      </c>
      <c r="AO570" t="s">
        <v>3796</v>
      </c>
      <c r="AP570" t="s">
        <v>231</v>
      </c>
      <c r="AQ570" t="s">
        <v>231</v>
      </c>
      <c r="AR570" t="s">
        <v>231</v>
      </c>
      <c r="AS570" t="s">
        <v>231</v>
      </c>
      <c r="AT570" t="s">
        <v>231</v>
      </c>
      <c r="AU570" t="s">
        <v>231</v>
      </c>
      <c r="AV570" t="s">
        <v>231</v>
      </c>
      <c r="AW570" t="s">
        <v>231</v>
      </c>
      <c r="AX570" t="s">
        <v>231</v>
      </c>
      <c r="AY570" t="s">
        <v>231</v>
      </c>
      <c r="AZ570" t="s">
        <v>231</v>
      </c>
      <c r="BA570" t="s">
        <v>231</v>
      </c>
      <c r="BB570" t="s">
        <v>231</v>
      </c>
      <c r="BC570" t="s">
        <v>231</v>
      </c>
      <c r="BD570" t="s">
        <v>231</v>
      </c>
      <c r="BE570" t="s">
        <v>231</v>
      </c>
      <c r="BF570" t="s">
        <v>231</v>
      </c>
      <c r="BG570" t="s">
        <v>231</v>
      </c>
      <c r="BH570" t="s">
        <v>231</v>
      </c>
      <c r="BI570" t="s">
        <v>231</v>
      </c>
      <c r="BJ570" t="s">
        <v>231</v>
      </c>
      <c r="BK570" t="s">
        <v>231</v>
      </c>
      <c r="BL570" t="s">
        <v>231</v>
      </c>
      <c r="BM570" t="s">
        <v>231</v>
      </c>
      <c r="BN570" t="s">
        <v>231</v>
      </c>
      <c r="BO570" t="s">
        <v>231</v>
      </c>
      <c r="BP570" t="s">
        <v>231</v>
      </c>
      <c r="BQ570" t="s">
        <v>231</v>
      </c>
      <c r="BR570" t="s">
        <v>231</v>
      </c>
      <c r="BS570" t="s">
        <v>231</v>
      </c>
      <c r="BT570" t="s">
        <v>231</v>
      </c>
      <c r="BU570" t="s">
        <v>231</v>
      </c>
      <c r="BV570" t="s">
        <v>231</v>
      </c>
      <c r="BW570" t="s">
        <v>231</v>
      </c>
      <c r="BX570" t="s">
        <v>231</v>
      </c>
      <c r="BY570" t="s">
        <v>231</v>
      </c>
      <c r="BZ570" t="s">
        <v>231</v>
      </c>
      <c r="CA570" t="s">
        <v>231</v>
      </c>
      <c r="CB570" t="s">
        <v>231</v>
      </c>
      <c r="CC570" t="s">
        <v>231</v>
      </c>
      <c r="CD570" t="s">
        <v>231</v>
      </c>
      <c r="CE570" t="s">
        <v>231</v>
      </c>
      <c r="CF570" t="s">
        <v>231</v>
      </c>
      <c r="CG570" t="s">
        <v>231</v>
      </c>
      <c r="CH570" t="s">
        <v>231</v>
      </c>
      <c r="CI570" t="s">
        <v>231</v>
      </c>
      <c r="CJ570" t="s">
        <v>231</v>
      </c>
      <c r="CK570" t="s">
        <v>231</v>
      </c>
      <c r="CL570" t="s">
        <v>231</v>
      </c>
      <c r="CM570" t="s">
        <v>231</v>
      </c>
      <c r="CN570" t="s">
        <v>231</v>
      </c>
      <c r="CO570" t="s">
        <v>231</v>
      </c>
      <c r="CP570" t="s">
        <v>231</v>
      </c>
      <c r="CQ570" t="s">
        <v>231</v>
      </c>
      <c r="CR570" t="s">
        <v>231</v>
      </c>
      <c r="CS570" t="s">
        <v>231</v>
      </c>
      <c r="CT570" t="s">
        <v>3534</v>
      </c>
      <c r="CU570" t="s">
        <v>3535</v>
      </c>
      <c r="CV570" t="s">
        <v>3536</v>
      </c>
      <c r="CW570" t="s">
        <v>3589</v>
      </c>
      <c r="CX570" t="s">
        <v>223</v>
      </c>
      <c r="CY570" t="s">
        <v>3536</v>
      </c>
      <c r="CZ570" t="s">
        <v>3590</v>
      </c>
      <c r="DA570" t="s">
        <v>3591</v>
      </c>
      <c r="DB570" t="s">
        <v>3589</v>
      </c>
      <c r="DC570" t="s">
        <v>363</v>
      </c>
      <c r="DD570" t="s">
        <v>282</v>
      </c>
      <c r="DE570" t="s">
        <v>4361</v>
      </c>
    </row>
    <row r="571" spans="1:109" ht="11.25" customHeight="1">
      <c r="A571" s="1314" t="s">
        <v>231</v>
      </c>
      <c r="B571" t="s">
        <v>231</v>
      </c>
      <c r="C571" t="s">
        <v>231</v>
      </c>
      <c r="D571" t="s">
        <v>231</v>
      </c>
      <c r="E571" t="s">
        <v>231</v>
      </c>
      <c r="F571" t="s">
        <v>231</v>
      </c>
      <c r="G571" t="s">
        <v>231</v>
      </c>
      <c r="H571" t="s">
        <v>231</v>
      </c>
      <c r="I571" t="s">
        <v>3521</v>
      </c>
      <c r="J571" t="s">
        <v>231</v>
      </c>
      <c r="K571" t="s">
        <v>231</v>
      </c>
      <c r="L571" t="s">
        <v>231</v>
      </c>
      <c r="M571" t="s">
        <v>231</v>
      </c>
      <c r="N571" t="s">
        <v>231</v>
      </c>
      <c r="O571" t="s">
        <v>231</v>
      </c>
      <c r="P571" t="s">
        <v>231</v>
      </c>
      <c r="Q571" t="s">
        <v>231</v>
      </c>
      <c r="R571" t="s">
        <v>4550</v>
      </c>
      <c r="S571" t="s">
        <v>231</v>
      </c>
      <c r="T571" t="s">
        <v>231</v>
      </c>
      <c r="U571" t="s">
        <v>101</v>
      </c>
      <c r="V571" t="s">
        <v>231</v>
      </c>
      <c r="W571" t="s">
        <v>231</v>
      </c>
      <c r="X571" t="s">
        <v>3523</v>
      </c>
      <c r="Y571" t="s">
        <v>231</v>
      </c>
      <c r="Z571" t="s">
        <v>160</v>
      </c>
      <c r="AA571" t="s">
        <v>151</v>
      </c>
      <c r="AB571" t="s">
        <v>151</v>
      </c>
      <c r="AC571" t="s">
        <v>2289</v>
      </c>
      <c r="AD571" t="s">
        <v>2289</v>
      </c>
      <c r="AE571" t="s">
        <v>2290</v>
      </c>
      <c r="AF571" t="s">
        <v>3793</v>
      </c>
      <c r="AG571" t="s">
        <v>3794</v>
      </c>
      <c r="AH571" t="s">
        <v>4551</v>
      </c>
      <c r="AI571" t="s">
        <v>3618</v>
      </c>
      <c r="AJ571" t="s">
        <v>3621</v>
      </c>
      <c r="AK571" t="s">
        <v>3867</v>
      </c>
      <c r="AL571" t="s">
        <v>4163</v>
      </c>
      <c r="AM571" t="s">
        <v>3531</v>
      </c>
      <c r="AN571" t="s">
        <v>3595</v>
      </c>
      <c r="AO571" t="s">
        <v>4552</v>
      </c>
      <c r="AP571" t="s">
        <v>231</v>
      </c>
      <c r="AQ571" t="s">
        <v>231</v>
      </c>
      <c r="AR571" t="s">
        <v>231</v>
      </c>
      <c r="AS571" t="s">
        <v>231</v>
      </c>
      <c r="AT571" t="s">
        <v>231</v>
      </c>
      <c r="AU571" t="s">
        <v>231</v>
      </c>
      <c r="AV571" t="s">
        <v>231</v>
      </c>
      <c r="AW571" t="s">
        <v>231</v>
      </c>
      <c r="AX571" t="s">
        <v>231</v>
      </c>
      <c r="AY571" t="s">
        <v>231</v>
      </c>
      <c r="AZ571" t="s">
        <v>231</v>
      </c>
      <c r="BA571" t="s">
        <v>231</v>
      </c>
      <c r="BB571" t="s">
        <v>231</v>
      </c>
      <c r="BC571" t="s">
        <v>231</v>
      </c>
      <c r="BD571" t="s">
        <v>231</v>
      </c>
      <c r="BE571" t="s">
        <v>231</v>
      </c>
      <c r="BF571" t="s">
        <v>231</v>
      </c>
      <c r="BG571" t="s">
        <v>231</v>
      </c>
      <c r="BH571" t="s">
        <v>231</v>
      </c>
      <c r="BI571" t="s">
        <v>231</v>
      </c>
      <c r="BJ571" t="s">
        <v>231</v>
      </c>
      <c r="BK571" t="s">
        <v>231</v>
      </c>
      <c r="BL571" t="s">
        <v>231</v>
      </c>
      <c r="BM571" t="s">
        <v>231</v>
      </c>
      <c r="BN571" t="s">
        <v>231</v>
      </c>
      <c r="BO571" t="s">
        <v>231</v>
      </c>
      <c r="BP571" t="s">
        <v>231</v>
      </c>
      <c r="BQ571" t="s">
        <v>231</v>
      </c>
      <c r="BR571" t="s">
        <v>231</v>
      </c>
      <c r="BS571" t="s">
        <v>231</v>
      </c>
      <c r="BT571" t="s">
        <v>231</v>
      </c>
      <c r="BU571" t="s">
        <v>231</v>
      </c>
      <c r="BV571" t="s">
        <v>231</v>
      </c>
      <c r="BW571" t="s">
        <v>231</v>
      </c>
      <c r="BX571" t="s">
        <v>231</v>
      </c>
      <c r="BY571" t="s">
        <v>231</v>
      </c>
      <c r="BZ571" t="s">
        <v>231</v>
      </c>
      <c r="CA571" t="s">
        <v>231</v>
      </c>
      <c r="CB571" t="s">
        <v>231</v>
      </c>
      <c r="CC571" t="s">
        <v>231</v>
      </c>
      <c r="CD571" t="s">
        <v>231</v>
      </c>
      <c r="CE571" t="s">
        <v>231</v>
      </c>
      <c r="CF571" t="s">
        <v>231</v>
      </c>
      <c r="CG571" t="s">
        <v>231</v>
      </c>
      <c r="CH571" t="s">
        <v>231</v>
      </c>
      <c r="CI571" t="s">
        <v>231</v>
      </c>
      <c r="CJ571" t="s">
        <v>231</v>
      </c>
      <c r="CK571" t="s">
        <v>231</v>
      </c>
      <c r="CL571" t="s">
        <v>231</v>
      </c>
      <c r="CM571" t="s">
        <v>231</v>
      </c>
      <c r="CN571" t="s">
        <v>231</v>
      </c>
      <c r="CO571" t="s">
        <v>231</v>
      </c>
      <c r="CP571" t="s">
        <v>231</v>
      </c>
      <c r="CQ571" t="s">
        <v>231</v>
      </c>
      <c r="CR571" t="s">
        <v>231</v>
      </c>
      <c r="CS571" t="s">
        <v>231</v>
      </c>
      <c r="CT571" t="s">
        <v>3534</v>
      </c>
      <c r="CU571" t="s">
        <v>3535</v>
      </c>
      <c r="CV571" t="s">
        <v>3536</v>
      </c>
      <c r="CW571" t="s">
        <v>3589</v>
      </c>
      <c r="CX571" t="s">
        <v>223</v>
      </c>
      <c r="CY571" t="s">
        <v>3536</v>
      </c>
      <c r="CZ571" t="s">
        <v>3590</v>
      </c>
      <c r="DA571" t="s">
        <v>3591</v>
      </c>
      <c r="DB571" t="s">
        <v>3589</v>
      </c>
      <c r="DC571" t="s">
        <v>363</v>
      </c>
      <c r="DD571" t="s">
        <v>282</v>
      </c>
      <c r="DE571" t="s">
        <v>4553</v>
      </c>
    </row>
    <row r="572" spans="1:109" ht="11.25" customHeight="1">
      <c r="A572" s="1314" t="s">
        <v>231</v>
      </c>
      <c r="B572" t="s">
        <v>231</v>
      </c>
      <c r="C572" t="s">
        <v>231</v>
      </c>
      <c r="D572" t="s">
        <v>231</v>
      </c>
      <c r="E572" t="s">
        <v>231</v>
      </c>
      <c r="F572" t="s">
        <v>231</v>
      </c>
      <c r="G572" t="s">
        <v>231</v>
      </c>
      <c r="H572" t="s">
        <v>231</v>
      </c>
      <c r="I572" t="s">
        <v>3521</v>
      </c>
      <c r="J572" t="s">
        <v>231</v>
      </c>
      <c r="K572" t="s">
        <v>231</v>
      </c>
      <c r="L572" t="s">
        <v>231</v>
      </c>
      <c r="M572" t="s">
        <v>231</v>
      </c>
      <c r="N572" t="s">
        <v>231</v>
      </c>
      <c r="O572" t="s">
        <v>231</v>
      </c>
      <c r="P572" t="s">
        <v>231</v>
      </c>
      <c r="Q572" t="s">
        <v>231</v>
      </c>
      <c r="R572" t="s">
        <v>4622</v>
      </c>
      <c r="S572" t="s">
        <v>231</v>
      </c>
      <c r="T572" t="s">
        <v>231</v>
      </c>
      <c r="U572" t="s">
        <v>101</v>
      </c>
      <c r="V572" t="s">
        <v>231</v>
      </c>
      <c r="W572" t="s">
        <v>231</v>
      </c>
      <c r="X572" t="s">
        <v>3523</v>
      </c>
      <c r="Y572" t="s">
        <v>231</v>
      </c>
      <c r="Z572" t="s">
        <v>160</v>
      </c>
      <c r="AA572" t="s">
        <v>151</v>
      </c>
      <c r="AB572" t="s">
        <v>151</v>
      </c>
      <c r="AC572" t="s">
        <v>2289</v>
      </c>
      <c r="AD572" t="s">
        <v>2289</v>
      </c>
      <c r="AE572" t="s">
        <v>2290</v>
      </c>
      <c r="AF572" t="s">
        <v>3793</v>
      </c>
      <c r="AG572" t="s">
        <v>3794</v>
      </c>
      <c r="AH572" t="s">
        <v>4623</v>
      </c>
      <c r="AI572" t="s">
        <v>4624</v>
      </c>
      <c r="AJ572" t="s">
        <v>3621</v>
      </c>
      <c r="AK572" t="s">
        <v>3587</v>
      </c>
      <c r="AL572" t="s">
        <v>4163</v>
      </c>
      <c r="AM572" t="s">
        <v>3531</v>
      </c>
      <c r="AN572" t="s">
        <v>3595</v>
      </c>
      <c r="AO572" t="s">
        <v>3596</v>
      </c>
      <c r="AP572" t="s">
        <v>231</v>
      </c>
      <c r="AQ572" t="s">
        <v>231</v>
      </c>
      <c r="AR572" t="s">
        <v>231</v>
      </c>
      <c r="AS572" t="s">
        <v>231</v>
      </c>
      <c r="AT572" t="s">
        <v>231</v>
      </c>
      <c r="AU572" t="s">
        <v>231</v>
      </c>
      <c r="AV572" t="s">
        <v>231</v>
      </c>
      <c r="AW572" t="s">
        <v>231</v>
      </c>
      <c r="AX572" t="s">
        <v>231</v>
      </c>
      <c r="AY572" t="s">
        <v>231</v>
      </c>
      <c r="AZ572" t="s">
        <v>231</v>
      </c>
      <c r="BA572" t="s">
        <v>231</v>
      </c>
      <c r="BB572" t="s">
        <v>231</v>
      </c>
      <c r="BC572" t="s">
        <v>231</v>
      </c>
      <c r="BD572" t="s">
        <v>231</v>
      </c>
      <c r="BE572" t="s">
        <v>231</v>
      </c>
      <c r="BF572" t="s">
        <v>231</v>
      </c>
      <c r="BG572" t="s">
        <v>231</v>
      </c>
      <c r="BH572" t="s">
        <v>231</v>
      </c>
      <c r="BI572" t="s">
        <v>231</v>
      </c>
      <c r="BJ572" t="s">
        <v>231</v>
      </c>
      <c r="BK572" t="s">
        <v>231</v>
      </c>
      <c r="BL572" t="s">
        <v>231</v>
      </c>
      <c r="BM572" t="s">
        <v>231</v>
      </c>
      <c r="BN572" t="s">
        <v>231</v>
      </c>
      <c r="BO572" t="s">
        <v>231</v>
      </c>
      <c r="BP572" t="s">
        <v>231</v>
      </c>
      <c r="BQ572" t="s">
        <v>231</v>
      </c>
      <c r="BR572" t="s">
        <v>231</v>
      </c>
      <c r="BS572" t="s">
        <v>231</v>
      </c>
      <c r="BT572" t="s">
        <v>231</v>
      </c>
      <c r="BU572" t="s">
        <v>231</v>
      </c>
      <c r="BV572" t="s">
        <v>231</v>
      </c>
      <c r="BW572" t="s">
        <v>231</v>
      </c>
      <c r="BX572" t="s">
        <v>231</v>
      </c>
      <c r="BY572" t="s">
        <v>231</v>
      </c>
      <c r="BZ572" t="s">
        <v>231</v>
      </c>
      <c r="CA572" t="s">
        <v>231</v>
      </c>
      <c r="CB572" t="s">
        <v>231</v>
      </c>
      <c r="CC572" t="s">
        <v>231</v>
      </c>
      <c r="CD572" t="s">
        <v>231</v>
      </c>
      <c r="CE572" t="s">
        <v>231</v>
      </c>
      <c r="CF572" t="s">
        <v>231</v>
      </c>
      <c r="CG572" t="s">
        <v>231</v>
      </c>
      <c r="CH572" t="s">
        <v>231</v>
      </c>
      <c r="CI572" t="s">
        <v>231</v>
      </c>
      <c r="CJ572" t="s">
        <v>231</v>
      </c>
      <c r="CK572" t="s">
        <v>231</v>
      </c>
      <c r="CL572" t="s">
        <v>231</v>
      </c>
      <c r="CM572" t="s">
        <v>231</v>
      </c>
      <c r="CN572" t="s">
        <v>231</v>
      </c>
      <c r="CO572" t="s">
        <v>231</v>
      </c>
      <c r="CP572" t="s">
        <v>231</v>
      </c>
      <c r="CQ572" t="s">
        <v>231</v>
      </c>
      <c r="CR572" t="s">
        <v>231</v>
      </c>
      <c r="CS572" t="s">
        <v>231</v>
      </c>
      <c r="CT572" t="s">
        <v>3534</v>
      </c>
      <c r="CU572" t="s">
        <v>3535</v>
      </c>
      <c r="CV572" t="s">
        <v>3536</v>
      </c>
      <c r="CW572" t="s">
        <v>3589</v>
      </c>
      <c r="CX572" t="s">
        <v>223</v>
      </c>
      <c r="CY572" t="s">
        <v>3536</v>
      </c>
      <c r="CZ572" t="s">
        <v>3590</v>
      </c>
      <c r="DA572" t="s">
        <v>3591</v>
      </c>
      <c r="DB572" t="s">
        <v>3589</v>
      </c>
      <c r="DC572" t="s">
        <v>363</v>
      </c>
      <c r="DD572" t="s">
        <v>282</v>
      </c>
      <c r="DE572" t="s">
        <v>4625</v>
      </c>
    </row>
    <row r="573" spans="1:109" ht="11.25" customHeight="1">
      <c r="A573" s="1314" t="s">
        <v>231</v>
      </c>
      <c r="B573" t="s">
        <v>231</v>
      </c>
      <c r="C573" t="s">
        <v>231</v>
      </c>
      <c r="D573" t="s">
        <v>231</v>
      </c>
      <c r="E573" t="s">
        <v>231</v>
      </c>
      <c r="F573" t="s">
        <v>231</v>
      </c>
      <c r="G573" t="s">
        <v>231</v>
      </c>
      <c r="H573" t="s">
        <v>231</v>
      </c>
      <c r="I573" t="s">
        <v>3521</v>
      </c>
      <c r="J573" t="s">
        <v>231</v>
      </c>
      <c r="K573" t="s">
        <v>231</v>
      </c>
      <c r="L573" t="s">
        <v>231</v>
      </c>
      <c r="M573" t="s">
        <v>231</v>
      </c>
      <c r="N573" t="s">
        <v>231</v>
      </c>
      <c r="O573" t="s">
        <v>231</v>
      </c>
      <c r="P573" t="s">
        <v>231</v>
      </c>
      <c r="Q573" t="s">
        <v>231</v>
      </c>
      <c r="R573" t="s">
        <v>4626</v>
      </c>
      <c r="S573" t="s">
        <v>231</v>
      </c>
      <c r="T573" t="s">
        <v>231</v>
      </c>
      <c r="U573" t="s">
        <v>101</v>
      </c>
      <c r="V573" t="s">
        <v>231</v>
      </c>
      <c r="W573" t="s">
        <v>231</v>
      </c>
      <c r="X573" t="s">
        <v>3628</v>
      </c>
      <c r="Y573" t="s">
        <v>231</v>
      </c>
      <c r="Z573" t="s">
        <v>151</v>
      </c>
      <c r="AA573" t="s">
        <v>151</v>
      </c>
      <c r="AB573" t="s">
        <v>160</v>
      </c>
      <c r="AC573" t="s">
        <v>2289</v>
      </c>
      <c r="AD573" t="s">
        <v>2289</v>
      </c>
      <c r="AE573" t="s">
        <v>2290</v>
      </c>
      <c r="AF573" t="s">
        <v>4368</v>
      </c>
      <c r="AG573" t="s">
        <v>4369</v>
      </c>
      <c r="AH573" t="s">
        <v>3618</v>
      </c>
      <c r="AI573" t="s">
        <v>3618</v>
      </c>
      <c r="AJ573" t="s">
        <v>231</v>
      </c>
      <c r="AK573" t="s">
        <v>231</v>
      </c>
      <c r="AL573" t="s">
        <v>231</v>
      </c>
      <c r="AM573" t="s">
        <v>231</v>
      </c>
      <c r="AN573" t="s">
        <v>231</v>
      </c>
      <c r="AO573" t="s">
        <v>231</v>
      </c>
      <c r="AP573" t="s">
        <v>231</v>
      </c>
      <c r="AQ573" t="s">
        <v>231</v>
      </c>
      <c r="AR573" t="s">
        <v>231</v>
      </c>
      <c r="AS573" t="s">
        <v>231</v>
      </c>
      <c r="AT573" t="s">
        <v>231</v>
      </c>
      <c r="AU573" t="s">
        <v>231</v>
      </c>
      <c r="AV573" t="s">
        <v>231</v>
      </c>
      <c r="AW573" t="s">
        <v>231</v>
      </c>
      <c r="AX573" t="s">
        <v>231</v>
      </c>
      <c r="AY573" t="s">
        <v>231</v>
      </c>
      <c r="AZ573" t="s">
        <v>231</v>
      </c>
      <c r="BA573" t="s">
        <v>231</v>
      </c>
      <c r="BB573" t="s">
        <v>231</v>
      </c>
      <c r="BC573" t="s">
        <v>231</v>
      </c>
      <c r="BD573" t="s">
        <v>231</v>
      </c>
      <c r="BE573" t="s">
        <v>3546</v>
      </c>
      <c r="BF573" t="s">
        <v>3586</v>
      </c>
      <c r="BG573" t="s">
        <v>111</v>
      </c>
      <c r="BH573" t="s">
        <v>3632</v>
      </c>
      <c r="BI573" t="s">
        <v>122</v>
      </c>
      <c r="BJ573" t="s">
        <v>231</v>
      </c>
      <c r="BK573" t="s">
        <v>3651</v>
      </c>
      <c r="BL573" t="s">
        <v>2289</v>
      </c>
      <c r="BM573" t="s">
        <v>2289</v>
      </c>
      <c r="BN573" t="s">
        <v>3707</v>
      </c>
      <c r="BO573" t="s">
        <v>4368</v>
      </c>
      <c r="BP573" t="s">
        <v>4627</v>
      </c>
      <c r="BQ573" t="s">
        <v>3618</v>
      </c>
      <c r="BR573" t="s">
        <v>3618</v>
      </c>
      <c r="BS573" t="s">
        <v>231</v>
      </c>
      <c r="BT573" t="s">
        <v>3694</v>
      </c>
      <c r="BU573" t="s">
        <v>4628</v>
      </c>
      <c r="BV573" t="s">
        <v>4628</v>
      </c>
      <c r="BW573" t="s">
        <v>3641</v>
      </c>
      <c r="BX573" t="s">
        <v>3641</v>
      </c>
      <c r="BY573" t="s">
        <v>3641</v>
      </c>
      <c r="BZ573" t="s">
        <v>3641</v>
      </c>
      <c r="CA573" t="s">
        <v>3641</v>
      </c>
      <c r="CB573" t="s">
        <v>231</v>
      </c>
      <c r="CC573" t="s">
        <v>231</v>
      </c>
      <c r="CD573" t="s">
        <v>231</v>
      </c>
      <c r="CE573" t="s">
        <v>231</v>
      </c>
      <c r="CF573" t="s">
        <v>231</v>
      </c>
      <c r="CG573" t="s">
        <v>3641</v>
      </c>
      <c r="CH573" t="s">
        <v>231</v>
      </c>
      <c r="CI573" t="s">
        <v>231</v>
      </c>
      <c r="CJ573" t="s">
        <v>231</v>
      </c>
      <c r="CK573" t="s">
        <v>231</v>
      </c>
      <c r="CL573" t="s">
        <v>231</v>
      </c>
      <c r="CM573" t="s">
        <v>4628</v>
      </c>
      <c r="CN573" t="s">
        <v>4628</v>
      </c>
      <c r="CO573" t="s">
        <v>231</v>
      </c>
      <c r="CP573" t="s">
        <v>231</v>
      </c>
      <c r="CQ573" t="s">
        <v>231</v>
      </c>
      <c r="CR573" t="s">
        <v>231</v>
      </c>
      <c r="CS573" t="s">
        <v>3710</v>
      </c>
      <c r="CT573" t="s">
        <v>3534</v>
      </c>
      <c r="CU573" t="s">
        <v>3535</v>
      </c>
      <c r="CV573" t="s">
        <v>3536</v>
      </c>
      <c r="CW573" t="s">
        <v>3589</v>
      </c>
      <c r="CX573" t="s">
        <v>223</v>
      </c>
      <c r="CY573" t="s">
        <v>3536</v>
      </c>
      <c r="CZ573" t="s">
        <v>3590</v>
      </c>
      <c r="DA573" t="s">
        <v>3591</v>
      </c>
      <c r="DB573" t="s">
        <v>3589</v>
      </c>
      <c r="DC573" t="s">
        <v>363</v>
      </c>
      <c r="DD573" t="s">
        <v>282</v>
      </c>
      <c r="DE573" t="s">
        <v>4629</v>
      </c>
    </row>
    <row r="574" spans="1:109" ht="11.25" customHeight="1">
      <c r="A574" s="1314" t="s">
        <v>231</v>
      </c>
      <c r="B574" t="s">
        <v>231</v>
      </c>
      <c r="C574" t="s">
        <v>231</v>
      </c>
      <c r="D574" t="s">
        <v>231</v>
      </c>
      <c r="E574" t="s">
        <v>231</v>
      </c>
      <c r="F574" t="s">
        <v>231</v>
      </c>
      <c r="G574" t="s">
        <v>231</v>
      </c>
      <c r="H574" t="s">
        <v>231</v>
      </c>
      <c r="I574" t="s">
        <v>3521</v>
      </c>
      <c r="J574" t="s">
        <v>231</v>
      </c>
      <c r="K574" t="s">
        <v>231</v>
      </c>
      <c r="L574" t="s">
        <v>231</v>
      </c>
      <c r="M574" t="s">
        <v>231</v>
      </c>
      <c r="N574" t="s">
        <v>231</v>
      </c>
      <c r="O574" t="s">
        <v>231</v>
      </c>
      <c r="P574" t="s">
        <v>231</v>
      </c>
      <c r="Q574" t="s">
        <v>231</v>
      </c>
      <c r="R574" t="s">
        <v>3615</v>
      </c>
      <c r="S574" t="s">
        <v>231</v>
      </c>
      <c r="T574" t="s">
        <v>231</v>
      </c>
      <c r="U574" t="s">
        <v>101</v>
      </c>
      <c r="V574" t="s">
        <v>231</v>
      </c>
      <c r="W574" t="s">
        <v>231</v>
      </c>
      <c r="X574" t="s">
        <v>3523</v>
      </c>
      <c r="Y574" t="s">
        <v>231</v>
      </c>
      <c r="Z574" t="s">
        <v>160</v>
      </c>
      <c r="AA574" t="s">
        <v>151</v>
      </c>
      <c r="AB574" t="s">
        <v>151</v>
      </c>
      <c r="AC574" t="s">
        <v>2289</v>
      </c>
      <c r="AD574" t="s">
        <v>2289</v>
      </c>
      <c r="AE574" t="s">
        <v>2290</v>
      </c>
      <c r="AF574" t="s">
        <v>4630</v>
      </c>
      <c r="AG574" t="s">
        <v>4631</v>
      </c>
      <c r="AH574" t="s">
        <v>3799</v>
      </c>
      <c r="AI574" t="s">
        <v>4632</v>
      </c>
      <c r="AJ574" t="s">
        <v>3619</v>
      </c>
      <c r="AK574" t="s">
        <v>3586</v>
      </c>
      <c r="AL574" t="s">
        <v>3548</v>
      </c>
      <c r="AM574" t="s">
        <v>3531</v>
      </c>
      <c r="AN574" t="s">
        <v>3595</v>
      </c>
      <c r="AO574" t="s">
        <v>3796</v>
      </c>
      <c r="AP574" t="s">
        <v>231</v>
      </c>
      <c r="AQ574" t="s">
        <v>231</v>
      </c>
      <c r="AR574" t="s">
        <v>231</v>
      </c>
      <c r="AS574" t="s">
        <v>231</v>
      </c>
      <c r="AT574" t="s">
        <v>231</v>
      </c>
      <c r="AU574" t="s">
        <v>231</v>
      </c>
      <c r="AV574" t="s">
        <v>231</v>
      </c>
      <c r="AW574" t="s">
        <v>231</v>
      </c>
      <c r="AX574" t="s">
        <v>231</v>
      </c>
      <c r="AY574" t="s">
        <v>231</v>
      </c>
      <c r="AZ574" t="s">
        <v>231</v>
      </c>
      <c r="BA574" t="s">
        <v>231</v>
      </c>
      <c r="BB574" t="s">
        <v>231</v>
      </c>
      <c r="BC574" t="s">
        <v>231</v>
      </c>
      <c r="BD574" t="s">
        <v>231</v>
      </c>
      <c r="BE574" t="s">
        <v>231</v>
      </c>
      <c r="BF574" t="s">
        <v>231</v>
      </c>
      <c r="BG574" t="s">
        <v>231</v>
      </c>
      <c r="BH574" t="s">
        <v>231</v>
      </c>
      <c r="BI574" t="s">
        <v>231</v>
      </c>
      <c r="BJ574" t="s">
        <v>231</v>
      </c>
      <c r="BK574" t="s">
        <v>231</v>
      </c>
      <c r="BL574" t="s">
        <v>231</v>
      </c>
      <c r="BM574" t="s">
        <v>231</v>
      </c>
      <c r="BN574" t="s">
        <v>231</v>
      </c>
      <c r="BO574" t="s">
        <v>231</v>
      </c>
      <c r="BP574" t="s">
        <v>231</v>
      </c>
      <c r="BQ574" t="s">
        <v>231</v>
      </c>
      <c r="BR574" t="s">
        <v>231</v>
      </c>
      <c r="BS574" t="s">
        <v>231</v>
      </c>
      <c r="BT574" t="s">
        <v>231</v>
      </c>
      <c r="BU574" t="s">
        <v>231</v>
      </c>
      <c r="BV574" t="s">
        <v>231</v>
      </c>
      <c r="BW574" t="s">
        <v>231</v>
      </c>
      <c r="BX574" t="s">
        <v>231</v>
      </c>
      <c r="BY574" t="s">
        <v>231</v>
      </c>
      <c r="BZ574" t="s">
        <v>231</v>
      </c>
      <c r="CA574" t="s">
        <v>231</v>
      </c>
      <c r="CB574" t="s">
        <v>231</v>
      </c>
      <c r="CC574" t="s">
        <v>231</v>
      </c>
      <c r="CD574" t="s">
        <v>231</v>
      </c>
      <c r="CE574" t="s">
        <v>231</v>
      </c>
      <c r="CF574" t="s">
        <v>231</v>
      </c>
      <c r="CG574" t="s">
        <v>231</v>
      </c>
      <c r="CH574" t="s">
        <v>231</v>
      </c>
      <c r="CI574" t="s">
        <v>231</v>
      </c>
      <c r="CJ574" t="s">
        <v>231</v>
      </c>
      <c r="CK574" t="s">
        <v>231</v>
      </c>
      <c r="CL574" t="s">
        <v>231</v>
      </c>
      <c r="CM574" t="s">
        <v>231</v>
      </c>
      <c r="CN574" t="s">
        <v>231</v>
      </c>
      <c r="CO574" t="s">
        <v>231</v>
      </c>
      <c r="CP574" t="s">
        <v>231</v>
      </c>
      <c r="CQ574" t="s">
        <v>231</v>
      </c>
      <c r="CR574" t="s">
        <v>231</v>
      </c>
      <c r="CS574" t="s">
        <v>231</v>
      </c>
      <c r="CT574" t="s">
        <v>3534</v>
      </c>
      <c r="CU574" t="s">
        <v>3535</v>
      </c>
      <c r="CV574" t="s">
        <v>3536</v>
      </c>
      <c r="CW574" t="s">
        <v>3589</v>
      </c>
      <c r="CX574" t="s">
        <v>223</v>
      </c>
      <c r="CY574" t="s">
        <v>3536</v>
      </c>
      <c r="CZ574" t="s">
        <v>3590</v>
      </c>
      <c r="DA574" t="s">
        <v>3591</v>
      </c>
      <c r="DB574" t="s">
        <v>3589</v>
      </c>
      <c r="DC574" t="s">
        <v>363</v>
      </c>
      <c r="DD574" t="s">
        <v>282</v>
      </c>
      <c r="DE574" t="s">
        <v>4633</v>
      </c>
    </row>
    <row r="575" spans="1:109" ht="11.25" customHeight="1">
      <c r="A575" s="1314" t="s">
        <v>231</v>
      </c>
      <c r="B575" t="s">
        <v>231</v>
      </c>
      <c r="C575" t="s">
        <v>231</v>
      </c>
      <c r="D575" t="s">
        <v>231</v>
      </c>
      <c r="E575" t="s">
        <v>231</v>
      </c>
      <c r="F575" t="s">
        <v>231</v>
      </c>
      <c r="G575" t="s">
        <v>231</v>
      </c>
      <c r="H575" t="s">
        <v>231</v>
      </c>
      <c r="I575" t="s">
        <v>3521</v>
      </c>
      <c r="J575" t="s">
        <v>231</v>
      </c>
      <c r="K575" t="s">
        <v>231</v>
      </c>
      <c r="L575" t="s">
        <v>231</v>
      </c>
      <c r="M575" t="s">
        <v>231</v>
      </c>
      <c r="N575" t="s">
        <v>231</v>
      </c>
      <c r="O575" t="s">
        <v>231</v>
      </c>
      <c r="P575" t="s">
        <v>231</v>
      </c>
      <c r="Q575" t="s">
        <v>231</v>
      </c>
      <c r="R575" t="s">
        <v>4634</v>
      </c>
      <c r="S575" t="s">
        <v>231</v>
      </c>
      <c r="T575" t="s">
        <v>231</v>
      </c>
      <c r="U575" t="s">
        <v>101</v>
      </c>
      <c r="V575" t="s">
        <v>231</v>
      </c>
      <c r="W575" t="s">
        <v>231</v>
      </c>
      <c r="X575" t="s">
        <v>3628</v>
      </c>
      <c r="Y575" t="s">
        <v>231</v>
      </c>
      <c r="Z575" t="s">
        <v>151</v>
      </c>
      <c r="AA575" t="s">
        <v>151</v>
      </c>
      <c r="AB575" t="s">
        <v>160</v>
      </c>
      <c r="AC575" t="s">
        <v>2289</v>
      </c>
      <c r="AD575" t="s">
        <v>2289</v>
      </c>
      <c r="AE575" t="s">
        <v>2290</v>
      </c>
      <c r="AF575" t="s">
        <v>4630</v>
      </c>
      <c r="AG575" t="s">
        <v>4631</v>
      </c>
      <c r="AH575" t="s">
        <v>3618</v>
      </c>
      <c r="AI575" t="s">
        <v>3618</v>
      </c>
      <c r="AJ575" t="s">
        <v>231</v>
      </c>
      <c r="AK575" t="s">
        <v>231</v>
      </c>
      <c r="AL575" t="s">
        <v>231</v>
      </c>
      <c r="AM575" t="s">
        <v>231</v>
      </c>
      <c r="AN575" t="s">
        <v>231</v>
      </c>
      <c r="AO575" t="s">
        <v>231</v>
      </c>
      <c r="AP575" t="s">
        <v>231</v>
      </c>
      <c r="AQ575" t="s">
        <v>231</v>
      </c>
      <c r="AR575" t="s">
        <v>231</v>
      </c>
      <c r="AS575" t="s">
        <v>231</v>
      </c>
      <c r="AT575" t="s">
        <v>231</v>
      </c>
      <c r="AU575" t="s">
        <v>231</v>
      </c>
      <c r="AV575" t="s">
        <v>231</v>
      </c>
      <c r="AW575" t="s">
        <v>231</v>
      </c>
      <c r="AX575" t="s">
        <v>231</v>
      </c>
      <c r="AY575" t="s">
        <v>231</v>
      </c>
      <c r="AZ575" t="s">
        <v>231</v>
      </c>
      <c r="BA575" t="s">
        <v>231</v>
      </c>
      <c r="BB575" t="s">
        <v>231</v>
      </c>
      <c r="BC575" t="s">
        <v>231</v>
      </c>
      <c r="BD575" t="s">
        <v>231</v>
      </c>
      <c r="BE575" t="s">
        <v>3619</v>
      </c>
      <c r="BF575" t="s">
        <v>3586</v>
      </c>
      <c r="BG575" t="s">
        <v>111</v>
      </c>
      <c r="BH575" t="s">
        <v>3632</v>
      </c>
      <c r="BI575" t="s">
        <v>122</v>
      </c>
      <c r="BJ575" t="s">
        <v>231</v>
      </c>
      <c r="BK575" t="s">
        <v>3651</v>
      </c>
      <c r="BL575" t="s">
        <v>2289</v>
      </c>
      <c r="BM575" t="s">
        <v>2289</v>
      </c>
      <c r="BN575" t="s">
        <v>3707</v>
      </c>
      <c r="BO575" t="s">
        <v>4630</v>
      </c>
      <c r="BP575" t="s">
        <v>4635</v>
      </c>
      <c r="BQ575" t="s">
        <v>3618</v>
      </c>
      <c r="BR575" t="s">
        <v>3618</v>
      </c>
      <c r="BS575" t="s">
        <v>231</v>
      </c>
      <c r="BT575" t="s">
        <v>3694</v>
      </c>
      <c r="BU575" t="s">
        <v>4636</v>
      </c>
      <c r="BV575" t="s">
        <v>4636</v>
      </c>
      <c r="BW575" t="s">
        <v>3641</v>
      </c>
      <c r="BX575" t="s">
        <v>3641</v>
      </c>
      <c r="BY575" t="s">
        <v>3641</v>
      </c>
      <c r="BZ575" t="s">
        <v>3641</v>
      </c>
      <c r="CA575" t="s">
        <v>3641</v>
      </c>
      <c r="CB575" t="s">
        <v>231</v>
      </c>
      <c r="CC575" t="s">
        <v>231</v>
      </c>
      <c r="CD575" t="s">
        <v>231</v>
      </c>
      <c r="CE575" t="s">
        <v>231</v>
      </c>
      <c r="CF575" t="s">
        <v>231</v>
      </c>
      <c r="CG575" t="s">
        <v>3641</v>
      </c>
      <c r="CH575" t="s">
        <v>231</v>
      </c>
      <c r="CI575" t="s">
        <v>231</v>
      </c>
      <c r="CJ575" t="s">
        <v>231</v>
      </c>
      <c r="CK575" t="s">
        <v>231</v>
      </c>
      <c r="CL575" t="s">
        <v>231</v>
      </c>
      <c r="CM575" t="s">
        <v>4636</v>
      </c>
      <c r="CN575" t="s">
        <v>4636</v>
      </c>
      <c r="CO575" t="s">
        <v>231</v>
      </c>
      <c r="CP575" t="s">
        <v>231</v>
      </c>
      <c r="CQ575" t="s">
        <v>231</v>
      </c>
      <c r="CR575" t="s">
        <v>231</v>
      </c>
      <c r="CS575" t="s">
        <v>3710</v>
      </c>
      <c r="CT575" t="s">
        <v>3534</v>
      </c>
      <c r="CU575" t="s">
        <v>3535</v>
      </c>
      <c r="CV575" t="s">
        <v>3536</v>
      </c>
      <c r="CW575" t="s">
        <v>3589</v>
      </c>
      <c r="CX575" t="s">
        <v>223</v>
      </c>
      <c r="CY575" t="s">
        <v>3536</v>
      </c>
      <c r="CZ575" t="s">
        <v>3590</v>
      </c>
      <c r="DA575" t="s">
        <v>3591</v>
      </c>
      <c r="DB575" t="s">
        <v>3589</v>
      </c>
      <c r="DC575" t="s">
        <v>363</v>
      </c>
      <c r="DD575" t="s">
        <v>282</v>
      </c>
      <c r="DE575" t="s">
        <v>4637</v>
      </c>
    </row>
    <row r="576" spans="1:109" ht="11.25" customHeight="1">
      <c r="A576" s="1314" t="s">
        <v>231</v>
      </c>
      <c r="B576" t="s">
        <v>231</v>
      </c>
      <c r="C576" t="s">
        <v>231</v>
      </c>
      <c r="D576" t="s">
        <v>231</v>
      </c>
      <c r="E576" t="s">
        <v>231</v>
      </c>
      <c r="F576" t="s">
        <v>231</v>
      </c>
      <c r="G576" t="s">
        <v>231</v>
      </c>
      <c r="H576" t="s">
        <v>231</v>
      </c>
      <c r="I576" t="s">
        <v>3521</v>
      </c>
      <c r="J576" t="s">
        <v>231</v>
      </c>
      <c r="K576" t="s">
        <v>231</v>
      </c>
      <c r="L576" t="s">
        <v>231</v>
      </c>
      <c r="M576" t="s">
        <v>231</v>
      </c>
      <c r="N576" t="s">
        <v>231</v>
      </c>
      <c r="O576" t="s">
        <v>231</v>
      </c>
      <c r="P576" t="s">
        <v>231</v>
      </c>
      <c r="Q576" t="s">
        <v>231</v>
      </c>
      <c r="R576" t="s">
        <v>5078</v>
      </c>
      <c r="S576" t="s">
        <v>231</v>
      </c>
      <c r="T576" t="s">
        <v>231</v>
      </c>
      <c r="U576" t="s">
        <v>101</v>
      </c>
      <c r="V576" t="s">
        <v>231</v>
      </c>
      <c r="W576" t="s">
        <v>231</v>
      </c>
      <c r="X576" t="s">
        <v>3523</v>
      </c>
      <c r="Y576" t="s">
        <v>231</v>
      </c>
      <c r="Z576" t="s">
        <v>160</v>
      </c>
      <c r="AA576" t="s">
        <v>151</v>
      </c>
      <c r="AB576" t="s">
        <v>151</v>
      </c>
      <c r="AC576" t="s">
        <v>343</v>
      </c>
      <c r="AD576" t="s">
        <v>343</v>
      </c>
      <c r="AE576" t="s">
        <v>344</v>
      </c>
      <c r="AF576" t="s">
        <v>3561</v>
      </c>
      <c r="AG576" t="s">
        <v>3562</v>
      </c>
      <c r="AH576" t="s">
        <v>3824</v>
      </c>
      <c r="AI576" t="s">
        <v>3575</v>
      </c>
      <c r="AJ576" t="s">
        <v>3825</v>
      </c>
      <c r="AK576" t="s">
        <v>3826</v>
      </c>
      <c r="AL576" t="s">
        <v>3566</v>
      </c>
      <c r="AM576" t="s">
        <v>3531</v>
      </c>
      <c r="AN576" t="s">
        <v>3567</v>
      </c>
      <c r="AO576" t="s">
        <v>3568</v>
      </c>
      <c r="AP576" t="s">
        <v>231</v>
      </c>
      <c r="AQ576" t="s">
        <v>231</v>
      </c>
      <c r="AR576" t="s">
        <v>231</v>
      </c>
      <c r="AS576" t="s">
        <v>231</v>
      </c>
      <c r="AT576" t="s">
        <v>231</v>
      </c>
      <c r="AU576" t="s">
        <v>231</v>
      </c>
      <c r="AV576" t="s">
        <v>231</v>
      </c>
      <c r="AW576" t="s">
        <v>231</v>
      </c>
      <c r="AX576" t="s">
        <v>231</v>
      </c>
      <c r="AY576" t="s">
        <v>231</v>
      </c>
      <c r="AZ576" t="s">
        <v>231</v>
      </c>
      <c r="BA576" t="s">
        <v>231</v>
      </c>
      <c r="BB576" t="s">
        <v>231</v>
      </c>
      <c r="BC576" t="s">
        <v>231</v>
      </c>
      <c r="BD576" t="s">
        <v>231</v>
      </c>
      <c r="BE576" t="s">
        <v>231</v>
      </c>
      <c r="BF576" t="s">
        <v>231</v>
      </c>
      <c r="BG576" t="s">
        <v>231</v>
      </c>
      <c r="BH576" t="s">
        <v>231</v>
      </c>
      <c r="BI576" t="s">
        <v>231</v>
      </c>
      <c r="BJ576" t="s">
        <v>231</v>
      </c>
      <c r="BK576" t="s">
        <v>231</v>
      </c>
      <c r="BL576" t="s">
        <v>231</v>
      </c>
      <c r="BM576" t="s">
        <v>231</v>
      </c>
      <c r="BN576" t="s">
        <v>231</v>
      </c>
      <c r="BO576" t="s">
        <v>231</v>
      </c>
      <c r="BP576" t="s">
        <v>231</v>
      </c>
      <c r="BQ576" t="s">
        <v>231</v>
      </c>
      <c r="BR576" t="s">
        <v>231</v>
      </c>
      <c r="BS576" t="s">
        <v>231</v>
      </c>
      <c r="BT576" t="s">
        <v>231</v>
      </c>
      <c r="BU576" t="s">
        <v>231</v>
      </c>
      <c r="BV576" t="s">
        <v>231</v>
      </c>
      <c r="BW576" t="s">
        <v>231</v>
      </c>
      <c r="BX576" t="s">
        <v>231</v>
      </c>
      <c r="BY576" t="s">
        <v>231</v>
      </c>
      <c r="BZ576" t="s">
        <v>231</v>
      </c>
      <c r="CA576" t="s">
        <v>231</v>
      </c>
      <c r="CB576" t="s">
        <v>231</v>
      </c>
      <c r="CC576" t="s">
        <v>231</v>
      </c>
      <c r="CD576" t="s">
        <v>231</v>
      </c>
      <c r="CE576" t="s">
        <v>231</v>
      </c>
      <c r="CF576" t="s">
        <v>231</v>
      </c>
      <c r="CG576" t="s">
        <v>231</v>
      </c>
      <c r="CH576" t="s">
        <v>231</v>
      </c>
      <c r="CI576" t="s">
        <v>231</v>
      </c>
      <c r="CJ576" t="s">
        <v>231</v>
      </c>
      <c r="CK576" t="s">
        <v>231</v>
      </c>
      <c r="CL576" t="s">
        <v>231</v>
      </c>
      <c r="CM576" t="s">
        <v>231</v>
      </c>
      <c r="CN576" t="s">
        <v>231</v>
      </c>
      <c r="CO576" t="s">
        <v>231</v>
      </c>
      <c r="CP576" t="s">
        <v>231</v>
      </c>
      <c r="CQ576" t="s">
        <v>231</v>
      </c>
      <c r="CR576" t="s">
        <v>231</v>
      </c>
      <c r="CS576" t="s">
        <v>231</v>
      </c>
      <c r="CT576" t="s">
        <v>3534</v>
      </c>
      <c r="CU576" t="s">
        <v>3535</v>
      </c>
      <c r="CV576" t="s">
        <v>3536</v>
      </c>
      <c r="CW576" t="s">
        <v>3569</v>
      </c>
      <c r="CX576" t="s">
        <v>3570</v>
      </c>
      <c r="CY576" t="s">
        <v>3536</v>
      </c>
      <c r="CZ576" t="s">
        <v>224</v>
      </c>
      <c r="DA576" t="s">
        <v>3571</v>
      </c>
      <c r="DB576" t="s">
        <v>3569</v>
      </c>
      <c r="DC576" t="s">
        <v>363</v>
      </c>
      <c r="DD576" t="s">
        <v>282</v>
      </c>
      <c r="DE576" t="s">
        <v>3827</v>
      </c>
    </row>
    <row r="577" spans="1:109" ht="11.25" customHeight="1">
      <c r="A577" s="1314" t="s">
        <v>231</v>
      </c>
      <c r="B577" t="s">
        <v>231</v>
      </c>
      <c r="C577" t="s">
        <v>231</v>
      </c>
      <c r="D577" t="s">
        <v>231</v>
      </c>
      <c r="E577" t="s">
        <v>231</v>
      </c>
      <c r="F577" t="s">
        <v>231</v>
      </c>
      <c r="G577" t="s">
        <v>231</v>
      </c>
      <c r="H577" t="s">
        <v>231</v>
      </c>
      <c r="I577" t="s">
        <v>3521</v>
      </c>
      <c r="J577" t="s">
        <v>231</v>
      </c>
      <c r="K577" t="s">
        <v>231</v>
      </c>
      <c r="L577" t="s">
        <v>231</v>
      </c>
      <c r="M577" t="s">
        <v>231</v>
      </c>
      <c r="N577" t="s">
        <v>231</v>
      </c>
      <c r="O577" t="s">
        <v>231</v>
      </c>
      <c r="P577" t="s">
        <v>231</v>
      </c>
      <c r="Q577" t="s">
        <v>231</v>
      </c>
      <c r="R577" t="s">
        <v>4897</v>
      </c>
      <c r="S577" t="s">
        <v>231</v>
      </c>
      <c r="T577" t="s">
        <v>231</v>
      </c>
      <c r="U577" t="s">
        <v>101</v>
      </c>
      <c r="V577" t="s">
        <v>231</v>
      </c>
      <c r="W577" t="s">
        <v>231</v>
      </c>
      <c r="X577" t="s">
        <v>3628</v>
      </c>
      <c r="Y577" t="s">
        <v>231</v>
      </c>
      <c r="Z577" t="s">
        <v>151</v>
      </c>
      <c r="AA577" t="s">
        <v>151</v>
      </c>
      <c r="AB577" t="s">
        <v>160</v>
      </c>
      <c r="AC577" t="s">
        <v>2289</v>
      </c>
      <c r="AD577" t="s">
        <v>2289</v>
      </c>
      <c r="AE577" t="s">
        <v>2290</v>
      </c>
      <c r="AF577" t="s">
        <v>3930</v>
      </c>
      <c r="AG577" t="s">
        <v>3931</v>
      </c>
      <c r="AH577" t="s">
        <v>3618</v>
      </c>
      <c r="AI577" t="s">
        <v>3618</v>
      </c>
      <c r="AJ577" t="s">
        <v>231</v>
      </c>
      <c r="AK577" t="s">
        <v>231</v>
      </c>
      <c r="AL577" t="s">
        <v>231</v>
      </c>
      <c r="AM577" t="s">
        <v>231</v>
      </c>
      <c r="AN577" t="s">
        <v>231</v>
      </c>
      <c r="AO577" t="s">
        <v>231</v>
      </c>
      <c r="AP577" t="s">
        <v>231</v>
      </c>
      <c r="AQ577" t="s">
        <v>231</v>
      </c>
      <c r="AR577" t="s">
        <v>231</v>
      </c>
      <c r="AS577" t="s">
        <v>231</v>
      </c>
      <c r="AT577" t="s">
        <v>231</v>
      </c>
      <c r="AU577" t="s">
        <v>231</v>
      </c>
      <c r="AV577" t="s">
        <v>231</v>
      </c>
      <c r="AW577" t="s">
        <v>231</v>
      </c>
      <c r="AX577" t="s">
        <v>231</v>
      </c>
      <c r="AY577" t="s">
        <v>231</v>
      </c>
      <c r="AZ577" t="s">
        <v>231</v>
      </c>
      <c r="BA577" t="s">
        <v>231</v>
      </c>
      <c r="BB577" t="s">
        <v>231</v>
      </c>
      <c r="BC577" t="s">
        <v>231</v>
      </c>
      <c r="BD577" t="s">
        <v>231</v>
      </c>
      <c r="BE577" t="s">
        <v>3594</v>
      </c>
      <c r="BF577" t="s">
        <v>3820</v>
      </c>
      <c r="BG577" t="s">
        <v>111</v>
      </c>
      <c r="BH577" t="s">
        <v>3632</v>
      </c>
      <c r="BI577" t="s">
        <v>122</v>
      </c>
      <c r="BJ577" t="s">
        <v>231</v>
      </c>
      <c r="BK577" t="s">
        <v>3651</v>
      </c>
      <c r="BL577" t="s">
        <v>2289</v>
      </c>
      <c r="BM577" t="s">
        <v>2289</v>
      </c>
      <c r="BN577" t="s">
        <v>3707</v>
      </c>
      <c r="BO577" t="s">
        <v>3930</v>
      </c>
      <c r="BP577" t="s">
        <v>4894</v>
      </c>
      <c r="BQ577" t="s">
        <v>3618</v>
      </c>
      <c r="BR577" t="s">
        <v>3618</v>
      </c>
      <c r="BS577" t="s">
        <v>231</v>
      </c>
      <c r="BT577" t="s">
        <v>4205</v>
      </c>
      <c r="BU577" t="s">
        <v>4898</v>
      </c>
      <c r="BV577" t="s">
        <v>4898</v>
      </c>
      <c r="BW577" t="s">
        <v>3641</v>
      </c>
      <c r="BX577" t="s">
        <v>3641</v>
      </c>
      <c r="BY577" t="s">
        <v>3641</v>
      </c>
      <c r="BZ577" t="s">
        <v>3641</v>
      </c>
      <c r="CA577" t="s">
        <v>3641</v>
      </c>
      <c r="CB577" t="s">
        <v>231</v>
      </c>
      <c r="CC577" t="s">
        <v>231</v>
      </c>
      <c r="CD577" t="s">
        <v>231</v>
      </c>
      <c r="CE577" t="s">
        <v>231</v>
      </c>
      <c r="CF577" t="s">
        <v>231</v>
      </c>
      <c r="CG577" t="s">
        <v>3641</v>
      </c>
      <c r="CH577" t="s">
        <v>231</v>
      </c>
      <c r="CI577" t="s">
        <v>231</v>
      </c>
      <c r="CJ577" t="s">
        <v>231</v>
      </c>
      <c r="CK577" t="s">
        <v>231</v>
      </c>
      <c r="CL577" t="s">
        <v>231</v>
      </c>
      <c r="CM577" t="s">
        <v>4898</v>
      </c>
      <c r="CN577" t="s">
        <v>4898</v>
      </c>
      <c r="CO577" t="s">
        <v>231</v>
      </c>
      <c r="CP577" t="s">
        <v>231</v>
      </c>
      <c r="CQ577" t="s">
        <v>231</v>
      </c>
      <c r="CR577" t="s">
        <v>231</v>
      </c>
      <c r="CS577" t="s">
        <v>3710</v>
      </c>
      <c r="CT577" t="s">
        <v>3534</v>
      </c>
      <c r="CU577" t="s">
        <v>3535</v>
      </c>
      <c r="CV577" t="s">
        <v>3536</v>
      </c>
      <c r="CW577" t="s">
        <v>3589</v>
      </c>
      <c r="CX577" t="s">
        <v>223</v>
      </c>
      <c r="CY577" t="s">
        <v>3536</v>
      </c>
      <c r="CZ577" t="s">
        <v>3590</v>
      </c>
      <c r="DA577" t="s">
        <v>3591</v>
      </c>
      <c r="DB577" t="s">
        <v>3589</v>
      </c>
      <c r="DC577" t="s">
        <v>363</v>
      </c>
      <c r="DD577" t="s">
        <v>282</v>
      </c>
      <c r="DE577" t="s">
        <v>4896</v>
      </c>
    </row>
    <row r="578" spans="1:109" ht="11.25" customHeight="1">
      <c r="A578" s="1314" t="s">
        <v>231</v>
      </c>
      <c r="B578" t="s">
        <v>231</v>
      </c>
      <c r="C578" t="s">
        <v>231</v>
      </c>
      <c r="D578" t="s">
        <v>231</v>
      </c>
      <c r="E578" t="s">
        <v>231</v>
      </c>
      <c r="F578" t="s">
        <v>231</v>
      </c>
      <c r="G578" t="s">
        <v>231</v>
      </c>
      <c r="H578" t="s">
        <v>231</v>
      </c>
      <c r="I578" t="s">
        <v>3521</v>
      </c>
      <c r="J578" t="s">
        <v>231</v>
      </c>
      <c r="K578" t="s">
        <v>231</v>
      </c>
      <c r="L578" t="s">
        <v>231</v>
      </c>
      <c r="M578" t="s">
        <v>231</v>
      </c>
      <c r="N578" t="s">
        <v>231</v>
      </c>
      <c r="O578" t="s">
        <v>231</v>
      </c>
      <c r="P578" t="s">
        <v>231</v>
      </c>
      <c r="Q578" t="s">
        <v>231</v>
      </c>
      <c r="R578" t="s">
        <v>3615</v>
      </c>
      <c r="S578" t="s">
        <v>231</v>
      </c>
      <c r="T578" t="s">
        <v>231</v>
      </c>
      <c r="U578" t="s">
        <v>101</v>
      </c>
      <c r="V578" t="s">
        <v>231</v>
      </c>
      <c r="W578" t="s">
        <v>231</v>
      </c>
      <c r="X578" t="s">
        <v>3523</v>
      </c>
      <c r="Y578" t="s">
        <v>231</v>
      </c>
      <c r="Z578" t="s">
        <v>160</v>
      </c>
      <c r="AA578" t="s">
        <v>151</v>
      </c>
      <c r="AB578" t="s">
        <v>151</v>
      </c>
      <c r="AC578" t="s">
        <v>2289</v>
      </c>
      <c r="AD578" t="s">
        <v>2289</v>
      </c>
      <c r="AE578" t="s">
        <v>2290</v>
      </c>
      <c r="AF578" t="s">
        <v>3705</v>
      </c>
      <c r="AG578" t="s">
        <v>3706</v>
      </c>
      <c r="AH578" t="s">
        <v>3584</v>
      </c>
      <c r="AI578" t="s">
        <v>4172</v>
      </c>
      <c r="AJ578" t="s">
        <v>3546</v>
      </c>
      <c r="AK578" t="s">
        <v>3716</v>
      </c>
      <c r="AL578" t="s">
        <v>3548</v>
      </c>
      <c r="AM578" t="s">
        <v>3531</v>
      </c>
      <c r="AN578" t="s">
        <v>3587</v>
      </c>
      <c r="AO578" t="s">
        <v>3558</v>
      </c>
      <c r="AP578" t="s">
        <v>231</v>
      </c>
      <c r="AQ578" t="s">
        <v>231</v>
      </c>
      <c r="AR578" t="s">
        <v>231</v>
      </c>
      <c r="AS578" t="s">
        <v>231</v>
      </c>
      <c r="AT578" t="s">
        <v>231</v>
      </c>
      <c r="AU578" t="s">
        <v>231</v>
      </c>
      <c r="AV578" t="s">
        <v>231</v>
      </c>
      <c r="AW578" t="s">
        <v>231</v>
      </c>
      <c r="AX578" t="s">
        <v>231</v>
      </c>
      <c r="AY578" t="s">
        <v>231</v>
      </c>
      <c r="AZ578" t="s">
        <v>231</v>
      </c>
      <c r="BA578" t="s">
        <v>231</v>
      </c>
      <c r="BB578" t="s">
        <v>231</v>
      </c>
      <c r="BC578" t="s">
        <v>231</v>
      </c>
      <c r="BD578" t="s">
        <v>231</v>
      </c>
      <c r="BE578" t="s">
        <v>231</v>
      </c>
      <c r="BF578" t="s">
        <v>231</v>
      </c>
      <c r="BG578" t="s">
        <v>231</v>
      </c>
      <c r="BH578" t="s">
        <v>231</v>
      </c>
      <c r="BI578" t="s">
        <v>231</v>
      </c>
      <c r="BJ578" t="s">
        <v>231</v>
      </c>
      <c r="BK578" t="s">
        <v>231</v>
      </c>
      <c r="BL578" t="s">
        <v>231</v>
      </c>
      <c r="BM578" t="s">
        <v>231</v>
      </c>
      <c r="BN578" t="s">
        <v>231</v>
      </c>
      <c r="BO578" t="s">
        <v>231</v>
      </c>
      <c r="BP578" t="s">
        <v>231</v>
      </c>
      <c r="BQ578" t="s">
        <v>231</v>
      </c>
      <c r="BR578" t="s">
        <v>231</v>
      </c>
      <c r="BS578" t="s">
        <v>231</v>
      </c>
      <c r="BT578" t="s">
        <v>231</v>
      </c>
      <c r="BU578" t="s">
        <v>231</v>
      </c>
      <c r="BV578" t="s">
        <v>231</v>
      </c>
      <c r="BW578" t="s">
        <v>231</v>
      </c>
      <c r="BX578" t="s">
        <v>231</v>
      </c>
      <c r="BY578" t="s">
        <v>231</v>
      </c>
      <c r="BZ578" t="s">
        <v>231</v>
      </c>
      <c r="CA578" t="s">
        <v>231</v>
      </c>
      <c r="CB578" t="s">
        <v>231</v>
      </c>
      <c r="CC578" t="s">
        <v>231</v>
      </c>
      <c r="CD578" t="s">
        <v>231</v>
      </c>
      <c r="CE578" t="s">
        <v>231</v>
      </c>
      <c r="CF578" t="s">
        <v>231</v>
      </c>
      <c r="CG578" t="s">
        <v>231</v>
      </c>
      <c r="CH578" t="s">
        <v>231</v>
      </c>
      <c r="CI578" t="s">
        <v>231</v>
      </c>
      <c r="CJ578" t="s">
        <v>231</v>
      </c>
      <c r="CK578" t="s">
        <v>231</v>
      </c>
      <c r="CL578" t="s">
        <v>231</v>
      </c>
      <c r="CM578" t="s">
        <v>231</v>
      </c>
      <c r="CN578" t="s">
        <v>231</v>
      </c>
      <c r="CO578" t="s">
        <v>231</v>
      </c>
      <c r="CP578" t="s">
        <v>231</v>
      </c>
      <c r="CQ578" t="s">
        <v>231</v>
      </c>
      <c r="CR578" t="s">
        <v>231</v>
      </c>
      <c r="CS578" t="s">
        <v>231</v>
      </c>
      <c r="CT578" t="s">
        <v>3534</v>
      </c>
      <c r="CU578" t="s">
        <v>3535</v>
      </c>
      <c r="CV578" t="s">
        <v>3536</v>
      </c>
      <c r="CW578" t="s">
        <v>3589</v>
      </c>
      <c r="CX578" t="s">
        <v>223</v>
      </c>
      <c r="CY578" t="s">
        <v>3536</v>
      </c>
      <c r="CZ578" t="s">
        <v>3590</v>
      </c>
      <c r="DA578" t="s">
        <v>3591</v>
      </c>
      <c r="DB578" t="s">
        <v>3589</v>
      </c>
      <c r="DC578" t="s">
        <v>363</v>
      </c>
      <c r="DD578" t="s">
        <v>282</v>
      </c>
      <c r="DE578" t="s">
        <v>4173</v>
      </c>
    </row>
    <row r="579" spans="1:109" ht="11.25" customHeight="1">
      <c r="A579" s="1314" t="s">
        <v>231</v>
      </c>
      <c r="B579" t="s">
        <v>231</v>
      </c>
      <c r="C579" t="s">
        <v>231</v>
      </c>
      <c r="D579" t="s">
        <v>231</v>
      </c>
      <c r="E579" t="s">
        <v>231</v>
      </c>
      <c r="F579" t="s">
        <v>231</v>
      </c>
      <c r="G579" t="s">
        <v>231</v>
      </c>
      <c r="H579" t="s">
        <v>231</v>
      </c>
      <c r="I579" t="s">
        <v>3521</v>
      </c>
      <c r="J579" t="s">
        <v>231</v>
      </c>
      <c r="K579" t="s">
        <v>231</v>
      </c>
      <c r="L579" t="s">
        <v>231</v>
      </c>
      <c r="M579" t="s">
        <v>231</v>
      </c>
      <c r="N579" t="s">
        <v>231</v>
      </c>
      <c r="O579" t="s">
        <v>231</v>
      </c>
      <c r="P579" t="s">
        <v>231</v>
      </c>
      <c r="Q579" t="s">
        <v>231</v>
      </c>
      <c r="R579" t="s">
        <v>3615</v>
      </c>
      <c r="S579" t="s">
        <v>231</v>
      </c>
      <c r="T579" t="s">
        <v>231</v>
      </c>
      <c r="U579" t="s">
        <v>101</v>
      </c>
      <c r="V579" t="s">
        <v>231</v>
      </c>
      <c r="W579" t="s">
        <v>231</v>
      </c>
      <c r="X579" t="s">
        <v>3523</v>
      </c>
      <c r="Y579" t="s">
        <v>231</v>
      </c>
      <c r="Z579" t="s">
        <v>160</v>
      </c>
      <c r="AA579" t="s">
        <v>151</v>
      </c>
      <c r="AB579" t="s">
        <v>151</v>
      </c>
      <c r="AC579" t="s">
        <v>2289</v>
      </c>
      <c r="AD579" t="s">
        <v>2289</v>
      </c>
      <c r="AE579" t="s">
        <v>2290</v>
      </c>
      <c r="AF579" t="s">
        <v>3874</v>
      </c>
      <c r="AG579" t="s">
        <v>3875</v>
      </c>
      <c r="AH579" t="s">
        <v>4174</v>
      </c>
      <c r="AI579" t="s">
        <v>3774</v>
      </c>
      <c r="AJ579" t="s">
        <v>3546</v>
      </c>
      <c r="AK579" t="s">
        <v>3789</v>
      </c>
      <c r="AL579" t="s">
        <v>3548</v>
      </c>
      <c r="AM579" t="s">
        <v>3531</v>
      </c>
      <c r="AN579" t="s">
        <v>3595</v>
      </c>
      <c r="AO579" t="s">
        <v>3923</v>
      </c>
      <c r="AP579" t="s">
        <v>231</v>
      </c>
      <c r="AQ579" t="s">
        <v>231</v>
      </c>
      <c r="AR579" t="s">
        <v>231</v>
      </c>
      <c r="AS579" t="s">
        <v>231</v>
      </c>
      <c r="AT579" t="s">
        <v>231</v>
      </c>
      <c r="AU579" t="s">
        <v>231</v>
      </c>
      <c r="AV579" t="s">
        <v>231</v>
      </c>
      <c r="AW579" t="s">
        <v>231</v>
      </c>
      <c r="AX579" t="s">
        <v>231</v>
      </c>
      <c r="AY579" t="s">
        <v>231</v>
      </c>
      <c r="AZ579" t="s">
        <v>231</v>
      </c>
      <c r="BA579" t="s">
        <v>231</v>
      </c>
      <c r="BB579" t="s">
        <v>231</v>
      </c>
      <c r="BC579" t="s">
        <v>231</v>
      </c>
      <c r="BD579" t="s">
        <v>231</v>
      </c>
      <c r="BE579" t="s">
        <v>231</v>
      </c>
      <c r="BF579" t="s">
        <v>231</v>
      </c>
      <c r="BG579" t="s">
        <v>231</v>
      </c>
      <c r="BH579" t="s">
        <v>231</v>
      </c>
      <c r="BI579" t="s">
        <v>231</v>
      </c>
      <c r="BJ579" t="s">
        <v>231</v>
      </c>
      <c r="BK579" t="s">
        <v>231</v>
      </c>
      <c r="BL579" t="s">
        <v>231</v>
      </c>
      <c r="BM579" t="s">
        <v>231</v>
      </c>
      <c r="BN579" t="s">
        <v>231</v>
      </c>
      <c r="BO579" t="s">
        <v>231</v>
      </c>
      <c r="BP579" t="s">
        <v>231</v>
      </c>
      <c r="BQ579" t="s">
        <v>231</v>
      </c>
      <c r="BR579" t="s">
        <v>231</v>
      </c>
      <c r="BS579" t="s">
        <v>231</v>
      </c>
      <c r="BT579" t="s">
        <v>231</v>
      </c>
      <c r="BU579" t="s">
        <v>231</v>
      </c>
      <c r="BV579" t="s">
        <v>231</v>
      </c>
      <c r="BW579" t="s">
        <v>231</v>
      </c>
      <c r="BX579" t="s">
        <v>231</v>
      </c>
      <c r="BY579" t="s">
        <v>231</v>
      </c>
      <c r="BZ579" t="s">
        <v>231</v>
      </c>
      <c r="CA579" t="s">
        <v>231</v>
      </c>
      <c r="CB579" t="s">
        <v>231</v>
      </c>
      <c r="CC579" t="s">
        <v>231</v>
      </c>
      <c r="CD579" t="s">
        <v>231</v>
      </c>
      <c r="CE579" t="s">
        <v>231</v>
      </c>
      <c r="CF579" t="s">
        <v>231</v>
      </c>
      <c r="CG579" t="s">
        <v>231</v>
      </c>
      <c r="CH579" t="s">
        <v>231</v>
      </c>
      <c r="CI579" t="s">
        <v>231</v>
      </c>
      <c r="CJ579" t="s">
        <v>231</v>
      </c>
      <c r="CK579" t="s">
        <v>231</v>
      </c>
      <c r="CL579" t="s">
        <v>231</v>
      </c>
      <c r="CM579" t="s">
        <v>231</v>
      </c>
      <c r="CN579" t="s">
        <v>231</v>
      </c>
      <c r="CO579" t="s">
        <v>231</v>
      </c>
      <c r="CP579" t="s">
        <v>231</v>
      </c>
      <c r="CQ579" t="s">
        <v>231</v>
      </c>
      <c r="CR579" t="s">
        <v>231</v>
      </c>
      <c r="CS579" t="s">
        <v>231</v>
      </c>
      <c r="CT579" t="s">
        <v>3534</v>
      </c>
      <c r="CU579" t="s">
        <v>3535</v>
      </c>
      <c r="CV579" t="s">
        <v>3536</v>
      </c>
      <c r="CW579" t="s">
        <v>3589</v>
      </c>
      <c r="CX579" t="s">
        <v>223</v>
      </c>
      <c r="CY579" t="s">
        <v>3536</v>
      </c>
      <c r="CZ579" t="s">
        <v>3590</v>
      </c>
      <c r="DA579" t="s">
        <v>3591</v>
      </c>
      <c r="DB579" t="s">
        <v>3589</v>
      </c>
      <c r="DC579" t="s">
        <v>363</v>
      </c>
      <c r="DD579" t="s">
        <v>282</v>
      </c>
      <c r="DE579" t="s">
        <v>4175</v>
      </c>
    </row>
    <row r="580" spans="1:109" ht="11.25" customHeight="1">
      <c r="A580" s="1314" t="s">
        <v>231</v>
      </c>
      <c r="B580" t="s">
        <v>231</v>
      </c>
      <c r="C580" t="s">
        <v>231</v>
      </c>
      <c r="D580" t="s">
        <v>231</v>
      </c>
      <c r="E580" t="s">
        <v>231</v>
      </c>
      <c r="F580" t="s">
        <v>231</v>
      </c>
      <c r="G580" t="s">
        <v>231</v>
      </c>
      <c r="H580" t="s">
        <v>231</v>
      </c>
      <c r="I580" t="s">
        <v>3521</v>
      </c>
      <c r="J580" t="s">
        <v>231</v>
      </c>
      <c r="K580" t="s">
        <v>231</v>
      </c>
      <c r="L580" t="s">
        <v>231</v>
      </c>
      <c r="M580" t="s">
        <v>231</v>
      </c>
      <c r="N580" t="s">
        <v>231</v>
      </c>
      <c r="O580" t="s">
        <v>231</v>
      </c>
      <c r="P580" t="s">
        <v>231</v>
      </c>
      <c r="Q580" t="s">
        <v>231</v>
      </c>
      <c r="R580" t="s">
        <v>4449</v>
      </c>
      <c r="S580" t="s">
        <v>231</v>
      </c>
      <c r="T580" t="s">
        <v>231</v>
      </c>
      <c r="U580" t="s">
        <v>101</v>
      </c>
      <c r="V580" t="s">
        <v>231</v>
      </c>
      <c r="W580" t="s">
        <v>231</v>
      </c>
      <c r="X580" t="s">
        <v>3523</v>
      </c>
      <c r="Y580" t="s">
        <v>231</v>
      </c>
      <c r="Z580" t="s">
        <v>160</v>
      </c>
      <c r="AA580" t="s">
        <v>151</v>
      </c>
      <c r="AB580" t="s">
        <v>151</v>
      </c>
      <c r="AC580" t="s">
        <v>2289</v>
      </c>
      <c r="AD580" t="s">
        <v>2289</v>
      </c>
      <c r="AE580" t="s">
        <v>2290</v>
      </c>
      <c r="AF580" t="s">
        <v>3874</v>
      </c>
      <c r="AG580" t="s">
        <v>3875</v>
      </c>
      <c r="AH580" t="s">
        <v>3932</v>
      </c>
      <c r="AI580" t="s">
        <v>3738</v>
      </c>
      <c r="AJ580" t="s">
        <v>3619</v>
      </c>
      <c r="AK580" t="s">
        <v>3876</v>
      </c>
      <c r="AL580" t="s">
        <v>3548</v>
      </c>
      <c r="AM580" t="s">
        <v>3531</v>
      </c>
      <c r="AN580" t="s">
        <v>3595</v>
      </c>
      <c r="AO580" t="s">
        <v>3923</v>
      </c>
      <c r="AP580" t="s">
        <v>231</v>
      </c>
      <c r="AQ580" t="s">
        <v>231</v>
      </c>
      <c r="AR580" t="s">
        <v>231</v>
      </c>
      <c r="AS580" t="s">
        <v>231</v>
      </c>
      <c r="AT580" t="s">
        <v>231</v>
      </c>
      <c r="AU580" t="s">
        <v>231</v>
      </c>
      <c r="AV580" t="s">
        <v>231</v>
      </c>
      <c r="AW580" t="s">
        <v>231</v>
      </c>
      <c r="AX580" t="s">
        <v>231</v>
      </c>
      <c r="AY580" t="s">
        <v>231</v>
      </c>
      <c r="AZ580" t="s">
        <v>231</v>
      </c>
      <c r="BA580" t="s">
        <v>231</v>
      </c>
      <c r="BB580" t="s">
        <v>231</v>
      </c>
      <c r="BC580" t="s">
        <v>231</v>
      </c>
      <c r="BD580" t="s">
        <v>231</v>
      </c>
      <c r="BE580" t="s">
        <v>231</v>
      </c>
      <c r="BF580" t="s">
        <v>231</v>
      </c>
      <c r="BG580" t="s">
        <v>231</v>
      </c>
      <c r="BH580" t="s">
        <v>231</v>
      </c>
      <c r="BI580" t="s">
        <v>231</v>
      </c>
      <c r="BJ580" t="s">
        <v>231</v>
      </c>
      <c r="BK580" t="s">
        <v>231</v>
      </c>
      <c r="BL580" t="s">
        <v>231</v>
      </c>
      <c r="BM580" t="s">
        <v>231</v>
      </c>
      <c r="BN580" t="s">
        <v>231</v>
      </c>
      <c r="BO580" t="s">
        <v>231</v>
      </c>
      <c r="BP580" t="s">
        <v>231</v>
      </c>
      <c r="BQ580" t="s">
        <v>231</v>
      </c>
      <c r="BR580" t="s">
        <v>231</v>
      </c>
      <c r="BS580" t="s">
        <v>231</v>
      </c>
      <c r="BT580" t="s">
        <v>231</v>
      </c>
      <c r="BU580" t="s">
        <v>231</v>
      </c>
      <c r="BV580" t="s">
        <v>231</v>
      </c>
      <c r="BW580" t="s">
        <v>231</v>
      </c>
      <c r="BX580" t="s">
        <v>231</v>
      </c>
      <c r="BY580" t="s">
        <v>231</v>
      </c>
      <c r="BZ580" t="s">
        <v>231</v>
      </c>
      <c r="CA580" t="s">
        <v>231</v>
      </c>
      <c r="CB580" t="s">
        <v>231</v>
      </c>
      <c r="CC580" t="s">
        <v>231</v>
      </c>
      <c r="CD580" t="s">
        <v>231</v>
      </c>
      <c r="CE580" t="s">
        <v>231</v>
      </c>
      <c r="CF580" t="s">
        <v>231</v>
      </c>
      <c r="CG580" t="s">
        <v>231</v>
      </c>
      <c r="CH580" t="s">
        <v>231</v>
      </c>
      <c r="CI580" t="s">
        <v>231</v>
      </c>
      <c r="CJ580" t="s">
        <v>231</v>
      </c>
      <c r="CK580" t="s">
        <v>231</v>
      </c>
      <c r="CL580" t="s">
        <v>231</v>
      </c>
      <c r="CM580" t="s">
        <v>231</v>
      </c>
      <c r="CN580" t="s">
        <v>231</v>
      </c>
      <c r="CO580" t="s">
        <v>231</v>
      </c>
      <c r="CP580" t="s">
        <v>231</v>
      </c>
      <c r="CQ580" t="s">
        <v>231</v>
      </c>
      <c r="CR580" t="s">
        <v>231</v>
      </c>
      <c r="CS580" t="s">
        <v>231</v>
      </c>
      <c r="CT580" t="s">
        <v>3534</v>
      </c>
      <c r="CU580" t="s">
        <v>3535</v>
      </c>
      <c r="CV580" t="s">
        <v>3536</v>
      </c>
      <c r="CW580" t="s">
        <v>3589</v>
      </c>
      <c r="CX580" t="s">
        <v>223</v>
      </c>
      <c r="CY580" t="s">
        <v>3536</v>
      </c>
      <c r="CZ580" t="s">
        <v>3590</v>
      </c>
      <c r="DA580" t="s">
        <v>3591</v>
      </c>
      <c r="DB580" t="s">
        <v>3589</v>
      </c>
      <c r="DC580" t="s">
        <v>363</v>
      </c>
      <c r="DD580" t="s">
        <v>282</v>
      </c>
      <c r="DE580" t="s">
        <v>4450</v>
      </c>
    </row>
    <row r="581" spans="1:109" ht="11.25" customHeight="1">
      <c r="A581" s="1314" t="s">
        <v>231</v>
      </c>
      <c r="B581" t="s">
        <v>231</v>
      </c>
      <c r="C581" t="s">
        <v>231</v>
      </c>
      <c r="D581" t="s">
        <v>231</v>
      </c>
      <c r="E581" t="s">
        <v>231</v>
      </c>
      <c r="F581" t="s">
        <v>231</v>
      </c>
      <c r="G581" t="s">
        <v>231</v>
      </c>
      <c r="H581" t="s">
        <v>231</v>
      </c>
      <c r="I581" t="s">
        <v>3521</v>
      </c>
      <c r="J581" t="s">
        <v>231</v>
      </c>
      <c r="K581" t="s">
        <v>231</v>
      </c>
      <c r="L581" t="s">
        <v>231</v>
      </c>
      <c r="M581" t="s">
        <v>231</v>
      </c>
      <c r="N581" t="s">
        <v>231</v>
      </c>
      <c r="O581" t="s">
        <v>231</v>
      </c>
      <c r="P581" t="s">
        <v>231</v>
      </c>
      <c r="Q581" t="s">
        <v>231</v>
      </c>
      <c r="R581" t="s">
        <v>4451</v>
      </c>
      <c r="S581" t="s">
        <v>231</v>
      </c>
      <c r="T581" t="s">
        <v>231</v>
      </c>
      <c r="U581" t="s">
        <v>101</v>
      </c>
      <c r="V581" t="s">
        <v>231</v>
      </c>
      <c r="W581" t="s">
        <v>231</v>
      </c>
      <c r="X581" t="s">
        <v>3523</v>
      </c>
      <c r="Y581" t="s">
        <v>231</v>
      </c>
      <c r="Z581" t="s">
        <v>160</v>
      </c>
      <c r="AA581" t="s">
        <v>151</v>
      </c>
      <c r="AB581" t="s">
        <v>151</v>
      </c>
      <c r="AC581" t="s">
        <v>2289</v>
      </c>
      <c r="AD581" t="s">
        <v>2289</v>
      </c>
      <c r="AE581" t="s">
        <v>2290</v>
      </c>
      <c r="AF581" t="s">
        <v>3874</v>
      </c>
      <c r="AG581" t="s">
        <v>3875</v>
      </c>
      <c r="AH581" t="s">
        <v>3932</v>
      </c>
      <c r="AI581" t="s">
        <v>4452</v>
      </c>
      <c r="AJ581" t="s">
        <v>3619</v>
      </c>
      <c r="AK581" t="s">
        <v>3820</v>
      </c>
      <c r="AL581" t="s">
        <v>3548</v>
      </c>
      <c r="AM581" t="s">
        <v>3531</v>
      </c>
      <c r="AN581" t="s">
        <v>3587</v>
      </c>
      <c r="AO581" t="s">
        <v>3550</v>
      </c>
      <c r="AP581" t="s">
        <v>231</v>
      </c>
      <c r="AQ581" t="s">
        <v>231</v>
      </c>
      <c r="AR581" t="s">
        <v>231</v>
      </c>
      <c r="AS581" t="s">
        <v>231</v>
      </c>
      <c r="AT581" t="s">
        <v>231</v>
      </c>
      <c r="AU581" t="s">
        <v>231</v>
      </c>
      <c r="AV581" t="s">
        <v>231</v>
      </c>
      <c r="AW581" t="s">
        <v>231</v>
      </c>
      <c r="AX581" t="s">
        <v>231</v>
      </c>
      <c r="AY581" t="s">
        <v>231</v>
      </c>
      <c r="AZ581" t="s">
        <v>231</v>
      </c>
      <c r="BA581" t="s">
        <v>231</v>
      </c>
      <c r="BB581" t="s">
        <v>231</v>
      </c>
      <c r="BC581" t="s">
        <v>231</v>
      </c>
      <c r="BD581" t="s">
        <v>231</v>
      </c>
      <c r="BE581" t="s">
        <v>231</v>
      </c>
      <c r="BF581" t="s">
        <v>231</v>
      </c>
      <c r="BG581" t="s">
        <v>231</v>
      </c>
      <c r="BH581" t="s">
        <v>231</v>
      </c>
      <c r="BI581" t="s">
        <v>231</v>
      </c>
      <c r="BJ581" t="s">
        <v>231</v>
      </c>
      <c r="BK581" t="s">
        <v>231</v>
      </c>
      <c r="BL581" t="s">
        <v>231</v>
      </c>
      <c r="BM581" t="s">
        <v>231</v>
      </c>
      <c r="BN581" t="s">
        <v>231</v>
      </c>
      <c r="BO581" t="s">
        <v>231</v>
      </c>
      <c r="BP581" t="s">
        <v>231</v>
      </c>
      <c r="BQ581" t="s">
        <v>231</v>
      </c>
      <c r="BR581" t="s">
        <v>231</v>
      </c>
      <c r="BS581" t="s">
        <v>231</v>
      </c>
      <c r="BT581" t="s">
        <v>231</v>
      </c>
      <c r="BU581" t="s">
        <v>231</v>
      </c>
      <c r="BV581" t="s">
        <v>231</v>
      </c>
      <c r="BW581" t="s">
        <v>231</v>
      </c>
      <c r="BX581" t="s">
        <v>231</v>
      </c>
      <c r="BY581" t="s">
        <v>231</v>
      </c>
      <c r="BZ581" t="s">
        <v>231</v>
      </c>
      <c r="CA581" t="s">
        <v>231</v>
      </c>
      <c r="CB581" t="s">
        <v>231</v>
      </c>
      <c r="CC581" t="s">
        <v>231</v>
      </c>
      <c r="CD581" t="s">
        <v>231</v>
      </c>
      <c r="CE581" t="s">
        <v>231</v>
      </c>
      <c r="CF581" t="s">
        <v>231</v>
      </c>
      <c r="CG581" t="s">
        <v>231</v>
      </c>
      <c r="CH581" t="s">
        <v>231</v>
      </c>
      <c r="CI581" t="s">
        <v>231</v>
      </c>
      <c r="CJ581" t="s">
        <v>231</v>
      </c>
      <c r="CK581" t="s">
        <v>231</v>
      </c>
      <c r="CL581" t="s">
        <v>231</v>
      </c>
      <c r="CM581" t="s">
        <v>231</v>
      </c>
      <c r="CN581" t="s">
        <v>231</v>
      </c>
      <c r="CO581" t="s">
        <v>231</v>
      </c>
      <c r="CP581" t="s">
        <v>231</v>
      </c>
      <c r="CQ581" t="s">
        <v>231</v>
      </c>
      <c r="CR581" t="s">
        <v>231</v>
      </c>
      <c r="CS581" t="s">
        <v>231</v>
      </c>
      <c r="CT581" t="s">
        <v>3534</v>
      </c>
      <c r="CU581" t="s">
        <v>3535</v>
      </c>
      <c r="CV581" t="s">
        <v>3536</v>
      </c>
      <c r="CW581" t="s">
        <v>3589</v>
      </c>
      <c r="CX581" t="s">
        <v>223</v>
      </c>
      <c r="CY581" t="s">
        <v>3536</v>
      </c>
      <c r="CZ581" t="s">
        <v>3590</v>
      </c>
      <c r="DA581" t="s">
        <v>3591</v>
      </c>
      <c r="DB581" t="s">
        <v>3589</v>
      </c>
      <c r="DC581" t="s">
        <v>363</v>
      </c>
      <c r="DD581" t="s">
        <v>282</v>
      </c>
      <c r="DE581" t="s">
        <v>4453</v>
      </c>
    </row>
    <row r="582" spans="1:109" ht="11.25" customHeight="1">
      <c r="A582" s="1314" t="s">
        <v>231</v>
      </c>
      <c r="B582" t="s">
        <v>231</v>
      </c>
      <c r="C582" t="s">
        <v>231</v>
      </c>
      <c r="D582" t="s">
        <v>231</v>
      </c>
      <c r="E582" t="s">
        <v>231</v>
      </c>
      <c r="F582" t="s">
        <v>231</v>
      </c>
      <c r="G582" t="s">
        <v>231</v>
      </c>
      <c r="H582" t="s">
        <v>231</v>
      </c>
      <c r="I582" t="s">
        <v>3521</v>
      </c>
      <c r="J582" t="s">
        <v>231</v>
      </c>
      <c r="K582" t="s">
        <v>231</v>
      </c>
      <c r="L582" t="s">
        <v>231</v>
      </c>
      <c r="M582" t="s">
        <v>231</v>
      </c>
      <c r="N582" t="s">
        <v>231</v>
      </c>
      <c r="O582" t="s">
        <v>231</v>
      </c>
      <c r="P582" t="s">
        <v>231</v>
      </c>
      <c r="Q582" t="s">
        <v>231</v>
      </c>
      <c r="R582" t="s">
        <v>3615</v>
      </c>
      <c r="S582" t="s">
        <v>231</v>
      </c>
      <c r="T582" t="s">
        <v>231</v>
      </c>
      <c r="U582" t="s">
        <v>101</v>
      </c>
      <c r="V582" t="s">
        <v>231</v>
      </c>
      <c r="W582" t="s">
        <v>231</v>
      </c>
      <c r="X582" t="s">
        <v>3523</v>
      </c>
      <c r="Y582" t="s">
        <v>231</v>
      </c>
      <c r="Z582" t="s">
        <v>160</v>
      </c>
      <c r="AA582" t="s">
        <v>151</v>
      </c>
      <c r="AB582" t="s">
        <v>151</v>
      </c>
      <c r="AC582" t="s">
        <v>2287</v>
      </c>
      <c r="AD582" t="s">
        <v>2287</v>
      </c>
      <c r="AE582" t="s">
        <v>2288</v>
      </c>
      <c r="AF582" t="s">
        <v>4189</v>
      </c>
      <c r="AG582" t="s">
        <v>4190</v>
      </c>
      <c r="AH582" t="s">
        <v>4191</v>
      </c>
      <c r="AI582" t="s">
        <v>478</v>
      </c>
      <c r="AJ582" t="s">
        <v>3619</v>
      </c>
      <c r="AK582" t="s">
        <v>4185</v>
      </c>
      <c r="AL582" t="s">
        <v>3548</v>
      </c>
      <c r="AM582" t="s">
        <v>3531</v>
      </c>
      <c r="AN582" t="s">
        <v>3621</v>
      </c>
      <c r="AO582" t="s">
        <v>3901</v>
      </c>
      <c r="AP582" t="s">
        <v>231</v>
      </c>
      <c r="AQ582" t="s">
        <v>231</v>
      </c>
      <c r="AR582" t="s">
        <v>231</v>
      </c>
      <c r="AS582" t="s">
        <v>231</v>
      </c>
      <c r="AT582" t="s">
        <v>231</v>
      </c>
      <c r="AU582" t="s">
        <v>231</v>
      </c>
      <c r="AV582" t="s">
        <v>231</v>
      </c>
      <c r="AW582" t="s">
        <v>231</v>
      </c>
      <c r="AX582" t="s">
        <v>231</v>
      </c>
      <c r="AY582" t="s">
        <v>231</v>
      </c>
      <c r="AZ582" t="s">
        <v>231</v>
      </c>
      <c r="BA582" t="s">
        <v>231</v>
      </c>
      <c r="BB582" t="s">
        <v>231</v>
      </c>
      <c r="BC582" t="s">
        <v>231</v>
      </c>
      <c r="BD582" t="s">
        <v>231</v>
      </c>
      <c r="BE582" t="s">
        <v>231</v>
      </c>
      <c r="BF582" t="s">
        <v>231</v>
      </c>
      <c r="BG582" t="s">
        <v>231</v>
      </c>
      <c r="BH582" t="s">
        <v>231</v>
      </c>
      <c r="BI582" t="s">
        <v>231</v>
      </c>
      <c r="BJ582" t="s">
        <v>231</v>
      </c>
      <c r="BK582" t="s">
        <v>231</v>
      </c>
      <c r="BL582" t="s">
        <v>231</v>
      </c>
      <c r="BM582" t="s">
        <v>231</v>
      </c>
      <c r="BN582" t="s">
        <v>231</v>
      </c>
      <c r="BO582" t="s">
        <v>231</v>
      </c>
      <c r="BP582" t="s">
        <v>231</v>
      </c>
      <c r="BQ582" t="s">
        <v>231</v>
      </c>
      <c r="BR582" t="s">
        <v>231</v>
      </c>
      <c r="BS582" t="s">
        <v>231</v>
      </c>
      <c r="BT582" t="s">
        <v>231</v>
      </c>
      <c r="BU582" t="s">
        <v>231</v>
      </c>
      <c r="BV582" t="s">
        <v>231</v>
      </c>
      <c r="BW582" t="s">
        <v>231</v>
      </c>
      <c r="BX582" t="s">
        <v>231</v>
      </c>
      <c r="BY582" t="s">
        <v>231</v>
      </c>
      <c r="BZ582" t="s">
        <v>231</v>
      </c>
      <c r="CA582" t="s">
        <v>231</v>
      </c>
      <c r="CB582" t="s">
        <v>231</v>
      </c>
      <c r="CC582" t="s">
        <v>231</v>
      </c>
      <c r="CD582" t="s">
        <v>231</v>
      </c>
      <c r="CE582" t="s">
        <v>231</v>
      </c>
      <c r="CF582" t="s">
        <v>231</v>
      </c>
      <c r="CG582" t="s">
        <v>231</v>
      </c>
      <c r="CH582" t="s">
        <v>231</v>
      </c>
      <c r="CI582" t="s">
        <v>231</v>
      </c>
      <c r="CJ582" t="s">
        <v>231</v>
      </c>
      <c r="CK582" t="s">
        <v>231</v>
      </c>
      <c r="CL582" t="s">
        <v>231</v>
      </c>
      <c r="CM582" t="s">
        <v>231</v>
      </c>
      <c r="CN582" t="s">
        <v>231</v>
      </c>
      <c r="CO582" t="s">
        <v>231</v>
      </c>
      <c r="CP582" t="s">
        <v>231</v>
      </c>
      <c r="CQ582" t="s">
        <v>231</v>
      </c>
      <c r="CR582" t="s">
        <v>231</v>
      </c>
      <c r="CS582" t="s">
        <v>231</v>
      </c>
      <c r="CT582" t="s">
        <v>3534</v>
      </c>
      <c r="CU582" t="s">
        <v>3535</v>
      </c>
      <c r="CV582" t="s">
        <v>3536</v>
      </c>
      <c r="CW582" t="s">
        <v>3623</v>
      </c>
      <c r="CX582" t="s">
        <v>223</v>
      </c>
      <c r="CY582" t="s">
        <v>3536</v>
      </c>
      <c r="CZ582" t="s">
        <v>3624</v>
      </c>
      <c r="DA582" t="s">
        <v>3625</v>
      </c>
      <c r="DB582" t="s">
        <v>3623</v>
      </c>
      <c r="DC582" t="s">
        <v>363</v>
      </c>
      <c r="DD582" t="s">
        <v>282</v>
      </c>
      <c r="DE582" t="s">
        <v>4192</v>
      </c>
    </row>
    <row r="583" spans="1:109" ht="11.25" customHeight="1">
      <c r="A583" s="1314" t="s">
        <v>231</v>
      </c>
      <c r="B583" t="s">
        <v>231</v>
      </c>
      <c r="C583" t="s">
        <v>231</v>
      </c>
      <c r="D583" t="s">
        <v>231</v>
      </c>
      <c r="E583" t="s">
        <v>231</v>
      </c>
      <c r="F583" t="s">
        <v>231</v>
      </c>
      <c r="G583" t="s">
        <v>231</v>
      </c>
      <c r="H583" t="s">
        <v>231</v>
      </c>
      <c r="I583" t="s">
        <v>3521</v>
      </c>
      <c r="J583" t="s">
        <v>231</v>
      </c>
      <c r="K583" t="s">
        <v>231</v>
      </c>
      <c r="L583" t="s">
        <v>231</v>
      </c>
      <c r="M583" t="s">
        <v>231</v>
      </c>
      <c r="N583" t="s">
        <v>231</v>
      </c>
      <c r="O583" t="s">
        <v>231</v>
      </c>
      <c r="P583" t="s">
        <v>231</v>
      </c>
      <c r="Q583" t="s">
        <v>231</v>
      </c>
      <c r="R583" t="s">
        <v>3615</v>
      </c>
      <c r="S583" t="s">
        <v>231</v>
      </c>
      <c r="T583" t="s">
        <v>231</v>
      </c>
      <c r="U583" t="s">
        <v>101</v>
      </c>
      <c r="V583" t="s">
        <v>231</v>
      </c>
      <c r="W583" t="s">
        <v>231</v>
      </c>
      <c r="X583" t="s">
        <v>3523</v>
      </c>
      <c r="Y583" t="s">
        <v>231</v>
      </c>
      <c r="Z583" t="s">
        <v>160</v>
      </c>
      <c r="AA583" t="s">
        <v>151</v>
      </c>
      <c r="AB583" t="s">
        <v>151</v>
      </c>
      <c r="AC583" t="s">
        <v>2287</v>
      </c>
      <c r="AD583" t="s">
        <v>2287</v>
      </c>
      <c r="AE583" t="s">
        <v>2288</v>
      </c>
      <c r="AF583" t="s">
        <v>4189</v>
      </c>
      <c r="AG583" t="s">
        <v>4190</v>
      </c>
      <c r="AH583" t="s">
        <v>4458</v>
      </c>
      <c r="AI583" t="s">
        <v>224</v>
      </c>
      <c r="AJ583" t="s">
        <v>3619</v>
      </c>
      <c r="AK583" t="s">
        <v>3858</v>
      </c>
      <c r="AL583" t="s">
        <v>3548</v>
      </c>
      <c r="AM583" t="s">
        <v>3531</v>
      </c>
      <c r="AN583" t="s">
        <v>3621</v>
      </c>
      <c r="AO583" t="s">
        <v>3901</v>
      </c>
      <c r="AP583" t="s">
        <v>231</v>
      </c>
      <c r="AQ583" t="s">
        <v>231</v>
      </c>
      <c r="AR583" t="s">
        <v>231</v>
      </c>
      <c r="AS583" t="s">
        <v>231</v>
      </c>
      <c r="AT583" t="s">
        <v>231</v>
      </c>
      <c r="AU583" t="s">
        <v>231</v>
      </c>
      <c r="AV583" t="s">
        <v>231</v>
      </c>
      <c r="AW583" t="s">
        <v>231</v>
      </c>
      <c r="AX583" t="s">
        <v>231</v>
      </c>
      <c r="AY583" t="s">
        <v>231</v>
      </c>
      <c r="AZ583" t="s">
        <v>231</v>
      </c>
      <c r="BA583" t="s">
        <v>231</v>
      </c>
      <c r="BB583" t="s">
        <v>231</v>
      </c>
      <c r="BC583" t="s">
        <v>231</v>
      </c>
      <c r="BD583" t="s">
        <v>231</v>
      </c>
      <c r="BE583" t="s">
        <v>231</v>
      </c>
      <c r="BF583" t="s">
        <v>231</v>
      </c>
      <c r="BG583" t="s">
        <v>231</v>
      </c>
      <c r="BH583" t="s">
        <v>231</v>
      </c>
      <c r="BI583" t="s">
        <v>231</v>
      </c>
      <c r="BJ583" t="s">
        <v>231</v>
      </c>
      <c r="BK583" t="s">
        <v>231</v>
      </c>
      <c r="BL583" t="s">
        <v>231</v>
      </c>
      <c r="BM583" t="s">
        <v>231</v>
      </c>
      <c r="BN583" t="s">
        <v>231</v>
      </c>
      <c r="BO583" t="s">
        <v>231</v>
      </c>
      <c r="BP583" t="s">
        <v>231</v>
      </c>
      <c r="BQ583" t="s">
        <v>231</v>
      </c>
      <c r="BR583" t="s">
        <v>231</v>
      </c>
      <c r="BS583" t="s">
        <v>231</v>
      </c>
      <c r="BT583" t="s">
        <v>231</v>
      </c>
      <c r="BU583" t="s">
        <v>231</v>
      </c>
      <c r="BV583" t="s">
        <v>231</v>
      </c>
      <c r="BW583" t="s">
        <v>231</v>
      </c>
      <c r="BX583" t="s">
        <v>231</v>
      </c>
      <c r="BY583" t="s">
        <v>231</v>
      </c>
      <c r="BZ583" t="s">
        <v>231</v>
      </c>
      <c r="CA583" t="s">
        <v>231</v>
      </c>
      <c r="CB583" t="s">
        <v>231</v>
      </c>
      <c r="CC583" t="s">
        <v>231</v>
      </c>
      <c r="CD583" t="s">
        <v>231</v>
      </c>
      <c r="CE583" t="s">
        <v>231</v>
      </c>
      <c r="CF583" t="s">
        <v>231</v>
      </c>
      <c r="CG583" t="s">
        <v>231</v>
      </c>
      <c r="CH583" t="s">
        <v>231</v>
      </c>
      <c r="CI583" t="s">
        <v>231</v>
      </c>
      <c r="CJ583" t="s">
        <v>231</v>
      </c>
      <c r="CK583" t="s">
        <v>231</v>
      </c>
      <c r="CL583" t="s">
        <v>231</v>
      </c>
      <c r="CM583" t="s">
        <v>231</v>
      </c>
      <c r="CN583" t="s">
        <v>231</v>
      </c>
      <c r="CO583" t="s">
        <v>231</v>
      </c>
      <c r="CP583" t="s">
        <v>231</v>
      </c>
      <c r="CQ583" t="s">
        <v>231</v>
      </c>
      <c r="CR583" t="s">
        <v>231</v>
      </c>
      <c r="CS583" t="s">
        <v>231</v>
      </c>
      <c r="CT583" t="s">
        <v>3534</v>
      </c>
      <c r="CU583" t="s">
        <v>3535</v>
      </c>
      <c r="CV583" t="s">
        <v>3536</v>
      </c>
      <c r="CW583" t="s">
        <v>3623</v>
      </c>
      <c r="CX583" t="s">
        <v>223</v>
      </c>
      <c r="CY583" t="s">
        <v>3536</v>
      </c>
      <c r="CZ583" t="s">
        <v>3624</v>
      </c>
      <c r="DA583" t="s">
        <v>3625</v>
      </c>
      <c r="DB583" t="s">
        <v>3623</v>
      </c>
      <c r="DC583" t="s">
        <v>363</v>
      </c>
      <c r="DD583" t="s">
        <v>282</v>
      </c>
      <c r="DE583" t="s">
        <v>4459</v>
      </c>
    </row>
    <row r="584" spans="1:109" ht="11.25" customHeight="1">
      <c r="A584" s="1314" t="s">
        <v>231</v>
      </c>
      <c r="B584" t="s">
        <v>231</v>
      </c>
      <c r="C584" t="s">
        <v>231</v>
      </c>
      <c r="D584" t="s">
        <v>231</v>
      </c>
      <c r="E584" t="s">
        <v>231</v>
      </c>
      <c r="F584" t="s">
        <v>231</v>
      </c>
      <c r="G584" t="s">
        <v>231</v>
      </c>
      <c r="H584" t="s">
        <v>231</v>
      </c>
      <c r="I584" t="s">
        <v>3521</v>
      </c>
      <c r="J584" t="s">
        <v>231</v>
      </c>
      <c r="K584" t="s">
        <v>231</v>
      </c>
      <c r="L584" t="s">
        <v>231</v>
      </c>
      <c r="M584" t="s">
        <v>231</v>
      </c>
      <c r="N584" t="s">
        <v>231</v>
      </c>
      <c r="O584" t="s">
        <v>231</v>
      </c>
      <c r="P584" t="s">
        <v>231</v>
      </c>
      <c r="Q584" t="s">
        <v>231</v>
      </c>
      <c r="R584" t="s">
        <v>4112</v>
      </c>
      <c r="S584" t="s">
        <v>231</v>
      </c>
      <c r="T584" t="s">
        <v>231</v>
      </c>
      <c r="U584" t="s">
        <v>101</v>
      </c>
      <c r="V584" t="s">
        <v>231</v>
      </c>
      <c r="W584" t="s">
        <v>231</v>
      </c>
      <c r="X584" t="s">
        <v>3628</v>
      </c>
      <c r="Y584" t="s">
        <v>231</v>
      </c>
      <c r="Z584" t="s">
        <v>151</v>
      </c>
      <c r="AA584" t="s">
        <v>151</v>
      </c>
      <c r="AB584" t="s">
        <v>160</v>
      </c>
      <c r="AC584" t="s">
        <v>2691</v>
      </c>
      <c r="AD584" t="s">
        <v>2691</v>
      </c>
      <c r="AE584" t="s">
        <v>2692</v>
      </c>
      <c r="AF584" t="s">
        <v>3991</v>
      </c>
      <c r="AG584" t="s">
        <v>3992</v>
      </c>
      <c r="AH584" t="s">
        <v>4113</v>
      </c>
      <c r="AI584" t="s">
        <v>151</v>
      </c>
      <c r="AJ584" t="s">
        <v>231</v>
      </c>
      <c r="AK584" t="s">
        <v>231</v>
      </c>
      <c r="AL584" t="s">
        <v>231</v>
      </c>
      <c r="AM584" t="s">
        <v>231</v>
      </c>
      <c r="AN584" t="s">
        <v>231</v>
      </c>
      <c r="AO584" t="s">
        <v>231</v>
      </c>
      <c r="AP584" t="s">
        <v>231</v>
      </c>
      <c r="AQ584" t="s">
        <v>231</v>
      </c>
      <c r="AR584" t="s">
        <v>231</v>
      </c>
      <c r="AS584" t="s">
        <v>231</v>
      </c>
      <c r="AT584" t="s">
        <v>231</v>
      </c>
      <c r="AU584" t="s">
        <v>231</v>
      </c>
      <c r="AV584" t="s">
        <v>231</v>
      </c>
      <c r="AW584" t="s">
        <v>231</v>
      </c>
      <c r="AX584" t="s">
        <v>231</v>
      </c>
      <c r="AY584" t="s">
        <v>231</v>
      </c>
      <c r="AZ584" t="s">
        <v>231</v>
      </c>
      <c r="BA584" t="s">
        <v>231</v>
      </c>
      <c r="BB584" t="s">
        <v>231</v>
      </c>
      <c r="BC584" t="s">
        <v>231</v>
      </c>
      <c r="BD584" t="s">
        <v>231</v>
      </c>
      <c r="BE584" t="s">
        <v>3994</v>
      </c>
      <c r="BF584" t="s">
        <v>4114</v>
      </c>
      <c r="BG584" t="s">
        <v>111</v>
      </c>
      <c r="BH584" t="s">
        <v>3632</v>
      </c>
      <c r="BI584" t="s">
        <v>122</v>
      </c>
      <c r="BJ584" t="s">
        <v>231</v>
      </c>
      <c r="BK584" t="s">
        <v>4115</v>
      </c>
      <c r="BL584" t="s">
        <v>2691</v>
      </c>
      <c r="BM584" t="s">
        <v>2691</v>
      </c>
      <c r="BN584" t="s">
        <v>4116</v>
      </c>
      <c r="BO584" t="s">
        <v>3991</v>
      </c>
      <c r="BP584" t="s">
        <v>4117</v>
      </c>
      <c r="BQ584" t="s">
        <v>4118</v>
      </c>
      <c r="BR584" t="s">
        <v>151</v>
      </c>
      <c r="BS584" t="s">
        <v>231</v>
      </c>
      <c r="BT584" t="s">
        <v>3637</v>
      </c>
      <c r="BU584" t="s">
        <v>4119</v>
      </c>
      <c r="BV584" t="s">
        <v>4120</v>
      </c>
      <c r="BW584" t="s">
        <v>4121</v>
      </c>
      <c r="BX584" t="s">
        <v>3641</v>
      </c>
      <c r="BY584" t="s">
        <v>3641</v>
      </c>
      <c r="BZ584" t="s">
        <v>3641</v>
      </c>
      <c r="CA584" t="s">
        <v>3641</v>
      </c>
      <c r="CB584" t="s">
        <v>3641</v>
      </c>
      <c r="CC584" t="s">
        <v>3641</v>
      </c>
      <c r="CD584" t="s">
        <v>3641</v>
      </c>
      <c r="CE584" t="s">
        <v>3641</v>
      </c>
      <c r="CF584" t="s">
        <v>3641</v>
      </c>
      <c r="CG584" t="s">
        <v>3641</v>
      </c>
      <c r="CH584" t="s">
        <v>3641</v>
      </c>
      <c r="CI584" t="s">
        <v>3641</v>
      </c>
      <c r="CJ584" t="s">
        <v>3641</v>
      </c>
      <c r="CK584" t="s">
        <v>3641</v>
      </c>
      <c r="CL584" t="s">
        <v>3641</v>
      </c>
      <c r="CM584" t="s">
        <v>4119</v>
      </c>
      <c r="CN584" t="s">
        <v>4120</v>
      </c>
      <c r="CO584" t="s">
        <v>4121</v>
      </c>
      <c r="CP584" t="s">
        <v>3641</v>
      </c>
      <c r="CQ584" t="s">
        <v>3641</v>
      </c>
      <c r="CR584" t="s">
        <v>3641</v>
      </c>
      <c r="CS584" t="s">
        <v>4122</v>
      </c>
      <c r="CT584" t="s">
        <v>3534</v>
      </c>
      <c r="CU584" t="s">
        <v>3535</v>
      </c>
      <c r="CV584" t="s">
        <v>3997</v>
      </c>
      <c r="CW584" t="s">
        <v>3998</v>
      </c>
      <c r="CX584" t="s">
        <v>3570</v>
      </c>
      <c r="CY584" t="s">
        <v>3997</v>
      </c>
      <c r="CZ584" t="s">
        <v>3575</v>
      </c>
      <c r="DA584" t="s">
        <v>3999</v>
      </c>
      <c r="DB584" t="s">
        <v>3643</v>
      </c>
      <c r="DC584" t="s">
        <v>363</v>
      </c>
      <c r="DD584" t="s">
        <v>282</v>
      </c>
      <c r="DE584" t="s">
        <v>4123</v>
      </c>
    </row>
    <row r="585" spans="1:109" ht="11.25" customHeight="1">
      <c r="A585" s="1314" t="s">
        <v>231</v>
      </c>
      <c r="B585" t="s">
        <v>231</v>
      </c>
      <c r="C585" t="s">
        <v>231</v>
      </c>
      <c r="D585" t="s">
        <v>231</v>
      </c>
      <c r="E585" t="s">
        <v>231</v>
      </c>
      <c r="F585" t="s">
        <v>231</v>
      </c>
      <c r="G585" t="s">
        <v>231</v>
      </c>
      <c r="H585" t="s">
        <v>231</v>
      </c>
      <c r="I585" t="s">
        <v>3521</v>
      </c>
      <c r="J585" t="s">
        <v>231</v>
      </c>
      <c r="K585" t="s">
        <v>231</v>
      </c>
      <c r="L585" t="s">
        <v>231</v>
      </c>
      <c r="M585" t="s">
        <v>231</v>
      </c>
      <c r="N585" t="s">
        <v>231</v>
      </c>
      <c r="O585" t="s">
        <v>231</v>
      </c>
      <c r="P585" t="s">
        <v>231</v>
      </c>
      <c r="Q585" t="s">
        <v>231</v>
      </c>
      <c r="R585" t="s">
        <v>5079</v>
      </c>
      <c r="S585" t="s">
        <v>231</v>
      </c>
      <c r="T585" t="s">
        <v>231</v>
      </c>
      <c r="U585" t="s">
        <v>101</v>
      </c>
      <c r="V585" t="s">
        <v>231</v>
      </c>
      <c r="W585" t="s">
        <v>231</v>
      </c>
      <c r="X585" t="s">
        <v>3523</v>
      </c>
      <c r="Y585" t="s">
        <v>231</v>
      </c>
      <c r="Z585" t="s">
        <v>160</v>
      </c>
      <c r="AA585" t="s">
        <v>151</v>
      </c>
      <c r="AB585" t="s">
        <v>151</v>
      </c>
      <c r="AC585" t="s">
        <v>343</v>
      </c>
      <c r="AD585" t="s">
        <v>343</v>
      </c>
      <c r="AE585" t="s">
        <v>344</v>
      </c>
      <c r="AF585" t="s">
        <v>3561</v>
      </c>
      <c r="AG585" t="s">
        <v>3562</v>
      </c>
      <c r="AH585" t="s">
        <v>4047</v>
      </c>
      <c r="AI585" t="s">
        <v>3575</v>
      </c>
      <c r="AJ585" t="s">
        <v>3546</v>
      </c>
      <c r="AK585" t="s">
        <v>5080</v>
      </c>
      <c r="AL585" t="s">
        <v>3613</v>
      </c>
      <c r="AM585" t="s">
        <v>3531</v>
      </c>
      <c r="AN585" t="s">
        <v>3641</v>
      </c>
      <c r="AO585" t="s">
        <v>5081</v>
      </c>
      <c r="AP585" t="s">
        <v>231</v>
      </c>
      <c r="AQ585" t="s">
        <v>231</v>
      </c>
      <c r="AR585" t="s">
        <v>231</v>
      </c>
      <c r="AS585" t="s">
        <v>231</v>
      </c>
      <c r="AT585" t="s">
        <v>231</v>
      </c>
      <c r="AU585" t="s">
        <v>231</v>
      </c>
      <c r="AV585" t="s">
        <v>231</v>
      </c>
      <c r="AW585" t="s">
        <v>231</v>
      </c>
      <c r="AX585" t="s">
        <v>231</v>
      </c>
      <c r="AY585" t="s">
        <v>231</v>
      </c>
      <c r="AZ585" t="s">
        <v>231</v>
      </c>
      <c r="BA585" t="s">
        <v>231</v>
      </c>
      <c r="BB585" t="s">
        <v>231</v>
      </c>
      <c r="BC585" t="s">
        <v>231</v>
      </c>
      <c r="BD585" t="s">
        <v>231</v>
      </c>
      <c r="BE585" t="s">
        <v>231</v>
      </c>
      <c r="BF585" t="s">
        <v>231</v>
      </c>
      <c r="BG585" t="s">
        <v>231</v>
      </c>
      <c r="BH585" t="s">
        <v>231</v>
      </c>
      <c r="BI585" t="s">
        <v>231</v>
      </c>
      <c r="BJ585" t="s">
        <v>231</v>
      </c>
      <c r="BK585" t="s">
        <v>231</v>
      </c>
      <c r="BL585" t="s">
        <v>231</v>
      </c>
      <c r="BM585" t="s">
        <v>231</v>
      </c>
      <c r="BN585" t="s">
        <v>231</v>
      </c>
      <c r="BO585" t="s">
        <v>231</v>
      </c>
      <c r="BP585" t="s">
        <v>231</v>
      </c>
      <c r="BQ585" t="s">
        <v>231</v>
      </c>
      <c r="BR585" t="s">
        <v>231</v>
      </c>
      <c r="BS585" t="s">
        <v>231</v>
      </c>
      <c r="BT585" t="s">
        <v>231</v>
      </c>
      <c r="BU585" t="s">
        <v>231</v>
      </c>
      <c r="BV585" t="s">
        <v>231</v>
      </c>
      <c r="BW585" t="s">
        <v>231</v>
      </c>
      <c r="BX585" t="s">
        <v>231</v>
      </c>
      <c r="BY585" t="s">
        <v>231</v>
      </c>
      <c r="BZ585" t="s">
        <v>231</v>
      </c>
      <c r="CA585" t="s">
        <v>231</v>
      </c>
      <c r="CB585" t="s">
        <v>231</v>
      </c>
      <c r="CC585" t="s">
        <v>231</v>
      </c>
      <c r="CD585" t="s">
        <v>231</v>
      </c>
      <c r="CE585" t="s">
        <v>231</v>
      </c>
      <c r="CF585" t="s">
        <v>231</v>
      </c>
      <c r="CG585" t="s">
        <v>231</v>
      </c>
      <c r="CH585" t="s">
        <v>231</v>
      </c>
      <c r="CI585" t="s">
        <v>231</v>
      </c>
      <c r="CJ585" t="s">
        <v>231</v>
      </c>
      <c r="CK585" t="s">
        <v>231</v>
      </c>
      <c r="CL585" t="s">
        <v>231</v>
      </c>
      <c r="CM585" t="s">
        <v>231</v>
      </c>
      <c r="CN585" t="s">
        <v>231</v>
      </c>
      <c r="CO585" t="s">
        <v>231</v>
      </c>
      <c r="CP585" t="s">
        <v>231</v>
      </c>
      <c r="CQ585" t="s">
        <v>231</v>
      </c>
      <c r="CR585" t="s">
        <v>231</v>
      </c>
      <c r="CS585" t="s">
        <v>231</v>
      </c>
      <c r="CT585" t="s">
        <v>3534</v>
      </c>
      <c r="CU585" t="s">
        <v>3535</v>
      </c>
      <c r="CV585" t="s">
        <v>3536</v>
      </c>
      <c r="CW585" t="s">
        <v>3569</v>
      </c>
      <c r="CX585" t="s">
        <v>3570</v>
      </c>
      <c r="CY585" t="s">
        <v>3536</v>
      </c>
      <c r="CZ585" t="s">
        <v>224</v>
      </c>
      <c r="DA585" t="s">
        <v>3571</v>
      </c>
      <c r="DB585" t="s">
        <v>3569</v>
      </c>
      <c r="DC585" t="s">
        <v>363</v>
      </c>
      <c r="DD585" t="s">
        <v>282</v>
      </c>
      <c r="DE585" t="s">
        <v>4050</v>
      </c>
    </row>
    <row r="586" spans="1:109" ht="11.25" customHeight="1">
      <c r="A586" s="1314" t="s">
        <v>231</v>
      </c>
      <c r="B586" t="s">
        <v>231</v>
      </c>
      <c r="C586" t="s">
        <v>231</v>
      </c>
      <c r="D586" t="s">
        <v>231</v>
      </c>
      <c r="E586" t="s">
        <v>231</v>
      </c>
      <c r="F586" t="s">
        <v>231</v>
      </c>
      <c r="G586" t="s">
        <v>231</v>
      </c>
      <c r="H586" t="s">
        <v>231</v>
      </c>
      <c r="I586" t="s">
        <v>3521</v>
      </c>
      <c r="J586" t="s">
        <v>231</v>
      </c>
      <c r="K586" t="s">
        <v>231</v>
      </c>
      <c r="L586" t="s">
        <v>231</v>
      </c>
      <c r="M586" t="s">
        <v>231</v>
      </c>
      <c r="N586" t="s">
        <v>231</v>
      </c>
      <c r="O586" t="s">
        <v>231</v>
      </c>
      <c r="P586" t="s">
        <v>231</v>
      </c>
      <c r="Q586" t="s">
        <v>231</v>
      </c>
      <c r="R586" t="s">
        <v>4303</v>
      </c>
      <c r="S586" t="s">
        <v>231</v>
      </c>
      <c r="T586" t="s">
        <v>231</v>
      </c>
      <c r="U586" t="s">
        <v>101</v>
      </c>
      <c r="V586" t="s">
        <v>231</v>
      </c>
      <c r="W586" t="s">
        <v>231</v>
      </c>
      <c r="X586" t="s">
        <v>3628</v>
      </c>
      <c r="Y586" t="s">
        <v>231</v>
      </c>
      <c r="Z586" t="s">
        <v>151</v>
      </c>
      <c r="AA586" t="s">
        <v>151</v>
      </c>
      <c r="AB586" t="s">
        <v>160</v>
      </c>
      <c r="AC586" t="s">
        <v>2691</v>
      </c>
      <c r="AD586" t="s">
        <v>2691</v>
      </c>
      <c r="AE586" t="s">
        <v>2692</v>
      </c>
      <c r="AF586" t="s">
        <v>3991</v>
      </c>
      <c r="AG586" t="s">
        <v>3992</v>
      </c>
      <c r="AH586" t="s">
        <v>4113</v>
      </c>
      <c r="AI586" t="s">
        <v>151</v>
      </c>
      <c r="AJ586" t="s">
        <v>231</v>
      </c>
      <c r="AK586" t="s">
        <v>231</v>
      </c>
      <c r="AL586" t="s">
        <v>231</v>
      </c>
      <c r="AM586" t="s">
        <v>231</v>
      </c>
      <c r="AN586" t="s">
        <v>231</v>
      </c>
      <c r="AO586" t="s">
        <v>231</v>
      </c>
      <c r="AP586" t="s">
        <v>231</v>
      </c>
      <c r="AQ586" t="s">
        <v>231</v>
      </c>
      <c r="AR586" t="s">
        <v>231</v>
      </c>
      <c r="AS586" t="s">
        <v>231</v>
      </c>
      <c r="AT586" t="s">
        <v>231</v>
      </c>
      <c r="AU586" t="s">
        <v>231</v>
      </c>
      <c r="AV586" t="s">
        <v>231</v>
      </c>
      <c r="AW586" t="s">
        <v>231</v>
      </c>
      <c r="AX586" t="s">
        <v>231</v>
      </c>
      <c r="AY586" t="s">
        <v>231</v>
      </c>
      <c r="AZ586" t="s">
        <v>231</v>
      </c>
      <c r="BA586" t="s">
        <v>231</v>
      </c>
      <c r="BB586" t="s">
        <v>231</v>
      </c>
      <c r="BC586" t="s">
        <v>231</v>
      </c>
      <c r="BD586" t="s">
        <v>231</v>
      </c>
      <c r="BE586" t="s">
        <v>4304</v>
      </c>
      <c r="BF586" t="s">
        <v>4305</v>
      </c>
      <c r="BG586" t="s">
        <v>111</v>
      </c>
      <c r="BH586" t="s">
        <v>3632</v>
      </c>
      <c r="BI586" t="s">
        <v>122</v>
      </c>
      <c r="BJ586" t="s">
        <v>231</v>
      </c>
      <c r="BK586" t="s">
        <v>4306</v>
      </c>
      <c r="BL586" t="s">
        <v>2691</v>
      </c>
      <c r="BM586" t="s">
        <v>2691</v>
      </c>
      <c r="BN586" t="s">
        <v>4116</v>
      </c>
      <c r="BO586" t="s">
        <v>3991</v>
      </c>
      <c r="BP586" t="s">
        <v>4117</v>
      </c>
      <c r="BQ586" t="s">
        <v>4307</v>
      </c>
      <c r="BR586" t="s">
        <v>151</v>
      </c>
      <c r="BS586" t="s">
        <v>231</v>
      </c>
      <c r="BT586" t="s">
        <v>3637</v>
      </c>
      <c r="BU586" t="s">
        <v>4308</v>
      </c>
      <c r="BV586" t="s">
        <v>4308</v>
      </c>
      <c r="BW586" t="s">
        <v>3641</v>
      </c>
      <c r="BX586" t="s">
        <v>3641</v>
      </c>
      <c r="BY586" t="s">
        <v>3641</v>
      </c>
      <c r="BZ586" t="s">
        <v>3641</v>
      </c>
      <c r="CA586" t="s">
        <v>3641</v>
      </c>
      <c r="CB586" t="s">
        <v>3641</v>
      </c>
      <c r="CC586" t="s">
        <v>3641</v>
      </c>
      <c r="CD586" t="s">
        <v>3641</v>
      </c>
      <c r="CE586" t="s">
        <v>3641</v>
      </c>
      <c r="CF586" t="s">
        <v>3641</v>
      </c>
      <c r="CG586" t="s">
        <v>3641</v>
      </c>
      <c r="CH586" t="s">
        <v>3641</v>
      </c>
      <c r="CI586" t="s">
        <v>3641</v>
      </c>
      <c r="CJ586" t="s">
        <v>3641</v>
      </c>
      <c r="CK586" t="s">
        <v>3641</v>
      </c>
      <c r="CL586" t="s">
        <v>3641</v>
      </c>
      <c r="CM586" t="s">
        <v>4308</v>
      </c>
      <c r="CN586" t="s">
        <v>4308</v>
      </c>
      <c r="CO586" t="s">
        <v>3641</v>
      </c>
      <c r="CP586" t="s">
        <v>3641</v>
      </c>
      <c r="CQ586" t="s">
        <v>3641</v>
      </c>
      <c r="CR586" t="s">
        <v>3641</v>
      </c>
      <c r="CS586" t="s">
        <v>4309</v>
      </c>
      <c r="CT586" t="s">
        <v>3534</v>
      </c>
      <c r="CU586" t="s">
        <v>3535</v>
      </c>
      <c r="CV586" t="s">
        <v>3997</v>
      </c>
      <c r="CW586" t="s">
        <v>3998</v>
      </c>
      <c r="CX586" t="s">
        <v>3570</v>
      </c>
      <c r="CY586" t="s">
        <v>3997</v>
      </c>
      <c r="CZ586" t="s">
        <v>3575</v>
      </c>
      <c r="DA586" t="s">
        <v>3999</v>
      </c>
      <c r="DB586" t="s">
        <v>3643</v>
      </c>
      <c r="DC586" t="s">
        <v>363</v>
      </c>
      <c r="DD586" t="s">
        <v>282</v>
      </c>
      <c r="DE586" t="s">
        <v>4123</v>
      </c>
    </row>
    <row r="587" spans="1:109" ht="11.25" customHeight="1">
      <c r="A587" s="1314" t="s">
        <v>231</v>
      </c>
      <c r="B587" t="s">
        <v>231</v>
      </c>
      <c r="C587" t="s">
        <v>231</v>
      </c>
      <c r="D587" t="s">
        <v>231</v>
      </c>
      <c r="E587" t="s">
        <v>231</v>
      </c>
      <c r="F587" t="s">
        <v>231</v>
      </c>
      <c r="G587" t="s">
        <v>231</v>
      </c>
      <c r="H587" t="s">
        <v>231</v>
      </c>
      <c r="I587" t="s">
        <v>3521</v>
      </c>
      <c r="J587" t="s">
        <v>231</v>
      </c>
      <c r="K587" t="s">
        <v>231</v>
      </c>
      <c r="L587" t="s">
        <v>231</v>
      </c>
      <c r="M587" t="s">
        <v>231</v>
      </c>
      <c r="N587" t="s">
        <v>231</v>
      </c>
      <c r="O587" t="s">
        <v>231</v>
      </c>
      <c r="P587" t="s">
        <v>231</v>
      </c>
      <c r="Q587" t="s">
        <v>231</v>
      </c>
      <c r="R587" t="s">
        <v>4316</v>
      </c>
      <c r="S587" t="s">
        <v>231</v>
      </c>
      <c r="T587" t="s">
        <v>231</v>
      </c>
      <c r="U587" t="s">
        <v>101</v>
      </c>
      <c r="V587" t="s">
        <v>231</v>
      </c>
      <c r="W587" t="s">
        <v>231</v>
      </c>
      <c r="X587" t="s">
        <v>3955</v>
      </c>
      <c r="Y587" t="s">
        <v>231</v>
      </c>
      <c r="Z587" t="s">
        <v>151</v>
      </c>
      <c r="AA587" t="s">
        <v>160</v>
      </c>
      <c r="AB587" t="s">
        <v>151</v>
      </c>
      <c r="AC587" t="s">
        <v>2691</v>
      </c>
      <c r="AD587" t="s">
        <v>2691</v>
      </c>
      <c r="AE587" t="s">
        <v>2692</v>
      </c>
      <c r="AF587" t="s">
        <v>3991</v>
      </c>
      <c r="AG587" t="s">
        <v>3992</v>
      </c>
      <c r="AH587" t="s">
        <v>4113</v>
      </c>
      <c r="AI587" t="s">
        <v>151</v>
      </c>
      <c r="AJ587" t="s">
        <v>231</v>
      </c>
      <c r="AK587" t="s">
        <v>231</v>
      </c>
      <c r="AL587" t="s">
        <v>231</v>
      </c>
      <c r="AM587" t="s">
        <v>231</v>
      </c>
      <c r="AN587" t="s">
        <v>231</v>
      </c>
      <c r="AO587" t="s">
        <v>231</v>
      </c>
      <c r="AP587" t="s">
        <v>4317</v>
      </c>
      <c r="AQ587" t="s">
        <v>4318</v>
      </c>
      <c r="AR587" t="s">
        <v>111</v>
      </c>
      <c r="AS587" t="s">
        <v>3632</v>
      </c>
      <c r="AT587" t="s">
        <v>5021</v>
      </c>
      <c r="AU587" t="s">
        <v>231</v>
      </c>
      <c r="AV587" t="s">
        <v>4319</v>
      </c>
      <c r="AW587" t="s">
        <v>2691</v>
      </c>
      <c r="AX587" t="s">
        <v>2691</v>
      </c>
      <c r="AY587" t="s">
        <v>4116</v>
      </c>
      <c r="AZ587" t="s">
        <v>3991</v>
      </c>
      <c r="BA587" t="s">
        <v>4117</v>
      </c>
      <c r="BB587" t="s">
        <v>4113</v>
      </c>
      <c r="BC587" t="s">
        <v>151</v>
      </c>
      <c r="BD587" t="s">
        <v>4304</v>
      </c>
      <c r="BE587" t="s">
        <v>231</v>
      </c>
      <c r="BF587" t="s">
        <v>231</v>
      </c>
      <c r="BG587" t="s">
        <v>231</v>
      </c>
      <c r="BH587" t="s">
        <v>231</v>
      </c>
      <c r="BI587" t="s">
        <v>231</v>
      </c>
      <c r="BJ587" t="s">
        <v>231</v>
      </c>
      <c r="BK587" t="s">
        <v>231</v>
      </c>
      <c r="BL587" t="s">
        <v>231</v>
      </c>
      <c r="BM587" t="s">
        <v>231</v>
      </c>
      <c r="BN587" t="s">
        <v>231</v>
      </c>
      <c r="BO587" t="s">
        <v>231</v>
      </c>
      <c r="BP587" t="s">
        <v>231</v>
      </c>
      <c r="BQ587" t="s">
        <v>231</v>
      </c>
      <c r="BR587" t="s">
        <v>231</v>
      </c>
      <c r="BS587" t="s">
        <v>231</v>
      </c>
      <c r="BT587" t="s">
        <v>231</v>
      </c>
      <c r="BU587" t="s">
        <v>231</v>
      </c>
      <c r="BV587" t="s">
        <v>231</v>
      </c>
      <c r="BW587" t="s">
        <v>231</v>
      </c>
      <c r="BX587" t="s">
        <v>231</v>
      </c>
      <c r="BY587" t="s">
        <v>231</v>
      </c>
      <c r="BZ587" t="s">
        <v>231</v>
      </c>
      <c r="CA587" t="s">
        <v>231</v>
      </c>
      <c r="CB587" t="s">
        <v>231</v>
      </c>
      <c r="CC587" t="s">
        <v>231</v>
      </c>
      <c r="CD587" t="s">
        <v>231</v>
      </c>
      <c r="CE587" t="s">
        <v>231</v>
      </c>
      <c r="CF587" t="s">
        <v>231</v>
      </c>
      <c r="CG587" t="s">
        <v>231</v>
      </c>
      <c r="CH587" t="s">
        <v>231</v>
      </c>
      <c r="CI587" t="s">
        <v>231</v>
      </c>
      <c r="CJ587" t="s">
        <v>231</v>
      </c>
      <c r="CK587" t="s">
        <v>231</v>
      </c>
      <c r="CL587" t="s">
        <v>231</v>
      </c>
      <c r="CM587" t="s">
        <v>231</v>
      </c>
      <c r="CN587" t="s">
        <v>231</v>
      </c>
      <c r="CO587" t="s">
        <v>231</v>
      </c>
      <c r="CP587" t="s">
        <v>231</v>
      </c>
      <c r="CQ587" t="s">
        <v>231</v>
      </c>
      <c r="CR587" t="s">
        <v>231</v>
      </c>
      <c r="CS587" t="s">
        <v>231</v>
      </c>
      <c r="CT587" t="s">
        <v>3534</v>
      </c>
      <c r="CU587" t="s">
        <v>3535</v>
      </c>
      <c r="CV587" t="s">
        <v>3997</v>
      </c>
      <c r="CW587" t="s">
        <v>3998</v>
      </c>
      <c r="CX587" t="s">
        <v>3570</v>
      </c>
      <c r="CY587" t="s">
        <v>3997</v>
      </c>
      <c r="CZ587" t="s">
        <v>3575</v>
      </c>
      <c r="DA587" t="s">
        <v>3999</v>
      </c>
      <c r="DB587" t="s">
        <v>3643</v>
      </c>
      <c r="DC587" t="s">
        <v>363</v>
      </c>
      <c r="DD587" t="s">
        <v>282</v>
      </c>
      <c r="DE587" t="s">
        <v>4123</v>
      </c>
    </row>
    <row r="588" spans="1:109" ht="11.25" customHeight="1">
      <c r="A588" s="1314" t="s">
        <v>231</v>
      </c>
      <c r="B588" t="s">
        <v>231</v>
      </c>
      <c r="C588" t="s">
        <v>231</v>
      </c>
      <c r="D588" t="s">
        <v>231</v>
      </c>
      <c r="E588" t="s">
        <v>231</v>
      </c>
      <c r="F588" t="s">
        <v>231</v>
      </c>
      <c r="G588" t="s">
        <v>231</v>
      </c>
      <c r="H588" t="s">
        <v>231</v>
      </c>
      <c r="I588" t="s">
        <v>3521</v>
      </c>
      <c r="J588" t="s">
        <v>231</v>
      </c>
      <c r="K588" t="s">
        <v>231</v>
      </c>
      <c r="L588" t="s">
        <v>231</v>
      </c>
      <c r="M588" t="s">
        <v>231</v>
      </c>
      <c r="N588" t="s">
        <v>231</v>
      </c>
      <c r="O588" t="s">
        <v>231</v>
      </c>
      <c r="P588" t="s">
        <v>231</v>
      </c>
      <c r="Q588" t="s">
        <v>231</v>
      </c>
      <c r="R588" t="s">
        <v>4567</v>
      </c>
      <c r="S588" t="s">
        <v>231</v>
      </c>
      <c r="T588" t="s">
        <v>231</v>
      </c>
      <c r="U588" t="s">
        <v>101</v>
      </c>
      <c r="V588" t="s">
        <v>231</v>
      </c>
      <c r="W588" t="s">
        <v>231</v>
      </c>
      <c r="X588" t="s">
        <v>3628</v>
      </c>
      <c r="Y588" t="s">
        <v>231</v>
      </c>
      <c r="Z588" t="s">
        <v>151</v>
      </c>
      <c r="AA588" t="s">
        <v>151</v>
      </c>
      <c r="AB588" t="s">
        <v>160</v>
      </c>
      <c r="AC588" t="s">
        <v>2691</v>
      </c>
      <c r="AD588" t="s">
        <v>2691</v>
      </c>
      <c r="AE588" t="s">
        <v>2692</v>
      </c>
      <c r="AF588" t="s">
        <v>3991</v>
      </c>
      <c r="AG588" t="s">
        <v>3992</v>
      </c>
      <c r="AH588" t="s">
        <v>4113</v>
      </c>
      <c r="AI588" t="s">
        <v>151</v>
      </c>
      <c r="AJ588" t="s">
        <v>231</v>
      </c>
      <c r="AK588" t="s">
        <v>231</v>
      </c>
      <c r="AL588" t="s">
        <v>231</v>
      </c>
      <c r="AM588" t="s">
        <v>231</v>
      </c>
      <c r="AN588" t="s">
        <v>231</v>
      </c>
      <c r="AO588" t="s">
        <v>231</v>
      </c>
      <c r="AP588" t="s">
        <v>231</v>
      </c>
      <c r="AQ588" t="s">
        <v>231</v>
      </c>
      <c r="AR588" t="s">
        <v>231</v>
      </c>
      <c r="AS588" t="s">
        <v>231</v>
      </c>
      <c r="AT588" t="s">
        <v>231</v>
      </c>
      <c r="AU588" t="s">
        <v>231</v>
      </c>
      <c r="AV588" t="s">
        <v>231</v>
      </c>
      <c r="AW588" t="s">
        <v>231</v>
      </c>
      <c r="AX588" t="s">
        <v>231</v>
      </c>
      <c r="AY588" t="s">
        <v>231</v>
      </c>
      <c r="AZ588" t="s">
        <v>231</v>
      </c>
      <c r="BA588" t="s">
        <v>231</v>
      </c>
      <c r="BB588" t="s">
        <v>231</v>
      </c>
      <c r="BC588" t="s">
        <v>231</v>
      </c>
      <c r="BD588" t="s">
        <v>231</v>
      </c>
      <c r="BE588" t="s">
        <v>4568</v>
      </c>
      <c r="BF588" t="s">
        <v>4568</v>
      </c>
      <c r="BG588" t="s">
        <v>111</v>
      </c>
      <c r="BH588" t="s">
        <v>3632</v>
      </c>
      <c r="BI588" t="s">
        <v>122</v>
      </c>
      <c r="BJ588" t="s">
        <v>231</v>
      </c>
      <c r="BK588" t="s">
        <v>4569</v>
      </c>
      <c r="BL588" t="s">
        <v>2691</v>
      </c>
      <c r="BM588" t="s">
        <v>2691</v>
      </c>
      <c r="BN588" t="s">
        <v>4116</v>
      </c>
      <c r="BO588" t="s">
        <v>3991</v>
      </c>
      <c r="BP588" t="s">
        <v>4117</v>
      </c>
      <c r="BQ588" t="s">
        <v>4570</v>
      </c>
      <c r="BR588" t="s">
        <v>151</v>
      </c>
      <c r="BS588" t="s">
        <v>231</v>
      </c>
      <c r="BT588" t="s">
        <v>4571</v>
      </c>
      <c r="BU588" t="s">
        <v>4572</v>
      </c>
      <c r="BV588" t="s">
        <v>4572</v>
      </c>
      <c r="BW588" t="s">
        <v>3641</v>
      </c>
      <c r="BX588" t="s">
        <v>3641</v>
      </c>
      <c r="BY588" t="s">
        <v>3641</v>
      </c>
      <c r="BZ588" t="s">
        <v>3641</v>
      </c>
      <c r="CA588" t="s">
        <v>3641</v>
      </c>
      <c r="CB588" t="s">
        <v>3641</v>
      </c>
      <c r="CC588" t="s">
        <v>3641</v>
      </c>
      <c r="CD588" t="s">
        <v>3641</v>
      </c>
      <c r="CE588" t="s">
        <v>3641</v>
      </c>
      <c r="CF588" t="s">
        <v>3641</v>
      </c>
      <c r="CG588" t="s">
        <v>3641</v>
      </c>
      <c r="CH588" t="s">
        <v>3641</v>
      </c>
      <c r="CI588" t="s">
        <v>3641</v>
      </c>
      <c r="CJ588" t="s">
        <v>3641</v>
      </c>
      <c r="CK588" t="s">
        <v>3641</v>
      </c>
      <c r="CL588" t="s">
        <v>3641</v>
      </c>
      <c r="CM588" t="s">
        <v>4572</v>
      </c>
      <c r="CN588" t="s">
        <v>4572</v>
      </c>
      <c r="CO588" t="s">
        <v>3641</v>
      </c>
      <c r="CP588" t="s">
        <v>3641</v>
      </c>
      <c r="CQ588" t="s">
        <v>3641</v>
      </c>
      <c r="CR588" t="s">
        <v>3641</v>
      </c>
      <c r="CS588" t="s">
        <v>4573</v>
      </c>
      <c r="CT588" t="s">
        <v>3534</v>
      </c>
      <c r="CU588" t="s">
        <v>3535</v>
      </c>
      <c r="CV588" t="s">
        <v>3997</v>
      </c>
      <c r="CW588" t="s">
        <v>3998</v>
      </c>
      <c r="CX588" t="s">
        <v>3570</v>
      </c>
      <c r="CY588" t="s">
        <v>3997</v>
      </c>
      <c r="CZ588" t="s">
        <v>3575</v>
      </c>
      <c r="DA588" t="s">
        <v>3999</v>
      </c>
      <c r="DB588" t="s">
        <v>3643</v>
      </c>
      <c r="DC588" t="s">
        <v>363</v>
      </c>
      <c r="DD588" t="s">
        <v>282</v>
      </c>
      <c r="DE588" t="s">
        <v>4123</v>
      </c>
    </row>
    <row r="589" spans="1:109" ht="11.25" customHeight="1">
      <c r="A589" s="1314" t="s">
        <v>231</v>
      </c>
      <c r="B589" t="s">
        <v>231</v>
      </c>
      <c r="C589" t="s">
        <v>231</v>
      </c>
      <c r="D589" t="s">
        <v>231</v>
      </c>
      <c r="E589" t="s">
        <v>231</v>
      </c>
      <c r="F589" t="s">
        <v>231</v>
      </c>
      <c r="G589" t="s">
        <v>231</v>
      </c>
      <c r="H589" t="s">
        <v>231</v>
      </c>
      <c r="I589" t="s">
        <v>3521</v>
      </c>
      <c r="J589" t="s">
        <v>231</v>
      </c>
      <c r="K589" t="s">
        <v>231</v>
      </c>
      <c r="L589" t="s">
        <v>231</v>
      </c>
      <c r="M589" t="s">
        <v>231</v>
      </c>
      <c r="N589" t="s">
        <v>231</v>
      </c>
      <c r="O589" t="s">
        <v>231</v>
      </c>
      <c r="P589" t="s">
        <v>231</v>
      </c>
      <c r="Q589" t="s">
        <v>231</v>
      </c>
      <c r="R589" t="s">
        <v>4574</v>
      </c>
      <c r="S589" t="s">
        <v>231</v>
      </c>
      <c r="T589" t="s">
        <v>231</v>
      </c>
      <c r="U589" t="s">
        <v>101</v>
      </c>
      <c r="V589" t="s">
        <v>231</v>
      </c>
      <c r="W589" t="s">
        <v>231</v>
      </c>
      <c r="X589" t="s">
        <v>3523</v>
      </c>
      <c r="Y589" t="s">
        <v>231</v>
      </c>
      <c r="Z589" t="s">
        <v>160</v>
      </c>
      <c r="AA589" t="s">
        <v>151</v>
      </c>
      <c r="AB589" t="s">
        <v>151</v>
      </c>
      <c r="AC589" t="s">
        <v>2260</v>
      </c>
      <c r="AD589" t="s">
        <v>2260</v>
      </c>
      <c r="AE589" t="s">
        <v>2261</v>
      </c>
      <c r="AF589" t="s">
        <v>4575</v>
      </c>
      <c r="AG589" t="s">
        <v>4576</v>
      </c>
      <c r="AH589" t="s">
        <v>4577</v>
      </c>
      <c r="AI589" t="s">
        <v>4578</v>
      </c>
      <c r="AJ589" t="s">
        <v>4579</v>
      </c>
      <c r="AK589" t="s">
        <v>4580</v>
      </c>
      <c r="AL589" t="s">
        <v>3648</v>
      </c>
      <c r="AM589" t="s">
        <v>4581</v>
      </c>
      <c r="AN589" t="s">
        <v>4582</v>
      </c>
      <c r="AO589" t="s">
        <v>3821</v>
      </c>
      <c r="AP589" t="s">
        <v>231</v>
      </c>
      <c r="AQ589" t="s">
        <v>231</v>
      </c>
      <c r="AR589" t="s">
        <v>231</v>
      </c>
      <c r="AS589" t="s">
        <v>231</v>
      </c>
      <c r="AT589" t="s">
        <v>231</v>
      </c>
      <c r="AU589" t="s">
        <v>231</v>
      </c>
      <c r="AV589" t="s">
        <v>231</v>
      </c>
      <c r="AW589" t="s">
        <v>231</v>
      </c>
      <c r="AX589" t="s">
        <v>231</v>
      </c>
      <c r="AY589" t="s">
        <v>231</v>
      </c>
      <c r="AZ589" t="s">
        <v>231</v>
      </c>
      <c r="BA589" t="s">
        <v>231</v>
      </c>
      <c r="BB589" t="s">
        <v>231</v>
      </c>
      <c r="BC589" t="s">
        <v>231</v>
      </c>
      <c r="BD589" t="s">
        <v>231</v>
      </c>
      <c r="BE589" t="s">
        <v>231</v>
      </c>
      <c r="BF589" t="s">
        <v>231</v>
      </c>
      <c r="BG589" t="s">
        <v>231</v>
      </c>
      <c r="BH589" t="s">
        <v>231</v>
      </c>
      <c r="BI589" t="s">
        <v>231</v>
      </c>
      <c r="BJ589" t="s">
        <v>231</v>
      </c>
      <c r="BK589" t="s">
        <v>231</v>
      </c>
      <c r="BL589" t="s">
        <v>231</v>
      </c>
      <c r="BM589" t="s">
        <v>231</v>
      </c>
      <c r="BN589" t="s">
        <v>231</v>
      </c>
      <c r="BO589" t="s">
        <v>231</v>
      </c>
      <c r="BP589" t="s">
        <v>231</v>
      </c>
      <c r="BQ589" t="s">
        <v>231</v>
      </c>
      <c r="BR589" t="s">
        <v>231</v>
      </c>
      <c r="BS589" t="s">
        <v>231</v>
      </c>
      <c r="BT589" t="s">
        <v>231</v>
      </c>
      <c r="BU589" t="s">
        <v>231</v>
      </c>
      <c r="BV589" t="s">
        <v>231</v>
      </c>
      <c r="BW589" t="s">
        <v>231</v>
      </c>
      <c r="BX589" t="s">
        <v>231</v>
      </c>
      <c r="BY589" t="s">
        <v>231</v>
      </c>
      <c r="BZ589" t="s">
        <v>231</v>
      </c>
      <c r="CA589" t="s">
        <v>231</v>
      </c>
      <c r="CB589" t="s">
        <v>231</v>
      </c>
      <c r="CC589" t="s">
        <v>231</v>
      </c>
      <c r="CD589" t="s">
        <v>231</v>
      </c>
      <c r="CE589" t="s">
        <v>231</v>
      </c>
      <c r="CF589" t="s">
        <v>231</v>
      </c>
      <c r="CG589" t="s">
        <v>231</v>
      </c>
      <c r="CH589" t="s">
        <v>231</v>
      </c>
      <c r="CI589" t="s">
        <v>231</v>
      </c>
      <c r="CJ589" t="s">
        <v>231</v>
      </c>
      <c r="CK589" t="s">
        <v>231</v>
      </c>
      <c r="CL589" t="s">
        <v>231</v>
      </c>
      <c r="CM589" t="s">
        <v>231</v>
      </c>
      <c r="CN589" t="s">
        <v>231</v>
      </c>
      <c r="CO589" t="s">
        <v>231</v>
      </c>
      <c r="CP589" t="s">
        <v>231</v>
      </c>
      <c r="CQ589" t="s">
        <v>231</v>
      </c>
      <c r="CR589" t="s">
        <v>231</v>
      </c>
      <c r="CS589" t="s">
        <v>231</v>
      </c>
      <c r="CT589" t="s">
        <v>3534</v>
      </c>
      <c r="CU589" t="s">
        <v>3535</v>
      </c>
      <c r="CV589" t="s">
        <v>3536</v>
      </c>
      <c r="CW589" t="s">
        <v>3537</v>
      </c>
      <c r="CX589" t="s">
        <v>223</v>
      </c>
      <c r="CY589" t="s">
        <v>3536</v>
      </c>
      <c r="CZ589" t="s">
        <v>3538</v>
      </c>
      <c r="DA589" t="s">
        <v>3539</v>
      </c>
      <c r="DB589" t="s">
        <v>3537</v>
      </c>
      <c r="DC589" t="s">
        <v>363</v>
      </c>
      <c r="DD589" t="s">
        <v>282</v>
      </c>
      <c r="DE589" t="s">
        <v>4583</v>
      </c>
    </row>
    <row r="590" spans="1:109" ht="11.25" customHeight="1">
      <c r="A590" s="1314" t="s">
        <v>231</v>
      </c>
      <c r="B590" t="s">
        <v>231</v>
      </c>
      <c r="C590" t="s">
        <v>231</v>
      </c>
      <c r="D590" t="s">
        <v>231</v>
      </c>
      <c r="E590" t="s">
        <v>231</v>
      </c>
      <c r="F590" t="s">
        <v>231</v>
      </c>
      <c r="G590" t="s">
        <v>231</v>
      </c>
      <c r="H590" t="s">
        <v>231</v>
      </c>
      <c r="I590" t="s">
        <v>3521</v>
      </c>
      <c r="J590" t="s">
        <v>231</v>
      </c>
      <c r="K590" t="s">
        <v>231</v>
      </c>
      <c r="L590" t="s">
        <v>231</v>
      </c>
      <c r="M590" t="s">
        <v>231</v>
      </c>
      <c r="N590" t="s">
        <v>231</v>
      </c>
      <c r="O590" t="s">
        <v>231</v>
      </c>
      <c r="P590" t="s">
        <v>231</v>
      </c>
      <c r="Q590" t="s">
        <v>231</v>
      </c>
      <c r="R590" t="s">
        <v>4762</v>
      </c>
      <c r="S590" t="s">
        <v>231</v>
      </c>
      <c r="T590" t="s">
        <v>231</v>
      </c>
      <c r="U590" t="s">
        <v>101</v>
      </c>
      <c r="V590" t="s">
        <v>231</v>
      </c>
      <c r="W590" t="s">
        <v>231</v>
      </c>
      <c r="X590" t="s">
        <v>3523</v>
      </c>
      <c r="Y590" t="s">
        <v>231</v>
      </c>
      <c r="Z590" t="s">
        <v>160</v>
      </c>
      <c r="AA590" t="s">
        <v>151</v>
      </c>
      <c r="AB590" t="s">
        <v>151</v>
      </c>
      <c r="AC590" t="s">
        <v>2260</v>
      </c>
      <c r="AD590" t="s">
        <v>2260</v>
      </c>
      <c r="AE590" t="s">
        <v>2261</v>
      </c>
      <c r="AF590" t="s">
        <v>4575</v>
      </c>
      <c r="AG590" t="s">
        <v>4576</v>
      </c>
      <c r="AH590" t="s">
        <v>4763</v>
      </c>
      <c r="AI590" t="s">
        <v>3575</v>
      </c>
      <c r="AJ590" t="s">
        <v>4764</v>
      </c>
      <c r="AK590" t="s">
        <v>4580</v>
      </c>
      <c r="AL590" t="s">
        <v>3648</v>
      </c>
      <c r="AM590" t="s">
        <v>4581</v>
      </c>
      <c r="AN590" t="s">
        <v>3532</v>
      </c>
      <c r="AO590" t="s">
        <v>3821</v>
      </c>
      <c r="AP590" t="s">
        <v>231</v>
      </c>
      <c r="AQ590" t="s">
        <v>231</v>
      </c>
      <c r="AR590" t="s">
        <v>231</v>
      </c>
      <c r="AS590" t="s">
        <v>231</v>
      </c>
      <c r="AT590" t="s">
        <v>231</v>
      </c>
      <c r="AU590" t="s">
        <v>231</v>
      </c>
      <c r="AV590" t="s">
        <v>231</v>
      </c>
      <c r="AW590" t="s">
        <v>231</v>
      </c>
      <c r="AX590" t="s">
        <v>231</v>
      </c>
      <c r="AY590" t="s">
        <v>231</v>
      </c>
      <c r="AZ590" t="s">
        <v>231</v>
      </c>
      <c r="BA590" t="s">
        <v>231</v>
      </c>
      <c r="BB590" t="s">
        <v>231</v>
      </c>
      <c r="BC590" t="s">
        <v>231</v>
      </c>
      <c r="BD590" t="s">
        <v>231</v>
      </c>
      <c r="BE590" t="s">
        <v>231</v>
      </c>
      <c r="BF590" t="s">
        <v>231</v>
      </c>
      <c r="BG590" t="s">
        <v>231</v>
      </c>
      <c r="BH590" t="s">
        <v>231</v>
      </c>
      <c r="BI590" t="s">
        <v>231</v>
      </c>
      <c r="BJ590" t="s">
        <v>231</v>
      </c>
      <c r="BK590" t="s">
        <v>231</v>
      </c>
      <c r="BL590" t="s">
        <v>231</v>
      </c>
      <c r="BM590" t="s">
        <v>231</v>
      </c>
      <c r="BN590" t="s">
        <v>231</v>
      </c>
      <c r="BO590" t="s">
        <v>231</v>
      </c>
      <c r="BP590" t="s">
        <v>231</v>
      </c>
      <c r="BQ590" t="s">
        <v>231</v>
      </c>
      <c r="BR590" t="s">
        <v>231</v>
      </c>
      <c r="BS590" t="s">
        <v>231</v>
      </c>
      <c r="BT590" t="s">
        <v>231</v>
      </c>
      <c r="BU590" t="s">
        <v>231</v>
      </c>
      <c r="BV590" t="s">
        <v>231</v>
      </c>
      <c r="BW590" t="s">
        <v>231</v>
      </c>
      <c r="BX590" t="s">
        <v>231</v>
      </c>
      <c r="BY590" t="s">
        <v>231</v>
      </c>
      <c r="BZ590" t="s">
        <v>231</v>
      </c>
      <c r="CA590" t="s">
        <v>231</v>
      </c>
      <c r="CB590" t="s">
        <v>231</v>
      </c>
      <c r="CC590" t="s">
        <v>231</v>
      </c>
      <c r="CD590" t="s">
        <v>231</v>
      </c>
      <c r="CE590" t="s">
        <v>231</v>
      </c>
      <c r="CF590" t="s">
        <v>231</v>
      </c>
      <c r="CG590" t="s">
        <v>231</v>
      </c>
      <c r="CH590" t="s">
        <v>231</v>
      </c>
      <c r="CI590" t="s">
        <v>231</v>
      </c>
      <c r="CJ590" t="s">
        <v>231</v>
      </c>
      <c r="CK590" t="s">
        <v>231</v>
      </c>
      <c r="CL590" t="s">
        <v>231</v>
      </c>
      <c r="CM590" t="s">
        <v>231</v>
      </c>
      <c r="CN590" t="s">
        <v>231</v>
      </c>
      <c r="CO590" t="s">
        <v>231</v>
      </c>
      <c r="CP590" t="s">
        <v>231</v>
      </c>
      <c r="CQ590" t="s">
        <v>231</v>
      </c>
      <c r="CR590" t="s">
        <v>231</v>
      </c>
      <c r="CS590" t="s">
        <v>231</v>
      </c>
      <c r="CT590" t="s">
        <v>3534</v>
      </c>
      <c r="CU590" t="s">
        <v>3535</v>
      </c>
      <c r="CV590" t="s">
        <v>3536</v>
      </c>
      <c r="CW590" t="s">
        <v>3537</v>
      </c>
      <c r="CX590" t="s">
        <v>223</v>
      </c>
      <c r="CY590" t="s">
        <v>3536</v>
      </c>
      <c r="CZ590" t="s">
        <v>3538</v>
      </c>
      <c r="DA590" t="s">
        <v>3539</v>
      </c>
      <c r="DB590" t="s">
        <v>3537</v>
      </c>
      <c r="DC590" t="s">
        <v>363</v>
      </c>
      <c r="DD590" t="s">
        <v>282</v>
      </c>
      <c r="DE590" t="s">
        <v>4765</v>
      </c>
    </row>
    <row r="591" spans="1:109" ht="11.25" customHeight="1">
      <c r="A591" s="1314" t="s">
        <v>231</v>
      </c>
      <c r="B591" t="s">
        <v>231</v>
      </c>
      <c r="C591" t="s">
        <v>231</v>
      </c>
      <c r="D591" t="s">
        <v>231</v>
      </c>
      <c r="E591" t="s">
        <v>231</v>
      </c>
      <c r="F591" t="s">
        <v>231</v>
      </c>
      <c r="G591" t="s">
        <v>231</v>
      </c>
      <c r="H591" t="s">
        <v>231</v>
      </c>
      <c r="I591" t="s">
        <v>3521</v>
      </c>
      <c r="J591" t="s">
        <v>231</v>
      </c>
      <c r="K591" t="s">
        <v>231</v>
      </c>
      <c r="L591" t="s">
        <v>231</v>
      </c>
      <c r="M591" t="s">
        <v>231</v>
      </c>
      <c r="N591" t="s">
        <v>231</v>
      </c>
      <c r="O591" t="s">
        <v>231</v>
      </c>
      <c r="P591" t="s">
        <v>231</v>
      </c>
      <c r="Q591" t="s">
        <v>231</v>
      </c>
      <c r="R591" t="s">
        <v>4766</v>
      </c>
      <c r="S591" t="s">
        <v>231</v>
      </c>
      <c r="T591" t="s">
        <v>231</v>
      </c>
      <c r="U591" t="s">
        <v>101</v>
      </c>
      <c r="V591" t="s">
        <v>231</v>
      </c>
      <c r="W591" t="s">
        <v>231</v>
      </c>
      <c r="X591" t="s">
        <v>3523</v>
      </c>
      <c r="Y591" t="s">
        <v>231</v>
      </c>
      <c r="Z591" t="s">
        <v>160</v>
      </c>
      <c r="AA591" t="s">
        <v>151</v>
      </c>
      <c r="AB591" t="s">
        <v>151</v>
      </c>
      <c r="AC591" t="s">
        <v>2260</v>
      </c>
      <c r="AD591" t="s">
        <v>2260</v>
      </c>
      <c r="AE591" t="s">
        <v>2261</v>
      </c>
      <c r="AF591" t="s">
        <v>4575</v>
      </c>
      <c r="AG591" t="s">
        <v>4576</v>
      </c>
      <c r="AH591" t="s">
        <v>4767</v>
      </c>
      <c r="AI591" t="s">
        <v>3575</v>
      </c>
      <c r="AJ591" t="s">
        <v>4768</v>
      </c>
      <c r="AK591" t="s">
        <v>4580</v>
      </c>
      <c r="AL591" t="s">
        <v>3648</v>
      </c>
      <c r="AM591" t="s">
        <v>4581</v>
      </c>
      <c r="AN591" t="s">
        <v>3532</v>
      </c>
      <c r="AO591" t="s">
        <v>3821</v>
      </c>
      <c r="AP591" t="s">
        <v>231</v>
      </c>
      <c r="AQ591" t="s">
        <v>231</v>
      </c>
      <c r="AR591" t="s">
        <v>231</v>
      </c>
      <c r="AS591" t="s">
        <v>231</v>
      </c>
      <c r="AT591" t="s">
        <v>231</v>
      </c>
      <c r="AU591" t="s">
        <v>231</v>
      </c>
      <c r="AV591" t="s">
        <v>231</v>
      </c>
      <c r="AW591" t="s">
        <v>231</v>
      </c>
      <c r="AX591" t="s">
        <v>231</v>
      </c>
      <c r="AY591" t="s">
        <v>231</v>
      </c>
      <c r="AZ591" t="s">
        <v>231</v>
      </c>
      <c r="BA591" t="s">
        <v>231</v>
      </c>
      <c r="BB591" t="s">
        <v>231</v>
      </c>
      <c r="BC591" t="s">
        <v>231</v>
      </c>
      <c r="BD591" t="s">
        <v>231</v>
      </c>
      <c r="BE591" t="s">
        <v>231</v>
      </c>
      <c r="BF591" t="s">
        <v>231</v>
      </c>
      <c r="BG591" t="s">
        <v>231</v>
      </c>
      <c r="BH591" t="s">
        <v>231</v>
      </c>
      <c r="BI591" t="s">
        <v>231</v>
      </c>
      <c r="BJ591" t="s">
        <v>231</v>
      </c>
      <c r="BK591" t="s">
        <v>231</v>
      </c>
      <c r="BL591" t="s">
        <v>231</v>
      </c>
      <c r="BM591" t="s">
        <v>231</v>
      </c>
      <c r="BN591" t="s">
        <v>231</v>
      </c>
      <c r="BO591" t="s">
        <v>231</v>
      </c>
      <c r="BP591" t="s">
        <v>231</v>
      </c>
      <c r="BQ591" t="s">
        <v>231</v>
      </c>
      <c r="BR591" t="s">
        <v>231</v>
      </c>
      <c r="BS591" t="s">
        <v>231</v>
      </c>
      <c r="BT591" t="s">
        <v>231</v>
      </c>
      <c r="BU591" t="s">
        <v>231</v>
      </c>
      <c r="BV591" t="s">
        <v>231</v>
      </c>
      <c r="BW591" t="s">
        <v>231</v>
      </c>
      <c r="BX591" t="s">
        <v>231</v>
      </c>
      <c r="BY591" t="s">
        <v>231</v>
      </c>
      <c r="BZ591" t="s">
        <v>231</v>
      </c>
      <c r="CA591" t="s">
        <v>231</v>
      </c>
      <c r="CB591" t="s">
        <v>231</v>
      </c>
      <c r="CC591" t="s">
        <v>231</v>
      </c>
      <c r="CD591" t="s">
        <v>231</v>
      </c>
      <c r="CE591" t="s">
        <v>231</v>
      </c>
      <c r="CF591" t="s">
        <v>231</v>
      </c>
      <c r="CG591" t="s">
        <v>231</v>
      </c>
      <c r="CH591" t="s">
        <v>231</v>
      </c>
      <c r="CI591" t="s">
        <v>231</v>
      </c>
      <c r="CJ591" t="s">
        <v>231</v>
      </c>
      <c r="CK591" t="s">
        <v>231</v>
      </c>
      <c r="CL591" t="s">
        <v>231</v>
      </c>
      <c r="CM591" t="s">
        <v>231</v>
      </c>
      <c r="CN591" t="s">
        <v>231</v>
      </c>
      <c r="CO591" t="s">
        <v>231</v>
      </c>
      <c r="CP591" t="s">
        <v>231</v>
      </c>
      <c r="CQ591" t="s">
        <v>231</v>
      </c>
      <c r="CR591" t="s">
        <v>231</v>
      </c>
      <c r="CS591" t="s">
        <v>231</v>
      </c>
      <c r="CT591" t="s">
        <v>3534</v>
      </c>
      <c r="CU591" t="s">
        <v>3535</v>
      </c>
      <c r="CV591" t="s">
        <v>3536</v>
      </c>
      <c r="CW591" t="s">
        <v>3537</v>
      </c>
      <c r="CX591" t="s">
        <v>223</v>
      </c>
      <c r="CY591" t="s">
        <v>3536</v>
      </c>
      <c r="CZ591" t="s">
        <v>3538</v>
      </c>
      <c r="DA591" t="s">
        <v>3539</v>
      </c>
      <c r="DB591" t="s">
        <v>3537</v>
      </c>
      <c r="DC591" t="s">
        <v>363</v>
      </c>
      <c r="DD591" t="s">
        <v>282</v>
      </c>
      <c r="DE591" t="s">
        <v>4769</v>
      </c>
    </row>
    <row r="592" spans="1:109" ht="11.25" customHeight="1">
      <c r="A592" s="1314" t="s">
        <v>231</v>
      </c>
      <c r="B592" t="s">
        <v>231</v>
      </c>
      <c r="C592" t="s">
        <v>231</v>
      </c>
      <c r="D592" t="s">
        <v>231</v>
      </c>
      <c r="E592" t="s">
        <v>231</v>
      </c>
      <c r="F592" t="s">
        <v>231</v>
      </c>
      <c r="G592" t="s">
        <v>231</v>
      </c>
      <c r="H592" t="s">
        <v>231</v>
      </c>
      <c r="I592" t="s">
        <v>3521</v>
      </c>
      <c r="J592" t="s">
        <v>231</v>
      </c>
      <c r="K592" t="s">
        <v>231</v>
      </c>
      <c r="L592" t="s">
        <v>231</v>
      </c>
      <c r="M592" t="s">
        <v>231</v>
      </c>
      <c r="N592" t="s">
        <v>231</v>
      </c>
      <c r="O592" t="s">
        <v>231</v>
      </c>
      <c r="P592" t="s">
        <v>231</v>
      </c>
      <c r="Q592" t="s">
        <v>231</v>
      </c>
      <c r="R592" t="s">
        <v>4813</v>
      </c>
      <c r="S592" t="s">
        <v>231</v>
      </c>
      <c r="T592" t="s">
        <v>231</v>
      </c>
      <c r="U592" t="s">
        <v>101</v>
      </c>
      <c r="V592" t="s">
        <v>231</v>
      </c>
      <c r="W592" t="s">
        <v>231</v>
      </c>
      <c r="X592" t="s">
        <v>3523</v>
      </c>
      <c r="Y592" t="s">
        <v>231</v>
      </c>
      <c r="Z592" t="s">
        <v>160</v>
      </c>
      <c r="AA592" t="s">
        <v>151</v>
      </c>
      <c r="AB592" t="s">
        <v>151</v>
      </c>
      <c r="AC592" t="s">
        <v>2262</v>
      </c>
      <c r="AD592" t="s">
        <v>2262</v>
      </c>
      <c r="AE592" t="s">
        <v>2264</v>
      </c>
      <c r="AF592" t="s">
        <v>4814</v>
      </c>
      <c r="AG592" t="s">
        <v>4815</v>
      </c>
      <c r="AH592" t="s">
        <v>4816</v>
      </c>
      <c r="AI592" t="s">
        <v>4817</v>
      </c>
      <c r="AJ592" t="s">
        <v>3611</v>
      </c>
      <c r="AK592" t="s">
        <v>4580</v>
      </c>
      <c r="AL592" t="s">
        <v>3613</v>
      </c>
      <c r="AM592" t="s">
        <v>3531</v>
      </c>
      <c r="AN592" t="s">
        <v>4155</v>
      </c>
      <c r="AO592" t="s">
        <v>3821</v>
      </c>
      <c r="AP592" t="s">
        <v>231</v>
      </c>
      <c r="AQ592" t="s">
        <v>231</v>
      </c>
      <c r="AR592" t="s">
        <v>231</v>
      </c>
      <c r="AS592" t="s">
        <v>231</v>
      </c>
      <c r="AT592" t="s">
        <v>231</v>
      </c>
      <c r="AU592" t="s">
        <v>231</v>
      </c>
      <c r="AV592" t="s">
        <v>231</v>
      </c>
      <c r="AW592" t="s">
        <v>231</v>
      </c>
      <c r="AX592" t="s">
        <v>231</v>
      </c>
      <c r="AY592" t="s">
        <v>231</v>
      </c>
      <c r="AZ592" t="s">
        <v>231</v>
      </c>
      <c r="BA592" t="s">
        <v>231</v>
      </c>
      <c r="BB592" t="s">
        <v>231</v>
      </c>
      <c r="BC592" t="s">
        <v>231</v>
      </c>
      <c r="BD592" t="s">
        <v>231</v>
      </c>
      <c r="BE592" t="s">
        <v>231</v>
      </c>
      <c r="BF592" t="s">
        <v>231</v>
      </c>
      <c r="BG592" t="s">
        <v>231</v>
      </c>
      <c r="BH592" t="s">
        <v>231</v>
      </c>
      <c r="BI592" t="s">
        <v>231</v>
      </c>
      <c r="BJ592" t="s">
        <v>231</v>
      </c>
      <c r="BK592" t="s">
        <v>231</v>
      </c>
      <c r="BL592" t="s">
        <v>231</v>
      </c>
      <c r="BM592" t="s">
        <v>231</v>
      </c>
      <c r="BN592" t="s">
        <v>231</v>
      </c>
      <c r="BO592" t="s">
        <v>231</v>
      </c>
      <c r="BP592" t="s">
        <v>231</v>
      </c>
      <c r="BQ592" t="s">
        <v>231</v>
      </c>
      <c r="BR592" t="s">
        <v>231</v>
      </c>
      <c r="BS592" t="s">
        <v>231</v>
      </c>
      <c r="BT592" t="s">
        <v>231</v>
      </c>
      <c r="BU592" t="s">
        <v>231</v>
      </c>
      <c r="BV592" t="s">
        <v>231</v>
      </c>
      <c r="BW592" t="s">
        <v>231</v>
      </c>
      <c r="BX592" t="s">
        <v>231</v>
      </c>
      <c r="BY592" t="s">
        <v>231</v>
      </c>
      <c r="BZ592" t="s">
        <v>231</v>
      </c>
      <c r="CA592" t="s">
        <v>231</v>
      </c>
      <c r="CB592" t="s">
        <v>231</v>
      </c>
      <c r="CC592" t="s">
        <v>231</v>
      </c>
      <c r="CD592" t="s">
        <v>231</v>
      </c>
      <c r="CE592" t="s">
        <v>231</v>
      </c>
      <c r="CF592" t="s">
        <v>231</v>
      </c>
      <c r="CG592" t="s">
        <v>231</v>
      </c>
      <c r="CH592" t="s">
        <v>231</v>
      </c>
      <c r="CI592" t="s">
        <v>231</v>
      </c>
      <c r="CJ592" t="s">
        <v>231</v>
      </c>
      <c r="CK592" t="s">
        <v>231</v>
      </c>
      <c r="CL592" t="s">
        <v>231</v>
      </c>
      <c r="CM592" t="s">
        <v>231</v>
      </c>
      <c r="CN592" t="s">
        <v>231</v>
      </c>
      <c r="CO592" t="s">
        <v>231</v>
      </c>
      <c r="CP592" t="s">
        <v>231</v>
      </c>
      <c r="CQ592" t="s">
        <v>231</v>
      </c>
      <c r="CR592" t="s">
        <v>231</v>
      </c>
      <c r="CS592" t="s">
        <v>231</v>
      </c>
      <c r="CT592" t="s">
        <v>3534</v>
      </c>
      <c r="CU592" t="s">
        <v>3535</v>
      </c>
      <c r="CV592" t="s">
        <v>3536</v>
      </c>
      <c r="CW592" t="s">
        <v>3537</v>
      </c>
      <c r="CX592" t="s">
        <v>223</v>
      </c>
      <c r="CY592" t="s">
        <v>3536</v>
      </c>
      <c r="CZ592" t="s">
        <v>3538</v>
      </c>
      <c r="DA592" t="s">
        <v>3539</v>
      </c>
      <c r="DB592" t="s">
        <v>3537</v>
      </c>
      <c r="DC592" t="s">
        <v>363</v>
      </c>
      <c r="DD592" t="s">
        <v>282</v>
      </c>
      <c r="DE592" t="s">
        <v>4818</v>
      </c>
    </row>
    <row r="593" spans="1:109" ht="11.25" customHeight="1">
      <c r="A593" s="1314" t="s">
        <v>231</v>
      </c>
      <c r="B593" t="s">
        <v>231</v>
      </c>
      <c r="C593" t="s">
        <v>231</v>
      </c>
      <c r="D593" t="s">
        <v>231</v>
      </c>
      <c r="E593" t="s">
        <v>231</v>
      </c>
      <c r="F593" t="s">
        <v>231</v>
      </c>
      <c r="G593" t="s">
        <v>231</v>
      </c>
      <c r="H593" t="s">
        <v>231</v>
      </c>
      <c r="I593" t="s">
        <v>3521</v>
      </c>
      <c r="J593" t="s">
        <v>231</v>
      </c>
      <c r="K593" t="s">
        <v>231</v>
      </c>
      <c r="L593" t="s">
        <v>231</v>
      </c>
      <c r="M593" t="s">
        <v>231</v>
      </c>
      <c r="N593" t="s">
        <v>231</v>
      </c>
      <c r="O593" t="s">
        <v>231</v>
      </c>
      <c r="P593" t="s">
        <v>231</v>
      </c>
      <c r="Q593" t="s">
        <v>231</v>
      </c>
      <c r="R593" t="s">
        <v>5082</v>
      </c>
      <c r="S593" t="s">
        <v>231</v>
      </c>
      <c r="T593" t="s">
        <v>231</v>
      </c>
      <c r="U593" t="s">
        <v>101</v>
      </c>
      <c r="V593" t="s">
        <v>231</v>
      </c>
      <c r="W593" t="s">
        <v>231</v>
      </c>
      <c r="X593" t="s">
        <v>3523</v>
      </c>
      <c r="Y593" t="s">
        <v>231</v>
      </c>
      <c r="Z593" t="s">
        <v>160</v>
      </c>
      <c r="AA593" t="s">
        <v>151</v>
      </c>
      <c r="AB593" t="s">
        <v>151</v>
      </c>
      <c r="AC593" t="s">
        <v>343</v>
      </c>
      <c r="AD593" t="s">
        <v>343</v>
      </c>
      <c r="AE593" t="s">
        <v>344</v>
      </c>
      <c r="AF593" t="s">
        <v>3561</v>
      </c>
      <c r="AG593" t="s">
        <v>3562</v>
      </c>
      <c r="AH593" t="s">
        <v>3804</v>
      </c>
      <c r="AI593" t="s">
        <v>3575</v>
      </c>
      <c r="AJ593" t="s">
        <v>3805</v>
      </c>
      <c r="AK593" t="s">
        <v>3806</v>
      </c>
      <c r="AL593" t="s">
        <v>3566</v>
      </c>
      <c r="AM593" t="s">
        <v>3531</v>
      </c>
      <c r="AN593" t="s">
        <v>3807</v>
      </c>
      <c r="AO593" t="s">
        <v>3808</v>
      </c>
      <c r="AP593" t="s">
        <v>231</v>
      </c>
      <c r="AQ593" t="s">
        <v>231</v>
      </c>
      <c r="AR593" t="s">
        <v>231</v>
      </c>
      <c r="AS593" t="s">
        <v>231</v>
      </c>
      <c r="AT593" t="s">
        <v>231</v>
      </c>
      <c r="AU593" t="s">
        <v>231</v>
      </c>
      <c r="AV593" t="s">
        <v>231</v>
      </c>
      <c r="AW593" t="s">
        <v>231</v>
      </c>
      <c r="AX593" t="s">
        <v>231</v>
      </c>
      <c r="AY593" t="s">
        <v>231</v>
      </c>
      <c r="AZ593" t="s">
        <v>231</v>
      </c>
      <c r="BA593" t="s">
        <v>231</v>
      </c>
      <c r="BB593" t="s">
        <v>231</v>
      </c>
      <c r="BC593" t="s">
        <v>231</v>
      </c>
      <c r="BD593" t="s">
        <v>231</v>
      </c>
      <c r="BE593" t="s">
        <v>231</v>
      </c>
      <c r="BF593" t="s">
        <v>231</v>
      </c>
      <c r="BG593" t="s">
        <v>231</v>
      </c>
      <c r="BH593" t="s">
        <v>231</v>
      </c>
      <c r="BI593" t="s">
        <v>231</v>
      </c>
      <c r="BJ593" t="s">
        <v>231</v>
      </c>
      <c r="BK593" t="s">
        <v>231</v>
      </c>
      <c r="BL593" t="s">
        <v>231</v>
      </c>
      <c r="BM593" t="s">
        <v>231</v>
      </c>
      <c r="BN593" t="s">
        <v>231</v>
      </c>
      <c r="BO593" t="s">
        <v>231</v>
      </c>
      <c r="BP593" t="s">
        <v>231</v>
      </c>
      <c r="BQ593" t="s">
        <v>231</v>
      </c>
      <c r="BR593" t="s">
        <v>231</v>
      </c>
      <c r="BS593" t="s">
        <v>231</v>
      </c>
      <c r="BT593" t="s">
        <v>231</v>
      </c>
      <c r="BU593" t="s">
        <v>231</v>
      </c>
      <c r="BV593" t="s">
        <v>231</v>
      </c>
      <c r="BW593" t="s">
        <v>231</v>
      </c>
      <c r="BX593" t="s">
        <v>231</v>
      </c>
      <c r="BY593" t="s">
        <v>231</v>
      </c>
      <c r="BZ593" t="s">
        <v>231</v>
      </c>
      <c r="CA593" t="s">
        <v>231</v>
      </c>
      <c r="CB593" t="s">
        <v>231</v>
      </c>
      <c r="CC593" t="s">
        <v>231</v>
      </c>
      <c r="CD593" t="s">
        <v>231</v>
      </c>
      <c r="CE593" t="s">
        <v>231</v>
      </c>
      <c r="CF593" t="s">
        <v>231</v>
      </c>
      <c r="CG593" t="s">
        <v>231</v>
      </c>
      <c r="CH593" t="s">
        <v>231</v>
      </c>
      <c r="CI593" t="s">
        <v>231</v>
      </c>
      <c r="CJ593" t="s">
        <v>231</v>
      </c>
      <c r="CK593" t="s">
        <v>231</v>
      </c>
      <c r="CL593" t="s">
        <v>231</v>
      </c>
      <c r="CM593" t="s">
        <v>231</v>
      </c>
      <c r="CN593" t="s">
        <v>231</v>
      </c>
      <c r="CO593" t="s">
        <v>231</v>
      </c>
      <c r="CP593" t="s">
        <v>231</v>
      </c>
      <c r="CQ593" t="s">
        <v>231</v>
      </c>
      <c r="CR593" t="s">
        <v>231</v>
      </c>
      <c r="CS593" t="s">
        <v>231</v>
      </c>
      <c r="CT593" t="s">
        <v>3534</v>
      </c>
      <c r="CU593" t="s">
        <v>3535</v>
      </c>
      <c r="CV593" t="s">
        <v>3536</v>
      </c>
      <c r="CW593" t="s">
        <v>3569</v>
      </c>
      <c r="CX593" t="s">
        <v>3570</v>
      </c>
      <c r="CY593" t="s">
        <v>3536</v>
      </c>
      <c r="CZ593" t="s">
        <v>224</v>
      </c>
      <c r="DA593" t="s">
        <v>3571</v>
      </c>
      <c r="DB593" t="s">
        <v>3569</v>
      </c>
      <c r="DC593" t="s">
        <v>363</v>
      </c>
      <c r="DD593" t="s">
        <v>282</v>
      </c>
      <c r="DE593" t="s">
        <v>3809</v>
      </c>
    </row>
    <row r="594" spans="1:109" ht="11.25" customHeight="1">
      <c r="A594" s="1314" t="s">
        <v>231</v>
      </c>
      <c r="B594" t="s">
        <v>231</v>
      </c>
      <c r="C594" t="s">
        <v>231</v>
      </c>
      <c r="D594" t="s">
        <v>231</v>
      </c>
      <c r="E594" t="s">
        <v>231</v>
      </c>
      <c r="F594" t="s">
        <v>231</v>
      </c>
      <c r="G594" t="s">
        <v>231</v>
      </c>
      <c r="H594" t="s">
        <v>231</v>
      </c>
      <c r="I594" t="s">
        <v>3521</v>
      </c>
      <c r="J594" t="s">
        <v>231</v>
      </c>
      <c r="K594" t="s">
        <v>231</v>
      </c>
      <c r="L594" t="s">
        <v>231</v>
      </c>
      <c r="M594" t="s">
        <v>231</v>
      </c>
      <c r="N594" t="s">
        <v>231</v>
      </c>
      <c r="O594" t="s">
        <v>231</v>
      </c>
      <c r="P594" t="s">
        <v>231</v>
      </c>
      <c r="Q594" t="s">
        <v>231</v>
      </c>
      <c r="R594" t="s">
        <v>4819</v>
      </c>
      <c r="S594" t="s">
        <v>231</v>
      </c>
      <c r="T594" t="s">
        <v>231</v>
      </c>
      <c r="U594" t="s">
        <v>101</v>
      </c>
      <c r="V594" t="s">
        <v>231</v>
      </c>
      <c r="W594" t="s">
        <v>231</v>
      </c>
      <c r="X594" t="s">
        <v>3523</v>
      </c>
      <c r="Y594" t="s">
        <v>231</v>
      </c>
      <c r="Z594" t="s">
        <v>160</v>
      </c>
      <c r="AA594" t="s">
        <v>151</v>
      </c>
      <c r="AB594" t="s">
        <v>151</v>
      </c>
      <c r="AC594" t="s">
        <v>2262</v>
      </c>
      <c r="AD594" t="s">
        <v>2262</v>
      </c>
      <c r="AE594" t="s">
        <v>2264</v>
      </c>
      <c r="AF594" t="s">
        <v>4814</v>
      </c>
      <c r="AG594" t="s">
        <v>4815</v>
      </c>
      <c r="AH594" t="s">
        <v>4820</v>
      </c>
      <c r="AI594" t="s">
        <v>4821</v>
      </c>
      <c r="AJ594" t="s">
        <v>4822</v>
      </c>
      <c r="AK594" t="s">
        <v>3641</v>
      </c>
      <c r="AL594" t="s">
        <v>3566</v>
      </c>
      <c r="AM594" t="s">
        <v>3531</v>
      </c>
      <c r="AN594" t="s">
        <v>4156</v>
      </c>
      <c r="AO594" t="s">
        <v>4823</v>
      </c>
      <c r="AP594" t="s">
        <v>231</v>
      </c>
      <c r="AQ594" t="s">
        <v>231</v>
      </c>
      <c r="AR594" t="s">
        <v>231</v>
      </c>
      <c r="AS594" t="s">
        <v>231</v>
      </c>
      <c r="AT594" t="s">
        <v>231</v>
      </c>
      <c r="AU594" t="s">
        <v>231</v>
      </c>
      <c r="AV594" t="s">
        <v>231</v>
      </c>
      <c r="AW594" t="s">
        <v>231</v>
      </c>
      <c r="AX594" t="s">
        <v>231</v>
      </c>
      <c r="AY594" t="s">
        <v>231</v>
      </c>
      <c r="AZ594" t="s">
        <v>231</v>
      </c>
      <c r="BA594" t="s">
        <v>231</v>
      </c>
      <c r="BB594" t="s">
        <v>231</v>
      </c>
      <c r="BC594" t="s">
        <v>231</v>
      </c>
      <c r="BD594" t="s">
        <v>231</v>
      </c>
      <c r="BE594" t="s">
        <v>231</v>
      </c>
      <c r="BF594" t="s">
        <v>231</v>
      </c>
      <c r="BG594" t="s">
        <v>231</v>
      </c>
      <c r="BH594" t="s">
        <v>231</v>
      </c>
      <c r="BI594" t="s">
        <v>231</v>
      </c>
      <c r="BJ594" t="s">
        <v>231</v>
      </c>
      <c r="BK594" t="s">
        <v>231</v>
      </c>
      <c r="BL594" t="s">
        <v>231</v>
      </c>
      <c r="BM594" t="s">
        <v>231</v>
      </c>
      <c r="BN594" t="s">
        <v>231</v>
      </c>
      <c r="BO594" t="s">
        <v>231</v>
      </c>
      <c r="BP594" t="s">
        <v>231</v>
      </c>
      <c r="BQ594" t="s">
        <v>231</v>
      </c>
      <c r="BR594" t="s">
        <v>231</v>
      </c>
      <c r="BS594" t="s">
        <v>231</v>
      </c>
      <c r="BT594" t="s">
        <v>231</v>
      </c>
      <c r="BU594" t="s">
        <v>231</v>
      </c>
      <c r="BV594" t="s">
        <v>231</v>
      </c>
      <c r="BW594" t="s">
        <v>231</v>
      </c>
      <c r="BX594" t="s">
        <v>231</v>
      </c>
      <c r="BY594" t="s">
        <v>231</v>
      </c>
      <c r="BZ594" t="s">
        <v>231</v>
      </c>
      <c r="CA594" t="s">
        <v>231</v>
      </c>
      <c r="CB594" t="s">
        <v>231</v>
      </c>
      <c r="CC594" t="s">
        <v>231</v>
      </c>
      <c r="CD594" t="s">
        <v>231</v>
      </c>
      <c r="CE594" t="s">
        <v>231</v>
      </c>
      <c r="CF594" t="s">
        <v>231</v>
      </c>
      <c r="CG594" t="s">
        <v>231</v>
      </c>
      <c r="CH594" t="s">
        <v>231</v>
      </c>
      <c r="CI594" t="s">
        <v>231</v>
      </c>
      <c r="CJ594" t="s">
        <v>231</v>
      </c>
      <c r="CK594" t="s">
        <v>231</v>
      </c>
      <c r="CL594" t="s">
        <v>231</v>
      </c>
      <c r="CM594" t="s">
        <v>231</v>
      </c>
      <c r="CN594" t="s">
        <v>231</v>
      </c>
      <c r="CO594" t="s">
        <v>231</v>
      </c>
      <c r="CP594" t="s">
        <v>231</v>
      </c>
      <c r="CQ594" t="s">
        <v>231</v>
      </c>
      <c r="CR594" t="s">
        <v>231</v>
      </c>
      <c r="CS594" t="s">
        <v>231</v>
      </c>
      <c r="CT594" t="s">
        <v>3534</v>
      </c>
      <c r="CU594" t="s">
        <v>3535</v>
      </c>
      <c r="CV594" t="s">
        <v>3536</v>
      </c>
      <c r="CW594" t="s">
        <v>3537</v>
      </c>
      <c r="CX594" t="s">
        <v>223</v>
      </c>
      <c r="CY594" t="s">
        <v>3536</v>
      </c>
      <c r="CZ594" t="s">
        <v>3538</v>
      </c>
      <c r="DA594" t="s">
        <v>3539</v>
      </c>
      <c r="DB594" t="s">
        <v>3537</v>
      </c>
      <c r="DC594" t="s">
        <v>363</v>
      </c>
      <c r="DD594" t="s">
        <v>282</v>
      </c>
      <c r="DE594" t="s">
        <v>4824</v>
      </c>
    </row>
    <row r="595" spans="1:109" ht="11.25" customHeight="1">
      <c r="A595" s="1314" t="s">
        <v>231</v>
      </c>
      <c r="B595" t="s">
        <v>231</v>
      </c>
      <c r="C595" t="s">
        <v>231</v>
      </c>
      <c r="D595" t="s">
        <v>231</v>
      </c>
      <c r="E595" t="s">
        <v>231</v>
      </c>
      <c r="F595" t="s">
        <v>231</v>
      </c>
      <c r="G595" t="s">
        <v>231</v>
      </c>
      <c r="H595" t="s">
        <v>231</v>
      </c>
      <c r="I595" t="s">
        <v>3521</v>
      </c>
      <c r="J595" t="s">
        <v>231</v>
      </c>
      <c r="K595" t="s">
        <v>231</v>
      </c>
      <c r="L595" t="s">
        <v>231</v>
      </c>
      <c r="M595" t="s">
        <v>231</v>
      </c>
      <c r="N595" t="s">
        <v>231</v>
      </c>
      <c r="O595" t="s">
        <v>231</v>
      </c>
      <c r="P595" t="s">
        <v>231</v>
      </c>
      <c r="Q595" t="s">
        <v>231</v>
      </c>
      <c r="R595" t="s">
        <v>5083</v>
      </c>
      <c r="S595" t="s">
        <v>231</v>
      </c>
      <c r="T595" t="s">
        <v>231</v>
      </c>
      <c r="U595" t="s">
        <v>101</v>
      </c>
      <c r="V595" t="s">
        <v>231</v>
      </c>
      <c r="W595" t="s">
        <v>231</v>
      </c>
      <c r="X595" t="s">
        <v>3523</v>
      </c>
      <c r="Y595" t="s">
        <v>231</v>
      </c>
      <c r="Z595" t="s">
        <v>160</v>
      </c>
      <c r="AA595" t="s">
        <v>151</v>
      </c>
      <c r="AB595" t="s">
        <v>151</v>
      </c>
      <c r="AC595" t="s">
        <v>343</v>
      </c>
      <c r="AD595" t="s">
        <v>343</v>
      </c>
      <c r="AE595" t="s">
        <v>344</v>
      </c>
      <c r="AF595" t="s">
        <v>3561</v>
      </c>
      <c r="AG595" t="s">
        <v>3562</v>
      </c>
      <c r="AH595" t="s">
        <v>3671</v>
      </c>
      <c r="AI595" t="s">
        <v>3575</v>
      </c>
      <c r="AJ595" t="s">
        <v>3630</v>
      </c>
      <c r="AK595" t="s">
        <v>4387</v>
      </c>
      <c r="AL595" t="s">
        <v>3566</v>
      </c>
      <c r="AM595" t="s">
        <v>3531</v>
      </c>
      <c r="AN595" t="s">
        <v>4388</v>
      </c>
      <c r="AO595" t="s">
        <v>4389</v>
      </c>
      <c r="AP595" t="s">
        <v>231</v>
      </c>
      <c r="AQ595" t="s">
        <v>231</v>
      </c>
      <c r="AR595" t="s">
        <v>231</v>
      </c>
      <c r="AS595" t="s">
        <v>231</v>
      </c>
      <c r="AT595" t="s">
        <v>231</v>
      </c>
      <c r="AU595" t="s">
        <v>231</v>
      </c>
      <c r="AV595" t="s">
        <v>231</v>
      </c>
      <c r="AW595" t="s">
        <v>231</v>
      </c>
      <c r="AX595" t="s">
        <v>231</v>
      </c>
      <c r="AY595" t="s">
        <v>231</v>
      </c>
      <c r="AZ595" t="s">
        <v>231</v>
      </c>
      <c r="BA595" t="s">
        <v>231</v>
      </c>
      <c r="BB595" t="s">
        <v>231</v>
      </c>
      <c r="BC595" t="s">
        <v>231</v>
      </c>
      <c r="BD595" t="s">
        <v>231</v>
      </c>
      <c r="BE595" t="s">
        <v>231</v>
      </c>
      <c r="BF595" t="s">
        <v>231</v>
      </c>
      <c r="BG595" t="s">
        <v>231</v>
      </c>
      <c r="BH595" t="s">
        <v>231</v>
      </c>
      <c r="BI595" t="s">
        <v>231</v>
      </c>
      <c r="BJ595" t="s">
        <v>231</v>
      </c>
      <c r="BK595" t="s">
        <v>231</v>
      </c>
      <c r="BL595" t="s">
        <v>231</v>
      </c>
      <c r="BM595" t="s">
        <v>231</v>
      </c>
      <c r="BN595" t="s">
        <v>231</v>
      </c>
      <c r="BO595" t="s">
        <v>231</v>
      </c>
      <c r="BP595" t="s">
        <v>231</v>
      </c>
      <c r="BQ595" t="s">
        <v>231</v>
      </c>
      <c r="BR595" t="s">
        <v>231</v>
      </c>
      <c r="BS595" t="s">
        <v>231</v>
      </c>
      <c r="BT595" t="s">
        <v>231</v>
      </c>
      <c r="BU595" t="s">
        <v>231</v>
      </c>
      <c r="BV595" t="s">
        <v>231</v>
      </c>
      <c r="BW595" t="s">
        <v>231</v>
      </c>
      <c r="BX595" t="s">
        <v>231</v>
      </c>
      <c r="BY595" t="s">
        <v>231</v>
      </c>
      <c r="BZ595" t="s">
        <v>231</v>
      </c>
      <c r="CA595" t="s">
        <v>231</v>
      </c>
      <c r="CB595" t="s">
        <v>231</v>
      </c>
      <c r="CC595" t="s">
        <v>231</v>
      </c>
      <c r="CD595" t="s">
        <v>231</v>
      </c>
      <c r="CE595" t="s">
        <v>231</v>
      </c>
      <c r="CF595" t="s">
        <v>231</v>
      </c>
      <c r="CG595" t="s">
        <v>231</v>
      </c>
      <c r="CH595" t="s">
        <v>231</v>
      </c>
      <c r="CI595" t="s">
        <v>231</v>
      </c>
      <c r="CJ595" t="s">
        <v>231</v>
      </c>
      <c r="CK595" t="s">
        <v>231</v>
      </c>
      <c r="CL595" t="s">
        <v>231</v>
      </c>
      <c r="CM595" t="s">
        <v>231</v>
      </c>
      <c r="CN595" t="s">
        <v>231</v>
      </c>
      <c r="CO595" t="s">
        <v>231</v>
      </c>
      <c r="CP595" t="s">
        <v>231</v>
      </c>
      <c r="CQ595" t="s">
        <v>231</v>
      </c>
      <c r="CR595" t="s">
        <v>231</v>
      </c>
      <c r="CS595" t="s">
        <v>231</v>
      </c>
      <c r="CT595" t="s">
        <v>3534</v>
      </c>
      <c r="CU595" t="s">
        <v>3535</v>
      </c>
      <c r="CV595" t="s">
        <v>3536</v>
      </c>
      <c r="CW595" t="s">
        <v>3569</v>
      </c>
      <c r="CX595" t="s">
        <v>3570</v>
      </c>
      <c r="CY595" t="s">
        <v>3536</v>
      </c>
      <c r="CZ595" t="s">
        <v>224</v>
      </c>
      <c r="DA595" t="s">
        <v>3571</v>
      </c>
      <c r="DB595" t="s">
        <v>3569</v>
      </c>
      <c r="DC595" t="s">
        <v>363</v>
      </c>
      <c r="DD595" t="s">
        <v>282</v>
      </c>
      <c r="DE595" t="s">
        <v>3674</v>
      </c>
    </row>
    <row r="596" spans="1:109" ht="11.25" customHeight="1">
      <c r="A596" s="1314" t="s">
        <v>231</v>
      </c>
      <c r="B596" t="s">
        <v>231</v>
      </c>
      <c r="C596" t="s">
        <v>231</v>
      </c>
      <c r="D596" t="s">
        <v>231</v>
      </c>
      <c r="E596" t="s">
        <v>231</v>
      </c>
      <c r="F596" t="s">
        <v>231</v>
      </c>
      <c r="G596" t="s">
        <v>231</v>
      </c>
      <c r="H596" t="s">
        <v>231</v>
      </c>
      <c r="I596" t="s">
        <v>3521</v>
      </c>
      <c r="J596" t="s">
        <v>231</v>
      </c>
      <c r="K596" t="s">
        <v>231</v>
      </c>
      <c r="L596" t="s">
        <v>231</v>
      </c>
      <c r="M596" t="s">
        <v>231</v>
      </c>
      <c r="N596" t="s">
        <v>231</v>
      </c>
      <c r="O596" t="s">
        <v>231</v>
      </c>
      <c r="P596" t="s">
        <v>231</v>
      </c>
      <c r="Q596" t="s">
        <v>231</v>
      </c>
      <c r="R596" t="s">
        <v>4376</v>
      </c>
      <c r="S596" t="s">
        <v>231</v>
      </c>
      <c r="T596" t="s">
        <v>231</v>
      </c>
      <c r="U596" t="s">
        <v>101</v>
      </c>
      <c r="V596" t="s">
        <v>231</v>
      </c>
      <c r="W596" t="s">
        <v>231</v>
      </c>
      <c r="X596" t="s">
        <v>3628</v>
      </c>
      <c r="Y596" t="s">
        <v>231</v>
      </c>
      <c r="Z596" t="s">
        <v>151</v>
      </c>
      <c r="AA596" t="s">
        <v>151</v>
      </c>
      <c r="AB596" t="s">
        <v>160</v>
      </c>
      <c r="AC596" t="s">
        <v>2283</v>
      </c>
      <c r="AD596" t="s">
        <v>2283</v>
      </c>
      <c r="AE596" t="s">
        <v>2284</v>
      </c>
      <c r="AF596" t="s">
        <v>4390</v>
      </c>
      <c r="AG596" t="s">
        <v>4391</v>
      </c>
      <c r="AH596" t="s">
        <v>4392</v>
      </c>
      <c r="AI596" t="s">
        <v>4393</v>
      </c>
      <c r="AJ596" t="s">
        <v>231</v>
      </c>
      <c r="AK596" t="s">
        <v>231</v>
      </c>
      <c r="AL596" t="s">
        <v>231</v>
      </c>
      <c r="AM596" t="s">
        <v>231</v>
      </c>
      <c r="AN596" t="s">
        <v>231</v>
      </c>
      <c r="AO596" t="s">
        <v>231</v>
      </c>
      <c r="AP596" t="s">
        <v>231</v>
      </c>
      <c r="AQ596" t="s">
        <v>231</v>
      </c>
      <c r="AR596" t="s">
        <v>231</v>
      </c>
      <c r="AS596" t="s">
        <v>231</v>
      </c>
      <c r="AT596" t="s">
        <v>231</v>
      </c>
      <c r="AU596" t="s">
        <v>231</v>
      </c>
      <c r="AV596" t="s">
        <v>231</v>
      </c>
      <c r="AW596" t="s">
        <v>231</v>
      </c>
      <c r="AX596" t="s">
        <v>231</v>
      </c>
      <c r="AY596" t="s">
        <v>231</v>
      </c>
      <c r="AZ596" t="s">
        <v>231</v>
      </c>
      <c r="BA596" t="s">
        <v>231</v>
      </c>
      <c r="BB596" t="s">
        <v>231</v>
      </c>
      <c r="BC596" t="s">
        <v>231</v>
      </c>
      <c r="BD596" t="s">
        <v>231</v>
      </c>
      <c r="BE596" t="s">
        <v>3689</v>
      </c>
      <c r="BF596" t="s">
        <v>3689</v>
      </c>
      <c r="BG596" t="s">
        <v>111</v>
      </c>
      <c r="BH596" t="s">
        <v>3632</v>
      </c>
      <c r="BI596" t="s">
        <v>122</v>
      </c>
      <c r="BJ596" t="s">
        <v>231</v>
      </c>
      <c r="BK596" t="s">
        <v>3651</v>
      </c>
      <c r="BL596" t="s">
        <v>2283</v>
      </c>
      <c r="BM596" t="s">
        <v>2283</v>
      </c>
      <c r="BN596" t="s">
        <v>3690</v>
      </c>
      <c r="BO596" t="s">
        <v>4390</v>
      </c>
      <c r="BP596" t="s">
        <v>4394</v>
      </c>
      <c r="BQ596" t="s">
        <v>4382</v>
      </c>
      <c r="BR596" t="s">
        <v>4383</v>
      </c>
      <c r="BS596" t="s">
        <v>231</v>
      </c>
      <c r="BT596" t="s">
        <v>3694</v>
      </c>
      <c r="BU596" t="s">
        <v>4395</v>
      </c>
      <c r="BV596" t="s">
        <v>4395</v>
      </c>
      <c r="BW596" t="s">
        <v>3641</v>
      </c>
      <c r="BX596" t="s">
        <v>3641</v>
      </c>
      <c r="BY596" t="s">
        <v>3641</v>
      </c>
      <c r="BZ596" t="s">
        <v>3641</v>
      </c>
      <c r="CA596" t="s">
        <v>3641</v>
      </c>
      <c r="CB596" t="s">
        <v>231</v>
      </c>
      <c r="CC596" t="s">
        <v>231</v>
      </c>
      <c r="CD596" t="s">
        <v>231</v>
      </c>
      <c r="CE596" t="s">
        <v>231</v>
      </c>
      <c r="CF596" t="s">
        <v>231</v>
      </c>
      <c r="CG596" t="s">
        <v>3641</v>
      </c>
      <c r="CH596" t="s">
        <v>231</v>
      </c>
      <c r="CI596" t="s">
        <v>231</v>
      </c>
      <c r="CJ596" t="s">
        <v>231</v>
      </c>
      <c r="CK596" t="s">
        <v>231</v>
      </c>
      <c r="CL596" t="s">
        <v>231</v>
      </c>
      <c r="CM596" t="s">
        <v>4395</v>
      </c>
      <c r="CN596" t="s">
        <v>4395</v>
      </c>
      <c r="CO596" t="s">
        <v>231</v>
      </c>
      <c r="CP596" t="s">
        <v>231</v>
      </c>
      <c r="CQ596" t="s">
        <v>231</v>
      </c>
      <c r="CR596" t="s">
        <v>231</v>
      </c>
      <c r="CS596" t="s">
        <v>3549</v>
      </c>
      <c r="CT596" t="s">
        <v>3534</v>
      </c>
      <c r="CU596" t="s">
        <v>3535</v>
      </c>
      <c r="CV596" t="s">
        <v>3536</v>
      </c>
      <c r="CW596" t="s">
        <v>3551</v>
      </c>
      <c r="CX596" t="s">
        <v>223</v>
      </c>
      <c r="CY596" t="s">
        <v>3536</v>
      </c>
      <c r="CZ596" t="s">
        <v>3552</v>
      </c>
      <c r="DA596" t="s">
        <v>3553</v>
      </c>
      <c r="DB596" t="s">
        <v>3551</v>
      </c>
      <c r="DC596" t="s">
        <v>363</v>
      </c>
      <c r="DD596" t="s">
        <v>282</v>
      </c>
      <c r="DE596" t="s">
        <v>4396</v>
      </c>
    </row>
    <row r="597" spans="1:109" ht="11.25" customHeight="1">
      <c r="A597" s="1314" t="s">
        <v>231</v>
      </c>
      <c r="B597" t="s">
        <v>231</v>
      </c>
      <c r="C597" t="s">
        <v>231</v>
      </c>
      <c r="D597" t="s">
        <v>231</v>
      </c>
      <c r="E597" t="s">
        <v>231</v>
      </c>
      <c r="F597" t="s">
        <v>231</v>
      </c>
      <c r="G597" t="s">
        <v>231</v>
      </c>
      <c r="H597" t="s">
        <v>231</v>
      </c>
      <c r="I597" t="s">
        <v>3521</v>
      </c>
      <c r="J597" t="s">
        <v>231</v>
      </c>
      <c r="K597" t="s">
        <v>231</v>
      </c>
      <c r="L597" t="s">
        <v>231</v>
      </c>
      <c r="M597" t="s">
        <v>231</v>
      </c>
      <c r="N597" t="s">
        <v>231</v>
      </c>
      <c r="O597" t="s">
        <v>231</v>
      </c>
      <c r="P597" t="s">
        <v>231</v>
      </c>
      <c r="Q597" t="s">
        <v>231</v>
      </c>
      <c r="R597" t="s">
        <v>4376</v>
      </c>
      <c r="S597" t="s">
        <v>231</v>
      </c>
      <c r="T597" t="s">
        <v>231</v>
      </c>
      <c r="U597" t="s">
        <v>101</v>
      </c>
      <c r="V597" t="s">
        <v>231</v>
      </c>
      <c r="W597" t="s">
        <v>231</v>
      </c>
      <c r="X597" t="s">
        <v>3628</v>
      </c>
      <c r="Y597" t="s">
        <v>231</v>
      </c>
      <c r="Z597" t="s">
        <v>151</v>
      </c>
      <c r="AA597" t="s">
        <v>151</v>
      </c>
      <c r="AB597" t="s">
        <v>160</v>
      </c>
      <c r="AC597" t="s">
        <v>2283</v>
      </c>
      <c r="AD597" t="s">
        <v>2283</v>
      </c>
      <c r="AE597" t="s">
        <v>2284</v>
      </c>
      <c r="AF597" t="s">
        <v>4584</v>
      </c>
      <c r="AG597" t="s">
        <v>4585</v>
      </c>
      <c r="AH597" t="s">
        <v>4586</v>
      </c>
      <c r="AI597" t="s">
        <v>4587</v>
      </c>
      <c r="AJ597" t="s">
        <v>231</v>
      </c>
      <c r="AK597" t="s">
        <v>231</v>
      </c>
      <c r="AL597" t="s">
        <v>231</v>
      </c>
      <c r="AM597" t="s">
        <v>231</v>
      </c>
      <c r="AN597" t="s">
        <v>231</v>
      </c>
      <c r="AO597" t="s">
        <v>231</v>
      </c>
      <c r="AP597" t="s">
        <v>231</v>
      </c>
      <c r="AQ597" t="s">
        <v>231</v>
      </c>
      <c r="AR597" t="s">
        <v>231</v>
      </c>
      <c r="AS597" t="s">
        <v>231</v>
      </c>
      <c r="AT597" t="s">
        <v>231</v>
      </c>
      <c r="AU597" t="s">
        <v>231</v>
      </c>
      <c r="AV597" t="s">
        <v>231</v>
      </c>
      <c r="AW597" t="s">
        <v>231</v>
      </c>
      <c r="AX597" t="s">
        <v>231</v>
      </c>
      <c r="AY597" t="s">
        <v>231</v>
      </c>
      <c r="AZ597" t="s">
        <v>231</v>
      </c>
      <c r="BA597" t="s">
        <v>231</v>
      </c>
      <c r="BB597" t="s">
        <v>231</v>
      </c>
      <c r="BC597" t="s">
        <v>231</v>
      </c>
      <c r="BD597" t="s">
        <v>231</v>
      </c>
      <c r="BE597" t="s">
        <v>3689</v>
      </c>
      <c r="BF597" t="s">
        <v>3689</v>
      </c>
      <c r="BG597" t="s">
        <v>111</v>
      </c>
      <c r="BH597" t="s">
        <v>3632</v>
      </c>
      <c r="BI597" t="s">
        <v>122</v>
      </c>
      <c r="BJ597" t="s">
        <v>231</v>
      </c>
      <c r="BK597" t="s">
        <v>3651</v>
      </c>
      <c r="BL597" t="s">
        <v>2283</v>
      </c>
      <c r="BM597" t="s">
        <v>2283</v>
      </c>
      <c r="BN597" t="s">
        <v>3690</v>
      </c>
      <c r="BO597" t="s">
        <v>4584</v>
      </c>
      <c r="BP597" t="s">
        <v>4588</v>
      </c>
      <c r="BQ597" t="s">
        <v>4382</v>
      </c>
      <c r="BR597" t="s">
        <v>4383</v>
      </c>
      <c r="BS597" t="s">
        <v>231</v>
      </c>
      <c r="BT597" t="s">
        <v>3694</v>
      </c>
      <c r="BU597" t="s">
        <v>4589</v>
      </c>
      <c r="BV597" t="s">
        <v>4589</v>
      </c>
      <c r="BW597" t="s">
        <v>3641</v>
      </c>
      <c r="BX597" t="s">
        <v>3641</v>
      </c>
      <c r="BY597" t="s">
        <v>3641</v>
      </c>
      <c r="BZ597" t="s">
        <v>3641</v>
      </c>
      <c r="CA597" t="s">
        <v>3641</v>
      </c>
      <c r="CB597" t="s">
        <v>231</v>
      </c>
      <c r="CC597" t="s">
        <v>231</v>
      </c>
      <c r="CD597" t="s">
        <v>231</v>
      </c>
      <c r="CE597" t="s">
        <v>231</v>
      </c>
      <c r="CF597" t="s">
        <v>231</v>
      </c>
      <c r="CG597" t="s">
        <v>3641</v>
      </c>
      <c r="CH597" t="s">
        <v>231</v>
      </c>
      <c r="CI597" t="s">
        <v>231</v>
      </c>
      <c r="CJ597" t="s">
        <v>231</v>
      </c>
      <c r="CK597" t="s">
        <v>231</v>
      </c>
      <c r="CL597" t="s">
        <v>231</v>
      </c>
      <c r="CM597" t="s">
        <v>4589</v>
      </c>
      <c r="CN597" t="s">
        <v>4589</v>
      </c>
      <c r="CO597" t="s">
        <v>231</v>
      </c>
      <c r="CP597" t="s">
        <v>231</v>
      </c>
      <c r="CQ597" t="s">
        <v>231</v>
      </c>
      <c r="CR597" t="s">
        <v>231</v>
      </c>
      <c r="CS597" t="s">
        <v>3549</v>
      </c>
      <c r="CT597" t="s">
        <v>3534</v>
      </c>
      <c r="CU597" t="s">
        <v>3535</v>
      </c>
      <c r="CV597" t="s">
        <v>3536</v>
      </c>
      <c r="CW597" t="s">
        <v>3551</v>
      </c>
      <c r="CX597" t="s">
        <v>223</v>
      </c>
      <c r="CY597" t="s">
        <v>3536</v>
      </c>
      <c r="CZ597" t="s">
        <v>3552</v>
      </c>
      <c r="DA597" t="s">
        <v>3553</v>
      </c>
      <c r="DB597" t="s">
        <v>3551</v>
      </c>
      <c r="DC597" t="s">
        <v>363</v>
      </c>
      <c r="DD597" t="s">
        <v>282</v>
      </c>
      <c r="DE597" t="s">
        <v>4590</v>
      </c>
    </row>
    <row r="598" spans="1:109" ht="11.25" customHeight="1">
      <c r="A598" s="1314" t="s">
        <v>231</v>
      </c>
      <c r="B598" t="s">
        <v>231</v>
      </c>
      <c r="C598" t="s">
        <v>231</v>
      </c>
      <c r="D598" t="s">
        <v>231</v>
      </c>
      <c r="E598" t="s">
        <v>231</v>
      </c>
      <c r="F598" t="s">
        <v>231</v>
      </c>
      <c r="G598" t="s">
        <v>231</v>
      </c>
      <c r="H598" t="s">
        <v>231</v>
      </c>
      <c r="I598" t="s">
        <v>3521</v>
      </c>
      <c r="J598" t="s">
        <v>231</v>
      </c>
      <c r="K598" t="s">
        <v>231</v>
      </c>
      <c r="L598" t="s">
        <v>231</v>
      </c>
      <c r="M598" t="s">
        <v>231</v>
      </c>
      <c r="N598" t="s">
        <v>231</v>
      </c>
      <c r="O598" t="s">
        <v>231</v>
      </c>
      <c r="P598" t="s">
        <v>231</v>
      </c>
      <c r="Q598" t="s">
        <v>231</v>
      </c>
      <c r="R598" t="s">
        <v>4802</v>
      </c>
      <c r="S598" t="s">
        <v>231</v>
      </c>
      <c r="T598" t="s">
        <v>231</v>
      </c>
      <c r="U598" t="s">
        <v>101</v>
      </c>
      <c r="V598" t="s">
        <v>231</v>
      </c>
      <c r="W598" t="s">
        <v>231</v>
      </c>
      <c r="X598" t="s">
        <v>3523</v>
      </c>
      <c r="Y598" t="s">
        <v>231</v>
      </c>
      <c r="Z598" t="s">
        <v>160</v>
      </c>
      <c r="AA598" t="s">
        <v>151</v>
      </c>
      <c r="AB598" t="s">
        <v>151</v>
      </c>
      <c r="AC598" t="s">
        <v>2289</v>
      </c>
      <c r="AD598" t="s">
        <v>2289</v>
      </c>
      <c r="AE598" t="s">
        <v>2290</v>
      </c>
      <c r="AF598" t="s">
        <v>3793</v>
      </c>
      <c r="AG598" t="s">
        <v>3794</v>
      </c>
      <c r="AH598" t="s">
        <v>4803</v>
      </c>
      <c r="AI598" t="s">
        <v>4360</v>
      </c>
      <c r="AJ598" t="s">
        <v>3546</v>
      </c>
      <c r="AK598" t="s">
        <v>3775</v>
      </c>
      <c r="AL598" t="s">
        <v>3548</v>
      </c>
      <c r="AM598" t="s">
        <v>3531</v>
      </c>
      <c r="AN598" t="s">
        <v>3595</v>
      </c>
      <c r="AO598" t="s">
        <v>3724</v>
      </c>
      <c r="AP598" t="s">
        <v>231</v>
      </c>
      <c r="AQ598" t="s">
        <v>231</v>
      </c>
      <c r="AR598" t="s">
        <v>231</v>
      </c>
      <c r="AS598" t="s">
        <v>231</v>
      </c>
      <c r="AT598" t="s">
        <v>231</v>
      </c>
      <c r="AU598" t="s">
        <v>231</v>
      </c>
      <c r="AV598" t="s">
        <v>231</v>
      </c>
      <c r="AW598" t="s">
        <v>231</v>
      </c>
      <c r="AX598" t="s">
        <v>231</v>
      </c>
      <c r="AY598" t="s">
        <v>231</v>
      </c>
      <c r="AZ598" t="s">
        <v>231</v>
      </c>
      <c r="BA598" t="s">
        <v>231</v>
      </c>
      <c r="BB598" t="s">
        <v>231</v>
      </c>
      <c r="BC598" t="s">
        <v>231</v>
      </c>
      <c r="BD598" t="s">
        <v>231</v>
      </c>
      <c r="BE598" t="s">
        <v>231</v>
      </c>
      <c r="BF598" t="s">
        <v>231</v>
      </c>
      <c r="BG598" t="s">
        <v>231</v>
      </c>
      <c r="BH598" t="s">
        <v>231</v>
      </c>
      <c r="BI598" t="s">
        <v>231</v>
      </c>
      <c r="BJ598" t="s">
        <v>231</v>
      </c>
      <c r="BK598" t="s">
        <v>231</v>
      </c>
      <c r="BL598" t="s">
        <v>231</v>
      </c>
      <c r="BM598" t="s">
        <v>231</v>
      </c>
      <c r="BN598" t="s">
        <v>231</v>
      </c>
      <c r="BO598" t="s">
        <v>231</v>
      </c>
      <c r="BP598" t="s">
        <v>231</v>
      </c>
      <c r="BQ598" t="s">
        <v>231</v>
      </c>
      <c r="BR598" t="s">
        <v>231</v>
      </c>
      <c r="BS598" t="s">
        <v>231</v>
      </c>
      <c r="BT598" t="s">
        <v>231</v>
      </c>
      <c r="BU598" t="s">
        <v>231</v>
      </c>
      <c r="BV598" t="s">
        <v>231</v>
      </c>
      <c r="BW598" t="s">
        <v>231</v>
      </c>
      <c r="BX598" t="s">
        <v>231</v>
      </c>
      <c r="BY598" t="s">
        <v>231</v>
      </c>
      <c r="BZ598" t="s">
        <v>231</v>
      </c>
      <c r="CA598" t="s">
        <v>231</v>
      </c>
      <c r="CB598" t="s">
        <v>231</v>
      </c>
      <c r="CC598" t="s">
        <v>231</v>
      </c>
      <c r="CD598" t="s">
        <v>231</v>
      </c>
      <c r="CE598" t="s">
        <v>231</v>
      </c>
      <c r="CF598" t="s">
        <v>231</v>
      </c>
      <c r="CG598" t="s">
        <v>231</v>
      </c>
      <c r="CH598" t="s">
        <v>231</v>
      </c>
      <c r="CI598" t="s">
        <v>231</v>
      </c>
      <c r="CJ598" t="s">
        <v>231</v>
      </c>
      <c r="CK598" t="s">
        <v>231</v>
      </c>
      <c r="CL598" t="s">
        <v>231</v>
      </c>
      <c r="CM598" t="s">
        <v>231</v>
      </c>
      <c r="CN598" t="s">
        <v>231</v>
      </c>
      <c r="CO598" t="s">
        <v>231</v>
      </c>
      <c r="CP598" t="s">
        <v>231</v>
      </c>
      <c r="CQ598" t="s">
        <v>231</v>
      </c>
      <c r="CR598" t="s">
        <v>231</v>
      </c>
      <c r="CS598" t="s">
        <v>231</v>
      </c>
      <c r="CT598" t="s">
        <v>3534</v>
      </c>
      <c r="CU598" t="s">
        <v>3535</v>
      </c>
      <c r="CV598" t="s">
        <v>3536</v>
      </c>
      <c r="CW598" t="s">
        <v>3589</v>
      </c>
      <c r="CX598" t="s">
        <v>223</v>
      </c>
      <c r="CY598" t="s">
        <v>3536</v>
      </c>
      <c r="CZ598" t="s">
        <v>3590</v>
      </c>
      <c r="DA598" t="s">
        <v>3591</v>
      </c>
      <c r="DB598" t="s">
        <v>3589</v>
      </c>
      <c r="DC598" t="s">
        <v>363</v>
      </c>
      <c r="DD598" t="s">
        <v>282</v>
      </c>
      <c r="DE598" t="s">
        <v>4804</v>
      </c>
    </row>
    <row r="599" spans="1:109" ht="11.25" customHeight="1">
      <c r="A599" s="1314" t="s">
        <v>231</v>
      </c>
      <c r="B599" t="s">
        <v>231</v>
      </c>
      <c r="C599" t="s">
        <v>231</v>
      </c>
      <c r="D599" t="s">
        <v>231</v>
      </c>
      <c r="E599" t="s">
        <v>231</v>
      </c>
      <c r="F599" t="s">
        <v>231</v>
      </c>
      <c r="G599" t="s">
        <v>231</v>
      </c>
      <c r="H599" t="s">
        <v>231</v>
      </c>
      <c r="I599" t="s">
        <v>3521</v>
      </c>
      <c r="J599" t="s">
        <v>231</v>
      </c>
      <c r="K599" t="s">
        <v>231</v>
      </c>
      <c r="L599" t="s">
        <v>231</v>
      </c>
      <c r="M599" t="s">
        <v>231</v>
      </c>
      <c r="N599" t="s">
        <v>231</v>
      </c>
      <c r="O599" t="s">
        <v>231</v>
      </c>
      <c r="P599" t="s">
        <v>231</v>
      </c>
      <c r="Q599" t="s">
        <v>231</v>
      </c>
      <c r="R599" t="s">
        <v>4805</v>
      </c>
      <c r="S599" t="s">
        <v>231</v>
      </c>
      <c r="T599" t="s">
        <v>231</v>
      </c>
      <c r="U599" t="s">
        <v>101</v>
      </c>
      <c r="V599" t="s">
        <v>231</v>
      </c>
      <c r="W599" t="s">
        <v>231</v>
      </c>
      <c r="X599" t="s">
        <v>3523</v>
      </c>
      <c r="Y599" t="s">
        <v>231</v>
      </c>
      <c r="Z599" t="s">
        <v>160</v>
      </c>
      <c r="AA599" t="s">
        <v>151</v>
      </c>
      <c r="AB599" t="s">
        <v>151</v>
      </c>
      <c r="AC599" t="s">
        <v>2289</v>
      </c>
      <c r="AD599" t="s">
        <v>2289</v>
      </c>
      <c r="AE599" t="s">
        <v>2290</v>
      </c>
      <c r="AF599" t="s">
        <v>3793</v>
      </c>
      <c r="AG599" t="s">
        <v>3794</v>
      </c>
      <c r="AH599" t="s">
        <v>4806</v>
      </c>
      <c r="AI599" t="s">
        <v>4593</v>
      </c>
      <c r="AJ599" t="s">
        <v>3546</v>
      </c>
      <c r="AK599" t="s">
        <v>3586</v>
      </c>
      <c r="AL599" t="s">
        <v>3548</v>
      </c>
      <c r="AM599" t="s">
        <v>3531</v>
      </c>
      <c r="AN599" t="s">
        <v>3595</v>
      </c>
      <c r="AO599" t="s">
        <v>3662</v>
      </c>
      <c r="AP599" t="s">
        <v>231</v>
      </c>
      <c r="AQ599" t="s">
        <v>231</v>
      </c>
      <c r="AR599" t="s">
        <v>231</v>
      </c>
      <c r="AS599" t="s">
        <v>231</v>
      </c>
      <c r="AT599" t="s">
        <v>231</v>
      </c>
      <c r="AU599" t="s">
        <v>231</v>
      </c>
      <c r="AV599" t="s">
        <v>231</v>
      </c>
      <c r="AW599" t="s">
        <v>231</v>
      </c>
      <c r="AX599" t="s">
        <v>231</v>
      </c>
      <c r="AY599" t="s">
        <v>231</v>
      </c>
      <c r="AZ599" t="s">
        <v>231</v>
      </c>
      <c r="BA599" t="s">
        <v>231</v>
      </c>
      <c r="BB599" t="s">
        <v>231</v>
      </c>
      <c r="BC599" t="s">
        <v>231</v>
      </c>
      <c r="BD599" t="s">
        <v>231</v>
      </c>
      <c r="BE599" t="s">
        <v>231</v>
      </c>
      <c r="BF599" t="s">
        <v>231</v>
      </c>
      <c r="BG599" t="s">
        <v>231</v>
      </c>
      <c r="BH599" t="s">
        <v>231</v>
      </c>
      <c r="BI599" t="s">
        <v>231</v>
      </c>
      <c r="BJ599" t="s">
        <v>231</v>
      </c>
      <c r="BK599" t="s">
        <v>231</v>
      </c>
      <c r="BL599" t="s">
        <v>231</v>
      </c>
      <c r="BM599" t="s">
        <v>231</v>
      </c>
      <c r="BN599" t="s">
        <v>231</v>
      </c>
      <c r="BO599" t="s">
        <v>231</v>
      </c>
      <c r="BP599" t="s">
        <v>231</v>
      </c>
      <c r="BQ599" t="s">
        <v>231</v>
      </c>
      <c r="BR599" t="s">
        <v>231</v>
      </c>
      <c r="BS599" t="s">
        <v>231</v>
      </c>
      <c r="BT599" t="s">
        <v>231</v>
      </c>
      <c r="BU599" t="s">
        <v>231</v>
      </c>
      <c r="BV599" t="s">
        <v>231</v>
      </c>
      <c r="BW599" t="s">
        <v>231</v>
      </c>
      <c r="BX599" t="s">
        <v>231</v>
      </c>
      <c r="BY599" t="s">
        <v>231</v>
      </c>
      <c r="BZ599" t="s">
        <v>231</v>
      </c>
      <c r="CA599" t="s">
        <v>231</v>
      </c>
      <c r="CB599" t="s">
        <v>231</v>
      </c>
      <c r="CC599" t="s">
        <v>231</v>
      </c>
      <c r="CD599" t="s">
        <v>231</v>
      </c>
      <c r="CE599" t="s">
        <v>231</v>
      </c>
      <c r="CF599" t="s">
        <v>231</v>
      </c>
      <c r="CG599" t="s">
        <v>231</v>
      </c>
      <c r="CH599" t="s">
        <v>231</v>
      </c>
      <c r="CI599" t="s">
        <v>231</v>
      </c>
      <c r="CJ599" t="s">
        <v>231</v>
      </c>
      <c r="CK599" t="s">
        <v>231</v>
      </c>
      <c r="CL599" t="s">
        <v>231</v>
      </c>
      <c r="CM599" t="s">
        <v>231</v>
      </c>
      <c r="CN599" t="s">
        <v>231</v>
      </c>
      <c r="CO599" t="s">
        <v>231</v>
      </c>
      <c r="CP599" t="s">
        <v>231</v>
      </c>
      <c r="CQ599" t="s">
        <v>231</v>
      </c>
      <c r="CR599" t="s">
        <v>231</v>
      </c>
      <c r="CS599" t="s">
        <v>231</v>
      </c>
      <c r="CT599" t="s">
        <v>3534</v>
      </c>
      <c r="CU599" t="s">
        <v>3535</v>
      </c>
      <c r="CV599" t="s">
        <v>3536</v>
      </c>
      <c r="CW599" t="s">
        <v>3589</v>
      </c>
      <c r="CX599" t="s">
        <v>223</v>
      </c>
      <c r="CY599" t="s">
        <v>3536</v>
      </c>
      <c r="CZ599" t="s">
        <v>3590</v>
      </c>
      <c r="DA599" t="s">
        <v>3591</v>
      </c>
      <c r="DB599" t="s">
        <v>3589</v>
      </c>
      <c r="DC599" t="s">
        <v>363</v>
      </c>
      <c r="DD599" t="s">
        <v>282</v>
      </c>
      <c r="DE599" t="s">
        <v>4807</v>
      </c>
    </row>
    <row r="600" spans="1:109" ht="11.25" customHeight="1">
      <c r="A600" s="1314" t="s">
        <v>231</v>
      </c>
      <c r="B600" t="s">
        <v>231</v>
      </c>
      <c r="C600" t="s">
        <v>231</v>
      </c>
      <c r="D600" t="s">
        <v>231</v>
      </c>
      <c r="E600" t="s">
        <v>231</v>
      </c>
      <c r="F600" t="s">
        <v>231</v>
      </c>
      <c r="G600" t="s">
        <v>231</v>
      </c>
      <c r="H600" t="s">
        <v>231</v>
      </c>
      <c r="I600" t="s">
        <v>3521</v>
      </c>
      <c r="J600" t="s">
        <v>231</v>
      </c>
      <c r="K600" t="s">
        <v>231</v>
      </c>
      <c r="L600" t="s">
        <v>231</v>
      </c>
      <c r="M600" t="s">
        <v>231</v>
      </c>
      <c r="N600" t="s">
        <v>231</v>
      </c>
      <c r="O600" t="s">
        <v>231</v>
      </c>
      <c r="P600" t="s">
        <v>231</v>
      </c>
      <c r="Q600" t="s">
        <v>231</v>
      </c>
      <c r="R600" t="s">
        <v>3792</v>
      </c>
      <c r="S600" t="s">
        <v>231</v>
      </c>
      <c r="T600" t="s">
        <v>231</v>
      </c>
      <c r="U600" t="s">
        <v>101</v>
      </c>
      <c r="V600" t="s">
        <v>231</v>
      </c>
      <c r="W600" t="s">
        <v>231</v>
      </c>
      <c r="X600" t="s">
        <v>3523</v>
      </c>
      <c r="Y600" t="s">
        <v>231</v>
      </c>
      <c r="Z600" t="s">
        <v>160</v>
      </c>
      <c r="AA600" t="s">
        <v>151</v>
      </c>
      <c r="AB600" t="s">
        <v>151</v>
      </c>
      <c r="AC600" t="s">
        <v>2289</v>
      </c>
      <c r="AD600" t="s">
        <v>2289</v>
      </c>
      <c r="AE600" t="s">
        <v>2290</v>
      </c>
      <c r="AF600" t="s">
        <v>3793</v>
      </c>
      <c r="AG600" t="s">
        <v>3794</v>
      </c>
      <c r="AH600" t="s">
        <v>3795</v>
      </c>
      <c r="AI600" t="s">
        <v>3774</v>
      </c>
      <c r="AJ600" t="s">
        <v>3546</v>
      </c>
      <c r="AK600" t="s">
        <v>3594</v>
      </c>
      <c r="AL600" t="s">
        <v>3548</v>
      </c>
      <c r="AM600" t="s">
        <v>3531</v>
      </c>
      <c r="AN600" t="s">
        <v>3595</v>
      </c>
      <c r="AO600" t="s">
        <v>3796</v>
      </c>
      <c r="AP600" t="s">
        <v>231</v>
      </c>
      <c r="AQ600" t="s">
        <v>231</v>
      </c>
      <c r="AR600" t="s">
        <v>231</v>
      </c>
      <c r="AS600" t="s">
        <v>231</v>
      </c>
      <c r="AT600" t="s">
        <v>231</v>
      </c>
      <c r="AU600" t="s">
        <v>231</v>
      </c>
      <c r="AV600" t="s">
        <v>231</v>
      </c>
      <c r="AW600" t="s">
        <v>231</v>
      </c>
      <c r="AX600" t="s">
        <v>231</v>
      </c>
      <c r="AY600" t="s">
        <v>231</v>
      </c>
      <c r="AZ600" t="s">
        <v>231</v>
      </c>
      <c r="BA600" t="s">
        <v>231</v>
      </c>
      <c r="BB600" t="s">
        <v>231</v>
      </c>
      <c r="BC600" t="s">
        <v>231</v>
      </c>
      <c r="BD600" t="s">
        <v>231</v>
      </c>
      <c r="BE600" t="s">
        <v>231</v>
      </c>
      <c r="BF600" t="s">
        <v>231</v>
      </c>
      <c r="BG600" t="s">
        <v>231</v>
      </c>
      <c r="BH600" t="s">
        <v>231</v>
      </c>
      <c r="BI600" t="s">
        <v>231</v>
      </c>
      <c r="BJ600" t="s">
        <v>231</v>
      </c>
      <c r="BK600" t="s">
        <v>231</v>
      </c>
      <c r="BL600" t="s">
        <v>231</v>
      </c>
      <c r="BM600" t="s">
        <v>231</v>
      </c>
      <c r="BN600" t="s">
        <v>231</v>
      </c>
      <c r="BO600" t="s">
        <v>231</v>
      </c>
      <c r="BP600" t="s">
        <v>231</v>
      </c>
      <c r="BQ600" t="s">
        <v>231</v>
      </c>
      <c r="BR600" t="s">
        <v>231</v>
      </c>
      <c r="BS600" t="s">
        <v>231</v>
      </c>
      <c r="BT600" t="s">
        <v>231</v>
      </c>
      <c r="BU600" t="s">
        <v>231</v>
      </c>
      <c r="BV600" t="s">
        <v>231</v>
      </c>
      <c r="BW600" t="s">
        <v>231</v>
      </c>
      <c r="BX600" t="s">
        <v>231</v>
      </c>
      <c r="BY600" t="s">
        <v>231</v>
      </c>
      <c r="BZ600" t="s">
        <v>231</v>
      </c>
      <c r="CA600" t="s">
        <v>231</v>
      </c>
      <c r="CB600" t="s">
        <v>231</v>
      </c>
      <c r="CC600" t="s">
        <v>231</v>
      </c>
      <c r="CD600" t="s">
        <v>231</v>
      </c>
      <c r="CE600" t="s">
        <v>231</v>
      </c>
      <c r="CF600" t="s">
        <v>231</v>
      </c>
      <c r="CG600" t="s">
        <v>231</v>
      </c>
      <c r="CH600" t="s">
        <v>231</v>
      </c>
      <c r="CI600" t="s">
        <v>231</v>
      </c>
      <c r="CJ600" t="s">
        <v>231</v>
      </c>
      <c r="CK600" t="s">
        <v>231</v>
      </c>
      <c r="CL600" t="s">
        <v>231</v>
      </c>
      <c r="CM600" t="s">
        <v>231</v>
      </c>
      <c r="CN600" t="s">
        <v>231</v>
      </c>
      <c r="CO600" t="s">
        <v>231</v>
      </c>
      <c r="CP600" t="s">
        <v>231</v>
      </c>
      <c r="CQ600" t="s">
        <v>231</v>
      </c>
      <c r="CR600" t="s">
        <v>231</v>
      </c>
      <c r="CS600" t="s">
        <v>231</v>
      </c>
      <c r="CT600" t="s">
        <v>3534</v>
      </c>
      <c r="CU600" t="s">
        <v>3535</v>
      </c>
      <c r="CV600" t="s">
        <v>3536</v>
      </c>
      <c r="CW600" t="s">
        <v>3589</v>
      </c>
      <c r="CX600" t="s">
        <v>223</v>
      </c>
      <c r="CY600" t="s">
        <v>3536</v>
      </c>
      <c r="CZ600" t="s">
        <v>3590</v>
      </c>
      <c r="DA600" t="s">
        <v>3591</v>
      </c>
      <c r="DB600" t="s">
        <v>3589</v>
      </c>
      <c r="DC600" t="s">
        <v>363</v>
      </c>
      <c r="DD600" t="s">
        <v>282</v>
      </c>
      <c r="DE600" t="s">
        <v>3797</v>
      </c>
    </row>
    <row r="601" spans="1:109" ht="11.25" customHeight="1">
      <c r="A601" s="1314" t="s">
        <v>231</v>
      </c>
      <c r="B601" t="s">
        <v>231</v>
      </c>
      <c r="C601" t="s">
        <v>231</v>
      </c>
      <c r="D601" t="s">
        <v>231</v>
      </c>
      <c r="E601" t="s">
        <v>231</v>
      </c>
      <c r="F601" t="s">
        <v>231</v>
      </c>
      <c r="G601" t="s">
        <v>231</v>
      </c>
      <c r="H601" t="s">
        <v>231</v>
      </c>
      <c r="I601" t="s">
        <v>3521</v>
      </c>
      <c r="J601" t="s">
        <v>231</v>
      </c>
      <c r="K601" t="s">
        <v>231</v>
      </c>
      <c r="L601" t="s">
        <v>231</v>
      </c>
      <c r="M601" t="s">
        <v>231</v>
      </c>
      <c r="N601" t="s">
        <v>231</v>
      </c>
      <c r="O601" t="s">
        <v>231</v>
      </c>
      <c r="P601" t="s">
        <v>231</v>
      </c>
      <c r="Q601" t="s">
        <v>231</v>
      </c>
      <c r="R601" t="s">
        <v>3942</v>
      </c>
      <c r="S601" t="s">
        <v>231</v>
      </c>
      <c r="T601" t="s">
        <v>231</v>
      </c>
      <c r="U601" t="s">
        <v>101</v>
      </c>
      <c r="V601" t="s">
        <v>231</v>
      </c>
      <c r="W601" t="s">
        <v>231</v>
      </c>
      <c r="X601" t="s">
        <v>3523</v>
      </c>
      <c r="Y601" t="s">
        <v>231</v>
      </c>
      <c r="Z601" t="s">
        <v>160</v>
      </c>
      <c r="AA601" t="s">
        <v>151</v>
      </c>
      <c r="AB601" t="s">
        <v>151</v>
      </c>
      <c r="AC601" t="s">
        <v>2289</v>
      </c>
      <c r="AD601" t="s">
        <v>2289</v>
      </c>
      <c r="AE601" t="s">
        <v>2290</v>
      </c>
      <c r="AF601" t="s">
        <v>3816</v>
      </c>
      <c r="AG601" t="s">
        <v>3817</v>
      </c>
      <c r="AH601" t="s">
        <v>3795</v>
      </c>
      <c r="AI601" t="s">
        <v>4624</v>
      </c>
      <c r="AJ601" t="s">
        <v>3546</v>
      </c>
      <c r="AK601" t="s">
        <v>3775</v>
      </c>
      <c r="AL601" t="s">
        <v>3548</v>
      </c>
      <c r="AM601" t="s">
        <v>3531</v>
      </c>
      <c r="AN601" t="s">
        <v>3595</v>
      </c>
      <c r="AO601" t="s">
        <v>3656</v>
      </c>
      <c r="AP601" t="s">
        <v>231</v>
      </c>
      <c r="AQ601" t="s">
        <v>231</v>
      </c>
      <c r="AR601" t="s">
        <v>231</v>
      </c>
      <c r="AS601" t="s">
        <v>231</v>
      </c>
      <c r="AT601" t="s">
        <v>231</v>
      </c>
      <c r="AU601" t="s">
        <v>231</v>
      </c>
      <c r="AV601" t="s">
        <v>231</v>
      </c>
      <c r="AW601" t="s">
        <v>231</v>
      </c>
      <c r="AX601" t="s">
        <v>231</v>
      </c>
      <c r="AY601" t="s">
        <v>231</v>
      </c>
      <c r="AZ601" t="s">
        <v>231</v>
      </c>
      <c r="BA601" t="s">
        <v>231</v>
      </c>
      <c r="BB601" t="s">
        <v>231</v>
      </c>
      <c r="BC601" t="s">
        <v>231</v>
      </c>
      <c r="BD601" t="s">
        <v>231</v>
      </c>
      <c r="BE601" t="s">
        <v>231</v>
      </c>
      <c r="BF601" t="s">
        <v>231</v>
      </c>
      <c r="BG601" t="s">
        <v>231</v>
      </c>
      <c r="BH601" t="s">
        <v>231</v>
      </c>
      <c r="BI601" t="s">
        <v>231</v>
      </c>
      <c r="BJ601" t="s">
        <v>231</v>
      </c>
      <c r="BK601" t="s">
        <v>231</v>
      </c>
      <c r="BL601" t="s">
        <v>231</v>
      </c>
      <c r="BM601" t="s">
        <v>231</v>
      </c>
      <c r="BN601" t="s">
        <v>231</v>
      </c>
      <c r="BO601" t="s">
        <v>231</v>
      </c>
      <c r="BP601" t="s">
        <v>231</v>
      </c>
      <c r="BQ601" t="s">
        <v>231</v>
      </c>
      <c r="BR601" t="s">
        <v>231</v>
      </c>
      <c r="BS601" t="s">
        <v>231</v>
      </c>
      <c r="BT601" t="s">
        <v>231</v>
      </c>
      <c r="BU601" t="s">
        <v>231</v>
      </c>
      <c r="BV601" t="s">
        <v>231</v>
      </c>
      <c r="BW601" t="s">
        <v>231</v>
      </c>
      <c r="BX601" t="s">
        <v>231</v>
      </c>
      <c r="BY601" t="s">
        <v>231</v>
      </c>
      <c r="BZ601" t="s">
        <v>231</v>
      </c>
      <c r="CA601" t="s">
        <v>231</v>
      </c>
      <c r="CB601" t="s">
        <v>231</v>
      </c>
      <c r="CC601" t="s">
        <v>231</v>
      </c>
      <c r="CD601" t="s">
        <v>231</v>
      </c>
      <c r="CE601" t="s">
        <v>231</v>
      </c>
      <c r="CF601" t="s">
        <v>231</v>
      </c>
      <c r="CG601" t="s">
        <v>231</v>
      </c>
      <c r="CH601" t="s">
        <v>231</v>
      </c>
      <c r="CI601" t="s">
        <v>231</v>
      </c>
      <c r="CJ601" t="s">
        <v>231</v>
      </c>
      <c r="CK601" t="s">
        <v>231</v>
      </c>
      <c r="CL601" t="s">
        <v>231</v>
      </c>
      <c r="CM601" t="s">
        <v>231</v>
      </c>
      <c r="CN601" t="s">
        <v>231</v>
      </c>
      <c r="CO601" t="s">
        <v>231</v>
      </c>
      <c r="CP601" t="s">
        <v>231</v>
      </c>
      <c r="CQ601" t="s">
        <v>231</v>
      </c>
      <c r="CR601" t="s">
        <v>231</v>
      </c>
      <c r="CS601" t="s">
        <v>231</v>
      </c>
      <c r="CT601" t="s">
        <v>3534</v>
      </c>
      <c r="CU601" t="s">
        <v>3535</v>
      </c>
      <c r="CV601" t="s">
        <v>3536</v>
      </c>
      <c r="CW601" t="s">
        <v>3589</v>
      </c>
      <c r="CX601" t="s">
        <v>223</v>
      </c>
      <c r="CY601" t="s">
        <v>3536</v>
      </c>
      <c r="CZ601" t="s">
        <v>3590</v>
      </c>
      <c r="DA601" t="s">
        <v>3591</v>
      </c>
      <c r="DB601" t="s">
        <v>3589</v>
      </c>
      <c r="DC601" t="s">
        <v>363</v>
      </c>
      <c r="DD601" t="s">
        <v>282</v>
      </c>
      <c r="DE601" t="s">
        <v>4808</v>
      </c>
    </row>
    <row r="602" spans="1:109" ht="11.25" customHeight="1">
      <c r="A602" s="1314" t="s">
        <v>231</v>
      </c>
      <c r="B602" t="s">
        <v>231</v>
      </c>
      <c r="C602" t="s">
        <v>231</v>
      </c>
      <c r="D602" t="s">
        <v>231</v>
      </c>
      <c r="E602" t="s">
        <v>231</v>
      </c>
      <c r="F602" t="s">
        <v>231</v>
      </c>
      <c r="G602" t="s">
        <v>231</v>
      </c>
      <c r="H602" t="s">
        <v>231</v>
      </c>
      <c r="I602" t="s">
        <v>3521</v>
      </c>
      <c r="J602" t="s">
        <v>231</v>
      </c>
      <c r="K602" t="s">
        <v>231</v>
      </c>
      <c r="L602" t="s">
        <v>231</v>
      </c>
      <c r="M602" t="s">
        <v>231</v>
      </c>
      <c r="N602" t="s">
        <v>231</v>
      </c>
      <c r="O602" t="s">
        <v>231</v>
      </c>
      <c r="P602" t="s">
        <v>231</v>
      </c>
      <c r="Q602" t="s">
        <v>231</v>
      </c>
      <c r="R602" t="s">
        <v>4809</v>
      </c>
      <c r="S602" t="s">
        <v>231</v>
      </c>
      <c r="T602" t="s">
        <v>231</v>
      </c>
      <c r="U602" t="s">
        <v>101</v>
      </c>
      <c r="V602" t="s">
        <v>231</v>
      </c>
      <c r="W602" t="s">
        <v>231</v>
      </c>
      <c r="X602" t="s">
        <v>3523</v>
      </c>
      <c r="Y602" t="s">
        <v>231</v>
      </c>
      <c r="Z602" t="s">
        <v>160</v>
      </c>
      <c r="AA602" t="s">
        <v>151</v>
      </c>
      <c r="AB602" t="s">
        <v>151</v>
      </c>
      <c r="AC602" t="s">
        <v>2289</v>
      </c>
      <c r="AD602" t="s">
        <v>2289</v>
      </c>
      <c r="AE602" t="s">
        <v>2290</v>
      </c>
      <c r="AF602" t="s">
        <v>3816</v>
      </c>
      <c r="AG602" t="s">
        <v>3817</v>
      </c>
      <c r="AH602" t="s">
        <v>3818</v>
      </c>
      <c r="AI602" t="s">
        <v>4810</v>
      </c>
      <c r="AJ602" t="s">
        <v>3546</v>
      </c>
      <c r="AK602" t="s">
        <v>3775</v>
      </c>
      <c r="AL602" t="s">
        <v>3548</v>
      </c>
      <c r="AM602" t="s">
        <v>3531</v>
      </c>
      <c r="AN602" t="s">
        <v>3587</v>
      </c>
      <c r="AO602" t="s">
        <v>4811</v>
      </c>
      <c r="AP602" t="s">
        <v>231</v>
      </c>
      <c r="AQ602" t="s">
        <v>231</v>
      </c>
      <c r="AR602" t="s">
        <v>231</v>
      </c>
      <c r="AS602" t="s">
        <v>231</v>
      </c>
      <c r="AT602" t="s">
        <v>231</v>
      </c>
      <c r="AU602" t="s">
        <v>231</v>
      </c>
      <c r="AV602" t="s">
        <v>231</v>
      </c>
      <c r="AW602" t="s">
        <v>231</v>
      </c>
      <c r="AX602" t="s">
        <v>231</v>
      </c>
      <c r="AY602" t="s">
        <v>231</v>
      </c>
      <c r="AZ602" t="s">
        <v>231</v>
      </c>
      <c r="BA602" t="s">
        <v>231</v>
      </c>
      <c r="BB602" t="s">
        <v>231</v>
      </c>
      <c r="BC602" t="s">
        <v>231</v>
      </c>
      <c r="BD602" t="s">
        <v>231</v>
      </c>
      <c r="BE602" t="s">
        <v>231</v>
      </c>
      <c r="BF602" t="s">
        <v>231</v>
      </c>
      <c r="BG602" t="s">
        <v>231</v>
      </c>
      <c r="BH602" t="s">
        <v>231</v>
      </c>
      <c r="BI602" t="s">
        <v>231</v>
      </c>
      <c r="BJ602" t="s">
        <v>231</v>
      </c>
      <c r="BK602" t="s">
        <v>231</v>
      </c>
      <c r="BL602" t="s">
        <v>231</v>
      </c>
      <c r="BM602" t="s">
        <v>231</v>
      </c>
      <c r="BN602" t="s">
        <v>231</v>
      </c>
      <c r="BO602" t="s">
        <v>231</v>
      </c>
      <c r="BP602" t="s">
        <v>231</v>
      </c>
      <c r="BQ602" t="s">
        <v>231</v>
      </c>
      <c r="BR602" t="s">
        <v>231</v>
      </c>
      <c r="BS602" t="s">
        <v>231</v>
      </c>
      <c r="BT602" t="s">
        <v>231</v>
      </c>
      <c r="BU602" t="s">
        <v>231</v>
      </c>
      <c r="BV602" t="s">
        <v>231</v>
      </c>
      <c r="BW602" t="s">
        <v>231</v>
      </c>
      <c r="BX602" t="s">
        <v>231</v>
      </c>
      <c r="BY602" t="s">
        <v>231</v>
      </c>
      <c r="BZ602" t="s">
        <v>231</v>
      </c>
      <c r="CA602" t="s">
        <v>231</v>
      </c>
      <c r="CB602" t="s">
        <v>231</v>
      </c>
      <c r="CC602" t="s">
        <v>231</v>
      </c>
      <c r="CD602" t="s">
        <v>231</v>
      </c>
      <c r="CE602" t="s">
        <v>231</v>
      </c>
      <c r="CF602" t="s">
        <v>231</v>
      </c>
      <c r="CG602" t="s">
        <v>231</v>
      </c>
      <c r="CH602" t="s">
        <v>231</v>
      </c>
      <c r="CI602" t="s">
        <v>231</v>
      </c>
      <c r="CJ602" t="s">
        <v>231</v>
      </c>
      <c r="CK602" t="s">
        <v>231</v>
      </c>
      <c r="CL602" t="s">
        <v>231</v>
      </c>
      <c r="CM602" t="s">
        <v>231</v>
      </c>
      <c r="CN602" t="s">
        <v>231</v>
      </c>
      <c r="CO602" t="s">
        <v>231</v>
      </c>
      <c r="CP602" t="s">
        <v>231</v>
      </c>
      <c r="CQ602" t="s">
        <v>231</v>
      </c>
      <c r="CR602" t="s">
        <v>231</v>
      </c>
      <c r="CS602" t="s">
        <v>231</v>
      </c>
      <c r="CT602" t="s">
        <v>3534</v>
      </c>
      <c r="CU602" t="s">
        <v>3535</v>
      </c>
      <c r="CV602" t="s">
        <v>3536</v>
      </c>
      <c r="CW602" t="s">
        <v>3589</v>
      </c>
      <c r="CX602" t="s">
        <v>223</v>
      </c>
      <c r="CY602" t="s">
        <v>3536</v>
      </c>
      <c r="CZ602" t="s">
        <v>3590</v>
      </c>
      <c r="DA602" t="s">
        <v>3591</v>
      </c>
      <c r="DB602" t="s">
        <v>3589</v>
      </c>
      <c r="DC602" t="s">
        <v>363</v>
      </c>
      <c r="DD602" t="s">
        <v>282</v>
      </c>
      <c r="DE602" t="s">
        <v>4812</v>
      </c>
    </row>
    <row r="603" spans="1:109" ht="11.25" customHeight="1">
      <c r="A603" s="1314" t="s">
        <v>231</v>
      </c>
      <c r="B603" t="s">
        <v>231</v>
      </c>
      <c r="C603" t="s">
        <v>231</v>
      </c>
      <c r="D603" t="s">
        <v>231</v>
      </c>
      <c r="E603" t="s">
        <v>231</v>
      </c>
      <c r="F603" t="s">
        <v>231</v>
      </c>
      <c r="G603" t="s">
        <v>231</v>
      </c>
      <c r="H603" t="s">
        <v>231</v>
      </c>
      <c r="I603" t="s">
        <v>3521</v>
      </c>
      <c r="J603" t="s">
        <v>231</v>
      </c>
      <c r="K603" t="s">
        <v>231</v>
      </c>
      <c r="L603" t="s">
        <v>231</v>
      </c>
      <c r="M603" t="s">
        <v>231</v>
      </c>
      <c r="N603" t="s">
        <v>231</v>
      </c>
      <c r="O603" t="s">
        <v>231</v>
      </c>
      <c r="P603" t="s">
        <v>231</v>
      </c>
      <c r="Q603" t="s">
        <v>231</v>
      </c>
      <c r="R603" t="s">
        <v>3615</v>
      </c>
      <c r="S603" t="s">
        <v>231</v>
      </c>
      <c r="T603" t="s">
        <v>231</v>
      </c>
      <c r="U603" t="s">
        <v>101</v>
      </c>
      <c r="V603" t="s">
        <v>231</v>
      </c>
      <c r="W603" t="s">
        <v>231</v>
      </c>
      <c r="X603" t="s">
        <v>3523</v>
      </c>
      <c r="Y603" t="s">
        <v>231</v>
      </c>
      <c r="Z603" t="s">
        <v>160</v>
      </c>
      <c r="AA603" t="s">
        <v>151</v>
      </c>
      <c r="AB603" t="s">
        <v>151</v>
      </c>
      <c r="AC603" t="s">
        <v>2289</v>
      </c>
      <c r="AD603" t="s">
        <v>2289</v>
      </c>
      <c r="AE603" t="s">
        <v>2290</v>
      </c>
      <c r="AF603" t="s">
        <v>3910</v>
      </c>
      <c r="AG603" t="s">
        <v>3911</v>
      </c>
      <c r="AH603" t="s">
        <v>3912</v>
      </c>
      <c r="AI603" t="s">
        <v>1666</v>
      </c>
      <c r="AJ603" t="s">
        <v>3619</v>
      </c>
      <c r="AK603" t="s">
        <v>3586</v>
      </c>
      <c r="AL603" t="s">
        <v>3548</v>
      </c>
      <c r="AM603" t="s">
        <v>3531</v>
      </c>
      <c r="AN603" t="s">
        <v>3595</v>
      </c>
      <c r="AO603" t="s">
        <v>3913</v>
      </c>
      <c r="AP603" t="s">
        <v>231</v>
      </c>
      <c r="AQ603" t="s">
        <v>231</v>
      </c>
      <c r="AR603" t="s">
        <v>231</v>
      </c>
      <c r="AS603" t="s">
        <v>231</v>
      </c>
      <c r="AT603" t="s">
        <v>231</v>
      </c>
      <c r="AU603" t="s">
        <v>231</v>
      </c>
      <c r="AV603" t="s">
        <v>231</v>
      </c>
      <c r="AW603" t="s">
        <v>231</v>
      </c>
      <c r="AX603" t="s">
        <v>231</v>
      </c>
      <c r="AY603" t="s">
        <v>231</v>
      </c>
      <c r="AZ603" t="s">
        <v>231</v>
      </c>
      <c r="BA603" t="s">
        <v>231</v>
      </c>
      <c r="BB603" t="s">
        <v>231</v>
      </c>
      <c r="BC603" t="s">
        <v>231</v>
      </c>
      <c r="BD603" t="s">
        <v>231</v>
      </c>
      <c r="BE603" t="s">
        <v>231</v>
      </c>
      <c r="BF603" t="s">
        <v>231</v>
      </c>
      <c r="BG603" t="s">
        <v>231</v>
      </c>
      <c r="BH603" t="s">
        <v>231</v>
      </c>
      <c r="BI603" t="s">
        <v>231</v>
      </c>
      <c r="BJ603" t="s">
        <v>231</v>
      </c>
      <c r="BK603" t="s">
        <v>231</v>
      </c>
      <c r="BL603" t="s">
        <v>231</v>
      </c>
      <c r="BM603" t="s">
        <v>231</v>
      </c>
      <c r="BN603" t="s">
        <v>231</v>
      </c>
      <c r="BO603" t="s">
        <v>231</v>
      </c>
      <c r="BP603" t="s">
        <v>231</v>
      </c>
      <c r="BQ603" t="s">
        <v>231</v>
      </c>
      <c r="BR603" t="s">
        <v>231</v>
      </c>
      <c r="BS603" t="s">
        <v>231</v>
      </c>
      <c r="BT603" t="s">
        <v>231</v>
      </c>
      <c r="BU603" t="s">
        <v>231</v>
      </c>
      <c r="BV603" t="s">
        <v>231</v>
      </c>
      <c r="BW603" t="s">
        <v>231</v>
      </c>
      <c r="BX603" t="s">
        <v>231</v>
      </c>
      <c r="BY603" t="s">
        <v>231</v>
      </c>
      <c r="BZ603" t="s">
        <v>231</v>
      </c>
      <c r="CA603" t="s">
        <v>231</v>
      </c>
      <c r="CB603" t="s">
        <v>231</v>
      </c>
      <c r="CC603" t="s">
        <v>231</v>
      </c>
      <c r="CD603" t="s">
        <v>231</v>
      </c>
      <c r="CE603" t="s">
        <v>231</v>
      </c>
      <c r="CF603" t="s">
        <v>231</v>
      </c>
      <c r="CG603" t="s">
        <v>231</v>
      </c>
      <c r="CH603" t="s">
        <v>231</v>
      </c>
      <c r="CI603" t="s">
        <v>231</v>
      </c>
      <c r="CJ603" t="s">
        <v>231</v>
      </c>
      <c r="CK603" t="s">
        <v>231</v>
      </c>
      <c r="CL603" t="s">
        <v>231</v>
      </c>
      <c r="CM603" t="s">
        <v>231</v>
      </c>
      <c r="CN603" t="s">
        <v>231</v>
      </c>
      <c r="CO603" t="s">
        <v>231</v>
      </c>
      <c r="CP603" t="s">
        <v>231</v>
      </c>
      <c r="CQ603" t="s">
        <v>231</v>
      </c>
      <c r="CR603" t="s">
        <v>231</v>
      </c>
      <c r="CS603" t="s">
        <v>231</v>
      </c>
      <c r="CT603" t="s">
        <v>3534</v>
      </c>
      <c r="CU603" t="s">
        <v>3535</v>
      </c>
      <c r="CV603" t="s">
        <v>3536</v>
      </c>
      <c r="CW603" t="s">
        <v>3589</v>
      </c>
      <c r="CX603" t="s">
        <v>223</v>
      </c>
      <c r="CY603" t="s">
        <v>3536</v>
      </c>
      <c r="CZ603" t="s">
        <v>3590</v>
      </c>
      <c r="DA603" t="s">
        <v>3591</v>
      </c>
      <c r="DB603" t="s">
        <v>3589</v>
      </c>
      <c r="DC603" t="s">
        <v>363</v>
      </c>
      <c r="DD603" t="s">
        <v>282</v>
      </c>
      <c r="DE603" t="s">
        <v>3914</v>
      </c>
    </row>
    <row r="604" spans="1:109" ht="11.25" customHeight="1">
      <c r="A604" s="1314" t="s">
        <v>231</v>
      </c>
      <c r="B604" t="s">
        <v>231</v>
      </c>
      <c r="C604" t="s">
        <v>231</v>
      </c>
      <c r="D604" t="s">
        <v>231</v>
      </c>
      <c r="E604" t="s">
        <v>231</v>
      </c>
      <c r="F604" t="s">
        <v>231</v>
      </c>
      <c r="G604" t="s">
        <v>231</v>
      </c>
      <c r="H604" t="s">
        <v>231</v>
      </c>
      <c r="I604" t="s">
        <v>3521</v>
      </c>
      <c r="J604" t="s">
        <v>231</v>
      </c>
      <c r="K604" t="s">
        <v>231</v>
      </c>
      <c r="L604" t="s">
        <v>231</v>
      </c>
      <c r="M604" t="s">
        <v>231</v>
      </c>
      <c r="N604" t="s">
        <v>231</v>
      </c>
      <c r="O604" t="s">
        <v>231</v>
      </c>
      <c r="P604" t="s">
        <v>231</v>
      </c>
      <c r="Q604" t="s">
        <v>231</v>
      </c>
      <c r="R604" t="s">
        <v>3615</v>
      </c>
      <c r="S604" t="s">
        <v>231</v>
      </c>
      <c r="T604" t="s">
        <v>231</v>
      </c>
      <c r="U604" t="s">
        <v>101</v>
      </c>
      <c r="V604" t="s">
        <v>231</v>
      </c>
      <c r="W604" t="s">
        <v>231</v>
      </c>
      <c r="X604" t="s">
        <v>3523</v>
      </c>
      <c r="Y604" t="s">
        <v>231</v>
      </c>
      <c r="Z604" t="s">
        <v>160</v>
      </c>
      <c r="AA604" t="s">
        <v>151</v>
      </c>
      <c r="AB604" t="s">
        <v>151</v>
      </c>
      <c r="AC604" t="s">
        <v>2289</v>
      </c>
      <c r="AD604" t="s">
        <v>2289</v>
      </c>
      <c r="AE604" t="s">
        <v>2290</v>
      </c>
      <c r="AF604" t="s">
        <v>3910</v>
      </c>
      <c r="AG604" t="s">
        <v>3911</v>
      </c>
      <c r="AH604" t="s">
        <v>3618</v>
      </c>
      <c r="AI604" t="s">
        <v>3618</v>
      </c>
      <c r="AJ604" t="s">
        <v>3619</v>
      </c>
      <c r="AK604" t="s">
        <v>3586</v>
      </c>
      <c r="AL604" t="s">
        <v>3548</v>
      </c>
      <c r="AM604" t="s">
        <v>3531</v>
      </c>
      <c r="AN604" t="s">
        <v>3595</v>
      </c>
      <c r="AO604" t="s">
        <v>3923</v>
      </c>
      <c r="AP604" t="s">
        <v>231</v>
      </c>
      <c r="AQ604" t="s">
        <v>231</v>
      </c>
      <c r="AR604" t="s">
        <v>231</v>
      </c>
      <c r="AS604" t="s">
        <v>231</v>
      </c>
      <c r="AT604" t="s">
        <v>231</v>
      </c>
      <c r="AU604" t="s">
        <v>231</v>
      </c>
      <c r="AV604" t="s">
        <v>231</v>
      </c>
      <c r="AW604" t="s">
        <v>231</v>
      </c>
      <c r="AX604" t="s">
        <v>231</v>
      </c>
      <c r="AY604" t="s">
        <v>231</v>
      </c>
      <c r="AZ604" t="s">
        <v>231</v>
      </c>
      <c r="BA604" t="s">
        <v>231</v>
      </c>
      <c r="BB604" t="s">
        <v>231</v>
      </c>
      <c r="BC604" t="s">
        <v>231</v>
      </c>
      <c r="BD604" t="s">
        <v>231</v>
      </c>
      <c r="BE604" t="s">
        <v>231</v>
      </c>
      <c r="BF604" t="s">
        <v>231</v>
      </c>
      <c r="BG604" t="s">
        <v>231</v>
      </c>
      <c r="BH604" t="s">
        <v>231</v>
      </c>
      <c r="BI604" t="s">
        <v>231</v>
      </c>
      <c r="BJ604" t="s">
        <v>231</v>
      </c>
      <c r="BK604" t="s">
        <v>231</v>
      </c>
      <c r="BL604" t="s">
        <v>231</v>
      </c>
      <c r="BM604" t="s">
        <v>231</v>
      </c>
      <c r="BN604" t="s">
        <v>231</v>
      </c>
      <c r="BO604" t="s">
        <v>231</v>
      </c>
      <c r="BP604" t="s">
        <v>231</v>
      </c>
      <c r="BQ604" t="s">
        <v>231</v>
      </c>
      <c r="BR604" t="s">
        <v>231</v>
      </c>
      <c r="BS604" t="s">
        <v>231</v>
      </c>
      <c r="BT604" t="s">
        <v>231</v>
      </c>
      <c r="BU604" t="s">
        <v>231</v>
      </c>
      <c r="BV604" t="s">
        <v>231</v>
      </c>
      <c r="BW604" t="s">
        <v>231</v>
      </c>
      <c r="BX604" t="s">
        <v>231</v>
      </c>
      <c r="BY604" t="s">
        <v>231</v>
      </c>
      <c r="BZ604" t="s">
        <v>231</v>
      </c>
      <c r="CA604" t="s">
        <v>231</v>
      </c>
      <c r="CB604" t="s">
        <v>231</v>
      </c>
      <c r="CC604" t="s">
        <v>231</v>
      </c>
      <c r="CD604" t="s">
        <v>231</v>
      </c>
      <c r="CE604" t="s">
        <v>231</v>
      </c>
      <c r="CF604" t="s">
        <v>231</v>
      </c>
      <c r="CG604" t="s">
        <v>231</v>
      </c>
      <c r="CH604" t="s">
        <v>231</v>
      </c>
      <c r="CI604" t="s">
        <v>231</v>
      </c>
      <c r="CJ604" t="s">
        <v>231</v>
      </c>
      <c r="CK604" t="s">
        <v>231</v>
      </c>
      <c r="CL604" t="s">
        <v>231</v>
      </c>
      <c r="CM604" t="s">
        <v>231</v>
      </c>
      <c r="CN604" t="s">
        <v>231</v>
      </c>
      <c r="CO604" t="s">
        <v>231</v>
      </c>
      <c r="CP604" t="s">
        <v>231</v>
      </c>
      <c r="CQ604" t="s">
        <v>231</v>
      </c>
      <c r="CR604" t="s">
        <v>231</v>
      </c>
      <c r="CS604" t="s">
        <v>231</v>
      </c>
      <c r="CT604" t="s">
        <v>3534</v>
      </c>
      <c r="CU604" t="s">
        <v>3535</v>
      </c>
      <c r="CV604" t="s">
        <v>3536</v>
      </c>
      <c r="CW604" t="s">
        <v>3589</v>
      </c>
      <c r="CX604" t="s">
        <v>223</v>
      </c>
      <c r="CY604" t="s">
        <v>3536</v>
      </c>
      <c r="CZ604" t="s">
        <v>3590</v>
      </c>
      <c r="DA604" t="s">
        <v>3591</v>
      </c>
      <c r="DB604" t="s">
        <v>3589</v>
      </c>
      <c r="DC604" t="s">
        <v>363</v>
      </c>
      <c r="DD604" t="s">
        <v>282</v>
      </c>
      <c r="DE604" t="s">
        <v>3924</v>
      </c>
    </row>
    <row r="605" spans="1:109" ht="11.25" customHeight="1">
      <c r="A605" s="1314" t="s">
        <v>231</v>
      </c>
      <c r="B605" t="s">
        <v>231</v>
      </c>
      <c r="C605" t="s">
        <v>231</v>
      </c>
      <c r="D605" t="s">
        <v>231</v>
      </c>
      <c r="E605" t="s">
        <v>231</v>
      </c>
      <c r="F605" t="s">
        <v>231</v>
      </c>
      <c r="G605" t="s">
        <v>231</v>
      </c>
      <c r="H605" t="s">
        <v>231</v>
      </c>
      <c r="I605" t="s">
        <v>3521</v>
      </c>
      <c r="J605" t="s">
        <v>231</v>
      </c>
      <c r="K605" t="s">
        <v>231</v>
      </c>
      <c r="L605" t="s">
        <v>231</v>
      </c>
      <c r="M605" t="s">
        <v>231</v>
      </c>
      <c r="N605" t="s">
        <v>231</v>
      </c>
      <c r="O605" t="s">
        <v>231</v>
      </c>
      <c r="P605" t="s">
        <v>231</v>
      </c>
      <c r="Q605" t="s">
        <v>231</v>
      </c>
      <c r="R605" t="s">
        <v>3615</v>
      </c>
      <c r="S605" t="s">
        <v>231</v>
      </c>
      <c r="T605" t="s">
        <v>231</v>
      </c>
      <c r="U605" t="s">
        <v>101</v>
      </c>
      <c r="V605" t="s">
        <v>231</v>
      </c>
      <c r="W605" t="s">
        <v>231</v>
      </c>
      <c r="X605" t="s">
        <v>3523</v>
      </c>
      <c r="Y605" t="s">
        <v>231</v>
      </c>
      <c r="Z605" t="s">
        <v>160</v>
      </c>
      <c r="AA605" t="s">
        <v>151</v>
      </c>
      <c r="AB605" t="s">
        <v>151</v>
      </c>
      <c r="AC605" t="s">
        <v>2289</v>
      </c>
      <c r="AD605" t="s">
        <v>2289</v>
      </c>
      <c r="AE605" t="s">
        <v>2290</v>
      </c>
      <c r="AF605" t="s">
        <v>3910</v>
      </c>
      <c r="AG605" t="s">
        <v>3911</v>
      </c>
      <c r="AH605" t="s">
        <v>3925</v>
      </c>
      <c r="AI605" t="s">
        <v>3618</v>
      </c>
      <c r="AJ605" t="s">
        <v>3546</v>
      </c>
      <c r="AK605" t="s">
        <v>3820</v>
      </c>
      <c r="AL605" t="s">
        <v>3548</v>
      </c>
      <c r="AM605" t="s">
        <v>3531</v>
      </c>
      <c r="AN605" t="s">
        <v>3595</v>
      </c>
      <c r="AO605" t="s">
        <v>3656</v>
      </c>
      <c r="AP605" t="s">
        <v>231</v>
      </c>
      <c r="AQ605" t="s">
        <v>231</v>
      </c>
      <c r="AR605" t="s">
        <v>231</v>
      </c>
      <c r="AS605" t="s">
        <v>231</v>
      </c>
      <c r="AT605" t="s">
        <v>231</v>
      </c>
      <c r="AU605" t="s">
        <v>231</v>
      </c>
      <c r="AV605" t="s">
        <v>231</v>
      </c>
      <c r="AW605" t="s">
        <v>231</v>
      </c>
      <c r="AX605" t="s">
        <v>231</v>
      </c>
      <c r="AY605" t="s">
        <v>231</v>
      </c>
      <c r="AZ605" t="s">
        <v>231</v>
      </c>
      <c r="BA605" t="s">
        <v>231</v>
      </c>
      <c r="BB605" t="s">
        <v>231</v>
      </c>
      <c r="BC605" t="s">
        <v>231</v>
      </c>
      <c r="BD605" t="s">
        <v>231</v>
      </c>
      <c r="BE605" t="s">
        <v>231</v>
      </c>
      <c r="BF605" t="s">
        <v>231</v>
      </c>
      <c r="BG605" t="s">
        <v>231</v>
      </c>
      <c r="BH605" t="s">
        <v>231</v>
      </c>
      <c r="BI605" t="s">
        <v>231</v>
      </c>
      <c r="BJ605" t="s">
        <v>231</v>
      </c>
      <c r="BK605" t="s">
        <v>231</v>
      </c>
      <c r="BL605" t="s">
        <v>231</v>
      </c>
      <c r="BM605" t="s">
        <v>231</v>
      </c>
      <c r="BN605" t="s">
        <v>231</v>
      </c>
      <c r="BO605" t="s">
        <v>231</v>
      </c>
      <c r="BP605" t="s">
        <v>231</v>
      </c>
      <c r="BQ605" t="s">
        <v>231</v>
      </c>
      <c r="BR605" t="s">
        <v>231</v>
      </c>
      <c r="BS605" t="s">
        <v>231</v>
      </c>
      <c r="BT605" t="s">
        <v>231</v>
      </c>
      <c r="BU605" t="s">
        <v>231</v>
      </c>
      <c r="BV605" t="s">
        <v>231</v>
      </c>
      <c r="BW605" t="s">
        <v>231</v>
      </c>
      <c r="BX605" t="s">
        <v>231</v>
      </c>
      <c r="BY605" t="s">
        <v>231</v>
      </c>
      <c r="BZ605" t="s">
        <v>231</v>
      </c>
      <c r="CA605" t="s">
        <v>231</v>
      </c>
      <c r="CB605" t="s">
        <v>231</v>
      </c>
      <c r="CC605" t="s">
        <v>231</v>
      </c>
      <c r="CD605" t="s">
        <v>231</v>
      </c>
      <c r="CE605" t="s">
        <v>231</v>
      </c>
      <c r="CF605" t="s">
        <v>231</v>
      </c>
      <c r="CG605" t="s">
        <v>231</v>
      </c>
      <c r="CH605" t="s">
        <v>231</v>
      </c>
      <c r="CI605" t="s">
        <v>231</v>
      </c>
      <c r="CJ605" t="s">
        <v>231</v>
      </c>
      <c r="CK605" t="s">
        <v>231</v>
      </c>
      <c r="CL605" t="s">
        <v>231</v>
      </c>
      <c r="CM605" t="s">
        <v>231</v>
      </c>
      <c r="CN605" t="s">
        <v>231</v>
      </c>
      <c r="CO605" t="s">
        <v>231</v>
      </c>
      <c r="CP605" t="s">
        <v>231</v>
      </c>
      <c r="CQ605" t="s">
        <v>231</v>
      </c>
      <c r="CR605" t="s">
        <v>231</v>
      </c>
      <c r="CS605" t="s">
        <v>231</v>
      </c>
      <c r="CT605" t="s">
        <v>3534</v>
      </c>
      <c r="CU605" t="s">
        <v>3535</v>
      </c>
      <c r="CV605" t="s">
        <v>3536</v>
      </c>
      <c r="CW605" t="s">
        <v>3589</v>
      </c>
      <c r="CX605" t="s">
        <v>223</v>
      </c>
      <c r="CY605" t="s">
        <v>3536</v>
      </c>
      <c r="CZ605" t="s">
        <v>3590</v>
      </c>
      <c r="DA605" t="s">
        <v>3591</v>
      </c>
      <c r="DB605" t="s">
        <v>3589</v>
      </c>
      <c r="DC605" t="s">
        <v>363</v>
      </c>
      <c r="DD605" t="s">
        <v>282</v>
      </c>
      <c r="DE605" t="s">
        <v>3926</v>
      </c>
    </row>
    <row r="606" spans="1:109" ht="11.25" customHeight="1">
      <c r="A606" s="1314" t="s">
        <v>231</v>
      </c>
      <c r="B606" t="s">
        <v>231</v>
      </c>
      <c r="C606" t="s">
        <v>231</v>
      </c>
      <c r="D606" t="s">
        <v>231</v>
      </c>
      <c r="E606" t="s">
        <v>231</v>
      </c>
      <c r="F606" t="s">
        <v>231</v>
      </c>
      <c r="G606" t="s">
        <v>231</v>
      </c>
      <c r="H606" t="s">
        <v>231</v>
      </c>
      <c r="I606" t="s">
        <v>3521</v>
      </c>
      <c r="J606" t="s">
        <v>231</v>
      </c>
      <c r="K606" t="s">
        <v>231</v>
      </c>
      <c r="L606" t="s">
        <v>231</v>
      </c>
      <c r="M606" t="s">
        <v>231</v>
      </c>
      <c r="N606" t="s">
        <v>231</v>
      </c>
      <c r="O606" t="s">
        <v>231</v>
      </c>
      <c r="P606" t="s">
        <v>231</v>
      </c>
      <c r="Q606" t="s">
        <v>231</v>
      </c>
      <c r="R606" t="s">
        <v>3927</v>
      </c>
      <c r="S606" t="s">
        <v>231</v>
      </c>
      <c r="T606" t="s">
        <v>231</v>
      </c>
      <c r="U606" t="s">
        <v>101</v>
      </c>
      <c r="V606" t="s">
        <v>231</v>
      </c>
      <c r="W606" t="s">
        <v>231</v>
      </c>
      <c r="X606" t="s">
        <v>3628</v>
      </c>
      <c r="Y606" t="s">
        <v>231</v>
      </c>
      <c r="Z606" t="s">
        <v>151</v>
      </c>
      <c r="AA606" t="s">
        <v>151</v>
      </c>
      <c r="AB606" t="s">
        <v>160</v>
      </c>
      <c r="AC606" t="s">
        <v>2289</v>
      </c>
      <c r="AD606" t="s">
        <v>2289</v>
      </c>
      <c r="AE606" t="s">
        <v>2290</v>
      </c>
      <c r="AF606" t="s">
        <v>3910</v>
      </c>
      <c r="AG606" t="s">
        <v>3911</v>
      </c>
      <c r="AH606" t="s">
        <v>3618</v>
      </c>
      <c r="AI606" t="s">
        <v>3618</v>
      </c>
      <c r="AJ606" t="s">
        <v>231</v>
      </c>
      <c r="AK606" t="s">
        <v>231</v>
      </c>
      <c r="AL606" t="s">
        <v>231</v>
      </c>
      <c r="AM606" t="s">
        <v>231</v>
      </c>
      <c r="AN606" t="s">
        <v>231</v>
      </c>
      <c r="AO606" t="s">
        <v>231</v>
      </c>
      <c r="AP606" t="s">
        <v>231</v>
      </c>
      <c r="AQ606" t="s">
        <v>231</v>
      </c>
      <c r="AR606" t="s">
        <v>231</v>
      </c>
      <c r="AS606" t="s">
        <v>231</v>
      </c>
      <c r="AT606" t="s">
        <v>231</v>
      </c>
      <c r="AU606" t="s">
        <v>231</v>
      </c>
      <c r="AV606" t="s">
        <v>231</v>
      </c>
      <c r="AW606" t="s">
        <v>231</v>
      </c>
      <c r="AX606" t="s">
        <v>231</v>
      </c>
      <c r="AY606" t="s">
        <v>231</v>
      </c>
      <c r="AZ606" t="s">
        <v>231</v>
      </c>
      <c r="BA606" t="s">
        <v>231</v>
      </c>
      <c r="BB606" t="s">
        <v>231</v>
      </c>
      <c r="BC606" t="s">
        <v>231</v>
      </c>
      <c r="BD606" t="s">
        <v>231</v>
      </c>
      <c r="BE606" t="s">
        <v>3594</v>
      </c>
      <c r="BF606" t="s">
        <v>3586</v>
      </c>
      <c r="BG606" t="s">
        <v>111</v>
      </c>
      <c r="BH606" t="s">
        <v>3632</v>
      </c>
      <c r="BI606" t="s">
        <v>122</v>
      </c>
      <c r="BJ606" t="s">
        <v>231</v>
      </c>
      <c r="BK606" t="s">
        <v>3651</v>
      </c>
      <c r="BL606" t="s">
        <v>2289</v>
      </c>
      <c r="BM606" t="s">
        <v>2289</v>
      </c>
      <c r="BN606" t="s">
        <v>3707</v>
      </c>
      <c r="BO606" t="s">
        <v>3910</v>
      </c>
      <c r="BP606" t="s">
        <v>3928</v>
      </c>
      <c r="BQ606" t="s">
        <v>3618</v>
      </c>
      <c r="BR606" t="s">
        <v>3618</v>
      </c>
      <c r="BS606" t="s">
        <v>231</v>
      </c>
      <c r="BT606" t="s">
        <v>3694</v>
      </c>
      <c r="BU606" t="s">
        <v>3929</v>
      </c>
      <c r="BV606" t="s">
        <v>3929</v>
      </c>
      <c r="BW606" t="s">
        <v>3641</v>
      </c>
      <c r="BX606" t="s">
        <v>3641</v>
      </c>
      <c r="BY606" t="s">
        <v>3641</v>
      </c>
      <c r="BZ606" t="s">
        <v>3641</v>
      </c>
      <c r="CA606" t="s">
        <v>3641</v>
      </c>
      <c r="CB606" t="s">
        <v>231</v>
      </c>
      <c r="CC606" t="s">
        <v>231</v>
      </c>
      <c r="CD606" t="s">
        <v>231</v>
      </c>
      <c r="CE606" t="s">
        <v>231</v>
      </c>
      <c r="CF606" t="s">
        <v>231</v>
      </c>
      <c r="CG606" t="s">
        <v>3641</v>
      </c>
      <c r="CH606" t="s">
        <v>231</v>
      </c>
      <c r="CI606" t="s">
        <v>231</v>
      </c>
      <c r="CJ606" t="s">
        <v>231</v>
      </c>
      <c r="CK606" t="s">
        <v>231</v>
      </c>
      <c r="CL606" t="s">
        <v>231</v>
      </c>
      <c r="CM606" t="s">
        <v>3929</v>
      </c>
      <c r="CN606" t="s">
        <v>3929</v>
      </c>
      <c r="CO606" t="s">
        <v>231</v>
      </c>
      <c r="CP606" t="s">
        <v>231</v>
      </c>
      <c r="CQ606" t="s">
        <v>231</v>
      </c>
      <c r="CR606" t="s">
        <v>231</v>
      </c>
      <c r="CS606" t="s">
        <v>3710</v>
      </c>
      <c r="CT606" t="s">
        <v>3534</v>
      </c>
      <c r="CU606" t="s">
        <v>3535</v>
      </c>
      <c r="CV606" t="s">
        <v>3536</v>
      </c>
      <c r="CW606" t="s">
        <v>3589</v>
      </c>
      <c r="CX606" t="s">
        <v>223</v>
      </c>
      <c r="CY606" t="s">
        <v>3536</v>
      </c>
      <c r="CZ606" t="s">
        <v>3590</v>
      </c>
      <c r="DA606" t="s">
        <v>3591</v>
      </c>
      <c r="DB606" t="s">
        <v>3589</v>
      </c>
      <c r="DC606" t="s">
        <v>363</v>
      </c>
      <c r="DD606" t="s">
        <v>282</v>
      </c>
      <c r="DE606" t="s">
        <v>3924</v>
      </c>
    </row>
    <row r="607" spans="1:109" ht="11.25" customHeight="1">
      <c r="A607" s="1314" t="s">
        <v>231</v>
      </c>
      <c r="B607" t="s">
        <v>231</v>
      </c>
      <c r="C607" t="s">
        <v>231</v>
      </c>
      <c r="D607" t="s">
        <v>231</v>
      </c>
      <c r="E607" t="s">
        <v>231</v>
      </c>
      <c r="F607" t="s">
        <v>231</v>
      </c>
      <c r="G607" t="s">
        <v>231</v>
      </c>
      <c r="H607" t="s">
        <v>231</v>
      </c>
      <c r="I607" t="s">
        <v>3521</v>
      </c>
      <c r="J607" t="s">
        <v>231</v>
      </c>
      <c r="K607" t="s">
        <v>231</v>
      </c>
      <c r="L607" t="s">
        <v>231</v>
      </c>
      <c r="M607" t="s">
        <v>231</v>
      </c>
      <c r="N607" t="s">
        <v>231</v>
      </c>
      <c r="O607" t="s">
        <v>231</v>
      </c>
      <c r="P607" t="s">
        <v>231</v>
      </c>
      <c r="Q607" t="s">
        <v>231</v>
      </c>
      <c r="R607" t="s">
        <v>3615</v>
      </c>
      <c r="S607" t="s">
        <v>231</v>
      </c>
      <c r="T607" t="s">
        <v>231</v>
      </c>
      <c r="U607" t="s">
        <v>101</v>
      </c>
      <c r="V607" t="s">
        <v>231</v>
      </c>
      <c r="W607" t="s">
        <v>231</v>
      </c>
      <c r="X607" t="s">
        <v>3523</v>
      </c>
      <c r="Y607" t="s">
        <v>231</v>
      </c>
      <c r="Z607" t="s">
        <v>160</v>
      </c>
      <c r="AA607" t="s">
        <v>151</v>
      </c>
      <c r="AB607" t="s">
        <v>151</v>
      </c>
      <c r="AC607" t="s">
        <v>2289</v>
      </c>
      <c r="AD607" t="s">
        <v>2289</v>
      </c>
      <c r="AE607" t="s">
        <v>2290</v>
      </c>
      <c r="AF607" t="s">
        <v>4454</v>
      </c>
      <c r="AG607" t="s">
        <v>4455</v>
      </c>
      <c r="AH607" t="s">
        <v>4456</v>
      </c>
      <c r="AI607" t="s">
        <v>4243</v>
      </c>
      <c r="AJ607" t="s">
        <v>3546</v>
      </c>
      <c r="AK607" t="s">
        <v>3586</v>
      </c>
      <c r="AL607" t="s">
        <v>3548</v>
      </c>
      <c r="AM607" t="s">
        <v>3531</v>
      </c>
      <c r="AN607" t="s">
        <v>3587</v>
      </c>
      <c r="AO607" t="s">
        <v>4400</v>
      </c>
      <c r="AP607" t="s">
        <v>231</v>
      </c>
      <c r="AQ607" t="s">
        <v>231</v>
      </c>
      <c r="AR607" t="s">
        <v>231</v>
      </c>
      <c r="AS607" t="s">
        <v>231</v>
      </c>
      <c r="AT607" t="s">
        <v>231</v>
      </c>
      <c r="AU607" t="s">
        <v>231</v>
      </c>
      <c r="AV607" t="s">
        <v>231</v>
      </c>
      <c r="AW607" t="s">
        <v>231</v>
      </c>
      <c r="AX607" t="s">
        <v>231</v>
      </c>
      <c r="AY607" t="s">
        <v>231</v>
      </c>
      <c r="AZ607" t="s">
        <v>231</v>
      </c>
      <c r="BA607" t="s">
        <v>231</v>
      </c>
      <c r="BB607" t="s">
        <v>231</v>
      </c>
      <c r="BC607" t="s">
        <v>231</v>
      </c>
      <c r="BD607" t="s">
        <v>231</v>
      </c>
      <c r="BE607" t="s">
        <v>231</v>
      </c>
      <c r="BF607" t="s">
        <v>231</v>
      </c>
      <c r="BG607" t="s">
        <v>231</v>
      </c>
      <c r="BH607" t="s">
        <v>231</v>
      </c>
      <c r="BI607" t="s">
        <v>231</v>
      </c>
      <c r="BJ607" t="s">
        <v>231</v>
      </c>
      <c r="BK607" t="s">
        <v>231</v>
      </c>
      <c r="BL607" t="s">
        <v>231</v>
      </c>
      <c r="BM607" t="s">
        <v>231</v>
      </c>
      <c r="BN607" t="s">
        <v>231</v>
      </c>
      <c r="BO607" t="s">
        <v>231</v>
      </c>
      <c r="BP607" t="s">
        <v>231</v>
      </c>
      <c r="BQ607" t="s">
        <v>231</v>
      </c>
      <c r="BR607" t="s">
        <v>231</v>
      </c>
      <c r="BS607" t="s">
        <v>231</v>
      </c>
      <c r="BT607" t="s">
        <v>231</v>
      </c>
      <c r="BU607" t="s">
        <v>231</v>
      </c>
      <c r="BV607" t="s">
        <v>231</v>
      </c>
      <c r="BW607" t="s">
        <v>231</v>
      </c>
      <c r="BX607" t="s">
        <v>231</v>
      </c>
      <c r="BY607" t="s">
        <v>231</v>
      </c>
      <c r="BZ607" t="s">
        <v>231</v>
      </c>
      <c r="CA607" t="s">
        <v>231</v>
      </c>
      <c r="CB607" t="s">
        <v>231</v>
      </c>
      <c r="CC607" t="s">
        <v>231</v>
      </c>
      <c r="CD607" t="s">
        <v>231</v>
      </c>
      <c r="CE607" t="s">
        <v>231</v>
      </c>
      <c r="CF607" t="s">
        <v>231</v>
      </c>
      <c r="CG607" t="s">
        <v>231</v>
      </c>
      <c r="CH607" t="s">
        <v>231</v>
      </c>
      <c r="CI607" t="s">
        <v>231</v>
      </c>
      <c r="CJ607" t="s">
        <v>231</v>
      </c>
      <c r="CK607" t="s">
        <v>231</v>
      </c>
      <c r="CL607" t="s">
        <v>231</v>
      </c>
      <c r="CM607" t="s">
        <v>231</v>
      </c>
      <c r="CN607" t="s">
        <v>231</v>
      </c>
      <c r="CO607" t="s">
        <v>231</v>
      </c>
      <c r="CP607" t="s">
        <v>231</v>
      </c>
      <c r="CQ607" t="s">
        <v>231</v>
      </c>
      <c r="CR607" t="s">
        <v>231</v>
      </c>
      <c r="CS607" t="s">
        <v>231</v>
      </c>
      <c r="CT607" t="s">
        <v>3534</v>
      </c>
      <c r="CU607" t="s">
        <v>3535</v>
      </c>
      <c r="CV607" t="s">
        <v>3536</v>
      </c>
      <c r="CW607" t="s">
        <v>3589</v>
      </c>
      <c r="CX607" t="s">
        <v>223</v>
      </c>
      <c r="CY607" t="s">
        <v>3536</v>
      </c>
      <c r="CZ607" t="s">
        <v>3590</v>
      </c>
      <c r="DA607" t="s">
        <v>3591</v>
      </c>
      <c r="DB607" t="s">
        <v>3589</v>
      </c>
      <c r="DC607" t="s">
        <v>363</v>
      </c>
      <c r="DD607" t="s">
        <v>282</v>
      </c>
      <c r="DE607" t="s">
        <v>4457</v>
      </c>
    </row>
    <row r="608" spans="1:109" ht="11.25" customHeight="1">
      <c r="A608" s="1314" t="s">
        <v>231</v>
      </c>
      <c r="B608" t="s">
        <v>231</v>
      </c>
      <c r="C608" t="s">
        <v>231</v>
      </c>
      <c r="D608" t="s">
        <v>231</v>
      </c>
      <c r="E608" t="s">
        <v>231</v>
      </c>
      <c r="F608" t="s">
        <v>231</v>
      </c>
      <c r="G608" t="s">
        <v>231</v>
      </c>
      <c r="H608" t="s">
        <v>231</v>
      </c>
      <c r="I608" t="s">
        <v>3521</v>
      </c>
      <c r="J608" t="s">
        <v>231</v>
      </c>
      <c r="K608" t="s">
        <v>231</v>
      </c>
      <c r="L608" t="s">
        <v>231</v>
      </c>
      <c r="M608" t="s">
        <v>231</v>
      </c>
      <c r="N608" t="s">
        <v>231</v>
      </c>
      <c r="O608" t="s">
        <v>231</v>
      </c>
      <c r="P608" t="s">
        <v>231</v>
      </c>
      <c r="Q608" t="s">
        <v>231</v>
      </c>
      <c r="R608" t="s">
        <v>3615</v>
      </c>
      <c r="S608" t="s">
        <v>231</v>
      </c>
      <c r="T608" t="s">
        <v>231</v>
      </c>
      <c r="U608" t="s">
        <v>101</v>
      </c>
      <c r="V608" t="s">
        <v>231</v>
      </c>
      <c r="W608" t="s">
        <v>231</v>
      </c>
      <c r="X608" t="s">
        <v>3523</v>
      </c>
      <c r="Y608" t="s">
        <v>231</v>
      </c>
      <c r="Z608" t="s">
        <v>160</v>
      </c>
      <c r="AA608" t="s">
        <v>151</v>
      </c>
      <c r="AB608" t="s">
        <v>151</v>
      </c>
      <c r="AC608" t="s">
        <v>2289</v>
      </c>
      <c r="AD608" t="s">
        <v>2289</v>
      </c>
      <c r="AE608" t="s">
        <v>2290</v>
      </c>
      <c r="AF608" t="s">
        <v>4454</v>
      </c>
      <c r="AG608" t="s">
        <v>4455</v>
      </c>
      <c r="AH608" t="s">
        <v>4717</v>
      </c>
      <c r="AI608" t="s">
        <v>4243</v>
      </c>
      <c r="AJ608" t="s">
        <v>3546</v>
      </c>
      <c r="AK608" t="s">
        <v>4718</v>
      </c>
      <c r="AL608" t="s">
        <v>3548</v>
      </c>
      <c r="AM608" t="s">
        <v>3531</v>
      </c>
      <c r="AN608" t="s">
        <v>3595</v>
      </c>
      <c r="AO608" t="s">
        <v>3679</v>
      </c>
      <c r="AP608" t="s">
        <v>231</v>
      </c>
      <c r="AQ608" t="s">
        <v>231</v>
      </c>
      <c r="AR608" t="s">
        <v>231</v>
      </c>
      <c r="AS608" t="s">
        <v>231</v>
      </c>
      <c r="AT608" t="s">
        <v>231</v>
      </c>
      <c r="AU608" t="s">
        <v>231</v>
      </c>
      <c r="AV608" t="s">
        <v>231</v>
      </c>
      <c r="AW608" t="s">
        <v>231</v>
      </c>
      <c r="AX608" t="s">
        <v>231</v>
      </c>
      <c r="AY608" t="s">
        <v>231</v>
      </c>
      <c r="AZ608" t="s">
        <v>231</v>
      </c>
      <c r="BA608" t="s">
        <v>231</v>
      </c>
      <c r="BB608" t="s">
        <v>231</v>
      </c>
      <c r="BC608" t="s">
        <v>231</v>
      </c>
      <c r="BD608" t="s">
        <v>231</v>
      </c>
      <c r="BE608" t="s">
        <v>231</v>
      </c>
      <c r="BF608" t="s">
        <v>231</v>
      </c>
      <c r="BG608" t="s">
        <v>231</v>
      </c>
      <c r="BH608" t="s">
        <v>231</v>
      </c>
      <c r="BI608" t="s">
        <v>231</v>
      </c>
      <c r="BJ608" t="s">
        <v>231</v>
      </c>
      <c r="BK608" t="s">
        <v>231</v>
      </c>
      <c r="BL608" t="s">
        <v>231</v>
      </c>
      <c r="BM608" t="s">
        <v>231</v>
      </c>
      <c r="BN608" t="s">
        <v>231</v>
      </c>
      <c r="BO608" t="s">
        <v>231</v>
      </c>
      <c r="BP608" t="s">
        <v>231</v>
      </c>
      <c r="BQ608" t="s">
        <v>231</v>
      </c>
      <c r="BR608" t="s">
        <v>231</v>
      </c>
      <c r="BS608" t="s">
        <v>231</v>
      </c>
      <c r="BT608" t="s">
        <v>231</v>
      </c>
      <c r="BU608" t="s">
        <v>231</v>
      </c>
      <c r="BV608" t="s">
        <v>231</v>
      </c>
      <c r="BW608" t="s">
        <v>231</v>
      </c>
      <c r="BX608" t="s">
        <v>231</v>
      </c>
      <c r="BY608" t="s">
        <v>231</v>
      </c>
      <c r="BZ608" t="s">
        <v>231</v>
      </c>
      <c r="CA608" t="s">
        <v>231</v>
      </c>
      <c r="CB608" t="s">
        <v>231</v>
      </c>
      <c r="CC608" t="s">
        <v>231</v>
      </c>
      <c r="CD608" t="s">
        <v>231</v>
      </c>
      <c r="CE608" t="s">
        <v>231</v>
      </c>
      <c r="CF608" t="s">
        <v>231</v>
      </c>
      <c r="CG608" t="s">
        <v>231</v>
      </c>
      <c r="CH608" t="s">
        <v>231</v>
      </c>
      <c r="CI608" t="s">
        <v>231</v>
      </c>
      <c r="CJ608" t="s">
        <v>231</v>
      </c>
      <c r="CK608" t="s">
        <v>231</v>
      </c>
      <c r="CL608" t="s">
        <v>231</v>
      </c>
      <c r="CM608" t="s">
        <v>231</v>
      </c>
      <c r="CN608" t="s">
        <v>231</v>
      </c>
      <c r="CO608" t="s">
        <v>231</v>
      </c>
      <c r="CP608" t="s">
        <v>231</v>
      </c>
      <c r="CQ608" t="s">
        <v>231</v>
      </c>
      <c r="CR608" t="s">
        <v>231</v>
      </c>
      <c r="CS608" t="s">
        <v>231</v>
      </c>
      <c r="CT608" t="s">
        <v>3534</v>
      </c>
      <c r="CU608" t="s">
        <v>3535</v>
      </c>
      <c r="CV608" t="s">
        <v>3536</v>
      </c>
      <c r="CW608" t="s">
        <v>3589</v>
      </c>
      <c r="CX608" t="s">
        <v>223</v>
      </c>
      <c r="CY608" t="s">
        <v>3536</v>
      </c>
      <c r="CZ608" t="s">
        <v>3590</v>
      </c>
      <c r="DA608" t="s">
        <v>3591</v>
      </c>
      <c r="DB608" t="s">
        <v>3589</v>
      </c>
      <c r="DC608" t="s">
        <v>363</v>
      </c>
      <c r="DD608" t="s">
        <v>282</v>
      </c>
      <c r="DE608" t="s">
        <v>4719</v>
      </c>
    </row>
    <row r="609" spans="1:109" ht="11.25" customHeight="1">
      <c r="A609" s="1314" t="s">
        <v>231</v>
      </c>
      <c r="B609" t="s">
        <v>231</v>
      </c>
      <c r="C609" t="s">
        <v>231</v>
      </c>
      <c r="D609" t="s">
        <v>231</v>
      </c>
      <c r="E609" t="s">
        <v>231</v>
      </c>
      <c r="F609" t="s">
        <v>231</v>
      </c>
      <c r="G609" t="s">
        <v>231</v>
      </c>
      <c r="H609" t="s">
        <v>231</v>
      </c>
      <c r="I609" t="s">
        <v>3521</v>
      </c>
      <c r="J609" t="s">
        <v>231</v>
      </c>
      <c r="K609" t="s">
        <v>231</v>
      </c>
      <c r="L609" t="s">
        <v>231</v>
      </c>
      <c r="M609" t="s">
        <v>231</v>
      </c>
      <c r="N609" t="s">
        <v>231</v>
      </c>
      <c r="O609" t="s">
        <v>231</v>
      </c>
      <c r="P609" t="s">
        <v>231</v>
      </c>
      <c r="Q609" t="s">
        <v>231</v>
      </c>
      <c r="R609" t="s">
        <v>4720</v>
      </c>
      <c r="S609" t="s">
        <v>231</v>
      </c>
      <c r="T609" t="s">
        <v>231</v>
      </c>
      <c r="U609" t="s">
        <v>101</v>
      </c>
      <c r="V609" t="s">
        <v>231</v>
      </c>
      <c r="W609" t="s">
        <v>231</v>
      </c>
      <c r="X609" t="s">
        <v>3628</v>
      </c>
      <c r="Y609" t="s">
        <v>231</v>
      </c>
      <c r="Z609" t="s">
        <v>151</v>
      </c>
      <c r="AA609" t="s">
        <v>151</v>
      </c>
      <c r="AB609" t="s">
        <v>160</v>
      </c>
      <c r="AC609" t="s">
        <v>2289</v>
      </c>
      <c r="AD609" t="s">
        <v>2289</v>
      </c>
      <c r="AE609" t="s">
        <v>2290</v>
      </c>
      <c r="AF609" t="s">
        <v>4238</v>
      </c>
      <c r="AG609" t="s">
        <v>4239</v>
      </c>
      <c r="AH609" t="s">
        <v>3618</v>
      </c>
      <c r="AI609" t="s">
        <v>3618</v>
      </c>
      <c r="AJ609" t="s">
        <v>231</v>
      </c>
      <c r="AK609" t="s">
        <v>231</v>
      </c>
      <c r="AL609" t="s">
        <v>231</v>
      </c>
      <c r="AM609" t="s">
        <v>231</v>
      </c>
      <c r="AN609" t="s">
        <v>231</v>
      </c>
      <c r="AO609" t="s">
        <v>231</v>
      </c>
      <c r="AP609" t="s">
        <v>231</v>
      </c>
      <c r="AQ609" t="s">
        <v>231</v>
      </c>
      <c r="AR609" t="s">
        <v>231</v>
      </c>
      <c r="AS609" t="s">
        <v>231</v>
      </c>
      <c r="AT609" t="s">
        <v>231</v>
      </c>
      <c r="AU609" t="s">
        <v>231</v>
      </c>
      <c r="AV609" t="s">
        <v>231</v>
      </c>
      <c r="AW609" t="s">
        <v>231</v>
      </c>
      <c r="AX609" t="s">
        <v>231</v>
      </c>
      <c r="AY609" t="s">
        <v>231</v>
      </c>
      <c r="AZ609" t="s">
        <v>231</v>
      </c>
      <c r="BA609" t="s">
        <v>231</v>
      </c>
      <c r="BB609" t="s">
        <v>231</v>
      </c>
      <c r="BC609" t="s">
        <v>231</v>
      </c>
      <c r="BD609" t="s">
        <v>231</v>
      </c>
      <c r="BE609" t="s">
        <v>3594</v>
      </c>
      <c r="BF609" t="s">
        <v>3716</v>
      </c>
      <c r="BG609" t="s">
        <v>111</v>
      </c>
      <c r="BH609" t="s">
        <v>3632</v>
      </c>
      <c r="BI609" t="s">
        <v>122</v>
      </c>
      <c r="BJ609" t="s">
        <v>231</v>
      </c>
      <c r="BK609" t="s">
        <v>3651</v>
      </c>
      <c r="BL609" t="s">
        <v>2289</v>
      </c>
      <c r="BM609" t="s">
        <v>2289</v>
      </c>
      <c r="BN609" t="s">
        <v>3707</v>
      </c>
      <c r="BO609" t="s">
        <v>4238</v>
      </c>
      <c r="BP609" t="s">
        <v>4721</v>
      </c>
      <c r="BQ609" t="s">
        <v>3618</v>
      </c>
      <c r="BR609" t="s">
        <v>3618</v>
      </c>
      <c r="BS609" t="s">
        <v>231</v>
      </c>
      <c r="BT609" t="s">
        <v>3694</v>
      </c>
      <c r="BU609" t="s">
        <v>4722</v>
      </c>
      <c r="BV609" t="s">
        <v>4722</v>
      </c>
      <c r="BW609" t="s">
        <v>3641</v>
      </c>
      <c r="BX609" t="s">
        <v>3641</v>
      </c>
      <c r="BY609" t="s">
        <v>3641</v>
      </c>
      <c r="BZ609" t="s">
        <v>3641</v>
      </c>
      <c r="CA609" t="s">
        <v>3641</v>
      </c>
      <c r="CB609" t="s">
        <v>231</v>
      </c>
      <c r="CC609" t="s">
        <v>231</v>
      </c>
      <c r="CD609" t="s">
        <v>231</v>
      </c>
      <c r="CE609" t="s">
        <v>231</v>
      </c>
      <c r="CF609" t="s">
        <v>231</v>
      </c>
      <c r="CG609" t="s">
        <v>3641</v>
      </c>
      <c r="CH609" t="s">
        <v>231</v>
      </c>
      <c r="CI609" t="s">
        <v>231</v>
      </c>
      <c r="CJ609" t="s">
        <v>231</v>
      </c>
      <c r="CK609" t="s">
        <v>231</v>
      </c>
      <c r="CL609" t="s">
        <v>231</v>
      </c>
      <c r="CM609" t="s">
        <v>4722</v>
      </c>
      <c r="CN609" t="s">
        <v>4722</v>
      </c>
      <c r="CO609" t="s">
        <v>231</v>
      </c>
      <c r="CP609" t="s">
        <v>231</v>
      </c>
      <c r="CQ609" t="s">
        <v>231</v>
      </c>
      <c r="CR609" t="s">
        <v>231</v>
      </c>
      <c r="CS609" t="s">
        <v>3710</v>
      </c>
      <c r="CT609" t="s">
        <v>3534</v>
      </c>
      <c r="CU609" t="s">
        <v>3535</v>
      </c>
      <c r="CV609" t="s">
        <v>3536</v>
      </c>
      <c r="CW609" t="s">
        <v>3589</v>
      </c>
      <c r="CX609" t="s">
        <v>223</v>
      </c>
      <c r="CY609" t="s">
        <v>3536</v>
      </c>
      <c r="CZ609" t="s">
        <v>3590</v>
      </c>
      <c r="DA609" t="s">
        <v>3591</v>
      </c>
      <c r="DB609" t="s">
        <v>3589</v>
      </c>
      <c r="DC609" t="s">
        <v>363</v>
      </c>
      <c r="DD609" t="s">
        <v>282</v>
      </c>
      <c r="DE609" t="s">
        <v>4723</v>
      </c>
    </row>
    <row r="610" spans="1:109" ht="11.25" customHeight="1">
      <c r="A610" s="1314" t="s">
        <v>231</v>
      </c>
      <c r="B610" t="s">
        <v>231</v>
      </c>
      <c r="C610" t="s">
        <v>231</v>
      </c>
      <c r="D610" t="s">
        <v>231</v>
      </c>
      <c r="E610" t="s">
        <v>231</v>
      </c>
      <c r="F610" t="s">
        <v>231</v>
      </c>
      <c r="G610" t="s">
        <v>231</v>
      </c>
      <c r="H610" t="s">
        <v>231</v>
      </c>
      <c r="I610" t="s">
        <v>3521</v>
      </c>
      <c r="J610" t="s">
        <v>231</v>
      </c>
      <c r="K610" t="s">
        <v>231</v>
      </c>
      <c r="L610" t="s">
        <v>231</v>
      </c>
      <c r="M610" t="s">
        <v>231</v>
      </c>
      <c r="N610" t="s">
        <v>231</v>
      </c>
      <c r="O610" t="s">
        <v>231</v>
      </c>
      <c r="P610" t="s">
        <v>231</v>
      </c>
      <c r="Q610" t="s">
        <v>231</v>
      </c>
      <c r="R610" t="s">
        <v>3814</v>
      </c>
      <c r="S610" t="s">
        <v>231</v>
      </c>
      <c r="T610" t="s">
        <v>231</v>
      </c>
      <c r="U610" t="s">
        <v>101</v>
      </c>
      <c r="V610" t="s">
        <v>231</v>
      </c>
      <c r="W610" t="s">
        <v>231</v>
      </c>
      <c r="X610" t="s">
        <v>3523</v>
      </c>
      <c r="Y610" t="s">
        <v>231</v>
      </c>
      <c r="Z610" t="s">
        <v>160</v>
      </c>
      <c r="AA610" t="s">
        <v>151</v>
      </c>
      <c r="AB610" t="s">
        <v>151</v>
      </c>
      <c r="AC610" t="s">
        <v>2289</v>
      </c>
      <c r="AD610" t="s">
        <v>2289</v>
      </c>
      <c r="AE610" t="s">
        <v>2290</v>
      </c>
      <c r="AF610" t="s">
        <v>3793</v>
      </c>
      <c r="AG610" t="s">
        <v>3794</v>
      </c>
      <c r="AH610" t="s">
        <v>3811</v>
      </c>
      <c r="AI610" t="s">
        <v>3618</v>
      </c>
      <c r="AJ610" t="s">
        <v>3621</v>
      </c>
      <c r="AK610" t="s">
        <v>3587</v>
      </c>
      <c r="AL610" t="s">
        <v>3548</v>
      </c>
      <c r="AM610" t="s">
        <v>3531</v>
      </c>
      <c r="AN610" t="s">
        <v>3587</v>
      </c>
      <c r="AO610" t="s">
        <v>3812</v>
      </c>
      <c r="AP610" t="s">
        <v>231</v>
      </c>
      <c r="AQ610" t="s">
        <v>231</v>
      </c>
      <c r="AR610" t="s">
        <v>231</v>
      </c>
      <c r="AS610" t="s">
        <v>231</v>
      </c>
      <c r="AT610" t="s">
        <v>231</v>
      </c>
      <c r="AU610" t="s">
        <v>231</v>
      </c>
      <c r="AV610" t="s">
        <v>231</v>
      </c>
      <c r="AW610" t="s">
        <v>231</v>
      </c>
      <c r="AX610" t="s">
        <v>231</v>
      </c>
      <c r="AY610" t="s">
        <v>231</v>
      </c>
      <c r="AZ610" t="s">
        <v>231</v>
      </c>
      <c r="BA610" t="s">
        <v>231</v>
      </c>
      <c r="BB610" t="s">
        <v>231</v>
      </c>
      <c r="BC610" t="s">
        <v>231</v>
      </c>
      <c r="BD610" t="s">
        <v>231</v>
      </c>
      <c r="BE610" t="s">
        <v>231</v>
      </c>
      <c r="BF610" t="s">
        <v>231</v>
      </c>
      <c r="BG610" t="s">
        <v>231</v>
      </c>
      <c r="BH610" t="s">
        <v>231</v>
      </c>
      <c r="BI610" t="s">
        <v>231</v>
      </c>
      <c r="BJ610" t="s">
        <v>231</v>
      </c>
      <c r="BK610" t="s">
        <v>231</v>
      </c>
      <c r="BL610" t="s">
        <v>231</v>
      </c>
      <c r="BM610" t="s">
        <v>231</v>
      </c>
      <c r="BN610" t="s">
        <v>231</v>
      </c>
      <c r="BO610" t="s">
        <v>231</v>
      </c>
      <c r="BP610" t="s">
        <v>231</v>
      </c>
      <c r="BQ610" t="s">
        <v>231</v>
      </c>
      <c r="BR610" t="s">
        <v>231</v>
      </c>
      <c r="BS610" t="s">
        <v>231</v>
      </c>
      <c r="BT610" t="s">
        <v>231</v>
      </c>
      <c r="BU610" t="s">
        <v>231</v>
      </c>
      <c r="BV610" t="s">
        <v>231</v>
      </c>
      <c r="BW610" t="s">
        <v>231</v>
      </c>
      <c r="BX610" t="s">
        <v>231</v>
      </c>
      <c r="BY610" t="s">
        <v>231</v>
      </c>
      <c r="BZ610" t="s">
        <v>231</v>
      </c>
      <c r="CA610" t="s">
        <v>231</v>
      </c>
      <c r="CB610" t="s">
        <v>231</v>
      </c>
      <c r="CC610" t="s">
        <v>231</v>
      </c>
      <c r="CD610" t="s">
        <v>231</v>
      </c>
      <c r="CE610" t="s">
        <v>231</v>
      </c>
      <c r="CF610" t="s">
        <v>231</v>
      </c>
      <c r="CG610" t="s">
        <v>231</v>
      </c>
      <c r="CH610" t="s">
        <v>231</v>
      </c>
      <c r="CI610" t="s">
        <v>231</v>
      </c>
      <c r="CJ610" t="s">
        <v>231</v>
      </c>
      <c r="CK610" t="s">
        <v>231</v>
      </c>
      <c r="CL610" t="s">
        <v>231</v>
      </c>
      <c r="CM610" t="s">
        <v>231</v>
      </c>
      <c r="CN610" t="s">
        <v>231</v>
      </c>
      <c r="CO610" t="s">
        <v>231</v>
      </c>
      <c r="CP610" t="s">
        <v>231</v>
      </c>
      <c r="CQ610" t="s">
        <v>231</v>
      </c>
      <c r="CR610" t="s">
        <v>231</v>
      </c>
      <c r="CS610" t="s">
        <v>231</v>
      </c>
      <c r="CT610" t="s">
        <v>3534</v>
      </c>
      <c r="CU610" t="s">
        <v>3535</v>
      </c>
      <c r="CV610" t="s">
        <v>3536</v>
      </c>
      <c r="CW610" t="s">
        <v>3589</v>
      </c>
      <c r="CX610" t="s">
        <v>223</v>
      </c>
      <c r="CY610" t="s">
        <v>3536</v>
      </c>
      <c r="CZ610" t="s">
        <v>3590</v>
      </c>
      <c r="DA610" t="s">
        <v>3591</v>
      </c>
      <c r="DB610" t="s">
        <v>3589</v>
      </c>
      <c r="DC610" t="s">
        <v>363</v>
      </c>
      <c r="DD610" t="s">
        <v>282</v>
      </c>
      <c r="DE610" t="s">
        <v>3813</v>
      </c>
    </row>
    <row r="611" spans="1:109" ht="11.25" customHeight="1">
      <c r="A611" s="1314" t="s">
        <v>231</v>
      </c>
      <c r="B611" t="s">
        <v>231</v>
      </c>
      <c r="C611" t="s">
        <v>231</v>
      </c>
      <c r="D611" t="s">
        <v>231</v>
      </c>
      <c r="E611" t="s">
        <v>231</v>
      </c>
      <c r="F611" t="s">
        <v>231</v>
      </c>
      <c r="G611" t="s">
        <v>231</v>
      </c>
      <c r="H611" t="s">
        <v>231</v>
      </c>
      <c r="I611" t="s">
        <v>3521</v>
      </c>
      <c r="J611" t="s">
        <v>231</v>
      </c>
      <c r="K611" t="s">
        <v>231</v>
      </c>
      <c r="L611" t="s">
        <v>231</v>
      </c>
      <c r="M611" t="s">
        <v>231</v>
      </c>
      <c r="N611" t="s">
        <v>231</v>
      </c>
      <c r="O611" t="s">
        <v>231</v>
      </c>
      <c r="P611" t="s">
        <v>231</v>
      </c>
      <c r="Q611" t="s">
        <v>231</v>
      </c>
      <c r="R611" t="s">
        <v>4460</v>
      </c>
      <c r="S611" t="s">
        <v>231</v>
      </c>
      <c r="T611" t="s">
        <v>231</v>
      </c>
      <c r="U611" t="s">
        <v>101</v>
      </c>
      <c r="V611" t="s">
        <v>231</v>
      </c>
      <c r="W611" t="s">
        <v>231</v>
      </c>
      <c r="X611" t="s">
        <v>3628</v>
      </c>
      <c r="Y611" t="s">
        <v>231</v>
      </c>
      <c r="Z611" t="s">
        <v>151</v>
      </c>
      <c r="AA611" t="s">
        <v>151</v>
      </c>
      <c r="AB611" t="s">
        <v>160</v>
      </c>
      <c r="AC611" t="s">
        <v>2287</v>
      </c>
      <c r="AD611" t="s">
        <v>2287</v>
      </c>
      <c r="AE611" t="s">
        <v>2288</v>
      </c>
      <c r="AF611" t="s">
        <v>4189</v>
      </c>
      <c r="AG611" t="s">
        <v>4190</v>
      </c>
      <c r="AH611" t="s">
        <v>3618</v>
      </c>
      <c r="AI611" t="s">
        <v>3618</v>
      </c>
      <c r="AJ611" t="s">
        <v>231</v>
      </c>
      <c r="AK611" t="s">
        <v>231</v>
      </c>
      <c r="AL611" t="s">
        <v>231</v>
      </c>
      <c r="AM611" t="s">
        <v>231</v>
      </c>
      <c r="AN611" t="s">
        <v>231</v>
      </c>
      <c r="AO611" t="s">
        <v>231</v>
      </c>
      <c r="AP611" t="s">
        <v>231</v>
      </c>
      <c r="AQ611" t="s">
        <v>231</v>
      </c>
      <c r="AR611" t="s">
        <v>231</v>
      </c>
      <c r="AS611" t="s">
        <v>231</v>
      </c>
      <c r="AT611" t="s">
        <v>231</v>
      </c>
      <c r="AU611" t="s">
        <v>231</v>
      </c>
      <c r="AV611" t="s">
        <v>231</v>
      </c>
      <c r="AW611" t="s">
        <v>231</v>
      </c>
      <c r="AX611" t="s">
        <v>231</v>
      </c>
      <c r="AY611" t="s">
        <v>231</v>
      </c>
      <c r="AZ611" t="s">
        <v>231</v>
      </c>
      <c r="BA611" t="s">
        <v>231</v>
      </c>
      <c r="BB611" t="s">
        <v>231</v>
      </c>
      <c r="BC611" t="s">
        <v>231</v>
      </c>
      <c r="BD611" t="s">
        <v>231</v>
      </c>
      <c r="BE611" t="s">
        <v>4042</v>
      </c>
      <c r="BF611" t="s">
        <v>4461</v>
      </c>
      <c r="BG611" t="s">
        <v>111</v>
      </c>
      <c r="BH611" t="s">
        <v>3632</v>
      </c>
      <c r="BI611" t="s">
        <v>122</v>
      </c>
      <c r="BJ611" t="s">
        <v>231</v>
      </c>
      <c r="BK611" t="s">
        <v>3651</v>
      </c>
      <c r="BL611" t="s">
        <v>2287</v>
      </c>
      <c r="BM611" t="s">
        <v>2287</v>
      </c>
      <c r="BN611" t="s">
        <v>3842</v>
      </c>
      <c r="BO611" t="s">
        <v>4189</v>
      </c>
      <c r="BP611" t="s">
        <v>4462</v>
      </c>
      <c r="BQ611" t="s">
        <v>3618</v>
      </c>
      <c r="BR611" t="s">
        <v>3618</v>
      </c>
      <c r="BS611" t="s">
        <v>231</v>
      </c>
      <c r="BT611" t="s">
        <v>3694</v>
      </c>
      <c r="BU611" t="s">
        <v>4463</v>
      </c>
      <c r="BV611" t="s">
        <v>4463</v>
      </c>
      <c r="BW611" t="s">
        <v>3641</v>
      </c>
      <c r="BX611" t="s">
        <v>3641</v>
      </c>
      <c r="BY611" t="s">
        <v>3641</v>
      </c>
      <c r="BZ611" t="s">
        <v>3641</v>
      </c>
      <c r="CA611" t="s">
        <v>3641</v>
      </c>
      <c r="CB611" t="s">
        <v>231</v>
      </c>
      <c r="CC611" t="s">
        <v>231</v>
      </c>
      <c r="CD611" t="s">
        <v>231</v>
      </c>
      <c r="CE611" t="s">
        <v>231</v>
      </c>
      <c r="CF611" t="s">
        <v>231</v>
      </c>
      <c r="CG611" t="s">
        <v>3641</v>
      </c>
      <c r="CH611" t="s">
        <v>231</v>
      </c>
      <c r="CI611" t="s">
        <v>231</v>
      </c>
      <c r="CJ611" t="s">
        <v>231</v>
      </c>
      <c r="CK611" t="s">
        <v>231</v>
      </c>
      <c r="CL611" t="s">
        <v>231</v>
      </c>
      <c r="CM611" t="s">
        <v>4463</v>
      </c>
      <c r="CN611" t="s">
        <v>4463</v>
      </c>
      <c r="CO611" t="s">
        <v>231</v>
      </c>
      <c r="CP611" t="s">
        <v>231</v>
      </c>
      <c r="CQ611" t="s">
        <v>231</v>
      </c>
      <c r="CR611" t="s">
        <v>231</v>
      </c>
      <c r="CS611" t="s">
        <v>3529</v>
      </c>
      <c r="CT611" t="s">
        <v>3534</v>
      </c>
      <c r="CU611" t="s">
        <v>3535</v>
      </c>
      <c r="CV611" t="s">
        <v>3536</v>
      </c>
      <c r="CW611" t="s">
        <v>3623</v>
      </c>
      <c r="CX611" t="s">
        <v>223</v>
      </c>
      <c r="CY611" t="s">
        <v>3536</v>
      </c>
      <c r="CZ611" t="s">
        <v>3624</v>
      </c>
      <c r="DA611" t="s">
        <v>3625</v>
      </c>
      <c r="DB611" t="s">
        <v>3623</v>
      </c>
      <c r="DC611" t="s">
        <v>363</v>
      </c>
      <c r="DD611" t="s">
        <v>282</v>
      </c>
      <c r="DE611" t="s">
        <v>4464</v>
      </c>
    </row>
    <row r="612" spans="1:109" ht="11.25" customHeight="1">
      <c r="A612" s="1314" t="s">
        <v>231</v>
      </c>
      <c r="B612" t="s">
        <v>231</v>
      </c>
      <c r="C612" t="s">
        <v>231</v>
      </c>
      <c r="D612" t="s">
        <v>231</v>
      </c>
      <c r="E612" t="s">
        <v>231</v>
      </c>
      <c r="F612" t="s">
        <v>231</v>
      </c>
      <c r="G612" t="s">
        <v>231</v>
      </c>
      <c r="H612" t="s">
        <v>231</v>
      </c>
      <c r="I612" t="s">
        <v>3521</v>
      </c>
      <c r="J612" t="s">
        <v>231</v>
      </c>
      <c r="K612" t="s">
        <v>231</v>
      </c>
      <c r="L612" t="s">
        <v>231</v>
      </c>
      <c r="M612" t="s">
        <v>231</v>
      </c>
      <c r="N612" t="s">
        <v>231</v>
      </c>
      <c r="O612" t="s">
        <v>231</v>
      </c>
      <c r="P612" t="s">
        <v>231</v>
      </c>
      <c r="Q612" t="s">
        <v>231</v>
      </c>
      <c r="R612" t="s">
        <v>3615</v>
      </c>
      <c r="S612" t="s">
        <v>231</v>
      </c>
      <c r="T612" t="s">
        <v>231</v>
      </c>
      <c r="U612" t="s">
        <v>101</v>
      </c>
      <c r="V612" t="s">
        <v>231</v>
      </c>
      <c r="W612" t="s">
        <v>231</v>
      </c>
      <c r="X612" t="s">
        <v>3523</v>
      </c>
      <c r="Y612" t="s">
        <v>231</v>
      </c>
      <c r="Z612" t="s">
        <v>160</v>
      </c>
      <c r="AA612" t="s">
        <v>151</v>
      </c>
      <c r="AB612" t="s">
        <v>151</v>
      </c>
      <c r="AC612" t="s">
        <v>2287</v>
      </c>
      <c r="AD612" t="s">
        <v>2287</v>
      </c>
      <c r="AE612" t="s">
        <v>2288</v>
      </c>
      <c r="AF612" t="s">
        <v>4702</v>
      </c>
      <c r="AG612" t="s">
        <v>4703</v>
      </c>
      <c r="AH612" t="s">
        <v>4704</v>
      </c>
      <c r="AI612" t="s">
        <v>4705</v>
      </c>
      <c r="AJ612" t="s">
        <v>3619</v>
      </c>
      <c r="AK612" t="s">
        <v>4706</v>
      </c>
      <c r="AL612" t="s">
        <v>3548</v>
      </c>
      <c r="AM612" t="s">
        <v>3531</v>
      </c>
      <c r="AN612" t="s">
        <v>3621</v>
      </c>
      <c r="AO612" t="s">
        <v>3533</v>
      </c>
      <c r="AP612" t="s">
        <v>231</v>
      </c>
      <c r="AQ612" t="s">
        <v>231</v>
      </c>
      <c r="AR612" t="s">
        <v>231</v>
      </c>
      <c r="AS612" t="s">
        <v>231</v>
      </c>
      <c r="AT612" t="s">
        <v>231</v>
      </c>
      <c r="AU612" t="s">
        <v>231</v>
      </c>
      <c r="AV612" t="s">
        <v>231</v>
      </c>
      <c r="AW612" t="s">
        <v>231</v>
      </c>
      <c r="AX612" t="s">
        <v>231</v>
      </c>
      <c r="AY612" t="s">
        <v>231</v>
      </c>
      <c r="AZ612" t="s">
        <v>231</v>
      </c>
      <c r="BA612" t="s">
        <v>231</v>
      </c>
      <c r="BB612" t="s">
        <v>231</v>
      </c>
      <c r="BC612" t="s">
        <v>231</v>
      </c>
      <c r="BD612" t="s">
        <v>231</v>
      </c>
      <c r="BE612" t="s">
        <v>231</v>
      </c>
      <c r="BF612" t="s">
        <v>231</v>
      </c>
      <c r="BG612" t="s">
        <v>231</v>
      </c>
      <c r="BH612" t="s">
        <v>231</v>
      </c>
      <c r="BI612" t="s">
        <v>231</v>
      </c>
      <c r="BJ612" t="s">
        <v>231</v>
      </c>
      <c r="BK612" t="s">
        <v>231</v>
      </c>
      <c r="BL612" t="s">
        <v>231</v>
      </c>
      <c r="BM612" t="s">
        <v>231</v>
      </c>
      <c r="BN612" t="s">
        <v>231</v>
      </c>
      <c r="BO612" t="s">
        <v>231</v>
      </c>
      <c r="BP612" t="s">
        <v>231</v>
      </c>
      <c r="BQ612" t="s">
        <v>231</v>
      </c>
      <c r="BR612" t="s">
        <v>231</v>
      </c>
      <c r="BS612" t="s">
        <v>231</v>
      </c>
      <c r="BT612" t="s">
        <v>231</v>
      </c>
      <c r="BU612" t="s">
        <v>231</v>
      </c>
      <c r="BV612" t="s">
        <v>231</v>
      </c>
      <c r="BW612" t="s">
        <v>231</v>
      </c>
      <c r="BX612" t="s">
        <v>231</v>
      </c>
      <c r="BY612" t="s">
        <v>231</v>
      </c>
      <c r="BZ612" t="s">
        <v>231</v>
      </c>
      <c r="CA612" t="s">
        <v>231</v>
      </c>
      <c r="CB612" t="s">
        <v>231</v>
      </c>
      <c r="CC612" t="s">
        <v>231</v>
      </c>
      <c r="CD612" t="s">
        <v>231</v>
      </c>
      <c r="CE612" t="s">
        <v>231</v>
      </c>
      <c r="CF612" t="s">
        <v>231</v>
      </c>
      <c r="CG612" t="s">
        <v>231</v>
      </c>
      <c r="CH612" t="s">
        <v>231</v>
      </c>
      <c r="CI612" t="s">
        <v>231</v>
      </c>
      <c r="CJ612" t="s">
        <v>231</v>
      </c>
      <c r="CK612" t="s">
        <v>231</v>
      </c>
      <c r="CL612" t="s">
        <v>231</v>
      </c>
      <c r="CM612" t="s">
        <v>231</v>
      </c>
      <c r="CN612" t="s">
        <v>231</v>
      </c>
      <c r="CO612" t="s">
        <v>231</v>
      </c>
      <c r="CP612" t="s">
        <v>231</v>
      </c>
      <c r="CQ612" t="s">
        <v>231</v>
      </c>
      <c r="CR612" t="s">
        <v>231</v>
      </c>
      <c r="CS612" t="s">
        <v>231</v>
      </c>
      <c r="CT612" t="s">
        <v>3534</v>
      </c>
      <c r="CU612" t="s">
        <v>3535</v>
      </c>
      <c r="CV612" t="s">
        <v>3536</v>
      </c>
      <c r="CW612" t="s">
        <v>3623</v>
      </c>
      <c r="CX612" t="s">
        <v>223</v>
      </c>
      <c r="CY612" t="s">
        <v>3536</v>
      </c>
      <c r="CZ612" t="s">
        <v>3624</v>
      </c>
      <c r="DA612" t="s">
        <v>3625</v>
      </c>
      <c r="DB612" t="s">
        <v>3623</v>
      </c>
      <c r="DC612" t="s">
        <v>363</v>
      </c>
      <c r="DD612" t="s">
        <v>282</v>
      </c>
      <c r="DE612" t="s">
        <v>4707</v>
      </c>
    </row>
    <row r="613" spans="1:109" ht="11.25" customHeight="1">
      <c r="A613" s="1314" t="s">
        <v>231</v>
      </c>
      <c r="B613" t="s">
        <v>231</v>
      </c>
      <c r="C613" t="s">
        <v>231</v>
      </c>
      <c r="D613" t="s">
        <v>231</v>
      </c>
      <c r="E613" t="s">
        <v>231</v>
      </c>
      <c r="F613" t="s">
        <v>231</v>
      </c>
      <c r="G613" t="s">
        <v>231</v>
      </c>
      <c r="H613" t="s">
        <v>231</v>
      </c>
      <c r="I613" t="s">
        <v>3521</v>
      </c>
      <c r="J613" t="s">
        <v>231</v>
      </c>
      <c r="K613" t="s">
        <v>231</v>
      </c>
      <c r="L613" t="s">
        <v>231</v>
      </c>
      <c r="M613" t="s">
        <v>231</v>
      </c>
      <c r="N613" t="s">
        <v>231</v>
      </c>
      <c r="O613" t="s">
        <v>231</v>
      </c>
      <c r="P613" t="s">
        <v>231</v>
      </c>
      <c r="Q613" t="s">
        <v>231</v>
      </c>
      <c r="R613" t="s">
        <v>4728</v>
      </c>
      <c r="S613" t="s">
        <v>231</v>
      </c>
      <c r="T613" t="s">
        <v>231</v>
      </c>
      <c r="U613" t="s">
        <v>101</v>
      </c>
      <c r="V613" t="s">
        <v>231</v>
      </c>
      <c r="W613" t="s">
        <v>231</v>
      </c>
      <c r="X613" t="s">
        <v>3628</v>
      </c>
      <c r="Y613" t="s">
        <v>231</v>
      </c>
      <c r="Z613" t="s">
        <v>151</v>
      </c>
      <c r="AA613" t="s">
        <v>151</v>
      </c>
      <c r="AB613" t="s">
        <v>160</v>
      </c>
      <c r="AC613" t="s">
        <v>2287</v>
      </c>
      <c r="AD613" t="s">
        <v>2287</v>
      </c>
      <c r="AE613" t="s">
        <v>2288</v>
      </c>
      <c r="AF613" t="s">
        <v>4702</v>
      </c>
      <c r="AG613" t="s">
        <v>4703</v>
      </c>
      <c r="AH613" t="s">
        <v>3618</v>
      </c>
      <c r="AI613" t="s">
        <v>3618</v>
      </c>
      <c r="AJ613" t="s">
        <v>231</v>
      </c>
      <c r="AK613" t="s">
        <v>231</v>
      </c>
      <c r="AL613" t="s">
        <v>231</v>
      </c>
      <c r="AM613" t="s">
        <v>231</v>
      </c>
      <c r="AN613" t="s">
        <v>231</v>
      </c>
      <c r="AO613" t="s">
        <v>231</v>
      </c>
      <c r="AP613" t="s">
        <v>231</v>
      </c>
      <c r="AQ613" t="s">
        <v>231</v>
      </c>
      <c r="AR613" t="s">
        <v>231</v>
      </c>
      <c r="AS613" t="s">
        <v>231</v>
      </c>
      <c r="AT613" t="s">
        <v>231</v>
      </c>
      <c r="AU613" t="s">
        <v>231</v>
      </c>
      <c r="AV613" t="s">
        <v>231</v>
      </c>
      <c r="AW613" t="s">
        <v>231</v>
      </c>
      <c r="AX613" t="s">
        <v>231</v>
      </c>
      <c r="AY613" t="s">
        <v>231</v>
      </c>
      <c r="AZ613" t="s">
        <v>231</v>
      </c>
      <c r="BA613" t="s">
        <v>231</v>
      </c>
      <c r="BB613" t="s">
        <v>231</v>
      </c>
      <c r="BC613" t="s">
        <v>231</v>
      </c>
      <c r="BD613" t="s">
        <v>231</v>
      </c>
      <c r="BE613" t="s">
        <v>3619</v>
      </c>
      <c r="BF613" t="s">
        <v>4706</v>
      </c>
      <c r="BG613" t="s">
        <v>111</v>
      </c>
      <c r="BH613" t="s">
        <v>3632</v>
      </c>
      <c r="BI613" t="s">
        <v>122</v>
      </c>
      <c r="BJ613" t="s">
        <v>231</v>
      </c>
      <c r="BK613" t="s">
        <v>3651</v>
      </c>
      <c r="BL613" t="s">
        <v>2287</v>
      </c>
      <c r="BM613" t="s">
        <v>2287</v>
      </c>
      <c r="BN613" t="s">
        <v>3842</v>
      </c>
      <c r="BO613" t="s">
        <v>4702</v>
      </c>
      <c r="BP613" t="s">
        <v>4729</v>
      </c>
      <c r="BQ613" t="s">
        <v>3618</v>
      </c>
      <c r="BR613" t="s">
        <v>3618</v>
      </c>
      <c r="BS613" t="s">
        <v>231</v>
      </c>
      <c r="BT613" t="s">
        <v>3694</v>
      </c>
      <c r="BU613" t="s">
        <v>4730</v>
      </c>
      <c r="BV613" t="s">
        <v>4730</v>
      </c>
      <c r="BW613" t="s">
        <v>3641</v>
      </c>
      <c r="BX613" t="s">
        <v>3641</v>
      </c>
      <c r="BY613" t="s">
        <v>3641</v>
      </c>
      <c r="BZ613" t="s">
        <v>3641</v>
      </c>
      <c r="CA613" t="s">
        <v>3641</v>
      </c>
      <c r="CB613" t="s">
        <v>231</v>
      </c>
      <c r="CC613" t="s">
        <v>231</v>
      </c>
      <c r="CD613" t="s">
        <v>231</v>
      </c>
      <c r="CE613" t="s">
        <v>231</v>
      </c>
      <c r="CF613" t="s">
        <v>231</v>
      </c>
      <c r="CG613" t="s">
        <v>3641</v>
      </c>
      <c r="CH613" t="s">
        <v>231</v>
      </c>
      <c r="CI613" t="s">
        <v>231</v>
      </c>
      <c r="CJ613" t="s">
        <v>231</v>
      </c>
      <c r="CK613" t="s">
        <v>231</v>
      </c>
      <c r="CL613" t="s">
        <v>231</v>
      </c>
      <c r="CM613" t="s">
        <v>4730</v>
      </c>
      <c r="CN613" t="s">
        <v>4730</v>
      </c>
      <c r="CO613" t="s">
        <v>231</v>
      </c>
      <c r="CP613" t="s">
        <v>231</v>
      </c>
      <c r="CQ613" t="s">
        <v>231</v>
      </c>
      <c r="CR613" t="s">
        <v>231</v>
      </c>
      <c r="CS613" t="s">
        <v>3595</v>
      </c>
      <c r="CT613" t="s">
        <v>3534</v>
      </c>
      <c r="CU613" t="s">
        <v>3535</v>
      </c>
      <c r="CV613" t="s">
        <v>3536</v>
      </c>
      <c r="CW613" t="s">
        <v>3623</v>
      </c>
      <c r="CX613" t="s">
        <v>223</v>
      </c>
      <c r="CY613" t="s">
        <v>3536</v>
      </c>
      <c r="CZ613" t="s">
        <v>3624</v>
      </c>
      <c r="DA613" t="s">
        <v>3625</v>
      </c>
      <c r="DB613" t="s">
        <v>3623</v>
      </c>
      <c r="DC613" t="s">
        <v>363</v>
      </c>
      <c r="DD613" t="s">
        <v>282</v>
      </c>
      <c r="DE613" t="s">
        <v>4731</v>
      </c>
    </row>
    <row r="614" spans="1:109" ht="11.25" customHeight="1">
      <c r="A614" s="1314" t="s">
        <v>231</v>
      </c>
      <c r="B614" t="s">
        <v>231</v>
      </c>
      <c r="C614" t="s">
        <v>231</v>
      </c>
      <c r="D614" t="s">
        <v>231</v>
      </c>
      <c r="E614" t="s">
        <v>231</v>
      </c>
      <c r="F614" t="s">
        <v>231</v>
      </c>
      <c r="G614" t="s">
        <v>231</v>
      </c>
      <c r="H614" t="s">
        <v>231</v>
      </c>
      <c r="I614" t="s">
        <v>3521</v>
      </c>
      <c r="J614" t="s">
        <v>231</v>
      </c>
      <c r="K614" t="s">
        <v>231</v>
      </c>
      <c r="L614" t="s">
        <v>231</v>
      </c>
      <c r="M614" t="s">
        <v>231</v>
      </c>
      <c r="N614" t="s">
        <v>231</v>
      </c>
      <c r="O614" t="s">
        <v>231</v>
      </c>
      <c r="P614" t="s">
        <v>231</v>
      </c>
      <c r="Q614" t="s">
        <v>231</v>
      </c>
      <c r="R614" t="s">
        <v>4989</v>
      </c>
      <c r="S614" t="s">
        <v>231</v>
      </c>
      <c r="T614" t="s">
        <v>231</v>
      </c>
      <c r="U614" t="s">
        <v>101</v>
      </c>
      <c r="V614" t="s">
        <v>231</v>
      </c>
      <c r="W614" t="s">
        <v>231</v>
      </c>
      <c r="X614" t="s">
        <v>3523</v>
      </c>
      <c r="Y614" t="s">
        <v>231</v>
      </c>
      <c r="Z614" t="s">
        <v>160</v>
      </c>
      <c r="AA614" t="s">
        <v>151</v>
      </c>
      <c r="AB614" t="s">
        <v>151</v>
      </c>
      <c r="AC614" t="s">
        <v>2262</v>
      </c>
      <c r="AD614" t="s">
        <v>2262</v>
      </c>
      <c r="AE614" t="s">
        <v>2264</v>
      </c>
      <c r="AF614" t="s">
        <v>3524</v>
      </c>
      <c r="AG614" t="s">
        <v>3525</v>
      </c>
      <c r="AH614" t="s">
        <v>4990</v>
      </c>
      <c r="AI614" t="s">
        <v>1668</v>
      </c>
      <c r="AJ614" t="s">
        <v>4991</v>
      </c>
      <c r="AK614" t="s">
        <v>4580</v>
      </c>
      <c r="AL614" t="s">
        <v>3530</v>
      </c>
      <c r="AM614" t="s">
        <v>3531</v>
      </c>
      <c r="AN614" t="s">
        <v>3867</v>
      </c>
      <c r="AO614" t="s">
        <v>3821</v>
      </c>
      <c r="AP614" t="s">
        <v>231</v>
      </c>
      <c r="AQ614" t="s">
        <v>231</v>
      </c>
      <c r="AR614" t="s">
        <v>231</v>
      </c>
      <c r="AS614" t="s">
        <v>231</v>
      </c>
      <c r="AT614" t="s">
        <v>231</v>
      </c>
      <c r="AU614" t="s">
        <v>231</v>
      </c>
      <c r="AV614" t="s">
        <v>231</v>
      </c>
      <c r="AW614" t="s">
        <v>231</v>
      </c>
      <c r="AX614" t="s">
        <v>231</v>
      </c>
      <c r="AY614" t="s">
        <v>231</v>
      </c>
      <c r="AZ614" t="s">
        <v>231</v>
      </c>
      <c r="BA614" t="s">
        <v>231</v>
      </c>
      <c r="BB614" t="s">
        <v>231</v>
      </c>
      <c r="BC614" t="s">
        <v>231</v>
      </c>
      <c r="BD614" t="s">
        <v>231</v>
      </c>
      <c r="BE614" t="s">
        <v>231</v>
      </c>
      <c r="BF614" t="s">
        <v>231</v>
      </c>
      <c r="BG614" t="s">
        <v>231</v>
      </c>
      <c r="BH614" t="s">
        <v>231</v>
      </c>
      <c r="BI614" t="s">
        <v>231</v>
      </c>
      <c r="BJ614" t="s">
        <v>231</v>
      </c>
      <c r="BK614" t="s">
        <v>231</v>
      </c>
      <c r="BL614" t="s">
        <v>231</v>
      </c>
      <c r="BM614" t="s">
        <v>231</v>
      </c>
      <c r="BN614" t="s">
        <v>231</v>
      </c>
      <c r="BO614" t="s">
        <v>231</v>
      </c>
      <c r="BP614" t="s">
        <v>231</v>
      </c>
      <c r="BQ614" t="s">
        <v>231</v>
      </c>
      <c r="BR614" t="s">
        <v>231</v>
      </c>
      <c r="BS614" t="s">
        <v>231</v>
      </c>
      <c r="BT614" t="s">
        <v>231</v>
      </c>
      <c r="BU614" t="s">
        <v>231</v>
      </c>
      <c r="BV614" t="s">
        <v>231</v>
      </c>
      <c r="BW614" t="s">
        <v>231</v>
      </c>
      <c r="BX614" t="s">
        <v>231</v>
      </c>
      <c r="BY614" t="s">
        <v>231</v>
      </c>
      <c r="BZ614" t="s">
        <v>231</v>
      </c>
      <c r="CA614" t="s">
        <v>231</v>
      </c>
      <c r="CB614" t="s">
        <v>231</v>
      </c>
      <c r="CC614" t="s">
        <v>231</v>
      </c>
      <c r="CD614" t="s">
        <v>231</v>
      </c>
      <c r="CE614" t="s">
        <v>231</v>
      </c>
      <c r="CF614" t="s">
        <v>231</v>
      </c>
      <c r="CG614" t="s">
        <v>231</v>
      </c>
      <c r="CH614" t="s">
        <v>231</v>
      </c>
      <c r="CI614" t="s">
        <v>231</v>
      </c>
      <c r="CJ614" t="s">
        <v>231</v>
      </c>
      <c r="CK614" t="s">
        <v>231</v>
      </c>
      <c r="CL614" t="s">
        <v>231</v>
      </c>
      <c r="CM614" t="s">
        <v>231</v>
      </c>
      <c r="CN614" t="s">
        <v>231</v>
      </c>
      <c r="CO614" t="s">
        <v>231</v>
      </c>
      <c r="CP614" t="s">
        <v>231</v>
      </c>
      <c r="CQ614" t="s">
        <v>231</v>
      </c>
      <c r="CR614" t="s">
        <v>231</v>
      </c>
      <c r="CS614" t="s">
        <v>231</v>
      </c>
      <c r="CT614" t="s">
        <v>3534</v>
      </c>
      <c r="CU614" t="s">
        <v>3535</v>
      </c>
      <c r="CV614" t="s">
        <v>3536</v>
      </c>
      <c r="CW614" t="s">
        <v>3537</v>
      </c>
      <c r="CX614" t="s">
        <v>223</v>
      </c>
      <c r="CY614" t="s">
        <v>3536</v>
      </c>
      <c r="CZ614" t="s">
        <v>3538</v>
      </c>
      <c r="DA614" t="s">
        <v>3539</v>
      </c>
      <c r="DB614" t="s">
        <v>3537</v>
      </c>
      <c r="DC614" t="s">
        <v>363</v>
      </c>
      <c r="DD614" t="s">
        <v>282</v>
      </c>
      <c r="DE614" t="s">
        <v>4992</v>
      </c>
    </row>
    <row r="615" spans="1:109" ht="11.25" customHeight="1">
      <c r="A615" s="1314" t="s">
        <v>231</v>
      </c>
      <c r="B615" t="s">
        <v>231</v>
      </c>
      <c r="C615" t="s">
        <v>231</v>
      </c>
      <c r="D615" t="s">
        <v>231</v>
      </c>
      <c r="E615" t="s">
        <v>231</v>
      </c>
      <c r="F615" t="s">
        <v>231</v>
      </c>
      <c r="G615" t="s">
        <v>231</v>
      </c>
      <c r="H615" t="s">
        <v>231</v>
      </c>
      <c r="I615" t="s">
        <v>3521</v>
      </c>
      <c r="J615" t="s">
        <v>231</v>
      </c>
      <c r="K615" t="s">
        <v>231</v>
      </c>
      <c r="L615" t="s">
        <v>231</v>
      </c>
      <c r="M615" t="s">
        <v>231</v>
      </c>
      <c r="N615" t="s">
        <v>231</v>
      </c>
      <c r="O615" t="s">
        <v>231</v>
      </c>
      <c r="P615" t="s">
        <v>231</v>
      </c>
      <c r="Q615" t="s">
        <v>231</v>
      </c>
      <c r="R615" t="s">
        <v>4993</v>
      </c>
      <c r="S615" t="s">
        <v>231</v>
      </c>
      <c r="T615" t="s">
        <v>231</v>
      </c>
      <c r="U615" t="s">
        <v>101</v>
      </c>
      <c r="V615" t="s">
        <v>231</v>
      </c>
      <c r="W615" t="s">
        <v>231</v>
      </c>
      <c r="X615" t="s">
        <v>3523</v>
      </c>
      <c r="Y615" t="s">
        <v>231</v>
      </c>
      <c r="Z615" t="s">
        <v>160</v>
      </c>
      <c r="AA615" t="s">
        <v>151</v>
      </c>
      <c r="AB615" t="s">
        <v>151</v>
      </c>
      <c r="AC615" t="s">
        <v>2262</v>
      </c>
      <c r="AD615" t="s">
        <v>2262</v>
      </c>
      <c r="AE615" t="s">
        <v>2264</v>
      </c>
      <c r="AF615" t="s">
        <v>3524</v>
      </c>
      <c r="AG615" t="s">
        <v>3525</v>
      </c>
      <c r="AH615" t="s">
        <v>4994</v>
      </c>
      <c r="AI615" t="s">
        <v>4995</v>
      </c>
      <c r="AJ615" t="s">
        <v>4996</v>
      </c>
      <c r="AK615" t="s">
        <v>3528</v>
      </c>
      <c r="AL615" t="s">
        <v>3530</v>
      </c>
      <c r="AM615" t="s">
        <v>3531</v>
      </c>
      <c r="AN615" t="s">
        <v>3867</v>
      </c>
      <c r="AO615" t="s">
        <v>3923</v>
      </c>
      <c r="AP615" t="s">
        <v>231</v>
      </c>
      <c r="AQ615" t="s">
        <v>231</v>
      </c>
      <c r="AR615" t="s">
        <v>231</v>
      </c>
      <c r="AS615" t="s">
        <v>231</v>
      </c>
      <c r="AT615" t="s">
        <v>231</v>
      </c>
      <c r="AU615" t="s">
        <v>231</v>
      </c>
      <c r="AV615" t="s">
        <v>231</v>
      </c>
      <c r="AW615" t="s">
        <v>231</v>
      </c>
      <c r="AX615" t="s">
        <v>231</v>
      </c>
      <c r="AY615" t="s">
        <v>231</v>
      </c>
      <c r="AZ615" t="s">
        <v>231</v>
      </c>
      <c r="BA615" t="s">
        <v>231</v>
      </c>
      <c r="BB615" t="s">
        <v>231</v>
      </c>
      <c r="BC615" t="s">
        <v>231</v>
      </c>
      <c r="BD615" t="s">
        <v>231</v>
      </c>
      <c r="BE615" t="s">
        <v>231</v>
      </c>
      <c r="BF615" t="s">
        <v>231</v>
      </c>
      <c r="BG615" t="s">
        <v>231</v>
      </c>
      <c r="BH615" t="s">
        <v>231</v>
      </c>
      <c r="BI615" t="s">
        <v>231</v>
      </c>
      <c r="BJ615" t="s">
        <v>231</v>
      </c>
      <c r="BK615" t="s">
        <v>231</v>
      </c>
      <c r="BL615" t="s">
        <v>231</v>
      </c>
      <c r="BM615" t="s">
        <v>231</v>
      </c>
      <c r="BN615" t="s">
        <v>231</v>
      </c>
      <c r="BO615" t="s">
        <v>231</v>
      </c>
      <c r="BP615" t="s">
        <v>231</v>
      </c>
      <c r="BQ615" t="s">
        <v>231</v>
      </c>
      <c r="BR615" t="s">
        <v>231</v>
      </c>
      <c r="BS615" t="s">
        <v>231</v>
      </c>
      <c r="BT615" t="s">
        <v>231</v>
      </c>
      <c r="BU615" t="s">
        <v>231</v>
      </c>
      <c r="BV615" t="s">
        <v>231</v>
      </c>
      <c r="BW615" t="s">
        <v>231</v>
      </c>
      <c r="BX615" t="s">
        <v>231</v>
      </c>
      <c r="BY615" t="s">
        <v>231</v>
      </c>
      <c r="BZ615" t="s">
        <v>231</v>
      </c>
      <c r="CA615" t="s">
        <v>231</v>
      </c>
      <c r="CB615" t="s">
        <v>231</v>
      </c>
      <c r="CC615" t="s">
        <v>231</v>
      </c>
      <c r="CD615" t="s">
        <v>231</v>
      </c>
      <c r="CE615" t="s">
        <v>231</v>
      </c>
      <c r="CF615" t="s">
        <v>231</v>
      </c>
      <c r="CG615" t="s">
        <v>231</v>
      </c>
      <c r="CH615" t="s">
        <v>231</v>
      </c>
      <c r="CI615" t="s">
        <v>231</v>
      </c>
      <c r="CJ615" t="s">
        <v>231</v>
      </c>
      <c r="CK615" t="s">
        <v>231</v>
      </c>
      <c r="CL615" t="s">
        <v>231</v>
      </c>
      <c r="CM615" t="s">
        <v>231</v>
      </c>
      <c r="CN615" t="s">
        <v>231</v>
      </c>
      <c r="CO615" t="s">
        <v>231</v>
      </c>
      <c r="CP615" t="s">
        <v>231</v>
      </c>
      <c r="CQ615" t="s">
        <v>231</v>
      </c>
      <c r="CR615" t="s">
        <v>231</v>
      </c>
      <c r="CS615" t="s">
        <v>231</v>
      </c>
      <c r="CT615" t="s">
        <v>3534</v>
      </c>
      <c r="CU615" t="s">
        <v>3535</v>
      </c>
      <c r="CV615" t="s">
        <v>3536</v>
      </c>
      <c r="CW615" t="s">
        <v>3537</v>
      </c>
      <c r="CX615" t="s">
        <v>223</v>
      </c>
      <c r="CY615" t="s">
        <v>3536</v>
      </c>
      <c r="CZ615" t="s">
        <v>3538</v>
      </c>
      <c r="DA615" t="s">
        <v>3539</v>
      </c>
      <c r="DB615" t="s">
        <v>3537</v>
      </c>
      <c r="DC615" t="s">
        <v>363</v>
      </c>
      <c r="DD615" t="s">
        <v>282</v>
      </c>
      <c r="DE615" t="s">
        <v>4997</v>
      </c>
    </row>
    <row r="616" spans="1:109" ht="11.25" customHeight="1">
      <c r="A616" s="1314" t="s">
        <v>231</v>
      </c>
      <c r="B616" t="s">
        <v>231</v>
      </c>
      <c r="C616" t="s">
        <v>231</v>
      </c>
      <c r="D616" t="s">
        <v>231</v>
      </c>
      <c r="E616" t="s">
        <v>231</v>
      </c>
      <c r="F616" t="s">
        <v>231</v>
      </c>
      <c r="G616" t="s">
        <v>231</v>
      </c>
      <c r="H616" t="s">
        <v>231</v>
      </c>
      <c r="I616" t="s">
        <v>3521</v>
      </c>
      <c r="J616" t="s">
        <v>231</v>
      </c>
      <c r="K616" t="s">
        <v>231</v>
      </c>
      <c r="L616" t="s">
        <v>231</v>
      </c>
      <c r="M616" t="s">
        <v>231</v>
      </c>
      <c r="N616" t="s">
        <v>231</v>
      </c>
      <c r="O616" t="s">
        <v>231</v>
      </c>
      <c r="P616" t="s">
        <v>231</v>
      </c>
      <c r="Q616" t="s">
        <v>231</v>
      </c>
      <c r="R616" t="s">
        <v>3615</v>
      </c>
      <c r="S616" t="s">
        <v>231</v>
      </c>
      <c r="T616" t="s">
        <v>231</v>
      </c>
      <c r="U616" t="s">
        <v>101</v>
      </c>
      <c r="V616" t="s">
        <v>231</v>
      </c>
      <c r="W616" t="s">
        <v>231</v>
      </c>
      <c r="X616" t="s">
        <v>3523</v>
      </c>
      <c r="Y616" t="s">
        <v>231</v>
      </c>
      <c r="Z616" t="s">
        <v>160</v>
      </c>
      <c r="AA616" t="s">
        <v>151</v>
      </c>
      <c r="AB616" t="s">
        <v>151</v>
      </c>
      <c r="AC616" t="s">
        <v>2289</v>
      </c>
      <c r="AD616" t="s">
        <v>2289</v>
      </c>
      <c r="AE616" t="s">
        <v>2290</v>
      </c>
      <c r="AF616" t="s">
        <v>3793</v>
      </c>
      <c r="AG616" t="s">
        <v>3794</v>
      </c>
      <c r="AH616" t="s">
        <v>4130</v>
      </c>
      <c r="AI616" t="s">
        <v>3693</v>
      </c>
      <c r="AJ616" t="s">
        <v>3619</v>
      </c>
      <c r="AK616" t="s">
        <v>3586</v>
      </c>
      <c r="AL616" t="s">
        <v>3548</v>
      </c>
      <c r="AM616" t="s">
        <v>3531</v>
      </c>
      <c r="AN616" t="s">
        <v>3587</v>
      </c>
      <c r="AO616" t="s">
        <v>3662</v>
      </c>
      <c r="AP616" t="s">
        <v>231</v>
      </c>
      <c r="AQ616" t="s">
        <v>231</v>
      </c>
      <c r="AR616" t="s">
        <v>231</v>
      </c>
      <c r="AS616" t="s">
        <v>231</v>
      </c>
      <c r="AT616" t="s">
        <v>231</v>
      </c>
      <c r="AU616" t="s">
        <v>231</v>
      </c>
      <c r="AV616" t="s">
        <v>231</v>
      </c>
      <c r="AW616" t="s">
        <v>231</v>
      </c>
      <c r="AX616" t="s">
        <v>231</v>
      </c>
      <c r="AY616" t="s">
        <v>231</v>
      </c>
      <c r="AZ616" t="s">
        <v>231</v>
      </c>
      <c r="BA616" t="s">
        <v>231</v>
      </c>
      <c r="BB616" t="s">
        <v>231</v>
      </c>
      <c r="BC616" t="s">
        <v>231</v>
      </c>
      <c r="BD616" t="s">
        <v>231</v>
      </c>
      <c r="BE616" t="s">
        <v>231</v>
      </c>
      <c r="BF616" t="s">
        <v>231</v>
      </c>
      <c r="BG616" t="s">
        <v>231</v>
      </c>
      <c r="BH616" t="s">
        <v>231</v>
      </c>
      <c r="BI616" t="s">
        <v>231</v>
      </c>
      <c r="BJ616" t="s">
        <v>231</v>
      </c>
      <c r="BK616" t="s">
        <v>231</v>
      </c>
      <c r="BL616" t="s">
        <v>231</v>
      </c>
      <c r="BM616" t="s">
        <v>231</v>
      </c>
      <c r="BN616" t="s">
        <v>231</v>
      </c>
      <c r="BO616" t="s">
        <v>231</v>
      </c>
      <c r="BP616" t="s">
        <v>231</v>
      </c>
      <c r="BQ616" t="s">
        <v>231</v>
      </c>
      <c r="BR616" t="s">
        <v>231</v>
      </c>
      <c r="BS616" t="s">
        <v>231</v>
      </c>
      <c r="BT616" t="s">
        <v>231</v>
      </c>
      <c r="BU616" t="s">
        <v>231</v>
      </c>
      <c r="BV616" t="s">
        <v>231</v>
      </c>
      <c r="BW616" t="s">
        <v>231</v>
      </c>
      <c r="BX616" t="s">
        <v>231</v>
      </c>
      <c r="BY616" t="s">
        <v>231</v>
      </c>
      <c r="BZ616" t="s">
        <v>231</v>
      </c>
      <c r="CA616" t="s">
        <v>231</v>
      </c>
      <c r="CB616" t="s">
        <v>231</v>
      </c>
      <c r="CC616" t="s">
        <v>231</v>
      </c>
      <c r="CD616" t="s">
        <v>231</v>
      </c>
      <c r="CE616" t="s">
        <v>231</v>
      </c>
      <c r="CF616" t="s">
        <v>231</v>
      </c>
      <c r="CG616" t="s">
        <v>231</v>
      </c>
      <c r="CH616" t="s">
        <v>231</v>
      </c>
      <c r="CI616" t="s">
        <v>231</v>
      </c>
      <c r="CJ616" t="s">
        <v>231</v>
      </c>
      <c r="CK616" t="s">
        <v>231</v>
      </c>
      <c r="CL616" t="s">
        <v>231</v>
      </c>
      <c r="CM616" t="s">
        <v>231</v>
      </c>
      <c r="CN616" t="s">
        <v>231</v>
      </c>
      <c r="CO616" t="s">
        <v>231</v>
      </c>
      <c r="CP616" t="s">
        <v>231</v>
      </c>
      <c r="CQ616" t="s">
        <v>231</v>
      </c>
      <c r="CR616" t="s">
        <v>231</v>
      </c>
      <c r="CS616" t="s">
        <v>231</v>
      </c>
      <c r="CT616" t="s">
        <v>3534</v>
      </c>
      <c r="CU616" t="s">
        <v>3535</v>
      </c>
      <c r="CV616" t="s">
        <v>3536</v>
      </c>
      <c r="CW616" t="s">
        <v>3589</v>
      </c>
      <c r="CX616" t="s">
        <v>223</v>
      </c>
      <c r="CY616" t="s">
        <v>3536</v>
      </c>
      <c r="CZ616" t="s">
        <v>3590</v>
      </c>
      <c r="DA616" t="s">
        <v>3591</v>
      </c>
      <c r="DB616" t="s">
        <v>3589</v>
      </c>
      <c r="DC616" t="s">
        <v>363</v>
      </c>
      <c r="DD616" t="s">
        <v>282</v>
      </c>
      <c r="DE616" t="s">
        <v>4132</v>
      </c>
    </row>
    <row r="617" spans="1:109" ht="11.25" customHeight="1">
      <c r="A617" s="1314" t="s">
        <v>231</v>
      </c>
      <c r="B617" t="s">
        <v>231</v>
      </c>
      <c r="C617" t="s">
        <v>231</v>
      </c>
      <c r="D617" t="s">
        <v>231</v>
      </c>
      <c r="E617" t="s">
        <v>231</v>
      </c>
      <c r="F617" t="s">
        <v>231</v>
      </c>
      <c r="G617" t="s">
        <v>231</v>
      </c>
      <c r="H617" t="s">
        <v>231</v>
      </c>
      <c r="I617" t="s">
        <v>3521</v>
      </c>
      <c r="J617" t="s">
        <v>231</v>
      </c>
      <c r="K617" t="s">
        <v>231</v>
      </c>
      <c r="L617" t="s">
        <v>231</v>
      </c>
      <c r="M617" t="s">
        <v>231</v>
      </c>
      <c r="N617" t="s">
        <v>231</v>
      </c>
      <c r="O617" t="s">
        <v>231</v>
      </c>
      <c r="P617" t="s">
        <v>231</v>
      </c>
      <c r="Q617" t="s">
        <v>231</v>
      </c>
      <c r="R617" t="s">
        <v>3522</v>
      </c>
      <c r="S617" t="s">
        <v>231</v>
      </c>
      <c r="T617" t="s">
        <v>231</v>
      </c>
      <c r="U617" t="s">
        <v>101</v>
      </c>
      <c r="V617" t="s">
        <v>231</v>
      </c>
      <c r="W617" t="s">
        <v>231</v>
      </c>
      <c r="X617" t="s">
        <v>3523</v>
      </c>
      <c r="Y617" t="s">
        <v>231</v>
      </c>
      <c r="Z617" t="s">
        <v>160</v>
      </c>
      <c r="AA617" t="s">
        <v>151</v>
      </c>
      <c r="AB617" t="s">
        <v>151</v>
      </c>
      <c r="AC617" t="s">
        <v>2262</v>
      </c>
      <c r="AD617" t="s">
        <v>2262</v>
      </c>
      <c r="AE617" t="s">
        <v>2264</v>
      </c>
      <c r="AF617" t="s">
        <v>3524</v>
      </c>
      <c r="AG617" t="s">
        <v>3525</v>
      </c>
      <c r="AH617" t="s">
        <v>3526</v>
      </c>
      <c r="AI617" t="s">
        <v>3527</v>
      </c>
      <c r="AJ617" t="s">
        <v>3528</v>
      </c>
      <c r="AK617" t="s">
        <v>3529</v>
      </c>
      <c r="AL617" t="s">
        <v>3530</v>
      </c>
      <c r="AM617" t="s">
        <v>3531</v>
      </c>
      <c r="AN617" t="s">
        <v>3532</v>
      </c>
      <c r="AO617" t="s">
        <v>3533</v>
      </c>
      <c r="AP617" t="s">
        <v>231</v>
      </c>
      <c r="AQ617" t="s">
        <v>231</v>
      </c>
      <c r="AR617" t="s">
        <v>231</v>
      </c>
      <c r="AS617" t="s">
        <v>231</v>
      </c>
      <c r="AT617" t="s">
        <v>231</v>
      </c>
      <c r="AU617" t="s">
        <v>231</v>
      </c>
      <c r="AV617" t="s">
        <v>231</v>
      </c>
      <c r="AW617" t="s">
        <v>231</v>
      </c>
      <c r="AX617" t="s">
        <v>231</v>
      </c>
      <c r="AY617" t="s">
        <v>231</v>
      </c>
      <c r="AZ617" t="s">
        <v>231</v>
      </c>
      <c r="BA617" t="s">
        <v>231</v>
      </c>
      <c r="BB617" t="s">
        <v>231</v>
      </c>
      <c r="BC617" t="s">
        <v>231</v>
      </c>
      <c r="BD617" t="s">
        <v>231</v>
      </c>
      <c r="BE617" t="s">
        <v>231</v>
      </c>
      <c r="BF617" t="s">
        <v>231</v>
      </c>
      <c r="BG617" t="s">
        <v>231</v>
      </c>
      <c r="BH617" t="s">
        <v>231</v>
      </c>
      <c r="BI617" t="s">
        <v>231</v>
      </c>
      <c r="BJ617" t="s">
        <v>231</v>
      </c>
      <c r="BK617" t="s">
        <v>231</v>
      </c>
      <c r="BL617" t="s">
        <v>231</v>
      </c>
      <c r="BM617" t="s">
        <v>231</v>
      </c>
      <c r="BN617" t="s">
        <v>231</v>
      </c>
      <c r="BO617" t="s">
        <v>231</v>
      </c>
      <c r="BP617" t="s">
        <v>231</v>
      </c>
      <c r="BQ617" t="s">
        <v>231</v>
      </c>
      <c r="BR617" t="s">
        <v>231</v>
      </c>
      <c r="BS617" t="s">
        <v>231</v>
      </c>
      <c r="BT617" t="s">
        <v>231</v>
      </c>
      <c r="BU617" t="s">
        <v>231</v>
      </c>
      <c r="BV617" t="s">
        <v>231</v>
      </c>
      <c r="BW617" t="s">
        <v>231</v>
      </c>
      <c r="BX617" t="s">
        <v>231</v>
      </c>
      <c r="BY617" t="s">
        <v>231</v>
      </c>
      <c r="BZ617" t="s">
        <v>231</v>
      </c>
      <c r="CA617" t="s">
        <v>231</v>
      </c>
      <c r="CB617" t="s">
        <v>231</v>
      </c>
      <c r="CC617" t="s">
        <v>231</v>
      </c>
      <c r="CD617" t="s">
        <v>231</v>
      </c>
      <c r="CE617" t="s">
        <v>231</v>
      </c>
      <c r="CF617" t="s">
        <v>231</v>
      </c>
      <c r="CG617" t="s">
        <v>231</v>
      </c>
      <c r="CH617" t="s">
        <v>231</v>
      </c>
      <c r="CI617" t="s">
        <v>231</v>
      </c>
      <c r="CJ617" t="s">
        <v>231</v>
      </c>
      <c r="CK617" t="s">
        <v>231</v>
      </c>
      <c r="CL617" t="s">
        <v>231</v>
      </c>
      <c r="CM617" t="s">
        <v>231</v>
      </c>
      <c r="CN617" t="s">
        <v>231</v>
      </c>
      <c r="CO617" t="s">
        <v>231</v>
      </c>
      <c r="CP617" t="s">
        <v>231</v>
      </c>
      <c r="CQ617" t="s">
        <v>231</v>
      </c>
      <c r="CR617" t="s">
        <v>231</v>
      </c>
      <c r="CS617" t="s">
        <v>231</v>
      </c>
      <c r="CT617" t="s">
        <v>3534</v>
      </c>
      <c r="CU617" t="s">
        <v>3535</v>
      </c>
      <c r="CV617" t="s">
        <v>3536</v>
      </c>
      <c r="CW617" t="s">
        <v>3537</v>
      </c>
      <c r="CX617" t="s">
        <v>223</v>
      </c>
      <c r="CY617" t="s">
        <v>3536</v>
      </c>
      <c r="CZ617" t="s">
        <v>3538</v>
      </c>
      <c r="DA617" t="s">
        <v>3539</v>
      </c>
      <c r="DB617" t="s">
        <v>3537</v>
      </c>
      <c r="DC617" t="s">
        <v>363</v>
      </c>
      <c r="DD617" t="s">
        <v>282</v>
      </c>
      <c r="DE617" t="s">
        <v>3540</v>
      </c>
    </row>
    <row r="618" spans="1:109" ht="11.25" customHeight="1">
      <c r="A618" s="1314" t="s">
        <v>231</v>
      </c>
      <c r="B618" t="s">
        <v>231</v>
      </c>
      <c r="C618" t="s">
        <v>231</v>
      </c>
      <c r="D618" t="s">
        <v>231</v>
      </c>
      <c r="E618" t="s">
        <v>231</v>
      </c>
      <c r="F618" t="s">
        <v>231</v>
      </c>
      <c r="G618" t="s">
        <v>231</v>
      </c>
      <c r="H618" t="s">
        <v>231</v>
      </c>
      <c r="I618" t="s">
        <v>3521</v>
      </c>
      <c r="J618" t="s">
        <v>231</v>
      </c>
      <c r="K618" t="s">
        <v>231</v>
      </c>
      <c r="L618" t="s">
        <v>231</v>
      </c>
      <c r="M618" t="s">
        <v>231</v>
      </c>
      <c r="N618" t="s">
        <v>231</v>
      </c>
      <c r="O618" t="s">
        <v>231</v>
      </c>
      <c r="P618" t="s">
        <v>231</v>
      </c>
      <c r="Q618" t="s">
        <v>231</v>
      </c>
      <c r="R618" t="s">
        <v>3863</v>
      </c>
      <c r="S618" t="s">
        <v>231</v>
      </c>
      <c r="T618" t="s">
        <v>231</v>
      </c>
      <c r="U618" t="s">
        <v>101</v>
      </c>
      <c r="V618" t="s">
        <v>231</v>
      </c>
      <c r="W618" t="s">
        <v>231</v>
      </c>
      <c r="X618" t="s">
        <v>3523</v>
      </c>
      <c r="Y618" t="s">
        <v>231</v>
      </c>
      <c r="Z618" t="s">
        <v>160</v>
      </c>
      <c r="AA618" t="s">
        <v>151</v>
      </c>
      <c r="AB618" t="s">
        <v>151</v>
      </c>
      <c r="AC618" t="s">
        <v>2262</v>
      </c>
      <c r="AD618" t="s">
        <v>2262</v>
      </c>
      <c r="AE618" t="s">
        <v>2264</v>
      </c>
      <c r="AF618" t="s">
        <v>3524</v>
      </c>
      <c r="AG618" t="s">
        <v>3525</v>
      </c>
      <c r="AH618" t="s">
        <v>3864</v>
      </c>
      <c r="AI618" t="s">
        <v>3865</v>
      </c>
      <c r="AJ618" t="s">
        <v>3587</v>
      </c>
      <c r="AK618" t="s">
        <v>3866</v>
      </c>
      <c r="AL618" t="s">
        <v>3648</v>
      </c>
      <c r="AM618" t="s">
        <v>3531</v>
      </c>
      <c r="AN618" t="s">
        <v>3867</v>
      </c>
      <c r="AO618" t="s">
        <v>3868</v>
      </c>
      <c r="AP618" t="s">
        <v>231</v>
      </c>
      <c r="AQ618" t="s">
        <v>231</v>
      </c>
      <c r="AR618" t="s">
        <v>231</v>
      </c>
      <c r="AS618" t="s">
        <v>231</v>
      </c>
      <c r="AT618" t="s">
        <v>231</v>
      </c>
      <c r="AU618" t="s">
        <v>231</v>
      </c>
      <c r="AV618" t="s">
        <v>231</v>
      </c>
      <c r="AW618" t="s">
        <v>231</v>
      </c>
      <c r="AX618" t="s">
        <v>231</v>
      </c>
      <c r="AY618" t="s">
        <v>231</v>
      </c>
      <c r="AZ618" t="s">
        <v>231</v>
      </c>
      <c r="BA618" t="s">
        <v>231</v>
      </c>
      <c r="BB618" t="s">
        <v>231</v>
      </c>
      <c r="BC618" t="s">
        <v>231</v>
      </c>
      <c r="BD618" t="s">
        <v>231</v>
      </c>
      <c r="BE618" t="s">
        <v>231</v>
      </c>
      <c r="BF618" t="s">
        <v>231</v>
      </c>
      <c r="BG618" t="s">
        <v>231</v>
      </c>
      <c r="BH618" t="s">
        <v>231</v>
      </c>
      <c r="BI618" t="s">
        <v>231</v>
      </c>
      <c r="BJ618" t="s">
        <v>231</v>
      </c>
      <c r="BK618" t="s">
        <v>231</v>
      </c>
      <c r="BL618" t="s">
        <v>231</v>
      </c>
      <c r="BM618" t="s">
        <v>231</v>
      </c>
      <c r="BN618" t="s">
        <v>231</v>
      </c>
      <c r="BO618" t="s">
        <v>231</v>
      </c>
      <c r="BP618" t="s">
        <v>231</v>
      </c>
      <c r="BQ618" t="s">
        <v>231</v>
      </c>
      <c r="BR618" t="s">
        <v>231</v>
      </c>
      <c r="BS618" t="s">
        <v>231</v>
      </c>
      <c r="BT618" t="s">
        <v>231</v>
      </c>
      <c r="BU618" t="s">
        <v>231</v>
      </c>
      <c r="BV618" t="s">
        <v>231</v>
      </c>
      <c r="BW618" t="s">
        <v>231</v>
      </c>
      <c r="BX618" t="s">
        <v>231</v>
      </c>
      <c r="BY618" t="s">
        <v>231</v>
      </c>
      <c r="BZ618" t="s">
        <v>231</v>
      </c>
      <c r="CA618" t="s">
        <v>231</v>
      </c>
      <c r="CB618" t="s">
        <v>231</v>
      </c>
      <c r="CC618" t="s">
        <v>231</v>
      </c>
      <c r="CD618" t="s">
        <v>231</v>
      </c>
      <c r="CE618" t="s">
        <v>231</v>
      </c>
      <c r="CF618" t="s">
        <v>231</v>
      </c>
      <c r="CG618" t="s">
        <v>231</v>
      </c>
      <c r="CH618" t="s">
        <v>231</v>
      </c>
      <c r="CI618" t="s">
        <v>231</v>
      </c>
      <c r="CJ618" t="s">
        <v>231</v>
      </c>
      <c r="CK618" t="s">
        <v>231</v>
      </c>
      <c r="CL618" t="s">
        <v>231</v>
      </c>
      <c r="CM618" t="s">
        <v>231</v>
      </c>
      <c r="CN618" t="s">
        <v>231</v>
      </c>
      <c r="CO618" t="s">
        <v>231</v>
      </c>
      <c r="CP618" t="s">
        <v>231</v>
      </c>
      <c r="CQ618" t="s">
        <v>231</v>
      </c>
      <c r="CR618" t="s">
        <v>231</v>
      </c>
      <c r="CS618" t="s">
        <v>231</v>
      </c>
      <c r="CT618" t="s">
        <v>3534</v>
      </c>
      <c r="CU618" t="s">
        <v>3535</v>
      </c>
      <c r="CV618" t="s">
        <v>3536</v>
      </c>
      <c r="CW618" t="s">
        <v>3537</v>
      </c>
      <c r="CX618" t="s">
        <v>223</v>
      </c>
      <c r="CY618" t="s">
        <v>3536</v>
      </c>
      <c r="CZ618" t="s">
        <v>3538</v>
      </c>
      <c r="DA618" t="s">
        <v>3539</v>
      </c>
      <c r="DB618" t="s">
        <v>3537</v>
      </c>
      <c r="DC618" t="s">
        <v>363</v>
      </c>
      <c r="DD618" t="s">
        <v>282</v>
      </c>
      <c r="DE618" t="s">
        <v>3869</v>
      </c>
    </row>
    <row r="619" spans="1:109" ht="11.25" customHeight="1">
      <c r="A619" s="1314" t="s">
        <v>231</v>
      </c>
      <c r="B619" t="s">
        <v>231</v>
      </c>
      <c r="C619" t="s">
        <v>231</v>
      </c>
      <c r="D619" t="s">
        <v>231</v>
      </c>
      <c r="E619" t="s">
        <v>231</v>
      </c>
      <c r="F619" t="s">
        <v>231</v>
      </c>
      <c r="G619" t="s">
        <v>231</v>
      </c>
      <c r="H619" t="s">
        <v>231</v>
      </c>
      <c r="I619" t="s">
        <v>3521</v>
      </c>
      <c r="J619" t="s">
        <v>231</v>
      </c>
      <c r="K619" t="s">
        <v>231</v>
      </c>
      <c r="L619" t="s">
        <v>231</v>
      </c>
      <c r="M619" t="s">
        <v>231</v>
      </c>
      <c r="N619" t="s">
        <v>231</v>
      </c>
      <c r="O619" t="s">
        <v>231</v>
      </c>
      <c r="P619" t="s">
        <v>231</v>
      </c>
      <c r="Q619" t="s">
        <v>231</v>
      </c>
      <c r="R619" t="s">
        <v>3945</v>
      </c>
      <c r="S619" t="s">
        <v>231</v>
      </c>
      <c r="T619" t="s">
        <v>231</v>
      </c>
      <c r="U619" t="s">
        <v>101</v>
      </c>
      <c r="V619" t="s">
        <v>231</v>
      </c>
      <c r="W619" t="s">
        <v>231</v>
      </c>
      <c r="X619" t="s">
        <v>3523</v>
      </c>
      <c r="Y619" t="s">
        <v>231</v>
      </c>
      <c r="Z619" t="s">
        <v>160</v>
      </c>
      <c r="AA619" t="s">
        <v>151</v>
      </c>
      <c r="AB619" t="s">
        <v>151</v>
      </c>
      <c r="AC619" t="s">
        <v>2262</v>
      </c>
      <c r="AD619" t="s">
        <v>2262</v>
      </c>
      <c r="AE619" t="s">
        <v>2264</v>
      </c>
      <c r="AF619" t="s">
        <v>3524</v>
      </c>
      <c r="AG619" t="s">
        <v>3525</v>
      </c>
      <c r="AH619" t="s">
        <v>3864</v>
      </c>
      <c r="AI619" t="s">
        <v>3946</v>
      </c>
      <c r="AJ619" t="s">
        <v>3587</v>
      </c>
      <c r="AK619" t="s">
        <v>3641</v>
      </c>
      <c r="AL619" t="s">
        <v>3648</v>
      </c>
      <c r="AM619" t="s">
        <v>3531</v>
      </c>
      <c r="AN619" t="s">
        <v>3549</v>
      </c>
      <c r="AO619" t="s">
        <v>3868</v>
      </c>
      <c r="AP619" t="s">
        <v>231</v>
      </c>
      <c r="AQ619" t="s">
        <v>231</v>
      </c>
      <c r="AR619" t="s">
        <v>231</v>
      </c>
      <c r="AS619" t="s">
        <v>231</v>
      </c>
      <c r="AT619" t="s">
        <v>231</v>
      </c>
      <c r="AU619" t="s">
        <v>231</v>
      </c>
      <c r="AV619" t="s">
        <v>231</v>
      </c>
      <c r="AW619" t="s">
        <v>231</v>
      </c>
      <c r="AX619" t="s">
        <v>231</v>
      </c>
      <c r="AY619" t="s">
        <v>231</v>
      </c>
      <c r="AZ619" t="s">
        <v>231</v>
      </c>
      <c r="BA619" t="s">
        <v>231</v>
      </c>
      <c r="BB619" t="s">
        <v>231</v>
      </c>
      <c r="BC619" t="s">
        <v>231</v>
      </c>
      <c r="BD619" t="s">
        <v>231</v>
      </c>
      <c r="BE619" t="s">
        <v>231</v>
      </c>
      <c r="BF619" t="s">
        <v>231</v>
      </c>
      <c r="BG619" t="s">
        <v>231</v>
      </c>
      <c r="BH619" t="s">
        <v>231</v>
      </c>
      <c r="BI619" t="s">
        <v>231</v>
      </c>
      <c r="BJ619" t="s">
        <v>231</v>
      </c>
      <c r="BK619" t="s">
        <v>231</v>
      </c>
      <c r="BL619" t="s">
        <v>231</v>
      </c>
      <c r="BM619" t="s">
        <v>231</v>
      </c>
      <c r="BN619" t="s">
        <v>231</v>
      </c>
      <c r="BO619" t="s">
        <v>231</v>
      </c>
      <c r="BP619" t="s">
        <v>231</v>
      </c>
      <c r="BQ619" t="s">
        <v>231</v>
      </c>
      <c r="BR619" t="s">
        <v>231</v>
      </c>
      <c r="BS619" t="s">
        <v>231</v>
      </c>
      <c r="BT619" t="s">
        <v>231</v>
      </c>
      <c r="BU619" t="s">
        <v>231</v>
      </c>
      <c r="BV619" t="s">
        <v>231</v>
      </c>
      <c r="BW619" t="s">
        <v>231</v>
      </c>
      <c r="BX619" t="s">
        <v>231</v>
      </c>
      <c r="BY619" t="s">
        <v>231</v>
      </c>
      <c r="BZ619" t="s">
        <v>231</v>
      </c>
      <c r="CA619" t="s">
        <v>231</v>
      </c>
      <c r="CB619" t="s">
        <v>231</v>
      </c>
      <c r="CC619" t="s">
        <v>231</v>
      </c>
      <c r="CD619" t="s">
        <v>231</v>
      </c>
      <c r="CE619" t="s">
        <v>231</v>
      </c>
      <c r="CF619" t="s">
        <v>231</v>
      </c>
      <c r="CG619" t="s">
        <v>231</v>
      </c>
      <c r="CH619" t="s">
        <v>231</v>
      </c>
      <c r="CI619" t="s">
        <v>231</v>
      </c>
      <c r="CJ619" t="s">
        <v>231</v>
      </c>
      <c r="CK619" t="s">
        <v>231</v>
      </c>
      <c r="CL619" t="s">
        <v>231</v>
      </c>
      <c r="CM619" t="s">
        <v>231</v>
      </c>
      <c r="CN619" t="s">
        <v>231</v>
      </c>
      <c r="CO619" t="s">
        <v>231</v>
      </c>
      <c r="CP619" t="s">
        <v>231</v>
      </c>
      <c r="CQ619" t="s">
        <v>231</v>
      </c>
      <c r="CR619" t="s">
        <v>231</v>
      </c>
      <c r="CS619" t="s">
        <v>231</v>
      </c>
      <c r="CT619" t="s">
        <v>3534</v>
      </c>
      <c r="CU619" t="s">
        <v>3535</v>
      </c>
      <c r="CV619" t="s">
        <v>3536</v>
      </c>
      <c r="CW619" t="s">
        <v>3537</v>
      </c>
      <c r="CX619" t="s">
        <v>223</v>
      </c>
      <c r="CY619" t="s">
        <v>3536</v>
      </c>
      <c r="CZ619" t="s">
        <v>3538</v>
      </c>
      <c r="DA619" t="s">
        <v>3539</v>
      </c>
      <c r="DB619" t="s">
        <v>3537</v>
      </c>
      <c r="DC619" t="s">
        <v>363</v>
      </c>
      <c r="DD619" t="s">
        <v>282</v>
      </c>
      <c r="DE619" t="s">
        <v>3947</v>
      </c>
    </row>
    <row r="620" spans="1:109" ht="11.25" customHeight="1">
      <c r="A620" s="1314" t="s">
        <v>231</v>
      </c>
      <c r="B620" t="s">
        <v>231</v>
      </c>
      <c r="C620" t="s">
        <v>231</v>
      </c>
      <c r="D620" t="s">
        <v>231</v>
      </c>
      <c r="E620" t="s">
        <v>231</v>
      </c>
      <c r="F620" t="s">
        <v>231</v>
      </c>
      <c r="G620" t="s">
        <v>231</v>
      </c>
      <c r="H620" t="s">
        <v>231</v>
      </c>
      <c r="I620" t="s">
        <v>3521</v>
      </c>
      <c r="J620" t="s">
        <v>231</v>
      </c>
      <c r="K620" t="s">
        <v>231</v>
      </c>
      <c r="L620" t="s">
        <v>231</v>
      </c>
      <c r="M620" t="s">
        <v>231</v>
      </c>
      <c r="N620" t="s">
        <v>231</v>
      </c>
      <c r="O620" t="s">
        <v>231</v>
      </c>
      <c r="P620" t="s">
        <v>231</v>
      </c>
      <c r="Q620" t="s">
        <v>231</v>
      </c>
      <c r="R620" t="s">
        <v>3685</v>
      </c>
      <c r="S620" t="s">
        <v>231</v>
      </c>
      <c r="T620" t="s">
        <v>231</v>
      </c>
      <c r="U620" t="s">
        <v>101</v>
      </c>
      <c r="V620" t="s">
        <v>231</v>
      </c>
      <c r="W620" t="s">
        <v>231</v>
      </c>
      <c r="X620" t="s">
        <v>3628</v>
      </c>
      <c r="Y620" t="s">
        <v>231</v>
      </c>
      <c r="Z620" t="s">
        <v>151</v>
      </c>
      <c r="AA620" t="s">
        <v>151</v>
      </c>
      <c r="AB620" t="s">
        <v>160</v>
      </c>
      <c r="AC620" t="s">
        <v>2283</v>
      </c>
      <c r="AD620" t="s">
        <v>2283</v>
      </c>
      <c r="AE620" t="s">
        <v>2284</v>
      </c>
      <c r="AF620" t="s">
        <v>4676</v>
      </c>
      <c r="AG620" t="s">
        <v>4677</v>
      </c>
      <c r="AH620" t="s">
        <v>4379</v>
      </c>
      <c r="AI620" t="s">
        <v>4825</v>
      </c>
      <c r="AJ620" t="s">
        <v>231</v>
      </c>
      <c r="AK620" t="s">
        <v>231</v>
      </c>
      <c r="AL620" t="s">
        <v>231</v>
      </c>
      <c r="AM620" t="s">
        <v>231</v>
      </c>
      <c r="AN620" t="s">
        <v>231</v>
      </c>
      <c r="AO620" t="s">
        <v>231</v>
      </c>
      <c r="AP620" t="s">
        <v>231</v>
      </c>
      <c r="AQ620" t="s">
        <v>231</v>
      </c>
      <c r="AR620" t="s">
        <v>231</v>
      </c>
      <c r="AS620" t="s">
        <v>231</v>
      </c>
      <c r="AT620" t="s">
        <v>231</v>
      </c>
      <c r="AU620" t="s">
        <v>231</v>
      </c>
      <c r="AV620" t="s">
        <v>231</v>
      </c>
      <c r="AW620" t="s">
        <v>231</v>
      </c>
      <c r="AX620" t="s">
        <v>231</v>
      </c>
      <c r="AY620" t="s">
        <v>231</v>
      </c>
      <c r="AZ620" t="s">
        <v>231</v>
      </c>
      <c r="BA620" t="s">
        <v>231</v>
      </c>
      <c r="BB620" t="s">
        <v>231</v>
      </c>
      <c r="BC620" t="s">
        <v>231</v>
      </c>
      <c r="BD620" t="s">
        <v>231</v>
      </c>
      <c r="BE620" t="s">
        <v>3689</v>
      </c>
      <c r="BF620" t="s">
        <v>3689</v>
      </c>
      <c r="BG620" t="s">
        <v>111</v>
      </c>
      <c r="BH620" t="s">
        <v>3632</v>
      </c>
      <c r="BI620" t="s">
        <v>122</v>
      </c>
      <c r="BJ620" t="s">
        <v>231</v>
      </c>
      <c r="BK620" t="s">
        <v>3651</v>
      </c>
      <c r="BL620" t="s">
        <v>2283</v>
      </c>
      <c r="BM620" t="s">
        <v>2283</v>
      </c>
      <c r="BN620" t="s">
        <v>3690</v>
      </c>
      <c r="BO620" t="s">
        <v>4676</v>
      </c>
      <c r="BP620" t="s">
        <v>4826</v>
      </c>
      <c r="BQ620" t="s">
        <v>4382</v>
      </c>
      <c r="BR620" t="s">
        <v>4383</v>
      </c>
      <c r="BS620" t="s">
        <v>231</v>
      </c>
      <c r="BT620" t="s">
        <v>3694</v>
      </c>
      <c r="BU620" t="s">
        <v>4827</v>
      </c>
      <c r="BV620" t="s">
        <v>4827</v>
      </c>
      <c r="BW620" t="s">
        <v>3641</v>
      </c>
      <c r="BX620" t="s">
        <v>3641</v>
      </c>
      <c r="BY620" t="s">
        <v>3641</v>
      </c>
      <c r="BZ620" t="s">
        <v>3641</v>
      </c>
      <c r="CA620" t="s">
        <v>3641</v>
      </c>
      <c r="CB620" t="s">
        <v>231</v>
      </c>
      <c r="CC620" t="s">
        <v>231</v>
      </c>
      <c r="CD620" t="s">
        <v>231</v>
      </c>
      <c r="CE620" t="s">
        <v>231</v>
      </c>
      <c r="CF620" t="s">
        <v>231</v>
      </c>
      <c r="CG620" t="s">
        <v>3641</v>
      </c>
      <c r="CH620" t="s">
        <v>231</v>
      </c>
      <c r="CI620" t="s">
        <v>231</v>
      </c>
      <c r="CJ620" t="s">
        <v>231</v>
      </c>
      <c r="CK620" t="s">
        <v>231</v>
      </c>
      <c r="CL620" t="s">
        <v>231</v>
      </c>
      <c r="CM620" t="s">
        <v>4827</v>
      </c>
      <c r="CN620" t="s">
        <v>4827</v>
      </c>
      <c r="CO620" t="s">
        <v>231</v>
      </c>
      <c r="CP620" t="s">
        <v>231</v>
      </c>
      <c r="CQ620" t="s">
        <v>231</v>
      </c>
      <c r="CR620" t="s">
        <v>231</v>
      </c>
      <c r="CS620" t="s">
        <v>3549</v>
      </c>
      <c r="CT620" t="s">
        <v>3534</v>
      </c>
      <c r="CU620" t="s">
        <v>3535</v>
      </c>
      <c r="CV620" t="s">
        <v>3536</v>
      </c>
      <c r="CW620" t="s">
        <v>3551</v>
      </c>
      <c r="CX620" t="s">
        <v>223</v>
      </c>
      <c r="CY620" t="s">
        <v>3536</v>
      </c>
      <c r="CZ620" t="s">
        <v>3552</v>
      </c>
      <c r="DA620" t="s">
        <v>3553</v>
      </c>
      <c r="DB620" t="s">
        <v>3551</v>
      </c>
      <c r="DC620" t="s">
        <v>363</v>
      </c>
      <c r="DD620" t="s">
        <v>282</v>
      </c>
      <c r="DE620" t="s">
        <v>4828</v>
      </c>
    </row>
    <row r="621" spans="1:109" ht="11.25" customHeight="1">
      <c r="A621" s="1314" t="s">
        <v>231</v>
      </c>
      <c r="B621" t="s">
        <v>231</v>
      </c>
      <c r="C621" t="s">
        <v>231</v>
      </c>
      <c r="D621" t="s">
        <v>231</v>
      </c>
      <c r="E621" t="s">
        <v>231</v>
      </c>
      <c r="F621" t="s">
        <v>231</v>
      </c>
      <c r="G621" t="s">
        <v>231</v>
      </c>
      <c r="H621" t="s">
        <v>231</v>
      </c>
      <c r="I621" t="s">
        <v>3521</v>
      </c>
      <c r="J621" t="s">
        <v>231</v>
      </c>
      <c r="K621" t="s">
        <v>231</v>
      </c>
      <c r="L621" t="s">
        <v>231</v>
      </c>
      <c r="M621" t="s">
        <v>231</v>
      </c>
      <c r="N621" t="s">
        <v>231</v>
      </c>
      <c r="O621" t="s">
        <v>231</v>
      </c>
      <c r="P621" t="s">
        <v>231</v>
      </c>
      <c r="Q621" t="s">
        <v>231</v>
      </c>
      <c r="R621" t="s">
        <v>3798</v>
      </c>
      <c r="S621" t="s">
        <v>231</v>
      </c>
      <c r="T621" t="s">
        <v>231</v>
      </c>
      <c r="U621" t="s">
        <v>101</v>
      </c>
      <c r="V621" t="s">
        <v>231</v>
      </c>
      <c r="W621" t="s">
        <v>231</v>
      </c>
      <c r="X621" t="s">
        <v>3523</v>
      </c>
      <c r="Y621" t="s">
        <v>231</v>
      </c>
      <c r="Z621" t="s">
        <v>160</v>
      </c>
      <c r="AA621" t="s">
        <v>151</v>
      </c>
      <c r="AB621" t="s">
        <v>151</v>
      </c>
      <c r="AC621" t="s">
        <v>2289</v>
      </c>
      <c r="AD621" t="s">
        <v>2289</v>
      </c>
      <c r="AE621" t="s">
        <v>2290</v>
      </c>
      <c r="AF621" t="s">
        <v>3793</v>
      </c>
      <c r="AG621" t="s">
        <v>3794</v>
      </c>
      <c r="AH621" t="s">
        <v>3799</v>
      </c>
      <c r="AI621" t="s">
        <v>3593</v>
      </c>
      <c r="AJ621" t="s">
        <v>3546</v>
      </c>
      <c r="AK621" t="s">
        <v>3800</v>
      </c>
      <c r="AL621" t="s">
        <v>3548</v>
      </c>
      <c r="AM621" t="s">
        <v>3531</v>
      </c>
      <c r="AN621" t="s">
        <v>3595</v>
      </c>
      <c r="AO621" t="s">
        <v>3801</v>
      </c>
      <c r="AP621" t="s">
        <v>231</v>
      </c>
      <c r="AQ621" t="s">
        <v>231</v>
      </c>
      <c r="AR621" t="s">
        <v>231</v>
      </c>
      <c r="AS621" t="s">
        <v>231</v>
      </c>
      <c r="AT621" t="s">
        <v>231</v>
      </c>
      <c r="AU621" t="s">
        <v>231</v>
      </c>
      <c r="AV621" t="s">
        <v>231</v>
      </c>
      <c r="AW621" t="s">
        <v>231</v>
      </c>
      <c r="AX621" t="s">
        <v>231</v>
      </c>
      <c r="AY621" t="s">
        <v>231</v>
      </c>
      <c r="AZ621" t="s">
        <v>231</v>
      </c>
      <c r="BA621" t="s">
        <v>231</v>
      </c>
      <c r="BB621" t="s">
        <v>231</v>
      </c>
      <c r="BC621" t="s">
        <v>231</v>
      </c>
      <c r="BD621" t="s">
        <v>231</v>
      </c>
      <c r="BE621" t="s">
        <v>231</v>
      </c>
      <c r="BF621" t="s">
        <v>231</v>
      </c>
      <c r="BG621" t="s">
        <v>231</v>
      </c>
      <c r="BH621" t="s">
        <v>231</v>
      </c>
      <c r="BI621" t="s">
        <v>231</v>
      </c>
      <c r="BJ621" t="s">
        <v>231</v>
      </c>
      <c r="BK621" t="s">
        <v>231</v>
      </c>
      <c r="BL621" t="s">
        <v>231</v>
      </c>
      <c r="BM621" t="s">
        <v>231</v>
      </c>
      <c r="BN621" t="s">
        <v>231</v>
      </c>
      <c r="BO621" t="s">
        <v>231</v>
      </c>
      <c r="BP621" t="s">
        <v>231</v>
      </c>
      <c r="BQ621" t="s">
        <v>231</v>
      </c>
      <c r="BR621" t="s">
        <v>231</v>
      </c>
      <c r="BS621" t="s">
        <v>231</v>
      </c>
      <c r="BT621" t="s">
        <v>231</v>
      </c>
      <c r="BU621" t="s">
        <v>231</v>
      </c>
      <c r="BV621" t="s">
        <v>231</v>
      </c>
      <c r="BW621" t="s">
        <v>231</v>
      </c>
      <c r="BX621" t="s">
        <v>231</v>
      </c>
      <c r="BY621" t="s">
        <v>231</v>
      </c>
      <c r="BZ621" t="s">
        <v>231</v>
      </c>
      <c r="CA621" t="s">
        <v>231</v>
      </c>
      <c r="CB621" t="s">
        <v>231</v>
      </c>
      <c r="CC621" t="s">
        <v>231</v>
      </c>
      <c r="CD621" t="s">
        <v>231</v>
      </c>
      <c r="CE621" t="s">
        <v>231</v>
      </c>
      <c r="CF621" t="s">
        <v>231</v>
      </c>
      <c r="CG621" t="s">
        <v>231</v>
      </c>
      <c r="CH621" t="s">
        <v>231</v>
      </c>
      <c r="CI621" t="s">
        <v>231</v>
      </c>
      <c r="CJ621" t="s">
        <v>231</v>
      </c>
      <c r="CK621" t="s">
        <v>231</v>
      </c>
      <c r="CL621" t="s">
        <v>231</v>
      </c>
      <c r="CM621" t="s">
        <v>231</v>
      </c>
      <c r="CN621" t="s">
        <v>231</v>
      </c>
      <c r="CO621" t="s">
        <v>231</v>
      </c>
      <c r="CP621" t="s">
        <v>231</v>
      </c>
      <c r="CQ621" t="s">
        <v>231</v>
      </c>
      <c r="CR621" t="s">
        <v>231</v>
      </c>
      <c r="CS621" t="s">
        <v>231</v>
      </c>
      <c r="CT621" t="s">
        <v>3534</v>
      </c>
      <c r="CU621" t="s">
        <v>3535</v>
      </c>
      <c r="CV621" t="s">
        <v>3536</v>
      </c>
      <c r="CW621" t="s">
        <v>3589</v>
      </c>
      <c r="CX621" t="s">
        <v>223</v>
      </c>
      <c r="CY621" t="s">
        <v>3536</v>
      </c>
      <c r="CZ621" t="s">
        <v>3590</v>
      </c>
      <c r="DA621" t="s">
        <v>3591</v>
      </c>
      <c r="DB621" t="s">
        <v>3589</v>
      </c>
      <c r="DC621" t="s">
        <v>363</v>
      </c>
      <c r="DD621" t="s">
        <v>282</v>
      </c>
      <c r="DE621" t="s">
        <v>3802</v>
      </c>
    </row>
    <row r="622" spans="1:109" ht="11.25" customHeight="1">
      <c r="A622" s="1314" t="s">
        <v>231</v>
      </c>
      <c r="B622" t="s">
        <v>231</v>
      </c>
      <c r="C622" t="s">
        <v>231</v>
      </c>
      <c r="D622" t="s">
        <v>231</v>
      </c>
      <c r="E622" t="s">
        <v>231</v>
      </c>
      <c r="F622" t="s">
        <v>231</v>
      </c>
      <c r="G622" t="s">
        <v>231</v>
      </c>
      <c r="H622" t="s">
        <v>231</v>
      </c>
      <c r="I622" t="s">
        <v>3521</v>
      </c>
      <c r="J622" t="s">
        <v>231</v>
      </c>
      <c r="K622" t="s">
        <v>231</v>
      </c>
      <c r="L622" t="s">
        <v>231</v>
      </c>
      <c r="M622" t="s">
        <v>231</v>
      </c>
      <c r="N622" t="s">
        <v>231</v>
      </c>
      <c r="O622" t="s">
        <v>231</v>
      </c>
      <c r="P622" t="s">
        <v>231</v>
      </c>
      <c r="Q622" t="s">
        <v>231</v>
      </c>
      <c r="R622" t="s">
        <v>3810</v>
      </c>
      <c r="S622" t="s">
        <v>231</v>
      </c>
      <c r="T622" t="s">
        <v>231</v>
      </c>
      <c r="U622" t="s">
        <v>101</v>
      </c>
      <c r="V622" t="s">
        <v>231</v>
      </c>
      <c r="W622" t="s">
        <v>231</v>
      </c>
      <c r="X622" t="s">
        <v>3523</v>
      </c>
      <c r="Y622" t="s">
        <v>231</v>
      </c>
      <c r="Z622" t="s">
        <v>160</v>
      </c>
      <c r="AA622" t="s">
        <v>151</v>
      </c>
      <c r="AB622" t="s">
        <v>151</v>
      </c>
      <c r="AC622" t="s">
        <v>2289</v>
      </c>
      <c r="AD622" t="s">
        <v>2289</v>
      </c>
      <c r="AE622" t="s">
        <v>2290</v>
      </c>
      <c r="AF622" t="s">
        <v>3793</v>
      </c>
      <c r="AG622" t="s">
        <v>3794</v>
      </c>
      <c r="AH622" t="s">
        <v>3811</v>
      </c>
      <c r="AI622" t="s">
        <v>3618</v>
      </c>
      <c r="AJ622" t="s">
        <v>3621</v>
      </c>
      <c r="AK622" t="s">
        <v>3587</v>
      </c>
      <c r="AL622" t="s">
        <v>3548</v>
      </c>
      <c r="AM622" t="s">
        <v>3531</v>
      </c>
      <c r="AN622" t="s">
        <v>3595</v>
      </c>
      <c r="AO622" t="s">
        <v>3812</v>
      </c>
      <c r="AP622" t="s">
        <v>231</v>
      </c>
      <c r="AQ622" t="s">
        <v>231</v>
      </c>
      <c r="AR622" t="s">
        <v>231</v>
      </c>
      <c r="AS622" t="s">
        <v>231</v>
      </c>
      <c r="AT622" t="s">
        <v>231</v>
      </c>
      <c r="AU622" t="s">
        <v>231</v>
      </c>
      <c r="AV622" t="s">
        <v>231</v>
      </c>
      <c r="AW622" t="s">
        <v>231</v>
      </c>
      <c r="AX622" t="s">
        <v>231</v>
      </c>
      <c r="AY622" t="s">
        <v>231</v>
      </c>
      <c r="AZ622" t="s">
        <v>231</v>
      </c>
      <c r="BA622" t="s">
        <v>231</v>
      </c>
      <c r="BB622" t="s">
        <v>231</v>
      </c>
      <c r="BC622" t="s">
        <v>231</v>
      </c>
      <c r="BD622" t="s">
        <v>231</v>
      </c>
      <c r="BE622" t="s">
        <v>231</v>
      </c>
      <c r="BF622" t="s">
        <v>231</v>
      </c>
      <c r="BG622" t="s">
        <v>231</v>
      </c>
      <c r="BH622" t="s">
        <v>231</v>
      </c>
      <c r="BI622" t="s">
        <v>231</v>
      </c>
      <c r="BJ622" t="s">
        <v>231</v>
      </c>
      <c r="BK622" t="s">
        <v>231</v>
      </c>
      <c r="BL622" t="s">
        <v>231</v>
      </c>
      <c r="BM622" t="s">
        <v>231</v>
      </c>
      <c r="BN622" t="s">
        <v>231</v>
      </c>
      <c r="BO622" t="s">
        <v>231</v>
      </c>
      <c r="BP622" t="s">
        <v>231</v>
      </c>
      <c r="BQ622" t="s">
        <v>231</v>
      </c>
      <c r="BR622" t="s">
        <v>231</v>
      </c>
      <c r="BS622" t="s">
        <v>231</v>
      </c>
      <c r="BT622" t="s">
        <v>231</v>
      </c>
      <c r="BU622" t="s">
        <v>231</v>
      </c>
      <c r="BV622" t="s">
        <v>231</v>
      </c>
      <c r="BW622" t="s">
        <v>231</v>
      </c>
      <c r="BX622" t="s">
        <v>231</v>
      </c>
      <c r="BY622" t="s">
        <v>231</v>
      </c>
      <c r="BZ622" t="s">
        <v>231</v>
      </c>
      <c r="CA622" t="s">
        <v>231</v>
      </c>
      <c r="CB622" t="s">
        <v>231</v>
      </c>
      <c r="CC622" t="s">
        <v>231</v>
      </c>
      <c r="CD622" t="s">
        <v>231</v>
      </c>
      <c r="CE622" t="s">
        <v>231</v>
      </c>
      <c r="CF622" t="s">
        <v>231</v>
      </c>
      <c r="CG622" t="s">
        <v>231</v>
      </c>
      <c r="CH622" t="s">
        <v>231</v>
      </c>
      <c r="CI622" t="s">
        <v>231</v>
      </c>
      <c r="CJ622" t="s">
        <v>231</v>
      </c>
      <c r="CK622" t="s">
        <v>231</v>
      </c>
      <c r="CL622" t="s">
        <v>231</v>
      </c>
      <c r="CM622" t="s">
        <v>231</v>
      </c>
      <c r="CN622" t="s">
        <v>231</v>
      </c>
      <c r="CO622" t="s">
        <v>231</v>
      </c>
      <c r="CP622" t="s">
        <v>231</v>
      </c>
      <c r="CQ622" t="s">
        <v>231</v>
      </c>
      <c r="CR622" t="s">
        <v>231</v>
      </c>
      <c r="CS622" t="s">
        <v>231</v>
      </c>
      <c r="CT622" t="s">
        <v>3534</v>
      </c>
      <c r="CU622" t="s">
        <v>3535</v>
      </c>
      <c r="CV622" t="s">
        <v>3536</v>
      </c>
      <c r="CW622" t="s">
        <v>3589</v>
      </c>
      <c r="CX622" t="s">
        <v>223</v>
      </c>
      <c r="CY622" t="s">
        <v>3536</v>
      </c>
      <c r="CZ622" t="s">
        <v>3590</v>
      </c>
      <c r="DA622" t="s">
        <v>3591</v>
      </c>
      <c r="DB622" t="s">
        <v>3589</v>
      </c>
      <c r="DC622" t="s">
        <v>363</v>
      </c>
      <c r="DD622" t="s">
        <v>282</v>
      </c>
      <c r="DE622" t="s">
        <v>3813</v>
      </c>
    </row>
    <row r="623" spans="1:109" ht="11.25" customHeight="1">
      <c r="A623" s="1314" t="s">
        <v>231</v>
      </c>
      <c r="B623" t="s">
        <v>231</v>
      </c>
      <c r="C623" t="s">
        <v>231</v>
      </c>
      <c r="D623" t="s">
        <v>231</v>
      </c>
      <c r="E623" t="s">
        <v>231</v>
      </c>
      <c r="F623" t="s">
        <v>231</v>
      </c>
      <c r="G623" t="s">
        <v>231</v>
      </c>
      <c r="H623" t="s">
        <v>231</v>
      </c>
      <c r="I623" t="s">
        <v>3521</v>
      </c>
      <c r="J623" t="s">
        <v>231</v>
      </c>
      <c r="K623" t="s">
        <v>231</v>
      </c>
      <c r="L623" t="s">
        <v>231</v>
      </c>
      <c r="M623" t="s">
        <v>231</v>
      </c>
      <c r="N623" t="s">
        <v>231</v>
      </c>
      <c r="O623" t="s">
        <v>231</v>
      </c>
      <c r="P623" t="s">
        <v>231</v>
      </c>
      <c r="Q623" t="s">
        <v>231</v>
      </c>
      <c r="R623" t="s">
        <v>3815</v>
      </c>
      <c r="S623" t="s">
        <v>231</v>
      </c>
      <c r="T623" t="s">
        <v>231</v>
      </c>
      <c r="U623" t="s">
        <v>101</v>
      </c>
      <c r="V623" t="s">
        <v>231</v>
      </c>
      <c r="W623" t="s">
        <v>231</v>
      </c>
      <c r="X623" t="s">
        <v>3523</v>
      </c>
      <c r="Y623" t="s">
        <v>231</v>
      </c>
      <c r="Z623" t="s">
        <v>160</v>
      </c>
      <c r="AA623" t="s">
        <v>151</v>
      </c>
      <c r="AB623" t="s">
        <v>151</v>
      </c>
      <c r="AC623" t="s">
        <v>2289</v>
      </c>
      <c r="AD623" t="s">
        <v>2289</v>
      </c>
      <c r="AE623" t="s">
        <v>2290</v>
      </c>
      <c r="AF623" t="s">
        <v>3816</v>
      </c>
      <c r="AG623" t="s">
        <v>3817</v>
      </c>
      <c r="AH623" t="s">
        <v>3818</v>
      </c>
      <c r="AI623" t="s">
        <v>3819</v>
      </c>
      <c r="AJ623" t="s">
        <v>3546</v>
      </c>
      <c r="AK623" t="s">
        <v>3820</v>
      </c>
      <c r="AL623" t="s">
        <v>3548</v>
      </c>
      <c r="AM623" t="s">
        <v>3531</v>
      </c>
      <c r="AN623" t="s">
        <v>3587</v>
      </c>
      <c r="AO623" t="s">
        <v>3821</v>
      </c>
      <c r="AP623" t="s">
        <v>231</v>
      </c>
      <c r="AQ623" t="s">
        <v>231</v>
      </c>
      <c r="AR623" t="s">
        <v>231</v>
      </c>
      <c r="AS623" t="s">
        <v>231</v>
      </c>
      <c r="AT623" t="s">
        <v>231</v>
      </c>
      <c r="AU623" t="s">
        <v>231</v>
      </c>
      <c r="AV623" t="s">
        <v>231</v>
      </c>
      <c r="AW623" t="s">
        <v>231</v>
      </c>
      <c r="AX623" t="s">
        <v>231</v>
      </c>
      <c r="AY623" t="s">
        <v>231</v>
      </c>
      <c r="AZ623" t="s">
        <v>231</v>
      </c>
      <c r="BA623" t="s">
        <v>231</v>
      </c>
      <c r="BB623" t="s">
        <v>231</v>
      </c>
      <c r="BC623" t="s">
        <v>231</v>
      </c>
      <c r="BD623" t="s">
        <v>231</v>
      </c>
      <c r="BE623" t="s">
        <v>231</v>
      </c>
      <c r="BF623" t="s">
        <v>231</v>
      </c>
      <c r="BG623" t="s">
        <v>231</v>
      </c>
      <c r="BH623" t="s">
        <v>231</v>
      </c>
      <c r="BI623" t="s">
        <v>231</v>
      </c>
      <c r="BJ623" t="s">
        <v>231</v>
      </c>
      <c r="BK623" t="s">
        <v>231</v>
      </c>
      <c r="BL623" t="s">
        <v>231</v>
      </c>
      <c r="BM623" t="s">
        <v>231</v>
      </c>
      <c r="BN623" t="s">
        <v>231</v>
      </c>
      <c r="BO623" t="s">
        <v>231</v>
      </c>
      <c r="BP623" t="s">
        <v>231</v>
      </c>
      <c r="BQ623" t="s">
        <v>231</v>
      </c>
      <c r="BR623" t="s">
        <v>231</v>
      </c>
      <c r="BS623" t="s">
        <v>231</v>
      </c>
      <c r="BT623" t="s">
        <v>231</v>
      </c>
      <c r="BU623" t="s">
        <v>231</v>
      </c>
      <c r="BV623" t="s">
        <v>231</v>
      </c>
      <c r="BW623" t="s">
        <v>231</v>
      </c>
      <c r="BX623" t="s">
        <v>231</v>
      </c>
      <c r="BY623" t="s">
        <v>231</v>
      </c>
      <c r="BZ623" t="s">
        <v>231</v>
      </c>
      <c r="CA623" t="s">
        <v>231</v>
      </c>
      <c r="CB623" t="s">
        <v>231</v>
      </c>
      <c r="CC623" t="s">
        <v>231</v>
      </c>
      <c r="CD623" t="s">
        <v>231</v>
      </c>
      <c r="CE623" t="s">
        <v>231</v>
      </c>
      <c r="CF623" t="s">
        <v>231</v>
      </c>
      <c r="CG623" t="s">
        <v>231</v>
      </c>
      <c r="CH623" t="s">
        <v>231</v>
      </c>
      <c r="CI623" t="s">
        <v>231</v>
      </c>
      <c r="CJ623" t="s">
        <v>231</v>
      </c>
      <c r="CK623" t="s">
        <v>231</v>
      </c>
      <c r="CL623" t="s">
        <v>231</v>
      </c>
      <c r="CM623" t="s">
        <v>231</v>
      </c>
      <c r="CN623" t="s">
        <v>231</v>
      </c>
      <c r="CO623" t="s">
        <v>231</v>
      </c>
      <c r="CP623" t="s">
        <v>231</v>
      </c>
      <c r="CQ623" t="s">
        <v>231</v>
      </c>
      <c r="CR623" t="s">
        <v>231</v>
      </c>
      <c r="CS623" t="s">
        <v>231</v>
      </c>
      <c r="CT623" t="s">
        <v>3534</v>
      </c>
      <c r="CU623" t="s">
        <v>3535</v>
      </c>
      <c r="CV623" t="s">
        <v>3536</v>
      </c>
      <c r="CW623" t="s">
        <v>3589</v>
      </c>
      <c r="CX623" t="s">
        <v>223</v>
      </c>
      <c r="CY623" t="s">
        <v>3536</v>
      </c>
      <c r="CZ623" t="s">
        <v>3590</v>
      </c>
      <c r="DA623" t="s">
        <v>3591</v>
      </c>
      <c r="DB623" t="s">
        <v>3589</v>
      </c>
      <c r="DC623" t="s">
        <v>363</v>
      </c>
      <c r="DD623" t="s">
        <v>282</v>
      </c>
      <c r="DE623" t="s">
        <v>3822</v>
      </c>
    </row>
    <row r="624" spans="1:109" ht="11.25" customHeight="1">
      <c r="A624" s="1314" t="s">
        <v>231</v>
      </c>
      <c r="B624" t="s">
        <v>231</v>
      </c>
      <c r="C624" t="s">
        <v>231</v>
      </c>
      <c r="D624" t="s">
        <v>231</v>
      </c>
      <c r="E624" t="s">
        <v>231</v>
      </c>
      <c r="F624" t="s">
        <v>231</v>
      </c>
      <c r="G624" t="s">
        <v>231</v>
      </c>
      <c r="H624" t="s">
        <v>231</v>
      </c>
      <c r="I624" t="s">
        <v>3521</v>
      </c>
      <c r="J624" t="s">
        <v>231</v>
      </c>
      <c r="K624" t="s">
        <v>231</v>
      </c>
      <c r="L624" t="s">
        <v>231</v>
      </c>
      <c r="M624" t="s">
        <v>231</v>
      </c>
      <c r="N624" t="s">
        <v>231</v>
      </c>
      <c r="O624" t="s">
        <v>231</v>
      </c>
      <c r="P624" t="s">
        <v>231</v>
      </c>
      <c r="Q624" t="s">
        <v>231</v>
      </c>
      <c r="R624" t="s">
        <v>3828</v>
      </c>
      <c r="S624" t="s">
        <v>231</v>
      </c>
      <c r="T624" t="s">
        <v>231</v>
      </c>
      <c r="U624" t="s">
        <v>101</v>
      </c>
      <c r="V624" t="s">
        <v>231</v>
      </c>
      <c r="W624" t="s">
        <v>231</v>
      </c>
      <c r="X624" t="s">
        <v>3523</v>
      </c>
      <c r="Y624" t="s">
        <v>231</v>
      </c>
      <c r="Z624" t="s">
        <v>160</v>
      </c>
      <c r="AA624" t="s">
        <v>151</v>
      </c>
      <c r="AB624" t="s">
        <v>151</v>
      </c>
      <c r="AC624" t="s">
        <v>2289</v>
      </c>
      <c r="AD624" t="s">
        <v>2289</v>
      </c>
      <c r="AE624" t="s">
        <v>2290</v>
      </c>
      <c r="AF624" t="s">
        <v>3816</v>
      </c>
      <c r="AG624" t="s">
        <v>3817</v>
      </c>
      <c r="AH624" t="s">
        <v>3818</v>
      </c>
      <c r="AI624" t="s">
        <v>3829</v>
      </c>
      <c r="AJ624" t="s">
        <v>3546</v>
      </c>
      <c r="AK624" t="s">
        <v>3820</v>
      </c>
      <c r="AL624" t="s">
        <v>3548</v>
      </c>
      <c r="AM624" t="s">
        <v>3531</v>
      </c>
      <c r="AN624" t="s">
        <v>3595</v>
      </c>
      <c r="AO624" t="s">
        <v>3830</v>
      </c>
      <c r="AP624" t="s">
        <v>231</v>
      </c>
      <c r="AQ624" t="s">
        <v>231</v>
      </c>
      <c r="AR624" t="s">
        <v>231</v>
      </c>
      <c r="AS624" t="s">
        <v>231</v>
      </c>
      <c r="AT624" t="s">
        <v>231</v>
      </c>
      <c r="AU624" t="s">
        <v>231</v>
      </c>
      <c r="AV624" t="s">
        <v>231</v>
      </c>
      <c r="AW624" t="s">
        <v>231</v>
      </c>
      <c r="AX624" t="s">
        <v>231</v>
      </c>
      <c r="AY624" t="s">
        <v>231</v>
      </c>
      <c r="AZ624" t="s">
        <v>231</v>
      </c>
      <c r="BA624" t="s">
        <v>231</v>
      </c>
      <c r="BB624" t="s">
        <v>231</v>
      </c>
      <c r="BC624" t="s">
        <v>231</v>
      </c>
      <c r="BD624" t="s">
        <v>231</v>
      </c>
      <c r="BE624" t="s">
        <v>231</v>
      </c>
      <c r="BF624" t="s">
        <v>231</v>
      </c>
      <c r="BG624" t="s">
        <v>231</v>
      </c>
      <c r="BH624" t="s">
        <v>231</v>
      </c>
      <c r="BI624" t="s">
        <v>231</v>
      </c>
      <c r="BJ624" t="s">
        <v>231</v>
      </c>
      <c r="BK624" t="s">
        <v>231</v>
      </c>
      <c r="BL624" t="s">
        <v>231</v>
      </c>
      <c r="BM624" t="s">
        <v>231</v>
      </c>
      <c r="BN624" t="s">
        <v>231</v>
      </c>
      <c r="BO624" t="s">
        <v>231</v>
      </c>
      <c r="BP624" t="s">
        <v>231</v>
      </c>
      <c r="BQ624" t="s">
        <v>231</v>
      </c>
      <c r="BR624" t="s">
        <v>231</v>
      </c>
      <c r="BS624" t="s">
        <v>231</v>
      </c>
      <c r="BT624" t="s">
        <v>231</v>
      </c>
      <c r="BU624" t="s">
        <v>231</v>
      </c>
      <c r="BV624" t="s">
        <v>231</v>
      </c>
      <c r="BW624" t="s">
        <v>231</v>
      </c>
      <c r="BX624" t="s">
        <v>231</v>
      </c>
      <c r="BY624" t="s">
        <v>231</v>
      </c>
      <c r="BZ624" t="s">
        <v>231</v>
      </c>
      <c r="CA624" t="s">
        <v>231</v>
      </c>
      <c r="CB624" t="s">
        <v>231</v>
      </c>
      <c r="CC624" t="s">
        <v>231</v>
      </c>
      <c r="CD624" t="s">
        <v>231</v>
      </c>
      <c r="CE624" t="s">
        <v>231</v>
      </c>
      <c r="CF624" t="s">
        <v>231</v>
      </c>
      <c r="CG624" t="s">
        <v>231</v>
      </c>
      <c r="CH624" t="s">
        <v>231</v>
      </c>
      <c r="CI624" t="s">
        <v>231</v>
      </c>
      <c r="CJ624" t="s">
        <v>231</v>
      </c>
      <c r="CK624" t="s">
        <v>231</v>
      </c>
      <c r="CL624" t="s">
        <v>231</v>
      </c>
      <c r="CM624" t="s">
        <v>231</v>
      </c>
      <c r="CN624" t="s">
        <v>231</v>
      </c>
      <c r="CO624" t="s">
        <v>231</v>
      </c>
      <c r="CP624" t="s">
        <v>231</v>
      </c>
      <c r="CQ624" t="s">
        <v>231</v>
      </c>
      <c r="CR624" t="s">
        <v>231</v>
      </c>
      <c r="CS624" t="s">
        <v>231</v>
      </c>
      <c r="CT624" t="s">
        <v>3534</v>
      </c>
      <c r="CU624" t="s">
        <v>3831</v>
      </c>
      <c r="CV624" t="s">
        <v>3536</v>
      </c>
      <c r="CW624" t="s">
        <v>3589</v>
      </c>
      <c r="CX624" t="s">
        <v>223</v>
      </c>
      <c r="CY624" t="s">
        <v>3536</v>
      </c>
      <c r="CZ624" t="s">
        <v>3590</v>
      </c>
      <c r="DA624" t="s">
        <v>3591</v>
      </c>
      <c r="DB624" t="s">
        <v>3589</v>
      </c>
      <c r="DC624" t="s">
        <v>363</v>
      </c>
      <c r="DD624" t="s">
        <v>282</v>
      </c>
      <c r="DE624" t="s">
        <v>3832</v>
      </c>
    </row>
    <row r="625" spans="1:109" ht="11.25" customHeight="1">
      <c r="A625" s="1314" t="s">
        <v>231</v>
      </c>
      <c r="B625" t="s">
        <v>231</v>
      </c>
      <c r="C625" t="s">
        <v>231</v>
      </c>
      <c r="D625" t="s">
        <v>231</v>
      </c>
      <c r="E625" t="s">
        <v>231</v>
      </c>
      <c r="F625" t="s">
        <v>231</v>
      </c>
      <c r="G625" t="s">
        <v>231</v>
      </c>
      <c r="H625" t="s">
        <v>231</v>
      </c>
      <c r="I625" t="s">
        <v>3521</v>
      </c>
      <c r="J625" t="s">
        <v>231</v>
      </c>
      <c r="K625" t="s">
        <v>231</v>
      </c>
      <c r="L625" t="s">
        <v>231</v>
      </c>
      <c r="M625" t="s">
        <v>231</v>
      </c>
      <c r="N625" t="s">
        <v>231</v>
      </c>
      <c r="O625" t="s">
        <v>231</v>
      </c>
      <c r="P625" t="s">
        <v>231</v>
      </c>
      <c r="Q625" t="s">
        <v>231</v>
      </c>
      <c r="R625" t="s">
        <v>4200</v>
      </c>
      <c r="S625" t="s">
        <v>231</v>
      </c>
      <c r="T625" t="s">
        <v>231</v>
      </c>
      <c r="U625" t="s">
        <v>101</v>
      </c>
      <c r="V625" t="s">
        <v>231</v>
      </c>
      <c r="W625" t="s">
        <v>231</v>
      </c>
      <c r="X625" t="s">
        <v>3628</v>
      </c>
      <c r="Y625" t="s">
        <v>231</v>
      </c>
      <c r="Z625" t="s">
        <v>151</v>
      </c>
      <c r="AA625" t="s">
        <v>151</v>
      </c>
      <c r="AB625" t="s">
        <v>160</v>
      </c>
      <c r="AC625" t="s">
        <v>2289</v>
      </c>
      <c r="AD625" t="s">
        <v>2289</v>
      </c>
      <c r="AE625" t="s">
        <v>2290</v>
      </c>
      <c r="AF625" t="s">
        <v>3816</v>
      </c>
      <c r="AG625" t="s">
        <v>3817</v>
      </c>
      <c r="AH625" t="s">
        <v>3618</v>
      </c>
      <c r="AI625" t="s">
        <v>3618</v>
      </c>
      <c r="AJ625" t="s">
        <v>231</v>
      </c>
      <c r="AK625" t="s">
        <v>231</v>
      </c>
      <c r="AL625" t="s">
        <v>231</v>
      </c>
      <c r="AM625" t="s">
        <v>231</v>
      </c>
      <c r="AN625" t="s">
        <v>231</v>
      </c>
      <c r="AO625" t="s">
        <v>231</v>
      </c>
      <c r="AP625" t="s">
        <v>231</v>
      </c>
      <c r="AQ625" t="s">
        <v>231</v>
      </c>
      <c r="AR625" t="s">
        <v>231</v>
      </c>
      <c r="AS625" t="s">
        <v>231</v>
      </c>
      <c r="AT625" t="s">
        <v>231</v>
      </c>
      <c r="AU625" t="s">
        <v>231</v>
      </c>
      <c r="AV625" t="s">
        <v>231</v>
      </c>
      <c r="AW625" t="s">
        <v>231</v>
      </c>
      <c r="AX625" t="s">
        <v>231</v>
      </c>
      <c r="AY625" t="s">
        <v>231</v>
      </c>
      <c r="AZ625" t="s">
        <v>231</v>
      </c>
      <c r="BA625" t="s">
        <v>231</v>
      </c>
      <c r="BB625" t="s">
        <v>231</v>
      </c>
      <c r="BC625" t="s">
        <v>231</v>
      </c>
      <c r="BD625" t="s">
        <v>231</v>
      </c>
      <c r="BE625" t="s">
        <v>3594</v>
      </c>
      <c r="BF625" t="s">
        <v>3586</v>
      </c>
      <c r="BG625" t="s">
        <v>111</v>
      </c>
      <c r="BH625" t="s">
        <v>3632</v>
      </c>
      <c r="BI625" t="s">
        <v>122</v>
      </c>
      <c r="BJ625" t="s">
        <v>231</v>
      </c>
      <c r="BK625" t="s">
        <v>3651</v>
      </c>
      <c r="BL625" t="s">
        <v>2289</v>
      </c>
      <c r="BM625" t="s">
        <v>2289</v>
      </c>
      <c r="BN625" t="s">
        <v>3707</v>
      </c>
      <c r="BO625" t="s">
        <v>3816</v>
      </c>
      <c r="BP625" t="s">
        <v>4201</v>
      </c>
      <c r="BQ625" t="s">
        <v>3618</v>
      </c>
      <c r="BR625" t="s">
        <v>3618</v>
      </c>
      <c r="BS625" t="s">
        <v>231</v>
      </c>
      <c r="BT625" t="s">
        <v>3694</v>
      </c>
      <c r="BU625" t="s">
        <v>4202</v>
      </c>
      <c r="BV625" t="s">
        <v>4202</v>
      </c>
      <c r="BW625" t="s">
        <v>3641</v>
      </c>
      <c r="BX625" t="s">
        <v>3641</v>
      </c>
      <c r="BY625" t="s">
        <v>3641</v>
      </c>
      <c r="BZ625" t="s">
        <v>3641</v>
      </c>
      <c r="CA625" t="s">
        <v>3641</v>
      </c>
      <c r="CB625" t="s">
        <v>231</v>
      </c>
      <c r="CC625" t="s">
        <v>231</v>
      </c>
      <c r="CD625" t="s">
        <v>231</v>
      </c>
      <c r="CE625" t="s">
        <v>231</v>
      </c>
      <c r="CF625" t="s">
        <v>231</v>
      </c>
      <c r="CG625" t="s">
        <v>3641</v>
      </c>
      <c r="CH625" t="s">
        <v>231</v>
      </c>
      <c r="CI625" t="s">
        <v>231</v>
      </c>
      <c r="CJ625" t="s">
        <v>231</v>
      </c>
      <c r="CK625" t="s">
        <v>231</v>
      </c>
      <c r="CL625" t="s">
        <v>231</v>
      </c>
      <c r="CM625" t="s">
        <v>4202</v>
      </c>
      <c r="CN625" t="s">
        <v>4202</v>
      </c>
      <c r="CO625" t="s">
        <v>231</v>
      </c>
      <c r="CP625" t="s">
        <v>231</v>
      </c>
      <c r="CQ625" t="s">
        <v>231</v>
      </c>
      <c r="CR625" t="s">
        <v>231</v>
      </c>
      <c r="CS625" t="s">
        <v>3710</v>
      </c>
      <c r="CT625" t="s">
        <v>3534</v>
      </c>
      <c r="CU625" t="s">
        <v>3535</v>
      </c>
      <c r="CV625" t="s">
        <v>3536</v>
      </c>
      <c r="CW625" t="s">
        <v>3589</v>
      </c>
      <c r="CX625" t="s">
        <v>223</v>
      </c>
      <c r="CY625" t="s">
        <v>3536</v>
      </c>
      <c r="CZ625" t="s">
        <v>3590</v>
      </c>
      <c r="DA625" t="s">
        <v>3591</v>
      </c>
      <c r="DB625" t="s">
        <v>3589</v>
      </c>
      <c r="DC625" t="s">
        <v>363</v>
      </c>
      <c r="DD625" t="s">
        <v>282</v>
      </c>
      <c r="DE625" t="s">
        <v>4203</v>
      </c>
    </row>
    <row r="626" spans="1:109" ht="11.25" customHeight="1">
      <c r="A626" s="1314" t="s">
        <v>231</v>
      </c>
      <c r="B626" t="s">
        <v>231</v>
      </c>
      <c r="C626" t="s">
        <v>231</v>
      </c>
      <c r="D626" t="s">
        <v>231</v>
      </c>
      <c r="E626" t="s">
        <v>231</v>
      </c>
      <c r="F626" t="s">
        <v>231</v>
      </c>
      <c r="G626" t="s">
        <v>231</v>
      </c>
      <c r="H626" t="s">
        <v>231</v>
      </c>
      <c r="I626" t="s">
        <v>3521</v>
      </c>
      <c r="J626" t="s">
        <v>231</v>
      </c>
      <c r="K626" t="s">
        <v>231</v>
      </c>
      <c r="L626" t="s">
        <v>231</v>
      </c>
      <c r="M626" t="s">
        <v>231</v>
      </c>
      <c r="N626" t="s">
        <v>231</v>
      </c>
      <c r="O626" t="s">
        <v>231</v>
      </c>
      <c r="P626" t="s">
        <v>231</v>
      </c>
      <c r="Q626" t="s">
        <v>231</v>
      </c>
      <c r="R626" t="s">
        <v>3615</v>
      </c>
      <c r="S626" t="s">
        <v>231</v>
      </c>
      <c r="T626" t="s">
        <v>231</v>
      </c>
      <c r="U626" t="s">
        <v>101</v>
      </c>
      <c r="V626" t="s">
        <v>231</v>
      </c>
      <c r="W626" t="s">
        <v>231</v>
      </c>
      <c r="X626" t="s">
        <v>3523</v>
      </c>
      <c r="Y626" t="s">
        <v>231</v>
      </c>
      <c r="Z626" t="s">
        <v>160</v>
      </c>
      <c r="AA626" t="s">
        <v>151</v>
      </c>
      <c r="AB626" t="s">
        <v>151</v>
      </c>
      <c r="AC626" t="s">
        <v>2289</v>
      </c>
      <c r="AD626" t="s">
        <v>2289</v>
      </c>
      <c r="AE626" t="s">
        <v>2290</v>
      </c>
      <c r="AF626" t="s">
        <v>4212</v>
      </c>
      <c r="AG626" t="s">
        <v>4213</v>
      </c>
      <c r="AH626" t="s">
        <v>3728</v>
      </c>
      <c r="AI626" t="s">
        <v>3593</v>
      </c>
      <c r="AJ626" t="s">
        <v>3546</v>
      </c>
      <c r="AK626" t="s">
        <v>3586</v>
      </c>
      <c r="AL626" t="s">
        <v>3548</v>
      </c>
      <c r="AM626" t="s">
        <v>3531</v>
      </c>
      <c r="AN626" t="s">
        <v>3595</v>
      </c>
      <c r="AO626" t="s">
        <v>3830</v>
      </c>
      <c r="AP626" t="s">
        <v>231</v>
      </c>
      <c r="AQ626" t="s">
        <v>231</v>
      </c>
      <c r="AR626" t="s">
        <v>231</v>
      </c>
      <c r="AS626" t="s">
        <v>231</v>
      </c>
      <c r="AT626" t="s">
        <v>231</v>
      </c>
      <c r="AU626" t="s">
        <v>231</v>
      </c>
      <c r="AV626" t="s">
        <v>231</v>
      </c>
      <c r="AW626" t="s">
        <v>231</v>
      </c>
      <c r="AX626" t="s">
        <v>231</v>
      </c>
      <c r="AY626" t="s">
        <v>231</v>
      </c>
      <c r="AZ626" t="s">
        <v>231</v>
      </c>
      <c r="BA626" t="s">
        <v>231</v>
      </c>
      <c r="BB626" t="s">
        <v>231</v>
      </c>
      <c r="BC626" t="s">
        <v>231</v>
      </c>
      <c r="BD626" t="s">
        <v>231</v>
      </c>
      <c r="BE626" t="s">
        <v>231</v>
      </c>
      <c r="BF626" t="s">
        <v>231</v>
      </c>
      <c r="BG626" t="s">
        <v>231</v>
      </c>
      <c r="BH626" t="s">
        <v>231</v>
      </c>
      <c r="BI626" t="s">
        <v>231</v>
      </c>
      <c r="BJ626" t="s">
        <v>231</v>
      </c>
      <c r="BK626" t="s">
        <v>231</v>
      </c>
      <c r="BL626" t="s">
        <v>231</v>
      </c>
      <c r="BM626" t="s">
        <v>231</v>
      </c>
      <c r="BN626" t="s">
        <v>231</v>
      </c>
      <c r="BO626" t="s">
        <v>231</v>
      </c>
      <c r="BP626" t="s">
        <v>231</v>
      </c>
      <c r="BQ626" t="s">
        <v>231</v>
      </c>
      <c r="BR626" t="s">
        <v>231</v>
      </c>
      <c r="BS626" t="s">
        <v>231</v>
      </c>
      <c r="BT626" t="s">
        <v>231</v>
      </c>
      <c r="BU626" t="s">
        <v>231</v>
      </c>
      <c r="BV626" t="s">
        <v>231</v>
      </c>
      <c r="BW626" t="s">
        <v>231</v>
      </c>
      <c r="BX626" t="s">
        <v>231</v>
      </c>
      <c r="BY626" t="s">
        <v>231</v>
      </c>
      <c r="BZ626" t="s">
        <v>231</v>
      </c>
      <c r="CA626" t="s">
        <v>231</v>
      </c>
      <c r="CB626" t="s">
        <v>231</v>
      </c>
      <c r="CC626" t="s">
        <v>231</v>
      </c>
      <c r="CD626" t="s">
        <v>231</v>
      </c>
      <c r="CE626" t="s">
        <v>231</v>
      </c>
      <c r="CF626" t="s">
        <v>231</v>
      </c>
      <c r="CG626" t="s">
        <v>231</v>
      </c>
      <c r="CH626" t="s">
        <v>231</v>
      </c>
      <c r="CI626" t="s">
        <v>231</v>
      </c>
      <c r="CJ626" t="s">
        <v>231</v>
      </c>
      <c r="CK626" t="s">
        <v>231</v>
      </c>
      <c r="CL626" t="s">
        <v>231</v>
      </c>
      <c r="CM626" t="s">
        <v>231</v>
      </c>
      <c r="CN626" t="s">
        <v>231</v>
      </c>
      <c r="CO626" t="s">
        <v>231</v>
      </c>
      <c r="CP626" t="s">
        <v>231</v>
      </c>
      <c r="CQ626" t="s">
        <v>231</v>
      </c>
      <c r="CR626" t="s">
        <v>231</v>
      </c>
      <c r="CS626" t="s">
        <v>231</v>
      </c>
      <c r="CT626" t="s">
        <v>3534</v>
      </c>
      <c r="CU626" t="s">
        <v>3535</v>
      </c>
      <c r="CV626" t="s">
        <v>3536</v>
      </c>
      <c r="CW626" t="s">
        <v>3589</v>
      </c>
      <c r="CX626" t="s">
        <v>223</v>
      </c>
      <c r="CY626" t="s">
        <v>3536</v>
      </c>
      <c r="CZ626" t="s">
        <v>3590</v>
      </c>
      <c r="DA626" t="s">
        <v>3591</v>
      </c>
      <c r="DB626" t="s">
        <v>3589</v>
      </c>
      <c r="DC626" t="s">
        <v>363</v>
      </c>
      <c r="DD626" t="s">
        <v>282</v>
      </c>
      <c r="DE626" t="s">
        <v>4214</v>
      </c>
    </row>
    <row r="627" spans="1:109" ht="11.25" customHeight="1">
      <c r="A627" s="1314" t="s">
        <v>231</v>
      </c>
      <c r="B627" t="s">
        <v>231</v>
      </c>
      <c r="C627" t="s">
        <v>231</v>
      </c>
      <c r="D627" t="s">
        <v>231</v>
      </c>
      <c r="E627" t="s">
        <v>231</v>
      </c>
      <c r="F627" t="s">
        <v>231</v>
      </c>
      <c r="G627" t="s">
        <v>231</v>
      </c>
      <c r="H627" t="s">
        <v>231</v>
      </c>
      <c r="I627" t="s">
        <v>3521</v>
      </c>
      <c r="J627" t="s">
        <v>231</v>
      </c>
      <c r="K627" t="s">
        <v>231</v>
      </c>
      <c r="L627" t="s">
        <v>231</v>
      </c>
      <c r="M627" t="s">
        <v>231</v>
      </c>
      <c r="N627" t="s">
        <v>231</v>
      </c>
      <c r="O627" t="s">
        <v>231</v>
      </c>
      <c r="P627" t="s">
        <v>231</v>
      </c>
      <c r="Q627" t="s">
        <v>231</v>
      </c>
      <c r="R627" t="s">
        <v>4473</v>
      </c>
      <c r="S627" t="s">
        <v>231</v>
      </c>
      <c r="T627" t="s">
        <v>231</v>
      </c>
      <c r="U627" t="s">
        <v>101</v>
      </c>
      <c r="V627" t="s">
        <v>231</v>
      </c>
      <c r="W627" t="s">
        <v>231</v>
      </c>
      <c r="X627" t="s">
        <v>3628</v>
      </c>
      <c r="Y627" t="s">
        <v>231</v>
      </c>
      <c r="Z627" t="s">
        <v>151</v>
      </c>
      <c r="AA627" t="s">
        <v>151</v>
      </c>
      <c r="AB627" t="s">
        <v>160</v>
      </c>
      <c r="AC627" t="s">
        <v>2289</v>
      </c>
      <c r="AD627" t="s">
        <v>2289</v>
      </c>
      <c r="AE627" t="s">
        <v>2290</v>
      </c>
      <c r="AF627" t="s">
        <v>4212</v>
      </c>
      <c r="AG627" t="s">
        <v>4213</v>
      </c>
      <c r="AH627" t="s">
        <v>3618</v>
      </c>
      <c r="AI627" t="s">
        <v>3618</v>
      </c>
      <c r="AJ627" t="s">
        <v>231</v>
      </c>
      <c r="AK627" t="s">
        <v>231</v>
      </c>
      <c r="AL627" t="s">
        <v>231</v>
      </c>
      <c r="AM627" t="s">
        <v>231</v>
      </c>
      <c r="AN627" t="s">
        <v>231</v>
      </c>
      <c r="AO627" t="s">
        <v>231</v>
      </c>
      <c r="AP627" t="s">
        <v>231</v>
      </c>
      <c r="AQ627" t="s">
        <v>231</v>
      </c>
      <c r="AR627" t="s">
        <v>231</v>
      </c>
      <c r="AS627" t="s">
        <v>231</v>
      </c>
      <c r="AT627" t="s">
        <v>231</v>
      </c>
      <c r="AU627" t="s">
        <v>231</v>
      </c>
      <c r="AV627" t="s">
        <v>231</v>
      </c>
      <c r="AW627" t="s">
        <v>231</v>
      </c>
      <c r="AX627" t="s">
        <v>231</v>
      </c>
      <c r="AY627" t="s">
        <v>231</v>
      </c>
      <c r="AZ627" t="s">
        <v>231</v>
      </c>
      <c r="BA627" t="s">
        <v>231</v>
      </c>
      <c r="BB627" t="s">
        <v>231</v>
      </c>
      <c r="BC627" t="s">
        <v>231</v>
      </c>
      <c r="BD627" t="s">
        <v>231</v>
      </c>
      <c r="BE627" t="s">
        <v>3619</v>
      </c>
      <c r="BF627" t="s">
        <v>3586</v>
      </c>
      <c r="BG627" t="s">
        <v>111</v>
      </c>
      <c r="BH627" t="s">
        <v>3632</v>
      </c>
      <c r="BI627" t="s">
        <v>122</v>
      </c>
      <c r="BJ627" t="s">
        <v>231</v>
      </c>
      <c r="BK627" t="s">
        <v>3651</v>
      </c>
      <c r="BL627" t="s">
        <v>2289</v>
      </c>
      <c r="BM627" t="s">
        <v>2289</v>
      </c>
      <c r="BN627" t="s">
        <v>3707</v>
      </c>
      <c r="BO627" t="s">
        <v>4212</v>
      </c>
      <c r="BP627" t="s">
        <v>4474</v>
      </c>
      <c r="BQ627" t="s">
        <v>3618</v>
      </c>
      <c r="BR627" t="s">
        <v>3618</v>
      </c>
      <c r="BS627" t="s">
        <v>231</v>
      </c>
      <c r="BT627" t="s">
        <v>3694</v>
      </c>
      <c r="BU627" t="s">
        <v>4475</v>
      </c>
      <c r="BV627" t="s">
        <v>4475</v>
      </c>
      <c r="BW627" t="s">
        <v>3641</v>
      </c>
      <c r="BX627" t="s">
        <v>3641</v>
      </c>
      <c r="BY627" t="s">
        <v>3641</v>
      </c>
      <c r="BZ627" t="s">
        <v>3641</v>
      </c>
      <c r="CA627" t="s">
        <v>3641</v>
      </c>
      <c r="CB627" t="s">
        <v>231</v>
      </c>
      <c r="CC627" t="s">
        <v>231</v>
      </c>
      <c r="CD627" t="s">
        <v>231</v>
      </c>
      <c r="CE627" t="s">
        <v>231</v>
      </c>
      <c r="CF627" t="s">
        <v>231</v>
      </c>
      <c r="CG627" t="s">
        <v>3641</v>
      </c>
      <c r="CH627" t="s">
        <v>231</v>
      </c>
      <c r="CI627" t="s">
        <v>231</v>
      </c>
      <c r="CJ627" t="s">
        <v>231</v>
      </c>
      <c r="CK627" t="s">
        <v>231</v>
      </c>
      <c r="CL627" t="s">
        <v>231</v>
      </c>
      <c r="CM627" t="s">
        <v>4475</v>
      </c>
      <c r="CN627" t="s">
        <v>4475</v>
      </c>
      <c r="CO627" t="s">
        <v>231</v>
      </c>
      <c r="CP627" t="s">
        <v>231</v>
      </c>
      <c r="CQ627" t="s">
        <v>231</v>
      </c>
      <c r="CR627" t="s">
        <v>231</v>
      </c>
      <c r="CS627" t="s">
        <v>3710</v>
      </c>
      <c r="CT627" t="s">
        <v>3534</v>
      </c>
      <c r="CU627" t="s">
        <v>3535</v>
      </c>
      <c r="CV627" t="s">
        <v>3536</v>
      </c>
      <c r="CW627" t="s">
        <v>3589</v>
      </c>
      <c r="CX627" t="s">
        <v>223</v>
      </c>
      <c r="CY627" t="s">
        <v>3536</v>
      </c>
      <c r="CZ627" t="s">
        <v>3590</v>
      </c>
      <c r="DA627" t="s">
        <v>3591</v>
      </c>
      <c r="DB627" t="s">
        <v>3589</v>
      </c>
      <c r="DC627" t="s">
        <v>363</v>
      </c>
      <c r="DD627" t="s">
        <v>282</v>
      </c>
      <c r="DE627" t="s">
        <v>4476</v>
      </c>
    </row>
    <row r="628" spans="1:109" ht="11.25" customHeight="1">
      <c r="A628" s="1314" t="s">
        <v>231</v>
      </c>
      <c r="B628" t="s">
        <v>231</v>
      </c>
      <c r="C628" t="s">
        <v>231</v>
      </c>
      <c r="D628" t="s">
        <v>231</v>
      </c>
      <c r="E628" t="s">
        <v>231</v>
      </c>
      <c r="F628" t="s">
        <v>231</v>
      </c>
      <c r="G628" t="s">
        <v>231</v>
      </c>
      <c r="H628" t="s">
        <v>231</v>
      </c>
      <c r="I628" t="s">
        <v>3521</v>
      </c>
      <c r="J628" t="s">
        <v>231</v>
      </c>
      <c r="K628" t="s">
        <v>231</v>
      </c>
      <c r="L628" t="s">
        <v>231</v>
      </c>
      <c r="M628" t="s">
        <v>231</v>
      </c>
      <c r="N628" t="s">
        <v>231</v>
      </c>
      <c r="O628" t="s">
        <v>231</v>
      </c>
      <c r="P628" t="s">
        <v>231</v>
      </c>
      <c r="Q628" t="s">
        <v>231</v>
      </c>
      <c r="R628" t="s">
        <v>3541</v>
      </c>
      <c r="S628" t="s">
        <v>231</v>
      </c>
      <c r="T628" t="s">
        <v>231</v>
      </c>
      <c r="U628" t="s">
        <v>101</v>
      </c>
      <c r="V628" t="s">
        <v>231</v>
      </c>
      <c r="W628" t="s">
        <v>231</v>
      </c>
      <c r="X628" t="s">
        <v>3523</v>
      </c>
      <c r="Y628" t="s">
        <v>231</v>
      </c>
      <c r="Z628" t="s">
        <v>160</v>
      </c>
      <c r="AA628" t="s">
        <v>151</v>
      </c>
      <c r="AB628" t="s">
        <v>151</v>
      </c>
      <c r="AC628" t="s">
        <v>2283</v>
      </c>
      <c r="AD628" t="s">
        <v>2283</v>
      </c>
      <c r="AE628" t="s">
        <v>2284</v>
      </c>
      <c r="AF628" t="s">
        <v>3542</v>
      </c>
      <c r="AG628" t="s">
        <v>3543</v>
      </c>
      <c r="AH628" t="s">
        <v>3544</v>
      </c>
      <c r="AI628" t="s">
        <v>3545</v>
      </c>
      <c r="AJ628" t="s">
        <v>3546</v>
      </c>
      <c r="AK628" t="s">
        <v>3547</v>
      </c>
      <c r="AL628" t="s">
        <v>3548</v>
      </c>
      <c r="AM628" t="s">
        <v>3531</v>
      </c>
      <c r="AN628" t="s">
        <v>3549</v>
      </c>
      <c r="AO628" t="s">
        <v>3550</v>
      </c>
      <c r="AP628" t="s">
        <v>231</v>
      </c>
      <c r="AQ628" t="s">
        <v>231</v>
      </c>
      <c r="AR628" t="s">
        <v>231</v>
      </c>
      <c r="AS628" t="s">
        <v>231</v>
      </c>
      <c r="AT628" t="s">
        <v>231</v>
      </c>
      <c r="AU628" t="s">
        <v>231</v>
      </c>
      <c r="AV628" t="s">
        <v>231</v>
      </c>
      <c r="AW628" t="s">
        <v>231</v>
      </c>
      <c r="AX628" t="s">
        <v>231</v>
      </c>
      <c r="AY628" t="s">
        <v>231</v>
      </c>
      <c r="AZ628" t="s">
        <v>231</v>
      </c>
      <c r="BA628" t="s">
        <v>231</v>
      </c>
      <c r="BB628" t="s">
        <v>231</v>
      </c>
      <c r="BC628" t="s">
        <v>231</v>
      </c>
      <c r="BD628" t="s">
        <v>231</v>
      </c>
      <c r="BE628" t="s">
        <v>231</v>
      </c>
      <c r="BF628" t="s">
        <v>231</v>
      </c>
      <c r="BG628" t="s">
        <v>231</v>
      </c>
      <c r="BH628" t="s">
        <v>231</v>
      </c>
      <c r="BI628" t="s">
        <v>231</v>
      </c>
      <c r="BJ628" t="s">
        <v>231</v>
      </c>
      <c r="BK628" t="s">
        <v>231</v>
      </c>
      <c r="BL628" t="s">
        <v>231</v>
      </c>
      <c r="BM628" t="s">
        <v>231</v>
      </c>
      <c r="BN628" t="s">
        <v>231</v>
      </c>
      <c r="BO628" t="s">
        <v>231</v>
      </c>
      <c r="BP628" t="s">
        <v>231</v>
      </c>
      <c r="BQ628" t="s">
        <v>231</v>
      </c>
      <c r="BR628" t="s">
        <v>231</v>
      </c>
      <c r="BS628" t="s">
        <v>231</v>
      </c>
      <c r="BT628" t="s">
        <v>231</v>
      </c>
      <c r="BU628" t="s">
        <v>231</v>
      </c>
      <c r="BV628" t="s">
        <v>231</v>
      </c>
      <c r="BW628" t="s">
        <v>231</v>
      </c>
      <c r="BX628" t="s">
        <v>231</v>
      </c>
      <c r="BY628" t="s">
        <v>231</v>
      </c>
      <c r="BZ628" t="s">
        <v>231</v>
      </c>
      <c r="CA628" t="s">
        <v>231</v>
      </c>
      <c r="CB628" t="s">
        <v>231</v>
      </c>
      <c r="CC628" t="s">
        <v>231</v>
      </c>
      <c r="CD628" t="s">
        <v>231</v>
      </c>
      <c r="CE628" t="s">
        <v>231</v>
      </c>
      <c r="CF628" t="s">
        <v>231</v>
      </c>
      <c r="CG628" t="s">
        <v>231</v>
      </c>
      <c r="CH628" t="s">
        <v>231</v>
      </c>
      <c r="CI628" t="s">
        <v>231</v>
      </c>
      <c r="CJ628" t="s">
        <v>231</v>
      </c>
      <c r="CK628" t="s">
        <v>231</v>
      </c>
      <c r="CL628" t="s">
        <v>231</v>
      </c>
      <c r="CM628" t="s">
        <v>231</v>
      </c>
      <c r="CN628" t="s">
        <v>231</v>
      </c>
      <c r="CO628" t="s">
        <v>231</v>
      </c>
      <c r="CP628" t="s">
        <v>231</v>
      </c>
      <c r="CQ628" t="s">
        <v>231</v>
      </c>
      <c r="CR628" t="s">
        <v>231</v>
      </c>
      <c r="CS628" t="s">
        <v>231</v>
      </c>
      <c r="CT628" t="s">
        <v>3534</v>
      </c>
      <c r="CU628" t="s">
        <v>3535</v>
      </c>
      <c r="CV628" t="s">
        <v>3536</v>
      </c>
      <c r="CW628" t="s">
        <v>3551</v>
      </c>
      <c r="CX628" t="s">
        <v>223</v>
      </c>
      <c r="CY628" t="s">
        <v>3536</v>
      </c>
      <c r="CZ628" t="s">
        <v>3552</v>
      </c>
      <c r="DA628" t="s">
        <v>3553</v>
      </c>
      <c r="DB628" t="s">
        <v>3551</v>
      </c>
      <c r="DC628" t="s">
        <v>363</v>
      </c>
      <c r="DD628" t="s">
        <v>282</v>
      </c>
      <c r="DE628" t="s">
        <v>3554</v>
      </c>
    </row>
    <row r="629" spans="1:109" ht="11.25" customHeight="1">
      <c r="A629" s="1314" t="s">
        <v>231</v>
      </c>
      <c r="B629" t="s">
        <v>231</v>
      </c>
      <c r="C629" t="s">
        <v>231</v>
      </c>
      <c r="D629" t="s">
        <v>231</v>
      </c>
      <c r="E629" t="s">
        <v>231</v>
      </c>
      <c r="F629" t="s">
        <v>231</v>
      </c>
      <c r="G629" t="s">
        <v>231</v>
      </c>
      <c r="H629" t="s">
        <v>231</v>
      </c>
      <c r="I629" t="s">
        <v>3521</v>
      </c>
      <c r="J629" t="s">
        <v>231</v>
      </c>
      <c r="K629" t="s">
        <v>231</v>
      </c>
      <c r="L629" t="s">
        <v>231</v>
      </c>
      <c r="M629" t="s">
        <v>231</v>
      </c>
      <c r="N629" t="s">
        <v>231</v>
      </c>
      <c r="O629" t="s">
        <v>231</v>
      </c>
      <c r="P629" t="s">
        <v>231</v>
      </c>
      <c r="Q629" t="s">
        <v>231</v>
      </c>
      <c r="R629" t="s">
        <v>4724</v>
      </c>
      <c r="S629" t="s">
        <v>231</v>
      </c>
      <c r="T629" t="s">
        <v>231</v>
      </c>
      <c r="U629" t="s">
        <v>101</v>
      </c>
      <c r="V629" t="s">
        <v>231</v>
      </c>
      <c r="W629" t="s">
        <v>231</v>
      </c>
      <c r="X629" t="s">
        <v>3628</v>
      </c>
      <c r="Y629" t="s">
        <v>231</v>
      </c>
      <c r="Z629" t="s">
        <v>151</v>
      </c>
      <c r="AA629" t="s">
        <v>151</v>
      </c>
      <c r="AB629" t="s">
        <v>160</v>
      </c>
      <c r="AC629" t="s">
        <v>2289</v>
      </c>
      <c r="AD629" t="s">
        <v>2289</v>
      </c>
      <c r="AE629" t="s">
        <v>2290</v>
      </c>
      <c r="AF629" t="s">
        <v>3880</v>
      </c>
      <c r="AG629" t="s">
        <v>3881</v>
      </c>
      <c r="AH629" t="s">
        <v>3618</v>
      </c>
      <c r="AI629" t="s">
        <v>3618</v>
      </c>
      <c r="AJ629" t="s">
        <v>231</v>
      </c>
      <c r="AK629" t="s">
        <v>231</v>
      </c>
      <c r="AL629" t="s">
        <v>231</v>
      </c>
      <c r="AM629" t="s">
        <v>231</v>
      </c>
      <c r="AN629" t="s">
        <v>231</v>
      </c>
      <c r="AO629" t="s">
        <v>231</v>
      </c>
      <c r="AP629" t="s">
        <v>231</v>
      </c>
      <c r="AQ629" t="s">
        <v>231</v>
      </c>
      <c r="AR629" t="s">
        <v>231</v>
      </c>
      <c r="AS629" t="s">
        <v>231</v>
      </c>
      <c r="AT629" t="s">
        <v>231</v>
      </c>
      <c r="AU629" t="s">
        <v>231</v>
      </c>
      <c r="AV629" t="s">
        <v>231</v>
      </c>
      <c r="AW629" t="s">
        <v>231</v>
      </c>
      <c r="AX629" t="s">
        <v>231</v>
      </c>
      <c r="AY629" t="s">
        <v>231</v>
      </c>
      <c r="AZ629" t="s">
        <v>231</v>
      </c>
      <c r="BA629" t="s">
        <v>231</v>
      </c>
      <c r="BB629" t="s">
        <v>231</v>
      </c>
      <c r="BC629" t="s">
        <v>231</v>
      </c>
      <c r="BD629" t="s">
        <v>231</v>
      </c>
      <c r="BE629" t="s">
        <v>3546</v>
      </c>
      <c r="BF629" t="s">
        <v>3716</v>
      </c>
      <c r="BG629" t="s">
        <v>111</v>
      </c>
      <c r="BH629" t="s">
        <v>3632</v>
      </c>
      <c r="BI629" t="s">
        <v>122</v>
      </c>
      <c r="BJ629" t="s">
        <v>231</v>
      </c>
      <c r="BK629" t="s">
        <v>3651</v>
      </c>
      <c r="BL629" t="s">
        <v>2289</v>
      </c>
      <c r="BM629" t="s">
        <v>2289</v>
      </c>
      <c r="BN629" t="s">
        <v>3707</v>
      </c>
      <c r="BO629" t="s">
        <v>3880</v>
      </c>
      <c r="BP629" t="s">
        <v>4725</v>
      </c>
      <c r="BQ629" t="s">
        <v>3618</v>
      </c>
      <c r="BR629" t="s">
        <v>3618</v>
      </c>
      <c r="BS629" t="s">
        <v>231</v>
      </c>
      <c r="BT629" t="s">
        <v>3694</v>
      </c>
      <c r="BU629" t="s">
        <v>4726</v>
      </c>
      <c r="BV629" t="s">
        <v>4726</v>
      </c>
      <c r="BW629" t="s">
        <v>3641</v>
      </c>
      <c r="BX629" t="s">
        <v>3641</v>
      </c>
      <c r="BY629" t="s">
        <v>3641</v>
      </c>
      <c r="BZ629" t="s">
        <v>3641</v>
      </c>
      <c r="CA629" t="s">
        <v>3641</v>
      </c>
      <c r="CB629" t="s">
        <v>231</v>
      </c>
      <c r="CC629" t="s">
        <v>231</v>
      </c>
      <c r="CD629" t="s">
        <v>231</v>
      </c>
      <c r="CE629" t="s">
        <v>231</v>
      </c>
      <c r="CF629" t="s">
        <v>231</v>
      </c>
      <c r="CG629" t="s">
        <v>3641</v>
      </c>
      <c r="CH629" t="s">
        <v>231</v>
      </c>
      <c r="CI629" t="s">
        <v>231</v>
      </c>
      <c r="CJ629" t="s">
        <v>231</v>
      </c>
      <c r="CK629" t="s">
        <v>231</v>
      </c>
      <c r="CL629" t="s">
        <v>231</v>
      </c>
      <c r="CM629" t="s">
        <v>4726</v>
      </c>
      <c r="CN629" t="s">
        <v>4726</v>
      </c>
      <c r="CO629" t="s">
        <v>231</v>
      </c>
      <c r="CP629" t="s">
        <v>231</v>
      </c>
      <c r="CQ629" t="s">
        <v>231</v>
      </c>
      <c r="CR629" t="s">
        <v>231</v>
      </c>
      <c r="CS629" t="s">
        <v>3710</v>
      </c>
      <c r="CT629" t="s">
        <v>3534</v>
      </c>
      <c r="CU629" t="s">
        <v>3535</v>
      </c>
      <c r="CV629" t="s">
        <v>3536</v>
      </c>
      <c r="CW629" t="s">
        <v>3589</v>
      </c>
      <c r="CX629" t="s">
        <v>223</v>
      </c>
      <c r="CY629" t="s">
        <v>3536</v>
      </c>
      <c r="CZ629" t="s">
        <v>3590</v>
      </c>
      <c r="DA629" t="s">
        <v>3591</v>
      </c>
      <c r="DB629" t="s">
        <v>3589</v>
      </c>
      <c r="DC629" t="s">
        <v>363</v>
      </c>
      <c r="DD629" t="s">
        <v>282</v>
      </c>
      <c r="DE629" t="s">
        <v>4727</v>
      </c>
    </row>
    <row r="630" spans="1:109" ht="11.25" customHeight="1">
      <c r="A630" s="1314" t="s">
        <v>231</v>
      </c>
      <c r="B630" t="s">
        <v>231</v>
      </c>
      <c r="C630" t="s">
        <v>231</v>
      </c>
      <c r="D630" t="s">
        <v>231</v>
      </c>
      <c r="E630" t="s">
        <v>231</v>
      </c>
      <c r="F630" t="s">
        <v>231</v>
      </c>
      <c r="G630" t="s">
        <v>231</v>
      </c>
      <c r="H630" t="s">
        <v>231</v>
      </c>
      <c r="I630" t="s">
        <v>3521</v>
      </c>
      <c r="J630" t="s">
        <v>231</v>
      </c>
      <c r="K630" t="s">
        <v>231</v>
      </c>
      <c r="L630" t="s">
        <v>231</v>
      </c>
      <c r="M630" t="s">
        <v>231</v>
      </c>
      <c r="N630" t="s">
        <v>231</v>
      </c>
      <c r="O630" t="s">
        <v>231</v>
      </c>
      <c r="P630" t="s">
        <v>231</v>
      </c>
      <c r="Q630" t="s">
        <v>231</v>
      </c>
      <c r="R630" t="s">
        <v>3615</v>
      </c>
      <c r="S630" t="s">
        <v>231</v>
      </c>
      <c r="T630" t="s">
        <v>231</v>
      </c>
      <c r="U630" t="s">
        <v>101</v>
      </c>
      <c r="V630" t="s">
        <v>231</v>
      </c>
      <c r="W630" t="s">
        <v>231</v>
      </c>
      <c r="X630" t="s">
        <v>3523</v>
      </c>
      <c r="Y630" t="s">
        <v>231</v>
      </c>
      <c r="Z630" t="s">
        <v>160</v>
      </c>
      <c r="AA630" t="s">
        <v>151</v>
      </c>
      <c r="AB630" t="s">
        <v>151</v>
      </c>
      <c r="AC630" t="s">
        <v>2287</v>
      </c>
      <c r="AD630" t="s">
        <v>2287</v>
      </c>
      <c r="AE630" t="s">
        <v>2288</v>
      </c>
      <c r="AF630" t="s">
        <v>4732</v>
      </c>
      <c r="AG630" t="s">
        <v>4733</v>
      </c>
      <c r="AH630" t="s">
        <v>4734</v>
      </c>
      <c r="AI630" t="s">
        <v>3618</v>
      </c>
      <c r="AJ630" t="s">
        <v>3619</v>
      </c>
      <c r="AK630" t="s">
        <v>4735</v>
      </c>
      <c r="AL630" t="s">
        <v>3548</v>
      </c>
      <c r="AM630" t="s">
        <v>3531</v>
      </c>
      <c r="AN630" t="s">
        <v>3621</v>
      </c>
      <c r="AO630" t="s">
        <v>3901</v>
      </c>
      <c r="AP630" t="s">
        <v>231</v>
      </c>
      <c r="AQ630" t="s">
        <v>231</v>
      </c>
      <c r="AR630" t="s">
        <v>231</v>
      </c>
      <c r="AS630" t="s">
        <v>231</v>
      </c>
      <c r="AT630" t="s">
        <v>231</v>
      </c>
      <c r="AU630" t="s">
        <v>231</v>
      </c>
      <c r="AV630" t="s">
        <v>231</v>
      </c>
      <c r="AW630" t="s">
        <v>231</v>
      </c>
      <c r="AX630" t="s">
        <v>231</v>
      </c>
      <c r="AY630" t="s">
        <v>231</v>
      </c>
      <c r="AZ630" t="s">
        <v>231</v>
      </c>
      <c r="BA630" t="s">
        <v>231</v>
      </c>
      <c r="BB630" t="s">
        <v>231</v>
      </c>
      <c r="BC630" t="s">
        <v>231</v>
      </c>
      <c r="BD630" t="s">
        <v>231</v>
      </c>
      <c r="BE630" t="s">
        <v>231</v>
      </c>
      <c r="BF630" t="s">
        <v>231</v>
      </c>
      <c r="BG630" t="s">
        <v>231</v>
      </c>
      <c r="BH630" t="s">
        <v>231</v>
      </c>
      <c r="BI630" t="s">
        <v>231</v>
      </c>
      <c r="BJ630" t="s">
        <v>231</v>
      </c>
      <c r="BK630" t="s">
        <v>231</v>
      </c>
      <c r="BL630" t="s">
        <v>231</v>
      </c>
      <c r="BM630" t="s">
        <v>231</v>
      </c>
      <c r="BN630" t="s">
        <v>231</v>
      </c>
      <c r="BO630" t="s">
        <v>231</v>
      </c>
      <c r="BP630" t="s">
        <v>231</v>
      </c>
      <c r="BQ630" t="s">
        <v>231</v>
      </c>
      <c r="BR630" t="s">
        <v>231</v>
      </c>
      <c r="BS630" t="s">
        <v>231</v>
      </c>
      <c r="BT630" t="s">
        <v>231</v>
      </c>
      <c r="BU630" t="s">
        <v>231</v>
      </c>
      <c r="BV630" t="s">
        <v>231</v>
      </c>
      <c r="BW630" t="s">
        <v>231</v>
      </c>
      <c r="BX630" t="s">
        <v>231</v>
      </c>
      <c r="BY630" t="s">
        <v>231</v>
      </c>
      <c r="BZ630" t="s">
        <v>231</v>
      </c>
      <c r="CA630" t="s">
        <v>231</v>
      </c>
      <c r="CB630" t="s">
        <v>231</v>
      </c>
      <c r="CC630" t="s">
        <v>231</v>
      </c>
      <c r="CD630" t="s">
        <v>231</v>
      </c>
      <c r="CE630" t="s">
        <v>231</v>
      </c>
      <c r="CF630" t="s">
        <v>231</v>
      </c>
      <c r="CG630" t="s">
        <v>231</v>
      </c>
      <c r="CH630" t="s">
        <v>231</v>
      </c>
      <c r="CI630" t="s">
        <v>231</v>
      </c>
      <c r="CJ630" t="s">
        <v>231</v>
      </c>
      <c r="CK630" t="s">
        <v>231</v>
      </c>
      <c r="CL630" t="s">
        <v>231</v>
      </c>
      <c r="CM630" t="s">
        <v>231</v>
      </c>
      <c r="CN630" t="s">
        <v>231</v>
      </c>
      <c r="CO630" t="s">
        <v>231</v>
      </c>
      <c r="CP630" t="s">
        <v>231</v>
      </c>
      <c r="CQ630" t="s">
        <v>231</v>
      </c>
      <c r="CR630" t="s">
        <v>231</v>
      </c>
      <c r="CS630" t="s">
        <v>231</v>
      </c>
      <c r="CT630" t="s">
        <v>3534</v>
      </c>
      <c r="CU630" t="s">
        <v>3535</v>
      </c>
      <c r="CV630" t="s">
        <v>3536</v>
      </c>
      <c r="CW630" t="s">
        <v>3623</v>
      </c>
      <c r="CX630" t="s">
        <v>223</v>
      </c>
      <c r="CY630" t="s">
        <v>3536</v>
      </c>
      <c r="CZ630" t="s">
        <v>3624</v>
      </c>
      <c r="DA630" t="s">
        <v>3625</v>
      </c>
      <c r="DB630" t="s">
        <v>3623</v>
      </c>
      <c r="DC630" t="s">
        <v>363</v>
      </c>
      <c r="DD630" t="s">
        <v>282</v>
      </c>
      <c r="DE630" t="s">
        <v>4736</v>
      </c>
    </row>
    <row r="631" spans="1:109" ht="11.25" customHeight="1">
      <c r="A631" s="1314" t="s">
        <v>231</v>
      </c>
      <c r="B631" t="s">
        <v>231</v>
      </c>
      <c r="C631" t="s">
        <v>231</v>
      </c>
      <c r="D631" t="s">
        <v>231</v>
      </c>
      <c r="E631" t="s">
        <v>231</v>
      </c>
      <c r="F631" t="s">
        <v>231</v>
      </c>
      <c r="G631" t="s">
        <v>231</v>
      </c>
      <c r="H631" t="s">
        <v>231</v>
      </c>
      <c r="I631" t="s">
        <v>3521</v>
      </c>
      <c r="J631" t="s">
        <v>231</v>
      </c>
      <c r="K631" t="s">
        <v>231</v>
      </c>
      <c r="L631" t="s">
        <v>231</v>
      </c>
      <c r="M631" t="s">
        <v>231</v>
      </c>
      <c r="N631" t="s">
        <v>231</v>
      </c>
      <c r="O631" t="s">
        <v>231</v>
      </c>
      <c r="P631" t="s">
        <v>231</v>
      </c>
      <c r="Q631" t="s">
        <v>231</v>
      </c>
      <c r="R631" t="s">
        <v>4899</v>
      </c>
      <c r="S631" t="s">
        <v>231</v>
      </c>
      <c r="T631" t="s">
        <v>231</v>
      </c>
      <c r="U631" t="s">
        <v>101</v>
      </c>
      <c r="V631" t="s">
        <v>231</v>
      </c>
      <c r="W631" t="s">
        <v>231</v>
      </c>
      <c r="X631" t="s">
        <v>3628</v>
      </c>
      <c r="Y631" t="s">
        <v>231</v>
      </c>
      <c r="Z631" t="s">
        <v>151</v>
      </c>
      <c r="AA631" t="s">
        <v>151</v>
      </c>
      <c r="AB631" t="s">
        <v>160</v>
      </c>
      <c r="AC631" t="s">
        <v>2287</v>
      </c>
      <c r="AD631" t="s">
        <v>2287</v>
      </c>
      <c r="AE631" t="s">
        <v>2288</v>
      </c>
      <c r="AF631" t="s">
        <v>4732</v>
      </c>
      <c r="AG631" t="s">
        <v>4733</v>
      </c>
      <c r="AH631" t="s">
        <v>3618</v>
      </c>
      <c r="AI631" t="s">
        <v>3618</v>
      </c>
      <c r="AJ631" t="s">
        <v>231</v>
      </c>
      <c r="AK631" t="s">
        <v>231</v>
      </c>
      <c r="AL631" t="s">
        <v>231</v>
      </c>
      <c r="AM631" t="s">
        <v>231</v>
      </c>
      <c r="AN631" t="s">
        <v>231</v>
      </c>
      <c r="AO631" t="s">
        <v>231</v>
      </c>
      <c r="AP631" t="s">
        <v>231</v>
      </c>
      <c r="AQ631" t="s">
        <v>231</v>
      </c>
      <c r="AR631" t="s">
        <v>231</v>
      </c>
      <c r="AS631" t="s">
        <v>231</v>
      </c>
      <c r="AT631" t="s">
        <v>231</v>
      </c>
      <c r="AU631" t="s">
        <v>231</v>
      </c>
      <c r="AV631" t="s">
        <v>231</v>
      </c>
      <c r="AW631" t="s">
        <v>231</v>
      </c>
      <c r="AX631" t="s">
        <v>231</v>
      </c>
      <c r="AY631" t="s">
        <v>231</v>
      </c>
      <c r="AZ631" t="s">
        <v>231</v>
      </c>
      <c r="BA631" t="s">
        <v>231</v>
      </c>
      <c r="BB631" t="s">
        <v>231</v>
      </c>
      <c r="BC631" t="s">
        <v>231</v>
      </c>
      <c r="BD631" t="s">
        <v>231</v>
      </c>
      <c r="BE631" t="s">
        <v>3619</v>
      </c>
      <c r="BF631" t="s">
        <v>4735</v>
      </c>
      <c r="BG631" t="s">
        <v>111</v>
      </c>
      <c r="BH631" t="s">
        <v>3632</v>
      </c>
      <c r="BI631" t="s">
        <v>122</v>
      </c>
      <c r="BJ631" t="s">
        <v>231</v>
      </c>
      <c r="BK631" t="s">
        <v>3651</v>
      </c>
      <c r="BL631" t="s">
        <v>2287</v>
      </c>
      <c r="BM631" t="s">
        <v>2287</v>
      </c>
      <c r="BN631" t="s">
        <v>3842</v>
      </c>
      <c r="BO631" t="s">
        <v>4732</v>
      </c>
      <c r="BP631" t="s">
        <v>4900</v>
      </c>
      <c r="BQ631" t="s">
        <v>3618</v>
      </c>
      <c r="BR631" t="s">
        <v>3618</v>
      </c>
      <c r="BS631" t="s">
        <v>231</v>
      </c>
      <c r="BT631" t="s">
        <v>3694</v>
      </c>
      <c r="BU631" t="s">
        <v>5084</v>
      </c>
      <c r="BV631" t="s">
        <v>5084</v>
      </c>
      <c r="BW631" t="s">
        <v>3641</v>
      </c>
      <c r="BX631" t="s">
        <v>3641</v>
      </c>
      <c r="BY631" t="s">
        <v>3641</v>
      </c>
      <c r="BZ631" t="s">
        <v>3641</v>
      </c>
      <c r="CA631" t="s">
        <v>3641</v>
      </c>
      <c r="CB631" t="s">
        <v>231</v>
      </c>
      <c r="CC631" t="s">
        <v>231</v>
      </c>
      <c r="CD631" t="s">
        <v>231</v>
      </c>
      <c r="CE631" t="s">
        <v>231</v>
      </c>
      <c r="CF631" t="s">
        <v>231</v>
      </c>
      <c r="CG631" t="s">
        <v>3641</v>
      </c>
      <c r="CH631" t="s">
        <v>231</v>
      </c>
      <c r="CI631" t="s">
        <v>231</v>
      </c>
      <c r="CJ631" t="s">
        <v>231</v>
      </c>
      <c r="CK631" t="s">
        <v>231</v>
      </c>
      <c r="CL631" t="s">
        <v>231</v>
      </c>
      <c r="CM631" t="s">
        <v>5084</v>
      </c>
      <c r="CN631" t="s">
        <v>5084</v>
      </c>
      <c r="CO631" t="s">
        <v>231</v>
      </c>
      <c r="CP631" t="s">
        <v>231</v>
      </c>
      <c r="CQ631" t="s">
        <v>231</v>
      </c>
      <c r="CR631" t="s">
        <v>231</v>
      </c>
      <c r="CS631" t="s">
        <v>3529</v>
      </c>
      <c r="CT631" t="s">
        <v>3534</v>
      </c>
      <c r="CU631" t="s">
        <v>3535</v>
      </c>
      <c r="CV631" t="s">
        <v>3536</v>
      </c>
      <c r="CW631" t="s">
        <v>3623</v>
      </c>
      <c r="CX631" t="s">
        <v>223</v>
      </c>
      <c r="CY631" t="s">
        <v>3536</v>
      </c>
      <c r="CZ631" t="s">
        <v>3624</v>
      </c>
      <c r="DA631" t="s">
        <v>3625</v>
      </c>
      <c r="DB631" t="s">
        <v>3623</v>
      </c>
      <c r="DC631" t="s">
        <v>363</v>
      </c>
      <c r="DD631" t="s">
        <v>282</v>
      </c>
      <c r="DE631" t="s">
        <v>4902</v>
      </c>
    </row>
    <row r="632" spans="1:109" ht="11.25" customHeight="1">
      <c r="A632" s="1314" t="s">
        <v>231</v>
      </c>
      <c r="B632" t="s">
        <v>231</v>
      </c>
      <c r="C632" t="s">
        <v>231</v>
      </c>
      <c r="D632" t="s">
        <v>231</v>
      </c>
      <c r="E632" t="s">
        <v>231</v>
      </c>
      <c r="F632" t="s">
        <v>231</v>
      </c>
      <c r="G632" t="s">
        <v>231</v>
      </c>
      <c r="H632" t="s">
        <v>231</v>
      </c>
      <c r="I632" t="s">
        <v>3521</v>
      </c>
      <c r="J632" t="s">
        <v>231</v>
      </c>
      <c r="K632" t="s">
        <v>231</v>
      </c>
      <c r="L632" t="s">
        <v>231</v>
      </c>
      <c r="M632" t="s">
        <v>231</v>
      </c>
      <c r="N632" t="s">
        <v>231</v>
      </c>
      <c r="O632" t="s">
        <v>231</v>
      </c>
      <c r="P632" t="s">
        <v>231</v>
      </c>
      <c r="Q632" t="s">
        <v>231</v>
      </c>
      <c r="R632" t="s">
        <v>4414</v>
      </c>
      <c r="S632" t="s">
        <v>231</v>
      </c>
      <c r="T632" t="s">
        <v>231</v>
      </c>
      <c r="U632" t="s">
        <v>101</v>
      </c>
      <c r="V632" t="s">
        <v>231</v>
      </c>
      <c r="W632" t="s">
        <v>231</v>
      </c>
      <c r="X632" t="s">
        <v>3523</v>
      </c>
      <c r="Y632" t="s">
        <v>231</v>
      </c>
      <c r="Z632" t="s">
        <v>160</v>
      </c>
      <c r="AA632" t="s">
        <v>151</v>
      </c>
      <c r="AB632" t="s">
        <v>151</v>
      </c>
      <c r="AC632" t="s">
        <v>2262</v>
      </c>
      <c r="AD632" t="s">
        <v>2262</v>
      </c>
      <c r="AE632" t="s">
        <v>2264</v>
      </c>
      <c r="AF632" t="s">
        <v>3524</v>
      </c>
      <c r="AG632" t="s">
        <v>3525</v>
      </c>
      <c r="AH632" t="s">
        <v>4415</v>
      </c>
      <c r="AI632" t="s">
        <v>4416</v>
      </c>
      <c r="AJ632" t="s">
        <v>4155</v>
      </c>
      <c r="AK632" t="s">
        <v>3641</v>
      </c>
      <c r="AL632" t="s">
        <v>3648</v>
      </c>
      <c r="AM632" t="s">
        <v>3531</v>
      </c>
      <c r="AN632" t="s">
        <v>4156</v>
      </c>
      <c r="AO632" t="s">
        <v>4417</v>
      </c>
      <c r="AP632" t="s">
        <v>231</v>
      </c>
      <c r="AQ632" t="s">
        <v>231</v>
      </c>
      <c r="AR632" t="s">
        <v>231</v>
      </c>
      <c r="AS632" t="s">
        <v>231</v>
      </c>
      <c r="AT632" t="s">
        <v>231</v>
      </c>
      <c r="AU632" t="s">
        <v>231</v>
      </c>
      <c r="AV632" t="s">
        <v>231</v>
      </c>
      <c r="AW632" t="s">
        <v>231</v>
      </c>
      <c r="AX632" t="s">
        <v>231</v>
      </c>
      <c r="AY632" t="s">
        <v>231</v>
      </c>
      <c r="AZ632" t="s">
        <v>231</v>
      </c>
      <c r="BA632" t="s">
        <v>231</v>
      </c>
      <c r="BB632" t="s">
        <v>231</v>
      </c>
      <c r="BC632" t="s">
        <v>231</v>
      </c>
      <c r="BD632" t="s">
        <v>231</v>
      </c>
      <c r="BE632" t="s">
        <v>231</v>
      </c>
      <c r="BF632" t="s">
        <v>231</v>
      </c>
      <c r="BG632" t="s">
        <v>231</v>
      </c>
      <c r="BH632" t="s">
        <v>231</v>
      </c>
      <c r="BI632" t="s">
        <v>231</v>
      </c>
      <c r="BJ632" t="s">
        <v>231</v>
      </c>
      <c r="BK632" t="s">
        <v>231</v>
      </c>
      <c r="BL632" t="s">
        <v>231</v>
      </c>
      <c r="BM632" t="s">
        <v>231</v>
      </c>
      <c r="BN632" t="s">
        <v>231</v>
      </c>
      <c r="BO632" t="s">
        <v>231</v>
      </c>
      <c r="BP632" t="s">
        <v>231</v>
      </c>
      <c r="BQ632" t="s">
        <v>231</v>
      </c>
      <c r="BR632" t="s">
        <v>231</v>
      </c>
      <c r="BS632" t="s">
        <v>231</v>
      </c>
      <c r="BT632" t="s">
        <v>231</v>
      </c>
      <c r="BU632" t="s">
        <v>231</v>
      </c>
      <c r="BV632" t="s">
        <v>231</v>
      </c>
      <c r="BW632" t="s">
        <v>231</v>
      </c>
      <c r="BX632" t="s">
        <v>231</v>
      </c>
      <c r="BY632" t="s">
        <v>231</v>
      </c>
      <c r="BZ632" t="s">
        <v>231</v>
      </c>
      <c r="CA632" t="s">
        <v>231</v>
      </c>
      <c r="CB632" t="s">
        <v>231</v>
      </c>
      <c r="CC632" t="s">
        <v>231</v>
      </c>
      <c r="CD632" t="s">
        <v>231</v>
      </c>
      <c r="CE632" t="s">
        <v>231</v>
      </c>
      <c r="CF632" t="s">
        <v>231</v>
      </c>
      <c r="CG632" t="s">
        <v>231</v>
      </c>
      <c r="CH632" t="s">
        <v>231</v>
      </c>
      <c r="CI632" t="s">
        <v>231</v>
      </c>
      <c r="CJ632" t="s">
        <v>231</v>
      </c>
      <c r="CK632" t="s">
        <v>231</v>
      </c>
      <c r="CL632" t="s">
        <v>231</v>
      </c>
      <c r="CM632" t="s">
        <v>231</v>
      </c>
      <c r="CN632" t="s">
        <v>231</v>
      </c>
      <c r="CO632" t="s">
        <v>231</v>
      </c>
      <c r="CP632" t="s">
        <v>231</v>
      </c>
      <c r="CQ632" t="s">
        <v>231</v>
      </c>
      <c r="CR632" t="s">
        <v>231</v>
      </c>
      <c r="CS632" t="s">
        <v>231</v>
      </c>
      <c r="CT632" t="s">
        <v>3534</v>
      </c>
      <c r="CU632" t="s">
        <v>3535</v>
      </c>
      <c r="CV632" t="s">
        <v>3536</v>
      </c>
      <c r="CW632" t="s">
        <v>3537</v>
      </c>
      <c r="CX632" t="s">
        <v>223</v>
      </c>
      <c r="CY632" t="s">
        <v>3536</v>
      </c>
      <c r="CZ632" t="s">
        <v>3538</v>
      </c>
      <c r="DA632" t="s">
        <v>3539</v>
      </c>
      <c r="DB632" t="s">
        <v>3537</v>
      </c>
      <c r="DC632" t="s">
        <v>363</v>
      </c>
      <c r="DD632" t="s">
        <v>282</v>
      </c>
      <c r="DE632" t="s">
        <v>4418</v>
      </c>
    </row>
    <row r="633" spans="1:109" ht="11.25" customHeight="1">
      <c r="A633" s="1314" t="s">
        <v>231</v>
      </c>
      <c r="B633" t="s">
        <v>231</v>
      </c>
      <c r="C633" t="s">
        <v>231</v>
      </c>
      <c r="D633" t="s">
        <v>231</v>
      </c>
      <c r="E633" t="s">
        <v>231</v>
      </c>
      <c r="F633" t="s">
        <v>231</v>
      </c>
      <c r="G633" t="s">
        <v>231</v>
      </c>
      <c r="H633" t="s">
        <v>231</v>
      </c>
      <c r="I633" t="s">
        <v>3521</v>
      </c>
      <c r="J633" t="s">
        <v>231</v>
      </c>
      <c r="K633" t="s">
        <v>231</v>
      </c>
      <c r="L633" t="s">
        <v>231</v>
      </c>
      <c r="M633" t="s">
        <v>231</v>
      </c>
      <c r="N633" t="s">
        <v>231</v>
      </c>
      <c r="O633" t="s">
        <v>231</v>
      </c>
      <c r="P633" t="s">
        <v>231</v>
      </c>
      <c r="Q633" t="s">
        <v>231</v>
      </c>
      <c r="R633" t="s">
        <v>4419</v>
      </c>
      <c r="S633" t="s">
        <v>231</v>
      </c>
      <c r="T633" t="s">
        <v>231</v>
      </c>
      <c r="U633" t="s">
        <v>101</v>
      </c>
      <c r="V633" t="s">
        <v>231</v>
      </c>
      <c r="W633" t="s">
        <v>231</v>
      </c>
      <c r="X633" t="s">
        <v>3523</v>
      </c>
      <c r="Y633" t="s">
        <v>231</v>
      </c>
      <c r="Z633" t="s">
        <v>160</v>
      </c>
      <c r="AA633" t="s">
        <v>151</v>
      </c>
      <c r="AB633" t="s">
        <v>151</v>
      </c>
      <c r="AC633" t="s">
        <v>2262</v>
      </c>
      <c r="AD633" t="s">
        <v>2262</v>
      </c>
      <c r="AE633" t="s">
        <v>2264</v>
      </c>
      <c r="AF633" t="s">
        <v>3524</v>
      </c>
      <c r="AG633" t="s">
        <v>3525</v>
      </c>
      <c r="AH633" t="s">
        <v>4422</v>
      </c>
      <c r="AI633" t="s">
        <v>4423</v>
      </c>
      <c r="AJ633" t="s">
        <v>3532</v>
      </c>
      <c r="AK633" t="s">
        <v>3641</v>
      </c>
      <c r="AL633" t="s">
        <v>3648</v>
      </c>
      <c r="AM633" t="s">
        <v>3531</v>
      </c>
      <c r="AN633" t="s">
        <v>3549</v>
      </c>
      <c r="AO633" t="s">
        <v>4424</v>
      </c>
      <c r="AP633" t="s">
        <v>231</v>
      </c>
      <c r="AQ633" t="s">
        <v>231</v>
      </c>
      <c r="AR633" t="s">
        <v>231</v>
      </c>
      <c r="AS633" t="s">
        <v>231</v>
      </c>
      <c r="AT633" t="s">
        <v>231</v>
      </c>
      <c r="AU633" t="s">
        <v>231</v>
      </c>
      <c r="AV633" t="s">
        <v>231</v>
      </c>
      <c r="AW633" t="s">
        <v>231</v>
      </c>
      <c r="AX633" t="s">
        <v>231</v>
      </c>
      <c r="AY633" t="s">
        <v>231</v>
      </c>
      <c r="AZ633" t="s">
        <v>231</v>
      </c>
      <c r="BA633" t="s">
        <v>231</v>
      </c>
      <c r="BB633" t="s">
        <v>231</v>
      </c>
      <c r="BC633" t="s">
        <v>231</v>
      </c>
      <c r="BD633" t="s">
        <v>231</v>
      </c>
      <c r="BE633" t="s">
        <v>231</v>
      </c>
      <c r="BF633" t="s">
        <v>231</v>
      </c>
      <c r="BG633" t="s">
        <v>231</v>
      </c>
      <c r="BH633" t="s">
        <v>231</v>
      </c>
      <c r="BI633" t="s">
        <v>231</v>
      </c>
      <c r="BJ633" t="s">
        <v>231</v>
      </c>
      <c r="BK633" t="s">
        <v>231</v>
      </c>
      <c r="BL633" t="s">
        <v>231</v>
      </c>
      <c r="BM633" t="s">
        <v>231</v>
      </c>
      <c r="BN633" t="s">
        <v>231</v>
      </c>
      <c r="BO633" t="s">
        <v>231</v>
      </c>
      <c r="BP633" t="s">
        <v>231</v>
      </c>
      <c r="BQ633" t="s">
        <v>231</v>
      </c>
      <c r="BR633" t="s">
        <v>231</v>
      </c>
      <c r="BS633" t="s">
        <v>231</v>
      </c>
      <c r="BT633" t="s">
        <v>231</v>
      </c>
      <c r="BU633" t="s">
        <v>231</v>
      </c>
      <c r="BV633" t="s">
        <v>231</v>
      </c>
      <c r="BW633" t="s">
        <v>231</v>
      </c>
      <c r="BX633" t="s">
        <v>231</v>
      </c>
      <c r="BY633" t="s">
        <v>231</v>
      </c>
      <c r="BZ633" t="s">
        <v>231</v>
      </c>
      <c r="CA633" t="s">
        <v>231</v>
      </c>
      <c r="CB633" t="s">
        <v>231</v>
      </c>
      <c r="CC633" t="s">
        <v>231</v>
      </c>
      <c r="CD633" t="s">
        <v>231</v>
      </c>
      <c r="CE633" t="s">
        <v>231</v>
      </c>
      <c r="CF633" t="s">
        <v>231</v>
      </c>
      <c r="CG633" t="s">
        <v>231</v>
      </c>
      <c r="CH633" t="s">
        <v>231</v>
      </c>
      <c r="CI633" t="s">
        <v>231</v>
      </c>
      <c r="CJ633" t="s">
        <v>231</v>
      </c>
      <c r="CK633" t="s">
        <v>231</v>
      </c>
      <c r="CL633" t="s">
        <v>231</v>
      </c>
      <c r="CM633" t="s">
        <v>231</v>
      </c>
      <c r="CN633" t="s">
        <v>231</v>
      </c>
      <c r="CO633" t="s">
        <v>231</v>
      </c>
      <c r="CP633" t="s">
        <v>231</v>
      </c>
      <c r="CQ633" t="s">
        <v>231</v>
      </c>
      <c r="CR633" t="s">
        <v>231</v>
      </c>
      <c r="CS633" t="s">
        <v>231</v>
      </c>
      <c r="CT633" t="s">
        <v>3534</v>
      </c>
      <c r="CU633" t="s">
        <v>3535</v>
      </c>
      <c r="CV633" t="s">
        <v>3536</v>
      </c>
      <c r="CW633" t="s">
        <v>3537</v>
      </c>
      <c r="CX633" t="s">
        <v>223</v>
      </c>
      <c r="CY633" t="s">
        <v>3536</v>
      </c>
      <c r="CZ633" t="s">
        <v>3538</v>
      </c>
      <c r="DA633" t="s">
        <v>3539</v>
      </c>
      <c r="DB633" t="s">
        <v>3537</v>
      </c>
      <c r="DC633" t="s">
        <v>363</v>
      </c>
      <c r="DD633" t="s">
        <v>282</v>
      </c>
      <c r="DE633" t="s">
        <v>5085</v>
      </c>
    </row>
    <row r="634" spans="1:109" ht="11.25" customHeight="1">
      <c r="A634" s="1314" t="s">
        <v>231</v>
      </c>
      <c r="B634" t="s">
        <v>231</v>
      </c>
      <c r="C634" t="s">
        <v>231</v>
      </c>
      <c r="D634" t="s">
        <v>231</v>
      </c>
      <c r="E634" t="s">
        <v>231</v>
      </c>
      <c r="F634" t="s">
        <v>231</v>
      </c>
      <c r="G634" t="s">
        <v>231</v>
      </c>
      <c r="H634" t="s">
        <v>231</v>
      </c>
      <c r="I634" t="s">
        <v>3521</v>
      </c>
      <c r="J634" t="s">
        <v>231</v>
      </c>
      <c r="K634" t="s">
        <v>231</v>
      </c>
      <c r="L634" t="s">
        <v>231</v>
      </c>
      <c r="M634" t="s">
        <v>231</v>
      </c>
      <c r="N634" t="s">
        <v>231</v>
      </c>
      <c r="O634" t="s">
        <v>231</v>
      </c>
      <c r="P634" t="s">
        <v>231</v>
      </c>
      <c r="Q634" t="s">
        <v>231</v>
      </c>
      <c r="R634" t="s">
        <v>4949</v>
      </c>
      <c r="S634" t="s">
        <v>231</v>
      </c>
      <c r="T634" t="s">
        <v>231</v>
      </c>
      <c r="U634" t="s">
        <v>101</v>
      </c>
      <c r="V634" t="s">
        <v>231</v>
      </c>
      <c r="W634" t="s">
        <v>231</v>
      </c>
      <c r="X634" t="s">
        <v>3523</v>
      </c>
      <c r="Y634" t="s">
        <v>231</v>
      </c>
      <c r="Z634" t="s">
        <v>160</v>
      </c>
      <c r="AA634" t="s">
        <v>151</v>
      </c>
      <c r="AB634" t="s">
        <v>151</v>
      </c>
      <c r="AC634" t="s">
        <v>2262</v>
      </c>
      <c r="AD634" t="s">
        <v>2262</v>
      </c>
      <c r="AE634" t="s">
        <v>2264</v>
      </c>
      <c r="AF634" t="s">
        <v>4879</v>
      </c>
      <c r="AG634" t="s">
        <v>4880</v>
      </c>
      <c r="AH634" t="s">
        <v>4950</v>
      </c>
      <c r="AI634" t="s">
        <v>4951</v>
      </c>
      <c r="AJ634" t="s">
        <v>4952</v>
      </c>
      <c r="AK634" t="s">
        <v>4953</v>
      </c>
      <c r="AL634" t="s">
        <v>3613</v>
      </c>
      <c r="AM634" t="s">
        <v>3531</v>
      </c>
      <c r="AN634" t="s">
        <v>3549</v>
      </c>
      <c r="AO634" t="s">
        <v>3790</v>
      </c>
      <c r="AP634" t="s">
        <v>231</v>
      </c>
      <c r="AQ634" t="s">
        <v>231</v>
      </c>
      <c r="AR634" t="s">
        <v>231</v>
      </c>
      <c r="AS634" t="s">
        <v>231</v>
      </c>
      <c r="AT634" t="s">
        <v>231</v>
      </c>
      <c r="AU634" t="s">
        <v>231</v>
      </c>
      <c r="AV634" t="s">
        <v>231</v>
      </c>
      <c r="AW634" t="s">
        <v>231</v>
      </c>
      <c r="AX634" t="s">
        <v>231</v>
      </c>
      <c r="AY634" t="s">
        <v>231</v>
      </c>
      <c r="AZ634" t="s">
        <v>231</v>
      </c>
      <c r="BA634" t="s">
        <v>231</v>
      </c>
      <c r="BB634" t="s">
        <v>231</v>
      </c>
      <c r="BC634" t="s">
        <v>231</v>
      </c>
      <c r="BD634" t="s">
        <v>231</v>
      </c>
      <c r="BE634" t="s">
        <v>231</v>
      </c>
      <c r="BF634" t="s">
        <v>231</v>
      </c>
      <c r="BG634" t="s">
        <v>231</v>
      </c>
      <c r="BH634" t="s">
        <v>231</v>
      </c>
      <c r="BI634" t="s">
        <v>231</v>
      </c>
      <c r="BJ634" t="s">
        <v>231</v>
      </c>
      <c r="BK634" t="s">
        <v>231</v>
      </c>
      <c r="BL634" t="s">
        <v>231</v>
      </c>
      <c r="BM634" t="s">
        <v>231</v>
      </c>
      <c r="BN634" t="s">
        <v>231</v>
      </c>
      <c r="BO634" t="s">
        <v>231</v>
      </c>
      <c r="BP634" t="s">
        <v>231</v>
      </c>
      <c r="BQ634" t="s">
        <v>231</v>
      </c>
      <c r="BR634" t="s">
        <v>231</v>
      </c>
      <c r="BS634" t="s">
        <v>231</v>
      </c>
      <c r="BT634" t="s">
        <v>231</v>
      </c>
      <c r="BU634" t="s">
        <v>231</v>
      </c>
      <c r="BV634" t="s">
        <v>231</v>
      </c>
      <c r="BW634" t="s">
        <v>231</v>
      </c>
      <c r="BX634" t="s">
        <v>231</v>
      </c>
      <c r="BY634" t="s">
        <v>231</v>
      </c>
      <c r="BZ634" t="s">
        <v>231</v>
      </c>
      <c r="CA634" t="s">
        <v>231</v>
      </c>
      <c r="CB634" t="s">
        <v>231</v>
      </c>
      <c r="CC634" t="s">
        <v>231</v>
      </c>
      <c r="CD634" t="s">
        <v>231</v>
      </c>
      <c r="CE634" t="s">
        <v>231</v>
      </c>
      <c r="CF634" t="s">
        <v>231</v>
      </c>
      <c r="CG634" t="s">
        <v>231</v>
      </c>
      <c r="CH634" t="s">
        <v>231</v>
      </c>
      <c r="CI634" t="s">
        <v>231</v>
      </c>
      <c r="CJ634" t="s">
        <v>231</v>
      </c>
      <c r="CK634" t="s">
        <v>231</v>
      </c>
      <c r="CL634" t="s">
        <v>231</v>
      </c>
      <c r="CM634" t="s">
        <v>231</v>
      </c>
      <c r="CN634" t="s">
        <v>231</v>
      </c>
      <c r="CO634" t="s">
        <v>231</v>
      </c>
      <c r="CP634" t="s">
        <v>231</v>
      </c>
      <c r="CQ634" t="s">
        <v>231</v>
      </c>
      <c r="CR634" t="s">
        <v>231</v>
      </c>
      <c r="CS634" t="s">
        <v>231</v>
      </c>
      <c r="CT634" t="s">
        <v>3534</v>
      </c>
      <c r="CU634" t="s">
        <v>3535</v>
      </c>
      <c r="CV634" t="s">
        <v>3536</v>
      </c>
      <c r="CW634" t="s">
        <v>4891</v>
      </c>
      <c r="CX634" t="s">
        <v>223</v>
      </c>
      <c r="CY634" t="s">
        <v>3536</v>
      </c>
      <c r="CZ634" t="s">
        <v>321</v>
      </c>
      <c r="DA634" t="s">
        <v>3539</v>
      </c>
      <c r="DB634" t="s">
        <v>4891</v>
      </c>
      <c r="DC634" t="s">
        <v>363</v>
      </c>
      <c r="DD634" t="s">
        <v>282</v>
      </c>
      <c r="DE634" t="s">
        <v>4954</v>
      </c>
    </row>
    <row r="635" spans="1:109" ht="11.25" customHeight="1">
      <c r="A635" s="1314" t="s">
        <v>231</v>
      </c>
      <c r="B635" t="s">
        <v>231</v>
      </c>
      <c r="C635" t="s">
        <v>231</v>
      </c>
      <c r="D635" t="s">
        <v>231</v>
      </c>
      <c r="E635" t="s">
        <v>231</v>
      </c>
      <c r="F635" t="s">
        <v>231</v>
      </c>
      <c r="G635" t="s">
        <v>231</v>
      </c>
      <c r="H635" t="s">
        <v>231</v>
      </c>
      <c r="I635" t="s">
        <v>3521</v>
      </c>
      <c r="J635" t="s">
        <v>231</v>
      </c>
      <c r="K635" t="s">
        <v>231</v>
      </c>
      <c r="L635" t="s">
        <v>231</v>
      </c>
      <c r="M635" t="s">
        <v>231</v>
      </c>
      <c r="N635" t="s">
        <v>231</v>
      </c>
      <c r="O635" t="s">
        <v>231</v>
      </c>
      <c r="P635" t="s">
        <v>231</v>
      </c>
      <c r="Q635" t="s">
        <v>231</v>
      </c>
      <c r="R635" t="s">
        <v>4955</v>
      </c>
      <c r="S635" t="s">
        <v>231</v>
      </c>
      <c r="T635" t="s">
        <v>231</v>
      </c>
      <c r="U635" t="s">
        <v>101</v>
      </c>
      <c r="V635" t="s">
        <v>231</v>
      </c>
      <c r="W635" t="s">
        <v>231</v>
      </c>
      <c r="X635" t="s">
        <v>3523</v>
      </c>
      <c r="Y635" t="s">
        <v>231</v>
      </c>
      <c r="Z635" t="s">
        <v>160</v>
      </c>
      <c r="AA635" t="s">
        <v>151</v>
      </c>
      <c r="AB635" t="s">
        <v>151</v>
      </c>
      <c r="AC635" t="s">
        <v>2262</v>
      </c>
      <c r="AD635" t="s">
        <v>2262</v>
      </c>
      <c r="AE635" t="s">
        <v>2264</v>
      </c>
      <c r="AF635" t="s">
        <v>4956</v>
      </c>
      <c r="AG635" t="s">
        <v>4957</v>
      </c>
      <c r="AH635" t="s">
        <v>4958</v>
      </c>
      <c r="AI635" t="s">
        <v>4959</v>
      </c>
      <c r="AJ635" t="s">
        <v>4960</v>
      </c>
      <c r="AK635" t="s">
        <v>4961</v>
      </c>
      <c r="AL635" t="s">
        <v>3613</v>
      </c>
      <c r="AM635" t="s">
        <v>3531</v>
      </c>
      <c r="AN635" t="s">
        <v>3549</v>
      </c>
      <c r="AO635" t="s">
        <v>3790</v>
      </c>
      <c r="AP635" t="s">
        <v>231</v>
      </c>
      <c r="AQ635" t="s">
        <v>231</v>
      </c>
      <c r="AR635" t="s">
        <v>231</v>
      </c>
      <c r="AS635" t="s">
        <v>231</v>
      </c>
      <c r="AT635" t="s">
        <v>231</v>
      </c>
      <c r="AU635" t="s">
        <v>231</v>
      </c>
      <c r="AV635" t="s">
        <v>231</v>
      </c>
      <c r="AW635" t="s">
        <v>231</v>
      </c>
      <c r="AX635" t="s">
        <v>231</v>
      </c>
      <c r="AY635" t="s">
        <v>231</v>
      </c>
      <c r="AZ635" t="s">
        <v>231</v>
      </c>
      <c r="BA635" t="s">
        <v>231</v>
      </c>
      <c r="BB635" t="s">
        <v>231</v>
      </c>
      <c r="BC635" t="s">
        <v>231</v>
      </c>
      <c r="BD635" t="s">
        <v>231</v>
      </c>
      <c r="BE635" t="s">
        <v>231</v>
      </c>
      <c r="BF635" t="s">
        <v>231</v>
      </c>
      <c r="BG635" t="s">
        <v>231</v>
      </c>
      <c r="BH635" t="s">
        <v>231</v>
      </c>
      <c r="BI635" t="s">
        <v>231</v>
      </c>
      <c r="BJ635" t="s">
        <v>231</v>
      </c>
      <c r="BK635" t="s">
        <v>231</v>
      </c>
      <c r="BL635" t="s">
        <v>231</v>
      </c>
      <c r="BM635" t="s">
        <v>231</v>
      </c>
      <c r="BN635" t="s">
        <v>231</v>
      </c>
      <c r="BO635" t="s">
        <v>231</v>
      </c>
      <c r="BP635" t="s">
        <v>231</v>
      </c>
      <c r="BQ635" t="s">
        <v>231</v>
      </c>
      <c r="BR635" t="s">
        <v>231</v>
      </c>
      <c r="BS635" t="s">
        <v>231</v>
      </c>
      <c r="BT635" t="s">
        <v>231</v>
      </c>
      <c r="BU635" t="s">
        <v>231</v>
      </c>
      <c r="BV635" t="s">
        <v>231</v>
      </c>
      <c r="BW635" t="s">
        <v>231</v>
      </c>
      <c r="BX635" t="s">
        <v>231</v>
      </c>
      <c r="BY635" t="s">
        <v>231</v>
      </c>
      <c r="BZ635" t="s">
        <v>231</v>
      </c>
      <c r="CA635" t="s">
        <v>231</v>
      </c>
      <c r="CB635" t="s">
        <v>231</v>
      </c>
      <c r="CC635" t="s">
        <v>231</v>
      </c>
      <c r="CD635" t="s">
        <v>231</v>
      </c>
      <c r="CE635" t="s">
        <v>231</v>
      </c>
      <c r="CF635" t="s">
        <v>231</v>
      </c>
      <c r="CG635" t="s">
        <v>231</v>
      </c>
      <c r="CH635" t="s">
        <v>231</v>
      </c>
      <c r="CI635" t="s">
        <v>231</v>
      </c>
      <c r="CJ635" t="s">
        <v>231</v>
      </c>
      <c r="CK635" t="s">
        <v>231</v>
      </c>
      <c r="CL635" t="s">
        <v>231</v>
      </c>
      <c r="CM635" t="s">
        <v>231</v>
      </c>
      <c r="CN635" t="s">
        <v>231</v>
      </c>
      <c r="CO635" t="s">
        <v>231</v>
      </c>
      <c r="CP635" t="s">
        <v>231</v>
      </c>
      <c r="CQ635" t="s">
        <v>231</v>
      </c>
      <c r="CR635" t="s">
        <v>231</v>
      </c>
      <c r="CS635" t="s">
        <v>231</v>
      </c>
      <c r="CT635" t="s">
        <v>3534</v>
      </c>
      <c r="CU635" t="s">
        <v>3535</v>
      </c>
      <c r="CV635" t="s">
        <v>3536</v>
      </c>
      <c r="CW635" t="s">
        <v>4891</v>
      </c>
      <c r="CX635" t="s">
        <v>223</v>
      </c>
      <c r="CY635" t="s">
        <v>3536</v>
      </c>
      <c r="CZ635" t="s">
        <v>321</v>
      </c>
      <c r="DA635" t="s">
        <v>3539</v>
      </c>
      <c r="DB635" t="s">
        <v>4891</v>
      </c>
      <c r="DC635" t="s">
        <v>363</v>
      </c>
      <c r="DD635" t="s">
        <v>282</v>
      </c>
      <c r="DE635" t="s">
        <v>4962</v>
      </c>
    </row>
    <row r="636" spans="1:109" ht="11.25" customHeight="1">
      <c r="A636" s="1314" t="s">
        <v>231</v>
      </c>
      <c r="B636" t="s">
        <v>231</v>
      </c>
      <c r="C636" t="s">
        <v>231</v>
      </c>
      <c r="D636" t="s">
        <v>231</v>
      </c>
      <c r="E636" t="s">
        <v>231</v>
      </c>
      <c r="F636" t="s">
        <v>231</v>
      </c>
      <c r="G636" t="s">
        <v>231</v>
      </c>
      <c r="H636" t="s">
        <v>231</v>
      </c>
      <c r="I636" t="s">
        <v>3521</v>
      </c>
      <c r="J636" t="s">
        <v>231</v>
      </c>
      <c r="K636" t="s">
        <v>231</v>
      </c>
      <c r="L636" t="s">
        <v>231</v>
      </c>
      <c r="M636" t="s">
        <v>231</v>
      </c>
      <c r="N636" t="s">
        <v>231</v>
      </c>
      <c r="O636" t="s">
        <v>231</v>
      </c>
      <c r="P636" t="s">
        <v>231</v>
      </c>
      <c r="Q636" t="s">
        <v>231</v>
      </c>
      <c r="R636" t="s">
        <v>3685</v>
      </c>
      <c r="S636" t="s">
        <v>231</v>
      </c>
      <c r="T636" t="s">
        <v>231</v>
      </c>
      <c r="U636" t="s">
        <v>101</v>
      </c>
      <c r="V636" t="s">
        <v>231</v>
      </c>
      <c r="W636" t="s">
        <v>231</v>
      </c>
      <c r="X636" t="s">
        <v>3628</v>
      </c>
      <c r="Y636" t="s">
        <v>231</v>
      </c>
      <c r="Z636" t="s">
        <v>151</v>
      </c>
      <c r="AA636" t="s">
        <v>151</v>
      </c>
      <c r="AB636" t="s">
        <v>160</v>
      </c>
      <c r="AC636" t="s">
        <v>2283</v>
      </c>
      <c r="AD636" t="s">
        <v>2283</v>
      </c>
      <c r="AE636" t="s">
        <v>2284</v>
      </c>
      <c r="AF636" t="s">
        <v>4001</v>
      </c>
      <c r="AG636" t="s">
        <v>4002</v>
      </c>
      <c r="AH636" t="s">
        <v>4001</v>
      </c>
      <c r="AI636" t="s">
        <v>3688</v>
      </c>
      <c r="AJ636" t="s">
        <v>231</v>
      </c>
      <c r="AK636" t="s">
        <v>231</v>
      </c>
      <c r="AL636" t="s">
        <v>231</v>
      </c>
      <c r="AM636" t="s">
        <v>231</v>
      </c>
      <c r="AN636" t="s">
        <v>231</v>
      </c>
      <c r="AO636" t="s">
        <v>231</v>
      </c>
      <c r="AP636" t="s">
        <v>231</v>
      </c>
      <c r="AQ636" t="s">
        <v>231</v>
      </c>
      <c r="AR636" t="s">
        <v>231</v>
      </c>
      <c r="AS636" t="s">
        <v>231</v>
      </c>
      <c r="AT636" t="s">
        <v>231</v>
      </c>
      <c r="AU636" t="s">
        <v>231</v>
      </c>
      <c r="AV636" t="s">
        <v>231</v>
      </c>
      <c r="AW636" t="s">
        <v>231</v>
      </c>
      <c r="AX636" t="s">
        <v>231</v>
      </c>
      <c r="AY636" t="s">
        <v>231</v>
      </c>
      <c r="AZ636" t="s">
        <v>231</v>
      </c>
      <c r="BA636" t="s">
        <v>231</v>
      </c>
      <c r="BB636" t="s">
        <v>231</v>
      </c>
      <c r="BC636" t="s">
        <v>231</v>
      </c>
      <c r="BD636" t="s">
        <v>231</v>
      </c>
      <c r="BE636" t="s">
        <v>3689</v>
      </c>
      <c r="BF636" t="s">
        <v>3689</v>
      </c>
      <c r="BG636" t="s">
        <v>111</v>
      </c>
      <c r="BH636" t="s">
        <v>3632</v>
      </c>
      <c r="BI636" t="s">
        <v>122</v>
      </c>
      <c r="BJ636" t="s">
        <v>231</v>
      </c>
      <c r="BK636" t="s">
        <v>3651</v>
      </c>
      <c r="BL636" t="s">
        <v>2283</v>
      </c>
      <c r="BM636" t="s">
        <v>2283</v>
      </c>
      <c r="BN636" t="s">
        <v>3690</v>
      </c>
      <c r="BO636" t="s">
        <v>4001</v>
      </c>
      <c r="BP636" t="s">
        <v>4005</v>
      </c>
      <c r="BQ636" t="s">
        <v>3609</v>
      </c>
      <c r="BR636" t="s">
        <v>3655</v>
      </c>
      <c r="BS636" t="s">
        <v>231</v>
      </c>
      <c r="BT636" t="s">
        <v>3694</v>
      </c>
      <c r="BU636" t="s">
        <v>4009</v>
      </c>
      <c r="BV636" t="s">
        <v>4009</v>
      </c>
      <c r="BW636" t="s">
        <v>3641</v>
      </c>
      <c r="BX636" t="s">
        <v>3641</v>
      </c>
      <c r="BY636" t="s">
        <v>3641</v>
      </c>
      <c r="BZ636" t="s">
        <v>3641</v>
      </c>
      <c r="CA636" t="s">
        <v>3641</v>
      </c>
      <c r="CB636" t="s">
        <v>231</v>
      </c>
      <c r="CC636" t="s">
        <v>231</v>
      </c>
      <c r="CD636" t="s">
        <v>231</v>
      </c>
      <c r="CE636" t="s">
        <v>231</v>
      </c>
      <c r="CF636" t="s">
        <v>231</v>
      </c>
      <c r="CG636" t="s">
        <v>3641</v>
      </c>
      <c r="CH636" t="s">
        <v>231</v>
      </c>
      <c r="CI636" t="s">
        <v>231</v>
      </c>
      <c r="CJ636" t="s">
        <v>231</v>
      </c>
      <c r="CK636" t="s">
        <v>231</v>
      </c>
      <c r="CL636" t="s">
        <v>231</v>
      </c>
      <c r="CM636" t="s">
        <v>4009</v>
      </c>
      <c r="CN636" t="s">
        <v>4009</v>
      </c>
      <c r="CO636" t="s">
        <v>231</v>
      </c>
      <c r="CP636" t="s">
        <v>231</v>
      </c>
      <c r="CQ636" t="s">
        <v>231</v>
      </c>
      <c r="CR636" t="s">
        <v>231</v>
      </c>
      <c r="CS636" t="s">
        <v>3549</v>
      </c>
      <c r="CT636" t="s">
        <v>3534</v>
      </c>
      <c r="CU636" t="s">
        <v>3535</v>
      </c>
      <c r="CV636" t="s">
        <v>3536</v>
      </c>
      <c r="CW636" t="s">
        <v>3551</v>
      </c>
      <c r="CX636" t="s">
        <v>223</v>
      </c>
      <c r="CY636" t="s">
        <v>3536</v>
      </c>
      <c r="CZ636" t="s">
        <v>3552</v>
      </c>
      <c r="DA636" t="s">
        <v>3553</v>
      </c>
      <c r="DB636" t="s">
        <v>3551</v>
      </c>
      <c r="DC636" t="s">
        <v>363</v>
      </c>
      <c r="DD636" t="s">
        <v>282</v>
      </c>
      <c r="DE636" t="s">
        <v>4010</v>
      </c>
    </row>
    <row r="637" spans="1:109" ht="11.25" customHeight="1">
      <c r="A637" s="1314" t="s">
        <v>231</v>
      </c>
      <c r="B637" t="s">
        <v>231</v>
      </c>
      <c r="C637" t="s">
        <v>231</v>
      </c>
      <c r="D637" t="s">
        <v>231</v>
      </c>
      <c r="E637" t="s">
        <v>231</v>
      </c>
      <c r="F637" t="s">
        <v>231</v>
      </c>
      <c r="G637" t="s">
        <v>231</v>
      </c>
      <c r="H637" t="s">
        <v>231</v>
      </c>
      <c r="I637" t="s">
        <v>3521</v>
      </c>
      <c r="J637" t="s">
        <v>231</v>
      </c>
      <c r="K637" t="s">
        <v>231</v>
      </c>
      <c r="L637" t="s">
        <v>231</v>
      </c>
      <c r="M637" t="s">
        <v>231</v>
      </c>
      <c r="N637" t="s">
        <v>231</v>
      </c>
      <c r="O637" t="s">
        <v>231</v>
      </c>
      <c r="P637" t="s">
        <v>231</v>
      </c>
      <c r="Q637" t="s">
        <v>231</v>
      </c>
      <c r="R637" t="s">
        <v>4829</v>
      </c>
      <c r="S637" t="s">
        <v>231</v>
      </c>
      <c r="T637" t="s">
        <v>231</v>
      </c>
      <c r="U637" t="s">
        <v>101</v>
      </c>
      <c r="V637" t="s">
        <v>231</v>
      </c>
      <c r="W637" t="s">
        <v>231</v>
      </c>
      <c r="X637" t="s">
        <v>3523</v>
      </c>
      <c r="Y637" t="s">
        <v>231</v>
      </c>
      <c r="Z637" t="s">
        <v>160</v>
      </c>
      <c r="AA637" t="s">
        <v>151</v>
      </c>
      <c r="AB637" t="s">
        <v>151</v>
      </c>
      <c r="AC637" t="s">
        <v>2283</v>
      </c>
      <c r="AD637" t="s">
        <v>2283</v>
      </c>
      <c r="AE637" t="s">
        <v>2284</v>
      </c>
      <c r="AF637" t="s">
        <v>4676</v>
      </c>
      <c r="AG637" t="s">
        <v>4677</v>
      </c>
      <c r="AH637" t="s">
        <v>4382</v>
      </c>
      <c r="AI637" t="s">
        <v>4830</v>
      </c>
      <c r="AJ637" t="s">
        <v>3546</v>
      </c>
      <c r="AK637" t="s">
        <v>3547</v>
      </c>
      <c r="AL637" t="s">
        <v>3548</v>
      </c>
      <c r="AM637" t="s">
        <v>3531</v>
      </c>
      <c r="AN637" t="s">
        <v>3549</v>
      </c>
      <c r="AO637" t="s">
        <v>4831</v>
      </c>
      <c r="AP637" t="s">
        <v>231</v>
      </c>
      <c r="AQ637" t="s">
        <v>231</v>
      </c>
      <c r="AR637" t="s">
        <v>231</v>
      </c>
      <c r="AS637" t="s">
        <v>231</v>
      </c>
      <c r="AT637" t="s">
        <v>231</v>
      </c>
      <c r="AU637" t="s">
        <v>231</v>
      </c>
      <c r="AV637" t="s">
        <v>231</v>
      </c>
      <c r="AW637" t="s">
        <v>231</v>
      </c>
      <c r="AX637" t="s">
        <v>231</v>
      </c>
      <c r="AY637" t="s">
        <v>231</v>
      </c>
      <c r="AZ637" t="s">
        <v>231</v>
      </c>
      <c r="BA637" t="s">
        <v>231</v>
      </c>
      <c r="BB637" t="s">
        <v>231</v>
      </c>
      <c r="BC637" t="s">
        <v>231</v>
      </c>
      <c r="BD637" t="s">
        <v>231</v>
      </c>
      <c r="BE637" t="s">
        <v>231</v>
      </c>
      <c r="BF637" t="s">
        <v>231</v>
      </c>
      <c r="BG637" t="s">
        <v>231</v>
      </c>
      <c r="BH637" t="s">
        <v>231</v>
      </c>
      <c r="BI637" t="s">
        <v>231</v>
      </c>
      <c r="BJ637" t="s">
        <v>231</v>
      </c>
      <c r="BK637" t="s">
        <v>231</v>
      </c>
      <c r="BL637" t="s">
        <v>231</v>
      </c>
      <c r="BM637" t="s">
        <v>231</v>
      </c>
      <c r="BN637" t="s">
        <v>231</v>
      </c>
      <c r="BO637" t="s">
        <v>231</v>
      </c>
      <c r="BP637" t="s">
        <v>231</v>
      </c>
      <c r="BQ637" t="s">
        <v>231</v>
      </c>
      <c r="BR637" t="s">
        <v>231</v>
      </c>
      <c r="BS637" t="s">
        <v>231</v>
      </c>
      <c r="BT637" t="s">
        <v>231</v>
      </c>
      <c r="BU637" t="s">
        <v>231</v>
      </c>
      <c r="BV637" t="s">
        <v>231</v>
      </c>
      <c r="BW637" t="s">
        <v>231</v>
      </c>
      <c r="BX637" t="s">
        <v>231</v>
      </c>
      <c r="BY637" t="s">
        <v>231</v>
      </c>
      <c r="BZ637" t="s">
        <v>231</v>
      </c>
      <c r="CA637" t="s">
        <v>231</v>
      </c>
      <c r="CB637" t="s">
        <v>231</v>
      </c>
      <c r="CC637" t="s">
        <v>231</v>
      </c>
      <c r="CD637" t="s">
        <v>231</v>
      </c>
      <c r="CE637" t="s">
        <v>231</v>
      </c>
      <c r="CF637" t="s">
        <v>231</v>
      </c>
      <c r="CG637" t="s">
        <v>231</v>
      </c>
      <c r="CH637" t="s">
        <v>231</v>
      </c>
      <c r="CI637" t="s">
        <v>231</v>
      </c>
      <c r="CJ637" t="s">
        <v>231</v>
      </c>
      <c r="CK637" t="s">
        <v>231</v>
      </c>
      <c r="CL637" t="s">
        <v>231</v>
      </c>
      <c r="CM637" t="s">
        <v>231</v>
      </c>
      <c r="CN637" t="s">
        <v>231</v>
      </c>
      <c r="CO637" t="s">
        <v>231</v>
      </c>
      <c r="CP637" t="s">
        <v>231</v>
      </c>
      <c r="CQ637" t="s">
        <v>231</v>
      </c>
      <c r="CR637" t="s">
        <v>231</v>
      </c>
      <c r="CS637" t="s">
        <v>231</v>
      </c>
      <c r="CT637" t="s">
        <v>3534</v>
      </c>
      <c r="CU637" t="s">
        <v>3535</v>
      </c>
      <c r="CV637" t="s">
        <v>3536</v>
      </c>
      <c r="CW637" t="s">
        <v>3551</v>
      </c>
      <c r="CX637" t="s">
        <v>223</v>
      </c>
      <c r="CY637" t="s">
        <v>3536</v>
      </c>
      <c r="CZ637" t="s">
        <v>3552</v>
      </c>
      <c r="DA637" t="s">
        <v>3553</v>
      </c>
      <c r="DB637" t="s">
        <v>3551</v>
      </c>
      <c r="DC637" t="s">
        <v>363</v>
      </c>
      <c r="DD637" t="s">
        <v>282</v>
      </c>
      <c r="DE637" t="s">
        <v>4832</v>
      </c>
    </row>
    <row r="638" spans="1:109" ht="11.25" customHeight="1">
      <c r="A638" s="1314" t="s">
        <v>231</v>
      </c>
      <c r="B638" t="s">
        <v>231</v>
      </c>
      <c r="C638" t="s">
        <v>231</v>
      </c>
      <c r="D638" t="s">
        <v>231</v>
      </c>
      <c r="E638" t="s">
        <v>231</v>
      </c>
      <c r="F638" t="s">
        <v>231</v>
      </c>
      <c r="G638" t="s">
        <v>231</v>
      </c>
      <c r="H638" t="s">
        <v>231</v>
      </c>
      <c r="I638" t="s">
        <v>3521</v>
      </c>
      <c r="J638" t="s">
        <v>231</v>
      </c>
      <c r="K638" t="s">
        <v>231</v>
      </c>
      <c r="L638" t="s">
        <v>231</v>
      </c>
      <c r="M638" t="s">
        <v>231</v>
      </c>
      <c r="N638" t="s">
        <v>231</v>
      </c>
      <c r="O638" t="s">
        <v>231</v>
      </c>
      <c r="P638" t="s">
        <v>231</v>
      </c>
      <c r="Q638" t="s">
        <v>231</v>
      </c>
      <c r="R638" t="s">
        <v>3685</v>
      </c>
      <c r="S638" t="s">
        <v>231</v>
      </c>
      <c r="T638" t="s">
        <v>231</v>
      </c>
      <c r="U638" t="s">
        <v>101</v>
      </c>
      <c r="V638" t="s">
        <v>231</v>
      </c>
      <c r="W638" t="s">
        <v>231</v>
      </c>
      <c r="X638" t="s">
        <v>3628</v>
      </c>
      <c r="Y638" t="s">
        <v>231</v>
      </c>
      <c r="Z638" t="s">
        <v>151</v>
      </c>
      <c r="AA638" t="s">
        <v>151</v>
      </c>
      <c r="AB638" t="s">
        <v>160</v>
      </c>
      <c r="AC638" t="s">
        <v>2283</v>
      </c>
      <c r="AD638" t="s">
        <v>2283</v>
      </c>
      <c r="AE638" t="s">
        <v>2284</v>
      </c>
      <c r="AF638" t="s">
        <v>3542</v>
      </c>
      <c r="AG638" t="s">
        <v>3543</v>
      </c>
      <c r="AH638" t="s">
        <v>3544</v>
      </c>
      <c r="AI638" t="s">
        <v>3545</v>
      </c>
      <c r="AJ638" t="s">
        <v>231</v>
      </c>
      <c r="AK638" t="s">
        <v>231</v>
      </c>
      <c r="AL638" t="s">
        <v>231</v>
      </c>
      <c r="AM638" t="s">
        <v>231</v>
      </c>
      <c r="AN638" t="s">
        <v>231</v>
      </c>
      <c r="AO638" t="s">
        <v>231</v>
      </c>
      <c r="AP638" t="s">
        <v>231</v>
      </c>
      <c r="AQ638" t="s">
        <v>231</v>
      </c>
      <c r="AR638" t="s">
        <v>231</v>
      </c>
      <c r="AS638" t="s">
        <v>231</v>
      </c>
      <c r="AT638" t="s">
        <v>231</v>
      </c>
      <c r="AU638" t="s">
        <v>231</v>
      </c>
      <c r="AV638" t="s">
        <v>231</v>
      </c>
      <c r="AW638" t="s">
        <v>231</v>
      </c>
      <c r="AX638" t="s">
        <v>231</v>
      </c>
      <c r="AY638" t="s">
        <v>231</v>
      </c>
      <c r="AZ638" t="s">
        <v>231</v>
      </c>
      <c r="BA638" t="s">
        <v>231</v>
      </c>
      <c r="BB638" t="s">
        <v>231</v>
      </c>
      <c r="BC638" t="s">
        <v>231</v>
      </c>
      <c r="BD638" t="s">
        <v>231</v>
      </c>
      <c r="BE638" t="s">
        <v>3689</v>
      </c>
      <c r="BF638" t="s">
        <v>3689</v>
      </c>
      <c r="BG638" t="s">
        <v>111</v>
      </c>
      <c r="BH638" t="s">
        <v>3632</v>
      </c>
      <c r="BI638" t="s">
        <v>122</v>
      </c>
      <c r="BJ638" t="s">
        <v>231</v>
      </c>
      <c r="BK638" t="s">
        <v>3651</v>
      </c>
      <c r="BL638" t="s">
        <v>2283</v>
      </c>
      <c r="BM638" t="s">
        <v>2283</v>
      </c>
      <c r="BN638" t="s">
        <v>3690</v>
      </c>
      <c r="BO638" t="s">
        <v>3542</v>
      </c>
      <c r="BP638" t="s">
        <v>4833</v>
      </c>
      <c r="BQ638" t="s">
        <v>3544</v>
      </c>
      <c r="BR638" t="s">
        <v>4452</v>
      </c>
      <c r="BS638" t="s">
        <v>231</v>
      </c>
      <c r="BT638" t="s">
        <v>3694</v>
      </c>
      <c r="BU638" t="s">
        <v>4834</v>
      </c>
      <c r="BV638" t="s">
        <v>4834</v>
      </c>
      <c r="BW638" t="s">
        <v>3641</v>
      </c>
      <c r="BX638" t="s">
        <v>3641</v>
      </c>
      <c r="BY638" t="s">
        <v>3641</v>
      </c>
      <c r="BZ638" t="s">
        <v>3641</v>
      </c>
      <c r="CA638" t="s">
        <v>3641</v>
      </c>
      <c r="CB638" t="s">
        <v>231</v>
      </c>
      <c r="CC638" t="s">
        <v>231</v>
      </c>
      <c r="CD638" t="s">
        <v>231</v>
      </c>
      <c r="CE638" t="s">
        <v>231</v>
      </c>
      <c r="CF638" t="s">
        <v>231</v>
      </c>
      <c r="CG638" t="s">
        <v>3641</v>
      </c>
      <c r="CH638" t="s">
        <v>231</v>
      </c>
      <c r="CI638" t="s">
        <v>231</v>
      </c>
      <c r="CJ638" t="s">
        <v>231</v>
      </c>
      <c r="CK638" t="s">
        <v>231</v>
      </c>
      <c r="CL638" t="s">
        <v>231</v>
      </c>
      <c r="CM638" t="s">
        <v>4834</v>
      </c>
      <c r="CN638" t="s">
        <v>4834</v>
      </c>
      <c r="CO638" t="s">
        <v>231</v>
      </c>
      <c r="CP638" t="s">
        <v>231</v>
      </c>
      <c r="CQ638" t="s">
        <v>231</v>
      </c>
      <c r="CR638" t="s">
        <v>231</v>
      </c>
      <c r="CS638" t="s">
        <v>3549</v>
      </c>
      <c r="CT638" t="s">
        <v>3534</v>
      </c>
      <c r="CU638" t="s">
        <v>3535</v>
      </c>
      <c r="CV638" t="s">
        <v>3536</v>
      </c>
      <c r="CW638" t="s">
        <v>3551</v>
      </c>
      <c r="CX638" t="s">
        <v>223</v>
      </c>
      <c r="CY638" t="s">
        <v>3536</v>
      </c>
      <c r="CZ638" t="s">
        <v>3552</v>
      </c>
      <c r="DA638" t="s">
        <v>3553</v>
      </c>
      <c r="DB638" t="s">
        <v>3551</v>
      </c>
      <c r="DC638" t="s">
        <v>363</v>
      </c>
      <c r="DD638" t="s">
        <v>282</v>
      </c>
      <c r="DE638" t="s">
        <v>3554</v>
      </c>
    </row>
    <row r="639" spans="1:109" ht="11.25" customHeight="1">
      <c r="A639" s="1314" t="s">
        <v>231</v>
      </c>
      <c r="B639" t="s">
        <v>231</v>
      </c>
      <c r="C639" t="s">
        <v>231</v>
      </c>
      <c r="D639" t="s">
        <v>231</v>
      </c>
      <c r="E639" t="s">
        <v>231</v>
      </c>
      <c r="F639" t="s">
        <v>231</v>
      </c>
      <c r="G639" t="s">
        <v>231</v>
      </c>
      <c r="H639" t="s">
        <v>231</v>
      </c>
      <c r="I639" t="s">
        <v>3521</v>
      </c>
      <c r="J639" t="s">
        <v>231</v>
      </c>
      <c r="K639" t="s">
        <v>231</v>
      </c>
      <c r="L639" t="s">
        <v>231</v>
      </c>
      <c r="M639" t="s">
        <v>231</v>
      </c>
      <c r="N639" t="s">
        <v>231</v>
      </c>
      <c r="O639" t="s">
        <v>231</v>
      </c>
      <c r="P639" t="s">
        <v>231</v>
      </c>
      <c r="Q639" t="s">
        <v>231</v>
      </c>
      <c r="R639" t="s">
        <v>3555</v>
      </c>
      <c r="S639" t="s">
        <v>231</v>
      </c>
      <c r="T639" t="s">
        <v>231</v>
      </c>
      <c r="U639" t="s">
        <v>101</v>
      </c>
      <c r="V639" t="s">
        <v>231</v>
      </c>
      <c r="W639" t="s">
        <v>231</v>
      </c>
      <c r="X639" t="s">
        <v>3523</v>
      </c>
      <c r="Y639" t="s">
        <v>231</v>
      </c>
      <c r="Z639" t="s">
        <v>160</v>
      </c>
      <c r="AA639" t="s">
        <v>151</v>
      </c>
      <c r="AB639" t="s">
        <v>151</v>
      </c>
      <c r="AC639" t="s">
        <v>2289</v>
      </c>
      <c r="AD639" t="s">
        <v>2289</v>
      </c>
      <c r="AE639" t="s">
        <v>2290</v>
      </c>
      <c r="AF639" t="s">
        <v>3793</v>
      </c>
      <c r="AG639" t="s">
        <v>3794</v>
      </c>
      <c r="AH639" t="s">
        <v>4133</v>
      </c>
      <c r="AI639" t="s">
        <v>4134</v>
      </c>
      <c r="AJ639" t="s">
        <v>3619</v>
      </c>
      <c r="AK639" t="s">
        <v>3586</v>
      </c>
      <c r="AL639" t="s">
        <v>3548</v>
      </c>
      <c r="AM639" t="s">
        <v>3531</v>
      </c>
      <c r="AN639" t="s">
        <v>3529</v>
      </c>
      <c r="AO639" t="s">
        <v>4135</v>
      </c>
      <c r="AP639" t="s">
        <v>231</v>
      </c>
      <c r="AQ639" t="s">
        <v>231</v>
      </c>
      <c r="AR639" t="s">
        <v>231</v>
      </c>
      <c r="AS639" t="s">
        <v>231</v>
      </c>
      <c r="AT639" t="s">
        <v>231</v>
      </c>
      <c r="AU639" t="s">
        <v>231</v>
      </c>
      <c r="AV639" t="s">
        <v>231</v>
      </c>
      <c r="AW639" t="s">
        <v>231</v>
      </c>
      <c r="AX639" t="s">
        <v>231</v>
      </c>
      <c r="AY639" t="s">
        <v>231</v>
      </c>
      <c r="AZ639" t="s">
        <v>231</v>
      </c>
      <c r="BA639" t="s">
        <v>231</v>
      </c>
      <c r="BB639" t="s">
        <v>231</v>
      </c>
      <c r="BC639" t="s">
        <v>231</v>
      </c>
      <c r="BD639" t="s">
        <v>231</v>
      </c>
      <c r="BE639" t="s">
        <v>231</v>
      </c>
      <c r="BF639" t="s">
        <v>231</v>
      </c>
      <c r="BG639" t="s">
        <v>231</v>
      </c>
      <c r="BH639" t="s">
        <v>231</v>
      </c>
      <c r="BI639" t="s">
        <v>231</v>
      </c>
      <c r="BJ639" t="s">
        <v>231</v>
      </c>
      <c r="BK639" t="s">
        <v>231</v>
      </c>
      <c r="BL639" t="s">
        <v>231</v>
      </c>
      <c r="BM639" t="s">
        <v>231</v>
      </c>
      <c r="BN639" t="s">
        <v>231</v>
      </c>
      <c r="BO639" t="s">
        <v>231</v>
      </c>
      <c r="BP639" t="s">
        <v>231</v>
      </c>
      <c r="BQ639" t="s">
        <v>231</v>
      </c>
      <c r="BR639" t="s">
        <v>231</v>
      </c>
      <c r="BS639" t="s">
        <v>231</v>
      </c>
      <c r="BT639" t="s">
        <v>231</v>
      </c>
      <c r="BU639" t="s">
        <v>231</v>
      </c>
      <c r="BV639" t="s">
        <v>231</v>
      </c>
      <c r="BW639" t="s">
        <v>231</v>
      </c>
      <c r="BX639" t="s">
        <v>231</v>
      </c>
      <c r="BY639" t="s">
        <v>231</v>
      </c>
      <c r="BZ639" t="s">
        <v>231</v>
      </c>
      <c r="CA639" t="s">
        <v>231</v>
      </c>
      <c r="CB639" t="s">
        <v>231</v>
      </c>
      <c r="CC639" t="s">
        <v>231</v>
      </c>
      <c r="CD639" t="s">
        <v>231</v>
      </c>
      <c r="CE639" t="s">
        <v>231</v>
      </c>
      <c r="CF639" t="s">
        <v>231</v>
      </c>
      <c r="CG639" t="s">
        <v>231</v>
      </c>
      <c r="CH639" t="s">
        <v>231</v>
      </c>
      <c r="CI639" t="s">
        <v>231</v>
      </c>
      <c r="CJ639" t="s">
        <v>231</v>
      </c>
      <c r="CK639" t="s">
        <v>231</v>
      </c>
      <c r="CL639" t="s">
        <v>231</v>
      </c>
      <c r="CM639" t="s">
        <v>231</v>
      </c>
      <c r="CN639" t="s">
        <v>231</v>
      </c>
      <c r="CO639" t="s">
        <v>231</v>
      </c>
      <c r="CP639" t="s">
        <v>231</v>
      </c>
      <c r="CQ639" t="s">
        <v>231</v>
      </c>
      <c r="CR639" t="s">
        <v>231</v>
      </c>
      <c r="CS639" t="s">
        <v>231</v>
      </c>
      <c r="CT639" t="s">
        <v>3534</v>
      </c>
      <c r="CU639" t="s">
        <v>3535</v>
      </c>
      <c r="CV639" t="s">
        <v>3536</v>
      </c>
      <c r="CW639" t="s">
        <v>3589</v>
      </c>
      <c r="CX639" t="s">
        <v>223</v>
      </c>
      <c r="CY639" t="s">
        <v>3536</v>
      </c>
      <c r="CZ639" t="s">
        <v>3590</v>
      </c>
      <c r="DA639" t="s">
        <v>3591</v>
      </c>
      <c r="DB639" t="s">
        <v>3589</v>
      </c>
      <c r="DC639" t="s">
        <v>363</v>
      </c>
      <c r="DD639" t="s">
        <v>282</v>
      </c>
      <c r="DE639" t="s">
        <v>4136</v>
      </c>
    </row>
    <row r="640" spans="1:109" ht="11.25" customHeight="1">
      <c r="A640" s="1314" t="s">
        <v>231</v>
      </c>
      <c r="B640" t="s">
        <v>231</v>
      </c>
      <c r="C640" t="s">
        <v>231</v>
      </c>
      <c r="D640" t="s">
        <v>231</v>
      </c>
      <c r="E640" t="s">
        <v>231</v>
      </c>
      <c r="F640" t="s">
        <v>231</v>
      </c>
      <c r="G640" t="s">
        <v>231</v>
      </c>
      <c r="H640" t="s">
        <v>231</v>
      </c>
      <c r="I640" t="s">
        <v>3521</v>
      </c>
      <c r="J640" t="s">
        <v>231</v>
      </c>
      <c r="K640" t="s">
        <v>231</v>
      </c>
      <c r="L640" t="s">
        <v>231</v>
      </c>
      <c r="M640" t="s">
        <v>231</v>
      </c>
      <c r="N640" t="s">
        <v>231</v>
      </c>
      <c r="O640" t="s">
        <v>231</v>
      </c>
      <c r="P640" t="s">
        <v>231</v>
      </c>
      <c r="Q640" t="s">
        <v>231</v>
      </c>
      <c r="R640" t="s">
        <v>3615</v>
      </c>
      <c r="S640" t="s">
        <v>231</v>
      </c>
      <c r="T640" t="s">
        <v>231</v>
      </c>
      <c r="U640" t="s">
        <v>101</v>
      </c>
      <c r="V640" t="s">
        <v>231</v>
      </c>
      <c r="W640" t="s">
        <v>231</v>
      </c>
      <c r="X640" t="s">
        <v>3523</v>
      </c>
      <c r="Y640" t="s">
        <v>231</v>
      </c>
      <c r="Z640" t="s">
        <v>160</v>
      </c>
      <c r="AA640" t="s">
        <v>151</v>
      </c>
      <c r="AB640" t="s">
        <v>151</v>
      </c>
      <c r="AC640" t="s">
        <v>2289</v>
      </c>
      <c r="AD640" t="s">
        <v>2289</v>
      </c>
      <c r="AE640" t="s">
        <v>2290</v>
      </c>
      <c r="AF640" t="s">
        <v>3793</v>
      </c>
      <c r="AG640" t="s">
        <v>3794</v>
      </c>
      <c r="AH640" t="s">
        <v>4137</v>
      </c>
      <c r="AI640" t="s">
        <v>4138</v>
      </c>
      <c r="AJ640" t="s">
        <v>3619</v>
      </c>
      <c r="AK640" t="s">
        <v>3586</v>
      </c>
      <c r="AL640" t="s">
        <v>3548</v>
      </c>
      <c r="AM640" t="s">
        <v>3531</v>
      </c>
      <c r="AN640" t="s">
        <v>3595</v>
      </c>
      <c r="AO640" t="s">
        <v>3796</v>
      </c>
      <c r="AP640" t="s">
        <v>231</v>
      </c>
      <c r="AQ640" t="s">
        <v>231</v>
      </c>
      <c r="AR640" t="s">
        <v>231</v>
      </c>
      <c r="AS640" t="s">
        <v>231</v>
      </c>
      <c r="AT640" t="s">
        <v>231</v>
      </c>
      <c r="AU640" t="s">
        <v>231</v>
      </c>
      <c r="AV640" t="s">
        <v>231</v>
      </c>
      <c r="AW640" t="s">
        <v>231</v>
      </c>
      <c r="AX640" t="s">
        <v>231</v>
      </c>
      <c r="AY640" t="s">
        <v>231</v>
      </c>
      <c r="AZ640" t="s">
        <v>231</v>
      </c>
      <c r="BA640" t="s">
        <v>231</v>
      </c>
      <c r="BB640" t="s">
        <v>231</v>
      </c>
      <c r="BC640" t="s">
        <v>231</v>
      </c>
      <c r="BD640" t="s">
        <v>231</v>
      </c>
      <c r="BE640" t="s">
        <v>231</v>
      </c>
      <c r="BF640" t="s">
        <v>231</v>
      </c>
      <c r="BG640" t="s">
        <v>231</v>
      </c>
      <c r="BH640" t="s">
        <v>231</v>
      </c>
      <c r="BI640" t="s">
        <v>231</v>
      </c>
      <c r="BJ640" t="s">
        <v>231</v>
      </c>
      <c r="BK640" t="s">
        <v>231</v>
      </c>
      <c r="BL640" t="s">
        <v>231</v>
      </c>
      <c r="BM640" t="s">
        <v>231</v>
      </c>
      <c r="BN640" t="s">
        <v>231</v>
      </c>
      <c r="BO640" t="s">
        <v>231</v>
      </c>
      <c r="BP640" t="s">
        <v>231</v>
      </c>
      <c r="BQ640" t="s">
        <v>231</v>
      </c>
      <c r="BR640" t="s">
        <v>231</v>
      </c>
      <c r="BS640" t="s">
        <v>231</v>
      </c>
      <c r="BT640" t="s">
        <v>231</v>
      </c>
      <c r="BU640" t="s">
        <v>231</v>
      </c>
      <c r="BV640" t="s">
        <v>231</v>
      </c>
      <c r="BW640" t="s">
        <v>231</v>
      </c>
      <c r="BX640" t="s">
        <v>231</v>
      </c>
      <c r="BY640" t="s">
        <v>231</v>
      </c>
      <c r="BZ640" t="s">
        <v>231</v>
      </c>
      <c r="CA640" t="s">
        <v>231</v>
      </c>
      <c r="CB640" t="s">
        <v>231</v>
      </c>
      <c r="CC640" t="s">
        <v>231</v>
      </c>
      <c r="CD640" t="s">
        <v>231</v>
      </c>
      <c r="CE640" t="s">
        <v>231</v>
      </c>
      <c r="CF640" t="s">
        <v>231</v>
      </c>
      <c r="CG640" t="s">
        <v>231</v>
      </c>
      <c r="CH640" t="s">
        <v>231</v>
      </c>
      <c r="CI640" t="s">
        <v>231</v>
      </c>
      <c r="CJ640" t="s">
        <v>231</v>
      </c>
      <c r="CK640" t="s">
        <v>231</v>
      </c>
      <c r="CL640" t="s">
        <v>231</v>
      </c>
      <c r="CM640" t="s">
        <v>231</v>
      </c>
      <c r="CN640" t="s">
        <v>231</v>
      </c>
      <c r="CO640" t="s">
        <v>231</v>
      </c>
      <c r="CP640" t="s">
        <v>231</v>
      </c>
      <c r="CQ640" t="s">
        <v>231</v>
      </c>
      <c r="CR640" t="s">
        <v>231</v>
      </c>
      <c r="CS640" t="s">
        <v>231</v>
      </c>
      <c r="CT640" t="s">
        <v>3534</v>
      </c>
      <c r="CU640" t="s">
        <v>3535</v>
      </c>
      <c r="CV640" t="s">
        <v>3536</v>
      </c>
      <c r="CW640" t="s">
        <v>3589</v>
      </c>
      <c r="CX640" t="s">
        <v>223</v>
      </c>
      <c r="CY640" t="s">
        <v>3536</v>
      </c>
      <c r="CZ640" t="s">
        <v>3590</v>
      </c>
      <c r="DA640" t="s">
        <v>3591</v>
      </c>
      <c r="DB640" t="s">
        <v>3589</v>
      </c>
      <c r="DC640" t="s">
        <v>363</v>
      </c>
      <c r="DD640" t="s">
        <v>282</v>
      </c>
      <c r="DE640" t="s">
        <v>4139</v>
      </c>
    </row>
    <row r="641" spans="1:109" ht="11.25" customHeight="1">
      <c r="A641" s="1314" t="s">
        <v>231</v>
      </c>
      <c r="B641" t="s">
        <v>231</v>
      </c>
      <c r="C641" t="s">
        <v>231</v>
      </c>
      <c r="D641" t="s">
        <v>231</v>
      </c>
      <c r="E641" t="s">
        <v>231</v>
      </c>
      <c r="F641" t="s">
        <v>231</v>
      </c>
      <c r="G641" t="s">
        <v>231</v>
      </c>
      <c r="H641" t="s">
        <v>231</v>
      </c>
      <c r="I641" t="s">
        <v>3521</v>
      </c>
      <c r="J641" t="s">
        <v>231</v>
      </c>
      <c r="K641" t="s">
        <v>231</v>
      </c>
      <c r="L641" t="s">
        <v>231</v>
      </c>
      <c r="M641" t="s">
        <v>231</v>
      </c>
      <c r="N641" t="s">
        <v>231</v>
      </c>
      <c r="O641" t="s">
        <v>231</v>
      </c>
      <c r="P641" t="s">
        <v>231</v>
      </c>
      <c r="Q641" t="s">
        <v>231</v>
      </c>
      <c r="R641" t="s">
        <v>4204</v>
      </c>
      <c r="S641" t="s">
        <v>231</v>
      </c>
      <c r="T641" t="s">
        <v>231</v>
      </c>
      <c r="U641" t="s">
        <v>101</v>
      </c>
      <c r="V641" t="s">
        <v>231</v>
      </c>
      <c r="W641" t="s">
        <v>231</v>
      </c>
      <c r="X641" t="s">
        <v>3628</v>
      </c>
      <c r="Y641" t="s">
        <v>231</v>
      </c>
      <c r="Z641" t="s">
        <v>151</v>
      </c>
      <c r="AA641" t="s">
        <v>151</v>
      </c>
      <c r="AB641" t="s">
        <v>160</v>
      </c>
      <c r="AC641" t="s">
        <v>2289</v>
      </c>
      <c r="AD641" t="s">
        <v>2289</v>
      </c>
      <c r="AE641" t="s">
        <v>2290</v>
      </c>
      <c r="AF641" t="s">
        <v>3816</v>
      </c>
      <c r="AG641" t="s">
        <v>3817</v>
      </c>
      <c r="AH641" t="s">
        <v>3618</v>
      </c>
      <c r="AI641" t="s">
        <v>3618</v>
      </c>
      <c r="AJ641" t="s">
        <v>231</v>
      </c>
      <c r="AK641" t="s">
        <v>231</v>
      </c>
      <c r="AL641" t="s">
        <v>231</v>
      </c>
      <c r="AM641" t="s">
        <v>231</v>
      </c>
      <c r="AN641" t="s">
        <v>231</v>
      </c>
      <c r="AO641" t="s">
        <v>231</v>
      </c>
      <c r="AP641" t="s">
        <v>231</v>
      </c>
      <c r="AQ641" t="s">
        <v>231</v>
      </c>
      <c r="AR641" t="s">
        <v>231</v>
      </c>
      <c r="AS641" t="s">
        <v>231</v>
      </c>
      <c r="AT641" t="s">
        <v>231</v>
      </c>
      <c r="AU641" t="s">
        <v>231</v>
      </c>
      <c r="AV641" t="s">
        <v>231</v>
      </c>
      <c r="AW641" t="s">
        <v>231</v>
      </c>
      <c r="AX641" t="s">
        <v>231</v>
      </c>
      <c r="AY641" t="s">
        <v>231</v>
      </c>
      <c r="AZ641" t="s">
        <v>231</v>
      </c>
      <c r="BA641" t="s">
        <v>231</v>
      </c>
      <c r="BB641" t="s">
        <v>231</v>
      </c>
      <c r="BC641" t="s">
        <v>231</v>
      </c>
      <c r="BD641" t="s">
        <v>231</v>
      </c>
      <c r="BE641" t="s">
        <v>3594</v>
      </c>
      <c r="BF641" t="s">
        <v>3586</v>
      </c>
      <c r="BG641" t="s">
        <v>111</v>
      </c>
      <c r="BH641" t="s">
        <v>3632</v>
      </c>
      <c r="BI641" t="s">
        <v>122</v>
      </c>
      <c r="BJ641" t="s">
        <v>231</v>
      </c>
      <c r="BK641" t="s">
        <v>3651</v>
      </c>
      <c r="BL641" t="s">
        <v>2289</v>
      </c>
      <c r="BM641" t="s">
        <v>2289</v>
      </c>
      <c r="BN641" t="s">
        <v>3707</v>
      </c>
      <c r="BO641" t="s">
        <v>3816</v>
      </c>
      <c r="BP641" t="s">
        <v>4201</v>
      </c>
      <c r="BQ641" t="s">
        <v>3618</v>
      </c>
      <c r="BR641" t="s">
        <v>3618</v>
      </c>
      <c r="BS641" t="s">
        <v>231</v>
      </c>
      <c r="BT641" t="s">
        <v>4205</v>
      </c>
      <c r="BU641" t="s">
        <v>4206</v>
      </c>
      <c r="BV641" t="s">
        <v>4206</v>
      </c>
      <c r="BW641" t="s">
        <v>3641</v>
      </c>
      <c r="BX641" t="s">
        <v>3641</v>
      </c>
      <c r="BY641" t="s">
        <v>3641</v>
      </c>
      <c r="BZ641" t="s">
        <v>3641</v>
      </c>
      <c r="CA641" t="s">
        <v>3641</v>
      </c>
      <c r="CB641" t="s">
        <v>231</v>
      </c>
      <c r="CC641" t="s">
        <v>231</v>
      </c>
      <c r="CD641" t="s">
        <v>231</v>
      </c>
      <c r="CE641" t="s">
        <v>231</v>
      </c>
      <c r="CF641" t="s">
        <v>231</v>
      </c>
      <c r="CG641" t="s">
        <v>3641</v>
      </c>
      <c r="CH641" t="s">
        <v>231</v>
      </c>
      <c r="CI641" t="s">
        <v>231</v>
      </c>
      <c r="CJ641" t="s">
        <v>231</v>
      </c>
      <c r="CK641" t="s">
        <v>231</v>
      </c>
      <c r="CL641" t="s">
        <v>231</v>
      </c>
      <c r="CM641" t="s">
        <v>4206</v>
      </c>
      <c r="CN641" t="s">
        <v>4206</v>
      </c>
      <c r="CO641" t="s">
        <v>231</v>
      </c>
      <c r="CP641" t="s">
        <v>231</v>
      </c>
      <c r="CQ641" t="s">
        <v>231</v>
      </c>
      <c r="CR641" t="s">
        <v>231</v>
      </c>
      <c r="CS641" t="s">
        <v>3710</v>
      </c>
      <c r="CT641" t="s">
        <v>3534</v>
      </c>
      <c r="CU641" t="s">
        <v>3535</v>
      </c>
      <c r="CV641" t="s">
        <v>3536</v>
      </c>
      <c r="CW641" t="s">
        <v>3589</v>
      </c>
      <c r="CX641" t="s">
        <v>223</v>
      </c>
      <c r="CY641" t="s">
        <v>3536</v>
      </c>
      <c r="CZ641" t="s">
        <v>3590</v>
      </c>
      <c r="DA641" t="s">
        <v>3591</v>
      </c>
      <c r="DB641" t="s">
        <v>3589</v>
      </c>
      <c r="DC641" t="s">
        <v>363</v>
      </c>
      <c r="DD641" t="s">
        <v>282</v>
      </c>
      <c r="DE641" t="s">
        <v>4203</v>
      </c>
    </row>
    <row r="642" spans="1:109" ht="11.25" customHeight="1">
      <c r="A642" s="1314" t="s">
        <v>231</v>
      </c>
      <c r="B642" t="s">
        <v>231</v>
      </c>
      <c r="C642" t="s">
        <v>231</v>
      </c>
      <c r="D642" t="s">
        <v>231</v>
      </c>
      <c r="E642" t="s">
        <v>231</v>
      </c>
      <c r="F642" t="s">
        <v>231</v>
      </c>
      <c r="G642" t="s">
        <v>231</v>
      </c>
      <c r="H642" t="s">
        <v>231</v>
      </c>
      <c r="I642" t="s">
        <v>3521</v>
      </c>
      <c r="J642" t="s">
        <v>231</v>
      </c>
      <c r="K642" t="s">
        <v>231</v>
      </c>
      <c r="L642" t="s">
        <v>231</v>
      </c>
      <c r="M642" t="s">
        <v>231</v>
      </c>
      <c r="N642" t="s">
        <v>231</v>
      </c>
      <c r="O642" t="s">
        <v>231</v>
      </c>
      <c r="P642" t="s">
        <v>231</v>
      </c>
      <c r="Q642" t="s">
        <v>231</v>
      </c>
      <c r="R642" t="s">
        <v>4207</v>
      </c>
      <c r="S642" t="s">
        <v>231</v>
      </c>
      <c r="T642" t="s">
        <v>231</v>
      </c>
      <c r="U642" t="s">
        <v>101</v>
      </c>
      <c r="V642" t="s">
        <v>231</v>
      </c>
      <c r="W642" t="s">
        <v>231</v>
      </c>
      <c r="X642" t="s">
        <v>3628</v>
      </c>
      <c r="Y642" t="s">
        <v>231</v>
      </c>
      <c r="Z642" t="s">
        <v>151</v>
      </c>
      <c r="AA642" t="s">
        <v>151</v>
      </c>
      <c r="AB642" t="s">
        <v>160</v>
      </c>
      <c r="AC642" t="s">
        <v>2289</v>
      </c>
      <c r="AD642" t="s">
        <v>2289</v>
      </c>
      <c r="AE642" t="s">
        <v>2290</v>
      </c>
      <c r="AF642" t="s">
        <v>3816</v>
      </c>
      <c r="AG642" t="s">
        <v>3817</v>
      </c>
      <c r="AH642" t="s">
        <v>4208</v>
      </c>
      <c r="AI642" t="s">
        <v>4209</v>
      </c>
      <c r="AJ642" t="s">
        <v>231</v>
      </c>
      <c r="AK642" t="s">
        <v>231</v>
      </c>
      <c r="AL642" t="s">
        <v>231</v>
      </c>
      <c r="AM642" t="s">
        <v>231</v>
      </c>
      <c r="AN642" t="s">
        <v>231</v>
      </c>
      <c r="AO642" t="s">
        <v>231</v>
      </c>
      <c r="AP642" t="s">
        <v>231</v>
      </c>
      <c r="AQ642" t="s">
        <v>231</v>
      </c>
      <c r="AR642" t="s">
        <v>231</v>
      </c>
      <c r="AS642" t="s">
        <v>231</v>
      </c>
      <c r="AT642" t="s">
        <v>231</v>
      </c>
      <c r="AU642" t="s">
        <v>231</v>
      </c>
      <c r="AV642" t="s">
        <v>231</v>
      </c>
      <c r="AW642" t="s">
        <v>231</v>
      </c>
      <c r="AX642" t="s">
        <v>231</v>
      </c>
      <c r="AY642" t="s">
        <v>231</v>
      </c>
      <c r="AZ642" t="s">
        <v>231</v>
      </c>
      <c r="BA642" t="s">
        <v>231</v>
      </c>
      <c r="BB642" t="s">
        <v>231</v>
      </c>
      <c r="BC642" t="s">
        <v>231</v>
      </c>
      <c r="BD642" t="s">
        <v>231</v>
      </c>
      <c r="BE642" t="s">
        <v>3594</v>
      </c>
      <c r="BF642" t="s">
        <v>3586</v>
      </c>
      <c r="BG642" t="s">
        <v>111</v>
      </c>
      <c r="BH642" t="s">
        <v>3632</v>
      </c>
      <c r="BI642" t="s">
        <v>122</v>
      </c>
      <c r="BJ642" t="s">
        <v>231</v>
      </c>
      <c r="BK642" t="s">
        <v>3651</v>
      </c>
      <c r="BL642" t="s">
        <v>2289</v>
      </c>
      <c r="BM642" t="s">
        <v>2289</v>
      </c>
      <c r="BN642" t="s">
        <v>3707</v>
      </c>
      <c r="BO642" t="s">
        <v>3816</v>
      </c>
      <c r="BP642" t="s">
        <v>4201</v>
      </c>
      <c r="BQ642" t="s">
        <v>4208</v>
      </c>
      <c r="BR642" t="s">
        <v>4209</v>
      </c>
      <c r="BS642" t="s">
        <v>231</v>
      </c>
      <c r="BT642" t="s">
        <v>4205</v>
      </c>
      <c r="BU642" t="s">
        <v>4210</v>
      </c>
      <c r="BV642" t="s">
        <v>4210</v>
      </c>
      <c r="BW642" t="s">
        <v>3641</v>
      </c>
      <c r="BX642" t="s">
        <v>3641</v>
      </c>
      <c r="BY642" t="s">
        <v>3641</v>
      </c>
      <c r="BZ642" t="s">
        <v>3641</v>
      </c>
      <c r="CA642" t="s">
        <v>3641</v>
      </c>
      <c r="CB642" t="s">
        <v>231</v>
      </c>
      <c r="CC642" t="s">
        <v>231</v>
      </c>
      <c r="CD642" t="s">
        <v>231</v>
      </c>
      <c r="CE642" t="s">
        <v>231</v>
      </c>
      <c r="CF642" t="s">
        <v>231</v>
      </c>
      <c r="CG642" t="s">
        <v>3641</v>
      </c>
      <c r="CH642" t="s">
        <v>231</v>
      </c>
      <c r="CI642" t="s">
        <v>231</v>
      </c>
      <c r="CJ642" t="s">
        <v>231</v>
      </c>
      <c r="CK642" t="s">
        <v>231</v>
      </c>
      <c r="CL642" t="s">
        <v>231</v>
      </c>
      <c r="CM642" t="s">
        <v>4210</v>
      </c>
      <c r="CN642" t="s">
        <v>4210</v>
      </c>
      <c r="CO642" t="s">
        <v>231</v>
      </c>
      <c r="CP642" t="s">
        <v>231</v>
      </c>
      <c r="CQ642" t="s">
        <v>231</v>
      </c>
      <c r="CR642" t="s">
        <v>231</v>
      </c>
      <c r="CS642" t="s">
        <v>3710</v>
      </c>
      <c r="CT642" t="s">
        <v>3534</v>
      </c>
      <c r="CU642" t="s">
        <v>3535</v>
      </c>
      <c r="CV642" t="s">
        <v>3536</v>
      </c>
      <c r="CW642" t="s">
        <v>3589</v>
      </c>
      <c r="CX642" t="s">
        <v>223</v>
      </c>
      <c r="CY642" t="s">
        <v>3536</v>
      </c>
      <c r="CZ642" t="s">
        <v>3590</v>
      </c>
      <c r="DA642" t="s">
        <v>3591</v>
      </c>
      <c r="DB642" t="s">
        <v>3589</v>
      </c>
      <c r="DC642" t="s">
        <v>363</v>
      </c>
      <c r="DD642" t="s">
        <v>282</v>
      </c>
      <c r="DE642" t="s">
        <v>4211</v>
      </c>
    </row>
    <row r="643" spans="1:109" ht="11.25" customHeight="1">
      <c r="A643" s="1314" t="s">
        <v>231</v>
      </c>
      <c r="B643" t="s">
        <v>231</v>
      </c>
      <c r="C643" t="s">
        <v>231</v>
      </c>
      <c r="D643" t="s">
        <v>231</v>
      </c>
      <c r="E643" t="s">
        <v>231</v>
      </c>
      <c r="F643" t="s">
        <v>231</v>
      </c>
      <c r="G643" t="s">
        <v>231</v>
      </c>
      <c r="H643" t="s">
        <v>231</v>
      </c>
      <c r="I643" t="s">
        <v>3521</v>
      </c>
      <c r="J643" t="s">
        <v>231</v>
      </c>
      <c r="K643" t="s">
        <v>231</v>
      </c>
      <c r="L643" t="s">
        <v>231</v>
      </c>
      <c r="M643" t="s">
        <v>231</v>
      </c>
      <c r="N643" t="s">
        <v>231</v>
      </c>
      <c r="O643" t="s">
        <v>231</v>
      </c>
      <c r="P643" t="s">
        <v>231</v>
      </c>
      <c r="Q643" t="s">
        <v>231</v>
      </c>
      <c r="R643" t="s">
        <v>3615</v>
      </c>
      <c r="S643" t="s">
        <v>231</v>
      </c>
      <c r="T643" t="s">
        <v>231</v>
      </c>
      <c r="U643" t="s">
        <v>101</v>
      </c>
      <c r="V643" t="s">
        <v>231</v>
      </c>
      <c r="W643" t="s">
        <v>231</v>
      </c>
      <c r="X643" t="s">
        <v>3523</v>
      </c>
      <c r="Y643" t="s">
        <v>231</v>
      </c>
      <c r="Z643" t="s">
        <v>160</v>
      </c>
      <c r="AA643" t="s">
        <v>151</v>
      </c>
      <c r="AB643" t="s">
        <v>151</v>
      </c>
      <c r="AC643" t="s">
        <v>2289</v>
      </c>
      <c r="AD643" t="s">
        <v>2289</v>
      </c>
      <c r="AE643" t="s">
        <v>2290</v>
      </c>
      <c r="AF643" t="s">
        <v>4212</v>
      </c>
      <c r="AG643" t="s">
        <v>4213</v>
      </c>
      <c r="AH643" t="s">
        <v>4477</v>
      </c>
      <c r="AI643" t="s">
        <v>4383</v>
      </c>
      <c r="AJ643" t="s">
        <v>3594</v>
      </c>
      <c r="AK643" t="s">
        <v>3586</v>
      </c>
      <c r="AL643" t="s">
        <v>3548</v>
      </c>
      <c r="AM643" t="s">
        <v>3531</v>
      </c>
      <c r="AN643" t="s">
        <v>3595</v>
      </c>
      <c r="AO643" t="s">
        <v>3882</v>
      </c>
      <c r="AP643" t="s">
        <v>231</v>
      </c>
      <c r="AQ643" t="s">
        <v>231</v>
      </c>
      <c r="AR643" t="s">
        <v>231</v>
      </c>
      <c r="AS643" t="s">
        <v>231</v>
      </c>
      <c r="AT643" t="s">
        <v>231</v>
      </c>
      <c r="AU643" t="s">
        <v>231</v>
      </c>
      <c r="AV643" t="s">
        <v>231</v>
      </c>
      <c r="AW643" t="s">
        <v>231</v>
      </c>
      <c r="AX643" t="s">
        <v>231</v>
      </c>
      <c r="AY643" t="s">
        <v>231</v>
      </c>
      <c r="AZ643" t="s">
        <v>231</v>
      </c>
      <c r="BA643" t="s">
        <v>231</v>
      </c>
      <c r="BB643" t="s">
        <v>231</v>
      </c>
      <c r="BC643" t="s">
        <v>231</v>
      </c>
      <c r="BD643" t="s">
        <v>231</v>
      </c>
      <c r="BE643" t="s">
        <v>231</v>
      </c>
      <c r="BF643" t="s">
        <v>231</v>
      </c>
      <c r="BG643" t="s">
        <v>231</v>
      </c>
      <c r="BH643" t="s">
        <v>231</v>
      </c>
      <c r="BI643" t="s">
        <v>231</v>
      </c>
      <c r="BJ643" t="s">
        <v>231</v>
      </c>
      <c r="BK643" t="s">
        <v>231</v>
      </c>
      <c r="BL643" t="s">
        <v>231</v>
      </c>
      <c r="BM643" t="s">
        <v>231</v>
      </c>
      <c r="BN643" t="s">
        <v>231</v>
      </c>
      <c r="BO643" t="s">
        <v>231</v>
      </c>
      <c r="BP643" t="s">
        <v>231</v>
      </c>
      <c r="BQ643" t="s">
        <v>231</v>
      </c>
      <c r="BR643" t="s">
        <v>231</v>
      </c>
      <c r="BS643" t="s">
        <v>231</v>
      </c>
      <c r="BT643" t="s">
        <v>231</v>
      </c>
      <c r="BU643" t="s">
        <v>231</v>
      </c>
      <c r="BV643" t="s">
        <v>231</v>
      </c>
      <c r="BW643" t="s">
        <v>231</v>
      </c>
      <c r="BX643" t="s">
        <v>231</v>
      </c>
      <c r="BY643" t="s">
        <v>231</v>
      </c>
      <c r="BZ643" t="s">
        <v>231</v>
      </c>
      <c r="CA643" t="s">
        <v>231</v>
      </c>
      <c r="CB643" t="s">
        <v>231</v>
      </c>
      <c r="CC643" t="s">
        <v>231</v>
      </c>
      <c r="CD643" t="s">
        <v>231</v>
      </c>
      <c r="CE643" t="s">
        <v>231</v>
      </c>
      <c r="CF643" t="s">
        <v>231</v>
      </c>
      <c r="CG643" t="s">
        <v>231</v>
      </c>
      <c r="CH643" t="s">
        <v>231</v>
      </c>
      <c r="CI643" t="s">
        <v>231</v>
      </c>
      <c r="CJ643" t="s">
        <v>231</v>
      </c>
      <c r="CK643" t="s">
        <v>231</v>
      </c>
      <c r="CL643" t="s">
        <v>231</v>
      </c>
      <c r="CM643" t="s">
        <v>231</v>
      </c>
      <c r="CN643" t="s">
        <v>231</v>
      </c>
      <c r="CO643" t="s">
        <v>231</v>
      </c>
      <c r="CP643" t="s">
        <v>231</v>
      </c>
      <c r="CQ643" t="s">
        <v>231</v>
      </c>
      <c r="CR643" t="s">
        <v>231</v>
      </c>
      <c r="CS643" t="s">
        <v>231</v>
      </c>
      <c r="CT643" t="s">
        <v>3534</v>
      </c>
      <c r="CU643" t="s">
        <v>3535</v>
      </c>
      <c r="CV643" t="s">
        <v>3536</v>
      </c>
      <c r="CW643" t="s">
        <v>3589</v>
      </c>
      <c r="CX643" t="s">
        <v>223</v>
      </c>
      <c r="CY643" t="s">
        <v>3536</v>
      </c>
      <c r="CZ643" t="s">
        <v>3590</v>
      </c>
      <c r="DA643" t="s">
        <v>3591</v>
      </c>
      <c r="DB643" t="s">
        <v>3589</v>
      </c>
      <c r="DC643" t="s">
        <v>363</v>
      </c>
      <c r="DD643" t="s">
        <v>282</v>
      </c>
      <c r="DE643" t="s">
        <v>4478</v>
      </c>
    </row>
    <row r="644" spans="1:109" ht="11.25" customHeight="1">
      <c r="A644" s="1314" t="s">
        <v>231</v>
      </c>
      <c r="B644" t="s">
        <v>231</v>
      </c>
      <c r="C644" t="s">
        <v>231</v>
      </c>
      <c r="D644" t="s">
        <v>231</v>
      </c>
      <c r="E644" t="s">
        <v>231</v>
      </c>
      <c r="F644" t="s">
        <v>231</v>
      </c>
      <c r="G644" t="s">
        <v>231</v>
      </c>
      <c r="H644" t="s">
        <v>231</v>
      </c>
      <c r="I644" t="s">
        <v>3521</v>
      </c>
      <c r="J644" t="s">
        <v>231</v>
      </c>
      <c r="K644" t="s">
        <v>231</v>
      </c>
      <c r="L644" t="s">
        <v>231</v>
      </c>
      <c r="M644" t="s">
        <v>231</v>
      </c>
      <c r="N644" t="s">
        <v>231</v>
      </c>
      <c r="O644" t="s">
        <v>231</v>
      </c>
      <c r="P644" t="s">
        <v>231</v>
      </c>
      <c r="Q644" t="s">
        <v>231</v>
      </c>
      <c r="R644" t="s">
        <v>3555</v>
      </c>
      <c r="S644" t="s">
        <v>231</v>
      </c>
      <c r="T644" t="s">
        <v>231</v>
      </c>
      <c r="U644" t="s">
        <v>101</v>
      </c>
      <c r="V644" t="s">
        <v>231</v>
      </c>
      <c r="W644" t="s">
        <v>231</v>
      </c>
      <c r="X644" t="s">
        <v>3523</v>
      </c>
      <c r="Y644" t="s">
        <v>231</v>
      </c>
      <c r="Z644" t="s">
        <v>160</v>
      </c>
      <c r="AA644" t="s">
        <v>151</v>
      </c>
      <c r="AB644" t="s">
        <v>151</v>
      </c>
      <c r="AC644" t="s">
        <v>2289</v>
      </c>
      <c r="AD644" t="s">
        <v>2289</v>
      </c>
      <c r="AE644" t="s">
        <v>2290</v>
      </c>
      <c r="AF644" t="s">
        <v>3930</v>
      </c>
      <c r="AG644" t="s">
        <v>3931</v>
      </c>
      <c r="AH644" t="s">
        <v>4439</v>
      </c>
      <c r="AI644" t="s">
        <v>4613</v>
      </c>
      <c r="AJ644" t="s">
        <v>3594</v>
      </c>
      <c r="AK644" t="s">
        <v>3820</v>
      </c>
      <c r="AL644" t="s">
        <v>3548</v>
      </c>
      <c r="AM644" t="s">
        <v>3531</v>
      </c>
      <c r="AN644" t="s">
        <v>3595</v>
      </c>
      <c r="AO644" t="s">
        <v>3790</v>
      </c>
      <c r="AP644" t="s">
        <v>231</v>
      </c>
      <c r="AQ644" t="s">
        <v>231</v>
      </c>
      <c r="AR644" t="s">
        <v>231</v>
      </c>
      <c r="AS644" t="s">
        <v>231</v>
      </c>
      <c r="AT644" t="s">
        <v>231</v>
      </c>
      <c r="AU644" t="s">
        <v>231</v>
      </c>
      <c r="AV644" t="s">
        <v>231</v>
      </c>
      <c r="AW644" t="s">
        <v>231</v>
      </c>
      <c r="AX644" t="s">
        <v>231</v>
      </c>
      <c r="AY644" t="s">
        <v>231</v>
      </c>
      <c r="AZ644" t="s">
        <v>231</v>
      </c>
      <c r="BA644" t="s">
        <v>231</v>
      </c>
      <c r="BB644" t="s">
        <v>231</v>
      </c>
      <c r="BC644" t="s">
        <v>231</v>
      </c>
      <c r="BD644" t="s">
        <v>231</v>
      </c>
      <c r="BE644" t="s">
        <v>231</v>
      </c>
      <c r="BF644" t="s">
        <v>231</v>
      </c>
      <c r="BG644" t="s">
        <v>231</v>
      </c>
      <c r="BH644" t="s">
        <v>231</v>
      </c>
      <c r="BI644" t="s">
        <v>231</v>
      </c>
      <c r="BJ644" t="s">
        <v>231</v>
      </c>
      <c r="BK644" t="s">
        <v>231</v>
      </c>
      <c r="BL644" t="s">
        <v>231</v>
      </c>
      <c r="BM644" t="s">
        <v>231</v>
      </c>
      <c r="BN644" t="s">
        <v>231</v>
      </c>
      <c r="BO644" t="s">
        <v>231</v>
      </c>
      <c r="BP644" t="s">
        <v>231</v>
      </c>
      <c r="BQ644" t="s">
        <v>231</v>
      </c>
      <c r="BR644" t="s">
        <v>231</v>
      </c>
      <c r="BS644" t="s">
        <v>231</v>
      </c>
      <c r="BT644" t="s">
        <v>231</v>
      </c>
      <c r="BU644" t="s">
        <v>231</v>
      </c>
      <c r="BV644" t="s">
        <v>231</v>
      </c>
      <c r="BW644" t="s">
        <v>231</v>
      </c>
      <c r="BX644" t="s">
        <v>231</v>
      </c>
      <c r="BY644" t="s">
        <v>231</v>
      </c>
      <c r="BZ644" t="s">
        <v>231</v>
      </c>
      <c r="CA644" t="s">
        <v>231</v>
      </c>
      <c r="CB644" t="s">
        <v>231</v>
      </c>
      <c r="CC644" t="s">
        <v>231</v>
      </c>
      <c r="CD644" t="s">
        <v>231</v>
      </c>
      <c r="CE644" t="s">
        <v>231</v>
      </c>
      <c r="CF644" t="s">
        <v>231</v>
      </c>
      <c r="CG644" t="s">
        <v>231</v>
      </c>
      <c r="CH644" t="s">
        <v>231</v>
      </c>
      <c r="CI644" t="s">
        <v>231</v>
      </c>
      <c r="CJ644" t="s">
        <v>231</v>
      </c>
      <c r="CK644" t="s">
        <v>231</v>
      </c>
      <c r="CL644" t="s">
        <v>231</v>
      </c>
      <c r="CM644" t="s">
        <v>231</v>
      </c>
      <c r="CN644" t="s">
        <v>231</v>
      </c>
      <c r="CO644" t="s">
        <v>231</v>
      </c>
      <c r="CP644" t="s">
        <v>231</v>
      </c>
      <c r="CQ644" t="s">
        <v>231</v>
      </c>
      <c r="CR644" t="s">
        <v>231</v>
      </c>
      <c r="CS644" t="s">
        <v>231</v>
      </c>
      <c r="CT644" t="s">
        <v>3534</v>
      </c>
      <c r="CU644" t="s">
        <v>3535</v>
      </c>
      <c r="CV644" t="s">
        <v>3536</v>
      </c>
      <c r="CW644" t="s">
        <v>3589</v>
      </c>
      <c r="CX644" t="s">
        <v>223</v>
      </c>
      <c r="CY644" t="s">
        <v>3536</v>
      </c>
      <c r="CZ644" t="s">
        <v>3590</v>
      </c>
      <c r="DA644" t="s">
        <v>3591</v>
      </c>
      <c r="DB644" t="s">
        <v>3589</v>
      </c>
      <c r="DC644" t="s">
        <v>363</v>
      </c>
      <c r="DD644" t="s">
        <v>282</v>
      </c>
      <c r="DE644" t="s">
        <v>4638</v>
      </c>
    </row>
    <row r="645" spans="1:109" ht="11.25" customHeight="1">
      <c r="A645" s="1314" t="s">
        <v>231</v>
      </c>
      <c r="B645" t="s">
        <v>231</v>
      </c>
      <c r="C645" t="s">
        <v>231</v>
      </c>
      <c r="D645" t="s">
        <v>231</v>
      </c>
      <c r="E645" t="s">
        <v>231</v>
      </c>
      <c r="F645" t="s">
        <v>231</v>
      </c>
      <c r="G645" t="s">
        <v>231</v>
      </c>
      <c r="H645" t="s">
        <v>231</v>
      </c>
      <c r="I645" t="s">
        <v>3521</v>
      </c>
      <c r="J645" t="s">
        <v>231</v>
      </c>
      <c r="K645" t="s">
        <v>231</v>
      </c>
      <c r="L645" t="s">
        <v>231</v>
      </c>
      <c r="M645" t="s">
        <v>231</v>
      </c>
      <c r="N645" t="s">
        <v>231</v>
      </c>
      <c r="O645" t="s">
        <v>231</v>
      </c>
      <c r="P645" t="s">
        <v>231</v>
      </c>
      <c r="Q645" t="s">
        <v>231</v>
      </c>
      <c r="R645" t="s">
        <v>3615</v>
      </c>
      <c r="S645" t="s">
        <v>231</v>
      </c>
      <c r="T645" t="s">
        <v>231</v>
      </c>
      <c r="U645" t="s">
        <v>101</v>
      </c>
      <c r="V645" t="s">
        <v>231</v>
      </c>
      <c r="W645" t="s">
        <v>231</v>
      </c>
      <c r="X645" t="s">
        <v>3523</v>
      </c>
      <c r="Y645" t="s">
        <v>231</v>
      </c>
      <c r="Z645" t="s">
        <v>160</v>
      </c>
      <c r="AA645" t="s">
        <v>151</v>
      </c>
      <c r="AB645" t="s">
        <v>151</v>
      </c>
      <c r="AC645" t="s">
        <v>2289</v>
      </c>
      <c r="AD645" t="s">
        <v>2289</v>
      </c>
      <c r="AE645" t="s">
        <v>2290</v>
      </c>
      <c r="AF645" t="s">
        <v>3930</v>
      </c>
      <c r="AG645" t="s">
        <v>3931</v>
      </c>
      <c r="AH645" t="s">
        <v>3932</v>
      </c>
      <c r="AI645" t="s">
        <v>3754</v>
      </c>
      <c r="AJ645" t="s">
        <v>3594</v>
      </c>
      <c r="AK645" t="s">
        <v>3820</v>
      </c>
      <c r="AL645" t="s">
        <v>3548</v>
      </c>
      <c r="AM645" t="s">
        <v>3531</v>
      </c>
      <c r="AN645" t="s">
        <v>3595</v>
      </c>
      <c r="AO645" t="s">
        <v>3933</v>
      </c>
      <c r="AP645" t="s">
        <v>231</v>
      </c>
      <c r="AQ645" t="s">
        <v>231</v>
      </c>
      <c r="AR645" t="s">
        <v>231</v>
      </c>
      <c r="AS645" t="s">
        <v>231</v>
      </c>
      <c r="AT645" t="s">
        <v>231</v>
      </c>
      <c r="AU645" t="s">
        <v>231</v>
      </c>
      <c r="AV645" t="s">
        <v>231</v>
      </c>
      <c r="AW645" t="s">
        <v>231</v>
      </c>
      <c r="AX645" t="s">
        <v>231</v>
      </c>
      <c r="AY645" t="s">
        <v>231</v>
      </c>
      <c r="AZ645" t="s">
        <v>231</v>
      </c>
      <c r="BA645" t="s">
        <v>231</v>
      </c>
      <c r="BB645" t="s">
        <v>231</v>
      </c>
      <c r="BC645" t="s">
        <v>231</v>
      </c>
      <c r="BD645" t="s">
        <v>231</v>
      </c>
      <c r="BE645" t="s">
        <v>231</v>
      </c>
      <c r="BF645" t="s">
        <v>231</v>
      </c>
      <c r="BG645" t="s">
        <v>231</v>
      </c>
      <c r="BH645" t="s">
        <v>231</v>
      </c>
      <c r="BI645" t="s">
        <v>231</v>
      </c>
      <c r="BJ645" t="s">
        <v>231</v>
      </c>
      <c r="BK645" t="s">
        <v>231</v>
      </c>
      <c r="BL645" t="s">
        <v>231</v>
      </c>
      <c r="BM645" t="s">
        <v>231</v>
      </c>
      <c r="BN645" t="s">
        <v>231</v>
      </c>
      <c r="BO645" t="s">
        <v>231</v>
      </c>
      <c r="BP645" t="s">
        <v>231</v>
      </c>
      <c r="BQ645" t="s">
        <v>231</v>
      </c>
      <c r="BR645" t="s">
        <v>231</v>
      </c>
      <c r="BS645" t="s">
        <v>231</v>
      </c>
      <c r="BT645" t="s">
        <v>231</v>
      </c>
      <c r="BU645" t="s">
        <v>231</v>
      </c>
      <c r="BV645" t="s">
        <v>231</v>
      </c>
      <c r="BW645" t="s">
        <v>231</v>
      </c>
      <c r="BX645" t="s">
        <v>231</v>
      </c>
      <c r="BY645" t="s">
        <v>231</v>
      </c>
      <c r="BZ645" t="s">
        <v>231</v>
      </c>
      <c r="CA645" t="s">
        <v>231</v>
      </c>
      <c r="CB645" t="s">
        <v>231</v>
      </c>
      <c r="CC645" t="s">
        <v>231</v>
      </c>
      <c r="CD645" t="s">
        <v>231</v>
      </c>
      <c r="CE645" t="s">
        <v>231</v>
      </c>
      <c r="CF645" t="s">
        <v>231</v>
      </c>
      <c r="CG645" t="s">
        <v>231</v>
      </c>
      <c r="CH645" t="s">
        <v>231</v>
      </c>
      <c r="CI645" t="s">
        <v>231</v>
      </c>
      <c r="CJ645" t="s">
        <v>231</v>
      </c>
      <c r="CK645" t="s">
        <v>231</v>
      </c>
      <c r="CL645" t="s">
        <v>231</v>
      </c>
      <c r="CM645" t="s">
        <v>231</v>
      </c>
      <c r="CN645" t="s">
        <v>231</v>
      </c>
      <c r="CO645" t="s">
        <v>231</v>
      </c>
      <c r="CP645" t="s">
        <v>231</v>
      </c>
      <c r="CQ645" t="s">
        <v>231</v>
      </c>
      <c r="CR645" t="s">
        <v>231</v>
      </c>
      <c r="CS645" t="s">
        <v>231</v>
      </c>
      <c r="CT645" t="s">
        <v>3534</v>
      </c>
      <c r="CU645" t="s">
        <v>3535</v>
      </c>
      <c r="CV645" t="s">
        <v>3536</v>
      </c>
      <c r="CW645" t="s">
        <v>3589</v>
      </c>
      <c r="CX645" t="s">
        <v>223</v>
      </c>
      <c r="CY645" t="s">
        <v>3536</v>
      </c>
      <c r="CZ645" t="s">
        <v>3590</v>
      </c>
      <c r="DA645" t="s">
        <v>3591</v>
      </c>
      <c r="DB645" t="s">
        <v>3589</v>
      </c>
      <c r="DC645" t="s">
        <v>363</v>
      </c>
      <c r="DD645" t="s">
        <v>282</v>
      </c>
      <c r="DE645" t="s">
        <v>3934</v>
      </c>
    </row>
    <row r="646" spans="1:109" ht="11.25" customHeight="1">
      <c r="A646" s="1314" t="s">
        <v>231</v>
      </c>
      <c r="B646" t="s">
        <v>231</v>
      </c>
      <c r="C646" t="s">
        <v>231</v>
      </c>
      <c r="D646" t="s">
        <v>231</v>
      </c>
      <c r="E646" t="s">
        <v>231</v>
      </c>
      <c r="F646" t="s">
        <v>231</v>
      </c>
      <c r="G646" t="s">
        <v>231</v>
      </c>
      <c r="H646" t="s">
        <v>231</v>
      </c>
      <c r="I646" t="s">
        <v>3521</v>
      </c>
      <c r="J646" t="s">
        <v>231</v>
      </c>
      <c r="K646" t="s">
        <v>231</v>
      </c>
      <c r="L646" t="s">
        <v>231</v>
      </c>
      <c r="M646" t="s">
        <v>231</v>
      </c>
      <c r="N646" t="s">
        <v>231</v>
      </c>
      <c r="O646" t="s">
        <v>231</v>
      </c>
      <c r="P646" t="s">
        <v>231</v>
      </c>
      <c r="Q646" t="s">
        <v>231</v>
      </c>
      <c r="R646" t="s">
        <v>3942</v>
      </c>
      <c r="S646" t="s">
        <v>231</v>
      </c>
      <c r="T646" t="s">
        <v>231</v>
      </c>
      <c r="U646" t="s">
        <v>101</v>
      </c>
      <c r="V646" t="s">
        <v>231</v>
      </c>
      <c r="W646" t="s">
        <v>231</v>
      </c>
      <c r="X646" t="s">
        <v>3523</v>
      </c>
      <c r="Y646" t="s">
        <v>231</v>
      </c>
      <c r="Z646" t="s">
        <v>160</v>
      </c>
      <c r="AA646" t="s">
        <v>151</v>
      </c>
      <c r="AB646" t="s">
        <v>151</v>
      </c>
      <c r="AC646" t="s">
        <v>2289</v>
      </c>
      <c r="AD646" t="s">
        <v>2289</v>
      </c>
      <c r="AE646" t="s">
        <v>2290</v>
      </c>
      <c r="AF646" t="s">
        <v>3816</v>
      </c>
      <c r="AG646" t="s">
        <v>3817</v>
      </c>
      <c r="AH646" t="s">
        <v>3795</v>
      </c>
      <c r="AI646" t="s">
        <v>3943</v>
      </c>
      <c r="AJ646" t="s">
        <v>3546</v>
      </c>
      <c r="AK646" t="s">
        <v>3775</v>
      </c>
      <c r="AL646" t="s">
        <v>3548</v>
      </c>
      <c r="AM646" t="s">
        <v>3531</v>
      </c>
      <c r="AN646" t="s">
        <v>3595</v>
      </c>
      <c r="AO646" t="s">
        <v>3656</v>
      </c>
      <c r="AP646" t="s">
        <v>231</v>
      </c>
      <c r="AQ646" t="s">
        <v>231</v>
      </c>
      <c r="AR646" t="s">
        <v>231</v>
      </c>
      <c r="AS646" t="s">
        <v>231</v>
      </c>
      <c r="AT646" t="s">
        <v>231</v>
      </c>
      <c r="AU646" t="s">
        <v>231</v>
      </c>
      <c r="AV646" t="s">
        <v>231</v>
      </c>
      <c r="AW646" t="s">
        <v>231</v>
      </c>
      <c r="AX646" t="s">
        <v>231</v>
      </c>
      <c r="AY646" t="s">
        <v>231</v>
      </c>
      <c r="AZ646" t="s">
        <v>231</v>
      </c>
      <c r="BA646" t="s">
        <v>231</v>
      </c>
      <c r="BB646" t="s">
        <v>231</v>
      </c>
      <c r="BC646" t="s">
        <v>231</v>
      </c>
      <c r="BD646" t="s">
        <v>231</v>
      </c>
      <c r="BE646" t="s">
        <v>231</v>
      </c>
      <c r="BF646" t="s">
        <v>231</v>
      </c>
      <c r="BG646" t="s">
        <v>231</v>
      </c>
      <c r="BH646" t="s">
        <v>231</v>
      </c>
      <c r="BI646" t="s">
        <v>231</v>
      </c>
      <c r="BJ646" t="s">
        <v>231</v>
      </c>
      <c r="BK646" t="s">
        <v>231</v>
      </c>
      <c r="BL646" t="s">
        <v>231</v>
      </c>
      <c r="BM646" t="s">
        <v>231</v>
      </c>
      <c r="BN646" t="s">
        <v>231</v>
      </c>
      <c r="BO646" t="s">
        <v>231</v>
      </c>
      <c r="BP646" t="s">
        <v>231</v>
      </c>
      <c r="BQ646" t="s">
        <v>231</v>
      </c>
      <c r="BR646" t="s">
        <v>231</v>
      </c>
      <c r="BS646" t="s">
        <v>231</v>
      </c>
      <c r="BT646" t="s">
        <v>231</v>
      </c>
      <c r="BU646" t="s">
        <v>231</v>
      </c>
      <c r="BV646" t="s">
        <v>231</v>
      </c>
      <c r="BW646" t="s">
        <v>231</v>
      </c>
      <c r="BX646" t="s">
        <v>231</v>
      </c>
      <c r="BY646" t="s">
        <v>231</v>
      </c>
      <c r="BZ646" t="s">
        <v>231</v>
      </c>
      <c r="CA646" t="s">
        <v>231</v>
      </c>
      <c r="CB646" t="s">
        <v>231</v>
      </c>
      <c r="CC646" t="s">
        <v>231</v>
      </c>
      <c r="CD646" t="s">
        <v>231</v>
      </c>
      <c r="CE646" t="s">
        <v>231</v>
      </c>
      <c r="CF646" t="s">
        <v>231</v>
      </c>
      <c r="CG646" t="s">
        <v>231</v>
      </c>
      <c r="CH646" t="s">
        <v>231</v>
      </c>
      <c r="CI646" t="s">
        <v>231</v>
      </c>
      <c r="CJ646" t="s">
        <v>231</v>
      </c>
      <c r="CK646" t="s">
        <v>231</v>
      </c>
      <c r="CL646" t="s">
        <v>231</v>
      </c>
      <c r="CM646" t="s">
        <v>231</v>
      </c>
      <c r="CN646" t="s">
        <v>231</v>
      </c>
      <c r="CO646" t="s">
        <v>231</v>
      </c>
      <c r="CP646" t="s">
        <v>231</v>
      </c>
      <c r="CQ646" t="s">
        <v>231</v>
      </c>
      <c r="CR646" t="s">
        <v>231</v>
      </c>
      <c r="CS646" t="s">
        <v>231</v>
      </c>
      <c r="CT646" t="s">
        <v>3534</v>
      </c>
      <c r="CU646" t="s">
        <v>3535</v>
      </c>
      <c r="CV646" t="s">
        <v>3536</v>
      </c>
      <c r="CW646" t="s">
        <v>3589</v>
      </c>
      <c r="CX646" t="s">
        <v>223</v>
      </c>
      <c r="CY646" t="s">
        <v>3536</v>
      </c>
      <c r="CZ646" t="s">
        <v>3590</v>
      </c>
      <c r="DA646" t="s">
        <v>3591</v>
      </c>
      <c r="DB646" t="s">
        <v>3589</v>
      </c>
      <c r="DC646" t="s">
        <v>363</v>
      </c>
      <c r="DD646" t="s">
        <v>282</v>
      </c>
      <c r="DE646" t="s">
        <v>3944</v>
      </c>
    </row>
    <row r="647" spans="1:109" ht="11.25" customHeight="1">
      <c r="A647" s="1314" t="s">
        <v>231</v>
      </c>
      <c r="B647" t="s">
        <v>231</v>
      </c>
      <c r="C647" t="s">
        <v>231</v>
      </c>
      <c r="D647" t="s">
        <v>231</v>
      </c>
      <c r="E647" t="s">
        <v>231</v>
      </c>
      <c r="F647" t="s">
        <v>231</v>
      </c>
      <c r="G647" t="s">
        <v>231</v>
      </c>
      <c r="H647" t="s">
        <v>231</v>
      </c>
      <c r="I647" t="s">
        <v>3521</v>
      </c>
      <c r="J647" t="s">
        <v>231</v>
      </c>
      <c r="K647" t="s">
        <v>231</v>
      </c>
      <c r="L647" t="s">
        <v>231</v>
      </c>
      <c r="M647" t="s">
        <v>231</v>
      </c>
      <c r="N647" t="s">
        <v>231</v>
      </c>
      <c r="O647" t="s">
        <v>231</v>
      </c>
      <c r="P647" t="s">
        <v>231</v>
      </c>
      <c r="Q647" t="s">
        <v>231</v>
      </c>
      <c r="R647" t="s">
        <v>3615</v>
      </c>
      <c r="S647" t="s">
        <v>231</v>
      </c>
      <c r="T647" t="s">
        <v>231</v>
      </c>
      <c r="U647" t="s">
        <v>101</v>
      </c>
      <c r="V647" t="s">
        <v>231</v>
      </c>
      <c r="W647" t="s">
        <v>231</v>
      </c>
      <c r="X647" t="s">
        <v>3523</v>
      </c>
      <c r="Y647" t="s">
        <v>231</v>
      </c>
      <c r="Z647" t="s">
        <v>160</v>
      </c>
      <c r="AA647" t="s">
        <v>151</v>
      </c>
      <c r="AB647" t="s">
        <v>151</v>
      </c>
      <c r="AC647" t="s">
        <v>2287</v>
      </c>
      <c r="AD647" t="s">
        <v>2287</v>
      </c>
      <c r="AE647" t="s">
        <v>2288</v>
      </c>
      <c r="AF647" t="s">
        <v>4029</v>
      </c>
      <c r="AG647" t="s">
        <v>4030</v>
      </c>
      <c r="AH647" t="s">
        <v>4031</v>
      </c>
      <c r="AI647" t="s">
        <v>4032</v>
      </c>
      <c r="AJ647" t="s">
        <v>3619</v>
      </c>
      <c r="AK647" t="s">
        <v>3641</v>
      </c>
      <c r="AL647" t="s">
        <v>3548</v>
      </c>
      <c r="AM647" t="s">
        <v>3531</v>
      </c>
      <c r="AN647" t="s">
        <v>3621</v>
      </c>
      <c r="AO647" t="s">
        <v>3668</v>
      </c>
      <c r="AP647" t="s">
        <v>231</v>
      </c>
      <c r="AQ647" t="s">
        <v>231</v>
      </c>
      <c r="AR647" t="s">
        <v>231</v>
      </c>
      <c r="AS647" t="s">
        <v>231</v>
      </c>
      <c r="AT647" t="s">
        <v>231</v>
      </c>
      <c r="AU647" t="s">
        <v>231</v>
      </c>
      <c r="AV647" t="s">
        <v>231</v>
      </c>
      <c r="AW647" t="s">
        <v>231</v>
      </c>
      <c r="AX647" t="s">
        <v>231</v>
      </c>
      <c r="AY647" t="s">
        <v>231</v>
      </c>
      <c r="AZ647" t="s">
        <v>231</v>
      </c>
      <c r="BA647" t="s">
        <v>231</v>
      </c>
      <c r="BB647" t="s">
        <v>231</v>
      </c>
      <c r="BC647" t="s">
        <v>231</v>
      </c>
      <c r="BD647" t="s">
        <v>231</v>
      </c>
      <c r="BE647" t="s">
        <v>231</v>
      </c>
      <c r="BF647" t="s">
        <v>231</v>
      </c>
      <c r="BG647" t="s">
        <v>231</v>
      </c>
      <c r="BH647" t="s">
        <v>231</v>
      </c>
      <c r="BI647" t="s">
        <v>231</v>
      </c>
      <c r="BJ647" t="s">
        <v>231</v>
      </c>
      <c r="BK647" t="s">
        <v>231</v>
      </c>
      <c r="BL647" t="s">
        <v>231</v>
      </c>
      <c r="BM647" t="s">
        <v>231</v>
      </c>
      <c r="BN647" t="s">
        <v>231</v>
      </c>
      <c r="BO647" t="s">
        <v>231</v>
      </c>
      <c r="BP647" t="s">
        <v>231</v>
      </c>
      <c r="BQ647" t="s">
        <v>231</v>
      </c>
      <c r="BR647" t="s">
        <v>231</v>
      </c>
      <c r="BS647" t="s">
        <v>231</v>
      </c>
      <c r="BT647" t="s">
        <v>231</v>
      </c>
      <c r="BU647" t="s">
        <v>231</v>
      </c>
      <c r="BV647" t="s">
        <v>231</v>
      </c>
      <c r="BW647" t="s">
        <v>231</v>
      </c>
      <c r="BX647" t="s">
        <v>231</v>
      </c>
      <c r="BY647" t="s">
        <v>231</v>
      </c>
      <c r="BZ647" t="s">
        <v>231</v>
      </c>
      <c r="CA647" t="s">
        <v>231</v>
      </c>
      <c r="CB647" t="s">
        <v>231</v>
      </c>
      <c r="CC647" t="s">
        <v>231</v>
      </c>
      <c r="CD647" t="s">
        <v>231</v>
      </c>
      <c r="CE647" t="s">
        <v>231</v>
      </c>
      <c r="CF647" t="s">
        <v>231</v>
      </c>
      <c r="CG647" t="s">
        <v>231</v>
      </c>
      <c r="CH647" t="s">
        <v>231</v>
      </c>
      <c r="CI647" t="s">
        <v>231</v>
      </c>
      <c r="CJ647" t="s">
        <v>231</v>
      </c>
      <c r="CK647" t="s">
        <v>231</v>
      </c>
      <c r="CL647" t="s">
        <v>231</v>
      </c>
      <c r="CM647" t="s">
        <v>231</v>
      </c>
      <c r="CN647" t="s">
        <v>231</v>
      </c>
      <c r="CO647" t="s">
        <v>231</v>
      </c>
      <c r="CP647" t="s">
        <v>231</v>
      </c>
      <c r="CQ647" t="s">
        <v>231</v>
      </c>
      <c r="CR647" t="s">
        <v>231</v>
      </c>
      <c r="CS647" t="s">
        <v>231</v>
      </c>
      <c r="CT647" t="s">
        <v>3534</v>
      </c>
      <c r="CU647" t="s">
        <v>3535</v>
      </c>
      <c r="CV647" t="s">
        <v>3536</v>
      </c>
      <c r="CW647" t="s">
        <v>3623</v>
      </c>
      <c r="CX647" t="s">
        <v>223</v>
      </c>
      <c r="CY647" t="s">
        <v>3536</v>
      </c>
      <c r="CZ647" t="s">
        <v>3624</v>
      </c>
      <c r="DA647" t="s">
        <v>3625</v>
      </c>
      <c r="DB647" t="s">
        <v>3623</v>
      </c>
      <c r="DC647" t="s">
        <v>363</v>
      </c>
      <c r="DD647" t="s">
        <v>282</v>
      </c>
      <c r="DE647" t="s">
        <v>4033</v>
      </c>
    </row>
    <row r="648" spans="1:109" ht="11.25" customHeight="1">
      <c r="A648" s="1314" t="s">
        <v>231</v>
      </c>
      <c r="B648" t="s">
        <v>231</v>
      </c>
      <c r="C648" t="s">
        <v>231</v>
      </c>
      <c r="D648" t="s">
        <v>231</v>
      </c>
      <c r="E648" t="s">
        <v>231</v>
      </c>
      <c r="F648" t="s">
        <v>231</v>
      </c>
      <c r="G648" t="s">
        <v>231</v>
      </c>
      <c r="H648" t="s">
        <v>231</v>
      </c>
      <c r="I648" t="s">
        <v>3521</v>
      </c>
      <c r="J648" t="s">
        <v>231</v>
      </c>
      <c r="K648" t="s">
        <v>231</v>
      </c>
      <c r="L648" t="s">
        <v>231</v>
      </c>
      <c r="M648" t="s">
        <v>231</v>
      </c>
      <c r="N648" t="s">
        <v>231</v>
      </c>
      <c r="O648" t="s">
        <v>231</v>
      </c>
      <c r="P648" t="s">
        <v>231</v>
      </c>
      <c r="Q648" t="s">
        <v>231</v>
      </c>
      <c r="R648" t="s">
        <v>3615</v>
      </c>
      <c r="S648" t="s">
        <v>231</v>
      </c>
      <c r="T648" t="s">
        <v>231</v>
      </c>
      <c r="U648" t="s">
        <v>101</v>
      </c>
      <c r="V648" t="s">
        <v>231</v>
      </c>
      <c r="W648" t="s">
        <v>231</v>
      </c>
      <c r="X648" t="s">
        <v>3523</v>
      </c>
      <c r="Y648" t="s">
        <v>231</v>
      </c>
      <c r="Z648" t="s">
        <v>160</v>
      </c>
      <c r="AA648" t="s">
        <v>151</v>
      </c>
      <c r="AB648" t="s">
        <v>151</v>
      </c>
      <c r="AC648" t="s">
        <v>2287</v>
      </c>
      <c r="AD648" t="s">
        <v>2287</v>
      </c>
      <c r="AE648" t="s">
        <v>2288</v>
      </c>
      <c r="AF648" t="s">
        <v>4029</v>
      </c>
      <c r="AG648" t="s">
        <v>4030</v>
      </c>
      <c r="AH648" t="s">
        <v>4034</v>
      </c>
      <c r="AI648" t="s">
        <v>4035</v>
      </c>
      <c r="AJ648" t="s">
        <v>3619</v>
      </c>
      <c r="AK648" t="s">
        <v>4036</v>
      </c>
      <c r="AL648" t="s">
        <v>3548</v>
      </c>
      <c r="AM648" t="s">
        <v>3531</v>
      </c>
      <c r="AN648" t="s">
        <v>3621</v>
      </c>
      <c r="AO648" t="s">
        <v>3622</v>
      </c>
      <c r="AP648" t="s">
        <v>231</v>
      </c>
      <c r="AQ648" t="s">
        <v>231</v>
      </c>
      <c r="AR648" t="s">
        <v>231</v>
      </c>
      <c r="AS648" t="s">
        <v>231</v>
      </c>
      <c r="AT648" t="s">
        <v>231</v>
      </c>
      <c r="AU648" t="s">
        <v>231</v>
      </c>
      <c r="AV648" t="s">
        <v>231</v>
      </c>
      <c r="AW648" t="s">
        <v>231</v>
      </c>
      <c r="AX648" t="s">
        <v>231</v>
      </c>
      <c r="AY648" t="s">
        <v>231</v>
      </c>
      <c r="AZ648" t="s">
        <v>231</v>
      </c>
      <c r="BA648" t="s">
        <v>231</v>
      </c>
      <c r="BB648" t="s">
        <v>231</v>
      </c>
      <c r="BC648" t="s">
        <v>231</v>
      </c>
      <c r="BD648" t="s">
        <v>231</v>
      </c>
      <c r="BE648" t="s">
        <v>231</v>
      </c>
      <c r="BF648" t="s">
        <v>231</v>
      </c>
      <c r="BG648" t="s">
        <v>231</v>
      </c>
      <c r="BH648" t="s">
        <v>231</v>
      </c>
      <c r="BI648" t="s">
        <v>231</v>
      </c>
      <c r="BJ648" t="s">
        <v>231</v>
      </c>
      <c r="BK648" t="s">
        <v>231</v>
      </c>
      <c r="BL648" t="s">
        <v>231</v>
      </c>
      <c r="BM648" t="s">
        <v>231</v>
      </c>
      <c r="BN648" t="s">
        <v>231</v>
      </c>
      <c r="BO648" t="s">
        <v>231</v>
      </c>
      <c r="BP648" t="s">
        <v>231</v>
      </c>
      <c r="BQ648" t="s">
        <v>231</v>
      </c>
      <c r="BR648" t="s">
        <v>231</v>
      </c>
      <c r="BS648" t="s">
        <v>231</v>
      </c>
      <c r="BT648" t="s">
        <v>231</v>
      </c>
      <c r="BU648" t="s">
        <v>231</v>
      </c>
      <c r="BV648" t="s">
        <v>231</v>
      </c>
      <c r="BW648" t="s">
        <v>231</v>
      </c>
      <c r="BX648" t="s">
        <v>231</v>
      </c>
      <c r="BY648" t="s">
        <v>231</v>
      </c>
      <c r="BZ648" t="s">
        <v>231</v>
      </c>
      <c r="CA648" t="s">
        <v>231</v>
      </c>
      <c r="CB648" t="s">
        <v>231</v>
      </c>
      <c r="CC648" t="s">
        <v>231</v>
      </c>
      <c r="CD648" t="s">
        <v>231</v>
      </c>
      <c r="CE648" t="s">
        <v>231</v>
      </c>
      <c r="CF648" t="s">
        <v>231</v>
      </c>
      <c r="CG648" t="s">
        <v>231</v>
      </c>
      <c r="CH648" t="s">
        <v>231</v>
      </c>
      <c r="CI648" t="s">
        <v>231</v>
      </c>
      <c r="CJ648" t="s">
        <v>231</v>
      </c>
      <c r="CK648" t="s">
        <v>231</v>
      </c>
      <c r="CL648" t="s">
        <v>231</v>
      </c>
      <c r="CM648" t="s">
        <v>231</v>
      </c>
      <c r="CN648" t="s">
        <v>231</v>
      </c>
      <c r="CO648" t="s">
        <v>231</v>
      </c>
      <c r="CP648" t="s">
        <v>231</v>
      </c>
      <c r="CQ648" t="s">
        <v>231</v>
      </c>
      <c r="CR648" t="s">
        <v>231</v>
      </c>
      <c r="CS648" t="s">
        <v>231</v>
      </c>
      <c r="CT648" t="s">
        <v>3534</v>
      </c>
      <c r="CU648" t="s">
        <v>3535</v>
      </c>
      <c r="CV648" t="s">
        <v>3536</v>
      </c>
      <c r="CW648" t="s">
        <v>3623</v>
      </c>
      <c r="CX648" t="s">
        <v>223</v>
      </c>
      <c r="CY648" t="s">
        <v>3536</v>
      </c>
      <c r="CZ648" t="s">
        <v>3624</v>
      </c>
      <c r="DA648" t="s">
        <v>3625</v>
      </c>
      <c r="DB648" t="s">
        <v>3623</v>
      </c>
      <c r="DC648" t="s">
        <v>363</v>
      </c>
      <c r="DD648" t="s">
        <v>282</v>
      </c>
      <c r="DE648" t="s">
        <v>4037</v>
      </c>
    </row>
    <row r="649" spans="1:109" ht="11.25" customHeight="1">
      <c r="A649" s="1314" t="s">
        <v>231</v>
      </c>
      <c r="B649" t="s">
        <v>231</v>
      </c>
      <c r="C649" t="s">
        <v>231</v>
      </c>
      <c r="D649" t="s">
        <v>231</v>
      </c>
      <c r="E649" t="s">
        <v>231</v>
      </c>
      <c r="F649" t="s">
        <v>231</v>
      </c>
      <c r="G649" t="s">
        <v>231</v>
      </c>
      <c r="H649" t="s">
        <v>231</v>
      </c>
      <c r="I649" t="s">
        <v>3521</v>
      </c>
      <c r="J649" t="s">
        <v>231</v>
      </c>
      <c r="K649" t="s">
        <v>231</v>
      </c>
      <c r="L649" t="s">
        <v>231</v>
      </c>
      <c r="M649" t="s">
        <v>231</v>
      </c>
      <c r="N649" t="s">
        <v>231</v>
      </c>
      <c r="O649" t="s">
        <v>231</v>
      </c>
      <c r="P649" t="s">
        <v>231</v>
      </c>
      <c r="Q649" t="s">
        <v>231</v>
      </c>
      <c r="R649" t="s">
        <v>3555</v>
      </c>
      <c r="S649" t="s">
        <v>231</v>
      </c>
      <c r="T649" t="s">
        <v>231</v>
      </c>
      <c r="U649" t="s">
        <v>101</v>
      </c>
      <c r="V649" t="s">
        <v>231</v>
      </c>
      <c r="W649" t="s">
        <v>231</v>
      </c>
      <c r="X649" t="s">
        <v>3523</v>
      </c>
      <c r="Y649" t="s">
        <v>231</v>
      </c>
      <c r="Z649" t="s">
        <v>160</v>
      </c>
      <c r="AA649" t="s">
        <v>151</v>
      </c>
      <c r="AB649" t="s">
        <v>151</v>
      </c>
      <c r="AC649" t="s">
        <v>2283</v>
      </c>
      <c r="AD649" t="s">
        <v>2283</v>
      </c>
      <c r="AE649" t="s">
        <v>2284</v>
      </c>
      <c r="AF649" t="s">
        <v>3542</v>
      </c>
      <c r="AG649" t="s">
        <v>3543</v>
      </c>
      <c r="AH649" t="s">
        <v>3556</v>
      </c>
      <c r="AI649" t="s">
        <v>3557</v>
      </c>
      <c r="AJ649" t="s">
        <v>3546</v>
      </c>
      <c r="AK649" t="s">
        <v>3547</v>
      </c>
      <c r="AL649" t="s">
        <v>3548</v>
      </c>
      <c r="AM649" t="s">
        <v>3531</v>
      </c>
      <c r="AN649" t="s">
        <v>3549</v>
      </c>
      <c r="AO649" t="s">
        <v>3558</v>
      </c>
      <c r="AP649" t="s">
        <v>231</v>
      </c>
      <c r="AQ649" t="s">
        <v>231</v>
      </c>
      <c r="AR649" t="s">
        <v>231</v>
      </c>
      <c r="AS649" t="s">
        <v>231</v>
      </c>
      <c r="AT649" t="s">
        <v>231</v>
      </c>
      <c r="AU649" t="s">
        <v>231</v>
      </c>
      <c r="AV649" t="s">
        <v>231</v>
      </c>
      <c r="AW649" t="s">
        <v>231</v>
      </c>
      <c r="AX649" t="s">
        <v>231</v>
      </c>
      <c r="AY649" t="s">
        <v>231</v>
      </c>
      <c r="AZ649" t="s">
        <v>231</v>
      </c>
      <c r="BA649" t="s">
        <v>231</v>
      </c>
      <c r="BB649" t="s">
        <v>231</v>
      </c>
      <c r="BC649" t="s">
        <v>231</v>
      </c>
      <c r="BD649" t="s">
        <v>231</v>
      </c>
      <c r="BE649" t="s">
        <v>231</v>
      </c>
      <c r="BF649" t="s">
        <v>231</v>
      </c>
      <c r="BG649" t="s">
        <v>231</v>
      </c>
      <c r="BH649" t="s">
        <v>231</v>
      </c>
      <c r="BI649" t="s">
        <v>231</v>
      </c>
      <c r="BJ649" t="s">
        <v>231</v>
      </c>
      <c r="BK649" t="s">
        <v>231</v>
      </c>
      <c r="BL649" t="s">
        <v>231</v>
      </c>
      <c r="BM649" t="s">
        <v>231</v>
      </c>
      <c r="BN649" t="s">
        <v>231</v>
      </c>
      <c r="BO649" t="s">
        <v>231</v>
      </c>
      <c r="BP649" t="s">
        <v>231</v>
      </c>
      <c r="BQ649" t="s">
        <v>231</v>
      </c>
      <c r="BR649" t="s">
        <v>231</v>
      </c>
      <c r="BS649" t="s">
        <v>231</v>
      </c>
      <c r="BT649" t="s">
        <v>231</v>
      </c>
      <c r="BU649" t="s">
        <v>231</v>
      </c>
      <c r="BV649" t="s">
        <v>231</v>
      </c>
      <c r="BW649" t="s">
        <v>231</v>
      </c>
      <c r="BX649" t="s">
        <v>231</v>
      </c>
      <c r="BY649" t="s">
        <v>231</v>
      </c>
      <c r="BZ649" t="s">
        <v>231</v>
      </c>
      <c r="CA649" t="s">
        <v>231</v>
      </c>
      <c r="CB649" t="s">
        <v>231</v>
      </c>
      <c r="CC649" t="s">
        <v>231</v>
      </c>
      <c r="CD649" t="s">
        <v>231</v>
      </c>
      <c r="CE649" t="s">
        <v>231</v>
      </c>
      <c r="CF649" t="s">
        <v>231</v>
      </c>
      <c r="CG649" t="s">
        <v>231</v>
      </c>
      <c r="CH649" t="s">
        <v>231</v>
      </c>
      <c r="CI649" t="s">
        <v>231</v>
      </c>
      <c r="CJ649" t="s">
        <v>231</v>
      </c>
      <c r="CK649" t="s">
        <v>231</v>
      </c>
      <c r="CL649" t="s">
        <v>231</v>
      </c>
      <c r="CM649" t="s">
        <v>231</v>
      </c>
      <c r="CN649" t="s">
        <v>231</v>
      </c>
      <c r="CO649" t="s">
        <v>231</v>
      </c>
      <c r="CP649" t="s">
        <v>231</v>
      </c>
      <c r="CQ649" t="s">
        <v>231</v>
      </c>
      <c r="CR649" t="s">
        <v>231</v>
      </c>
      <c r="CS649" t="s">
        <v>231</v>
      </c>
      <c r="CT649" t="s">
        <v>3534</v>
      </c>
      <c r="CU649" t="s">
        <v>3535</v>
      </c>
      <c r="CV649" t="s">
        <v>3536</v>
      </c>
      <c r="CW649" t="s">
        <v>3551</v>
      </c>
      <c r="CX649" t="s">
        <v>223</v>
      </c>
      <c r="CY649" t="s">
        <v>3536</v>
      </c>
      <c r="CZ649" t="s">
        <v>3552</v>
      </c>
      <c r="DA649" t="s">
        <v>3553</v>
      </c>
      <c r="DB649" t="s">
        <v>3551</v>
      </c>
      <c r="DC649" t="s">
        <v>363</v>
      </c>
      <c r="DD649" t="s">
        <v>282</v>
      </c>
      <c r="DE649" t="s">
        <v>3559</v>
      </c>
    </row>
    <row r="650" spans="1:109" ht="11.25" customHeight="1">
      <c r="A650" s="1314" t="s">
        <v>231</v>
      </c>
      <c r="B650" t="s">
        <v>231</v>
      </c>
      <c r="C650" t="s">
        <v>231</v>
      </c>
      <c r="D650" t="s">
        <v>231</v>
      </c>
      <c r="E650" t="s">
        <v>231</v>
      </c>
      <c r="F650" t="s">
        <v>231</v>
      </c>
      <c r="G650" t="s">
        <v>231</v>
      </c>
      <c r="H650" t="s">
        <v>231</v>
      </c>
      <c r="I650" t="s">
        <v>3521</v>
      </c>
      <c r="J650" t="s">
        <v>231</v>
      </c>
      <c r="K650" t="s">
        <v>231</v>
      </c>
      <c r="L650" t="s">
        <v>231</v>
      </c>
      <c r="M650" t="s">
        <v>231</v>
      </c>
      <c r="N650" t="s">
        <v>231</v>
      </c>
      <c r="O650" t="s">
        <v>231</v>
      </c>
      <c r="P650" t="s">
        <v>231</v>
      </c>
      <c r="Q650" t="s">
        <v>231</v>
      </c>
      <c r="R650" t="s">
        <v>3615</v>
      </c>
      <c r="S650" t="s">
        <v>231</v>
      </c>
      <c r="T650" t="s">
        <v>231</v>
      </c>
      <c r="U650" t="s">
        <v>101</v>
      </c>
      <c r="V650" t="s">
        <v>231</v>
      </c>
      <c r="W650" t="s">
        <v>231</v>
      </c>
      <c r="X650" t="s">
        <v>3523</v>
      </c>
      <c r="Y650" t="s">
        <v>231</v>
      </c>
      <c r="Z650" t="s">
        <v>160</v>
      </c>
      <c r="AA650" t="s">
        <v>151</v>
      </c>
      <c r="AB650" t="s">
        <v>151</v>
      </c>
      <c r="AC650" t="s">
        <v>2289</v>
      </c>
      <c r="AD650" t="s">
        <v>2289</v>
      </c>
      <c r="AE650" t="s">
        <v>2290</v>
      </c>
      <c r="AF650" t="s">
        <v>3793</v>
      </c>
      <c r="AG650" t="s">
        <v>3794</v>
      </c>
      <c r="AH650" t="s">
        <v>4397</v>
      </c>
      <c r="AI650" t="s">
        <v>224</v>
      </c>
      <c r="AJ650" t="s">
        <v>3594</v>
      </c>
      <c r="AK650" t="s">
        <v>3586</v>
      </c>
      <c r="AL650" t="s">
        <v>3548</v>
      </c>
      <c r="AM650" t="s">
        <v>3531</v>
      </c>
      <c r="AN650" t="s">
        <v>3595</v>
      </c>
      <c r="AO650" t="s">
        <v>3796</v>
      </c>
      <c r="AP650" t="s">
        <v>231</v>
      </c>
      <c r="AQ650" t="s">
        <v>231</v>
      </c>
      <c r="AR650" t="s">
        <v>231</v>
      </c>
      <c r="AS650" t="s">
        <v>231</v>
      </c>
      <c r="AT650" t="s">
        <v>231</v>
      </c>
      <c r="AU650" t="s">
        <v>231</v>
      </c>
      <c r="AV650" t="s">
        <v>231</v>
      </c>
      <c r="AW650" t="s">
        <v>231</v>
      </c>
      <c r="AX650" t="s">
        <v>231</v>
      </c>
      <c r="AY650" t="s">
        <v>231</v>
      </c>
      <c r="AZ650" t="s">
        <v>231</v>
      </c>
      <c r="BA650" t="s">
        <v>231</v>
      </c>
      <c r="BB650" t="s">
        <v>231</v>
      </c>
      <c r="BC650" t="s">
        <v>231</v>
      </c>
      <c r="BD650" t="s">
        <v>231</v>
      </c>
      <c r="BE650" t="s">
        <v>231</v>
      </c>
      <c r="BF650" t="s">
        <v>231</v>
      </c>
      <c r="BG650" t="s">
        <v>231</v>
      </c>
      <c r="BH650" t="s">
        <v>231</v>
      </c>
      <c r="BI650" t="s">
        <v>231</v>
      </c>
      <c r="BJ650" t="s">
        <v>231</v>
      </c>
      <c r="BK650" t="s">
        <v>231</v>
      </c>
      <c r="BL650" t="s">
        <v>231</v>
      </c>
      <c r="BM650" t="s">
        <v>231</v>
      </c>
      <c r="BN650" t="s">
        <v>231</v>
      </c>
      <c r="BO650" t="s">
        <v>231</v>
      </c>
      <c r="BP650" t="s">
        <v>231</v>
      </c>
      <c r="BQ650" t="s">
        <v>231</v>
      </c>
      <c r="BR650" t="s">
        <v>231</v>
      </c>
      <c r="BS650" t="s">
        <v>231</v>
      </c>
      <c r="BT650" t="s">
        <v>231</v>
      </c>
      <c r="BU650" t="s">
        <v>231</v>
      </c>
      <c r="BV650" t="s">
        <v>231</v>
      </c>
      <c r="BW650" t="s">
        <v>231</v>
      </c>
      <c r="BX650" t="s">
        <v>231</v>
      </c>
      <c r="BY650" t="s">
        <v>231</v>
      </c>
      <c r="BZ650" t="s">
        <v>231</v>
      </c>
      <c r="CA650" t="s">
        <v>231</v>
      </c>
      <c r="CB650" t="s">
        <v>231</v>
      </c>
      <c r="CC650" t="s">
        <v>231</v>
      </c>
      <c r="CD650" t="s">
        <v>231</v>
      </c>
      <c r="CE650" t="s">
        <v>231</v>
      </c>
      <c r="CF650" t="s">
        <v>231</v>
      </c>
      <c r="CG650" t="s">
        <v>231</v>
      </c>
      <c r="CH650" t="s">
        <v>231</v>
      </c>
      <c r="CI650" t="s">
        <v>231</v>
      </c>
      <c r="CJ650" t="s">
        <v>231</v>
      </c>
      <c r="CK650" t="s">
        <v>231</v>
      </c>
      <c r="CL650" t="s">
        <v>231</v>
      </c>
      <c r="CM650" t="s">
        <v>231</v>
      </c>
      <c r="CN650" t="s">
        <v>231</v>
      </c>
      <c r="CO650" t="s">
        <v>231</v>
      </c>
      <c r="CP650" t="s">
        <v>231</v>
      </c>
      <c r="CQ650" t="s">
        <v>231</v>
      </c>
      <c r="CR650" t="s">
        <v>231</v>
      </c>
      <c r="CS650" t="s">
        <v>231</v>
      </c>
      <c r="CT650" t="s">
        <v>3534</v>
      </c>
      <c r="CU650" t="s">
        <v>3535</v>
      </c>
      <c r="CV650" t="s">
        <v>3536</v>
      </c>
      <c r="CW650" t="s">
        <v>3589</v>
      </c>
      <c r="CX650" t="s">
        <v>223</v>
      </c>
      <c r="CY650" t="s">
        <v>3536</v>
      </c>
      <c r="CZ650" t="s">
        <v>3590</v>
      </c>
      <c r="DA650" t="s">
        <v>3591</v>
      </c>
      <c r="DB650" t="s">
        <v>3589</v>
      </c>
      <c r="DC650" t="s">
        <v>363</v>
      </c>
      <c r="DD650" t="s">
        <v>282</v>
      </c>
      <c r="DE650" t="s">
        <v>4398</v>
      </c>
    </row>
    <row r="651" spans="1:109" ht="11.25" customHeight="1">
      <c r="A651" s="1314" t="s">
        <v>231</v>
      </c>
      <c r="B651" t="s">
        <v>231</v>
      </c>
      <c r="C651" t="s">
        <v>231</v>
      </c>
      <c r="D651" t="s">
        <v>231</v>
      </c>
      <c r="E651" t="s">
        <v>231</v>
      </c>
      <c r="F651" t="s">
        <v>231</v>
      </c>
      <c r="G651" t="s">
        <v>231</v>
      </c>
      <c r="H651" t="s">
        <v>231</v>
      </c>
      <c r="I651" t="s">
        <v>3521</v>
      </c>
      <c r="J651" t="s">
        <v>231</v>
      </c>
      <c r="K651" t="s">
        <v>231</v>
      </c>
      <c r="L651" t="s">
        <v>231</v>
      </c>
      <c r="M651" t="s">
        <v>231</v>
      </c>
      <c r="N651" t="s">
        <v>231</v>
      </c>
      <c r="O651" t="s">
        <v>231</v>
      </c>
      <c r="P651" t="s">
        <v>231</v>
      </c>
      <c r="Q651" t="s">
        <v>231</v>
      </c>
      <c r="R651" t="s">
        <v>3615</v>
      </c>
      <c r="S651" t="s">
        <v>231</v>
      </c>
      <c r="T651" t="s">
        <v>231</v>
      </c>
      <c r="U651" t="s">
        <v>101</v>
      </c>
      <c r="V651" t="s">
        <v>231</v>
      </c>
      <c r="W651" t="s">
        <v>231</v>
      </c>
      <c r="X651" t="s">
        <v>3523</v>
      </c>
      <c r="Y651" t="s">
        <v>231</v>
      </c>
      <c r="Z651" t="s">
        <v>160</v>
      </c>
      <c r="AA651" t="s">
        <v>151</v>
      </c>
      <c r="AB651" t="s">
        <v>151</v>
      </c>
      <c r="AC651" t="s">
        <v>2289</v>
      </c>
      <c r="AD651" t="s">
        <v>2289</v>
      </c>
      <c r="AE651" t="s">
        <v>2290</v>
      </c>
      <c r="AF651" t="s">
        <v>3793</v>
      </c>
      <c r="AG651" t="s">
        <v>3794</v>
      </c>
      <c r="AH651" t="s">
        <v>4399</v>
      </c>
      <c r="AI651" t="s">
        <v>4016</v>
      </c>
      <c r="AJ651" t="s">
        <v>3594</v>
      </c>
      <c r="AK651" t="s">
        <v>3586</v>
      </c>
      <c r="AL651" t="s">
        <v>3548</v>
      </c>
      <c r="AM651" t="s">
        <v>3531</v>
      </c>
      <c r="AN651" t="s">
        <v>3595</v>
      </c>
      <c r="AO651" t="s">
        <v>4400</v>
      </c>
      <c r="AP651" t="s">
        <v>231</v>
      </c>
      <c r="AQ651" t="s">
        <v>231</v>
      </c>
      <c r="AR651" t="s">
        <v>231</v>
      </c>
      <c r="AS651" t="s">
        <v>231</v>
      </c>
      <c r="AT651" t="s">
        <v>231</v>
      </c>
      <c r="AU651" t="s">
        <v>231</v>
      </c>
      <c r="AV651" t="s">
        <v>231</v>
      </c>
      <c r="AW651" t="s">
        <v>231</v>
      </c>
      <c r="AX651" t="s">
        <v>231</v>
      </c>
      <c r="AY651" t="s">
        <v>231</v>
      </c>
      <c r="AZ651" t="s">
        <v>231</v>
      </c>
      <c r="BA651" t="s">
        <v>231</v>
      </c>
      <c r="BB651" t="s">
        <v>231</v>
      </c>
      <c r="BC651" t="s">
        <v>231</v>
      </c>
      <c r="BD651" t="s">
        <v>231</v>
      </c>
      <c r="BE651" t="s">
        <v>231</v>
      </c>
      <c r="BF651" t="s">
        <v>231</v>
      </c>
      <c r="BG651" t="s">
        <v>231</v>
      </c>
      <c r="BH651" t="s">
        <v>231</v>
      </c>
      <c r="BI651" t="s">
        <v>231</v>
      </c>
      <c r="BJ651" t="s">
        <v>231</v>
      </c>
      <c r="BK651" t="s">
        <v>231</v>
      </c>
      <c r="BL651" t="s">
        <v>231</v>
      </c>
      <c r="BM651" t="s">
        <v>231</v>
      </c>
      <c r="BN651" t="s">
        <v>231</v>
      </c>
      <c r="BO651" t="s">
        <v>231</v>
      </c>
      <c r="BP651" t="s">
        <v>231</v>
      </c>
      <c r="BQ651" t="s">
        <v>231</v>
      </c>
      <c r="BR651" t="s">
        <v>231</v>
      </c>
      <c r="BS651" t="s">
        <v>231</v>
      </c>
      <c r="BT651" t="s">
        <v>231</v>
      </c>
      <c r="BU651" t="s">
        <v>231</v>
      </c>
      <c r="BV651" t="s">
        <v>231</v>
      </c>
      <c r="BW651" t="s">
        <v>231</v>
      </c>
      <c r="BX651" t="s">
        <v>231</v>
      </c>
      <c r="BY651" t="s">
        <v>231</v>
      </c>
      <c r="BZ651" t="s">
        <v>231</v>
      </c>
      <c r="CA651" t="s">
        <v>231</v>
      </c>
      <c r="CB651" t="s">
        <v>231</v>
      </c>
      <c r="CC651" t="s">
        <v>231</v>
      </c>
      <c r="CD651" t="s">
        <v>231</v>
      </c>
      <c r="CE651" t="s">
        <v>231</v>
      </c>
      <c r="CF651" t="s">
        <v>231</v>
      </c>
      <c r="CG651" t="s">
        <v>231</v>
      </c>
      <c r="CH651" t="s">
        <v>231</v>
      </c>
      <c r="CI651" t="s">
        <v>231</v>
      </c>
      <c r="CJ651" t="s">
        <v>231</v>
      </c>
      <c r="CK651" t="s">
        <v>231</v>
      </c>
      <c r="CL651" t="s">
        <v>231</v>
      </c>
      <c r="CM651" t="s">
        <v>231</v>
      </c>
      <c r="CN651" t="s">
        <v>231</v>
      </c>
      <c r="CO651" t="s">
        <v>231</v>
      </c>
      <c r="CP651" t="s">
        <v>231</v>
      </c>
      <c r="CQ651" t="s">
        <v>231</v>
      </c>
      <c r="CR651" t="s">
        <v>231</v>
      </c>
      <c r="CS651" t="s">
        <v>231</v>
      </c>
      <c r="CT651" t="s">
        <v>3534</v>
      </c>
      <c r="CU651" t="s">
        <v>3535</v>
      </c>
      <c r="CV651" t="s">
        <v>3536</v>
      </c>
      <c r="CW651" t="s">
        <v>3589</v>
      </c>
      <c r="CX651" t="s">
        <v>223</v>
      </c>
      <c r="CY651" t="s">
        <v>3536</v>
      </c>
      <c r="CZ651" t="s">
        <v>3590</v>
      </c>
      <c r="DA651" t="s">
        <v>3591</v>
      </c>
      <c r="DB651" t="s">
        <v>3589</v>
      </c>
      <c r="DC651" t="s">
        <v>363</v>
      </c>
      <c r="DD651" t="s">
        <v>282</v>
      </c>
      <c r="DE651" t="s">
        <v>4401</v>
      </c>
    </row>
    <row r="652" spans="1:109" ht="11.25" customHeight="1">
      <c r="A652" s="1314" t="s">
        <v>231</v>
      </c>
      <c r="B652" t="s">
        <v>231</v>
      </c>
      <c r="C652" t="s">
        <v>231</v>
      </c>
      <c r="D652" t="s">
        <v>231</v>
      </c>
      <c r="E652" t="s">
        <v>231</v>
      </c>
      <c r="F652" t="s">
        <v>231</v>
      </c>
      <c r="G652" t="s">
        <v>231</v>
      </c>
      <c r="H652" t="s">
        <v>231</v>
      </c>
      <c r="I652" t="s">
        <v>3521</v>
      </c>
      <c r="J652" t="s">
        <v>231</v>
      </c>
      <c r="K652" t="s">
        <v>231</v>
      </c>
      <c r="L652" t="s">
        <v>231</v>
      </c>
      <c r="M652" t="s">
        <v>231</v>
      </c>
      <c r="N652" t="s">
        <v>231</v>
      </c>
      <c r="O652" t="s">
        <v>231</v>
      </c>
      <c r="P652" t="s">
        <v>231</v>
      </c>
      <c r="Q652" t="s">
        <v>231</v>
      </c>
      <c r="R652" t="s">
        <v>3555</v>
      </c>
      <c r="S652" t="s">
        <v>231</v>
      </c>
      <c r="T652" t="s">
        <v>231</v>
      </c>
      <c r="U652" t="s">
        <v>101</v>
      </c>
      <c r="V652" t="s">
        <v>231</v>
      </c>
      <c r="W652" t="s">
        <v>231</v>
      </c>
      <c r="X652" t="s">
        <v>3523</v>
      </c>
      <c r="Y652" t="s">
        <v>231</v>
      </c>
      <c r="Z652" t="s">
        <v>160</v>
      </c>
      <c r="AA652" t="s">
        <v>151</v>
      </c>
      <c r="AB652" t="s">
        <v>151</v>
      </c>
      <c r="AC652" t="s">
        <v>2289</v>
      </c>
      <c r="AD652" t="s">
        <v>2289</v>
      </c>
      <c r="AE652" t="s">
        <v>2290</v>
      </c>
      <c r="AF652" t="s">
        <v>4020</v>
      </c>
      <c r="AG652" t="s">
        <v>4021</v>
      </c>
      <c r="AH652" t="s">
        <v>4404</v>
      </c>
      <c r="AI652" t="s">
        <v>3774</v>
      </c>
      <c r="AJ652" t="s">
        <v>3546</v>
      </c>
      <c r="AK652" t="s">
        <v>3586</v>
      </c>
      <c r="AL652" t="s">
        <v>3548</v>
      </c>
      <c r="AM652" t="s">
        <v>3531</v>
      </c>
      <c r="AN652" t="s">
        <v>3587</v>
      </c>
      <c r="AO652" t="s">
        <v>3550</v>
      </c>
      <c r="AP652" t="s">
        <v>231</v>
      </c>
      <c r="AQ652" t="s">
        <v>231</v>
      </c>
      <c r="AR652" t="s">
        <v>231</v>
      </c>
      <c r="AS652" t="s">
        <v>231</v>
      </c>
      <c r="AT652" t="s">
        <v>231</v>
      </c>
      <c r="AU652" t="s">
        <v>231</v>
      </c>
      <c r="AV652" t="s">
        <v>231</v>
      </c>
      <c r="AW652" t="s">
        <v>231</v>
      </c>
      <c r="AX652" t="s">
        <v>231</v>
      </c>
      <c r="AY652" t="s">
        <v>231</v>
      </c>
      <c r="AZ652" t="s">
        <v>231</v>
      </c>
      <c r="BA652" t="s">
        <v>231</v>
      </c>
      <c r="BB652" t="s">
        <v>231</v>
      </c>
      <c r="BC652" t="s">
        <v>231</v>
      </c>
      <c r="BD652" t="s">
        <v>231</v>
      </c>
      <c r="BE652" t="s">
        <v>231</v>
      </c>
      <c r="BF652" t="s">
        <v>231</v>
      </c>
      <c r="BG652" t="s">
        <v>231</v>
      </c>
      <c r="BH652" t="s">
        <v>231</v>
      </c>
      <c r="BI652" t="s">
        <v>231</v>
      </c>
      <c r="BJ652" t="s">
        <v>231</v>
      </c>
      <c r="BK652" t="s">
        <v>231</v>
      </c>
      <c r="BL652" t="s">
        <v>231</v>
      </c>
      <c r="BM652" t="s">
        <v>231</v>
      </c>
      <c r="BN652" t="s">
        <v>231</v>
      </c>
      <c r="BO652" t="s">
        <v>231</v>
      </c>
      <c r="BP652" t="s">
        <v>231</v>
      </c>
      <c r="BQ652" t="s">
        <v>231</v>
      </c>
      <c r="BR652" t="s">
        <v>231</v>
      </c>
      <c r="BS652" t="s">
        <v>231</v>
      </c>
      <c r="BT652" t="s">
        <v>231</v>
      </c>
      <c r="BU652" t="s">
        <v>231</v>
      </c>
      <c r="BV652" t="s">
        <v>231</v>
      </c>
      <c r="BW652" t="s">
        <v>231</v>
      </c>
      <c r="BX652" t="s">
        <v>231</v>
      </c>
      <c r="BY652" t="s">
        <v>231</v>
      </c>
      <c r="BZ652" t="s">
        <v>231</v>
      </c>
      <c r="CA652" t="s">
        <v>231</v>
      </c>
      <c r="CB652" t="s">
        <v>231</v>
      </c>
      <c r="CC652" t="s">
        <v>231</v>
      </c>
      <c r="CD652" t="s">
        <v>231</v>
      </c>
      <c r="CE652" t="s">
        <v>231</v>
      </c>
      <c r="CF652" t="s">
        <v>231</v>
      </c>
      <c r="CG652" t="s">
        <v>231</v>
      </c>
      <c r="CH652" t="s">
        <v>231</v>
      </c>
      <c r="CI652" t="s">
        <v>231</v>
      </c>
      <c r="CJ652" t="s">
        <v>231</v>
      </c>
      <c r="CK652" t="s">
        <v>231</v>
      </c>
      <c r="CL652" t="s">
        <v>231</v>
      </c>
      <c r="CM652" t="s">
        <v>231</v>
      </c>
      <c r="CN652" t="s">
        <v>231</v>
      </c>
      <c r="CO652" t="s">
        <v>231</v>
      </c>
      <c r="CP652" t="s">
        <v>231</v>
      </c>
      <c r="CQ652" t="s">
        <v>231</v>
      </c>
      <c r="CR652" t="s">
        <v>231</v>
      </c>
      <c r="CS652" t="s">
        <v>231</v>
      </c>
      <c r="CT652" t="s">
        <v>3534</v>
      </c>
      <c r="CU652" t="s">
        <v>3535</v>
      </c>
      <c r="CV652" t="s">
        <v>3536</v>
      </c>
      <c r="CW652" t="s">
        <v>3589</v>
      </c>
      <c r="CX652" t="s">
        <v>223</v>
      </c>
      <c r="CY652" t="s">
        <v>3536</v>
      </c>
      <c r="CZ652" t="s">
        <v>3590</v>
      </c>
      <c r="DA652" t="s">
        <v>3591</v>
      </c>
      <c r="DB652" t="s">
        <v>3589</v>
      </c>
      <c r="DC652" t="s">
        <v>363</v>
      </c>
      <c r="DD652" t="s">
        <v>282</v>
      </c>
      <c r="DE652" t="s">
        <v>4405</v>
      </c>
    </row>
    <row r="653" spans="1:109" ht="11.25" customHeight="1">
      <c r="A653" s="1314" t="s">
        <v>231</v>
      </c>
      <c r="B653" t="s">
        <v>231</v>
      </c>
      <c r="C653" t="s">
        <v>231</v>
      </c>
      <c r="D653" t="s">
        <v>231</v>
      </c>
      <c r="E653" t="s">
        <v>231</v>
      </c>
      <c r="F653" t="s">
        <v>231</v>
      </c>
      <c r="G653" t="s">
        <v>231</v>
      </c>
      <c r="H653" t="s">
        <v>231</v>
      </c>
      <c r="I653" t="s">
        <v>5086</v>
      </c>
      <c r="J653" t="s">
        <v>231</v>
      </c>
      <c r="K653" t="s">
        <v>231</v>
      </c>
      <c r="L653" t="s">
        <v>231</v>
      </c>
      <c r="M653" t="s">
        <v>231</v>
      </c>
      <c r="N653" t="s">
        <v>231</v>
      </c>
      <c r="O653" t="s">
        <v>231</v>
      </c>
      <c r="P653" t="s">
        <v>231</v>
      </c>
      <c r="Q653" t="s">
        <v>231</v>
      </c>
      <c r="R653" t="s">
        <v>5087</v>
      </c>
      <c r="S653" t="s">
        <v>231</v>
      </c>
      <c r="T653" t="s">
        <v>231</v>
      </c>
      <c r="U653" t="s">
        <v>101</v>
      </c>
      <c r="V653" t="s">
        <v>231</v>
      </c>
      <c r="W653" t="s">
        <v>231</v>
      </c>
      <c r="X653" t="s">
        <v>5088</v>
      </c>
      <c r="Y653" t="s">
        <v>231</v>
      </c>
      <c r="Z653" t="s">
        <v>160</v>
      </c>
      <c r="AA653" t="s">
        <v>151</v>
      </c>
      <c r="AB653" t="s">
        <v>151</v>
      </c>
      <c r="AC653" t="s">
        <v>343</v>
      </c>
      <c r="AD653" t="s">
        <v>343</v>
      </c>
      <c r="AE653" t="s">
        <v>344</v>
      </c>
      <c r="AF653" t="s">
        <v>3561</v>
      </c>
      <c r="AG653" t="s">
        <v>3562</v>
      </c>
      <c r="AH653" t="s">
        <v>5089</v>
      </c>
      <c r="AI653" t="s">
        <v>3575</v>
      </c>
      <c r="AJ653" t="s">
        <v>5090</v>
      </c>
      <c r="AK653" t="s">
        <v>5091</v>
      </c>
      <c r="AL653" t="s">
        <v>5092</v>
      </c>
      <c r="AN653" t="s">
        <v>5093</v>
      </c>
      <c r="AO653" t="s">
        <v>5094</v>
      </c>
      <c r="AP653" t="s">
        <v>231</v>
      </c>
      <c r="AQ653" t="s">
        <v>231</v>
      </c>
      <c r="AR653" t="s">
        <v>231</v>
      </c>
      <c r="AS653" t="s">
        <v>231</v>
      </c>
      <c r="AT653" t="s">
        <v>231</v>
      </c>
      <c r="AU653" t="s">
        <v>231</v>
      </c>
      <c r="AV653" t="s">
        <v>231</v>
      </c>
      <c r="AW653" t="s">
        <v>231</v>
      </c>
      <c r="AX653" t="s">
        <v>231</v>
      </c>
      <c r="AY653" t="s">
        <v>231</v>
      </c>
      <c r="AZ653" t="s">
        <v>231</v>
      </c>
      <c r="BA653" t="s">
        <v>231</v>
      </c>
      <c r="BB653" t="s">
        <v>231</v>
      </c>
      <c r="BC653" t="s">
        <v>231</v>
      </c>
      <c r="BD653" t="s">
        <v>231</v>
      </c>
      <c r="BE653" t="s">
        <v>231</v>
      </c>
      <c r="BF653" t="s">
        <v>231</v>
      </c>
      <c r="BG653" t="s">
        <v>231</v>
      </c>
      <c r="BH653" t="s">
        <v>231</v>
      </c>
      <c r="BI653" t="s">
        <v>231</v>
      </c>
      <c r="BJ653" t="s">
        <v>231</v>
      </c>
      <c r="BK653" t="s">
        <v>231</v>
      </c>
      <c r="BL653" t="s">
        <v>231</v>
      </c>
      <c r="BM653" t="s">
        <v>231</v>
      </c>
      <c r="BN653" t="s">
        <v>231</v>
      </c>
      <c r="BO653" t="s">
        <v>231</v>
      </c>
      <c r="BP653" t="s">
        <v>231</v>
      </c>
      <c r="BQ653" t="s">
        <v>231</v>
      </c>
      <c r="BR653" t="s">
        <v>231</v>
      </c>
      <c r="BS653" t="s">
        <v>231</v>
      </c>
      <c r="BT653" t="s">
        <v>231</v>
      </c>
      <c r="CS653" t="s">
        <v>231</v>
      </c>
      <c r="CT653" t="s">
        <v>3534</v>
      </c>
      <c r="CU653" t="s">
        <v>5095</v>
      </c>
      <c r="CV653" t="s">
        <v>3997</v>
      </c>
      <c r="CW653" t="s">
        <v>5096</v>
      </c>
      <c r="CX653" t="s">
        <v>3570</v>
      </c>
      <c r="CY653" t="s">
        <v>3997</v>
      </c>
      <c r="CZ653" t="s">
        <v>5097</v>
      </c>
      <c r="DA653" t="s">
        <v>5098</v>
      </c>
      <c r="DB653" t="s">
        <v>5096</v>
      </c>
      <c r="DC653" t="s">
        <v>363</v>
      </c>
      <c r="DD653" t="s">
        <v>5099</v>
      </c>
      <c r="DE653" t="s">
        <v>5100</v>
      </c>
    </row>
    <row r="654" spans="1:109" ht="11.25" customHeight="1">
      <c r="A654" s="1314" t="s">
        <v>231</v>
      </c>
      <c r="B654" t="s">
        <v>231</v>
      </c>
      <c r="C654" t="s">
        <v>231</v>
      </c>
      <c r="D654" t="s">
        <v>231</v>
      </c>
      <c r="E654" t="s">
        <v>231</v>
      </c>
      <c r="F654" t="s">
        <v>231</v>
      </c>
      <c r="G654" t="s">
        <v>231</v>
      </c>
      <c r="H654" t="s">
        <v>231</v>
      </c>
      <c r="I654" t="s">
        <v>5086</v>
      </c>
      <c r="J654" t="s">
        <v>231</v>
      </c>
      <c r="K654" t="s">
        <v>231</v>
      </c>
      <c r="L654" t="s">
        <v>231</v>
      </c>
      <c r="M654" t="s">
        <v>231</v>
      </c>
      <c r="N654" t="s">
        <v>231</v>
      </c>
      <c r="O654" t="s">
        <v>231</v>
      </c>
      <c r="P654" t="s">
        <v>231</v>
      </c>
      <c r="Q654" t="s">
        <v>231</v>
      </c>
      <c r="R654" t="s">
        <v>5101</v>
      </c>
      <c r="S654" t="s">
        <v>231</v>
      </c>
      <c r="T654" t="s">
        <v>231</v>
      </c>
      <c r="U654" t="s">
        <v>101</v>
      </c>
      <c r="V654" t="s">
        <v>231</v>
      </c>
      <c r="W654" t="s">
        <v>231</v>
      </c>
      <c r="X654" t="s">
        <v>5088</v>
      </c>
      <c r="Y654" t="s">
        <v>231</v>
      </c>
      <c r="Z654" t="s">
        <v>160</v>
      </c>
      <c r="AA654" t="s">
        <v>151</v>
      </c>
      <c r="AB654" t="s">
        <v>151</v>
      </c>
      <c r="AC654" t="s">
        <v>2691</v>
      </c>
      <c r="AD654" t="s">
        <v>2691</v>
      </c>
      <c r="AE654" t="s">
        <v>2692</v>
      </c>
      <c r="AF654" t="s">
        <v>3991</v>
      </c>
      <c r="AG654" t="s">
        <v>3992</v>
      </c>
      <c r="AH654" t="s">
        <v>5102</v>
      </c>
      <c r="AI654" t="s">
        <v>5103</v>
      </c>
      <c r="AJ654" t="s">
        <v>4960</v>
      </c>
      <c r="AK654" t="s">
        <v>5104</v>
      </c>
      <c r="AL654" t="s">
        <v>5092</v>
      </c>
      <c r="AN654" t="s">
        <v>3595</v>
      </c>
      <c r="AO654" t="s">
        <v>5105</v>
      </c>
      <c r="AP654" t="s">
        <v>231</v>
      </c>
      <c r="AQ654" t="s">
        <v>231</v>
      </c>
      <c r="AR654" t="s">
        <v>231</v>
      </c>
      <c r="AS654" t="s">
        <v>231</v>
      </c>
      <c r="AT654" t="s">
        <v>231</v>
      </c>
      <c r="AU654" t="s">
        <v>231</v>
      </c>
      <c r="AV654" t="s">
        <v>231</v>
      </c>
      <c r="AW654" t="s">
        <v>231</v>
      </c>
      <c r="AX654" t="s">
        <v>231</v>
      </c>
      <c r="AY654" t="s">
        <v>231</v>
      </c>
      <c r="AZ654" t="s">
        <v>231</v>
      </c>
      <c r="BA654" t="s">
        <v>231</v>
      </c>
      <c r="BB654" t="s">
        <v>231</v>
      </c>
      <c r="BC654" t="s">
        <v>231</v>
      </c>
      <c r="BD654" t="s">
        <v>231</v>
      </c>
      <c r="BE654" t="s">
        <v>231</v>
      </c>
      <c r="BF654" t="s">
        <v>231</v>
      </c>
      <c r="BG654" t="s">
        <v>231</v>
      </c>
      <c r="BH654" t="s">
        <v>231</v>
      </c>
      <c r="BI654" t="s">
        <v>231</v>
      </c>
      <c r="BJ654" t="s">
        <v>231</v>
      </c>
      <c r="BK654" t="s">
        <v>231</v>
      </c>
      <c r="BL654" t="s">
        <v>231</v>
      </c>
      <c r="BM654" t="s">
        <v>231</v>
      </c>
      <c r="BN654" t="s">
        <v>231</v>
      </c>
      <c r="BO654" t="s">
        <v>231</v>
      </c>
      <c r="BP654" t="s">
        <v>231</v>
      </c>
      <c r="BQ654" t="s">
        <v>231</v>
      </c>
      <c r="BR654" t="s">
        <v>231</v>
      </c>
      <c r="BS654" t="s">
        <v>231</v>
      </c>
      <c r="BT654" t="s">
        <v>231</v>
      </c>
      <c r="CS654" t="s">
        <v>231</v>
      </c>
      <c r="CT654" t="s">
        <v>3534</v>
      </c>
      <c r="CU654" t="s">
        <v>3535</v>
      </c>
      <c r="CV654" t="s">
        <v>3997</v>
      </c>
      <c r="CW654" t="s">
        <v>3998</v>
      </c>
      <c r="CX654" t="s">
        <v>3570</v>
      </c>
      <c r="CY654" t="s">
        <v>3997</v>
      </c>
      <c r="CZ654" t="s">
        <v>5106</v>
      </c>
      <c r="DA654" t="s">
        <v>3999</v>
      </c>
      <c r="DB654" t="s">
        <v>3998</v>
      </c>
      <c r="DC654" t="s">
        <v>363</v>
      </c>
      <c r="DD654" t="s">
        <v>5099</v>
      </c>
      <c r="DE654" t="s">
        <v>5107</v>
      </c>
    </row>
    <row r="655" spans="1:109" ht="11.25" customHeight="1">
      <c r="A655" s="1314" t="s">
        <v>231</v>
      </c>
      <c r="B655" t="s">
        <v>231</v>
      </c>
      <c r="C655" t="s">
        <v>231</v>
      </c>
      <c r="D655" t="s">
        <v>231</v>
      </c>
      <c r="E655" t="s">
        <v>231</v>
      </c>
      <c r="F655" t="s">
        <v>231</v>
      </c>
      <c r="G655" t="s">
        <v>231</v>
      </c>
      <c r="H655" t="s">
        <v>231</v>
      </c>
      <c r="I655" t="s">
        <v>5086</v>
      </c>
      <c r="J655" t="s">
        <v>231</v>
      </c>
      <c r="K655" t="s">
        <v>231</v>
      </c>
      <c r="L655" t="s">
        <v>231</v>
      </c>
      <c r="M655" t="s">
        <v>231</v>
      </c>
      <c r="N655" t="s">
        <v>231</v>
      </c>
      <c r="O655" t="s">
        <v>231</v>
      </c>
      <c r="P655" t="s">
        <v>231</v>
      </c>
      <c r="Q655" t="s">
        <v>231</v>
      </c>
      <c r="R655" t="s">
        <v>5108</v>
      </c>
      <c r="S655" t="s">
        <v>231</v>
      </c>
      <c r="T655" t="s">
        <v>231</v>
      </c>
      <c r="U655" t="s">
        <v>101</v>
      </c>
      <c r="V655" t="s">
        <v>231</v>
      </c>
      <c r="W655" t="s">
        <v>231</v>
      </c>
      <c r="X655" t="s">
        <v>5088</v>
      </c>
      <c r="Y655" t="s">
        <v>231</v>
      </c>
      <c r="Z655" t="s">
        <v>160</v>
      </c>
      <c r="AA655" t="s">
        <v>151</v>
      </c>
      <c r="AB655" t="s">
        <v>151</v>
      </c>
      <c r="AC655" t="s">
        <v>343</v>
      </c>
      <c r="AD655" t="s">
        <v>343</v>
      </c>
      <c r="AE655" t="s">
        <v>344</v>
      </c>
      <c r="AF655" t="s">
        <v>3561</v>
      </c>
      <c r="AG655" t="s">
        <v>3562</v>
      </c>
      <c r="AH655" t="s">
        <v>5109</v>
      </c>
      <c r="AI655" t="s">
        <v>5110</v>
      </c>
      <c r="AJ655" t="s">
        <v>3611</v>
      </c>
      <c r="AK655" t="s">
        <v>5111</v>
      </c>
      <c r="AL655" t="s">
        <v>5112</v>
      </c>
      <c r="AN655" t="s">
        <v>5113</v>
      </c>
      <c r="AO655" t="s">
        <v>5114</v>
      </c>
      <c r="AP655" t="s">
        <v>231</v>
      </c>
      <c r="AQ655" t="s">
        <v>231</v>
      </c>
      <c r="AR655" t="s">
        <v>231</v>
      </c>
      <c r="AS655" t="s">
        <v>231</v>
      </c>
      <c r="AT655" t="s">
        <v>231</v>
      </c>
      <c r="AU655" t="s">
        <v>231</v>
      </c>
      <c r="AV655" t="s">
        <v>231</v>
      </c>
      <c r="AW655" t="s">
        <v>231</v>
      </c>
      <c r="AX655" t="s">
        <v>231</v>
      </c>
      <c r="AY655" t="s">
        <v>231</v>
      </c>
      <c r="AZ655" t="s">
        <v>231</v>
      </c>
      <c r="BA655" t="s">
        <v>231</v>
      </c>
      <c r="BB655" t="s">
        <v>231</v>
      </c>
      <c r="BC655" t="s">
        <v>231</v>
      </c>
      <c r="BD655" t="s">
        <v>231</v>
      </c>
      <c r="BE655" t="s">
        <v>231</v>
      </c>
      <c r="BF655" t="s">
        <v>231</v>
      </c>
      <c r="BG655" t="s">
        <v>231</v>
      </c>
      <c r="BH655" t="s">
        <v>231</v>
      </c>
      <c r="BI655" t="s">
        <v>231</v>
      </c>
      <c r="BJ655" t="s">
        <v>231</v>
      </c>
      <c r="BK655" t="s">
        <v>231</v>
      </c>
      <c r="BL655" t="s">
        <v>231</v>
      </c>
      <c r="BM655" t="s">
        <v>231</v>
      </c>
      <c r="BN655" t="s">
        <v>231</v>
      </c>
      <c r="BO655" t="s">
        <v>231</v>
      </c>
      <c r="BP655" t="s">
        <v>231</v>
      </c>
      <c r="BQ655" t="s">
        <v>231</v>
      </c>
      <c r="BR655" t="s">
        <v>231</v>
      </c>
      <c r="BS655" t="s">
        <v>231</v>
      </c>
      <c r="BT655" t="s">
        <v>231</v>
      </c>
      <c r="CS655" t="s">
        <v>231</v>
      </c>
      <c r="CT655" t="s">
        <v>3534</v>
      </c>
      <c r="CU655" t="s">
        <v>5095</v>
      </c>
      <c r="CV655" t="s">
        <v>3997</v>
      </c>
      <c r="CW655" t="s">
        <v>5096</v>
      </c>
      <c r="CX655" t="s">
        <v>3570</v>
      </c>
      <c r="CY655" t="s">
        <v>3997</v>
      </c>
      <c r="CZ655" t="s">
        <v>5097</v>
      </c>
      <c r="DA655" t="s">
        <v>5098</v>
      </c>
      <c r="DB655" t="s">
        <v>5096</v>
      </c>
      <c r="DC655" t="s">
        <v>363</v>
      </c>
      <c r="DD655" t="s">
        <v>5099</v>
      </c>
      <c r="DE655" t="s">
        <v>5115</v>
      </c>
    </row>
    <row r="656" spans="1:109" ht="11.25" customHeight="1">
      <c r="A656" s="1314" t="s">
        <v>231</v>
      </c>
      <c r="B656" t="s">
        <v>231</v>
      </c>
      <c r="C656" t="s">
        <v>231</v>
      </c>
      <c r="D656" t="s">
        <v>231</v>
      </c>
      <c r="E656" t="s">
        <v>231</v>
      </c>
      <c r="F656" t="s">
        <v>231</v>
      </c>
      <c r="G656" t="s">
        <v>231</v>
      </c>
      <c r="H656" t="s">
        <v>231</v>
      </c>
      <c r="I656" t="s">
        <v>5086</v>
      </c>
      <c r="J656" t="s">
        <v>231</v>
      </c>
      <c r="K656" t="s">
        <v>231</v>
      </c>
      <c r="L656" t="s">
        <v>231</v>
      </c>
      <c r="M656" t="s">
        <v>231</v>
      </c>
      <c r="N656" t="s">
        <v>231</v>
      </c>
      <c r="O656" t="s">
        <v>231</v>
      </c>
      <c r="P656" t="s">
        <v>231</v>
      </c>
      <c r="Q656" t="s">
        <v>231</v>
      </c>
      <c r="R656" t="s">
        <v>5116</v>
      </c>
      <c r="S656" t="s">
        <v>231</v>
      </c>
      <c r="T656" t="s">
        <v>231</v>
      </c>
      <c r="U656" t="s">
        <v>101</v>
      </c>
      <c r="V656" t="s">
        <v>231</v>
      </c>
      <c r="W656" t="s">
        <v>231</v>
      </c>
      <c r="X656" t="s">
        <v>5088</v>
      </c>
      <c r="Y656" t="s">
        <v>231</v>
      </c>
      <c r="Z656" t="s">
        <v>160</v>
      </c>
      <c r="AA656" t="s">
        <v>151</v>
      </c>
      <c r="AB656" t="s">
        <v>151</v>
      </c>
      <c r="AC656" t="s">
        <v>343</v>
      </c>
      <c r="AD656" t="s">
        <v>343</v>
      </c>
      <c r="AE656" t="s">
        <v>344</v>
      </c>
      <c r="AF656" t="s">
        <v>3561</v>
      </c>
      <c r="AG656" t="s">
        <v>3562</v>
      </c>
      <c r="AH656" t="s">
        <v>5117</v>
      </c>
      <c r="AI656" t="s">
        <v>3575</v>
      </c>
      <c r="AJ656" t="s">
        <v>3951</v>
      </c>
      <c r="AK656" t="s">
        <v>5118</v>
      </c>
      <c r="AL656" t="s">
        <v>5092</v>
      </c>
      <c r="AN656" t="s">
        <v>3939</v>
      </c>
      <c r="AO656" t="s">
        <v>5119</v>
      </c>
      <c r="AP656" t="s">
        <v>231</v>
      </c>
      <c r="AQ656" t="s">
        <v>231</v>
      </c>
      <c r="AR656" t="s">
        <v>231</v>
      </c>
      <c r="AS656" t="s">
        <v>231</v>
      </c>
      <c r="AT656" t="s">
        <v>231</v>
      </c>
      <c r="AU656" t="s">
        <v>231</v>
      </c>
      <c r="AV656" t="s">
        <v>231</v>
      </c>
      <c r="AW656" t="s">
        <v>231</v>
      </c>
      <c r="AX656" t="s">
        <v>231</v>
      </c>
      <c r="AY656" t="s">
        <v>231</v>
      </c>
      <c r="AZ656" t="s">
        <v>231</v>
      </c>
      <c r="BA656" t="s">
        <v>231</v>
      </c>
      <c r="BB656" t="s">
        <v>231</v>
      </c>
      <c r="BC656" t="s">
        <v>231</v>
      </c>
      <c r="BD656" t="s">
        <v>231</v>
      </c>
      <c r="BE656" t="s">
        <v>231</v>
      </c>
      <c r="BF656" t="s">
        <v>231</v>
      </c>
      <c r="BG656" t="s">
        <v>231</v>
      </c>
      <c r="BH656" t="s">
        <v>231</v>
      </c>
      <c r="BI656" t="s">
        <v>231</v>
      </c>
      <c r="BJ656" t="s">
        <v>231</v>
      </c>
      <c r="BK656" t="s">
        <v>231</v>
      </c>
      <c r="BL656" t="s">
        <v>231</v>
      </c>
      <c r="BM656" t="s">
        <v>231</v>
      </c>
      <c r="BN656" t="s">
        <v>231</v>
      </c>
      <c r="BO656" t="s">
        <v>231</v>
      </c>
      <c r="BP656" t="s">
        <v>231</v>
      </c>
      <c r="BQ656" t="s">
        <v>231</v>
      </c>
      <c r="BR656" t="s">
        <v>231</v>
      </c>
      <c r="BS656" t="s">
        <v>231</v>
      </c>
      <c r="BT656" t="s">
        <v>231</v>
      </c>
      <c r="CS656" t="s">
        <v>231</v>
      </c>
      <c r="CT656" t="s">
        <v>3534</v>
      </c>
      <c r="CU656" t="s">
        <v>3535</v>
      </c>
      <c r="CV656" t="s">
        <v>3536</v>
      </c>
      <c r="CW656" t="s">
        <v>3569</v>
      </c>
      <c r="CX656" t="s">
        <v>3570</v>
      </c>
      <c r="CY656" t="s">
        <v>3536</v>
      </c>
      <c r="CZ656" t="s">
        <v>224</v>
      </c>
      <c r="DA656" t="s">
        <v>3571</v>
      </c>
      <c r="DB656" t="s">
        <v>3569</v>
      </c>
      <c r="DC656" t="s">
        <v>363</v>
      </c>
      <c r="DD656" t="s">
        <v>5099</v>
      </c>
      <c r="DE656" t="s">
        <v>5120</v>
      </c>
    </row>
    <row r="657" spans="1:109" ht="11.25" customHeight="1">
      <c r="A657" s="1314" t="s">
        <v>231</v>
      </c>
      <c r="B657" t="s">
        <v>231</v>
      </c>
      <c r="C657" t="s">
        <v>231</v>
      </c>
      <c r="D657" t="s">
        <v>231</v>
      </c>
      <c r="E657" t="s">
        <v>231</v>
      </c>
      <c r="F657" t="s">
        <v>231</v>
      </c>
      <c r="G657" t="s">
        <v>231</v>
      </c>
      <c r="H657" t="s">
        <v>231</v>
      </c>
      <c r="I657" t="s">
        <v>5086</v>
      </c>
      <c r="J657" t="s">
        <v>231</v>
      </c>
      <c r="K657" t="s">
        <v>231</v>
      </c>
      <c r="L657" t="s">
        <v>231</v>
      </c>
      <c r="M657" t="s">
        <v>231</v>
      </c>
      <c r="N657" t="s">
        <v>231</v>
      </c>
      <c r="O657" t="s">
        <v>231</v>
      </c>
      <c r="P657" t="s">
        <v>231</v>
      </c>
      <c r="Q657" t="s">
        <v>231</v>
      </c>
      <c r="R657" t="s">
        <v>5121</v>
      </c>
      <c r="S657" t="s">
        <v>231</v>
      </c>
      <c r="T657" t="s">
        <v>231</v>
      </c>
      <c r="U657" t="s">
        <v>101</v>
      </c>
      <c r="V657" t="s">
        <v>231</v>
      </c>
      <c r="W657" t="s">
        <v>231</v>
      </c>
      <c r="X657" t="s">
        <v>5088</v>
      </c>
      <c r="Y657" t="s">
        <v>231</v>
      </c>
      <c r="Z657" t="s">
        <v>160</v>
      </c>
      <c r="AA657" t="s">
        <v>151</v>
      </c>
      <c r="AB657" t="s">
        <v>151</v>
      </c>
      <c r="AC657" t="s">
        <v>2691</v>
      </c>
      <c r="AD657" t="s">
        <v>2691</v>
      </c>
      <c r="AE657" t="s">
        <v>2692</v>
      </c>
      <c r="AF657" t="s">
        <v>3991</v>
      </c>
      <c r="AG657" t="s">
        <v>3992</v>
      </c>
      <c r="AH657" t="s">
        <v>3660</v>
      </c>
      <c r="AI657" t="s">
        <v>3575</v>
      </c>
      <c r="AJ657" t="s">
        <v>3867</v>
      </c>
      <c r="AK657" t="s">
        <v>3587</v>
      </c>
      <c r="AL657" t="s">
        <v>5092</v>
      </c>
      <c r="AN657" t="s">
        <v>3595</v>
      </c>
      <c r="AO657" t="s">
        <v>5122</v>
      </c>
      <c r="AP657" t="s">
        <v>231</v>
      </c>
      <c r="AQ657" t="s">
        <v>231</v>
      </c>
      <c r="AR657" t="s">
        <v>231</v>
      </c>
      <c r="AS657" t="s">
        <v>231</v>
      </c>
      <c r="AT657" t="s">
        <v>231</v>
      </c>
      <c r="AU657" t="s">
        <v>231</v>
      </c>
      <c r="AV657" t="s">
        <v>231</v>
      </c>
      <c r="AW657" t="s">
        <v>231</v>
      </c>
      <c r="AX657" t="s">
        <v>231</v>
      </c>
      <c r="AY657" t="s">
        <v>231</v>
      </c>
      <c r="AZ657" t="s">
        <v>231</v>
      </c>
      <c r="BA657" t="s">
        <v>231</v>
      </c>
      <c r="BB657" t="s">
        <v>231</v>
      </c>
      <c r="BC657" t="s">
        <v>231</v>
      </c>
      <c r="BD657" t="s">
        <v>231</v>
      </c>
      <c r="BE657" t="s">
        <v>231</v>
      </c>
      <c r="BF657" t="s">
        <v>231</v>
      </c>
      <c r="BG657" t="s">
        <v>231</v>
      </c>
      <c r="BH657" t="s">
        <v>231</v>
      </c>
      <c r="BI657" t="s">
        <v>231</v>
      </c>
      <c r="BJ657" t="s">
        <v>231</v>
      </c>
      <c r="BK657" t="s">
        <v>231</v>
      </c>
      <c r="BL657" t="s">
        <v>231</v>
      </c>
      <c r="BM657" t="s">
        <v>231</v>
      </c>
      <c r="BN657" t="s">
        <v>231</v>
      </c>
      <c r="BO657" t="s">
        <v>231</v>
      </c>
      <c r="BP657" t="s">
        <v>231</v>
      </c>
      <c r="BQ657" t="s">
        <v>231</v>
      </c>
      <c r="BR657" t="s">
        <v>231</v>
      </c>
      <c r="BS657" t="s">
        <v>231</v>
      </c>
      <c r="BT657" t="s">
        <v>231</v>
      </c>
      <c r="CS657" t="s">
        <v>231</v>
      </c>
      <c r="CT657" t="s">
        <v>3534</v>
      </c>
      <c r="CU657" t="s">
        <v>3535</v>
      </c>
      <c r="CV657" t="s">
        <v>3997</v>
      </c>
      <c r="CW657" t="s">
        <v>3998</v>
      </c>
      <c r="CX657" t="s">
        <v>3570</v>
      </c>
      <c r="CY657" t="s">
        <v>3997</v>
      </c>
      <c r="CZ657" t="s">
        <v>5106</v>
      </c>
      <c r="DA657" t="s">
        <v>3999</v>
      </c>
      <c r="DB657" t="s">
        <v>3998</v>
      </c>
      <c r="DC657" t="s">
        <v>363</v>
      </c>
      <c r="DD657" t="s">
        <v>5099</v>
      </c>
      <c r="DE657" t="s">
        <v>5123</v>
      </c>
    </row>
    <row r="658" spans="1:109" ht="11.25" customHeight="1">
      <c r="A658" s="1314" t="s">
        <v>231</v>
      </c>
      <c r="B658" t="s">
        <v>231</v>
      </c>
      <c r="C658" t="s">
        <v>231</v>
      </c>
      <c r="D658" t="s">
        <v>231</v>
      </c>
      <c r="E658" t="s">
        <v>231</v>
      </c>
      <c r="F658" t="s">
        <v>231</v>
      </c>
      <c r="G658" t="s">
        <v>231</v>
      </c>
      <c r="H658" t="s">
        <v>231</v>
      </c>
      <c r="I658" t="s">
        <v>5086</v>
      </c>
      <c r="J658" t="s">
        <v>231</v>
      </c>
      <c r="K658" t="s">
        <v>231</v>
      </c>
      <c r="L658" t="s">
        <v>231</v>
      </c>
      <c r="M658" t="s">
        <v>231</v>
      </c>
      <c r="N658" t="s">
        <v>231</v>
      </c>
      <c r="O658" t="s">
        <v>231</v>
      </c>
      <c r="P658" t="s">
        <v>231</v>
      </c>
      <c r="Q658" t="s">
        <v>231</v>
      </c>
      <c r="R658" t="s">
        <v>5124</v>
      </c>
      <c r="S658" t="s">
        <v>231</v>
      </c>
      <c r="T658" t="s">
        <v>231</v>
      </c>
      <c r="U658" t="s">
        <v>101</v>
      </c>
      <c r="V658" t="s">
        <v>231</v>
      </c>
      <c r="W658" t="s">
        <v>231</v>
      </c>
      <c r="X658" t="s">
        <v>5088</v>
      </c>
      <c r="Y658" t="s">
        <v>231</v>
      </c>
      <c r="Z658" t="s">
        <v>160</v>
      </c>
      <c r="AA658" t="s">
        <v>151</v>
      </c>
      <c r="AB658" t="s">
        <v>151</v>
      </c>
      <c r="AC658" t="s">
        <v>343</v>
      </c>
      <c r="AD658" t="s">
        <v>343</v>
      </c>
      <c r="AE658" t="s">
        <v>344</v>
      </c>
      <c r="AF658" t="s">
        <v>3561</v>
      </c>
      <c r="AG658" t="s">
        <v>3562</v>
      </c>
      <c r="AH658" t="s">
        <v>5125</v>
      </c>
      <c r="AI658" t="s">
        <v>3575</v>
      </c>
      <c r="AJ658" t="s">
        <v>3825</v>
      </c>
      <c r="AK658" t="s">
        <v>5126</v>
      </c>
      <c r="AL658" t="s">
        <v>5112</v>
      </c>
      <c r="AN658" t="s">
        <v>5127</v>
      </c>
      <c r="AO658" t="s">
        <v>5128</v>
      </c>
      <c r="AP658" t="s">
        <v>231</v>
      </c>
      <c r="AQ658" t="s">
        <v>231</v>
      </c>
      <c r="AR658" t="s">
        <v>231</v>
      </c>
      <c r="AS658" t="s">
        <v>231</v>
      </c>
      <c r="AT658" t="s">
        <v>231</v>
      </c>
      <c r="AU658" t="s">
        <v>231</v>
      </c>
      <c r="AV658" t="s">
        <v>231</v>
      </c>
      <c r="AW658" t="s">
        <v>231</v>
      </c>
      <c r="AX658" t="s">
        <v>231</v>
      </c>
      <c r="AY658" t="s">
        <v>231</v>
      </c>
      <c r="AZ658" t="s">
        <v>231</v>
      </c>
      <c r="BA658" t="s">
        <v>231</v>
      </c>
      <c r="BB658" t="s">
        <v>231</v>
      </c>
      <c r="BC658" t="s">
        <v>231</v>
      </c>
      <c r="BD658" t="s">
        <v>231</v>
      </c>
      <c r="BE658" t="s">
        <v>231</v>
      </c>
      <c r="BF658" t="s">
        <v>231</v>
      </c>
      <c r="BG658" t="s">
        <v>231</v>
      </c>
      <c r="BH658" t="s">
        <v>231</v>
      </c>
      <c r="BI658" t="s">
        <v>231</v>
      </c>
      <c r="BJ658" t="s">
        <v>231</v>
      </c>
      <c r="BK658" t="s">
        <v>231</v>
      </c>
      <c r="BL658" t="s">
        <v>231</v>
      </c>
      <c r="BM658" t="s">
        <v>231</v>
      </c>
      <c r="BN658" t="s">
        <v>231</v>
      </c>
      <c r="BO658" t="s">
        <v>231</v>
      </c>
      <c r="BP658" t="s">
        <v>231</v>
      </c>
      <c r="BQ658" t="s">
        <v>231</v>
      </c>
      <c r="BR658" t="s">
        <v>231</v>
      </c>
      <c r="BS658" t="s">
        <v>231</v>
      </c>
      <c r="BT658" t="s">
        <v>231</v>
      </c>
      <c r="CS658" t="s">
        <v>231</v>
      </c>
      <c r="CT658" t="s">
        <v>3534</v>
      </c>
      <c r="CU658" t="s">
        <v>3535</v>
      </c>
      <c r="CV658" t="s">
        <v>3536</v>
      </c>
      <c r="CW658" t="s">
        <v>3569</v>
      </c>
      <c r="CX658" t="s">
        <v>223</v>
      </c>
      <c r="CY658" t="s">
        <v>3536</v>
      </c>
      <c r="CZ658" t="s">
        <v>224</v>
      </c>
      <c r="DA658" t="s">
        <v>3571</v>
      </c>
      <c r="DB658" t="s">
        <v>3569</v>
      </c>
      <c r="DC658" t="s">
        <v>363</v>
      </c>
      <c r="DD658" t="s">
        <v>5099</v>
      </c>
      <c r="DE658" t="s">
        <v>5129</v>
      </c>
    </row>
    <row r="659" spans="1:109" ht="11.25" customHeight="1">
      <c r="A659" s="1314" t="s">
        <v>231</v>
      </c>
      <c r="B659" t="s">
        <v>231</v>
      </c>
      <c r="C659" t="s">
        <v>231</v>
      </c>
      <c r="D659" t="s">
        <v>231</v>
      </c>
      <c r="E659" t="s">
        <v>231</v>
      </c>
      <c r="F659" t="s">
        <v>231</v>
      </c>
      <c r="G659" t="s">
        <v>231</v>
      </c>
      <c r="H659" t="s">
        <v>231</v>
      </c>
      <c r="I659" t="s">
        <v>5086</v>
      </c>
      <c r="J659" t="s">
        <v>231</v>
      </c>
      <c r="K659" t="s">
        <v>231</v>
      </c>
      <c r="L659" t="s">
        <v>231</v>
      </c>
      <c r="M659" t="s">
        <v>231</v>
      </c>
      <c r="N659" t="s">
        <v>231</v>
      </c>
      <c r="O659" t="s">
        <v>231</v>
      </c>
      <c r="P659" t="s">
        <v>231</v>
      </c>
      <c r="Q659" t="s">
        <v>231</v>
      </c>
      <c r="R659" t="s">
        <v>5130</v>
      </c>
      <c r="S659" t="s">
        <v>231</v>
      </c>
      <c r="T659" t="s">
        <v>231</v>
      </c>
      <c r="U659" t="s">
        <v>101</v>
      </c>
      <c r="V659" t="s">
        <v>231</v>
      </c>
      <c r="W659" t="s">
        <v>231</v>
      </c>
      <c r="X659" t="s">
        <v>3955</v>
      </c>
      <c r="Y659" t="s">
        <v>231</v>
      </c>
      <c r="Z659" t="s">
        <v>151</v>
      </c>
      <c r="AA659" t="s">
        <v>160</v>
      </c>
      <c r="AB659" t="s">
        <v>151</v>
      </c>
      <c r="AC659" t="s">
        <v>343</v>
      </c>
      <c r="AD659" t="s">
        <v>343</v>
      </c>
      <c r="AE659" t="s">
        <v>344</v>
      </c>
      <c r="AF659" t="s">
        <v>3561</v>
      </c>
      <c r="AG659" t="s">
        <v>3562</v>
      </c>
      <c r="AH659" t="s">
        <v>5131</v>
      </c>
      <c r="AI659" t="s">
        <v>3575</v>
      </c>
      <c r="AJ659" t="s">
        <v>231</v>
      </c>
      <c r="AK659" t="s">
        <v>231</v>
      </c>
      <c r="AL659" t="s">
        <v>231</v>
      </c>
      <c r="AN659" t="s">
        <v>231</v>
      </c>
      <c r="AO659" t="s">
        <v>231</v>
      </c>
      <c r="AP659" t="s">
        <v>5132</v>
      </c>
      <c r="AQ659" t="s">
        <v>5133</v>
      </c>
      <c r="AR659" t="s">
        <v>111</v>
      </c>
      <c r="AS659" t="s">
        <v>3632</v>
      </c>
      <c r="AT659" t="s">
        <v>122</v>
      </c>
      <c r="AU659" t="s">
        <v>231</v>
      </c>
      <c r="AV659" t="s">
        <v>5130</v>
      </c>
      <c r="AW659" t="s">
        <v>343</v>
      </c>
      <c r="AX659" t="s">
        <v>343</v>
      </c>
      <c r="AY659" t="s">
        <v>3634</v>
      </c>
      <c r="AZ659" t="s">
        <v>3561</v>
      </c>
      <c r="BA659" t="s">
        <v>3635</v>
      </c>
      <c r="BB659" t="s">
        <v>5131</v>
      </c>
      <c r="BC659" t="s">
        <v>3575</v>
      </c>
      <c r="BD659" t="s">
        <v>3529</v>
      </c>
      <c r="BE659" t="s">
        <v>231</v>
      </c>
      <c r="BF659" t="s">
        <v>231</v>
      </c>
      <c r="BG659" t="s">
        <v>231</v>
      </c>
      <c r="BH659" t="s">
        <v>231</v>
      </c>
      <c r="BI659" t="s">
        <v>231</v>
      </c>
      <c r="BJ659" t="s">
        <v>231</v>
      </c>
      <c r="BK659" t="s">
        <v>231</v>
      </c>
      <c r="BL659" t="s">
        <v>231</v>
      </c>
      <c r="BM659" t="s">
        <v>231</v>
      </c>
      <c r="BN659" t="s">
        <v>231</v>
      </c>
      <c r="BO659" t="s">
        <v>231</v>
      </c>
      <c r="BP659" t="s">
        <v>231</v>
      </c>
      <c r="BQ659" t="s">
        <v>231</v>
      </c>
      <c r="BR659" t="s">
        <v>231</v>
      </c>
      <c r="BS659" t="s">
        <v>231</v>
      </c>
      <c r="BT659" t="s">
        <v>231</v>
      </c>
      <c r="CS659" t="s">
        <v>231</v>
      </c>
      <c r="CT659" t="s">
        <v>3534</v>
      </c>
      <c r="CU659" t="s">
        <v>3535</v>
      </c>
      <c r="CV659" t="s">
        <v>3536</v>
      </c>
      <c r="CW659" t="s">
        <v>3569</v>
      </c>
      <c r="CX659" t="s">
        <v>3570</v>
      </c>
      <c r="CY659" t="s">
        <v>3536</v>
      </c>
      <c r="CZ659" t="s">
        <v>224</v>
      </c>
      <c r="DA659" t="s">
        <v>3571</v>
      </c>
      <c r="DB659" t="s">
        <v>3569</v>
      </c>
      <c r="DC659" t="s">
        <v>363</v>
      </c>
      <c r="DD659" t="s">
        <v>5099</v>
      </c>
      <c r="DE659" t="s">
        <v>5134</v>
      </c>
    </row>
    <row r="660" spans="1:109" ht="11.25" customHeight="1">
      <c r="A660" s="1314" t="s">
        <v>231</v>
      </c>
      <c r="B660" t="s">
        <v>231</v>
      </c>
      <c r="C660" t="s">
        <v>231</v>
      </c>
      <c r="D660" t="s">
        <v>231</v>
      </c>
      <c r="E660" t="s">
        <v>231</v>
      </c>
      <c r="F660" t="s">
        <v>231</v>
      </c>
      <c r="G660" t="s">
        <v>231</v>
      </c>
      <c r="H660" t="s">
        <v>231</v>
      </c>
      <c r="I660" t="s">
        <v>5086</v>
      </c>
      <c r="J660" t="s">
        <v>231</v>
      </c>
      <c r="K660" t="s">
        <v>231</v>
      </c>
      <c r="L660" t="s">
        <v>231</v>
      </c>
      <c r="M660" t="s">
        <v>231</v>
      </c>
      <c r="N660" t="s">
        <v>231</v>
      </c>
      <c r="O660" t="s">
        <v>231</v>
      </c>
      <c r="P660" t="s">
        <v>231</v>
      </c>
      <c r="Q660" t="s">
        <v>231</v>
      </c>
      <c r="R660" t="s">
        <v>5135</v>
      </c>
      <c r="S660" t="s">
        <v>231</v>
      </c>
      <c r="T660" t="s">
        <v>231</v>
      </c>
      <c r="U660" t="s">
        <v>101</v>
      </c>
      <c r="V660" t="s">
        <v>231</v>
      </c>
      <c r="W660" t="s">
        <v>231</v>
      </c>
      <c r="X660" t="s">
        <v>5088</v>
      </c>
      <c r="Y660" t="s">
        <v>231</v>
      </c>
      <c r="Z660" t="s">
        <v>160</v>
      </c>
      <c r="AA660" t="s">
        <v>151</v>
      </c>
      <c r="AB660" t="s">
        <v>151</v>
      </c>
      <c r="AC660" t="s">
        <v>343</v>
      </c>
      <c r="AD660" t="s">
        <v>343</v>
      </c>
      <c r="AE660" t="s">
        <v>344</v>
      </c>
      <c r="AF660" t="s">
        <v>3561</v>
      </c>
      <c r="AG660" t="s">
        <v>3562</v>
      </c>
      <c r="AH660" t="s">
        <v>5125</v>
      </c>
      <c r="AI660" t="s">
        <v>3575</v>
      </c>
      <c r="AJ660" t="s">
        <v>5136</v>
      </c>
      <c r="AK660" t="s">
        <v>5137</v>
      </c>
      <c r="AL660" t="s">
        <v>5112</v>
      </c>
      <c r="AN660" t="s">
        <v>4530</v>
      </c>
      <c r="AO660" t="s">
        <v>5138</v>
      </c>
      <c r="AP660" t="s">
        <v>231</v>
      </c>
      <c r="AQ660" t="s">
        <v>231</v>
      </c>
      <c r="AR660" t="s">
        <v>231</v>
      </c>
      <c r="AS660" t="s">
        <v>231</v>
      </c>
      <c r="AT660" t="s">
        <v>231</v>
      </c>
      <c r="AU660" t="s">
        <v>231</v>
      </c>
      <c r="AV660" t="s">
        <v>231</v>
      </c>
      <c r="AW660" t="s">
        <v>231</v>
      </c>
      <c r="AX660" t="s">
        <v>231</v>
      </c>
      <c r="AY660" t="s">
        <v>231</v>
      </c>
      <c r="AZ660" t="s">
        <v>231</v>
      </c>
      <c r="BA660" t="s">
        <v>231</v>
      </c>
      <c r="BB660" t="s">
        <v>231</v>
      </c>
      <c r="BC660" t="s">
        <v>231</v>
      </c>
      <c r="BD660" t="s">
        <v>231</v>
      </c>
      <c r="BE660" t="s">
        <v>231</v>
      </c>
      <c r="BF660" t="s">
        <v>231</v>
      </c>
      <c r="BG660" t="s">
        <v>231</v>
      </c>
      <c r="BH660" t="s">
        <v>231</v>
      </c>
      <c r="BI660" t="s">
        <v>231</v>
      </c>
      <c r="BJ660" t="s">
        <v>231</v>
      </c>
      <c r="BK660" t="s">
        <v>231</v>
      </c>
      <c r="BL660" t="s">
        <v>231</v>
      </c>
      <c r="BM660" t="s">
        <v>231</v>
      </c>
      <c r="BN660" t="s">
        <v>231</v>
      </c>
      <c r="BO660" t="s">
        <v>231</v>
      </c>
      <c r="BP660" t="s">
        <v>231</v>
      </c>
      <c r="BQ660" t="s">
        <v>231</v>
      </c>
      <c r="BR660" t="s">
        <v>231</v>
      </c>
      <c r="BS660" t="s">
        <v>231</v>
      </c>
      <c r="BT660" t="s">
        <v>231</v>
      </c>
      <c r="CS660" t="s">
        <v>231</v>
      </c>
      <c r="CT660" t="s">
        <v>3534</v>
      </c>
      <c r="CU660" t="s">
        <v>3535</v>
      </c>
      <c r="CV660" t="s">
        <v>3536</v>
      </c>
      <c r="CW660" t="s">
        <v>3569</v>
      </c>
      <c r="CX660" t="s">
        <v>223</v>
      </c>
      <c r="CY660" t="s">
        <v>3536</v>
      </c>
      <c r="CZ660" t="s">
        <v>224</v>
      </c>
      <c r="DA660" t="s">
        <v>3571</v>
      </c>
      <c r="DB660" t="s">
        <v>3569</v>
      </c>
      <c r="DC660" t="s">
        <v>363</v>
      </c>
      <c r="DD660" t="s">
        <v>5099</v>
      </c>
      <c r="DE660" t="s">
        <v>5129</v>
      </c>
    </row>
    <row r="661" spans="1:109" ht="11.25" customHeight="1">
      <c r="A661" s="1314" t="s">
        <v>231</v>
      </c>
      <c r="B661" t="s">
        <v>231</v>
      </c>
      <c r="C661" t="s">
        <v>231</v>
      </c>
      <c r="D661" t="s">
        <v>231</v>
      </c>
      <c r="E661" t="s">
        <v>231</v>
      </c>
      <c r="F661" t="s">
        <v>231</v>
      </c>
      <c r="G661" t="s">
        <v>231</v>
      </c>
      <c r="H661" t="s">
        <v>231</v>
      </c>
      <c r="I661" t="s">
        <v>5086</v>
      </c>
      <c r="J661" t="s">
        <v>231</v>
      </c>
      <c r="K661" t="s">
        <v>231</v>
      </c>
      <c r="L661" t="s">
        <v>231</v>
      </c>
      <c r="M661" t="s">
        <v>231</v>
      </c>
      <c r="N661" t="s">
        <v>231</v>
      </c>
      <c r="O661" t="s">
        <v>231</v>
      </c>
      <c r="P661" t="s">
        <v>231</v>
      </c>
      <c r="Q661" t="s">
        <v>231</v>
      </c>
      <c r="R661" t="s">
        <v>5139</v>
      </c>
      <c r="S661" t="s">
        <v>231</v>
      </c>
      <c r="T661" t="s">
        <v>231</v>
      </c>
      <c r="U661" t="s">
        <v>101</v>
      </c>
      <c r="V661" t="s">
        <v>231</v>
      </c>
      <c r="W661" t="s">
        <v>231</v>
      </c>
      <c r="X661" t="s">
        <v>3628</v>
      </c>
      <c r="Y661" t="s">
        <v>231</v>
      </c>
      <c r="Z661" t="s">
        <v>151</v>
      </c>
      <c r="AA661" t="s">
        <v>151</v>
      </c>
      <c r="AB661" t="s">
        <v>160</v>
      </c>
      <c r="AC661" t="s">
        <v>2262</v>
      </c>
      <c r="AD661" t="s">
        <v>2262</v>
      </c>
      <c r="AE661" t="s">
        <v>2264</v>
      </c>
      <c r="AF661" t="s">
        <v>3524</v>
      </c>
      <c r="AG661" t="s">
        <v>3525</v>
      </c>
      <c r="AH661" t="s">
        <v>4686</v>
      </c>
      <c r="AI661" t="s">
        <v>3575</v>
      </c>
      <c r="AJ661" t="s">
        <v>231</v>
      </c>
      <c r="AK661" t="s">
        <v>231</v>
      </c>
      <c r="AL661" t="s">
        <v>231</v>
      </c>
      <c r="AN661" t="s">
        <v>231</v>
      </c>
      <c r="AO661" t="s">
        <v>231</v>
      </c>
      <c r="AP661" t="s">
        <v>231</v>
      </c>
      <c r="AQ661" t="s">
        <v>231</v>
      </c>
      <c r="AR661" t="s">
        <v>231</v>
      </c>
      <c r="AS661" t="s">
        <v>231</v>
      </c>
      <c r="AT661" t="s">
        <v>231</v>
      </c>
      <c r="AU661" t="s">
        <v>231</v>
      </c>
      <c r="AV661" t="s">
        <v>231</v>
      </c>
      <c r="AW661" t="s">
        <v>231</v>
      </c>
      <c r="AX661" t="s">
        <v>231</v>
      </c>
      <c r="AY661" t="s">
        <v>231</v>
      </c>
      <c r="AZ661" t="s">
        <v>231</v>
      </c>
      <c r="BA661" t="s">
        <v>231</v>
      </c>
      <c r="BB661" t="s">
        <v>231</v>
      </c>
      <c r="BC661" t="s">
        <v>231</v>
      </c>
      <c r="BD661" t="s">
        <v>231</v>
      </c>
      <c r="BE661" t="s">
        <v>5140</v>
      </c>
      <c r="BF661" t="s">
        <v>5141</v>
      </c>
      <c r="BG661" t="s">
        <v>111</v>
      </c>
      <c r="BH661" t="s">
        <v>3632</v>
      </c>
      <c r="BI661" t="s">
        <v>122</v>
      </c>
      <c r="BJ661" t="s">
        <v>231</v>
      </c>
      <c r="BK661" t="s">
        <v>5142</v>
      </c>
      <c r="BL661" t="s">
        <v>2262</v>
      </c>
      <c r="BM661" t="s">
        <v>2262</v>
      </c>
      <c r="BN661" t="s">
        <v>4884</v>
      </c>
      <c r="BO661" t="s">
        <v>3524</v>
      </c>
      <c r="BP661" t="s">
        <v>5143</v>
      </c>
      <c r="BQ661" t="s">
        <v>4686</v>
      </c>
      <c r="BR661" t="s">
        <v>3575</v>
      </c>
      <c r="BS661" t="s">
        <v>231</v>
      </c>
      <c r="BT661" t="s">
        <v>3694</v>
      </c>
      <c r="CS661" t="s">
        <v>5144</v>
      </c>
      <c r="CT661" t="s">
        <v>3534</v>
      </c>
      <c r="CU661" t="s">
        <v>3535</v>
      </c>
      <c r="CV661" t="s">
        <v>3536</v>
      </c>
      <c r="CW661" t="s">
        <v>3537</v>
      </c>
      <c r="CX661" t="s">
        <v>223</v>
      </c>
      <c r="CY661" t="s">
        <v>3536</v>
      </c>
      <c r="CZ661" t="s">
        <v>3538</v>
      </c>
      <c r="DA661" t="s">
        <v>3539</v>
      </c>
      <c r="DB661" t="s">
        <v>3537</v>
      </c>
      <c r="DC661" t="s">
        <v>363</v>
      </c>
      <c r="DD661" t="s">
        <v>5099</v>
      </c>
      <c r="DE661" t="s">
        <v>5145</v>
      </c>
    </row>
    <row r="662" spans="1:109" ht="11.25" customHeight="1">
      <c r="A662" s="1314" t="s">
        <v>231</v>
      </c>
      <c r="B662" t="s">
        <v>231</v>
      </c>
      <c r="C662" t="s">
        <v>231</v>
      </c>
      <c r="D662" t="s">
        <v>231</v>
      </c>
      <c r="E662" t="s">
        <v>231</v>
      </c>
      <c r="F662" t="s">
        <v>231</v>
      </c>
      <c r="G662" t="s">
        <v>231</v>
      </c>
      <c r="H662" t="s">
        <v>231</v>
      </c>
      <c r="I662" t="s">
        <v>5086</v>
      </c>
      <c r="J662" t="s">
        <v>231</v>
      </c>
      <c r="K662" t="s">
        <v>231</v>
      </c>
      <c r="L662" t="s">
        <v>231</v>
      </c>
      <c r="M662" t="s">
        <v>231</v>
      </c>
      <c r="N662" t="s">
        <v>231</v>
      </c>
      <c r="O662" t="s">
        <v>231</v>
      </c>
      <c r="P662" t="s">
        <v>231</v>
      </c>
      <c r="Q662" t="s">
        <v>231</v>
      </c>
      <c r="R662" t="s">
        <v>5139</v>
      </c>
      <c r="S662" t="s">
        <v>231</v>
      </c>
      <c r="T662" t="s">
        <v>231</v>
      </c>
      <c r="U662" t="s">
        <v>101</v>
      </c>
      <c r="V662" t="s">
        <v>231</v>
      </c>
      <c r="W662" t="s">
        <v>231</v>
      </c>
      <c r="X662" t="s">
        <v>3628</v>
      </c>
      <c r="Y662" t="s">
        <v>231</v>
      </c>
      <c r="Z662" t="s">
        <v>151</v>
      </c>
      <c r="AA662" t="s">
        <v>151</v>
      </c>
      <c r="AB662" t="s">
        <v>160</v>
      </c>
      <c r="AC662" t="s">
        <v>2262</v>
      </c>
      <c r="AD662" t="s">
        <v>2262</v>
      </c>
      <c r="AE662" t="s">
        <v>2264</v>
      </c>
      <c r="AF662" t="s">
        <v>4879</v>
      </c>
      <c r="AG662" t="s">
        <v>4880</v>
      </c>
      <c r="AH662" t="s">
        <v>4881</v>
      </c>
      <c r="AI662" t="s">
        <v>3575</v>
      </c>
      <c r="AJ662" t="s">
        <v>231</v>
      </c>
      <c r="AK662" t="s">
        <v>231</v>
      </c>
      <c r="AL662" t="s">
        <v>231</v>
      </c>
      <c r="AN662" t="s">
        <v>231</v>
      </c>
      <c r="AO662" t="s">
        <v>231</v>
      </c>
      <c r="AP662" t="s">
        <v>231</v>
      </c>
      <c r="AQ662" t="s">
        <v>231</v>
      </c>
      <c r="AR662" t="s">
        <v>231</v>
      </c>
      <c r="AS662" t="s">
        <v>231</v>
      </c>
      <c r="AT662" t="s">
        <v>231</v>
      </c>
      <c r="AU662" t="s">
        <v>231</v>
      </c>
      <c r="AV662" t="s">
        <v>231</v>
      </c>
      <c r="AW662" t="s">
        <v>231</v>
      </c>
      <c r="AX662" t="s">
        <v>231</v>
      </c>
      <c r="AY662" t="s">
        <v>231</v>
      </c>
      <c r="AZ662" t="s">
        <v>231</v>
      </c>
      <c r="BA662" t="s">
        <v>231</v>
      </c>
      <c r="BB662" t="s">
        <v>231</v>
      </c>
      <c r="BC662" t="s">
        <v>231</v>
      </c>
      <c r="BD662" t="s">
        <v>231</v>
      </c>
      <c r="BE662" t="s">
        <v>4996</v>
      </c>
      <c r="BF662" t="s">
        <v>5146</v>
      </c>
      <c r="BG662" t="s">
        <v>111</v>
      </c>
      <c r="BH662" t="s">
        <v>3632</v>
      </c>
      <c r="BI662" t="s">
        <v>122</v>
      </c>
      <c r="BJ662" t="s">
        <v>231</v>
      </c>
      <c r="BK662" t="s">
        <v>5088</v>
      </c>
      <c r="BL662" t="s">
        <v>2262</v>
      </c>
      <c r="BM662" t="s">
        <v>2262</v>
      </c>
      <c r="BN662" t="s">
        <v>4884</v>
      </c>
      <c r="BO662" t="s">
        <v>4879</v>
      </c>
      <c r="BP662" t="s">
        <v>4885</v>
      </c>
      <c r="BQ662" t="s">
        <v>5147</v>
      </c>
      <c r="BR662" t="s">
        <v>5148</v>
      </c>
      <c r="BS662" t="s">
        <v>231</v>
      </c>
      <c r="BT662" t="s">
        <v>3694</v>
      </c>
      <c r="CS662" t="s">
        <v>3546</v>
      </c>
      <c r="CT662" t="s">
        <v>3534</v>
      </c>
      <c r="CU662" t="s">
        <v>3535</v>
      </c>
      <c r="CV662" t="s">
        <v>3536</v>
      </c>
      <c r="CW662" t="s">
        <v>4891</v>
      </c>
      <c r="CX662" t="s">
        <v>223</v>
      </c>
      <c r="CY662" t="s">
        <v>3536</v>
      </c>
      <c r="CZ662" t="s">
        <v>321</v>
      </c>
      <c r="DA662" t="s">
        <v>3539</v>
      </c>
      <c r="DB662" t="s">
        <v>4891</v>
      </c>
      <c r="DC662" t="s">
        <v>363</v>
      </c>
      <c r="DD662" t="s">
        <v>5099</v>
      </c>
      <c r="DE662" t="s">
        <v>5149</v>
      </c>
    </row>
    <row r="663" spans="1:109" ht="11.25" customHeight="1">
      <c r="A663" s="1314" t="s">
        <v>231</v>
      </c>
      <c r="B663" t="s">
        <v>231</v>
      </c>
      <c r="C663" t="s">
        <v>231</v>
      </c>
      <c r="D663" t="s">
        <v>231</v>
      </c>
      <c r="E663" t="s">
        <v>231</v>
      </c>
      <c r="F663" t="s">
        <v>231</v>
      </c>
      <c r="G663" t="s">
        <v>231</v>
      </c>
      <c r="H663" t="s">
        <v>231</v>
      </c>
      <c r="I663" t="s">
        <v>5086</v>
      </c>
      <c r="J663" t="s">
        <v>231</v>
      </c>
      <c r="K663" t="s">
        <v>231</v>
      </c>
      <c r="L663" t="s">
        <v>231</v>
      </c>
      <c r="M663" t="s">
        <v>231</v>
      </c>
      <c r="N663" t="s">
        <v>231</v>
      </c>
      <c r="O663" t="s">
        <v>231</v>
      </c>
      <c r="P663" t="s">
        <v>231</v>
      </c>
      <c r="Q663" t="s">
        <v>231</v>
      </c>
      <c r="R663" t="s">
        <v>5150</v>
      </c>
      <c r="S663" t="s">
        <v>231</v>
      </c>
      <c r="T663" t="s">
        <v>231</v>
      </c>
      <c r="U663" t="s">
        <v>101</v>
      </c>
      <c r="V663" t="s">
        <v>231</v>
      </c>
      <c r="W663" t="s">
        <v>231</v>
      </c>
      <c r="X663" t="s">
        <v>5088</v>
      </c>
      <c r="Y663" t="s">
        <v>231</v>
      </c>
      <c r="Z663" t="s">
        <v>160</v>
      </c>
      <c r="AA663" t="s">
        <v>151</v>
      </c>
      <c r="AB663" t="s">
        <v>151</v>
      </c>
      <c r="AC663" t="s">
        <v>343</v>
      </c>
      <c r="AD663" t="s">
        <v>343</v>
      </c>
      <c r="AE663" t="s">
        <v>344</v>
      </c>
      <c r="AF663" t="s">
        <v>3561</v>
      </c>
      <c r="AG663" t="s">
        <v>3562</v>
      </c>
      <c r="AH663" t="s">
        <v>5151</v>
      </c>
      <c r="AI663" t="s">
        <v>5152</v>
      </c>
      <c r="AJ663" t="s">
        <v>5153</v>
      </c>
      <c r="AK663" t="s">
        <v>4365</v>
      </c>
      <c r="AL663" t="s">
        <v>5092</v>
      </c>
      <c r="AN663" t="s">
        <v>5154</v>
      </c>
      <c r="AO663" t="s">
        <v>5155</v>
      </c>
      <c r="AP663" t="s">
        <v>231</v>
      </c>
      <c r="AQ663" t="s">
        <v>231</v>
      </c>
      <c r="AR663" t="s">
        <v>231</v>
      </c>
      <c r="AS663" t="s">
        <v>231</v>
      </c>
      <c r="AT663" t="s">
        <v>231</v>
      </c>
      <c r="AU663" t="s">
        <v>231</v>
      </c>
      <c r="AV663" t="s">
        <v>231</v>
      </c>
      <c r="AW663" t="s">
        <v>231</v>
      </c>
      <c r="AX663" t="s">
        <v>231</v>
      </c>
      <c r="AY663" t="s">
        <v>231</v>
      </c>
      <c r="AZ663" t="s">
        <v>231</v>
      </c>
      <c r="BA663" t="s">
        <v>231</v>
      </c>
      <c r="BB663" t="s">
        <v>231</v>
      </c>
      <c r="BC663" t="s">
        <v>231</v>
      </c>
      <c r="BD663" t="s">
        <v>231</v>
      </c>
      <c r="BE663" t="s">
        <v>231</v>
      </c>
      <c r="BF663" t="s">
        <v>231</v>
      </c>
      <c r="BG663" t="s">
        <v>231</v>
      </c>
      <c r="BH663" t="s">
        <v>231</v>
      </c>
      <c r="BI663" t="s">
        <v>231</v>
      </c>
      <c r="BJ663" t="s">
        <v>231</v>
      </c>
      <c r="BK663" t="s">
        <v>231</v>
      </c>
      <c r="BL663" t="s">
        <v>231</v>
      </c>
      <c r="BM663" t="s">
        <v>231</v>
      </c>
      <c r="BN663" t="s">
        <v>231</v>
      </c>
      <c r="BO663" t="s">
        <v>231</v>
      </c>
      <c r="BP663" t="s">
        <v>231</v>
      </c>
      <c r="BQ663" t="s">
        <v>231</v>
      </c>
      <c r="BR663" t="s">
        <v>231</v>
      </c>
      <c r="BS663" t="s">
        <v>231</v>
      </c>
      <c r="BT663" t="s">
        <v>231</v>
      </c>
      <c r="CS663" t="s">
        <v>231</v>
      </c>
      <c r="CT663" t="s">
        <v>3534</v>
      </c>
      <c r="CU663" t="s">
        <v>3535</v>
      </c>
      <c r="CV663" t="s">
        <v>3997</v>
      </c>
      <c r="CW663" t="s">
        <v>5156</v>
      </c>
      <c r="CX663" t="s">
        <v>3570</v>
      </c>
      <c r="CY663" t="s">
        <v>5157</v>
      </c>
      <c r="CZ663" t="s">
        <v>3575</v>
      </c>
      <c r="DA663" t="s">
        <v>5158</v>
      </c>
      <c r="DB663" t="s">
        <v>5096</v>
      </c>
      <c r="DC663" t="s">
        <v>363</v>
      </c>
      <c r="DD663" t="s">
        <v>5099</v>
      </c>
      <c r="DE663" t="s">
        <v>5159</v>
      </c>
    </row>
    <row r="664" spans="1:109" ht="11.25" customHeight="1">
      <c r="A664" s="1314" t="s">
        <v>231</v>
      </c>
      <c r="B664" t="s">
        <v>231</v>
      </c>
      <c r="C664" t="s">
        <v>231</v>
      </c>
      <c r="D664" t="s">
        <v>231</v>
      </c>
      <c r="E664" t="s">
        <v>231</v>
      </c>
      <c r="F664" t="s">
        <v>231</v>
      </c>
      <c r="G664" t="s">
        <v>231</v>
      </c>
      <c r="H664" t="s">
        <v>231</v>
      </c>
      <c r="I664" t="s">
        <v>5086</v>
      </c>
      <c r="J664" t="s">
        <v>231</v>
      </c>
      <c r="K664" t="s">
        <v>231</v>
      </c>
      <c r="L664" t="s">
        <v>231</v>
      </c>
      <c r="M664" t="s">
        <v>231</v>
      </c>
      <c r="N664" t="s">
        <v>231</v>
      </c>
      <c r="O664" t="s">
        <v>231</v>
      </c>
      <c r="P664" t="s">
        <v>231</v>
      </c>
      <c r="Q664" t="s">
        <v>231</v>
      </c>
      <c r="R664" t="s">
        <v>5160</v>
      </c>
      <c r="S664" t="s">
        <v>231</v>
      </c>
      <c r="T664" t="s">
        <v>231</v>
      </c>
      <c r="U664" t="s">
        <v>101</v>
      </c>
      <c r="V664" t="s">
        <v>231</v>
      </c>
      <c r="W664" t="s">
        <v>231</v>
      </c>
      <c r="X664" t="s">
        <v>5088</v>
      </c>
      <c r="Y664" t="s">
        <v>231</v>
      </c>
      <c r="Z664" t="s">
        <v>160</v>
      </c>
      <c r="AA664" t="s">
        <v>151</v>
      </c>
      <c r="AB664" t="s">
        <v>151</v>
      </c>
      <c r="AC664" t="s">
        <v>343</v>
      </c>
      <c r="AD664" t="s">
        <v>343</v>
      </c>
      <c r="AE664" t="s">
        <v>344</v>
      </c>
      <c r="AF664" t="s">
        <v>3561</v>
      </c>
      <c r="AG664" t="s">
        <v>3562</v>
      </c>
      <c r="AH664" t="s">
        <v>5161</v>
      </c>
      <c r="AI664" t="s">
        <v>3575</v>
      </c>
      <c r="AJ664" t="s">
        <v>3825</v>
      </c>
      <c r="AK664" t="s">
        <v>5162</v>
      </c>
      <c r="AL664" t="s">
        <v>5092</v>
      </c>
      <c r="AN664" t="s">
        <v>5163</v>
      </c>
      <c r="AO664" t="s">
        <v>5164</v>
      </c>
      <c r="AP664" t="s">
        <v>231</v>
      </c>
      <c r="AQ664" t="s">
        <v>231</v>
      </c>
      <c r="AR664" t="s">
        <v>231</v>
      </c>
      <c r="AS664" t="s">
        <v>231</v>
      </c>
      <c r="AT664" t="s">
        <v>231</v>
      </c>
      <c r="AU664" t="s">
        <v>231</v>
      </c>
      <c r="AV664" t="s">
        <v>231</v>
      </c>
      <c r="AW664" t="s">
        <v>231</v>
      </c>
      <c r="AX664" t="s">
        <v>231</v>
      </c>
      <c r="AY664" t="s">
        <v>231</v>
      </c>
      <c r="AZ664" t="s">
        <v>231</v>
      </c>
      <c r="BA664" t="s">
        <v>231</v>
      </c>
      <c r="BB664" t="s">
        <v>231</v>
      </c>
      <c r="BC664" t="s">
        <v>231</v>
      </c>
      <c r="BD664" t="s">
        <v>231</v>
      </c>
      <c r="BE664" t="s">
        <v>231</v>
      </c>
      <c r="BF664" t="s">
        <v>231</v>
      </c>
      <c r="BG664" t="s">
        <v>231</v>
      </c>
      <c r="BH664" t="s">
        <v>231</v>
      </c>
      <c r="BI664" t="s">
        <v>231</v>
      </c>
      <c r="BJ664" t="s">
        <v>231</v>
      </c>
      <c r="BK664" t="s">
        <v>231</v>
      </c>
      <c r="BL664" t="s">
        <v>231</v>
      </c>
      <c r="BM664" t="s">
        <v>231</v>
      </c>
      <c r="BN664" t="s">
        <v>231</v>
      </c>
      <c r="BO664" t="s">
        <v>231</v>
      </c>
      <c r="BP664" t="s">
        <v>231</v>
      </c>
      <c r="BQ664" t="s">
        <v>231</v>
      </c>
      <c r="BR664" t="s">
        <v>231</v>
      </c>
      <c r="BS664" t="s">
        <v>231</v>
      </c>
      <c r="BT664" t="s">
        <v>231</v>
      </c>
      <c r="CS664" t="s">
        <v>231</v>
      </c>
      <c r="CT664" t="s">
        <v>3534</v>
      </c>
      <c r="CU664" t="s">
        <v>3535</v>
      </c>
      <c r="CV664" t="s">
        <v>3536</v>
      </c>
      <c r="CW664" t="s">
        <v>3569</v>
      </c>
      <c r="CX664" t="s">
        <v>223</v>
      </c>
      <c r="CY664" t="s">
        <v>3536</v>
      </c>
      <c r="CZ664" t="s">
        <v>224</v>
      </c>
      <c r="DA664" t="s">
        <v>3571</v>
      </c>
      <c r="DB664" t="s">
        <v>3569</v>
      </c>
      <c r="DC664" t="s">
        <v>363</v>
      </c>
      <c r="DD664" t="s">
        <v>5099</v>
      </c>
      <c r="DE664" t="s">
        <v>5165</v>
      </c>
    </row>
    <row r="665" spans="1:109" ht="11.25" customHeight="1">
      <c r="A665" s="1314" t="s">
        <v>231</v>
      </c>
      <c r="B665" t="s">
        <v>231</v>
      </c>
      <c r="C665" t="s">
        <v>231</v>
      </c>
      <c r="D665" t="s">
        <v>231</v>
      </c>
      <c r="E665" t="s">
        <v>231</v>
      </c>
      <c r="F665" t="s">
        <v>231</v>
      </c>
      <c r="G665" t="s">
        <v>231</v>
      </c>
      <c r="H665" t="s">
        <v>231</v>
      </c>
      <c r="I665" t="s">
        <v>5086</v>
      </c>
      <c r="J665" t="s">
        <v>231</v>
      </c>
      <c r="K665" t="s">
        <v>231</v>
      </c>
      <c r="L665" t="s">
        <v>231</v>
      </c>
      <c r="M665" t="s">
        <v>231</v>
      </c>
      <c r="N665" t="s">
        <v>231</v>
      </c>
      <c r="O665" t="s">
        <v>231</v>
      </c>
      <c r="P665" t="s">
        <v>231</v>
      </c>
      <c r="Q665" t="s">
        <v>231</v>
      </c>
      <c r="R665" t="s">
        <v>5166</v>
      </c>
      <c r="S665" t="s">
        <v>231</v>
      </c>
      <c r="T665" t="s">
        <v>231</v>
      </c>
      <c r="U665" t="s">
        <v>101</v>
      </c>
      <c r="V665" t="s">
        <v>231</v>
      </c>
      <c r="W665" t="s">
        <v>231</v>
      </c>
      <c r="X665" t="s">
        <v>5088</v>
      </c>
      <c r="Y665" t="s">
        <v>231</v>
      </c>
      <c r="Z665" t="s">
        <v>160</v>
      </c>
      <c r="AA665" t="s">
        <v>151</v>
      </c>
      <c r="AB665" t="s">
        <v>151</v>
      </c>
      <c r="AC665" t="s">
        <v>343</v>
      </c>
      <c r="AD665" t="s">
        <v>343</v>
      </c>
      <c r="AE665" t="s">
        <v>344</v>
      </c>
      <c r="AF665" t="s">
        <v>3561</v>
      </c>
      <c r="AG665" t="s">
        <v>3562</v>
      </c>
      <c r="AH665" t="s">
        <v>5167</v>
      </c>
      <c r="AI665" t="s">
        <v>3575</v>
      </c>
      <c r="AJ665" t="s">
        <v>3825</v>
      </c>
      <c r="AK665" t="s">
        <v>5168</v>
      </c>
      <c r="AL665" t="s">
        <v>5092</v>
      </c>
      <c r="AN665" t="s">
        <v>5163</v>
      </c>
      <c r="AO665" t="s">
        <v>5164</v>
      </c>
      <c r="AP665" t="s">
        <v>231</v>
      </c>
      <c r="AQ665" t="s">
        <v>231</v>
      </c>
      <c r="AR665" t="s">
        <v>231</v>
      </c>
      <c r="AS665" t="s">
        <v>231</v>
      </c>
      <c r="AT665" t="s">
        <v>231</v>
      </c>
      <c r="AU665" t="s">
        <v>231</v>
      </c>
      <c r="AV665" t="s">
        <v>231</v>
      </c>
      <c r="AW665" t="s">
        <v>231</v>
      </c>
      <c r="AX665" t="s">
        <v>231</v>
      </c>
      <c r="AY665" t="s">
        <v>231</v>
      </c>
      <c r="AZ665" t="s">
        <v>231</v>
      </c>
      <c r="BA665" t="s">
        <v>231</v>
      </c>
      <c r="BB665" t="s">
        <v>231</v>
      </c>
      <c r="BC665" t="s">
        <v>231</v>
      </c>
      <c r="BD665" t="s">
        <v>231</v>
      </c>
      <c r="BE665" t="s">
        <v>231</v>
      </c>
      <c r="BF665" t="s">
        <v>231</v>
      </c>
      <c r="BG665" t="s">
        <v>231</v>
      </c>
      <c r="BH665" t="s">
        <v>231</v>
      </c>
      <c r="BI665" t="s">
        <v>231</v>
      </c>
      <c r="BJ665" t="s">
        <v>231</v>
      </c>
      <c r="BK665" t="s">
        <v>231</v>
      </c>
      <c r="BL665" t="s">
        <v>231</v>
      </c>
      <c r="BM665" t="s">
        <v>231</v>
      </c>
      <c r="BN665" t="s">
        <v>231</v>
      </c>
      <c r="BO665" t="s">
        <v>231</v>
      </c>
      <c r="BP665" t="s">
        <v>231</v>
      </c>
      <c r="BQ665" t="s">
        <v>231</v>
      </c>
      <c r="BR665" t="s">
        <v>231</v>
      </c>
      <c r="BS665" t="s">
        <v>231</v>
      </c>
      <c r="BT665" t="s">
        <v>231</v>
      </c>
      <c r="CS665" t="s">
        <v>231</v>
      </c>
      <c r="CT665" t="s">
        <v>3534</v>
      </c>
      <c r="CU665" t="s">
        <v>3535</v>
      </c>
      <c r="CV665" t="s">
        <v>3536</v>
      </c>
      <c r="CW665" t="s">
        <v>3569</v>
      </c>
      <c r="CX665" t="s">
        <v>223</v>
      </c>
      <c r="CY665" t="s">
        <v>3536</v>
      </c>
      <c r="CZ665" t="s">
        <v>224</v>
      </c>
      <c r="DA665" t="s">
        <v>3571</v>
      </c>
      <c r="DB665" t="s">
        <v>3569</v>
      </c>
      <c r="DC665" t="s">
        <v>363</v>
      </c>
      <c r="DD665" t="s">
        <v>5099</v>
      </c>
      <c r="DE665" t="s">
        <v>5169</v>
      </c>
    </row>
    <row r="666" spans="1:109" ht="11.25" customHeight="1">
      <c r="A666" s="1314" t="s">
        <v>231</v>
      </c>
      <c r="B666" t="s">
        <v>231</v>
      </c>
      <c r="C666" t="s">
        <v>231</v>
      </c>
      <c r="D666" t="s">
        <v>231</v>
      </c>
      <c r="E666" t="s">
        <v>231</v>
      </c>
      <c r="F666" t="s">
        <v>231</v>
      </c>
      <c r="G666" t="s">
        <v>231</v>
      </c>
      <c r="H666" t="s">
        <v>231</v>
      </c>
      <c r="I666" t="s">
        <v>5086</v>
      </c>
      <c r="J666" t="s">
        <v>231</v>
      </c>
      <c r="K666" t="s">
        <v>231</v>
      </c>
      <c r="L666" t="s">
        <v>231</v>
      </c>
      <c r="M666" t="s">
        <v>231</v>
      </c>
      <c r="N666" t="s">
        <v>231</v>
      </c>
      <c r="O666" t="s">
        <v>231</v>
      </c>
      <c r="P666" t="s">
        <v>231</v>
      </c>
      <c r="Q666" t="s">
        <v>231</v>
      </c>
      <c r="R666" t="s">
        <v>5170</v>
      </c>
      <c r="S666" t="s">
        <v>231</v>
      </c>
      <c r="T666" t="s">
        <v>231</v>
      </c>
      <c r="U666" t="s">
        <v>101</v>
      </c>
      <c r="V666" t="s">
        <v>231</v>
      </c>
      <c r="W666" t="s">
        <v>231</v>
      </c>
      <c r="X666" t="s">
        <v>5088</v>
      </c>
      <c r="Y666" t="s">
        <v>231</v>
      </c>
      <c r="Z666" t="s">
        <v>160</v>
      </c>
      <c r="AA666" t="s">
        <v>151</v>
      </c>
      <c r="AB666" t="s">
        <v>151</v>
      </c>
      <c r="AC666" t="s">
        <v>343</v>
      </c>
      <c r="AD666" t="s">
        <v>343</v>
      </c>
      <c r="AE666" t="s">
        <v>344</v>
      </c>
      <c r="AF666" t="s">
        <v>3561</v>
      </c>
      <c r="AG666" t="s">
        <v>3562</v>
      </c>
      <c r="AH666" t="s">
        <v>4177</v>
      </c>
      <c r="AI666" t="s">
        <v>5171</v>
      </c>
      <c r="AJ666" t="s">
        <v>5172</v>
      </c>
      <c r="AK666" t="s">
        <v>5173</v>
      </c>
      <c r="AL666" t="s">
        <v>5092</v>
      </c>
      <c r="AN666" t="s">
        <v>5174</v>
      </c>
      <c r="AO666" t="s">
        <v>5175</v>
      </c>
      <c r="AP666" t="s">
        <v>231</v>
      </c>
      <c r="AQ666" t="s">
        <v>231</v>
      </c>
      <c r="AR666" t="s">
        <v>231</v>
      </c>
      <c r="AS666" t="s">
        <v>231</v>
      </c>
      <c r="AT666" t="s">
        <v>231</v>
      </c>
      <c r="AU666" t="s">
        <v>231</v>
      </c>
      <c r="AV666" t="s">
        <v>231</v>
      </c>
      <c r="AW666" t="s">
        <v>231</v>
      </c>
      <c r="AX666" t="s">
        <v>231</v>
      </c>
      <c r="AY666" t="s">
        <v>231</v>
      </c>
      <c r="AZ666" t="s">
        <v>231</v>
      </c>
      <c r="BA666" t="s">
        <v>231</v>
      </c>
      <c r="BB666" t="s">
        <v>231</v>
      </c>
      <c r="BC666" t="s">
        <v>231</v>
      </c>
      <c r="BD666" t="s">
        <v>231</v>
      </c>
      <c r="BE666" t="s">
        <v>231</v>
      </c>
      <c r="BF666" t="s">
        <v>231</v>
      </c>
      <c r="BG666" t="s">
        <v>231</v>
      </c>
      <c r="BH666" t="s">
        <v>231</v>
      </c>
      <c r="BI666" t="s">
        <v>231</v>
      </c>
      <c r="BJ666" t="s">
        <v>231</v>
      </c>
      <c r="BK666" t="s">
        <v>231</v>
      </c>
      <c r="BL666" t="s">
        <v>231</v>
      </c>
      <c r="BM666" t="s">
        <v>231</v>
      </c>
      <c r="BN666" t="s">
        <v>231</v>
      </c>
      <c r="BO666" t="s">
        <v>231</v>
      </c>
      <c r="BP666" t="s">
        <v>231</v>
      </c>
      <c r="BQ666" t="s">
        <v>231</v>
      </c>
      <c r="BR666" t="s">
        <v>231</v>
      </c>
      <c r="BS666" t="s">
        <v>231</v>
      </c>
      <c r="BT666" t="s">
        <v>231</v>
      </c>
      <c r="CS666" t="s">
        <v>231</v>
      </c>
      <c r="CT666" t="s">
        <v>3534</v>
      </c>
      <c r="CU666" t="s">
        <v>3535</v>
      </c>
      <c r="CV666" t="s">
        <v>3536</v>
      </c>
      <c r="CW666" t="s">
        <v>3569</v>
      </c>
      <c r="CX666" t="s">
        <v>223</v>
      </c>
      <c r="CY666" t="s">
        <v>3536</v>
      </c>
      <c r="CZ666" t="s">
        <v>224</v>
      </c>
      <c r="DA666" t="s">
        <v>3571</v>
      </c>
      <c r="DB666" t="s">
        <v>3569</v>
      </c>
      <c r="DC666" t="s">
        <v>363</v>
      </c>
      <c r="DD666" t="s">
        <v>5099</v>
      </c>
      <c r="DE666" t="s">
        <v>5176</v>
      </c>
    </row>
    <row r="667" spans="1:109" ht="11.25" customHeight="1">
      <c r="A667" s="1314" t="s">
        <v>231</v>
      </c>
      <c r="B667" t="s">
        <v>231</v>
      </c>
      <c r="C667" t="s">
        <v>231</v>
      </c>
      <c r="D667" t="s">
        <v>231</v>
      </c>
      <c r="E667" t="s">
        <v>231</v>
      </c>
      <c r="F667" t="s">
        <v>231</v>
      </c>
      <c r="G667" t="s">
        <v>231</v>
      </c>
      <c r="H667" t="s">
        <v>231</v>
      </c>
      <c r="I667" t="s">
        <v>5086</v>
      </c>
      <c r="J667" t="s">
        <v>231</v>
      </c>
      <c r="K667" t="s">
        <v>231</v>
      </c>
      <c r="L667" t="s">
        <v>231</v>
      </c>
      <c r="M667" t="s">
        <v>231</v>
      </c>
      <c r="N667" t="s">
        <v>231</v>
      </c>
      <c r="O667" t="s">
        <v>231</v>
      </c>
      <c r="P667" t="s">
        <v>231</v>
      </c>
      <c r="Q667" t="s">
        <v>231</v>
      </c>
      <c r="R667" t="s">
        <v>5177</v>
      </c>
      <c r="S667" t="s">
        <v>231</v>
      </c>
      <c r="T667" t="s">
        <v>231</v>
      </c>
      <c r="U667" t="s">
        <v>101</v>
      </c>
      <c r="V667" t="s">
        <v>231</v>
      </c>
      <c r="W667" t="s">
        <v>231</v>
      </c>
      <c r="X667" t="s">
        <v>5088</v>
      </c>
      <c r="Y667" t="s">
        <v>231</v>
      </c>
      <c r="Z667" t="s">
        <v>160</v>
      </c>
      <c r="AA667" t="s">
        <v>151</v>
      </c>
      <c r="AB667" t="s">
        <v>151</v>
      </c>
      <c r="AC667" t="s">
        <v>343</v>
      </c>
      <c r="AD667" t="s">
        <v>343</v>
      </c>
      <c r="AE667" t="s">
        <v>344</v>
      </c>
      <c r="AF667" t="s">
        <v>3561</v>
      </c>
      <c r="AG667" t="s">
        <v>3562</v>
      </c>
      <c r="AH667" t="s">
        <v>5178</v>
      </c>
      <c r="AI667" t="s">
        <v>3575</v>
      </c>
      <c r="AJ667" t="s">
        <v>3952</v>
      </c>
      <c r="AK667" t="s">
        <v>5179</v>
      </c>
      <c r="AL667" t="s">
        <v>5092</v>
      </c>
      <c r="AN667" t="s">
        <v>5180</v>
      </c>
      <c r="AO667" t="s">
        <v>4179</v>
      </c>
      <c r="AP667" t="s">
        <v>231</v>
      </c>
      <c r="AQ667" t="s">
        <v>231</v>
      </c>
      <c r="AR667" t="s">
        <v>231</v>
      </c>
      <c r="AS667" t="s">
        <v>231</v>
      </c>
      <c r="AT667" t="s">
        <v>231</v>
      </c>
      <c r="AU667" t="s">
        <v>231</v>
      </c>
      <c r="AV667" t="s">
        <v>231</v>
      </c>
      <c r="AW667" t="s">
        <v>231</v>
      </c>
      <c r="AX667" t="s">
        <v>231</v>
      </c>
      <c r="AY667" t="s">
        <v>231</v>
      </c>
      <c r="AZ667" t="s">
        <v>231</v>
      </c>
      <c r="BA667" t="s">
        <v>231</v>
      </c>
      <c r="BB667" t="s">
        <v>231</v>
      </c>
      <c r="BC667" t="s">
        <v>231</v>
      </c>
      <c r="BD667" t="s">
        <v>231</v>
      </c>
      <c r="BE667" t="s">
        <v>231</v>
      </c>
      <c r="BF667" t="s">
        <v>231</v>
      </c>
      <c r="BG667" t="s">
        <v>231</v>
      </c>
      <c r="BH667" t="s">
        <v>231</v>
      </c>
      <c r="BI667" t="s">
        <v>231</v>
      </c>
      <c r="BJ667" t="s">
        <v>231</v>
      </c>
      <c r="BK667" t="s">
        <v>231</v>
      </c>
      <c r="BL667" t="s">
        <v>231</v>
      </c>
      <c r="BM667" t="s">
        <v>231</v>
      </c>
      <c r="BN667" t="s">
        <v>231</v>
      </c>
      <c r="BO667" t="s">
        <v>231</v>
      </c>
      <c r="BP667" t="s">
        <v>231</v>
      </c>
      <c r="BQ667" t="s">
        <v>231</v>
      </c>
      <c r="BR667" t="s">
        <v>231</v>
      </c>
      <c r="BS667" t="s">
        <v>231</v>
      </c>
      <c r="BT667" t="s">
        <v>231</v>
      </c>
      <c r="CS667" t="s">
        <v>231</v>
      </c>
      <c r="CT667" t="s">
        <v>3534</v>
      </c>
      <c r="CU667" t="s">
        <v>3535</v>
      </c>
      <c r="CV667" t="s">
        <v>3536</v>
      </c>
      <c r="CW667" t="s">
        <v>3569</v>
      </c>
      <c r="CX667" t="s">
        <v>223</v>
      </c>
      <c r="CY667" t="s">
        <v>3536</v>
      </c>
      <c r="CZ667" t="s">
        <v>224</v>
      </c>
      <c r="DA667" t="s">
        <v>3571</v>
      </c>
      <c r="DB667" t="s">
        <v>3569</v>
      </c>
      <c r="DC667" t="s">
        <v>363</v>
      </c>
      <c r="DD667" t="s">
        <v>5099</v>
      </c>
      <c r="DE667" t="s">
        <v>5181</v>
      </c>
    </row>
    <row r="668" spans="1:109" ht="11.25" customHeight="1">
      <c r="A668" s="1314" t="s">
        <v>231</v>
      </c>
      <c r="B668" t="s">
        <v>231</v>
      </c>
      <c r="C668" t="s">
        <v>231</v>
      </c>
      <c r="D668" t="s">
        <v>231</v>
      </c>
      <c r="E668" t="s">
        <v>231</v>
      </c>
      <c r="F668" t="s">
        <v>231</v>
      </c>
      <c r="G668" t="s">
        <v>231</v>
      </c>
      <c r="H668" t="s">
        <v>231</v>
      </c>
      <c r="I668" t="s">
        <v>5086</v>
      </c>
      <c r="J668" t="s">
        <v>231</v>
      </c>
      <c r="K668" t="s">
        <v>231</v>
      </c>
      <c r="L668" t="s">
        <v>231</v>
      </c>
      <c r="M668" t="s">
        <v>231</v>
      </c>
      <c r="N668" t="s">
        <v>231</v>
      </c>
      <c r="O668" t="s">
        <v>231</v>
      </c>
      <c r="P668" t="s">
        <v>231</v>
      </c>
      <c r="Q668" t="s">
        <v>231</v>
      </c>
      <c r="R668" t="s">
        <v>4903</v>
      </c>
      <c r="S668" t="s">
        <v>231</v>
      </c>
      <c r="T668" t="s">
        <v>231</v>
      </c>
      <c r="U668" t="s">
        <v>101</v>
      </c>
      <c r="V668" t="s">
        <v>231</v>
      </c>
      <c r="W668" t="s">
        <v>231</v>
      </c>
      <c r="X668" t="s">
        <v>3628</v>
      </c>
      <c r="Y668" t="s">
        <v>231</v>
      </c>
      <c r="Z668" t="s">
        <v>151</v>
      </c>
      <c r="AA668" t="s">
        <v>151</v>
      </c>
      <c r="AB668" t="s">
        <v>160</v>
      </c>
      <c r="AC668" t="s">
        <v>2691</v>
      </c>
      <c r="AD668" t="s">
        <v>2691</v>
      </c>
      <c r="AE668" t="s">
        <v>2692</v>
      </c>
      <c r="AF668" t="s">
        <v>3991</v>
      </c>
      <c r="AG668" t="s">
        <v>3992</v>
      </c>
      <c r="AH668" t="s">
        <v>4113</v>
      </c>
      <c r="AI668" t="s">
        <v>3575</v>
      </c>
      <c r="AJ668" t="s">
        <v>231</v>
      </c>
      <c r="AK668" t="s">
        <v>231</v>
      </c>
      <c r="AL668" t="s">
        <v>231</v>
      </c>
      <c r="AN668" t="s">
        <v>231</v>
      </c>
      <c r="AO668" t="s">
        <v>231</v>
      </c>
      <c r="AP668" t="s">
        <v>231</v>
      </c>
      <c r="AQ668" t="s">
        <v>231</v>
      </c>
      <c r="AR668" t="s">
        <v>231</v>
      </c>
      <c r="AS668" t="s">
        <v>231</v>
      </c>
      <c r="AT668" t="s">
        <v>231</v>
      </c>
      <c r="AU668" t="s">
        <v>231</v>
      </c>
      <c r="AV668" t="s">
        <v>231</v>
      </c>
      <c r="AW668" t="s">
        <v>231</v>
      </c>
      <c r="AX668" t="s">
        <v>231</v>
      </c>
      <c r="AY668" t="s">
        <v>231</v>
      </c>
      <c r="AZ668" t="s">
        <v>231</v>
      </c>
      <c r="BA668" t="s">
        <v>231</v>
      </c>
      <c r="BB668" t="s">
        <v>231</v>
      </c>
      <c r="BC668" t="s">
        <v>231</v>
      </c>
      <c r="BD668" t="s">
        <v>231</v>
      </c>
      <c r="BE668" t="s">
        <v>5182</v>
      </c>
      <c r="BF668" t="s">
        <v>5183</v>
      </c>
      <c r="BG668" t="s">
        <v>111</v>
      </c>
      <c r="BH668" t="s">
        <v>3632</v>
      </c>
      <c r="BI668" t="s">
        <v>122</v>
      </c>
      <c r="BJ668" t="s">
        <v>231</v>
      </c>
      <c r="BK668" t="s">
        <v>5184</v>
      </c>
      <c r="BL668" t="s">
        <v>2691</v>
      </c>
      <c r="BM668" t="s">
        <v>2691</v>
      </c>
      <c r="BN668" t="s">
        <v>4116</v>
      </c>
      <c r="BO668" t="s">
        <v>3991</v>
      </c>
      <c r="BP668" t="s">
        <v>4117</v>
      </c>
      <c r="BQ668" t="s">
        <v>4113</v>
      </c>
      <c r="BR668" t="s">
        <v>3575</v>
      </c>
      <c r="BS668" t="s">
        <v>231</v>
      </c>
      <c r="BT668" t="s">
        <v>3637</v>
      </c>
      <c r="CS668" t="s">
        <v>3595</v>
      </c>
      <c r="CT668" t="s">
        <v>3534</v>
      </c>
      <c r="CU668" t="s">
        <v>3535</v>
      </c>
      <c r="CV668" t="s">
        <v>3997</v>
      </c>
      <c r="CW668" t="s">
        <v>3998</v>
      </c>
      <c r="CX668" t="s">
        <v>3570</v>
      </c>
      <c r="CY668" t="s">
        <v>3997</v>
      </c>
      <c r="CZ668" t="s">
        <v>5106</v>
      </c>
      <c r="DA668" t="s">
        <v>3999</v>
      </c>
      <c r="DB668" t="s">
        <v>3998</v>
      </c>
      <c r="DC668" t="s">
        <v>363</v>
      </c>
      <c r="DD668" t="s">
        <v>5099</v>
      </c>
      <c r="DE668" t="s">
        <v>5185</v>
      </c>
    </row>
    <row r="669" spans="1:109" ht="11.25" customHeight="1">
      <c r="A669" s="1314" t="s">
        <v>231</v>
      </c>
      <c r="B669" t="s">
        <v>231</v>
      </c>
      <c r="C669" t="s">
        <v>231</v>
      </c>
      <c r="D669" t="s">
        <v>231</v>
      </c>
      <c r="E669" t="s">
        <v>231</v>
      </c>
      <c r="F669" t="s">
        <v>231</v>
      </c>
      <c r="G669" t="s">
        <v>231</v>
      </c>
      <c r="H669" t="s">
        <v>231</v>
      </c>
      <c r="I669" t="s">
        <v>5086</v>
      </c>
      <c r="J669" t="s">
        <v>231</v>
      </c>
      <c r="K669" t="s">
        <v>231</v>
      </c>
      <c r="L669" t="s">
        <v>231</v>
      </c>
      <c r="M669" t="s">
        <v>231</v>
      </c>
      <c r="N669" t="s">
        <v>231</v>
      </c>
      <c r="O669" t="s">
        <v>231</v>
      </c>
      <c r="P669" t="s">
        <v>231</v>
      </c>
      <c r="Q669" t="s">
        <v>231</v>
      </c>
      <c r="R669" t="s">
        <v>5186</v>
      </c>
      <c r="S669" t="s">
        <v>231</v>
      </c>
      <c r="T669" t="s">
        <v>231</v>
      </c>
      <c r="U669" t="s">
        <v>101</v>
      </c>
      <c r="V669" t="s">
        <v>231</v>
      </c>
      <c r="W669" t="s">
        <v>231</v>
      </c>
      <c r="X669" t="s">
        <v>5088</v>
      </c>
      <c r="Y669" t="s">
        <v>231</v>
      </c>
      <c r="Z669" t="s">
        <v>160</v>
      </c>
      <c r="AA669" t="s">
        <v>151</v>
      </c>
      <c r="AB669" t="s">
        <v>151</v>
      </c>
      <c r="AC669" t="s">
        <v>2262</v>
      </c>
      <c r="AD669" t="s">
        <v>2262</v>
      </c>
      <c r="AE669" t="s">
        <v>2264</v>
      </c>
      <c r="AF669" t="s">
        <v>4879</v>
      </c>
      <c r="AG669" t="s">
        <v>4880</v>
      </c>
      <c r="AH669" t="s">
        <v>5187</v>
      </c>
      <c r="AI669" t="s">
        <v>3575</v>
      </c>
      <c r="AJ669" t="s">
        <v>3529</v>
      </c>
      <c r="AK669" t="s">
        <v>5188</v>
      </c>
      <c r="AL669" t="s">
        <v>5092</v>
      </c>
      <c r="AN669" t="s">
        <v>3621</v>
      </c>
      <c r="AO669" t="s">
        <v>4545</v>
      </c>
      <c r="AP669" t="s">
        <v>231</v>
      </c>
      <c r="AQ669" t="s">
        <v>231</v>
      </c>
      <c r="AR669" t="s">
        <v>231</v>
      </c>
      <c r="AS669" t="s">
        <v>231</v>
      </c>
      <c r="AT669" t="s">
        <v>231</v>
      </c>
      <c r="AU669" t="s">
        <v>231</v>
      </c>
      <c r="AV669" t="s">
        <v>231</v>
      </c>
      <c r="AW669" t="s">
        <v>231</v>
      </c>
      <c r="AX669" t="s">
        <v>231</v>
      </c>
      <c r="AY669" t="s">
        <v>231</v>
      </c>
      <c r="AZ669" t="s">
        <v>231</v>
      </c>
      <c r="BA669" t="s">
        <v>231</v>
      </c>
      <c r="BB669" t="s">
        <v>231</v>
      </c>
      <c r="BC669" t="s">
        <v>231</v>
      </c>
      <c r="BD669" t="s">
        <v>231</v>
      </c>
      <c r="BE669" t="s">
        <v>231</v>
      </c>
      <c r="BF669" t="s">
        <v>231</v>
      </c>
      <c r="BG669" t="s">
        <v>231</v>
      </c>
      <c r="BH669" t="s">
        <v>231</v>
      </c>
      <c r="BI669" t="s">
        <v>231</v>
      </c>
      <c r="BJ669" t="s">
        <v>231</v>
      </c>
      <c r="BK669" t="s">
        <v>231</v>
      </c>
      <c r="BL669" t="s">
        <v>231</v>
      </c>
      <c r="BM669" t="s">
        <v>231</v>
      </c>
      <c r="BN669" t="s">
        <v>231</v>
      </c>
      <c r="BO669" t="s">
        <v>231</v>
      </c>
      <c r="BP669" t="s">
        <v>231</v>
      </c>
      <c r="BQ669" t="s">
        <v>231</v>
      </c>
      <c r="BR669" t="s">
        <v>231</v>
      </c>
      <c r="BS669" t="s">
        <v>231</v>
      </c>
      <c r="BT669" t="s">
        <v>231</v>
      </c>
      <c r="CS669" t="s">
        <v>231</v>
      </c>
      <c r="CT669" t="s">
        <v>3534</v>
      </c>
      <c r="CU669" t="s">
        <v>3535</v>
      </c>
      <c r="CV669" t="s">
        <v>3536</v>
      </c>
      <c r="CW669" t="s">
        <v>4891</v>
      </c>
      <c r="CX669" t="s">
        <v>223</v>
      </c>
      <c r="CY669" t="s">
        <v>3536</v>
      </c>
      <c r="CZ669" t="s">
        <v>321</v>
      </c>
      <c r="DA669" t="s">
        <v>3539</v>
      </c>
      <c r="DB669" t="s">
        <v>4891</v>
      </c>
      <c r="DC669" t="s">
        <v>363</v>
      </c>
      <c r="DD669" t="s">
        <v>5099</v>
      </c>
      <c r="DE669" t="s">
        <v>5189</v>
      </c>
    </row>
    <row r="670" spans="1:109" ht="11.25" customHeight="1">
      <c r="A670" s="1314" t="s">
        <v>231</v>
      </c>
      <c r="B670" t="s">
        <v>231</v>
      </c>
      <c r="C670" t="s">
        <v>231</v>
      </c>
      <c r="D670" t="s">
        <v>231</v>
      </c>
      <c r="E670" t="s">
        <v>231</v>
      </c>
      <c r="F670" t="s">
        <v>231</v>
      </c>
      <c r="G670" t="s">
        <v>231</v>
      </c>
      <c r="H670" t="s">
        <v>231</v>
      </c>
      <c r="I670" t="s">
        <v>5086</v>
      </c>
      <c r="J670" t="s">
        <v>231</v>
      </c>
      <c r="K670" t="s">
        <v>231</v>
      </c>
      <c r="L670" t="s">
        <v>231</v>
      </c>
      <c r="M670" t="s">
        <v>231</v>
      </c>
      <c r="N670" t="s">
        <v>231</v>
      </c>
      <c r="O670" t="s">
        <v>231</v>
      </c>
      <c r="P670" t="s">
        <v>231</v>
      </c>
      <c r="Q670" t="s">
        <v>231</v>
      </c>
      <c r="R670" t="s">
        <v>5190</v>
      </c>
      <c r="S670" t="s">
        <v>231</v>
      </c>
      <c r="T670" t="s">
        <v>231</v>
      </c>
      <c r="U670" t="s">
        <v>101</v>
      </c>
      <c r="V670" t="s">
        <v>231</v>
      </c>
      <c r="W670" t="s">
        <v>231</v>
      </c>
      <c r="X670" t="s">
        <v>5088</v>
      </c>
      <c r="Y670" t="s">
        <v>231</v>
      </c>
      <c r="Z670" t="s">
        <v>160</v>
      </c>
      <c r="AA670" t="s">
        <v>151</v>
      </c>
      <c r="AB670" t="s">
        <v>151</v>
      </c>
      <c r="AC670" t="s">
        <v>343</v>
      </c>
      <c r="AD670" t="s">
        <v>343</v>
      </c>
      <c r="AE670" t="s">
        <v>344</v>
      </c>
      <c r="AF670" t="s">
        <v>3561</v>
      </c>
      <c r="AG670" t="s">
        <v>3562</v>
      </c>
      <c r="AH670" t="s">
        <v>5191</v>
      </c>
      <c r="AI670" t="s">
        <v>5192</v>
      </c>
      <c r="AJ670" t="s">
        <v>5193</v>
      </c>
      <c r="AK670" t="s">
        <v>5194</v>
      </c>
      <c r="AL670" t="s">
        <v>5112</v>
      </c>
      <c r="AN670" t="s">
        <v>5195</v>
      </c>
      <c r="AO670" t="s">
        <v>5196</v>
      </c>
      <c r="AP670" t="s">
        <v>231</v>
      </c>
      <c r="AQ670" t="s">
        <v>231</v>
      </c>
      <c r="AR670" t="s">
        <v>231</v>
      </c>
      <c r="AS670" t="s">
        <v>231</v>
      </c>
      <c r="AT670" t="s">
        <v>231</v>
      </c>
      <c r="AU670" t="s">
        <v>231</v>
      </c>
      <c r="AV670" t="s">
        <v>231</v>
      </c>
      <c r="AW670" t="s">
        <v>231</v>
      </c>
      <c r="AX670" t="s">
        <v>231</v>
      </c>
      <c r="AY670" t="s">
        <v>231</v>
      </c>
      <c r="AZ670" t="s">
        <v>231</v>
      </c>
      <c r="BA670" t="s">
        <v>231</v>
      </c>
      <c r="BB670" t="s">
        <v>231</v>
      </c>
      <c r="BC670" t="s">
        <v>231</v>
      </c>
      <c r="BD670" t="s">
        <v>231</v>
      </c>
      <c r="BE670" t="s">
        <v>231</v>
      </c>
      <c r="BF670" t="s">
        <v>231</v>
      </c>
      <c r="BG670" t="s">
        <v>231</v>
      </c>
      <c r="BH670" t="s">
        <v>231</v>
      </c>
      <c r="BI670" t="s">
        <v>231</v>
      </c>
      <c r="BJ670" t="s">
        <v>231</v>
      </c>
      <c r="BK670" t="s">
        <v>231</v>
      </c>
      <c r="BL670" t="s">
        <v>231</v>
      </c>
      <c r="BM670" t="s">
        <v>231</v>
      </c>
      <c r="BN670" t="s">
        <v>231</v>
      </c>
      <c r="BO670" t="s">
        <v>231</v>
      </c>
      <c r="BP670" t="s">
        <v>231</v>
      </c>
      <c r="BQ670" t="s">
        <v>231</v>
      </c>
      <c r="BR670" t="s">
        <v>231</v>
      </c>
      <c r="BS670" t="s">
        <v>231</v>
      </c>
      <c r="BT670" t="s">
        <v>231</v>
      </c>
      <c r="CS670" t="s">
        <v>231</v>
      </c>
      <c r="CT670" t="s">
        <v>3534</v>
      </c>
      <c r="CU670" t="s">
        <v>5095</v>
      </c>
      <c r="CV670" t="s">
        <v>3997</v>
      </c>
      <c r="CW670" t="s">
        <v>5096</v>
      </c>
      <c r="CX670" t="s">
        <v>3570</v>
      </c>
      <c r="CY670" t="s">
        <v>3997</v>
      </c>
      <c r="CZ670" t="s">
        <v>5097</v>
      </c>
      <c r="DA670" t="s">
        <v>5098</v>
      </c>
      <c r="DB670" t="s">
        <v>5096</v>
      </c>
      <c r="DC670" t="s">
        <v>363</v>
      </c>
      <c r="DD670" t="s">
        <v>5099</v>
      </c>
      <c r="DE670" t="s">
        <v>5197</v>
      </c>
    </row>
    <row r="671" spans="1:109" ht="11.25" customHeight="1">
      <c r="A671" s="1314" t="s">
        <v>231</v>
      </c>
      <c r="B671" t="s">
        <v>231</v>
      </c>
      <c r="C671" t="s">
        <v>231</v>
      </c>
      <c r="D671" t="s">
        <v>231</v>
      </c>
      <c r="E671" t="s">
        <v>231</v>
      </c>
      <c r="F671" t="s">
        <v>231</v>
      </c>
      <c r="G671" t="s">
        <v>231</v>
      </c>
      <c r="H671" t="s">
        <v>231</v>
      </c>
      <c r="I671" t="s">
        <v>5086</v>
      </c>
      <c r="J671" t="s">
        <v>231</v>
      </c>
      <c r="K671" t="s">
        <v>231</v>
      </c>
      <c r="L671" t="s">
        <v>231</v>
      </c>
      <c r="M671" t="s">
        <v>231</v>
      </c>
      <c r="N671" t="s">
        <v>231</v>
      </c>
      <c r="O671" t="s">
        <v>231</v>
      </c>
      <c r="P671" t="s">
        <v>231</v>
      </c>
      <c r="Q671" t="s">
        <v>231</v>
      </c>
      <c r="R671" t="s">
        <v>5198</v>
      </c>
      <c r="S671" t="s">
        <v>231</v>
      </c>
      <c r="T671" t="s">
        <v>231</v>
      </c>
      <c r="U671" t="s">
        <v>101</v>
      </c>
      <c r="V671" t="s">
        <v>231</v>
      </c>
      <c r="W671" t="s">
        <v>231</v>
      </c>
      <c r="X671" t="s">
        <v>5088</v>
      </c>
      <c r="Y671" t="s">
        <v>231</v>
      </c>
      <c r="Z671" t="s">
        <v>160</v>
      </c>
      <c r="AA671" t="s">
        <v>151</v>
      </c>
      <c r="AB671" t="s">
        <v>151</v>
      </c>
      <c r="AC671" t="s">
        <v>2262</v>
      </c>
      <c r="AD671" t="s">
        <v>2262</v>
      </c>
      <c r="AE671" t="s">
        <v>2264</v>
      </c>
      <c r="AF671" t="s">
        <v>4879</v>
      </c>
      <c r="AG671" t="s">
        <v>4880</v>
      </c>
      <c r="AH671" t="s">
        <v>5199</v>
      </c>
      <c r="AI671" t="s">
        <v>3575</v>
      </c>
      <c r="AJ671" t="s">
        <v>5200</v>
      </c>
      <c r="AK671" t="s">
        <v>5201</v>
      </c>
      <c r="AL671" t="s">
        <v>5092</v>
      </c>
      <c r="AN671" t="s">
        <v>3549</v>
      </c>
      <c r="AO671" t="s">
        <v>5202</v>
      </c>
      <c r="AP671" t="s">
        <v>231</v>
      </c>
      <c r="AQ671" t="s">
        <v>231</v>
      </c>
      <c r="AR671" t="s">
        <v>231</v>
      </c>
      <c r="AS671" t="s">
        <v>231</v>
      </c>
      <c r="AT671" t="s">
        <v>231</v>
      </c>
      <c r="AU671" t="s">
        <v>231</v>
      </c>
      <c r="AV671" t="s">
        <v>231</v>
      </c>
      <c r="AW671" t="s">
        <v>231</v>
      </c>
      <c r="AX671" t="s">
        <v>231</v>
      </c>
      <c r="AY671" t="s">
        <v>231</v>
      </c>
      <c r="AZ671" t="s">
        <v>231</v>
      </c>
      <c r="BA671" t="s">
        <v>231</v>
      </c>
      <c r="BB671" t="s">
        <v>231</v>
      </c>
      <c r="BC671" t="s">
        <v>231</v>
      </c>
      <c r="BD671" t="s">
        <v>231</v>
      </c>
      <c r="BE671" t="s">
        <v>231</v>
      </c>
      <c r="BF671" t="s">
        <v>231</v>
      </c>
      <c r="BG671" t="s">
        <v>231</v>
      </c>
      <c r="BH671" t="s">
        <v>231</v>
      </c>
      <c r="BI671" t="s">
        <v>231</v>
      </c>
      <c r="BJ671" t="s">
        <v>231</v>
      </c>
      <c r="BK671" t="s">
        <v>231</v>
      </c>
      <c r="BL671" t="s">
        <v>231</v>
      </c>
      <c r="BM671" t="s">
        <v>231</v>
      </c>
      <c r="BN671" t="s">
        <v>231</v>
      </c>
      <c r="BO671" t="s">
        <v>231</v>
      </c>
      <c r="BP671" t="s">
        <v>231</v>
      </c>
      <c r="BQ671" t="s">
        <v>231</v>
      </c>
      <c r="BR671" t="s">
        <v>231</v>
      </c>
      <c r="BS671" t="s">
        <v>231</v>
      </c>
      <c r="BT671" t="s">
        <v>231</v>
      </c>
      <c r="CS671" t="s">
        <v>231</v>
      </c>
      <c r="CT671" t="s">
        <v>3534</v>
      </c>
      <c r="CU671" t="s">
        <v>3535</v>
      </c>
      <c r="CV671" t="s">
        <v>3536</v>
      </c>
      <c r="CW671" t="s">
        <v>4891</v>
      </c>
      <c r="CX671" t="s">
        <v>223</v>
      </c>
      <c r="CY671" t="s">
        <v>3536</v>
      </c>
      <c r="CZ671" t="s">
        <v>321</v>
      </c>
      <c r="DA671" t="s">
        <v>3539</v>
      </c>
      <c r="DB671" t="s">
        <v>4891</v>
      </c>
      <c r="DC671" t="s">
        <v>363</v>
      </c>
      <c r="DD671" t="s">
        <v>5099</v>
      </c>
      <c r="DE671" t="s">
        <v>5203</v>
      </c>
    </row>
    <row r="672" spans="1:109" ht="11.25" customHeight="1">
      <c r="A672" s="1314" t="s">
        <v>231</v>
      </c>
      <c r="B672" t="s">
        <v>231</v>
      </c>
      <c r="C672" t="s">
        <v>231</v>
      </c>
      <c r="D672" t="s">
        <v>231</v>
      </c>
      <c r="E672" t="s">
        <v>231</v>
      </c>
      <c r="F672" t="s">
        <v>231</v>
      </c>
      <c r="G672" t="s">
        <v>231</v>
      </c>
      <c r="H672" t="s">
        <v>231</v>
      </c>
      <c r="I672" t="s">
        <v>5086</v>
      </c>
      <c r="J672" t="s">
        <v>231</v>
      </c>
      <c r="K672" t="s">
        <v>231</v>
      </c>
      <c r="L672" t="s">
        <v>231</v>
      </c>
      <c r="M672" t="s">
        <v>231</v>
      </c>
      <c r="N672" t="s">
        <v>231</v>
      </c>
      <c r="O672" t="s">
        <v>231</v>
      </c>
      <c r="P672" t="s">
        <v>231</v>
      </c>
      <c r="Q672" t="s">
        <v>231</v>
      </c>
      <c r="R672" t="s">
        <v>5139</v>
      </c>
      <c r="S672" t="s">
        <v>231</v>
      </c>
      <c r="T672" t="s">
        <v>231</v>
      </c>
      <c r="U672" t="s">
        <v>101</v>
      </c>
      <c r="V672" t="s">
        <v>231</v>
      </c>
      <c r="W672" t="s">
        <v>231</v>
      </c>
      <c r="X672" t="s">
        <v>3628</v>
      </c>
      <c r="Y672" t="s">
        <v>231</v>
      </c>
      <c r="Z672" t="s">
        <v>151</v>
      </c>
      <c r="AA672" t="s">
        <v>151</v>
      </c>
      <c r="AB672" t="s">
        <v>160</v>
      </c>
      <c r="AC672" t="s">
        <v>2283</v>
      </c>
      <c r="AD672" t="s">
        <v>2283</v>
      </c>
      <c r="AE672" t="s">
        <v>2284</v>
      </c>
      <c r="AF672" t="s">
        <v>4001</v>
      </c>
      <c r="AG672" t="s">
        <v>4002</v>
      </c>
      <c r="AH672" t="s">
        <v>4001</v>
      </c>
      <c r="AI672" t="s">
        <v>3575</v>
      </c>
      <c r="AJ672" t="s">
        <v>231</v>
      </c>
      <c r="AK672" t="s">
        <v>231</v>
      </c>
      <c r="AL672" t="s">
        <v>231</v>
      </c>
      <c r="AN672" t="s">
        <v>231</v>
      </c>
      <c r="AO672" t="s">
        <v>231</v>
      </c>
      <c r="AP672" t="s">
        <v>231</v>
      </c>
      <c r="AQ672" t="s">
        <v>231</v>
      </c>
      <c r="AR672" t="s">
        <v>231</v>
      </c>
      <c r="AS672" t="s">
        <v>231</v>
      </c>
      <c r="AT672" t="s">
        <v>231</v>
      </c>
      <c r="AU672" t="s">
        <v>231</v>
      </c>
      <c r="AV672" t="s">
        <v>231</v>
      </c>
      <c r="AW672" t="s">
        <v>231</v>
      </c>
      <c r="AX672" t="s">
        <v>231</v>
      </c>
      <c r="AY672" t="s">
        <v>231</v>
      </c>
      <c r="AZ672" t="s">
        <v>231</v>
      </c>
      <c r="BA672" t="s">
        <v>231</v>
      </c>
      <c r="BB672" t="s">
        <v>231</v>
      </c>
      <c r="BC672" t="s">
        <v>231</v>
      </c>
      <c r="BD672" t="s">
        <v>231</v>
      </c>
      <c r="BE672" t="s">
        <v>5204</v>
      </c>
      <c r="BF672" t="s">
        <v>5205</v>
      </c>
      <c r="BG672" t="s">
        <v>111</v>
      </c>
      <c r="BH672" t="s">
        <v>3632</v>
      </c>
      <c r="BI672" t="s">
        <v>122</v>
      </c>
      <c r="BJ672" t="s">
        <v>231</v>
      </c>
      <c r="BK672" t="s">
        <v>5206</v>
      </c>
      <c r="BL672" t="s">
        <v>2283</v>
      </c>
      <c r="BM672" t="s">
        <v>2283</v>
      </c>
      <c r="BN672" t="s">
        <v>3690</v>
      </c>
      <c r="BO672" t="s">
        <v>4001</v>
      </c>
      <c r="BP672" t="s">
        <v>4005</v>
      </c>
      <c r="BQ672" t="s">
        <v>5207</v>
      </c>
      <c r="BR672" t="s">
        <v>3575</v>
      </c>
      <c r="BS672" t="s">
        <v>231</v>
      </c>
      <c r="BT672" t="s">
        <v>3694</v>
      </c>
      <c r="CS672" t="s">
        <v>3549</v>
      </c>
      <c r="CT672" t="s">
        <v>3534</v>
      </c>
      <c r="CU672" t="s">
        <v>3535</v>
      </c>
      <c r="CV672" t="s">
        <v>3536</v>
      </c>
      <c r="CW672" t="s">
        <v>3551</v>
      </c>
      <c r="CX672" t="s">
        <v>223</v>
      </c>
      <c r="CY672" t="s">
        <v>3536</v>
      </c>
      <c r="CZ672" t="s">
        <v>3552</v>
      </c>
      <c r="DA672" t="s">
        <v>3553</v>
      </c>
      <c r="DB672" t="s">
        <v>3551</v>
      </c>
      <c r="DC672" t="s">
        <v>363</v>
      </c>
      <c r="DD672" t="s">
        <v>5099</v>
      </c>
      <c r="DE672" t="s">
        <v>5208</v>
      </c>
    </row>
    <row r="673" spans="1:109" ht="11.25" customHeight="1">
      <c r="A673" s="1314" t="s">
        <v>231</v>
      </c>
      <c r="B673" t="s">
        <v>231</v>
      </c>
      <c r="C673" t="s">
        <v>231</v>
      </c>
      <c r="D673" t="s">
        <v>231</v>
      </c>
      <c r="E673" t="s">
        <v>231</v>
      </c>
      <c r="F673" t="s">
        <v>231</v>
      </c>
      <c r="G673" t="s">
        <v>231</v>
      </c>
      <c r="H673" t="s">
        <v>231</v>
      </c>
      <c r="I673" t="s">
        <v>5086</v>
      </c>
      <c r="J673" t="s">
        <v>231</v>
      </c>
      <c r="K673" t="s">
        <v>231</v>
      </c>
      <c r="L673" t="s">
        <v>231</v>
      </c>
      <c r="M673" t="s">
        <v>231</v>
      </c>
      <c r="N673" t="s">
        <v>231</v>
      </c>
      <c r="O673" t="s">
        <v>231</v>
      </c>
      <c r="P673" t="s">
        <v>231</v>
      </c>
      <c r="Q673" t="s">
        <v>231</v>
      </c>
      <c r="R673" t="s">
        <v>5209</v>
      </c>
      <c r="S673" t="s">
        <v>231</v>
      </c>
      <c r="T673" t="s">
        <v>231</v>
      </c>
      <c r="U673" t="s">
        <v>101</v>
      </c>
      <c r="V673" t="s">
        <v>231</v>
      </c>
      <c r="W673" t="s">
        <v>231</v>
      </c>
      <c r="X673" t="s">
        <v>3628</v>
      </c>
      <c r="Y673" t="s">
        <v>231</v>
      </c>
      <c r="Z673" t="s">
        <v>151</v>
      </c>
      <c r="AA673" t="s">
        <v>151</v>
      </c>
      <c r="AB673" t="s">
        <v>160</v>
      </c>
      <c r="AC673" t="s">
        <v>2287</v>
      </c>
      <c r="AD673" t="s">
        <v>2287</v>
      </c>
      <c r="AE673" t="s">
        <v>2288</v>
      </c>
      <c r="AF673" t="s">
        <v>4025</v>
      </c>
      <c r="AG673" t="s">
        <v>4026</v>
      </c>
      <c r="AH673" t="s">
        <v>3618</v>
      </c>
      <c r="AI673" t="s">
        <v>3618</v>
      </c>
      <c r="AJ673" t="s">
        <v>231</v>
      </c>
      <c r="AK673" t="s">
        <v>231</v>
      </c>
      <c r="AL673" t="s">
        <v>231</v>
      </c>
      <c r="AN673" t="s">
        <v>231</v>
      </c>
      <c r="AO673" t="s">
        <v>231</v>
      </c>
      <c r="AP673" t="s">
        <v>231</v>
      </c>
      <c r="AQ673" t="s">
        <v>231</v>
      </c>
      <c r="AR673" t="s">
        <v>231</v>
      </c>
      <c r="AS673" t="s">
        <v>231</v>
      </c>
      <c r="AT673" t="s">
        <v>231</v>
      </c>
      <c r="AU673" t="s">
        <v>231</v>
      </c>
      <c r="AV673" t="s">
        <v>231</v>
      </c>
      <c r="AW673" t="s">
        <v>231</v>
      </c>
      <c r="AX673" t="s">
        <v>231</v>
      </c>
      <c r="AY673" t="s">
        <v>231</v>
      </c>
      <c r="AZ673" t="s">
        <v>231</v>
      </c>
      <c r="BA673" t="s">
        <v>231</v>
      </c>
      <c r="BB673" t="s">
        <v>231</v>
      </c>
      <c r="BC673" t="s">
        <v>231</v>
      </c>
      <c r="BD673" t="s">
        <v>231</v>
      </c>
      <c r="BE673" t="s">
        <v>5210</v>
      </c>
      <c r="BF673" t="s">
        <v>5211</v>
      </c>
      <c r="BG673" t="s">
        <v>111</v>
      </c>
      <c r="BH673" t="s">
        <v>3632</v>
      </c>
      <c r="BI673" t="s">
        <v>122</v>
      </c>
      <c r="BJ673" t="s">
        <v>231</v>
      </c>
      <c r="BK673" t="s">
        <v>231</v>
      </c>
      <c r="BL673" t="s">
        <v>2287</v>
      </c>
      <c r="BM673" t="s">
        <v>2287</v>
      </c>
      <c r="BN673" t="s">
        <v>3842</v>
      </c>
      <c r="BO673" t="s">
        <v>4025</v>
      </c>
      <c r="BP673" t="s">
        <v>4216</v>
      </c>
      <c r="BQ673" t="s">
        <v>3618</v>
      </c>
      <c r="BR673" t="s">
        <v>3618</v>
      </c>
      <c r="BS673" t="s">
        <v>231</v>
      </c>
      <c r="BT673" t="s">
        <v>3694</v>
      </c>
      <c r="CS673" t="s">
        <v>5212</v>
      </c>
      <c r="CT673" t="s">
        <v>3534</v>
      </c>
      <c r="CU673" t="s">
        <v>3535</v>
      </c>
      <c r="CV673" t="s">
        <v>3536</v>
      </c>
      <c r="CW673" t="s">
        <v>3623</v>
      </c>
      <c r="CX673" t="s">
        <v>223</v>
      </c>
      <c r="CY673" t="s">
        <v>3536</v>
      </c>
      <c r="CZ673" t="s">
        <v>3624</v>
      </c>
      <c r="DA673" t="s">
        <v>3625</v>
      </c>
      <c r="DB673" t="s">
        <v>3623</v>
      </c>
      <c r="DC673" t="s">
        <v>363</v>
      </c>
      <c r="DD673" t="s">
        <v>5099</v>
      </c>
      <c r="DE673" t="s">
        <v>4290</v>
      </c>
    </row>
    <row r="674" spans="1:109" ht="11.25" customHeight="1">
      <c r="A674" s="1314" t="s">
        <v>231</v>
      </c>
      <c r="B674" t="s">
        <v>231</v>
      </c>
      <c r="C674" t="s">
        <v>231</v>
      </c>
      <c r="D674" t="s">
        <v>231</v>
      </c>
      <c r="E674" t="s">
        <v>231</v>
      </c>
      <c r="F674" t="s">
        <v>231</v>
      </c>
      <c r="G674" t="s">
        <v>231</v>
      </c>
      <c r="H674" t="s">
        <v>231</v>
      </c>
      <c r="I674" t="s">
        <v>5086</v>
      </c>
      <c r="J674" t="s">
        <v>231</v>
      </c>
      <c r="K674" t="s">
        <v>231</v>
      </c>
      <c r="L674" t="s">
        <v>231</v>
      </c>
      <c r="M674" t="s">
        <v>231</v>
      </c>
      <c r="N674" t="s">
        <v>231</v>
      </c>
      <c r="O674" t="s">
        <v>231</v>
      </c>
      <c r="P674" t="s">
        <v>231</v>
      </c>
      <c r="Q674" t="s">
        <v>231</v>
      </c>
      <c r="R674" t="s">
        <v>5213</v>
      </c>
      <c r="S674" t="s">
        <v>231</v>
      </c>
      <c r="T674" t="s">
        <v>231</v>
      </c>
      <c r="U674" t="s">
        <v>101</v>
      </c>
      <c r="V674" t="s">
        <v>231</v>
      </c>
      <c r="W674" t="s">
        <v>231</v>
      </c>
      <c r="X674" t="s">
        <v>5088</v>
      </c>
      <c r="Y674" t="s">
        <v>231</v>
      </c>
      <c r="Z674" t="s">
        <v>160</v>
      </c>
      <c r="AA674" t="s">
        <v>151</v>
      </c>
      <c r="AB674" t="s">
        <v>151</v>
      </c>
      <c r="AC674" t="s">
        <v>2287</v>
      </c>
      <c r="AD674" t="s">
        <v>2287</v>
      </c>
      <c r="AE674" t="s">
        <v>2288</v>
      </c>
      <c r="AF674" t="s">
        <v>4025</v>
      </c>
      <c r="AG674" t="s">
        <v>4026</v>
      </c>
      <c r="AH674" t="s">
        <v>5214</v>
      </c>
      <c r="AI674" t="s">
        <v>3618</v>
      </c>
      <c r="AJ674" t="s">
        <v>5212</v>
      </c>
      <c r="AK674" t="s">
        <v>5215</v>
      </c>
      <c r="AL674" t="s">
        <v>5092</v>
      </c>
      <c r="AN674" t="s">
        <v>3529</v>
      </c>
      <c r="AO674" t="s">
        <v>5216</v>
      </c>
      <c r="AP674" t="s">
        <v>231</v>
      </c>
      <c r="AQ674" t="s">
        <v>231</v>
      </c>
      <c r="AR674" t="s">
        <v>231</v>
      </c>
      <c r="AS674" t="s">
        <v>231</v>
      </c>
      <c r="AT674" t="s">
        <v>231</v>
      </c>
      <c r="AU674" t="s">
        <v>231</v>
      </c>
      <c r="AV674" t="s">
        <v>231</v>
      </c>
      <c r="AW674" t="s">
        <v>231</v>
      </c>
      <c r="AX674" t="s">
        <v>231</v>
      </c>
      <c r="AY674" t="s">
        <v>231</v>
      </c>
      <c r="AZ674" t="s">
        <v>231</v>
      </c>
      <c r="BA674" t="s">
        <v>231</v>
      </c>
      <c r="BB674" t="s">
        <v>231</v>
      </c>
      <c r="BC674" t="s">
        <v>231</v>
      </c>
      <c r="BD674" t="s">
        <v>231</v>
      </c>
      <c r="BE674" t="s">
        <v>231</v>
      </c>
      <c r="BF674" t="s">
        <v>231</v>
      </c>
      <c r="BG674" t="s">
        <v>231</v>
      </c>
      <c r="BH674" t="s">
        <v>231</v>
      </c>
      <c r="BI674" t="s">
        <v>231</v>
      </c>
      <c r="BJ674" t="s">
        <v>231</v>
      </c>
      <c r="BK674" t="s">
        <v>231</v>
      </c>
      <c r="BL674" t="s">
        <v>231</v>
      </c>
      <c r="BM674" t="s">
        <v>231</v>
      </c>
      <c r="BN674" t="s">
        <v>231</v>
      </c>
      <c r="BO674" t="s">
        <v>231</v>
      </c>
      <c r="BP674" t="s">
        <v>231</v>
      </c>
      <c r="BQ674" t="s">
        <v>231</v>
      </c>
      <c r="BR674" t="s">
        <v>231</v>
      </c>
      <c r="BS674" t="s">
        <v>231</v>
      </c>
      <c r="BT674" t="s">
        <v>231</v>
      </c>
      <c r="CS674" t="s">
        <v>231</v>
      </c>
      <c r="CT674" t="s">
        <v>3534</v>
      </c>
      <c r="CU674" t="s">
        <v>3535</v>
      </c>
      <c r="CV674" t="s">
        <v>3536</v>
      </c>
      <c r="CW674" t="s">
        <v>3623</v>
      </c>
      <c r="CX674" t="s">
        <v>223</v>
      </c>
      <c r="CY674" t="s">
        <v>3536</v>
      </c>
      <c r="CZ674" t="s">
        <v>3624</v>
      </c>
      <c r="DA674" t="s">
        <v>3625</v>
      </c>
      <c r="DB674" t="s">
        <v>3623</v>
      </c>
      <c r="DC674" t="s">
        <v>363</v>
      </c>
      <c r="DD674" t="s">
        <v>5099</v>
      </c>
      <c r="DE674" t="s">
        <v>5217</v>
      </c>
    </row>
    <row r="675" spans="1:109" ht="11.25" customHeight="1">
      <c r="A675" s="1314" t="s">
        <v>231</v>
      </c>
      <c r="B675" t="s">
        <v>231</v>
      </c>
      <c r="C675" t="s">
        <v>231</v>
      </c>
      <c r="D675" t="s">
        <v>231</v>
      </c>
      <c r="E675" t="s">
        <v>231</v>
      </c>
      <c r="F675" t="s">
        <v>231</v>
      </c>
      <c r="G675" t="s">
        <v>231</v>
      </c>
      <c r="H675" t="s">
        <v>231</v>
      </c>
      <c r="I675" t="s">
        <v>5086</v>
      </c>
      <c r="J675" t="s">
        <v>231</v>
      </c>
      <c r="K675" t="s">
        <v>231</v>
      </c>
      <c r="L675" t="s">
        <v>231</v>
      </c>
      <c r="M675" t="s">
        <v>231</v>
      </c>
      <c r="N675" t="s">
        <v>231</v>
      </c>
      <c r="O675" t="s">
        <v>231</v>
      </c>
      <c r="P675" t="s">
        <v>231</v>
      </c>
      <c r="Q675" t="s">
        <v>231</v>
      </c>
      <c r="R675" t="s">
        <v>5218</v>
      </c>
      <c r="S675" t="s">
        <v>231</v>
      </c>
      <c r="T675" t="s">
        <v>231</v>
      </c>
      <c r="U675" t="s">
        <v>101</v>
      </c>
      <c r="V675" t="s">
        <v>231</v>
      </c>
      <c r="W675" t="s">
        <v>231</v>
      </c>
      <c r="X675" t="s">
        <v>5088</v>
      </c>
      <c r="Y675" t="s">
        <v>231</v>
      </c>
      <c r="Z675" t="s">
        <v>160</v>
      </c>
      <c r="AA675" t="s">
        <v>151</v>
      </c>
      <c r="AB675" t="s">
        <v>151</v>
      </c>
      <c r="AC675" t="s">
        <v>2287</v>
      </c>
      <c r="AD675" t="s">
        <v>2287</v>
      </c>
      <c r="AE675" t="s">
        <v>2288</v>
      </c>
      <c r="AF675" t="s">
        <v>4025</v>
      </c>
      <c r="AG675" t="s">
        <v>4026</v>
      </c>
      <c r="AH675" t="s">
        <v>5207</v>
      </c>
      <c r="AI675" t="s">
        <v>3618</v>
      </c>
      <c r="AJ675" t="s">
        <v>5219</v>
      </c>
      <c r="AK675" t="s">
        <v>3775</v>
      </c>
      <c r="AL675" t="s">
        <v>5092</v>
      </c>
      <c r="AN675" t="s">
        <v>3529</v>
      </c>
      <c r="AO675" t="s">
        <v>5220</v>
      </c>
      <c r="AP675" t="s">
        <v>231</v>
      </c>
      <c r="AQ675" t="s">
        <v>231</v>
      </c>
      <c r="AR675" t="s">
        <v>231</v>
      </c>
      <c r="AS675" t="s">
        <v>231</v>
      </c>
      <c r="AT675" t="s">
        <v>231</v>
      </c>
      <c r="AU675" t="s">
        <v>231</v>
      </c>
      <c r="AV675" t="s">
        <v>231</v>
      </c>
      <c r="AW675" t="s">
        <v>231</v>
      </c>
      <c r="AX675" t="s">
        <v>231</v>
      </c>
      <c r="AY675" t="s">
        <v>231</v>
      </c>
      <c r="AZ675" t="s">
        <v>231</v>
      </c>
      <c r="BA675" t="s">
        <v>231</v>
      </c>
      <c r="BB675" t="s">
        <v>231</v>
      </c>
      <c r="BC675" t="s">
        <v>231</v>
      </c>
      <c r="BD675" t="s">
        <v>231</v>
      </c>
      <c r="BE675" t="s">
        <v>231</v>
      </c>
      <c r="BF675" t="s">
        <v>231</v>
      </c>
      <c r="BG675" t="s">
        <v>231</v>
      </c>
      <c r="BH675" t="s">
        <v>231</v>
      </c>
      <c r="BI675" t="s">
        <v>231</v>
      </c>
      <c r="BJ675" t="s">
        <v>231</v>
      </c>
      <c r="BK675" t="s">
        <v>231</v>
      </c>
      <c r="BL675" t="s">
        <v>231</v>
      </c>
      <c r="BM675" t="s">
        <v>231</v>
      </c>
      <c r="BN675" t="s">
        <v>231</v>
      </c>
      <c r="BO675" t="s">
        <v>231</v>
      </c>
      <c r="BP675" t="s">
        <v>231</v>
      </c>
      <c r="BQ675" t="s">
        <v>231</v>
      </c>
      <c r="BR675" t="s">
        <v>231</v>
      </c>
      <c r="BS675" t="s">
        <v>231</v>
      </c>
      <c r="BT675" t="s">
        <v>231</v>
      </c>
      <c r="CS675" t="s">
        <v>231</v>
      </c>
      <c r="CT675" t="s">
        <v>3534</v>
      </c>
      <c r="CU675" t="s">
        <v>3535</v>
      </c>
      <c r="CV675" t="s">
        <v>3536</v>
      </c>
      <c r="CW675" t="s">
        <v>3623</v>
      </c>
      <c r="CX675" t="s">
        <v>223</v>
      </c>
      <c r="CY675" t="s">
        <v>3536</v>
      </c>
      <c r="CZ675" t="s">
        <v>3624</v>
      </c>
      <c r="DA675" t="s">
        <v>3625</v>
      </c>
      <c r="DB675" t="s">
        <v>3623</v>
      </c>
      <c r="DC675" t="s">
        <v>363</v>
      </c>
      <c r="DD675" t="s">
        <v>5099</v>
      </c>
      <c r="DE675" t="s">
        <v>5221</v>
      </c>
    </row>
    <row r="676" spans="1:109" ht="11.25" customHeight="1">
      <c r="A676" s="1314" t="s">
        <v>231</v>
      </c>
      <c r="B676" t="s">
        <v>231</v>
      </c>
      <c r="C676" t="s">
        <v>231</v>
      </c>
      <c r="D676" t="s">
        <v>231</v>
      </c>
      <c r="E676" t="s">
        <v>231</v>
      </c>
      <c r="F676" t="s">
        <v>231</v>
      </c>
      <c r="G676" t="s">
        <v>231</v>
      </c>
      <c r="H676" t="s">
        <v>231</v>
      </c>
      <c r="I676" t="s">
        <v>5086</v>
      </c>
      <c r="J676" t="s">
        <v>231</v>
      </c>
      <c r="K676" t="s">
        <v>231</v>
      </c>
      <c r="L676" t="s">
        <v>231</v>
      </c>
      <c r="M676" t="s">
        <v>231</v>
      </c>
      <c r="N676" t="s">
        <v>231</v>
      </c>
      <c r="O676" t="s">
        <v>231</v>
      </c>
      <c r="P676" t="s">
        <v>231</v>
      </c>
      <c r="Q676" t="s">
        <v>231</v>
      </c>
      <c r="R676" t="s">
        <v>4912</v>
      </c>
      <c r="S676" t="s">
        <v>231</v>
      </c>
      <c r="T676" t="s">
        <v>231</v>
      </c>
      <c r="U676" t="s">
        <v>101</v>
      </c>
      <c r="V676" t="s">
        <v>231</v>
      </c>
      <c r="W676" t="s">
        <v>231</v>
      </c>
      <c r="X676" t="s">
        <v>3628</v>
      </c>
      <c r="Y676" t="s">
        <v>231</v>
      </c>
      <c r="Z676" t="s">
        <v>151</v>
      </c>
      <c r="AA676" t="s">
        <v>151</v>
      </c>
      <c r="AB676" t="s">
        <v>160</v>
      </c>
      <c r="AC676" t="s">
        <v>2691</v>
      </c>
      <c r="AD676" t="s">
        <v>2691</v>
      </c>
      <c r="AE676" t="s">
        <v>2692</v>
      </c>
      <c r="AF676" t="s">
        <v>3991</v>
      </c>
      <c r="AG676" t="s">
        <v>3992</v>
      </c>
      <c r="AH676" t="s">
        <v>4113</v>
      </c>
      <c r="AI676" t="s">
        <v>3575</v>
      </c>
      <c r="AJ676" t="s">
        <v>231</v>
      </c>
      <c r="AK676" t="s">
        <v>231</v>
      </c>
      <c r="AL676" t="s">
        <v>231</v>
      </c>
      <c r="AN676" t="s">
        <v>231</v>
      </c>
      <c r="AO676" t="s">
        <v>231</v>
      </c>
      <c r="AP676" t="s">
        <v>231</v>
      </c>
      <c r="AQ676" t="s">
        <v>231</v>
      </c>
      <c r="AR676" t="s">
        <v>231</v>
      </c>
      <c r="AS676" t="s">
        <v>231</v>
      </c>
      <c r="AT676" t="s">
        <v>231</v>
      </c>
      <c r="AU676" t="s">
        <v>231</v>
      </c>
      <c r="AV676" t="s">
        <v>231</v>
      </c>
      <c r="AW676" t="s">
        <v>231</v>
      </c>
      <c r="AX676" t="s">
        <v>231</v>
      </c>
      <c r="AY676" t="s">
        <v>231</v>
      </c>
      <c r="AZ676" t="s">
        <v>231</v>
      </c>
      <c r="BA676" t="s">
        <v>231</v>
      </c>
      <c r="BB676" t="s">
        <v>231</v>
      </c>
      <c r="BC676" t="s">
        <v>231</v>
      </c>
      <c r="BD676" t="s">
        <v>231</v>
      </c>
      <c r="BE676" t="s">
        <v>5222</v>
      </c>
      <c r="BF676" t="s">
        <v>5223</v>
      </c>
      <c r="BG676" t="s">
        <v>111</v>
      </c>
      <c r="BH676" t="s">
        <v>3632</v>
      </c>
      <c r="BI676" t="s">
        <v>122</v>
      </c>
      <c r="BJ676" t="s">
        <v>231</v>
      </c>
      <c r="BK676" t="s">
        <v>5224</v>
      </c>
      <c r="BL676" t="s">
        <v>2691</v>
      </c>
      <c r="BM676" t="s">
        <v>2691</v>
      </c>
      <c r="BN676" t="s">
        <v>4116</v>
      </c>
      <c r="BO676" t="s">
        <v>3991</v>
      </c>
      <c r="BP676" t="s">
        <v>4117</v>
      </c>
      <c r="BQ676" t="s">
        <v>4113</v>
      </c>
      <c r="BR676" t="s">
        <v>3575</v>
      </c>
      <c r="BS676" t="s">
        <v>231</v>
      </c>
      <c r="BT676" t="s">
        <v>3637</v>
      </c>
      <c r="CS676" t="s">
        <v>3595</v>
      </c>
      <c r="CT676" t="s">
        <v>3534</v>
      </c>
      <c r="CU676" t="s">
        <v>3535</v>
      </c>
      <c r="CV676" t="s">
        <v>3997</v>
      </c>
      <c r="CW676" t="s">
        <v>3998</v>
      </c>
      <c r="CX676" t="s">
        <v>3570</v>
      </c>
      <c r="CY676" t="s">
        <v>3997</v>
      </c>
      <c r="CZ676" t="s">
        <v>5106</v>
      </c>
      <c r="DA676" t="s">
        <v>3999</v>
      </c>
      <c r="DB676" t="s">
        <v>3998</v>
      </c>
      <c r="DC676" t="s">
        <v>363</v>
      </c>
      <c r="DD676" t="s">
        <v>5099</v>
      </c>
      <c r="DE676" t="s">
        <v>5185</v>
      </c>
    </row>
    <row r="677" spans="1:109" ht="11.25" customHeight="1">
      <c r="A677" s="1314" t="s">
        <v>231</v>
      </c>
      <c r="B677" t="s">
        <v>231</v>
      </c>
      <c r="C677" t="s">
        <v>231</v>
      </c>
      <c r="D677" t="s">
        <v>231</v>
      </c>
      <c r="E677" t="s">
        <v>231</v>
      </c>
      <c r="F677" t="s">
        <v>231</v>
      </c>
      <c r="G677" t="s">
        <v>231</v>
      </c>
      <c r="H677" t="s">
        <v>231</v>
      </c>
      <c r="I677" t="s">
        <v>5086</v>
      </c>
      <c r="J677" t="s">
        <v>231</v>
      </c>
      <c r="K677" t="s">
        <v>231</v>
      </c>
      <c r="L677" t="s">
        <v>231</v>
      </c>
      <c r="M677" t="s">
        <v>231</v>
      </c>
      <c r="N677" t="s">
        <v>231</v>
      </c>
      <c r="O677" t="s">
        <v>231</v>
      </c>
      <c r="P677" t="s">
        <v>231</v>
      </c>
      <c r="Q677" t="s">
        <v>231</v>
      </c>
      <c r="R677" t="s">
        <v>5225</v>
      </c>
      <c r="S677" t="s">
        <v>231</v>
      </c>
      <c r="T677" t="s">
        <v>231</v>
      </c>
      <c r="U677" t="s">
        <v>101</v>
      </c>
      <c r="V677" t="s">
        <v>231</v>
      </c>
      <c r="W677" t="s">
        <v>231</v>
      </c>
      <c r="X677" t="s">
        <v>5088</v>
      </c>
      <c r="Y677" t="s">
        <v>231</v>
      </c>
      <c r="Z677" t="s">
        <v>160</v>
      </c>
      <c r="AA677" t="s">
        <v>151</v>
      </c>
      <c r="AB677" t="s">
        <v>151</v>
      </c>
      <c r="AC677" t="s">
        <v>343</v>
      </c>
      <c r="AD677" t="s">
        <v>343</v>
      </c>
      <c r="AE677" t="s">
        <v>344</v>
      </c>
      <c r="AF677" t="s">
        <v>3561</v>
      </c>
      <c r="AG677" t="s">
        <v>3562</v>
      </c>
      <c r="AH677" t="s">
        <v>5226</v>
      </c>
      <c r="AI677" t="s">
        <v>3575</v>
      </c>
      <c r="AJ677" t="s">
        <v>5227</v>
      </c>
      <c r="AK677" t="s">
        <v>5228</v>
      </c>
      <c r="AL677" t="s">
        <v>5092</v>
      </c>
      <c r="AN677" t="s">
        <v>5229</v>
      </c>
      <c r="AO677" t="s">
        <v>5230</v>
      </c>
      <c r="AP677" t="s">
        <v>231</v>
      </c>
      <c r="AQ677" t="s">
        <v>231</v>
      </c>
      <c r="AR677" t="s">
        <v>231</v>
      </c>
      <c r="AS677" t="s">
        <v>231</v>
      </c>
      <c r="AT677" t="s">
        <v>231</v>
      </c>
      <c r="AU677" t="s">
        <v>231</v>
      </c>
      <c r="AV677" t="s">
        <v>231</v>
      </c>
      <c r="AW677" t="s">
        <v>231</v>
      </c>
      <c r="AX677" t="s">
        <v>231</v>
      </c>
      <c r="AY677" t="s">
        <v>231</v>
      </c>
      <c r="AZ677" t="s">
        <v>231</v>
      </c>
      <c r="BA677" t="s">
        <v>231</v>
      </c>
      <c r="BB677" t="s">
        <v>231</v>
      </c>
      <c r="BC677" t="s">
        <v>231</v>
      </c>
      <c r="BD677" t="s">
        <v>231</v>
      </c>
      <c r="BE677" t="s">
        <v>231</v>
      </c>
      <c r="BF677" t="s">
        <v>231</v>
      </c>
      <c r="BG677" t="s">
        <v>231</v>
      </c>
      <c r="BH677" t="s">
        <v>231</v>
      </c>
      <c r="BI677" t="s">
        <v>231</v>
      </c>
      <c r="BJ677" t="s">
        <v>231</v>
      </c>
      <c r="BK677" t="s">
        <v>231</v>
      </c>
      <c r="BL677" t="s">
        <v>231</v>
      </c>
      <c r="BM677" t="s">
        <v>231</v>
      </c>
      <c r="BN677" t="s">
        <v>231</v>
      </c>
      <c r="BO677" t="s">
        <v>231</v>
      </c>
      <c r="BP677" t="s">
        <v>231</v>
      </c>
      <c r="BQ677" t="s">
        <v>231</v>
      </c>
      <c r="BR677" t="s">
        <v>231</v>
      </c>
      <c r="BS677" t="s">
        <v>231</v>
      </c>
      <c r="BT677" t="s">
        <v>231</v>
      </c>
      <c r="CS677" t="s">
        <v>231</v>
      </c>
      <c r="CT677" t="s">
        <v>3534</v>
      </c>
      <c r="CU677" t="s">
        <v>3535</v>
      </c>
      <c r="CV677" t="s">
        <v>3536</v>
      </c>
      <c r="CW677" t="s">
        <v>3569</v>
      </c>
      <c r="CX677" t="s">
        <v>3570</v>
      </c>
      <c r="CY677" t="s">
        <v>3536</v>
      </c>
      <c r="CZ677" t="s">
        <v>224</v>
      </c>
      <c r="DA677" t="s">
        <v>3571</v>
      </c>
      <c r="DB677" t="s">
        <v>3569</v>
      </c>
      <c r="DC677" t="s">
        <v>363</v>
      </c>
      <c r="DD677" t="s">
        <v>5099</v>
      </c>
      <c r="DE677" t="s">
        <v>5231</v>
      </c>
    </row>
    <row r="678" spans="1:109" ht="11.25" customHeight="1">
      <c r="A678" s="1314" t="s">
        <v>231</v>
      </c>
      <c r="B678" t="s">
        <v>231</v>
      </c>
      <c r="C678" t="s">
        <v>231</v>
      </c>
      <c r="D678" t="s">
        <v>231</v>
      </c>
      <c r="E678" t="s">
        <v>231</v>
      </c>
      <c r="F678" t="s">
        <v>231</v>
      </c>
      <c r="G678" t="s">
        <v>231</v>
      </c>
      <c r="H678" t="s">
        <v>231</v>
      </c>
      <c r="I678" t="s">
        <v>5086</v>
      </c>
      <c r="J678" t="s">
        <v>231</v>
      </c>
      <c r="K678" t="s">
        <v>231</v>
      </c>
      <c r="L678" t="s">
        <v>231</v>
      </c>
      <c r="M678" t="s">
        <v>231</v>
      </c>
      <c r="N678" t="s">
        <v>231</v>
      </c>
      <c r="O678" t="s">
        <v>231</v>
      </c>
      <c r="P678" t="s">
        <v>231</v>
      </c>
      <c r="Q678" t="s">
        <v>231</v>
      </c>
      <c r="R678" t="s">
        <v>4112</v>
      </c>
      <c r="S678" t="s">
        <v>231</v>
      </c>
      <c r="T678" t="s">
        <v>231</v>
      </c>
      <c r="U678" t="s">
        <v>101</v>
      </c>
      <c r="V678" t="s">
        <v>231</v>
      </c>
      <c r="W678" t="s">
        <v>231</v>
      </c>
      <c r="X678" t="s">
        <v>3628</v>
      </c>
      <c r="Y678" t="s">
        <v>231</v>
      </c>
      <c r="Z678" t="s">
        <v>151</v>
      </c>
      <c r="AA678" t="s">
        <v>151</v>
      </c>
      <c r="AB678" t="s">
        <v>160</v>
      </c>
      <c r="AC678" t="s">
        <v>2691</v>
      </c>
      <c r="AD678" t="s">
        <v>2691</v>
      </c>
      <c r="AE678" t="s">
        <v>2692</v>
      </c>
      <c r="AF678" t="s">
        <v>3991</v>
      </c>
      <c r="AG678" t="s">
        <v>3992</v>
      </c>
      <c r="AH678" t="s">
        <v>4113</v>
      </c>
      <c r="AI678" t="s">
        <v>3575</v>
      </c>
      <c r="AJ678" t="s">
        <v>231</v>
      </c>
      <c r="AK678" t="s">
        <v>231</v>
      </c>
      <c r="AL678" t="s">
        <v>231</v>
      </c>
      <c r="AN678" t="s">
        <v>231</v>
      </c>
      <c r="AO678" t="s">
        <v>231</v>
      </c>
      <c r="AP678" t="s">
        <v>231</v>
      </c>
      <c r="AQ678" t="s">
        <v>231</v>
      </c>
      <c r="AR678" t="s">
        <v>231</v>
      </c>
      <c r="AS678" t="s">
        <v>231</v>
      </c>
      <c r="AT678" t="s">
        <v>231</v>
      </c>
      <c r="AU678" t="s">
        <v>231</v>
      </c>
      <c r="AV678" t="s">
        <v>231</v>
      </c>
      <c r="AW678" t="s">
        <v>231</v>
      </c>
      <c r="AX678" t="s">
        <v>231</v>
      </c>
      <c r="AY678" t="s">
        <v>231</v>
      </c>
      <c r="AZ678" t="s">
        <v>231</v>
      </c>
      <c r="BA678" t="s">
        <v>231</v>
      </c>
      <c r="BB678" t="s">
        <v>231</v>
      </c>
      <c r="BC678" t="s">
        <v>231</v>
      </c>
      <c r="BD678" t="s">
        <v>231</v>
      </c>
      <c r="BE678" t="s">
        <v>5232</v>
      </c>
      <c r="BF678" t="s">
        <v>5233</v>
      </c>
      <c r="BG678" t="s">
        <v>111</v>
      </c>
      <c r="BH678" t="s">
        <v>3632</v>
      </c>
      <c r="BI678" t="s">
        <v>122</v>
      </c>
      <c r="BJ678" t="s">
        <v>231</v>
      </c>
      <c r="BK678" t="s">
        <v>151</v>
      </c>
      <c r="BL678" t="s">
        <v>2691</v>
      </c>
      <c r="BM678" t="s">
        <v>2691</v>
      </c>
      <c r="BN678" t="s">
        <v>4116</v>
      </c>
      <c r="BO678" t="s">
        <v>3991</v>
      </c>
      <c r="BP678" t="s">
        <v>4117</v>
      </c>
      <c r="BQ678" t="s">
        <v>4113</v>
      </c>
      <c r="BR678" t="s">
        <v>3575</v>
      </c>
      <c r="BS678" t="s">
        <v>231</v>
      </c>
      <c r="BT678" t="s">
        <v>3637</v>
      </c>
      <c r="CS678" t="s">
        <v>3595</v>
      </c>
      <c r="CT678" t="s">
        <v>3534</v>
      </c>
      <c r="CU678" t="s">
        <v>3535</v>
      </c>
      <c r="CV678" t="s">
        <v>3997</v>
      </c>
      <c r="CW678" t="s">
        <v>3998</v>
      </c>
      <c r="CX678" t="s">
        <v>3570</v>
      </c>
      <c r="CY678" t="s">
        <v>3997</v>
      </c>
      <c r="CZ678" t="s">
        <v>5106</v>
      </c>
      <c r="DA678" t="s">
        <v>3999</v>
      </c>
      <c r="DB678" t="s">
        <v>3998</v>
      </c>
      <c r="DC678" t="s">
        <v>363</v>
      </c>
      <c r="DD678" t="s">
        <v>5099</v>
      </c>
      <c r="DE678" t="s">
        <v>5185</v>
      </c>
    </row>
    <row r="679" spans="1:109" ht="11.25" customHeight="1">
      <c r="A679" s="1314" t="s">
        <v>231</v>
      </c>
      <c r="B679" t="s">
        <v>231</v>
      </c>
      <c r="C679" t="s">
        <v>231</v>
      </c>
      <c r="D679" t="s">
        <v>231</v>
      </c>
      <c r="E679" t="s">
        <v>231</v>
      </c>
      <c r="F679" t="s">
        <v>231</v>
      </c>
      <c r="G679" t="s">
        <v>231</v>
      </c>
      <c r="H679" t="s">
        <v>231</v>
      </c>
      <c r="I679" t="s">
        <v>5086</v>
      </c>
      <c r="J679" t="s">
        <v>231</v>
      </c>
      <c r="K679" t="s">
        <v>231</v>
      </c>
      <c r="L679" t="s">
        <v>231</v>
      </c>
      <c r="M679" t="s">
        <v>231</v>
      </c>
      <c r="N679" t="s">
        <v>231</v>
      </c>
      <c r="O679" t="s">
        <v>231</v>
      </c>
      <c r="P679" t="s">
        <v>231</v>
      </c>
      <c r="Q679" t="s">
        <v>231</v>
      </c>
      <c r="R679" t="s">
        <v>5206</v>
      </c>
      <c r="S679" t="s">
        <v>231</v>
      </c>
      <c r="T679" t="s">
        <v>231</v>
      </c>
      <c r="U679" t="s">
        <v>101</v>
      </c>
      <c r="V679" t="s">
        <v>231</v>
      </c>
      <c r="W679" t="s">
        <v>231</v>
      </c>
      <c r="X679" t="s">
        <v>5088</v>
      </c>
      <c r="Y679" t="s">
        <v>231</v>
      </c>
      <c r="Z679" t="s">
        <v>160</v>
      </c>
      <c r="AA679" t="s">
        <v>151</v>
      </c>
      <c r="AB679" t="s">
        <v>151</v>
      </c>
      <c r="AC679" t="s">
        <v>2283</v>
      </c>
      <c r="AD679" t="s">
        <v>2283</v>
      </c>
      <c r="AE679" t="s">
        <v>2284</v>
      </c>
      <c r="AF679" t="s">
        <v>4001</v>
      </c>
      <c r="AG679" t="s">
        <v>4002</v>
      </c>
      <c r="AH679" t="s">
        <v>5207</v>
      </c>
      <c r="AI679" t="s">
        <v>3575</v>
      </c>
      <c r="AJ679" t="s">
        <v>5234</v>
      </c>
      <c r="AK679" t="s">
        <v>3529</v>
      </c>
      <c r="AL679" t="s">
        <v>5092</v>
      </c>
      <c r="AN679" t="s">
        <v>3549</v>
      </c>
      <c r="AO679" t="s">
        <v>5235</v>
      </c>
      <c r="AP679" t="s">
        <v>231</v>
      </c>
      <c r="AQ679" t="s">
        <v>231</v>
      </c>
      <c r="AR679" t="s">
        <v>231</v>
      </c>
      <c r="AS679" t="s">
        <v>231</v>
      </c>
      <c r="AT679" t="s">
        <v>231</v>
      </c>
      <c r="AU679" t="s">
        <v>231</v>
      </c>
      <c r="AV679" t="s">
        <v>231</v>
      </c>
      <c r="AW679" t="s">
        <v>231</v>
      </c>
      <c r="AX679" t="s">
        <v>231</v>
      </c>
      <c r="AY679" t="s">
        <v>231</v>
      </c>
      <c r="AZ679" t="s">
        <v>231</v>
      </c>
      <c r="BA679" t="s">
        <v>231</v>
      </c>
      <c r="BB679" t="s">
        <v>231</v>
      </c>
      <c r="BC679" t="s">
        <v>231</v>
      </c>
      <c r="BD679" t="s">
        <v>231</v>
      </c>
      <c r="BE679" t="s">
        <v>231</v>
      </c>
      <c r="BF679" t="s">
        <v>231</v>
      </c>
      <c r="BG679" t="s">
        <v>231</v>
      </c>
      <c r="BH679" t="s">
        <v>231</v>
      </c>
      <c r="BI679" t="s">
        <v>231</v>
      </c>
      <c r="BJ679" t="s">
        <v>231</v>
      </c>
      <c r="BK679" t="s">
        <v>231</v>
      </c>
      <c r="BL679" t="s">
        <v>231</v>
      </c>
      <c r="BM679" t="s">
        <v>231</v>
      </c>
      <c r="BN679" t="s">
        <v>231</v>
      </c>
      <c r="BO679" t="s">
        <v>231</v>
      </c>
      <c r="BP679" t="s">
        <v>231</v>
      </c>
      <c r="BQ679" t="s">
        <v>231</v>
      </c>
      <c r="BR679" t="s">
        <v>231</v>
      </c>
      <c r="BS679" t="s">
        <v>231</v>
      </c>
      <c r="BT679" t="s">
        <v>231</v>
      </c>
      <c r="CS679" t="s">
        <v>231</v>
      </c>
      <c r="CT679" t="s">
        <v>3534</v>
      </c>
      <c r="CU679" t="s">
        <v>3535</v>
      </c>
      <c r="CV679" t="s">
        <v>3536</v>
      </c>
      <c r="CW679" t="s">
        <v>3551</v>
      </c>
      <c r="CX679" t="s">
        <v>223</v>
      </c>
      <c r="CY679" t="s">
        <v>3536</v>
      </c>
      <c r="CZ679" t="s">
        <v>3552</v>
      </c>
      <c r="DA679" t="s">
        <v>3553</v>
      </c>
      <c r="DB679" t="s">
        <v>3551</v>
      </c>
      <c r="DC679" t="s">
        <v>363</v>
      </c>
      <c r="DD679" t="s">
        <v>5099</v>
      </c>
      <c r="DE679" t="s">
        <v>5236</v>
      </c>
    </row>
    <row r="680" spans="1:109" ht="11.25" customHeight="1">
      <c r="A680" s="1314" t="s">
        <v>231</v>
      </c>
      <c r="B680" t="s">
        <v>231</v>
      </c>
      <c r="C680" t="s">
        <v>231</v>
      </c>
      <c r="D680" t="s">
        <v>231</v>
      </c>
      <c r="E680" t="s">
        <v>231</v>
      </c>
      <c r="F680" t="s">
        <v>231</v>
      </c>
      <c r="G680" t="s">
        <v>231</v>
      </c>
      <c r="H680" t="s">
        <v>231</v>
      </c>
      <c r="I680" t="s">
        <v>5086</v>
      </c>
      <c r="J680" t="s">
        <v>231</v>
      </c>
      <c r="K680" t="s">
        <v>231</v>
      </c>
      <c r="L680" t="s">
        <v>231</v>
      </c>
      <c r="M680" t="s">
        <v>231</v>
      </c>
      <c r="N680" t="s">
        <v>231</v>
      </c>
      <c r="O680" t="s">
        <v>231</v>
      </c>
      <c r="P680" t="s">
        <v>231</v>
      </c>
      <c r="Q680" t="s">
        <v>231</v>
      </c>
      <c r="R680" t="s">
        <v>5237</v>
      </c>
      <c r="S680" t="s">
        <v>231</v>
      </c>
      <c r="T680" t="s">
        <v>231</v>
      </c>
      <c r="U680" t="s">
        <v>101</v>
      </c>
      <c r="V680" t="s">
        <v>231</v>
      </c>
      <c r="W680" t="s">
        <v>231</v>
      </c>
      <c r="X680" t="s">
        <v>5088</v>
      </c>
      <c r="Y680" t="s">
        <v>231</v>
      </c>
      <c r="Z680" t="s">
        <v>160</v>
      </c>
      <c r="AA680" t="s">
        <v>151</v>
      </c>
      <c r="AB680" t="s">
        <v>151</v>
      </c>
      <c r="AC680" t="s">
        <v>2283</v>
      </c>
      <c r="AD680" t="s">
        <v>2283</v>
      </c>
      <c r="AE680" t="s">
        <v>2284</v>
      </c>
      <c r="AF680" t="s">
        <v>4001</v>
      </c>
      <c r="AG680" t="s">
        <v>4002</v>
      </c>
      <c r="AH680" t="s">
        <v>5238</v>
      </c>
      <c r="AI680" t="s">
        <v>3575</v>
      </c>
      <c r="AJ680" t="s">
        <v>3995</v>
      </c>
      <c r="AK680" t="s">
        <v>5239</v>
      </c>
      <c r="AL680" t="s">
        <v>5092</v>
      </c>
      <c r="AN680" t="s">
        <v>3549</v>
      </c>
      <c r="AO680" t="s">
        <v>5240</v>
      </c>
      <c r="AP680" t="s">
        <v>231</v>
      </c>
      <c r="AQ680" t="s">
        <v>231</v>
      </c>
      <c r="AR680" t="s">
        <v>231</v>
      </c>
      <c r="AS680" t="s">
        <v>231</v>
      </c>
      <c r="AT680" t="s">
        <v>231</v>
      </c>
      <c r="AU680" t="s">
        <v>231</v>
      </c>
      <c r="AV680" t="s">
        <v>231</v>
      </c>
      <c r="AW680" t="s">
        <v>231</v>
      </c>
      <c r="AX680" t="s">
        <v>231</v>
      </c>
      <c r="AY680" t="s">
        <v>231</v>
      </c>
      <c r="AZ680" t="s">
        <v>231</v>
      </c>
      <c r="BA680" t="s">
        <v>231</v>
      </c>
      <c r="BB680" t="s">
        <v>231</v>
      </c>
      <c r="BC680" t="s">
        <v>231</v>
      </c>
      <c r="BD680" t="s">
        <v>231</v>
      </c>
      <c r="BE680" t="s">
        <v>231</v>
      </c>
      <c r="BF680" t="s">
        <v>231</v>
      </c>
      <c r="BG680" t="s">
        <v>231</v>
      </c>
      <c r="BH680" t="s">
        <v>231</v>
      </c>
      <c r="BI680" t="s">
        <v>231</v>
      </c>
      <c r="BJ680" t="s">
        <v>231</v>
      </c>
      <c r="BK680" t="s">
        <v>231</v>
      </c>
      <c r="BL680" t="s">
        <v>231</v>
      </c>
      <c r="BM680" t="s">
        <v>231</v>
      </c>
      <c r="BN680" t="s">
        <v>231</v>
      </c>
      <c r="BO680" t="s">
        <v>231</v>
      </c>
      <c r="BP680" t="s">
        <v>231</v>
      </c>
      <c r="BQ680" t="s">
        <v>231</v>
      </c>
      <c r="BR680" t="s">
        <v>231</v>
      </c>
      <c r="BS680" t="s">
        <v>231</v>
      </c>
      <c r="BT680" t="s">
        <v>231</v>
      </c>
      <c r="CS680" t="s">
        <v>231</v>
      </c>
      <c r="CT680" t="s">
        <v>3534</v>
      </c>
      <c r="CU680" t="s">
        <v>3535</v>
      </c>
      <c r="CV680" t="s">
        <v>3536</v>
      </c>
      <c r="CW680" t="s">
        <v>3551</v>
      </c>
      <c r="CX680" t="s">
        <v>223</v>
      </c>
      <c r="CY680" t="s">
        <v>3536</v>
      </c>
      <c r="CZ680" t="s">
        <v>3552</v>
      </c>
      <c r="DA680" t="s">
        <v>3553</v>
      </c>
      <c r="DB680" t="s">
        <v>3551</v>
      </c>
      <c r="DC680" t="s">
        <v>363</v>
      </c>
      <c r="DD680" t="s">
        <v>5099</v>
      </c>
      <c r="DE680" t="s">
        <v>5241</v>
      </c>
    </row>
    <row r="681" spans="1:109" ht="11.25" customHeight="1">
      <c r="A681" s="1314" t="s">
        <v>231</v>
      </c>
      <c r="B681" t="s">
        <v>231</v>
      </c>
      <c r="C681" t="s">
        <v>231</v>
      </c>
      <c r="D681" t="s">
        <v>231</v>
      </c>
      <c r="E681" t="s">
        <v>231</v>
      </c>
      <c r="F681" t="s">
        <v>231</v>
      </c>
      <c r="G681" t="s">
        <v>231</v>
      </c>
      <c r="H681" t="s">
        <v>231</v>
      </c>
      <c r="I681" t="s">
        <v>5086</v>
      </c>
      <c r="J681" t="s">
        <v>231</v>
      </c>
      <c r="K681" t="s">
        <v>231</v>
      </c>
      <c r="L681" t="s">
        <v>231</v>
      </c>
      <c r="M681" t="s">
        <v>231</v>
      </c>
      <c r="N681" t="s">
        <v>231</v>
      </c>
      <c r="O681" t="s">
        <v>231</v>
      </c>
      <c r="P681" t="s">
        <v>231</v>
      </c>
      <c r="Q681" t="s">
        <v>231</v>
      </c>
      <c r="R681" t="s">
        <v>5242</v>
      </c>
      <c r="S681" t="s">
        <v>231</v>
      </c>
      <c r="T681" t="s">
        <v>231</v>
      </c>
      <c r="U681" t="s">
        <v>101</v>
      </c>
      <c r="V681" t="s">
        <v>231</v>
      </c>
      <c r="W681" t="s">
        <v>231</v>
      </c>
      <c r="X681" t="s">
        <v>5088</v>
      </c>
      <c r="Y681" t="s">
        <v>231</v>
      </c>
      <c r="Z681" t="s">
        <v>160</v>
      </c>
      <c r="AA681" t="s">
        <v>151</v>
      </c>
      <c r="AB681" t="s">
        <v>151</v>
      </c>
      <c r="AC681" t="s">
        <v>2287</v>
      </c>
      <c r="AD681" t="s">
        <v>2287</v>
      </c>
      <c r="AE681" t="s">
        <v>2288</v>
      </c>
      <c r="AF681" t="s">
        <v>4025</v>
      </c>
      <c r="AG681" t="s">
        <v>4026</v>
      </c>
      <c r="AH681" t="s">
        <v>5243</v>
      </c>
      <c r="AI681" t="s">
        <v>3618</v>
      </c>
      <c r="AJ681" t="s">
        <v>5219</v>
      </c>
      <c r="AK681" t="s">
        <v>5239</v>
      </c>
      <c r="AL681" t="s">
        <v>5092</v>
      </c>
      <c r="AN681" t="s">
        <v>3549</v>
      </c>
      <c r="AO681" t="s">
        <v>5244</v>
      </c>
      <c r="AP681" t="s">
        <v>231</v>
      </c>
      <c r="AQ681" t="s">
        <v>231</v>
      </c>
      <c r="AR681" t="s">
        <v>231</v>
      </c>
      <c r="AS681" t="s">
        <v>231</v>
      </c>
      <c r="AT681" t="s">
        <v>231</v>
      </c>
      <c r="AU681" t="s">
        <v>231</v>
      </c>
      <c r="AV681" t="s">
        <v>231</v>
      </c>
      <c r="AW681" t="s">
        <v>231</v>
      </c>
      <c r="AX681" t="s">
        <v>231</v>
      </c>
      <c r="AY681" t="s">
        <v>231</v>
      </c>
      <c r="AZ681" t="s">
        <v>231</v>
      </c>
      <c r="BA681" t="s">
        <v>231</v>
      </c>
      <c r="BB681" t="s">
        <v>231</v>
      </c>
      <c r="BC681" t="s">
        <v>231</v>
      </c>
      <c r="BD681" t="s">
        <v>231</v>
      </c>
      <c r="BE681" t="s">
        <v>231</v>
      </c>
      <c r="BF681" t="s">
        <v>231</v>
      </c>
      <c r="BG681" t="s">
        <v>231</v>
      </c>
      <c r="BH681" t="s">
        <v>231</v>
      </c>
      <c r="BI681" t="s">
        <v>231</v>
      </c>
      <c r="BJ681" t="s">
        <v>231</v>
      </c>
      <c r="BK681" t="s">
        <v>231</v>
      </c>
      <c r="BL681" t="s">
        <v>231</v>
      </c>
      <c r="BM681" t="s">
        <v>231</v>
      </c>
      <c r="BN681" t="s">
        <v>231</v>
      </c>
      <c r="BO681" t="s">
        <v>231</v>
      </c>
      <c r="BP681" t="s">
        <v>231</v>
      </c>
      <c r="BQ681" t="s">
        <v>231</v>
      </c>
      <c r="BR681" t="s">
        <v>231</v>
      </c>
      <c r="BS681" t="s">
        <v>231</v>
      </c>
      <c r="BT681" t="s">
        <v>231</v>
      </c>
      <c r="CS681" t="s">
        <v>231</v>
      </c>
      <c r="CT681" t="s">
        <v>3534</v>
      </c>
      <c r="CU681" t="s">
        <v>3535</v>
      </c>
      <c r="CV681" t="s">
        <v>3536</v>
      </c>
      <c r="CW681" t="s">
        <v>3623</v>
      </c>
      <c r="CX681" t="s">
        <v>223</v>
      </c>
      <c r="CY681" t="s">
        <v>3536</v>
      </c>
      <c r="CZ681" t="s">
        <v>3624</v>
      </c>
      <c r="DA681" t="s">
        <v>3625</v>
      </c>
      <c r="DB681" t="s">
        <v>3623</v>
      </c>
      <c r="DC681" t="s">
        <v>363</v>
      </c>
      <c r="DD681" t="s">
        <v>5099</v>
      </c>
      <c r="DE681" t="s">
        <v>5245</v>
      </c>
    </row>
    <row r="682" spans="1:109" ht="11.25" customHeight="1">
      <c r="A682" s="1314" t="s">
        <v>231</v>
      </c>
      <c r="B682" t="s">
        <v>231</v>
      </c>
      <c r="C682" t="s">
        <v>231</v>
      </c>
      <c r="D682" t="s">
        <v>231</v>
      </c>
      <c r="E682" t="s">
        <v>231</v>
      </c>
      <c r="F682" t="s">
        <v>231</v>
      </c>
      <c r="G682" t="s">
        <v>231</v>
      </c>
      <c r="H682" t="s">
        <v>231</v>
      </c>
      <c r="I682" t="s">
        <v>5086</v>
      </c>
      <c r="J682" t="s">
        <v>231</v>
      </c>
      <c r="K682" t="s">
        <v>231</v>
      </c>
      <c r="L682" t="s">
        <v>231</v>
      </c>
      <c r="M682" t="s">
        <v>231</v>
      </c>
      <c r="N682" t="s">
        <v>231</v>
      </c>
      <c r="O682" t="s">
        <v>231</v>
      </c>
      <c r="P682" t="s">
        <v>231</v>
      </c>
      <c r="Q682" t="s">
        <v>231</v>
      </c>
      <c r="R682" t="s">
        <v>5246</v>
      </c>
      <c r="S682" t="s">
        <v>231</v>
      </c>
      <c r="T682" t="s">
        <v>231</v>
      </c>
      <c r="U682" t="s">
        <v>101</v>
      </c>
      <c r="V682" t="s">
        <v>231</v>
      </c>
      <c r="W682" t="s">
        <v>231</v>
      </c>
      <c r="X682" t="s">
        <v>5088</v>
      </c>
      <c r="Y682" t="s">
        <v>231</v>
      </c>
      <c r="Z682" t="s">
        <v>160</v>
      </c>
      <c r="AA682" t="s">
        <v>151</v>
      </c>
      <c r="AB682" t="s">
        <v>151</v>
      </c>
      <c r="AC682" t="s">
        <v>2691</v>
      </c>
      <c r="AD682" t="s">
        <v>2691</v>
      </c>
      <c r="AE682" t="s">
        <v>2692</v>
      </c>
      <c r="AF682" t="s">
        <v>3991</v>
      </c>
      <c r="AG682" t="s">
        <v>3992</v>
      </c>
      <c r="AH682" t="s">
        <v>5247</v>
      </c>
      <c r="AI682" t="s">
        <v>3575</v>
      </c>
      <c r="AJ682" t="s">
        <v>5248</v>
      </c>
      <c r="AK682" t="s">
        <v>5248</v>
      </c>
      <c r="AL682" t="s">
        <v>5092</v>
      </c>
      <c r="AN682" t="s">
        <v>3595</v>
      </c>
      <c r="AO682" t="s">
        <v>5249</v>
      </c>
      <c r="AP682" t="s">
        <v>231</v>
      </c>
      <c r="AQ682" t="s">
        <v>231</v>
      </c>
      <c r="AR682" t="s">
        <v>231</v>
      </c>
      <c r="AS682" t="s">
        <v>231</v>
      </c>
      <c r="AT682" t="s">
        <v>231</v>
      </c>
      <c r="AU682" t="s">
        <v>231</v>
      </c>
      <c r="AV682" t="s">
        <v>231</v>
      </c>
      <c r="AW682" t="s">
        <v>231</v>
      </c>
      <c r="AX682" t="s">
        <v>231</v>
      </c>
      <c r="AY682" t="s">
        <v>231</v>
      </c>
      <c r="AZ682" t="s">
        <v>231</v>
      </c>
      <c r="BA682" t="s">
        <v>231</v>
      </c>
      <c r="BB682" t="s">
        <v>231</v>
      </c>
      <c r="BC682" t="s">
        <v>231</v>
      </c>
      <c r="BD682" t="s">
        <v>231</v>
      </c>
      <c r="BE682" t="s">
        <v>231</v>
      </c>
      <c r="BF682" t="s">
        <v>231</v>
      </c>
      <c r="BG682" t="s">
        <v>231</v>
      </c>
      <c r="BH682" t="s">
        <v>231</v>
      </c>
      <c r="BI682" t="s">
        <v>231</v>
      </c>
      <c r="BJ682" t="s">
        <v>231</v>
      </c>
      <c r="BK682" t="s">
        <v>231</v>
      </c>
      <c r="BL682" t="s">
        <v>231</v>
      </c>
      <c r="BM682" t="s">
        <v>231</v>
      </c>
      <c r="BN682" t="s">
        <v>231</v>
      </c>
      <c r="BO682" t="s">
        <v>231</v>
      </c>
      <c r="BP682" t="s">
        <v>231</v>
      </c>
      <c r="BQ682" t="s">
        <v>231</v>
      </c>
      <c r="BR682" t="s">
        <v>231</v>
      </c>
      <c r="BS682" t="s">
        <v>231</v>
      </c>
      <c r="BT682" t="s">
        <v>231</v>
      </c>
      <c r="CS682" t="s">
        <v>231</v>
      </c>
      <c r="CT682" t="s">
        <v>3534</v>
      </c>
      <c r="CU682" t="s">
        <v>3535</v>
      </c>
      <c r="CV682" t="s">
        <v>3997</v>
      </c>
      <c r="CW682" t="s">
        <v>3998</v>
      </c>
      <c r="CX682" t="s">
        <v>3570</v>
      </c>
      <c r="CY682" t="s">
        <v>3997</v>
      </c>
      <c r="CZ682" t="s">
        <v>5106</v>
      </c>
      <c r="DA682" t="s">
        <v>3999</v>
      </c>
      <c r="DB682" t="s">
        <v>3998</v>
      </c>
      <c r="DC682" t="s">
        <v>363</v>
      </c>
      <c r="DD682" t="s">
        <v>5099</v>
      </c>
      <c r="DE682" t="s">
        <v>5250</v>
      </c>
    </row>
    <row r="683" spans="1:109" ht="11.25" customHeight="1">
      <c r="A683" s="1314" t="s">
        <v>231</v>
      </c>
      <c r="B683" t="s">
        <v>231</v>
      </c>
      <c r="C683" t="s">
        <v>231</v>
      </c>
      <c r="D683" t="s">
        <v>231</v>
      </c>
      <c r="E683" t="s">
        <v>231</v>
      </c>
      <c r="F683" t="s">
        <v>231</v>
      </c>
      <c r="G683" t="s">
        <v>231</v>
      </c>
      <c r="H683" t="s">
        <v>231</v>
      </c>
      <c r="I683" t="s">
        <v>5086</v>
      </c>
      <c r="J683" t="s">
        <v>231</v>
      </c>
      <c r="K683" t="s">
        <v>231</v>
      </c>
      <c r="L683" t="s">
        <v>231</v>
      </c>
      <c r="M683" t="s">
        <v>231</v>
      </c>
      <c r="N683" t="s">
        <v>231</v>
      </c>
      <c r="O683" t="s">
        <v>231</v>
      </c>
      <c r="P683" t="s">
        <v>231</v>
      </c>
      <c r="Q683" t="s">
        <v>231</v>
      </c>
      <c r="R683" t="s">
        <v>5251</v>
      </c>
      <c r="S683" t="s">
        <v>231</v>
      </c>
      <c r="T683" t="s">
        <v>231</v>
      </c>
      <c r="U683" t="s">
        <v>101</v>
      </c>
      <c r="V683" t="s">
        <v>231</v>
      </c>
      <c r="W683" t="s">
        <v>231</v>
      </c>
      <c r="X683" t="s">
        <v>5088</v>
      </c>
      <c r="Y683" t="s">
        <v>231</v>
      </c>
      <c r="Z683" t="s">
        <v>160</v>
      </c>
      <c r="AA683" t="s">
        <v>151</v>
      </c>
      <c r="AB683" t="s">
        <v>151</v>
      </c>
      <c r="AC683" t="s">
        <v>343</v>
      </c>
      <c r="AD683" t="s">
        <v>343</v>
      </c>
      <c r="AE683" t="s">
        <v>344</v>
      </c>
      <c r="AF683" t="s">
        <v>3561</v>
      </c>
      <c r="AG683" t="s">
        <v>3562</v>
      </c>
      <c r="AH683" t="s">
        <v>5252</v>
      </c>
      <c r="AI683" t="s">
        <v>3618</v>
      </c>
      <c r="AJ683" t="s">
        <v>3952</v>
      </c>
      <c r="AK683" t="s">
        <v>5253</v>
      </c>
      <c r="AL683" t="s">
        <v>5092</v>
      </c>
      <c r="AN683" t="s">
        <v>3529</v>
      </c>
      <c r="AO683" t="s">
        <v>5254</v>
      </c>
      <c r="AP683" t="s">
        <v>231</v>
      </c>
      <c r="AQ683" t="s">
        <v>231</v>
      </c>
      <c r="AR683" t="s">
        <v>231</v>
      </c>
      <c r="AS683" t="s">
        <v>231</v>
      </c>
      <c r="AT683" t="s">
        <v>231</v>
      </c>
      <c r="AU683" t="s">
        <v>231</v>
      </c>
      <c r="AV683" t="s">
        <v>231</v>
      </c>
      <c r="AW683" t="s">
        <v>231</v>
      </c>
      <c r="AX683" t="s">
        <v>231</v>
      </c>
      <c r="AY683" t="s">
        <v>231</v>
      </c>
      <c r="AZ683" t="s">
        <v>231</v>
      </c>
      <c r="BA683" t="s">
        <v>231</v>
      </c>
      <c r="BB683" t="s">
        <v>231</v>
      </c>
      <c r="BC683" t="s">
        <v>231</v>
      </c>
      <c r="BD683" t="s">
        <v>231</v>
      </c>
      <c r="BE683" t="s">
        <v>231</v>
      </c>
      <c r="BF683" t="s">
        <v>231</v>
      </c>
      <c r="BG683" t="s">
        <v>231</v>
      </c>
      <c r="BH683" t="s">
        <v>231</v>
      </c>
      <c r="BI683" t="s">
        <v>231</v>
      </c>
      <c r="BJ683" t="s">
        <v>231</v>
      </c>
      <c r="BK683" t="s">
        <v>231</v>
      </c>
      <c r="BL683" t="s">
        <v>231</v>
      </c>
      <c r="BM683" t="s">
        <v>231</v>
      </c>
      <c r="BN683" t="s">
        <v>231</v>
      </c>
      <c r="BO683" t="s">
        <v>231</v>
      </c>
      <c r="BP683" t="s">
        <v>231</v>
      </c>
      <c r="BQ683" t="s">
        <v>231</v>
      </c>
      <c r="BR683" t="s">
        <v>231</v>
      </c>
      <c r="BS683" t="s">
        <v>231</v>
      </c>
      <c r="BT683" t="s">
        <v>231</v>
      </c>
      <c r="CS683" t="s">
        <v>231</v>
      </c>
      <c r="CT683" t="s">
        <v>3534</v>
      </c>
      <c r="CU683" t="s">
        <v>3535</v>
      </c>
      <c r="CV683" t="s">
        <v>3536</v>
      </c>
      <c r="CW683" t="s">
        <v>3569</v>
      </c>
      <c r="CX683" t="s">
        <v>223</v>
      </c>
      <c r="CY683" t="s">
        <v>3536</v>
      </c>
      <c r="CZ683" t="s">
        <v>224</v>
      </c>
      <c r="DA683" t="s">
        <v>3571</v>
      </c>
      <c r="DB683" t="s">
        <v>3569</v>
      </c>
      <c r="DC683" t="s">
        <v>363</v>
      </c>
      <c r="DD683" t="s">
        <v>5099</v>
      </c>
      <c r="DE683" t="s">
        <v>5255</v>
      </c>
    </row>
    <row r="684" spans="1:109" ht="11.25" customHeight="1">
      <c r="A684" s="1314" t="s">
        <v>231</v>
      </c>
      <c r="B684" t="s">
        <v>231</v>
      </c>
      <c r="C684" t="s">
        <v>231</v>
      </c>
      <c r="D684" t="s">
        <v>231</v>
      </c>
      <c r="E684" t="s">
        <v>231</v>
      </c>
      <c r="F684" t="s">
        <v>231</v>
      </c>
      <c r="G684" t="s">
        <v>231</v>
      </c>
      <c r="H684" t="s">
        <v>231</v>
      </c>
      <c r="I684" t="s">
        <v>5086</v>
      </c>
      <c r="J684" t="s">
        <v>231</v>
      </c>
      <c r="K684" t="s">
        <v>231</v>
      </c>
      <c r="L684" t="s">
        <v>231</v>
      </c>
      <c r="M684" t="s">
        <v>231</v>
      </c>
      <c r="N684" t="s">
        <v>231</v>
      </c>
      <c r="O684" t="s">
        <v>231</v>
      </c>
      <c r="P684" t="s">
        <v>231</v>
      </c>
      <c r="Q684" t="s">
        <v>231</v>
      </c>
      <c r="R684" t="s">
        <v>5256</v>
      </c>
      <c r="S684" t="s">
        <v>231</v>
      </c>
      <c r="T684" t="s">
        <v>231</v>
      </c>
      <c r="U684" t="s">
        <v>101</v>
      </c>
      <c r="V684" t="s">
        <v>231</v>
      </c>
      <c r="W684" t="s">
        <v>231</v>
      </c>
      <c r="X684" t="s">
        <v>5088</v>
      </c>
      <c r="Y684" t="s">
        <v>231</v>
      </c>
      <c r="Z684" t="s">
        <v>160</v>
      </c>
      <c r="AA684" t="s">
        <v>151</v>
      </c>
      <c r="AB684" t="s">
        <v>151</v>
      </c>
      <c r="AC684" t="s">
        <v>343</v>
      </c>
      <c r="AD684" t="s">
        <v>343</v>
      </c>
      <c r="AE684" t="s">
        <v>344</v>
      </c>
      <c r="AF684" t="s">
        <v>3561</v>
      </c>
      <c r="AG684" t="s">
        <v>3562</v>
      </c>
      <c r="AH684" t="s">
        <v>5257</v>
      </c>
      <c r="AI684" t="s">
        <v>3618</v>
      </c>
      <c r="AJ684" t="s">
        <v>5258</v>
      </c>
      <c r="AK684" t="s">
        <v>5259</v>
      </c>
      <c r="AL684" t="s">
        <v>5092</v>
      </c>
      <c r="AN684" t="s">
        <v>4794</v>
      </c>
      <c r="AO684" t="s">
        <v>5260</v>
      </c>
      <c r="AP684" t="s">
        <v>231</v>
      </c>
      <c r="AQ684" t="s">
        <v>231</v>
      </c>
      <c r="AR684" t="s">
        <v>231</v>
      </c>
      <c r="AS684" t="s">
        <v>231</v>
      </c>
      <c r="AT684" t="s">
        <v>231</v>
      </c>
      <c r="AU684" t="s">
        <v>231</v>
      </c>
      <c r="AV684" t="s">
        <v>231</v>
      </c>
      <c r="AW684" t="s">
        <v>231</v>
      </c>
      <c r="AX684" t="s">
        <v>231</v>
      </c>
      <c r="AY684" t="s">
        <v>231</v>
      </c>
      <c r="AZ684" t="s">
        <v>231</v>
      </c>
      <c r="BA684" t="s">
        <v>231</v>
      </c>
      <c r="BB684" t="s">
        <v>231</v>
      </c>
      <c r="BC684" t="s">
        <v>231</v>
      </c>
      <c r="BD684" t="s">
        <v>231</v>
      </c>
      <c r="BE684" t="s">
        <v>231</v>
      </c>
      <c r="BF684" t="s">
        <v>231</v>
      </c>
      <c r="BG684" t="s">
        <v>231</v>
      </c>
      <c r="BH684" t="s">
        <v>231</v>
      </c>
      <c r="BI684" t="s">
        <v>231</v>
      </c>
      <c r="BJ684" t="s">
        <v>231</v>
      </c>
      <c r="BK684" t="s">
        <v>231</v>
      </c>
      <c r="BL684" t="s">
        <v>231</v>
      </c>
      <c r="BM684" t="s">
        <v>231</v>
      </c>
      <c r="BN684" t="s">
        <v>231</v>
      </c>
      <c r="BO684" t="s">
        <v>231</v>
      </c>
      <c r="BP684" t="s">
        <v>231</v>
      </c>
      <c r="BQ684" t="s">
        <v>231</v>
      </c>
      <c r="BR684" t="s">
        <v>231</v>
      </c>
      <c r="BS684" t="s">
        <v>231</v>
      </c>
      <c r="BT684" t="s">
        <v>231</v>
      </c>
      <c r="CS684" t="s">
        <v>231</v>
      </c>
      <c r="CT684" t="s">
        <v>3534</v>
      </c>
      <c r="CU684" t="s">
        <v>3535</v>
      </c>
      <c r="CV684" t="s">
        <v>3536</v>
      </c>
      <c r="CW684" t="s">
        <v>3569</v>
      </c>
      <c r="CX684" t="s">
        <v>223</v>
      </c>
      <c r="CY684" t="s">
        <v>3536</v>
      </c>
      <c r="CZ684" t="s">
        <v>224</v>
      </c>
      <c r="DA684" t="s">
        <v>3571</v>
      </c>
      <c r="DB684" t="s">
        <v>3569</v>
      </c>
      <c r="DC684" t="s">
        <v>363</v>
      </c>
      <c r="DD684" t="s">
        <v>5099</v>
      </c>
      <c r="DE684" t="s">
        <v>5261</v>
      </c>
    </row>
    <row r="685" spans="1:109" ht="11.25" customHeight="1">
      <c r="A685" s="1314" t="s">
        <v>231</v>
      </c>
      <c r="B685" t="s">
        <v>231</v>
      </c>
      <c r="C685" t="s">
        <v>231</v>
      </c>
      <c r="D685" t="s">
        <v>231</v>
      </c>
      <c r="E685" t="s">
        <v>231</v>
      </c>
      <c r="F685" t="s">
        <v>231</v>
      </c>
      <c r="G685" t="s">
        <v>231</v>
      </c>
      <c r="H685" t="s">
        <v>231</v>
      </c>
      <c r="I685" t="s">
        <v>5086</v>
      </c>
      <c r="J685" t="s">
        <v>231</v>
      </c>
      <c r="K685" t="s">
        <v>231</v>
      </c>
      <c r="L685" t="s">
        <v>231</v>
      </c>
      <c r="M685" t="s">
        <v>231</v>
      </c>
      <c r="N685" t="s">
        <v>231</v>
      </c>
      <c r="O685" t="s">
        <v>231</v>
      </c>
      <c r="P685" t="s">
        <v>231</v>
      </c>
      <c r="Q685" t="s">
        <v>231</v>
      </c>
      <c r="R685" t="s">
        <v>5262</v>
      </c>
      <c r="S685" t="s">
        <v>231</v>
      </c>
      <c r="T685" t="s">
        <v>231</v>
      </c>
      <c r="U685" t="s">
        <v>101</v>
      </c>
      <c r="V685" t="s">
        <v>231</v>
      </c>
      <c r="W685" t="s">
        <v>231</v>
      </c>
      <c r="X685" t="s">
        <v>5088</v>
      </c>
      <c r="Y685" t="s">
        <v>231</v>
      </c>
      <c r="Z685" t="s">
        <v>160</v>
      </c>
      <c r="AA685" t="s">
        <v>151</v>
      </c>
      <c r="AB685" t="s">
        <v>151</v>
      </c>
      <c r="AC685" t="s">
        <v>343</v>
      </c>
      <c r="AD685" t="s">
        <v>343</v>
      </c>
      <c r="AE685" t="s">
        <v>344</v>
      </c>
      <c r="AF685" t="s">
        <v>3561</v>
      </c>
      <c r="AG685" t="s">
        <v>3562</v>
      </c>
      <c r="AH685" t="s">
        <v>5263</v>
      </c>
      <c r="AI685" t="s">
        <v>1666</v>
      </c>
      <c r="AJ685" t="s">
        <v>4254</v>
      </c>
      <c r="AK685" t="s">
        <v>5264</v>
      </c>
      <c r="AL685" t="s">
        <v>5092</v>
      </c>
      <c r="AN685" t="s">
        <v>3546</v>
      </c>
      <c r="AO685" t="s">
        <v>4440</v>
      </c>
      <c r="AP685" t="s">
        <v>231</v>
      </c>
      <c r="AQ685" t="s">
        <v>231</v>
      </c>
      <c r="AR685" t="s">
        <v>231</v>
      </c>
      <c r="AS685" t="s">
        <v>231</v>
      </c>
      <c r="AT685" t="s">
        <v>231</v>
      </c>
      <c r="AU685" t="s">
        <v>231</v>
      </c>
      <c r="AV685" t="s">
        <v>231</v>
      </c>
      <c r="AW685" t="s">
        <v>231</v>
      </c>
      <c r="AX685" t="s">
        <v>231</v>
      </c>
      <c r="AY685" t="s">
        <v>231</v>
      </c>
      <c r="AZ685" t="s">
        <v>231</v>
      </c>
      <c r="BA685" t="s">
        <v>231</v>
      </c>
      <c r="BB685" t="s">
        <v>231</v>
      </c>
      <c r="BC685" t="s">
        <v>231</v>
      </c>
      <c r="BD685" t="s">
        <v>231</v>
      </c>
      <c r="BE685" t="s">
        <v>231</v>
      </c>
      <c r="BF685" t="s">
        <v>231</v>
      </c>
      <c r="BG685" t="s">
        <v>231</v>
      </c>
      <c r="BH685" t="s">
        <v>231</v>
      </c>
      <c r="BI685" t="s">
        <v>231</v>
      </c>
      <c r="BJ685" t="s">
        <v>231</v>
      </c>
      <c r="BK685" t="s">
        <v>231</v>
      </c>
      <c r="BL685" t="s">
        <v>231</v>
      </c>
      <c r="BM685" t="s">
        <v>231</v>
      </c>
      <c r="BN685" t="s">
        <v>231</v>
      </c>
      <c r="BO685" t="s">
        <v>231</v>
      </c>
      <c r="BP685" t="s">
        <v>231</v>
      </c>
      <c r="BQ685" t="s">
        <v>231</v>
      </c>
      <c r="BR685" t="s">
        <v>231</v>
      </c>
      <c r="BS685" t="s">
        <v>231</v>
      </c>
      <c r="BT685" t="s">
        <v>231</v>
      </c>
      <c r="CS685" t="s">
        <v>231</v>
      </c>
      <c r="CT685" t="s">
        <v>3534</v>
      </c>
      <c r="CU685" t="s">
        <v>3535</v>
      </c>
      <c r="CV685" t="s">
        <v>3536</v>
      </c>
      <c r="CW685" t="s">
        <v>3569</v>
      </c>
      <c r="CX685" t="s">
        <v>223</v>
      </c>
      <c r="CY685" t="s">
        <v>3536</v>
      </c>
      <c r="CZ685" t="s">
        <v>224</v>
      </c>
      <c r="DA685" t="s">
        <v>3571</v>
      </c>
      <c r="DB685" t="s">
        <v>3569</v>
      </c>
      <c r="DC685" t="s">
        <v>363</v>
      </c>
      <c r="DD685" t="s">
        <v>5099</v>
      </c>
      <c r="DE685" t="s">
        <v>5265</v>
      </c>
    </row>
    <row r="686" spans="1:109" ht="11.25" customHeight="1">
      <c r="A686" s="1314" t="s">
        <v>231</v>
      </c>
      <c r="B686" t="s">
        <v>231</v>
      </c>
      <c r="C686" t="s">
        <v>231</v>
      </c>
      <c r="D686" t="s">
        <v>231</v>
      </c>
      <c r="E686" t="s">
        <v>231</v>
      </c>
      <c r="F686" t="s">
        <v>231</v>
      </c>
      <c r="G686" t="s">
        <v>231</v>
      </c>
      <c r="H686" t="s">
        <v>231</v>
      </c>
      <c r="I686" t="s">
        <v>5086</v>
      </c>
      <c r="J686" t="s">
        <v>231</v>
      </c>
      <c r="K686" t="s">
        <v>231</v>
      </c>
      <c r="L686" t="s">
        <v>231</v>
      </c>
      <c r="M686" t="s">
        <v>231</v>
      </c>
      <c r="N686" t="s">
        <v>231</v>
      </c>
      <c r="O686" t="s">
        <v>231</v>
      </c>
      <c r="P686" t="s">
        <v>231</v>
      </c>
      <c r="Q686" t="s">
        <v>231</v>
      </c>
      <c r="R686" t="s">
        <v>5266</v>
      </c>
      <c r="S686" t="s">
        <v>231</v>
      </c>
      <c r="T686" t="s">
        <v>231</v>
      </c>
      <c r="U686" t="s">
        <v>101</v>
      </c>
      <c r="V686" t="s">
        <v>231</v>
      </c>
      <c r="W686" t="s">
        <v>231</v>
      </c>
      <c r="X686" t="s">
        <v>5088</v>
      </c>
      <c r="Y686" t="s">
        <v>231</v>
      </c>
      <c r="Z686" t="s">
        <v>160</v>
      </c>
      <c r="AA686" t="s">
        <v>151</v>
      </c>
      <c r="AB686" t="s">
        <v>151</v>
      </c>
      <c r="AC686" t="s">
        <v>2262</v>
      </c>
      <c r="AD686" t="s">
        <v>2262</v>
      </c>
      <c r="AE686" t="s">
        <v>2264</v>
      </c>
      <c r="AF686" t="s">
        <v>3524</v>
      </c>
      <c r="AG686" t="s">
        <v>3525</v>
      </c>
      <c r="AH686" t="s">
        <v>5267</v>
      </c>
      <c r="AI686" t="s">
        <v>5268</v>
      </c>
      <c r="AJ686" t="s">
        <v>3621</v>
      </c>
      <c r="AK686" t="s">
        <v>3840</v>
      </c>
      <c r="AL686" t="s">
        <v>5092</v>
      </c>
      <c r="AN686" t="s">
        <v>5269</v>
      </c>
      <c r="AO686" t="s">
        <v>3662</v>
      </c>
      <c r="AP686" t="s">
        <v>231</v>
      </c>
      <c r="AQ686" t="s">
        <v>231</v>
      </c>
      <c r="AR686" t="s">
        <v>231</v>
      </c>
      <c r="AS686" t="s">
        <v>231</v>
      </c>
      <c r="AT686" t="s">
        <v>231</v>
      </c>
      <c r="AU686" t="s">
        <v>231</v>
      </c>
      <c r="AV686" t="s">
        <v>231</v>
      </c>
      <c r="AW686" t="s">
        <v>231</v>
      </c>
      <c r="AX686" t="s">
        <v>231</v>
      </c>
      <c r="AY686" t="s">
        <v>231</v>
      </c>
      <c r="AZ686" t="s">
        <v>231</v>
      </c>
      <c r="BA686" t="s">
        <v>231</v>
      </c>
      <c r="BB686" t="s">
        <v>231</v>
      </c>
      <c r="BC686" t="s">
        <v>231</v>
      </c>
      <c r="BD686" t="s">
        <v>231</v>
      </c>
      <c r="BE686" t="s">
        <v>231</v>
      </c>
      <c r="BF686" t="s">
        <v>231</v>
      </c>
      <c r="BG686" t="s">
        <v>231</v>
      </c>
      <c r="BH686" t="s">
        <v>231</v>
      </c>
      <c r="BI686" t="s">
        <v>231</v>
      </c>
      <c r="BJ686" t="s">
        <v>231</v>
      </c>
      <c r="BK686" t="s">
        <v>231</v>
      </c>
      <c r="BL686" t="s">
        <v>231</v>
      </c>
      <c r="BM686" t="s">
        <v>231</v>
      </c>
      <c r="BN686" t="s">
        <v>231</v>
      </c>
      <c r="BO686" t="s">
        <v>231</v>
      </c>
      <c r="BP686" t="s">
        <v>231</v>
      </c>
      <c r="BQ686" t="s">
        <v>231</v>
      </c>
      <c r="BR686" t="s">
        <v>231</v>
      </c>
      <c r="BS686" t="s">
        <v>231</v>
      </c>
      <c r="BT686" t="s">
        <v>231</v>
      </c>
      <c r="CS686" t="s">
        <v>231</v>
      </c>
      <c r="CT686" t="s">
        <v>3534</v>
      </c>
      <c r="CU686" t="s">
        <v>3535</v>
      </c>
      <c r="CV686" t="s">
        <v>3536</v>
      </c>
      <c r="CW686" t="s">
        <v>3537</v>
      </c>
      <c r="CX686" t="s">
        <v>223</v>
      </c>
      <c r="CY686" t="s">
        <v>3536</v>
      </c>
      <c r="CZ686" t="s">
        <v>3538</v>
      </c>
      <c r="DA686" t="s">
        <v>3539</v>
      </c>
      <c r="DB686" t="s">
        <v>3537</v>
      </c>
      <c r="DC686" t="s">
        <v>363</v>
      </c>
      <c r="DD686" t="s">
        <v>5099</v>
      </c>
      <c r="DE686" t="s">
        <v>5270</v>
      </c>
    </row>
    <row r="687" spans="1:109" ht="11.25" customHeight="1">
      <c r="A687" s="1314" t="s">
        <v>231</v>
      </c>
      <c r="B687" t="s">
        <v>231</v>
      </c>
      <c r="C687" t="s">
        <v>231</v>
      </c>
      <c r="D687" t="s">
        <v>231</v>
      </c>
      <c r="E687" t="s">
        <v>231</v>
      </c>
      <c r="F687" t="s">
        <v>231</v>
      </c>
      <c r="G687" t="s">
        <v>231</v>
      </c>
      <c r="H687" t="s">
        <v>231</v>
      </c>
      <c r="I687" t="s">
        <v>5086</v>
      </c>
      <c r="J687" t="s">
        <v>231</v>
      </c>
      <c r="K687" t="s">
        <v>231</v>
      </c>
      <c r="L687" t="s">
        <v>231</v>
      </c>
      <c r="M687" t="s">
        <v>231</v>
      </c>
      <c r="N687" t="s">
        <v>231</v>
      </c>
      <c r="O687" t="s">
        <v>231</v>
      </c>
      <c r="P687" t="s">
        <v>231</v>
      </c>
      <c r="Q687" t="s">
        <v>231</v>
      </c>
      <c r="R687" t="s">
        <v>5271</v>
      </c>
      <c r="S687" t="s">
        <v>231</v>
      </c>
      <c r="T687" t="s">
        <v>231</v>
      </c>
      <c r="U687" t="s">
        <v>101</v>
      </c>
      <c r="V687" t="s">
        <v>231</v>
      </c>
      <c r="W687" t="s">
        <v>231</v>
      </c>
      <c r="X687" t="s">
        <v>5088</v>
      </c>
      <c r="Y687" t="s">
        <v>231</v>
      </c>
      <c r="Z687" t="s">
        <v>160</v>
      </c>
      <c r="AA687" t="s">
        <v>151</v>
      </c>
      <c r="AB687" t="s">
        <v>151</v>
      </c>
      <c r="AC687" t="s">
        <v>2262</v>
      </c>
      <c r="AD687" t="s">
        <v>2262</v>
      </c>
      <c r="AE687" t="s">
        <v>2264</v>
      </c>
      <c r="AF687" t="s">
        <v>3524</v>
      </c>
      <c r="AG687" t="s">
        <v>3525</v>
      </c>
      <c r="AH687" t="s">
        <v>5272</v>
      </c>
      <c r="AI687" t="s">
        <v>5273</v>
      </c>
      <c r="AJ687" t="s">
        <v>5274</v>
      </c>
      <c r="AK687" t="s">
        <v>4264</v>
      </c>
      <c r="AL687" t="s">
        <v>5092</v>
      </c>
      <c r="AN687" t="s">
        <v>5275</v>
      </c>
      <c r="AO687" t="s">
        <v>3679</v>
      </c>
      <c r="AP687" t="s">
        <v>231</v>
      </c>
      <c r="AQ687" t="s">
        <v>231</v>
      </c>
      <c r="AR687" t="s">
        <v>231</v>
      </c>
      <c r="AS687" t="s">
        <v>231</v>
      </c>
      <c r="AT687" t="s">
        <v>231</v>
      </c>
      <c r="AU687" t="s">
        <v>231</v>
      </c>
      <c r="AV687" t="s">
        <v>231</v>
      </c>
      <c r="AW687" t="s">
        <v>231</v>
      </c>
      <c r="AX687" t="s">
        <v>231</v>
      </c>
      <c r="AY687" t="s">
        <v>231</v>
      </c>
      <c r="AZ687" t="s">
        <v>231</v>
      </c>
      <c r="BA687" t="s">
        <v>231</v>
      </c>
      <c r="BB687" t="s">
        <v>231</v>
      </c>
      <c r="BC687" t="s">
        <v>231</v>
      </c>
      <c r="BD687" t="s">
        <v>231</v>
      </c>
      <c r="BE687" t="s">
        <v>231</v>
      </c>
      <c r="BF687" t="s">
        <v>231</v>
      </c>
      <c r="BG687" t="s">
        <v>231</v>
      </c>
      <c r="BH687" t="s">
        <v>231</v>
      </c>
      <c r="BI687" t="s">
        <v>231</v>
      </c>
      <c r="BJ687" t="s">
        <v>231</v>
      </c>
      <c r="BK687" t="s">
        <v>231</v>
      </c>
      <c r="BL687" t="s">
        <v>231</v>
      </c>
      <c r="BM687" t="s">
        <v>231</v>
      </c>
      <c r="BN687" t="s">
        <v>231</v>
      </c>
      <c r="BO687" t="s">
        <v>231</v>
      </c>
      <c r="BP687" t="s">
        <v>231</v>
      </c>
      <c r="BQ687" t="s">
        <v>231</v>
      </c>
      <c r="BR687" t="s">
        <v>231</v>
      </c>
      <c r="BS687" t="s">
        <v>231</v>
      </c>
      <c r="BT687" t="s">
        <v>231</v>
      </c>
      <c r="CS687" t="s">
        <v>231</v>
      </c>
      <c r="CT687" t="s">
        <v>3534</v>
      </c>
      <c r="CU687" t="s">
        <v>3535</v>
      </c>
      <c r="CV687" t="s">
        <v>3536</v>
      </c>
      <c r="CW687" t="s">
        <v>3537</v>
      </c>
      <c r="CX687" t="s">
        <v>223</v>
      </c>
      <c r="CY687" t="s">
        <v>3536</v>
      </c>
      <c r="CZ687" t="s">
        <v>3538</v>
      </c>
      <c r="DA687" t="s">
        <v>3539</v>
      </c>
      <c r="DB687" t="s">
        <v>3537</v>
      </c>
      <c r="DC687" t="s">
        <v>363</v>
      </c>
      <c r="DD687" t="s">
        <v>5099</v>
      </c>
      <c r="DE687" t="s">
        <v>5276</v>
      </c>
    </row>
    <row r="688" spans="1:109" ht="11.25" customHeight="1">
      <c r="A688" s="1314" t="s">
        <v>231</v>
      </c>
      <c r="B688" t="s">
        <v>231</v>
      </c>
      <c r="C688" t="s">
        <v>231</v>
      </c>
      <c r="D688" t="s">
        <v>231</v>
      </c>
      <c r="E688" t="s">
        <v>231</v>
      </c>
      <c r="F688" t="s">
        <v>231</v>
      </c>
      <c r="G688" t="s">
        <v>231</v>
      </c>
      <c r="H688" t="s">
        <v>231</v>
      </c>
      <c r="I688" t="s">
        <v>5086</v>
      </c>
      <c r="J688" t="s">
        <v>231</v>
      </c>
      <c r="K688" t="s">
        <v>231</v>
      </c>
      <c r="L688" t="s">
        <v>231</v>
      </c>
      <c r="M688" t="s">
        <v>231</v>
      </c>
      <c r="N688" t="s">
        <v>231</v>
      </c>
      <c r="O688" t="s">
        <v>231</v>
      </c>
      <c r="P688" t="s">
        <v>231</v>
      </c>
      <c r="Q688" t="s">
        <v>231</v>
      </c>
      <c r="R688" t="s">
        <v>5277</v>
      </c>
      <c r="S688" t="s">
        <v>231</v>
      </c>
      <c r="T688" t="s">
        <v>231</v>
      </c>
      <c r="U688" t="s">
        <v>101</v>
      </c>
      <c r="V688" t="s">
        <v>231</v>
      </c>
      <c r="W688" t="s">
        <v>231</v>
      </c>
      <c r="X688" t="s">
        <v>5088</v>
      </c>
      <c r="Y688" t="s">
        <v>231</v>
      </c>
      <c r="Z688" t="s">
        <v>160</v>
      </c>
      <c r="AA688" t="s">
        <v>151</v>
      </c>
      <c r="AB688" t="s">
        <v>151</v>
      </c>
      <c r="AC688" t="s">
        <v>2262</v>
      </c>
      <c r="AD688" t="s">
        <v>2262</v>
      </c>
      <c r="AE688" t="s">
        <v>2264</v>
      </c>
      <c r="AF688" t="s">
        <v>3524</v>
      </c>
      <c r="AG688" t="s">
        <v>3525</v>
      </c>
      <c r="AH688" t="s">
        <v>5278</v>
      </c>
      <c r="AI688" t="s">
        <v>5273</v>
      </c>
      <c r="AJ688" t="s">
        <v>5248</v>
      </c>
      <c r="AK688" t="s">
        <v>4042</v>
      </c>
      <c r="AL688" t="s">
        <v>5092</v>
      </c>
      <c r="AN688" t="s">
        <v>5279</v>
      </c>
      <c r="AO688" t="s">
        <v>3588</v>
      </c>
      <c r="AP688" t="s">
        <v>231</v>
      </c>
      <c r="AQ688" t="s">
        <v>231</v>
      </c>
      <c r="AR688" t="s">
        <v>231</v>
      </c>
      <c r="AS688" t="s">
        <v>231</v>
      </c>
      <c r="AT688" t="s">
        <v>231</v>
      </c>
      <c r="AU688" t="s">
        <v>231</v>
      </c>
      <c r="AV688" t="s">
        <v>231</v>
      </c>
      <c r="AW688" t="s">
        <v>231</v>
      </c>
      <c r="AX688" t="s">
        <v>231</v>
      </c>
      <c r="AY688" t="s">
        <v>231</v>
      </c>
      <c r="AZ688" t="s">
        <v>231</v>
      </c>
      <c r="BA688" t="s">
        <v>231</v>
      </c>
      <c r="BB688" t="s">
        <v>231</v>
      </c>
      <c r="BC688" t="s">
        <v>231</v>
      </c>
      <c r="BD688" t="s">
        <v>231</v>
      </c>
      <c r="BE688" t="s">
        <v>231</v>
      </c>
      <c r="BF688" t="s">
        <v>231</v>
      </c>
      <c r="BG688" t="s">
        <v>231</v>
      </c>
      <c r="BH688" t="s">
        <v>231</v>
      </c>
      <c r="BI688" t="s">
        <v>231</v>
      </c>
      <c r="BJ688" t="s">
        <v>231</v>
      </c>
      <c r="BK688" t="s">
        <v>231</v>
      </c>
      <c r="BL688" t="s">
        <v>231</v>
      </c>
      <c r="BM688" t="s">
        <v>231</v>
      </c>
      <c r="BN688" t="s">
        <v>231</v>
      </c>
      <c r="BO688" t="s">
        <v>231</v>
      </c>
      <c r="BP688" t="s">
        <v>231</v>
      </c>
      <c r="BQ688" t="s">
        <v>231</v>
      </c>
      <c r="BR688" t="s">
        <v>231</v>
      </c>
      <c r="BS688" t="s">
        <v>231</v>
      </c>
      <c r="BT688" t="s">
        <v>231</v>
      </c>
      <c r="CS688" t="s">
        <v>231</v>
      </c>
      <c r="CT688" t="s">
        <v>3534</v>
      </c>
      <c r="CU688" t="s">
        <v>3535</v>
      </c>
      <c r="CV688" t="s">
        <v>3536</v>
      </c>
      <c r="CW688" t="s">
        <v>3537</v>
      </c>
      <c r="CX688" t="s">
        <v>223</v>
      </c>
      <c r="CY688" t="s">
        <v>3536</v>
      </c>
      <c r="CZ688" t="s">
        <v>3538</v>
      </c>
      <c r="DA688" t="s">
        <v>3539</v>
      </c>
      <c r="DB688" t="s">
        <v>3537</v>
      </c>
      <c r="DC688" t="s">
        <v>363</v>
      </c>
      <c r="DD688" t="s">
        <v>5099</v>
      </c>
      <c r="DE688" t="s">
        <v>5280</v>
      </c>
    </row>
    <row r="689" spans="1:109" ht="11.25" customHeight="1">
      <c r="A689" s="1314" t="s">
        <v>231</v>
      </c>
      <c r="B689" t="s">
        <v>231</v>
      </c>
      <c r="C689" t="s">
        <v>231</v>
      </c>
      <c r="D689" t="s">
        <v>231</v>
      </c>
      <c r="E689" t="s">
        <v>231</v>
      </c>
      <c r="F689" t="s">
        <v>231</v>
      </c>
      <c r="G689" t="s">
        <v>231</v>
      </c>
      <c r="H689" t="s">
        <v>231</v>
      </c>
      <c r="I689" t="s">
        <v>5086</v>
      </c>
      <c r="J689" t="s">
        <v>231</v>
      </c>
      <c r="K689" t="s">
        <v>231</v>
      </c>
      <c r="L689" t="s">
        <v>231</v>
      </c>
      <c r="M689" t="s">
        <v>231</v>
      </c>
      <c r="N689" t="s">
        <v>231</v>
      </c>
      <c r="O689" t="s">
        <v>231</v>
      </c>
      <c r="P689" t="s">
        <v>231</v>
      </c>
      <c r="Q689" t="s">
        <v>231</v>
      </c>
      <c r="R689" t="s">
        <v>5281</v>
      </c>
      <c r="S689" t="s">
        <v>231</v>
      </c>
      <c r="T689" t="s">
        <v>231</v>
      </c>
      <c r="U689" t="s">
        <v>101</v>
      </c>
      <c r="V689" t="s">
        <v>231</v>
      </c>
      <c r="W689" t="s">
        <v>231</v>
      </c>
      <c r="X689" t="s">
        <v>5088</v>
      </c>
      <c r="Y689" t="s">
        <v>231</v>
      </c>
      <c r="Z689" t="s">
        <v>160</v>
      </c>
      <c r="AA689" t="s">
        <v>151</v>
      </c>
      <c r="AB689" t="s">
        <v>151</v>
      </c>
      <c r="AC689" t="s">
        <v>2262</v>
      </c>
      <c r="AD689" t="s">
        <v>2262</v>
      </c>
      <c r="AE689" t="s">
        <v>2264</v>
      </c>
      <c r="AF689" t="s">
        <v>3524</v>
      </c>
      <c r="AG689" t="s">
        <v>3525</v>
      </c>
      <c r="AH689" t="s">
        <v>5282</v>
      </c>
      <c r="AI689" t="s">
        <v>5283</v>
      </c>
      <c r="AJ689" t="s">
        <v>5248</v>
      </c>
      <c r="AK689" t="s">
        <v>4042</v>
      </c>
      <c r="AL689" t="s">
        <v>5092</v>
      </c>
      <c r="AN689" t="s">
        <v>4155</v>
      </c>
      <c r="AO689" t="s">
        <v>3588</v>
      </c>
      <c r="AP689" t="s">
        <v>231</v>
      </c>
      <c r="AQ689" t="s">
        <v>231</v>
      </c>
      <c r="AR689" t="s">
        <v>231</v>
      </c>
      <c r="AS689" t="s">
        <v>231</v>
      </c>
      <c r="AT689" t="s">
        <v>231</v>
      </c>
      <c r="AU689" t="s">
        <v>231</v>
      </c>
      <c r="AV689" t="s">
        <v>231</v>
      </c>
      <c r="AW689" t="s">
        <v>231</v>
      </c>
      <c r="AX689" t="s">
        <v>231</v>
      </c>
      <c r="AY689" t="s">
        <v>231</v>
      </c>
      <c r="AZ689" t="s">
        <v>231</v>
      </c>
      <c r="BA689" t="s">
        <v>231</v>
      </c>
      <c r="BB689" t="s">
        <v>231</v>
      </c>
      <c r="BC689" t="s">
        <v>231</v>
      </c>
      <c r="BD689" t="s">
        <v>231</v>
      </c>
      <c r="BE689" t="s">
        <v>231</v>
      </c>
      <c r="BF689" t="s">
        <v>231</v>
      </c>
      <c r="BG689" t="s">
        <v>231</v>
      </c>
      <c r="BH689" t="s">
        <v>231</v>
      </c>
      <c r="BI689" t="s">
        <v>231</v>
      </c>
      <c r="BJ689" t="s">
        <v>231</v>
      </c>
      <c r="BK689" t="s">
        <v>231</v>
      </c>
      <c r="BL689" t="s">
        <v>231</v>
      </c>
      <c r="BM689" t="s">
        <v>231</v>
      </c>
      <c r="BN689" t="s">
        <v>231</v>
      </c>
      <c r="BO689" t="s">
        <v>231</v>
      </c>
      <c r="BP689" t="s">
        <v>231</v>
      </c>
      <c r="BQ689" t="s">
        <v>231</v>
      </c>
      <c r="BR689" t="s">
        <v>231</v>
      </c>
      <c r="BS689" t="s">
        <v>231</v>
      </c>
      <c r="BT689" t="s">
        <v>231</v>
      </c>
      <c r="CS689" t="s">
        <v>231</v>
      </c>
      <c r="CT689" t="s">
        <v>3534</v>
      </c>
      <c r="CU689" t="s">
        <v>3535</v>
      </c>
      <c r="CV689" t="s">
        <v>3536</v>
      </c>
      <c r="CW689" t="s">
        <v>3537</v>
      </c>
      <c r="CX689" t="s">
        <v>223</v>
      </c>
      <c r="CY689" t="s">
        <v>3536</v>
      </c>
      <c r="CZ689" t="s">
        <v>3538</v>
      </c>
      <c r="DA689" t="s">
        <v>3539</v>
      </c>
      <c r="DB689" t="s">
        <v>3537</v>
      </c>
      <c r="DC689" t="s">
        <v>363</v>
      </c>
      <c r="DD689" t="s">
        <v>5099</v>
      </c>
      <c r="DE689" t="s">
        <v>5284</v>
      </c>
    </row>
    <row r="690" spans="1:109" ht="11.25" customHeight="1">
      <c r="A690" s="1314" t="s">
        <v>231</v>
      </c>
      <c r="B690" t="s">
        <v>231</v>
      </c>
      <c r="C690" t="s">
        <v>231</v>
      </c>
      <c r="D690" t="s">
        <v>231</v>
      </c>
      <c r="E690" t="s">
        <v>231</v>
      </c>
      <c r="F690" t="s">
        <v>231</v>
      </c>
      <c r="G690" t="s">
        <v>231</v>
      </c>
      <c r="H690" t="s">
        <v>231</v>
      </c>
      <c r="I690" t="s">
        <v>5086</v>
      </c>
      <c r="J690" t="s">
        <v>231</v>
      </c>
      <c r="K690" t="s">
        <v>231</v>
      </c>
      <c r="L690" t="s">
        <v>231</v>
      </c>
      <c r="M690" t="s">
        <v>231</v>
      </c>
      <c r="N690" t="s">
        <v>231</v>
      </c>
      <c r="O690" t="s">
        <v>231</v>
      </c>
      <c r="P690" t="s">
        <v>231</v>
      </c>
      <c r="Q690" t="s">
        <v>231</v>
      </c>
      <c r="R690" t="s">
        <v>5285</v>
      </c>
      <c r="S690" t="s">
        <v>231</v>
      </c>
      <c r="T690" t="s">
        <v>231</v>
      </c>
      <c r="U690" t="s">
        <v>101</v>
      </c>
      <c r="V690" t="s">
        <v>231</v>
      </c>
      <c r="W690" t="s">
        <v>231</v>
      </c>
      <c r="X690" t="s">
        <v>5088</v>
      </c>
      <c r="Y690" t="s">
        <v>231</v>
      </c>
      <c r="Z690" t="s">
        <v>160</v>
      </c>
      <c r="AA690" t="s">
        <v>151</v>
      </c>
      <c r="AB690" t="s">
        <v>151</v>
      </c>
      <c r="AC690" t="s">
        <v>343</v>
      </c>
      <c r="AD690" t="s">
        <v>343</v>
      </c>
      <c r="AE690" t="s">
        <v>344</v>
      </c>
      <c r="AF690" t="s">
        <v>3561</v>
      </c>
      <c r="AG690" t="s">
        <v>3562</v>
      </c>
      <c r="AH690" t="s">
        <v>5286</v>
      </c>
      <c r="AI690" t="s">
        <v>5287</v>
      </c>
      <c r="AJ690" t="s">
        <v>3866</v>
      </c>
      <c r="AK690" t="s">
        <v>5288</v>
      </c>
      <c r="AL690" t="s">
        <v>5092</v>
      </c>
      <c r="AN690" t="s">
        <v>3532</v>
      </c>
      <c r="AO690" t="s">
        <v>5289</v>
      </c>
      <c r="AP690" t="s">
        <v>231</v>
      </c>
      <c r="AQ690" t="s">
        <v>231</v>
      </c>
      <c r="AR690" t="s">
        <v>231</v>
      </c>
      <c r="AS690" t="s">
        <v>231</v>
      </c>
      <c r="AT690" t="s">
        <v>231</v>
      </c>
      <c r="AU690" t="s">
        <v>231</v>
      </c>
      <c r="AV690" t="s">
        <v>231</v>
      </c>
      <c r="AW690" t="s">
        <v>231</v>
      </c>
      <c r="AX690" t="s">
        <v>231</v>
      </c>
      <c r="AY690" t="s">
        <v>231</v>
      </c>
      <c r="AZ690" t="s">
        <v>231</v>
      </c>
      <c r="BA690" t="s">
        <v>231</v>
      </c>
      <c r="BB690" t="s">
        <v>231</v>
      </c>
      <c r="BC690" t="s">
        <v>231</v>
      </c>
      <c r="BD690" t="s">
        <v>231</v>
      </c>
      <c r="BE690" t="s">
        <v>231</v>
      </c>
      <c r="BF690" t="s">
        <v>231</v>
      </c>
      <c r="BG690" t="s">
        <v>231</v>
      </c>
      <c r="BH690" t="s">
        <v>231</v>
      </c>
      <c r="BI690" t="s">
        <v>231</v>
      </c>
      <c r="BJ690" t="s">
        <v>231</v>
      </c>
      <c r="BK690" t="s">
        <v>231</v>
      </c>
      <c r="BL690" t="s">
        <v>231</v>
      </c>
      <c r="BM690" t="s">
        <v>231</v>
      </c>
      <c r="BN690" t="s">
        <v>231</v>
      </c>
      <c r="BO690" t="s">
        <v>231</v>
      </c>
      <c r="BP690" t="s">
        <v>231</v>
      </c>
      <c r="BQ690" t="s">
        <v>231</v>
      </c>
      <c r="BR690" t="s">
        <v>231</v>
      </c>
      <c r="BS690" t="s">
        <v>231</v>
      </c>
      <c r="BT690" t="s">
        <v>231</v>
      </c>
      <c r="CS690" t="s">
        <v>231</v>
      </c>
      <c r="CT690" t="s">
        <v>3534</v>
      </c>
      <c r="CU690" t="s">
        <v>5095</v>
      </c>
      <c r="CV690" t="s">
        <v>4616</v>
      </c>
      <c r="CW690" t="s">
        <v>5290</v>
      </c>
      <c r="CX690" t="s">
        <v>3570</v>
      </c>
      <c r="CY690" t="s">
        <v>5291</v>
      </c>
      <c r="CZ690" t="s">
        <v>5292</v>
      </c>
      <c r="DA690" t="s">
        <v>5289</v>
      </c>
      <c r="DB690" t="s">
        <v>5290</v>
      </c>
      <c r="DC690" t="s">
        <v>363</v>
      </c>
      <c r="DD690" t="s">
        <v>5099</v>
      </c>
      <c r="DE690" t="s">
        <v>5293</v>
      </c>
    </row>
    <row r="691" spans="1:109" ht="11.25" customHeight="1">
      <c r="A691" s="1314" t="s">
        <v>231</v>
      </c>
      <c r="B691" t="s">
        <v>231</v>
      </c>
      <c r="C691" t="s">
        <v>231</v>
      </c>
      <c r="D691" t="s">
        <v>231</v>
      </c>
      <c r="E691" t="s">
        <v>231</v>
      </c>
      <c r="F691" t="s">
        <v>231</v>
      </c>
      <c r="G691" t="s">
        <v>231</v>
      </c>
      <c r="H691" t="s">
        <v>231</v>
      </c>
      <c r="I691" t="s">
        <v>5086</v>
      </c>
      <c r="J691" t="s">
        <v>231</v>
      </c>
      <c r="K691" t="s">
        <v>231</v>
      </c>
      <c r="L691" t="s">
        <v>231</v>
      </c>
      <c r="M691" t="s">
        <v>231</v>
      </c>
      <c r="N691" t="s">
        <v>231</v>
      </c>
      <c r="O691" t="s">
        <v>231</v>
      </c>
      <c r="P691" t="s">
        <v>231</v>
      </c>
      <c r="Q691" t="s">
        <v>231</v>
      </c>
      <c r="R691" t="s">
        <v>5294</v>
      </c>
      <c r="S691" t="s">
        <v>231</v>
      </c>
      <c r="T691" t="s">
        <v>231</v>
      </c>
      <c r="U691" t="s">
        <v>101</v>
      </c>
      <c r="V691" t="s">
        <v>231</v>
      </c>
      <c r="W691" t="s">
        <v>231</v>
      </c>
      <c r="X691" t="s">
        <v>5088</v>
      </c>
      <c r="Y691" t="s">
        <v>231</v>
      </c>
      <c r="Z691" t="s">
        <v>160</v>
      </c>
      <c r="AA691" t="s">
        <v>151</v>
      </c>
      <c r="AB691" t="s">
        <v>151</v>
      </c>
      <c r="AC691" t="s">
        <v>2289</v>
      </c>
      <c r="AD691" t="s">
        <v>2289</v>
      </c>
      <c r="AE691" t="s">
        <v>2290</v>
      </c>
      <c r="AF691" t="s">
        <v>3793</v>
      </c>
      <c r="AG691" t="s">
        <v>3794</v>
      </c>
      <c r="AH691" t="s">
        <v>5295</v>
      </c>
      <c r="AI691" t="s">
        <v>5296</v>
      </c>
      <c r="AJ691" t="s">
        <v>4996</v>
      </c>
      <c r="AK691" t="s">
        <v>5297</v>
      </c>
      <c r="AL691" t="s">
        <v>5092</v>
      </c>
      <c r="AN691" t="s">
        <v>3549</v>
      </c>
      <c r="AO691" t="s">
        <v>3668</v>
      </c>
      <c r="AP691" t="s">
        <v>231</v>
      </c>
      <c r="AQ691" t="s">
        <v>231</v>
      </c>
      <c r="AR691" t="s">
        <v>231</v>
      </c>
      <c r="AS691" t="s">
        <v>231</v>
      </c>
      <c r="AT691" t="s">
        <v>231</v>
      </c>
      <c r="AU691" t="s">
        <v>231</v>
      </c>
      <c r="AV691" t="s">
        <v>231</v>
      </c>
      <c r="AW691" t="s">
        <v>231</v>
      </c>
      <c r="AX691" t="s">
        <v>231</v>
      </c>
      <c r="AY691" t="s">
        <v>231</v>
      </c>
      <c r="AZ691" t="s">
        <v>231</v>
      </c>
      <c r="BA691" t="s">
        <v>231</v>
      </c>
      <c r="BB691" t="s">
        <v>231</v>
      </c>
      <c r="BC691" t="s">
        <v>231</v>
      </c>
      <c r="BD691" t="s">
        <v>231</v>
      </c>
      <c r="BE691" t="s">
        <v>231</v>
      </c>
      <c r="BF691" t="s">
        <v>231</v>
      </c>
      <c r="BG691" t="s">
        <v>231</v>
      </c>
      <c r="BH691" t="s">
        <v>231</v>
      </c>
      <c r="BI691" t="s">
        <v>231</v>
      </c>
      <c r="BJ691" t="s">
        <v>231</v>
      </c>
      <c r="BK691" t="s">
        <v>231</v>
      </c>
      <c r="BL691" t="s">
        <v>231</v>
      </c>
      <c r="BM691" t="s">
        <v>231</v>
      </c>
      <c r="BN691" t="s">
        <v>231</v>
      </c>
      <c r="BO691" t="s">
        <v>231</v>
      </c>
      <c r="BP691" t="s">
        <v>231</v>
      </c>
      <c r="BQ691" t="s">
        <v>231</v>
      </c>
      <c r="BR691" t="s">
        <v>231</v>
      </c>
      <c r="BS691" t="s">
        <v>231</v>
      </c>
      <c r="BT691" t="s">
        <v>231</v>
      </c>
      <c r="CS691" t="s">
        <v>231</v>
      </c>
      <c r="CT691" t="s">
        <v>3534</v>
      </c>
      <c r="CU691" t="s">
        <v>3535</v>
      </c>
      <c r="CV691" t="s">
        <v>3536</v>
      </c>
      <c r="CW691" t="s">
        <v>3589</v>
      </c>
      <c r="CX691" t="s">
        <v>223</v>
      </c>
      <c r="CY691" t="s">
        <v>3536</v>
      </c>
      <c r="CZ691" t="s">
        <v>3590</v>
      </c>
      <c r="DA691" t="s">
        <v>3591</v>
      </c>
      <c r="DB691" t="s">
        <v>3589</v>
      </c>
      <c r="DC691" t="s">
        <v>363</v>
      </c>
      <c r="DD691" t="s">
        <v>5099</v>
      </c>
      <c r="DE691" t="s">
        <v>5298</v>
      </c>
    </row>
    <row r="692" spans="1:109" ht="11.25" customHeight="1">
      <c r="A692" s="1314" t="s">
        <v>231</v>
      </c>
      <c r="B692" t="s">
        <v>231</v>
      </c>
      <c r="C692" t="s">
        <v>231</v>
      </c>
      <c r="D692" t="s">
        <v>231</v>
      </c>
      <c r="E692" t="s">
        <v>231</v>
      </c>
      <c r="F692" t="s">
        <v>231</v>
      </c>
      <c r="G692" t="s">
        <v>231</v>
      </c>
      <c r="H692" t="s">
        <v>231</v>
      </c>
      <c r="I692" t="s">
        <v>5086</v>
      </c>
      <c r="J692" t="s">
        <v>231</v>
      </c>
      <c r="K692" t="s">
        <v>231</v>
      </c>
      <c r="L692" t="s">
        <v>231</v>
      </c>
      <c r="M692" t="s">
        <v>231</v>
      </c>
      <c r="N692" t="s">
        <v>231</v>
      </c>
      <c r="O692" t="s">
        <v>231</v>
      </c>
      <c r="P692" t="s">
        <v>231</v>
      </c>
      <c r="Q692" t="s">
        <v>231</v>
      </c>
      <c r="R692" t="s">
        <v>5299</v>
      </c>
      <c r="S692" t="s">
        <v>231</v>
      </c>
      <c r="T692" t="s">
        <v>231</v>
      </c>
      <c r="U692" t="s">
        <v>101</v>
      </c>
      <c r="V692" t="s">
        <v>231</v>
      </c>
      <c r="W692" t="s">
        <v>231</v>
      </c>
      <c r="X692" t="s">
        <v>5088</v>
      </c>
      <c r="Y692" t="s">
        <v>231</v>
      </c>
      <c r="Z692" t="s">
        <v>160</v>
      </c>
      <c r="AA692" t="s">
        <v>151</v>
      </c>
      <c r="AB692" t="s">
        <v>151</v>
      </c>
      <c r="AC692" t="s">
        <v>2289</v>
      </c>
      <c r="AD692" t="s">
        <v>2289</v>
      </c>
      <c r="AE692" t="s">
        <v>2290</v>
      </c>
      <c r="AF692" t="s">
        <v>3793</v>
      </c>
      <c r="AG692" t="s">
        <v>3794</v>
      </c>
      <c r="AH692" t="s">
        <v>5300</v>
      </c>
      <c r="AI692" t="s">
        <v>3618</v>
      </c>
      <c r="AJ692" t="s">
        <v>4996</v>
      </c>
      <c r="AK692" t="s">
        <v>5297</v>
      </c>
      <c r="AL692" t="s">
        <v>5092</v>
      </c>
      <c r="AN692" t="s">
        <v>3549</v>
      </c>
      <c r="AO692" t="s">
        <v>3668</v>
      </c>
      <c r="AP692" t="s">
        <v>231</v>
      </c>
      <c r="AQ692" t="s">
        <v>231</v>
      </c>
      <c r="AR692" t="s">
        <v>231</v>
      </c>
      <c r="AS692" t="s">
        <v>231</v>
      </c>
      <c r="AT692" t="s">
        <v>231</v>
      </c>
      <c r="AU692" t="s">
        <v>231</v>
      </c>
      <c r="AV692" t="s">
        <v>231</v>
      </c>
      <c r="AW692" t="s">
        <v>231</v>
      </c>
      <c r="AX692" t="s">
        <v>231</v>
      </c>
      <c r="AY692" t="s">
        <v>231</v>
      </c>
      <c r="AZ692" t="s">
        <v>231</v>
      </c>
      <c r="BA692" t="s">
        <v>231</v>
      </c>
      <c r="BB692" t="s">
        <v>231</v>
      </c>
      <c r="BC692" t="s">
        <v>231</v>
      </c>
      <c r="BD692" t="s">
        <v>231</v>
      </c>
      <c r="BE692" t="s">
        <v>231</v>
      </c>
      <c r="BF692" t="s">
        <v>231</v>
      </c>
      <c r="BG692" t="s">
        <v>231</v>
      </c>
      <c r="BH692" t="s">
        <v>231</v>
      </c>
      <c r="BI692" t="s">
        <v>231</v>
      </c>
      <c r="BJ692" t="s">
        <v>231</v>
      </c>
      <c r="BK692" t="s">
        <v>231</v>
      </c>
      <c r="BL692" t="s">
        <v>231</v>
      </c>
      <c r="BM692" t="s">
        <v>231</v>
      </c>
      <c r="BN692" t="s">
        <v>231</v>
      </c>
      <c r="BO692" t="s">
        <v>231</v>
      </c>
      <c r="BP692" t="s">
        <v>231</v>
      </c>
      <c r="BQ692" t="s">
        <v>231</v>
      </c>
      <c r="BR692" t="s">
        <v>231</v>
      </c>
      <c r="BS692" t="s">
        <v>231</v>
      </c>
      <c r="BT692" t="s">
        <v>231</v>
      </c>
      <c r="CS692" t="s">
        <v>231</v>
      </c>
      <c r="CT692" t="s">
        <v>3534</v>
      </c>
      <c r="CU692" t="s">
        <v>3535</v>
      </c>
      <c r="CV692" t="s">
        <v>3536</v>
      </c>
      <c r="CW692" t="s">
        <v>3589</v>
      </c>
      <c r="CX692" t="s">
        <v>223</v>
      </c>
      <c r="CY692" t="s">
        <v>3536</v>
      </c>
      <c r="CZ692" t="s">
        <v>3590</v>
      </c>
      <c r="DA692" t="s">
        <v>3591</v>
      </c>
      <c r="DB692" t="s">
        <v>3589</v>
      </c>
      <c r="DC692" t="s">
        <v>363</v>
      </c>
      <c r="DD692" t="s">
        <v>5099</v>
      </c>
      <c r="DE692" t="s">
        <v>5301</v>
      </c>
    </row>
    <row r="693" spans="1:109" ht="11.25" customHeight="1">
      <c r="A693" s="1314" t="s">
        <v>231</v>
      </c>
      <c r="B693" t="s">
        <v>231</v>
      </c>
      <c r="C693" t="s">
        <v>231</v>
      </c>
      <c r="D693" t="s">
        <v>231</v>
      </c>
      <c r="E693" t="s">
        <v>231</v>
      </c>
      <c r="F693" t="s">
        <v>231</v>
      </c>
      <c r="G693" t="s">
        <v>231</v>
      </c>
      <c r="H693" t="s">
        <v>231</v>
      </c>
      <c r="I693" t="s">
        <v>5086</v>
      </c>
      <c r="J693" t="s">
        <v>231</v>
      </c>
      <c r="K693" t="s">
        <v>231</v>
      </c>
      <c r="L693" t="s">
        <v>231</v>
      </c>
      <c r="M693" t="s">
        <v>231</v>
      </c>
      <c r="N693" t="s">
        <v>231</v>
      </c>
      <c r="O693" t="s">
        <v>231</v>
      </c>
      <c r="P693" t="s">
        <v>231</v>
      </c>
      <c r="Q693" t="s">
        <v>231</v>
      </c>
      <c r="R693" t="s">
        <v>5302</v>
      </c>
      <c r="S693" t="s">
        <v>231</v>
      </c>
      <c r="T693" t="s">
        <v>231</v>
      </c>
      <c r="U693" t="s">
        <v>101</v>
      </c>
      <c r="V693" t="s">
        <v>231</v>
      </c>
      <c r="W693" t="s">
        <v>231</v>
      </c>
      <c r="X693" t="s">
        <v>5088</v>
      </c>
      <c r="Y693" t="s">
        <v>231</v>
      </c>
      <c r="Z693" t="s">
        <v>160</v>
      </c>
      <c r="AA693" t="s">
        <v>151</v>
      </c>
      <c r="AB693" t="s">
        <v>151</v>
      </c>
      <c r="AC693" t="s">
        <v>343</v>
      </c>
      <c r="AD693" t="s">
        <v>343</v>
      </c>
      <c r="AE693" t="s">
        <v>344</v>
      </c>
      <c r="AF693" t="s">
        <v>3561</v>
      </c>
      <c r="AG693" t="s">
        <v>3562</v>
      </c>
      <c r="AH693" t="s">
        <v>5303</v>
      </c>
      <c r="AI693" t="s">
        <v>482</v>
      </c>
      <c r="AJ693" t="s">
        <v>4960</v>
      </c>
      <c r="AK693" t="s">
        <v>5304</v>
      </c>
      <c r="AL693" t="s">
        <v>5092</v>
      </c>
      <c r="AN693" t="s">
        <v>3529</v>
      </c>
      <c r="AO693" t="s">
        <v>5202</v>
      </c>
      <c r="AP693" t="s">
        <v>231</v>
      </c>
      <c r="AQ693" t="s">
        <v>231</v>
      </c>
      <c r="AR693" t="s">
        <v>231</v>
      </c>
      <c r="AS693" t="s">
        <v>231</v>
      </c>
      <c r="AT693" t="s">
        <v>231</v>
      </c>
      <c r="AU693" t="s">
        <v>231</v>
      </c>
      <c r="AV693" t="s">
        <v>231</v>
      </c>
      <c r="AW693" t="s">
        <v>231</v>
      </c>
      <c r="AX693" t="s">
        <v>231</v>
      </c>
      <c r="AY693" t="s">
        <v>231</v>
      </c>
      <c r="AZ693" t="s">
        <v>231</v>
      </c>
      <c r="BA693" t="s">
        <v>231</v>
      </c>
      <c r="BB693" t="s">
        <v>231</v>
      </c>
      <c r="BC693" t="s">
        <v>231</v>
      </c>
      <c r="BD693" t="s">
        <v>231</v>
      </c>
      <c r="BE693" t="s">
        <v>231</v>
      </c>
      <c r="BF693" t="s">
        <v>231</v>
      </c>
      <c r="BG693" t="s">
        <v>231</v>
      </c>
      <c r="BH693" t="s">
        <v>231</v>
      </c>
      <c r="BI693" t="s">
        <v>231</v>
      </c>
      <c r="BJ693" t="s">
        <v>231</v>
      </c>
      <c r="BK693" t="s">
        <v>231</v>
      </c>
      <c r="BL693" t="s">
        <v>231</v>
      </c>
      <c r="BM693" t="s">
        <v>231</v>
      </c>
      <c r="BN693" t="s">
        <v>231</v>
      </c>
      <c r="BO693" t="s">
        <v>231</v>
      </c>
      <c r="BP693" t="s">
        <v>231</v>
      </c>
      <c r="BQ693" t="s">
        <v>231</v>
      </c>
      <c r="BR693" t="s">
        <v>231</v>
      </c>
      <c r="BS693" t="s">
        <v>231</v>
      </c>
      <c r="BT693" t="s">
        <v>231</v>
      </c>
      <c r="CS693" t="s">
        <v>231</v>
      </c>
      <c r="CT693" t="s">
        <v>3534</v>
      </c>
      <c r="CU693" t="s">
        <v>3535</v>
      </c>
      <c r="CV693" t="s">
        <v>3536</v>
      </c>
      <c r="CW693" t="s">
        <v>3569</v>
      </c>
      <c r="CX693" t="s">
        <v>223</v>
      </c>
      <c r="CY693" t="s">
        <v>3536</v>
      </c>
      <c r="CZ693" t="s">
        <v>224</v>
      </c>
      <c r="DA693" t="s">
        <v>3571</v>
      </c>
      <c r="DB693" t="s">
        <v>3569</v>
      </c>
      <c r="DC693" t="s">
        <v>363</v>
      </c>
      <c r="DD693" t="s">
        <v>5099</v>
      </c>
      <c r="DE693" t="s">
        <v>5305</v>
      </c>
    </row>
    <row r="694" spans="1:109" ht="11.25" customHeight="1">
      <c r="A694" s="1314" t="s">
        <v>231</v>
      </c>
      <c r="B694" t="s">
        <v>231</v>
      </c>
      <c r="C694" t="s">
        <v>231</v>
      </c>
      <c r="D694" t="s">
        <v>231</v>
      </c>
      <c r="E694" t="s">
        <v>231</v>
      </c>
      <c r="F694" t="s">
        <v>231</v>
      </c>
      <c r="G694" t="s">
        <v>231</v>
      </c>
      <c r="H694" t="s">
        <v>231</v>
      </c>
      <c r="I694" t="s">
        <v>5086</v>
      </c>
      <c r="J694" t="s">
        <v>231</v>
      </c>
      <c r="K694" t="s">
        <v>231</v>
      </c>
      <c r="L694" t="s">
        <v>231</v>
      </c>
      <c r="M694" t="s">
        <v>231</v>
      </c>
      <c r="N694" t="s">
        <v>231</v>
      </c>
      <c r="O694" t="s">
        <v>231</v>
      </c>
      <c r="P694" t="s">
        <v>231</v>
      </c>
      <c r="Q694" t="s">
        <v>231</v>
      </c>
      <c r="R694" t="s">
        <v>5306</v>
      </c>
      <c r="S694" t="s">
        <v>231</v>
      </c>
      <c r="T694" t="s">
        <v>231</v>
      </c>
      <c r="U694" t="s">
        <v>101</v>
      </c>
      <c r="V694" t="s">
        <v>231</v>
      </c>
      <c r="W694" t="s">
        <v>231</v>
      </c>
      <c r="X694" t="s">
        <v>5088</v>
      </c>
      <c r="Y694" t="s">
        <v>231</v>
      </c>
      <c r="Z694" t="s">
        <v>160</v>
      </c>
      <c r="AA694" t="s">
        <v>151</v>
      </c>
      <c r="AB694" t="s">
        <v>151</v>
      </c>
      <c r="AC694" t="s">
        <v>343</v>
      </c>
      <c r="AD694" t="s">
        <v>343</v>
      </c>
      <c r="AE694" t="s">
        <v>344</v>
      </c>
      <c r="AF694" t="s">
        <v>3561</v>
      </c>
      <c r="AG694" t="s">
        <v>3562</v>
      </c>
      <c r="AH694" t="s">
        <v>5307</v>
      </c>
      <c r="AI694" t="s">
        <v>3618</v>
      </c>
      <c r="AJ694" t="s">
        <v>4960</v>
      </c>
      <c r="AK694" t="s">
        <v>3546</v>
      </c>
      <c r="AL694" t="s">
        <v>5092</v>
      </c>
      <c r="AN694" t="s">
        <v>3866</v>
      </c>
      <c r="AO694" t="s">
        <v>5308</v>
      </c>
      <c r="AP694" t="s">
        <v>231</v>
      </c>
      <c r="AQ694" t="s">
        <v>231</v>
      </c>
      <c r="AR694" t="s">
        <v>231</v>
      </c>
      <c r="AS694" t="s">
        <v>231</v>
      </c>
      <c r="AT694" t="s">
        <v>231</v>
      </c>
      <c r="AU694" t="s">
        <v>231</v>
      </c>
      <c r="AV694" t="s">
        <v>231</v>
      </c>
      <c r="AW694" t="s">
        <v>231</v>
      </c>
      <c r="AX694" t="s">
        <v>231</v>
      </c>
      <c r="AY694" t="s">
        <v>231</v>
      </c>
      <c r="AZ694" t="s">
        <v>231</v>
      </c>
      <c r="BA694" t="s">
        <v>231</v>
      </c>
      <c r="BB694" t="s">
        <v>231</v>
      </c>
      <c r="BC694" t="s">
        <v>231</v>
      </c>
      <c r="BD694" t="s">
        <v>231</v>
      </c>
      <c r="BE694" t="s">
        <v>231</v>
      </c>
      <c r="BF694" t="s">
        <v>231</v>
      </c>
      <c r="BG694" t="s">
        <v>231</v>
      </c>
      <c r="BH694" t="s">
        <v>231</v>
      </c>
      <c r="BI694" t="s">
        <v>231</v>
      </c>
      <c r="BJ694" t="s">
        <v>231</v>
      </c>
      <c r="BK694" t="s">
        <v>231</v>
      </c>
      <c r="BL694" t="s">
        <v>231</v>
      </c>
      <c r="BM694" t="s">
        <v>231</v>
      </c>
      <c r="BN694" t="s">
        <v>231</v>
      </c>
      <c r="BO694" t="s">
        <v>231</v>
      </c>
      <c r="BP694" t="s">
        <v>231</v>
      </c>
      <c r="BQ694" t="s">
        <v>231</v>
      </c>
      <c r="BR694" t="s">
        <v>231</v>
      </c>
      <c r="BS694" t="s">
        <v>231</v>
      </c>
      <c r="BT694" t="s">
        <v>231</v>
      </c>
      <c r="CS694" t="s">
        <v>231</v>
      </c>
      <c r="CT694" t="s">
        <v>3534</v>
      </c>
      <c r="CU694" t="s">
        <v>5095</v>
      </c>
      <c r="CV694" t="s">
        <v>5309</v>
      </c>
      <c r="CW694" t="s">
        <v>5310</v>
      </c>
      <c r="CX694" t="s">
        <v>5311</v>
      </c>
      <c r="CY694" t="s">
        <v>5291</v>
      </c>
      <c r="CZ694" t="s">
        <v>5312</v>
      </c>
      <c r="DA694" t="s">
        <v>5308</v>
      </c>
      <c r="DB694" t="s">
        <v>5310</v>
      </c>
      <c r="DC694" t="s">
        <v>363</v>
      </c>
      <c r="DD694" t="s">
        <v>5099</v>
      </c>
      <c r="DE694" t="s">
        <v>5313</v>
      </c>
    </row>
    <row r="695" spans="1:109" ht="11.25" customHeight="1">
      <c r="A695" s="1314" t="s">
        <v>231</v>
      </c>
      <c r="B695" t="s">
        <v>231</v>
      </c>
      <c r="C695" t="s">
        <v>231</v>
      </c>
      <c r="D695" t="s">
        <v>231</v>
      </c>
      <c r="E695" t="s">
        <v>231</v>
      </c>
      <c r="F695" t="s">
        <v>231</v>
      </c>
      <c r="G695" t="s">
        <v>231</v>
      </c>
      <c r="H695" t="s">
        <v>231</v>
      </c>
      <c r="I695" t="s">
        <v>5086</v>
      </c>
      <c r="J695" t="s">
        <v>231</v>
      </c>
      <c r="K695" t="s">
        <v>231</v>
      </c>
      <c r="L695" t="s">
        <v>231</v>
      </c>
      <c r="M695" t="s">
        <v>231</v>
      </c>
      <c r="N695" t="s">
        <v>231</v>
      </c>
      <c r="O695" t="s">
        <v>231</v>
      </c>
      <c r="P695" t="s">
        <v>231</v>
      </c>
      <c r="Q695" t="s">
        <v>231</v>
      </c>
      <c r="R695" t="s">
        <v>5314</v>
      </c>
      <c r="S695" t="s">
        <v>231</v>
      </c>
      <c r="T695" t="s">
        <v>231</v>
      </c>
      <c r="U695" t="s">
        <v>101</v>
      </c>
      <c r="V695" t="s">
        <v>231</v>
      </c>
      <c r="W695" t="s">
        <v>231</v>
      </c>
      <c r="X695" t="s">
        <v>5088</v>
      </c>
      <c r="Y695" t="s">
        <v>231</v>
      </c>
      <c r="Z695" t="s">
        <v>160</v>
      </c>
      <c r="AA695" t="s">
        <v>151</v>
      </c>
      <c r="AB695" t="s">
        <v>151</v>
      </c>
      <c r="AC695" t="s">
        <v>343</v>
      </c>
      <c r="AD695" t="s">
        <v>343</v>
      </c>
      <c r="AE695" t="s">
        <v>344</v>
      </c>
      <c r="AF695" t="s">
        <v>3561</v>
      </c>
      <c r="AG695" t="s">
        <v>3562</v>
      </c>
      <c r="AH695" t="s">
        <v>5315</v>
      </c>
      <c r="AI695" t="s">
        <v>5316</v>
      </c>
      <c r="AJ695" t="s">
        <v>5317</v>
      </c>
      <c r="AK695" t="s">
        <v>5318</v>
      </c>
      <c r="AL695" t="s">
        <v>5092</v>
      </c>
      <c r="AN695" t="s">
        <v>3529</v>
      </c>
      <c r="AO695" t="s">
        <v>5202</v>
      </c>
      <c r="AP695" t="s">
        <v>231</v>
      </c>
      <c r="AQ695" t="s">
        <v>231</v>
      </c>
      <c r="AR695" t="s">
        <v>231</v>
      </c>
      <c r="AS695" t="s">
        <v>231</v>
      </c>
      <c r="AT695" t="s">
        <v>231</v>
      </c>
      <c r="AU695" t="s">
        <v>231</v>
      </c>
      <c r="AV695" t="s">
        <v>231</v>
      </c>
      <c r="AW695" t="s">
        <v>231</v>
      </c>
      <c r="AX695" t="s">
        <v>231</v>
      </c>
      <c r="AY695" t="s">
        <v>231</v>
      </c>
      <c r="AZ695" t="s">
        <v>231</v>
      </c>
      <c r="BA695" t="s">
        <v>231</v>
      </c>
      <c r="BB695" t="s">
        <v>231</v>
      </c>
      <c r="BC695" t="s">
        <v>231</v>
      </c>
      <c r="BD695" t="s">
        <v>231</v>
      </c>
      <c r="BE695" t="s">
        <v>231</v>
      </c>
      <c r="BF695" t="s">
        <v>231</v>
      </c>
      <c r="BG695" t="s">
        <v>231</v>
      </c>
      <c r="BH695" t="s">
        <v>231</v>
      </c>
      <c r="BI695" t="s">
        <v>231</v>
      </c>
      <c r="BJ695" t="s">
        <v>231</v>
      </c>
      <c r="BK695" t="s">
        <v>231</v>
      </c>
      <c r="BL695" t="s">
        <v>231</v>
      </c>
      <c r="BM695" t="s">
        <v>231</v>
      </c>
      <c r="BN695" t="s">
        <v>231</v>
      </c>
      <c r="BO695" t="s">
        <v>231</v>
      </c>
      <c r="BP695" t="s">
        <v>231</v>
      </c>
      <c r="BQ695" t="s">
        <v>231</v>
      </c>
      <c r="BR695" t="s">
        <v>231</v>
      </c>
      <c r="BS695" t="s">
        <v>231</v>
      </c>
      <c r="BT695" t="s">
        <v>231</v>
      </c>
      <c r="CS695" t="s">
        <v>231</v>
      </c>
      <c r="CT695" t="s">
        <v>3534</v>
      </c>
      <c r="CU695" t="s">
        <v>3535</v>
      </c>
      <c r="CV695" t="s">
        <v>3536</v>
      </c>
      <c r="CW695" t="s">
        <v>3569</v>
      </c>
      <c r="CX695" t="s">
        <v>223</v>
      </c>
      <c r="CY695" t="s">
        <v>3536</v>
      </c>
      <c r="CZ695" t="s">
        <v>224</v>
      </c>
      <c r="DA695" t="s">
        <v>3571</v>
      </c>
      <c r="DB695" t="s">
        <v>5319</v>
      </c>
      <c r="DC695" t="s">
        <v>363</v>
      </c>
      <c r="DD695" t="s">
        <v>5099</v>
      </c>
      <c r="DE695" t="s">
        <v>5320</v>
      </c>
    </row>
    <row r="696" spans="1:109" ht="11.25" customHeight="1">
      <c r="A696" s="1314" t="s">
        <v>231</v>
      </c>
      <c r="B696" t="s">
        <v>231</v>
      </c>
      <c r="C696" t="s">
        <v>231</v>
      </c>
      <c r="D696" t="s">
        <v>231</v>
      </c>
      <c r="E696" t="s">
        <v>231</v>
      </c>
      <c r="F696" t="s">
        <v>231</v>
      </c>
      <c r="G696" t="s">
        <v>231</v>
      </c>
      <c r="H696" t="s">
        <v>231</v>
      </c>
      <c r="I696" t="s">
        <v>5086</v>
      </c>
      <c r="J696" t="s">
        <v>231</v>
      </c>
      <c r="K696" t="s">
        <v>231</v>
      </c>
      <c r="L696" t="s">
        <v>231</v>
      </c>
      <c r="M696" t="s">
        <v>231</v>
      </c>
      <c r="N696" t="s">
        <v>231</v>
      </c>
      <c r="O696" t="s">
        <v>231</v>
      </c>
      <c r="P696" t="s">
        <v>231</v>
      </c>
      <c r="Q696" t="s">
        <v>231</v>
      </c>
      <c r="R696" t="s">
        <v>5321</v>
      </c>
      <c r="S696" t="s">
        <v>231</v>
      </c>
      <c r="T696" t="s">
        <v>231</v>
      </c>
      <c r="U696" t="s">
        <v>101</v>
      </c>
      <c r="V696" t="s">
        <v>231</v>
      </c>
      <c r="W696" t="s">
        <v>231</v>
      </c>
      <c r="X696" t="s">
        <v>5088</v>
      </c>
      <c r="Y696" t="s">
        <v>231</v>
      </c>
      <c r="Z696" t="s">
        <v>160</v>
      </c>
      <c r="AA696" t="s">
        <v>151</v>
      </c>
      <c r="AB696" t="s">
        <v>151</v>
      </c>
      <c r="AC696" t="s">
        <v>2262</v>
      </c>
      <c r="AD696" t="s">
        <v>2262</v>
      </c>
      <c r="AE696" t="s">
        <v>2264</v>
      </c>
      <c r="AF696" t="s">
        <v>3524</v>
      </c>
      <c r="AG696" t="s">
        <v>3525</v>
      </c>
      <c r="AH696" t="s">
        <v>3526</v>
      </c>
      <c r="AI696" t="s">
        <v>5322</v>
      </c>
      <c r="AJ696" t="s">
        <v>3621</v>
      </c>
      <c r="AK696" t="s">
        <v>3820</v>
      </c>
      <c r="AL696" t="s">
        <v>5092</v>
      </c>
      <c r="AN696" t="s">
        <v>5323</v>
      </c>
      <c r="AO696" t="s">
        <v>3679</v>
      </c>
      <c r="AP696" t="s">
        <v>231</v>
      </c>
      <c r="AQ696" t="s">
        <v>231</v>
      </c>
      <c r="AR696" t="s">
        <v>231</v>
      </c>
      <c r="AS696" t="s">
        <v>231</v>
      </c>
      <c r="AT696" t="s">
        <v>231</v>
      </c>
      <c r="AU696" t="s">
        <v>231</v>
      </c>
      <c r="AV696" t="s">
        <v>231</v>
      </c>
      <c r="AW696" t="s">
        <v>231</v>
      </c>
      <c r="AX696" t="s">
        <v>231</v>
      </c>
      <c r="AY696" t="s">
        <v>231</v>
      </c>
      <c r="AZ696" t="s">
        <v>231</v>
      </c>
      <c r="BA696" t="s">
        <v>231</v>
      </c>
      <c r="BB696" t="s">
        <v>231</v>
      </c>
      <c r="BC696" t="s">
        <v>231</v>
      </c>
      <c r="BD696" t="s">
        <v>231</v>
      </c>
      <c r="BE696" t="s">
        <v>231</v>
      </c>
      <c r="BF696" t="s">
        <v>231</v>
      </c>
      <c r="BG696" t="s">
        <v>231</v>
      </c>
      <c r="BH696" t="s">
        <v>231</v>
      </c>
      <c r="BI696" t="s">
        <v>231</v>
      </c>
      <c r="BJ696" t="s">
        <v>231</v>
      </c>
      <c r="BK696" t="s">
        <v>231</v>
      </c>
      <c r="BL696" t="s">
        <v>231</v>
      </c>
      <c r="BM696" t="s">
        <v>231</v>
      </c>
      <c r="BN696" t="s">
        <v>231</v>
      </c>
      <c r="BO696" t="s">
        <v>231</v>
      </c>
      <c r="BP696" t="s">
        <v>231</v>
      </c>
      <c r="BQ696" t="s">
        <v>231</v>
      </c>
      <c r="BR696" t="s">
        <v>231</v>
      </c>
      <c r="BS696" t="s">
        <v>231</v>
      </c>
      <c r="BT696" t="s">
        <v>231</v>
      </c>
      <c r="CS696" t="s">
        <v>231</v>
      </c>
      <c r="CT696" t="s">
        <v>3534</v>
      </c>
      <c r="CU696" t="s">
        <v>3535</v>
      </c>
      <c r="CV696" t="s">
        <v>3536</v>
      </c>
      <c r="CW696" t="s">
        <v>3537</v>
      </c>
      <c r="CX696" t="s">
        <v>223</v>
      </c>
      <c r="CY696" t="s">
        <v>3536</v>
      </c>
      <c r="CZ696" t="s">
        <v>3538</v>
      </c>
      <c r="DA696" t="s">
        <v>3539</v>
      </c>
      <c r="DB696" t="s">
        <v>3537</v>
      </c>
      <c r="DC696" t="s">
        <v>363</v>
      </c>
      <c r="DD696" t="s">
        <v>5099</v>
      </c>
      <c r="DE696" t="s">
        <v>5324</v>
      </c>
    </row>
    <row r="697" spans="1:109" ht="11.25" customHeight="1">
      <c r="A697" s="1314" t="s">
        <v>231</v>
      </c>
      <c r="B697" t="s">
        <v>231</v>
      </c>
      <c r="C697" t="s">
        <v>231</v>
      </c>
      <c r="D697" t="s">
        <v>231</v>
      </c>
      <c r="E697" t="s">
        <v>231</v>
      </c>
      <c r="F697" t="s">
        <v>231</v>
      </c>
      <c r="G697" t="s">
        <v>231</v>
      </c>
      <c r="H697" t="s">
        <v>231</v>
      </c>
      <c r="I697" t="s">
        <v>5086</v>
      </c>
      <c r="J697" t="s">
        <v>231</v>
      </c>
      <c r="K697" t="s">
        <v>231</v>
      </c>
      <c r="L697" t="s">
        <v>231</v>
      </c>
      <c r="M697" t="s">
        <v>231</v>
      </c>
      <c r="N697" t="s">
        <v>231</v>
      </c>
      <c r="O697" t="s">
        <v>231</v>
      </c>
      <c r="P697" t="s">
        <v>231</v>
      </c>
      <c r="Q697" t="s">
        <v>231</v>
      </c>
      <c r="R697" t="s">
        <v>5325</v>
      </c>
      <c r="S697" t="s">
        <v>231</v>
      </c>
      <c r="T697" t="s">
        <v>231</v>
      </c>
      <c r="U697" t="s">
        <v>101</v>
      </c>
      <c r="V697" t="s">
        <v>231</v>
      </c>
      <c r="W697" t="s">
        <v>231</v>
      </c>
      <c r="X697" t="s">
        <v>5088</v>
      </c>
      <c r="Y697" t="s">
        <v>231</v>
      </c>
      <c r="Z697" t="s">
        <v>160</v>
      </c>
      <c r="AA697" t="s">
        <v>151</v>
      </c>
      <c r="AB697" t="s">
        <v>151</v>
      </c>
      <c r="AC697" t="s">
        <v>2262</v>
      </c>
      <c r="AD697" t="s">
        <v>2262</v>
      </c>
      <c r="AE697" t="s">
        <v>2264</v>
      </c>
      <c r="AF697" t="s">
        <v>3524</v>
      </c>
      <c r="AG697" t="s">
        <v>3525</v>
      </c>
      <c r="AH697" t="s">
        <v>5326</v>
      </c>
      <c r="AI697" t="s">
        <v>5327</v>
      </c>
      <c r="AJ697" t="s">
        <v>3621</v>
      </c>
      <c r="AK697" t="s">
        <v>3820</v>
      </c>
      <c r="AL697" t="s">
        <v>5092</v>
      </c>
      <c r="AN697" t="s">
        <v>3710</v>
      </c>
      <c r="AO697" t="s">
        <v>3812</v>
      </c>
      <c r="AP697" t="s">
        <v>231</v>
      </c>
      <c r="AQ697" t="s">
        <v>231</v>
      </c>
      <c r="AR697" t="s">
        <v>231</v>
      </c>
      <c r="AS697" t="s">
        <v>231</v>
      </c>
      <c r="AT697" t="s">
        <v>231</v>
      </c>
      <c r="AU697" t="s">
        <v>231</v>
      </c>
      <c r="AV697" t="s">
        <v>231</v>
      </c>
      <c r="AW697" t="s">
        <v>231</v>
      </c>
      <c r="AX697" t="s">
        <v>231</v>
      </c>
      <c r="AY697" t="s">
        <v>231</v>
      </c>
      <c r="AZ697" t="s">
        <v>231</v>
      </c>
      <c r="BA697" t="s">
        <v>231</v>
      </c>
      <c r="BB697" t="s">
        <v>231</v>
      </c>
      <c r="BC697" t="s">
        <v>231</v>
      </c>
      <c r="BD697" t="s">
        <v>231</v>
      </c>
      <c r="BE697" t="s">
        <v>231</v>
      </c>
      <c r="BF697" t="s">
        <v>231</v>
      </c>
      <c r="BG697" t="s">
        <v>231</v>
      </c>
      <c r="BH697" t="s">
        <v>231</v>
      </c>
      <c r="BI697" t="s">
        <v>231</v>
      </c>
      <c r="BJ697" t="s">
        <v>231</v>
      </c>
      <c r="BK697" t="s">
        <v>231</v>
      </c>
      <c r="BL697" t="s">
        <v>231</v>
      </c>
      <c r="BM697" t="s">
        <v>231</v>
      </c>
      <c r="BN697" t="s">
        <v>231</v>
      </c>
      <c r="BO697" t="s">
        <v>231</v>
      </c>
      <c r="BP697" t="s">
        <v>231</v>
      </c>
      <c r="BQ697" t="s">
        <v>231</v>
      </c>
      <c r="BR697" t="s">
        <v>231</v>
      </c>
      <c r="BS697" t="s">
        <v>231</v>
      </c>
      <c r="BT697" t="s">
        <v>231</v>
      </c>
      <c r="CS697" t="s">
        <v>231</v>
      </c>
      <c r="CT697" t="s">
        <v>3534</v>
      </c>
      <c r="CU697" t="s">
        <v>3535</v>
      </c>
      <c r="CV697" t="s">
        <v>3536</v>
      </c>
      <c r="CW697" t="s">
        <v>3537</v>
      </c>
      <c r="CX697" t="s">
        <v>223</v>
      </c>
      <c r="CY697" t="s">
        <v>3536</v>
      </c>
      <c r="CZ697" t="s">
        <v>3538</v>
      </c>
      <c r="DA697" t="s">
        <v>3539</v>
      </c>
      <c r="DB697" t="s">
        <v>3537</v>
      </c>
      <c r="DC697" t="s">
        <v>363</v>
      </c>
      <c r="DD697" t="s">
        <v>5099</v>
      </c>
      <c r="DE697" t="s">
        <v>5328</v>
      </c>
    </row>
    <row r="698" spans="1:109" ht="11.25" customHeight="1">
      <c r="A698" s="1314" t="s">
        <v>231</v>
      </c>
      <c r="B698" t="s">
        <v>231</v>
      </c>
      <c r="C698" t="s">
        <v>231</v>
      </c>
      <c r="D698" t="s">
        <v>231</v>
      </c>
      <c r="E698" t="s">
        <v>231</v>
      </c>
      <c r="F698" t="s">
        <v>231</v>
      </c>
      <c r="G698" t="s">
        <v>231</v>
      </c>
      <c r="H698" t="s">
        <v>231</v>
      </c>
      <c r="I698" t="s">
        <v>5086</v>
      </c>
      <c r="J698" t="s">
        <v>231</v>
      </c>
      <c r="K698" t="s">
        <v>231</v>
      </c>
      <c r="L698" t="s">
        <v>231</v>
      </c>
      <c r="M698" t="s">
        <v>231</v>
      </c>
      <c r="N698" t="s">
        <v>231</v>
      </c>
      <c r="O698" t="s">
        <v>231</v>
      </c>
      <c r="P698" t="s">
        <v>231</v>
      </c>
      <c r="Q698" t="s">
        <v>231</v>
      </c>
      <c r="R698" t="s">
        <v>5329</v>
      </c>
      <c r="S698" t="s">
        <v>231</v>
      </c>
      <c r="T698" t="s">
        <v>231</v>
      </c>
      <c r="U698" t="s">
        <v>101</v>
      </c>
      <c r="V698" t="s">
        <v>231</v>
      </c>
      <c r="W698" t="s">
        <v>231</v>
      </c>
      <c r="X698" t="s">
        <v>5088</v>
      </c>
      <c r="Y698" t="s">
        <v>231</v>
      </c>
      <c r="Z698" t="s">
        <v>160</v>
      </c>
      <c r="AA698" t="s">
        <v>151</v>
      </c>
      <c r="AB698" t="s">
        <v>151</v>
      </c>
      <c r="AC698" t="s">
        <v>2691</v>
      </c>
      <c r="AD698" t="s">
        <v>2691</v>
      </c>
      <c r="AE698" t="s">
        <v>2692</v>
      </c>
      <c r="AF698" t="s">
        <v>3991</v>
      </c>
      <c r="AG698" t="s">
        <v>3992</v>
      </c>
      <c r="AH698" t="s">
        <v>5330</v>
      </c>
      <c r="AI698" t="s">
        <v>3575</v>
      </c>
      <c r="AJ698" t="s">
        <v>3995</v>
      </c>
      <c r="AK698" t="s">
        <v>5215</v>
      </c>
      <c r="AL698" t="s">
        <v>5092</v>
      </c>
      <c r="AN698" t="s">
        <v>3595</v>
      </c>
      <c r="AO698" t="s">
        <v>5331</v>
      </c>
      <c r="AP698" t="s">
        <v>231</v>
      </c>
      <c r="AQ698" t="s">
        <v>231</v>
      </c>
      <c r="AR698" t="s">
        <v>231</v>
      </c>
      <c r="AS698" t="s">
        <v>231</v>
      </c>
      <c r="AT698" t="s">
        <v>231</v>
      </c>
      <c r="AU698" t="s">
        <v>231</v>
      </c>
      <c r="AV698" t="s">
        <v>231</v>
      </c>
      <c r="AW698" t="s">
        <v>231</v>
      </c>
      <c r="AX698" t="s">
        <v>231</v>
      </c>
      <c r="AY698" t="s">
        <v>231</v>
      </c>
      <c r="AZ698" t="s">
        <v>231</v>
      </c>
      <c r="BA698" t="s">
        <v>231</v>
      </c>
      <c r="BB698" t="s">
        <v>231</v>
      </c>
      <c r="BC698" t="s">
        <v>231</v>
      </c>
      <c r="BD698" t="s">
        <v>231</v>
      </c>
      <c r="BE698" t="s">
        <v>231</v>
      </c>
      <c r="BF698" t="s">
        <v>231</v>
      </c>
      <c r="BG698" t="s">
        <v>231</v>
      </c>
      <c r="BH698" t="s">
        <v>231</v>
      </c>
      <c r="BI698" t="s">
        <v>231</v>
      </c>
      <c r="BJ698" t="s">
        <v>231</v>
      </c>
      <c r="BK698" t="s">
        <v>231</v>
      </c>
      <c r="BL698" t="s">
        <v>231</v>
      </c>
      <c r="BM698" t="s">
        <v>231</v>
      </c>
      <c r="BN698" t="s">
        <v>231</v>
      </c>
      <c r="BO698" t="s">
        <v>231</v>
      </c>
      <c r="BP698" t="s">
        <v>231</v>
      </c>
      <c r="BQ698" t="s">
        <v>231</v>
      </c>
      <c r="BR698" t="s">
        <v>231</v>
      </c>
      <c r="BS698" t="s">
        <v>231</v>
      </c>
      <c r="BT698" t="s">
        <v>231</v>
      </c>
      <c r="CS698" t="s">
        <v>231</v>
      </c>
      <c r="CT698" t="s">
        <v>3534</v>
      </c>
      <c r="CU698" t="s">
        <v>3535</v>
      </c>
      <c r="CV698" t="s">
        <v>3997</v>
      </c>
      <c r="CW698" t="s">
        <v>3998</v>
      </c>
      <c r="CX698" t="s">
        <v>3570</v>
      </c>
      <c r="CY698" t="s">
        <v>3997</v>
      </c>
      <c r="CZ698" t="s">
        <v>5106</v>
      </c>
      <c r="DA698" t="s">
        <v>3999</v>
      </c>
      <c r="DB698" t="s">
        <v>3998</v>
      </c>
      <c r="DC698" t="s">
        <v>363</v>
      </c>
      <c r="DD698" t="s">
        <v>5099</v>
      </c>
      <c r="DE698" t="s">
        <v>5332</v>
      </c>
    </row>
    <row r="699" spans="1:109" ht="11.25" customHeight="1">
      <c r="A699" s="1314" t="s">
        <v>231</v>
      </c>
      <c r="B699" t="s">
        <v>231</v>
      </c>
      <c r="C699" t="s">
        <v>231</v>
      </c>
      <c r="D699" t="s">
        <v>231</v>
      </c>
      <c r="E699" t="s">
        <v>231</v>
      </c>
      <c r="F699" t="s">
        <v>231</v>
      </c>
      <c r="G699" t="s">
        <v>231</v>
      </c>
      <c r="H699" t="s">
        <v>231</v>
      </c>
      <c r="I699" t="s">
        <v>5086</v>
      </c>
      <c r="J699" t="s">
        <v>231</v>
      </c>
      <c r="K699" t="s">
        <v>231</v>
      </c>
      <c r="L699" t="s">
        <v>231</v>
      </c>
      <c r="M699" t="s">
        <v>231</v>
      </c>
      <c r="N699" t="s">
        <v>231</v>
      </c>
      <c r="O699" t="s">
        <v>231</v>
      </c>
      <c r="P699" t="s">
        <v>231</v>
      </c>
      <c r="Q699" t="s">
        <v>231</v>
      </c>
      <c r="R699" t="s">
        <v>5333</v>
      </c>
      <c r="S699" t="s">
        <v>231</v>
      </c>
      <c r="T699" t="s">
        <v>231</v>
      </c>
      <c r="U699" t="s">
        <v>101</v>
      </c>
      <c r="V699" t="s">
        <v>231</v>
      </c>
      <c r="W699" t="s">
        <v>231</v>
      </c>
      <c r="X699" t="s">
        <v>5088</v>
      </c>
      <c r="Y699" t="s">
        <v>231</v>
      </c>
      <c r="Z699" t="s">
        <v>160</v>
      </c>
      <c r="AA699" t="s">
        <v>151</v>
      </c>
      <c r="AB699" t="s">
        <v>151</v>
      </c>
      <c r="AC699" t="s">
        <v>2262</v>
      </c>
      <c r="AD699" t="s">
        <v>2262</v>
      </c>
      <c r="AE699" t="s">
        <v>2264</v>
      </c>
      <c r="AF699" t="s">
        <v>3524</v>
      </c>
      <c r="AG699" t="s">
        <v>3525</v>
      </c>
      <c r="AH699" t="s">
        <v>5334</v>
      </c>
      <c r="AI699" t="s">
        <v>4684</v>
      </c>
      <c r="AJ699" t="s">
        <v>3529</v>
      </c>
      <c r="AK699" t="s">
        <v>5239</v>
      </c>
      <c r="AL699" t="s">
        <v>5092</v>
      </c>
      <c r="AN699" t="s">
        <v>3951</v>
      </c>
      <c r="AO699" t="s">
        <v>5335</v>
      </c>
      <c r="AP699" t="s">
        <v>231</v>
      </c>
      <c r="AQ699" t="s">
        <v>231</v>
      </c>
      <c r="AR699" t="s">
        <v>231</v>
      </c>
      <c r="AS699" t="s">
        <v>231</v>
      </c>
      <c r="AT699" t="s">
        <v>231</v>
      </c>
      <c r="AU699" t="s">
        <v>231</v>
      </c>
      <c r="AV699" t="s">
        <v>231</v>
      </c>
      <c r="AW699" t="s">
        <v>231</v>
      </c>
      <c r="AX699" t="s">
        <v>231</v>
      </c>
      <c r="AY699" t="s">
        <v>231</v>
      </c>
      <c r="AZ699" t="s">
        <v>231</v>
      </c>
      <c r="BA699" t="s">
        <v>231</v>
      </c>
      <c r="BB699" t="s">
        <v>231</v>
      </c>
      <c r="BC699" t="s">
        <v>231</v>
      </c>
      <c r="BD699" t="s">
        <v>231</v>
      </c>
      <c r="BE699" t="s">
        <v>231</v>
      </c>
      <c r="BF699" t="s">
        <v>231</v>
      </c>
      <c r="BG699" t="s">
        <v>231</v>
      </c>
      <c r="BH699" t="s">
        <v>231</v>
      </c>
      <c r="BI699" t="s">
        <v>231</v>
      </c>
      <c r="BJ699" t="s">
        <v>231</v>
      </c>
      <c r="BK699" t="s">
        <v>231</v>
      </c>
      <c r="BL699" t="s">
        <v>231</v>
      </c>
      <c r="BM699" t="s">
        <v>231</v>
      </c>
      <c r="BN699" t="s">
        <v>231</v>
      </c>
      <c r="BO699" t="s">
        <v>231</v>
      </c>
      <c r="BP699" t="s">
        <v>231</v>
      </c>
      <c r="BQ699" t="s">
        <v>231</v>
      </c>
      <c r="BR699" t="s">
        <v>231</v>
      </c>
      <c r="BS699" t="s">
        <v>231</v>
      </c>
      <c r="BT699" t="s">
        <v>231</v>
      </c>
      <c r="CS699" t="s">
        <v>231</v>
      </c>
      <c r="CT699" t="s">
        <v>3534</v>
      </c>
      <c r="CU699" t="s">
        <v>3535</v>
      </c>
      <c r="CV699" t="s">
        <v>3536</v>
      </c>
      <c r="CW699" t="s">
        <v>3537</v>
      </c>
      <c r="CX699" t="s">
        <v>223</v>
      </c>
      <c r="CY699" t="s">
        <v>3536</v>
      </c>
      <c r="CZ699" t="s">
        <v>3538</v>
      </c>
      <c r="DA699" t="s">
        <v>3539</v>
      </c>
      <c r="DB699" t="s">
        <v>3537</v>
      </c>
      <c r="DC699" t="s">
        <v>363</v>
      </c>
      <c r="DD699" t="s">
        <v>5099</v>
      </c>
      <c r="DE699" t="s">
        <v>5336</v>
      </c>
    </row>
    <row r="700" spans="1:109" ht="11.25" customHeight="1">
      <c r="A700" s="1314" t="s">
        <v>231</v>
      </c>
      <c r="B700" t="s">
        <v>231</v>
      </c>
      <c r="C700" t="s">
        <v>231</v>
      </c>
      <c r="D700" t="s">
        <v>231</v>
      </c>
      <c r="E700" t="s">
        <v>231</v>
      </c>
      <c r="F700" t="s">
        <v>231</v>
      </c>
      <c r="G700" t="s">
        <v>231</v>
      </c>
      <c r="H700" t="s">
        <v>231</v>
      </c>
      <c r="I700" t="s">
        <v>5086</v>
      </c>
      <c r="J700" t="s">
        <v>231</v>
      </c>
      <c r="K700" t="s">
        <v>231</v>
      </c>
      <c r="L700" t="s">
        <v>231</v>
      </c>
      <c r="M700" t="s">
        <v>231</v>
      </c>
      <c r="N700" t="s">
        <v>231</v>
      </c>
      <c r="O700" t="s">
        <v>231</v>
      </c>
      <c r="P700" t="s">
        <v>231</v>
      </c>
      <c r="Q700" t="s">
        <v>231</v>
      </c>
      <c r="R700" t="s">
        <v>5337</v>
      </c>
      <c r="S700" t="s">
        <v>231</v>
      </c>
      <c r="T700" t="s">
        <v>231</v>
      </c>
      <c r="U700" t="s">
        <v>101</v>
      </c>
      <c r="V700" t="s">
        <v>231</v>
      </c>
      <c r="W700" t="s">
        <v>231</v>
      </c>
      <c r="X700" t="s">
        <v>5088</v>
      </c>
      <c r="Y700" t="s">
        <v>231</v>
      </c>
      <c r="Z700" t="s">
        <v>160</v>
      </c>
      <c r="AA700" t="s">
        <v>151</v>
      </c>
      <c r="AB700" t="s">
        <v>151</v>
      </c>
      <c r="AC700" t="s">
        <v>2289</v>
      </c>
      <c r="AD700" t="s">
        <v>2289</v>
      </c>
      <c r="AE700" t="s">
        <v>2290</v>
      </c>
      <c r="AF700" t="s">
        <v>3793</v>
      </c>
      <c r="AG700" t="s">
        <v>3794</v>
      </c>
      <c r="AH700" t="s">
        <v>5338</v>
      </c>
      <c r="AI700" t="s">
        <v>3667</v>
      </c>
      <c r="AJ700" t="s">
        <v>4996</v>
      </c>
      <c r="AK700" t="s">
        <v>5297</v>
      </c>
      <c r="AL700" t="s">
        <v>5092</v>
      </c>
      <c r="AN700" t="s">
        <v>3549</v>
      </c>
      <c r="AO700" t="s">
        <v>3668</v>
      </c>
      <c r="AP700" t="s">
        <v>231</v>
      </c>
      <c r="AQ700" t="s">
        <v>231</v>
      </c>
      <c r="AR700" t="s">
        <v>231</v>
      </c>
      <c r="AS700" t="s">
        <v>231</v>
      </c>
      <c r="AT700" t="s">
        <v>231</v>
      </c>
      <c r="AU700" t="s">
        <v>231</v>
      </c>
      <c r="AV700" t="s">
        <v>231</v>
      </c>
      <c r="AW700" t="s">
        <v>231</v>
      </c>
      <c r="AX700" t="s">
        <v>231</v>
      </c>
      <c r="AY700" t="s">
        <v>231</v>
      </c>
      <c r="AZ700" t="s">
        <v>231</v>
      </c>
      <c r="BA700" t="s">
        <v>231</v>
      </c>
      <c r="BB700" t="s">
        <v>231</v>
      </c>
      <c r="BC700" t="s">
        <v>231</v>
      </c>
      <c r="BD700" t="s">
        <v>231</v>
      </c>
      <c r="BE700" t="s">
        <v>231</v>
      </c>
      <c r="BF700" t="s">
        <v>231</v>
      </c>
      <c r="BG700" t="s">
        <v>231</v>
      </c>
      <c r="BH700" t="s">
        <v>231</v>
      </c>
      <c r="BI700" t="s">
        <v>231</v>
      </c>
      <c r="BJ700" t="s">
        <v>231</v>
      </c>
      <c r="BK700" t="s">
        <v>231</v>
      </c>
      <c r="BL700" t="s">
        <v>231</v>
      </c>
      <c r="BM700" t="s">
        <v>231</v>
      </c>
      <c r="BN700" t="s">
        <v>231</v>
      </c>
      <c r="BO700" t="s">
        <v>231</v>
      </c>
      <c r="BP700" t="s">
        <v>231</v>
      </c>
      <c r="BQ700" t="s">
        <v>231</v>
      </c>
      <c r="BR700" t="s">
        <v>231</v>
      </c>
      <c r="BS700" t="s">
        <v>231</v>
      </c>
      <c r="BT700" t="s">
        <v>231</v>
      </c>
      <c r="CS700" t="s">
        <v>231</v>
      </c>
      <c r="CT700" t="s">
        <v>3534</v>
      </c>
      <c r="CU700" t="s">
        <v>3535</v>
      </c>
      <c r="CV700" t="s">
        <v>3536</v>
      </c>
      <c r="CW700" t="s">
        <v>3589</v>
      </c>
      <c r="CX700" t="s">
        <v>223</v>
      </c>
      <c r="CY700" t="s">
        <v>3536</v>
      </c>
      <c r="CZ700" t="s">
        <v>3590</v>
      </c>
      <c r="DA700" t="s">
        <v>3591</v>
      </c>
      <c r="DB700" t="s">
        <v>3589</v>
      </c>
      <c r="DC700" t="s">
        <v>363</v>
      </c>
      <c r="DD700" t="s">
        <v>5099</v>
      </c>
      <c r="DE700" t="s">
        <v>5339</v>
      </c>
    </row>
    <row r="701" spans="1:109" ht="11.25" customHeight="1">
      <c r="A701" s="1314" t="s">
        <v>231</v>
      </c>
      <c r="B701" t="s">
        <v>231</v>
      </c>
      <c r="C701" t="s">
        <v>231</v>
      </c>
      <c r="D701" t="s">
        <v>231</v>
      </c>
      <c r="E701" t="s">
        <v>231</v>
      </c>
      <c r="F701" t="s">
        <v>231</v>
      </c>
      <c r="G701" t="s">
        <v>231</v>
      </c>
      <c r="H701" t="s">
        <v>231</v>
      </c>
      <c r="I701" t="s">
        <v>5086</v>
      </c>
      <c r="J701" t="s">
        <v>231</v>
      </c>
      <c r="K701" t="s">
        <v>231</v>
      </c>
      <c r="L701" t="s">
        <v>231</v>
      </c>
      <c r="M701" t="s">
        <v>231</v>
      </c>
      <c r="N701" t="s">
        <v>231</v>
      </c>
      <c r="O701" t="s">
        <v>231</v>
      </c>
      <c r="P701" t="s">
        <v>231</v>
      </c>
      <c r="Q701" t="s">
        <v>231</v>
      </c>
      <c r="R701" t="s">
        <v>5340</v>
      </c>
      <c r="S701" t="s">
        <v>231</v>
      </c>
      <c r="T701" t="s">
        <v>231</v>
      </c>
      <c r="U701" t="s">
        <v>101</v>
      </c>
      <c r="V701" t="s">
        <v>231</v>
      </c>
      <c r="W701" t="s">
        <v>231</v>
      </c>
      <c r="X701" t="s">
        <v>5088</v>
      </c>
      <c r="Y701" t="s">
        <v>231</v>
      </c>
      <c r="Z701" t="s">
        <v>160</v>
      </c>
      <c r="AA701" t="s">
        <v>151</v>
      </c>
      <c r="AB701" t="s">
        <v>151</v>
      </c>
      <c r="AC701" t="s">
        <v>2289</v>
      </c>
      <c r="AD701" t="s">
        <v>2289</v>
      </c>
      <c r="AE701" t="s">
        <v>2290</v>
      </c>
      <c r="AF701" t="s">
        <v>3793</v>
      </c>
      <c r="AG701" t="s">
        <v>3794</v>
      </c>
      <c r="AH701" t="s">
        <v>5341</v>
      </c>
      <c r="AI701" t="s">
        <v>3618</v>
      </c>
      <c r="AJ701" t="s">
        <v>4996</v>
      </c>
      <c r="AK701" t="s">
        <v>5297</v>
      </c>
      <c r="AL701" t="s">
        <v>5092</v>
      </c>
      <c r="AN701" t="s">
        <v>3549</v>
      </c>
      <c r="AO701" t="s">
        <v>5098</v>
      </c>
      <c r="AP701" t="s">
        <v>231</v>
      </c>
      <c r="AQ701" t="s">
        <v>231</v>
      </c>
      <c r="AR701" t="s">
        <v>231</v>
      </c>
      <c r="AS701" t="s">
        <v>231</v>
      </c>
      <c r="AT701" t="s">
        <v>231</v>
      </c>
      <c r="AU701" t="s">
        <v>231</v>
      </c>
      <c r="AV701" t="s">
        <v>231</v>
      </c>
      <c r="AW701" t="s">
        <v>231</v>
      </c>
      <c r="AX701" t="s">
        <v>231</v>
      </c>
      <c r="AY701" t="s">
        <v>231</v>
      </c>
      <c r="AZ701" t="s">
        <v>231</v>
      </c>
      <c r="BA701" t="s">
        <v>231</v>
      </c>
      <c r="BB701" t="s">
        <v>231</v>
      </c>
      <c r="BC701" t="s">
        <v>231</v>
      </c>
      <c r="BD701" t="s">
        <v>231</v>
      </c>
      <c r="BE701" t="s">
        <v>231</v>
      </c>
      <c r="BF701" t="s">
        <v>231</v>
      </c>
      <c r="BG701" t="s">
        <v>231</v>
      </c>
      <c r="BH701" t="s">
        <v>231</v>
      </c>
      <c r="BI701" t="s">
        <v>231</v>
      </c>
      <c r="BJ701" t="s">
        <v>231</v>
      </c>
      <c r="BK701" t="s">
        <v>231</v>
      </c>
      <c r="BL701" t="s">
        <v>231</v>
      </c>
      <c r="BM701" t="s">
        <v>231</v>
      </c>
      <c r="BN701" t="s">
        <v>231</v>
      </c>
      <c r="BO701" t="s">
        <v>231</v>
      </c>
      <c r="BP701" t="s">
        <v>231</v>
      </c>
      <c r="BQ701" t="s">
        <v>231</v>
      </c>
      <c r="BR701" t="s">
        <v>231</v>
      </c>
      <c r="BS701" t="s">
        <v>231</v>
      </c>
      <c r="BT701" t="s">
        <v>231</v>
      </c>
      <c r="CS701" t="s">
        <v>231</v>
      </c>
      <c r="CT701" t="s">
        <v>3534</v>
      </c>
      <c r="CU701" t="s">
        <v>3535</v>
      </c>
      <c r="CV701" t="s">
        <v>3536</v>
      </c>
      <c r="CW701" t="s">
        <v>3589</v>
      </c>
      <c r="CX701" t="s">
        <v>223</v>
      </c>
      <c r="CY701" t="s">
        <v>3536</v>
      </c>
      <c r="CZ701" t="s">
        <v>3590</v>
      </c>
      <c r="DA701" t="s">
        <v>3591</v>
      </c>
      <c r="DB701" t="s">
        <v>3589</v>
      </c>
      <c r="DC701" t="s">
        <v>363</v>
      </c>
      <c r="DD701" t="s">
        <v>5099</v>
      </c>
      <c r="DE701" t="s">
        <v>5342</v>
      </c>
    </row>
    <row r="702" spans="1:109" ht="11.25" customHeight="1">
      <c r="A702" s="1314" t="s">
        <v>231</v>
      </c>
      <c r="B702" t="s">
        <v>231</v>
      </c>
      <c r="C702" t="s">
        <v>231</v>
      </c>
      <c r="D702" t="s">
        <v>231</v>
      </c>
      <c r="E702" t="s">
        <v>231</v>
      </c>
      <c r="F702" t="s">
        <v>231</v>
      </c>
      <c r="G702" t="s">
        <v>231</v>
      </c>
      <c r="H702" t="s">
        <v>231</v>
      </c>
      <c r="I702" t="s">
        <v>5086</v>
      </c>
      <c r="J702" t="s">
        <v>231</v>
      </c>
      <c r="K702" t="s">
        <v>231</v>
      </c>
      <c r="L702" t="s">
        <v>231</v>
      </c>
      <c r="M702" t="s">
        <v>231</v>
      </c>
      <c r="N702" t="s">
        <v>231</v>
      </c>
      <c r="O702" t="s">
        <v>231</v>
      </c>
      <c r="P702" t="s">
        <v>231</v>
      </c>
      <c r="Q702" t="s">
        <v>231</v>
      </c>
      <c r="R702" t="s">
        <v>5343</v>
      </c>
      <c r="S702" t="s">
        <v>231</v>
      </c>
      <c r="T702" t="s">
        <v>231</v>
      </c>
      <c r="U702" t="s">
        <v>101</v>
      </c>
      <c r="V702" t="s">
        <v>231</v>
      </c>
      <c r="W702" t="s">
        <v>231</v>
      </c>
      <c r="X702" t="s">
        <v>3628</v>
      </c>
      <c r="Y702" t="s">
        <v>231</v>
      </c>
      <c r="Z702" t="s">
        <v>151</v>
      </c>
      <c r="AA702" t="s">
        <v>151</v>
      </c>
      <c r="AB702" t="s">
        <v>160</v>
      </c>
      <c r="AC702" t="s">
        <v>2289</v>
      </c>
      <c r="AD702" t="s">
        <v>2289</v>
      </c>
      <c r="AE702" t="s">
        <v>2290</v>
      </c>
      <c r="AF702" t="s">
        <v>3582</v>
      </c>
      <c r="AG702" t="s">
        <v>3583</v>
      </c>
      <c r="AH702" t="s">
        <v>3618</v>
      </c>
      <c r="AI702" t="s">
        <v>3618</v>
      </c>
      <c r="AJ702" t="s">
        <v>231</v>
      </c>
      <c r="AK702" t="s">
        <v>231</v>
      </c>
      <c r="AL702" t="s">
        <v>231</v>
      </c>
      <c r="AN702" t="s">
        <v>231</v>
      </c>
      <c r="AO702" t="s">
        <v>231</v>
      </c>
      <c r="AP702" t="s">
        <v>231</v>
      </c>
      <c r="AQ702" t="s">
        <v>231</v>
      </c>
      <c r="AR702" t="s">
        <v>231</v>
      </c>
      <c r="AS702" t="s">
        <v>231</v>
      </c>
      <c r="AT702" t="s">
        <v>231</v>
      </c>
      <c r="AU702" t="s">
        <v>231</v>
      </c>
      <c r="AV702" t="s">
        <v>231</v>
      </c>
      <c r="AW702" t="s">
        <v>231</v>
      </c>
      <c r="AX702" t="s">
        <v>231</v>
      </c>
      <c r="AY702" t="s">
        <v>231</v>
      </c>
      <c r="AZ702" t="s">
        <v>231</v>
      </c>
      <c r="BA702" t="s">
        <v>231</v>
      </c>
      <c r="BB702" t="s">
        <v>231</v>
      </c>
      <c r="BC702" t="s">
        <v>231</v>
      </c>
      <c r="BD702" t="s">
        <v>231</v>
      </c>
      <c r="BE702" t="s">
        <v>3547</v>
      </c>
      <c r="BF702" t="s">
        <v>3820</v>
      </c>
      <c r="BG702" t="s">
        <v>111</v>
      </c>
      <c r="BH702" t="s">
        <v>3632</v>
      </c>
      <c r="BI702" t="s">
        <v>122</v>
      </c>
      <c r="BJ702" t="s">
        <v>231</v>
      </c>
      <c r="BK702" t="s">
        <v>231</v>
      </c>
      <c r="BL702" t="s">
        <v>2289</v>
      </c>
      <c r="BM702" t="s">
        <v>2289</v>
      </c>
      <c r="BN702" t="s">
        <v>3707</v>
      </c>
      <c r="BO702" t="s">
        <v>3582</v>
      </c>
      <c r="BP702" t="s">
        <v>4234</v>
      </c>
      <c r="BQ702" t="s">
        <v>3618</v>
      </c>
      <c r="BR702" t="s">
        <v>3618</v>
      </c>
      <c r="BS702" t="s">
        <v>231</v>
      </c>
      <c r="BT702" t="s">
        <v>3694</v>
      </c>
      <c r="CS702" t="s">
        <v>5212</v>
      </c>
      <c r="CT702" t="s">
        <v>3534</v>
      </c>
      <c r="CU702" t="s">
        <v>3535</v>
      </c>
      <c r="CV702" t="s">
        <v>3536</v>
      </c>
      <c r="CW702" t="s">
        <v>3589</v>
      </c>
      <c r="CX702" t="s">
        <v>223</v>
      </c>
      <c r="CY702" t="s">
        <v>3536</v>
      </c>
      <c r="CZ702" t="s">
        <v>3590</v>
      </c>
      <c r="DA702" t="s">
        <v>3591</v>
      </c>
      <c r="DB702" t="s">
        <v>3589</v>
      </c>
      <c r="DC702" t="s">
        <v>363</v>
      </c>
      <c r="DD702" t="s">
        <v>5099</v>
      </c>
      <c r="DE702" t="s">
        <v>4236</v>
      </c>
    </row>
    <row r="703" spans="1:109" ht="11.25" customHeight="1">
      <c r="A703" s="1314" t="s">
        <v>231</v>
      </c>
      <c r="B703" t="s">
        <v>231</v>
      </c>
      <c r="C703" t="s">
        <v>231</v>
      </c>
      <c r="D703" t="s">
        <v>231</v>
      </c>
      <c r="E703" t="s">
        <v>231</v>
      </c>
      <c r="F703" t="s">
        <v>231</v>
      </c>
      <c r="G703" t="s">
        <v>231</v>
      </c>
      <c r="H703" t="s">
        <v>231</v>
      </c>
      <c r="I703" t="s">
        <v>5086</v>
      </c>
      <c r="J703" t="s">
        <v>231</v>
      </c>
      <c r="K703" t="s">
        <v>231</v>
      </c>
      <c r="L703" t="s">
        <v>231</v>
      </c>
      <c r="M703" t="s">
        <v>231</v>
      </c>
      <c r="N703" t="s">
        <v>231</v>
      </c>
      <c r="O703" t="s">
        <v>231</v>
      </c>
      <c r="P703" t="s">
        <v>231</v>
      </c>
      <c r="Q703" t="s">
        <v>231</v>
      </c>
      <c r="R703" t="s">
        <v>5344</v>
      </c>
      <c r="S703" t="s">
        <v>231</v>
      </c>
      <c r="T703" t="s">
        <v>231</v>
      </c>
      <c r="U703" t="s">
        <v>101</v>
      </c>
      <c r="V703" t="s">
        <v>231</v>
      </c>
      <c r="W703" t="s">
        <v>231</v>
      </c>
      <c r="X703" t="s">
        <v>5088</v>
      </c>
      <c r="Y703" t="s">
        <v>231</v>
      </c>
      <c r="Z703" t="s">
        <v>160</v>
      </c>
      <c r="AA703" t="s">
        <v>151</v>
      </c>
      <c r="AB703" t="s">
        <v>151</v>
      </c>
      <c r="AC703" t="s">
        <v>343</v>
      </c>
      <c r="AD703" t="s">
        <v>343</v>
      </c>
      <c r="AE703" t="s">
        <v>344</v>
      </c>
      <c r="AF703" t="s">
        <v>3561</v>
      </c>
      <c r="AG703" t="s">
        <v>3562</v>
      </c>
      <c r="AH703" t="s">
        <v>5345</v>
      </c>
      <c r="AI703" t="s">
        <v>5346</v>
      </c>
      <c r="AJ703" t="s">
        <v>3546</v>
      </c>
      <c r="AK703" t="s">
        <v>3641</v>
      </c>
      <c r="AL703" t="s">
        <v>5092</v>
      </c>
      <c r="AN703" t="s">
        <v>3532</v>
      </c>
      <c r="AO703" t="s">
        <v>5347</v>
      </c>
      <c r="AP703" t="s">
        <v>231</v>
      </c>
      <c r="AQ703" t="s">
        <v>231</v>
      </c>
      <c r="AR703" t="s">
        <v>231</v>
      </c>
      <c r="AS703" t="s">
        <v>231</v>
      </c>
      <c r="AT703" t="s">
        <v>231</v>
      </c>
      <c r="AU703" t="s">
        <v>231</v>
      </c>
      <c r="AV703" t="s">
        <v>231</v>
      </c>
      <c r="AW703" t="s">
        <v>231</v>
      </c>
      <c r="AX703" t="s">
        <v>231</v>
      </c>
      <c r="AY703" t="s">
        <v>231</v>
      </c>
      <c r="AZ703" t="s">
        <v>231</v>
      </c>
      <c r="BA703" t="s">
        <v>231</v>
      </c>
      <c r="BB703" t="s">
        <v>231</v>
      </c>
      <c r="BC703" t="s">
        <v>231</v>
      </c>
      <c r="BD703" t="s">
        <v>231</v>
      </c>
      <c r="BE703" t="s">
        <v>231</v>
      </c>
      <c r="BF703" t="s">
        <v>231</v>
      </c>
      <c r="BG703" t="s">
        <v>231</v>
      </c>
      <c r="BH703" t="s">
        <v>231</v>
      </c>
      <c r="BI703" t="s">
        <v>231</v>
      </c>
      <c r="BJ703" t="s">
        <v>231</v>
      </c>
      <c r="BK703" t="s">
        <v>231</v>
      </c>
      <c r="BL703" t="s">
        <v>231</v>
      </c>
      <c r="BM703" t="s">
        <v>231</v>
      </c>
      <c r="BN703" t="s">
        <v>231</v>
      </c>
      <c r="BO703" t="s">
        <v>231</v>
      </c>
      <c r="BP703" t="s">
        <v>231</v>
      </c>
      <c r="BQ703" t="s">
        <v>231</v>
      </c>
      <c r="BR703" t="s">
        <v>231</v>
      </c>
      <c r="BS703" t="s">
        <v>231</v>
      </c>
      <c r="BT703" t="s">
        <v>231</v>
      </c>
      <c r="CS703" t="s">
        <v>231</v>
      </c>
      <c r="CT703" t="s">
        <v>3534</v>
      </c>
      <c r="CU703" t="s">
        <v>3535</v>
      </c>
      <c r="CV703" t="s">
        <v>3536</v>
      </c>
      <c r="CW703" t="s">
        <v>3569</v>
      </c>
      <c r="CX703" t="s">
        <v>223</v>
      </c>
      <c r="CY703" t="s">
        <v>3536</v>
      </c>
      <c r="CZ703" t="s">
        <v>224</v>
      </c>
      <c r="DA703" t="s">
        <v>3571</v>
      </c>
      <c r="DB703" t="s">
        <v>5348</v>
      </c>
      <c r="DC703" t="s">
        <v>363</v>
      </c>
      <c r="DD703" t="s">
        <v>5099</v>
      </c>
      <c r="DE703" t="s">
        <v>5349</v>
      </c>
    </row>
    <row r="704" spans="1:109" ht="11.25" customHeight="1">
      <c r="A704" s="1314" t="s">
        <v>231</v>
      </c>
      <c r="B704" t="s">
        <v>231</v>
      </c>
      <c r="C704" t="s">
        <v>231</v>
      </c>
      <c r="D704" t="s">
        <v>231</v>
      </c>
      <c r="E704" t="s">
        <v>231</v>
      </c>
      <c r="F704" t="s">
        <v>231</v>
      </c>
      <c r="G704" t="s">
        <v>231</v>
      </c>
      <c r="H704" t="s">
        <v>231</v>
      </c>
      <c r="I704" t="s">
        <v>5086</v>
      </c>
      <c r="J704" t="s">
        <v>231</v>
      </c>
      <c r="K704" t="s">
        <v>231</v>
      </c>
      <c r="L704" t="s">
        <v>231</v>
      </c>
      <c r="M704" t="s">
        <v>231</v>
      </c>
      <c r="N704" t="s">
        <v>231</v>
      </c>
      <c r="O704" t="s">
        <v>231</v>
      </c>
      <c r="P704" t="s">
        <v>231</v>
      </c>
      <c r="Q704" t="s">
        <v>231</v>
      </c>
      <c r="R704" t="s">
        <v>5350</v>
      </c>
      <c r="S704" t="s">
        <v>231</v>
      </c>
      <c r="T704" t="s">
        <v>231</v>
      </c>
      <c r="U704" t="s">
        <v>101</v>
      </c>
      <c r="V704" t="s">
        <v>231</v>
      </c>
      <c r="W704" t="s">
        <v>231</v>
      </c>
      <c r="X704" t="s">
        <v>5088</v>
      </c>
      <c r="Y704" t="s">
        <v>231</v>
      </c>
      <c r="Z704" t="s">
        <v>160</v>
      </c>
      <c r="AA704" t="s">
        <v>151</v>
      </c>
      <c r="AB704" t="s">
        <v>151</v>
      </c>
      <c r="AC704" t="s">
        <v>343</v>
      </c>
      <c r="AD704" t="s">
        <v>343</v>
      </c>
      <c r="AE704" t="s">
        <v>344</v>
      </c>
      <c r="AF704" t="s">
        <v>3561</v>
      </c>
      <c r="AG704" t="s">
        <v>3562</v>
      </c>
      <c r="AH704" t="s">
        <v>5345</v>
      </c>
      <c r="AI704" t="s">
        <v>321</v>
      </c>
      <c r="AJ704" t="s">
        <v>5351</v>
      </c>
      <c r="AK704" t="s">
        <v>5352</v>
      </c>
      <c r="AL704" t="s">
        <v>5092</v>
      </c>
      <c r="AN704" t="s">
        <v>3532</v>
      </c>
      <c r="AO704" t="s">
        <v>5347</v>
      </c>
      <c r="AP704" t="s">
        <v>231</v>
      </c>
      <c r="AQ704" t="s">
        <v>231</v>
      </c>
      <c r="AR704" t="s">
        <v>231</v>
      </c>
      <c r="AS704" t="s">
        <v>231</v>
      </c>
      <c r="AT704" t="s">
        <v>231</v>
      </c>
      <c r="AU704" t="s">
        <v>231</v>
      </c>
      <c r="AV704" t="s">
        <v>231</v>
      </c>
      <c r="AW704" t="s">
        <v>231</v>
      </c>
      <c r="AX704" t="s">
        <v>231</v>
      </c>
      <c r="AY704" t="s">
        <v>231</v>
      </c>
      <c r="AZ704" t="s">
        <v>231</v>
      </c>
      <c r="BA704" t="s">
        <v>231</v>
      </c>
      <c r="BB704" t="s">
        <v>231</v>
      </c>
      <c r="BC704" t="s">
        <v>231</v>
      </c>
      <c r="BD704" t="s">
        <v>231</v>
      </c>
      <c r="BE704" t="s">
        <v>231</v>
      </c>
      <c r="BF704" t="s">
        <v>231</v>
      </c>
      <c r="BG704" t="s">
        <v>231</v>
      </c>
      <c r="BH704" t="s">
        <v>231</v>
      </c>
      <c r="BI704" t="s">
        <v>231</v>
      </c>
      <c r="BJ704" t="s">
        <v>231</v>
      </c>
      <c r="BK704" t="s">
        <v>231</v>
      </c>
      <c r="BL704" t="s">
        <v>231</v>
      </c>
      <c r="BM704" t="s">
        <v>231</v>
      </c>
      <c r="BN704" t="s">
        <v>231</v>
      </c>
      <c r="BO704" t="s">
        <v>231</v>
      </c>
      <c r="BP704" t="s">
        <v>231</v>
      </c>
      <c r="BQ704" t="s">
        <v>231</v>
      </c>
      <c r="BR704" t="s">
        <v>231</v>
      </c>
      <c r="BS704" t="s">
        <v>231</v>
      </c>
      <c r="BT704" t="s">
        <v>231</v>
      </c>
      <c r="CS704" t="s">
        <v>231</v>
      </c>
      <c r="CT704" t="s">
        <v>3534</v>
      </c>
      <c r="CU704" t="s">
        <v>3535</v>
      </c>
      <c r="CV704" t="s">
        <v>3536</v>
      </c>
      <c r="CW704" t="s">
        <v>3569</v>
      </c>
      <c r="CX704" t="s">
        <v>223</v>
      </c>
      <c r="CY704" t="s">
        <v>3536</v>
      </c>
      <c r="CZ704" t="s">
        <v>224</v>
      </c>
      <c r="DA704" t="s">
        <v>3571</v>
      </c>
      <c r="DB704" t="s">
        <v>5348</v>
      </c>
      <c r="DC704" t="s">
        <v>363</v>
      </c>
      <c r="DD704" t="s">
        <v>5099</v>
      </c>
      <c r="DE704" t="s">
        <v>5353</v>
      </c>
    </row>
    <row r="705" spans="1:109" ht="11.25" customHeight="1">
      <c r="A705" s="1314" t="s">
        <v>231</v>
      </c>
      <c r="B705" t="s">
        <v>231</v>
      </c>
      <c r="C705" t="s">
        <v>231</v>
      </c>
      <c r="D705" t="s">
        <v>231</v>
      </c>
      <c r="E705" t="s">
        <v>231</v>
      </c>
      <c r="F705" t="s">
        <v>231</v>
      </c>
      <c r="G705" t="s">
        <v>231</v>
      </c>
      <c r="H705" t="s">
        <v>231</v>
      </c>
      <c r="I705" t="s">
        <v>5086</v>
      </c>
      <c r="J705" t="s">
        <v>231</v>
      </c>
      <c r="K705" t="s">
        <v>231</v>
      </c>
      <c r="L705" t="s">
        <v>231</v>
      </c>
      <c r="M705" t="s">
        <v>231</v>
      </c>
      <c r="N705" t="s">
        <v>231</v>
      </c>
      <c r="O705" t="s">
        <v>231</v>
      </c>
      <c r="P705" t="s">
        <v>231</v>
      </c>
      <c r="Q705" t="s">
        <v>231</v>
      </c>
      <c r="R705" t="s">
        <v>5354</v>
      </c>
      <c r="S705" t="s">
        <v>231</v>
      </c>
      <c r="T705" t="s">
        <v>231</v>
      </c>
      <c r="U705" t="s">
        <v>101</v>
      </c>
      <c r="V705" t="s">
        <v>231</v>
      </c>
      <c r="W705" t="s">
        <v>231</v>
      </c>
      <c r="X705" t="s">
        <v>5088</v>
      </c>
      <c r="Y705" t="s">
        <v>231</v>
      </c>
      <c r="Z705" t="s">
        <v>160</v>
      </c>
      <c r="AA705" t="s">
        <v>151</v>
      </c>
      <c r="AB705" t="s">
        <v>151</v>
      </c>
      <c r="AC705" t="s">
        <v>343</v>
      </c>
      <c r="AD705" t="s">
        <v>343</v>
      </c>
      <c r="AE705" t="s">
        <v>344</v>
      </c>
      <c r="AF705" t="s">
        <v>3561</v>
      </c>
      <c r="AG705" t="s">
        <v>3562</v>
      </c>
      <c r="AH705" t="s">
        <v>5355</v>
      </c>
      <c r="AI705" t="s">
        <v>3618</v>
      </c>
      <c r="AJ705" t="s">
        <v>5356</v>
      </c>
      <c r="AK705" t="s">
        <v>5357</v>
      </c>
      <c r="AL705" t="s">
        <v>5092</v>
      </c>
      <c r="AN705" t="s">
        <v>3532</v>
      </c>
      <c r="AO705" t="s">
        <v>5358</v>
      </c>
      <c r="AP705" t="s">
        <v>231</v>
      </c>
      <c r="AQ705" t="s">
        <v>231</v>
      </c>
      <c r="AR705" t="s">
        <v>231</v>
      </c>
      <c r="AS705" t="s">
        <v>231</v>
      </c>
      <c r="AT705" t="s">
        <v>231</v>
      </c>
      <c r="AU705" t="s">
        <v>231</v>
      </c>
      <c r="AV705" t="s">
        <v>231</v>
      </c>
      <c r="AW705" t="s">
        <v>231</v>
      </c>
      <c r="AX705" t="s">
        <v>231</v>
      </c>
      <c r="AY705" t="s">
        <v>231</v>
      </c>
      <c r="AZ705" t="s">
        <v>231</v>
      </c>
      <c r="BA705" t="s">
        <v>231</v>
      </c>
      <c r="BB705" t="s">
        <v>231</v>
      </c>
      <c r="BC705" t="s">
        <v>231</v>
      </c>
      <c r="BD705" t="s">
        <v>231</v>
      </c>
      <c r="BE705" t="s">
        <v>231</v>
      </c>
      <c r="BF705" t="s">
        <v>231</v>
      </c>
      <c r="BG705" t="s">
        <v>231</v>
      </c>
      <c r="BH705" t="s">
        <v>231</v>
      </c>
      <c r="BI705" t="s">
        <v>231</v>
      </c>
      <c r="BJ705" t="s">
        <v>231</v>
      </c>
      <c r="BK705" t="s">
        <v>231</v>
      </c>
      <c r="BL705" t="s">
        <v>231</v>
      </c>
      <c r="BM705" t="s">
        <v>231</v>
      </c>
      <c r="BN705" t="s">
        <v>231</v>
      </c>
      <c r="BO705" t="s">
        <v>231</v>
      </c>
      <c r="BP705" t="s">
        <v>231</v>
      </c>
      <c r="BQ705" t="s">
        <v>231</v>
      </c>
      <c r="BR705" t="s">
        <v>231</v>
      </c>
      <c r="BS705" t="s">
        <v>231</v>
      </c>
      <c r="BT705" t="s">
        <v>231</v>
      </c>
      <c r="CS705" t="s">
        <v>231</v>
      </c>
      <c r="CT705" t="s">
        <v>3534</v>
      </c>
      <c r="CU705" t="s">
        <v>3535</v>
      </c>
      <c r="CV705" t="s">
        <v>3536</v>
      </c>
      <c r="CW705" t="s">
        <v>3569</v>
      </c>
      <c r="CX705" t="s">
        <v>223</v>
      </c>
      <c r="CY705" t="s">
        <v>3536</v>
      </c>
      <c r="CZ705" t="s">
        <v>224</v>
      </c>
      <c r="DA705" t="s">
        <v>3571</v>
      </c>
      <c r="DB705" t="s">
        <v>5348</v>
      </c>
      <c r="DC705" t="s">
        <v>363</v>
      </c>
      <c r="DD705" t="s">
        <v>5099</v>
      </c>
      <c r="DE705" t="s">
        <v>5359</v>
      </c>
    </row>
    <row r="706" spans="1:109" ht="11.25" customHeight="1">
      <c r="A706" s="1314" t="s">
        <v>231</v>
      </c>
      <c r="B706" t="s">
        <v>231</v>
      </c>
      <c r="C706" t="s">
        <v>231</v>
      </c>
      <c r="D706" t="s">
        <v>231</v>
      </c>
      <c r="E706" t="s">
        <v>231</v>
      </c>
      <c r="F706" t="s">
        <v>231</v>
      </c>
      <c r="G706" t="s">
        <v>231</v>
      </c>
      <c r="H706" t="s">
        <v>231</v>
      </c>
      <c r="I706" t="s">
        <v>5086</v>
      </c>
      <c r="J706" t="s">
        <v>231</v>
      </c>
      <c r="K706" t="s">
        <v>231</v>
      </c>
      <c r="L706" t="s">
        <v>231</v>
      </c>
      <c r="M706" t="s">
        <v>231</v>
      </c>
      <c r="N706" t="s">
        <v>231</v>
      </c>
      <c r="O706" t="s">
        <v>231</v>
      </c>
      <c r="P706" t="s">
        <v>231</v>
      </c>
      <c r="Q706" t="s">
        <v>231</v>
      </c>
      <c r="R706" t="s">
        <v>5360</v>
      </c>
      <c r="S706" t="s">
        <v>231</v>
      </c>
      <c r="T706" t="s">
        <v>231</v>
      </c>
      <c r="U706" t="s">
        <v>101</v>
      </c>
      <c r="V706" t="s">
        <v>231</v>
      </c>
      <c r="W706" t="s">
        <v>231</v>
      </c>
      <c r="X706" t="s">
        <v>3628</v>
      </c>
      <c r="Y706" t="s">
        <v>231</v>
      </c>
      <c r="Z706" t="s">
        <v>151</v>
      </c>
      <c r="AA706" t="s">
        <v>151</v>
      </c>
      <c r="AB706" t="s">
        <v>160</v>
      </c>
      <c r="AC706" t="s">
        <v>343</v>
      </c>
      <c r="AD706" t="s">
        <v>343</v>
      </c>
      <c r="AE706" t="s">
        <v>344</v>
      </c>
      <c r="AF706" t="s">
        <v>3561</v>
      </c>
      <c r="AG706" t="s">
        <v>3562</v>
      </c>
      <c r="AH706" t="s">
        <v>5361</v>
      </c>
      <c r="AI706" t="s">
        <v>3575</v>
      </c>
      <c r="AJ706" t="s">
        <v>231</v>
      </c>
      <c r="AK706" t="s">
        <v>231</v>
      </c>
      <c r="AL706" t="s">
        <v>231</v>
      </c>
      <c r="AN706" t="s">
        <v>231</v>
      </c>
      <c r="AO706" t="s">
        <v>231</v>
      </c>
      <c r="AP706" t="s">
        <v>231</v>
      </c>
      <c r="AQ706" t="s">
        <v>231</v>
      </c>
      <c r="AR706" t="s">
        <v>231</v>
      </c>
      <c r="AS706" t="s">
        <v>231</v>
      </c>
      <c r="AT706" t="s">
        <v>231</v>
      </c>
      <c r="AU706" t="s">
        <v>231</v>
      </c>
      <c r="AV706" t="s">
        <v>231</v>
      </c>
      <c r="AW706" t="s">
        <v>231</v>
      </c>
      <c r="AX706" t="s">
        <v>231</v>
      </c>
      <c r="AY706" t="s">
        <v>231</v>
      </c>
      <c r="AZ706" t="s">
        <v>231</v>
      </c>
      <c r="BA706" t="s">
        <v>231</v>
      </c>
      <c r="BB706" t="s">
        <v>231</v>
      </c>
      <c r="BC706" t="s">
        <v>231</v>
      </c>
      <c r="BD706" t="s">
        <v>231</v>
      </c>
      <c r="BE706" t="s">
        <v>5362</v>
      </c>
      <c r="BF706" t="s">
        <v>5363</v>
      </c>
      <c r="BG706" t="s">
        <v>111</v>
      </c>
      <c r="BH706" t="s">
        <v>3632</v>
      </c>
      <c r="BI706" t="s">
        <v>122</v>
      </c>
      <c r="BJ706" t="s">
        <v>231</v>
      </c>
      <c r="BK706" t="s">
        <v>5364</v>
      </c>
      <c r="BL706" t="s">
        <v>343</v>
      </c>
      <c r="BM706" t="s">
        <v>343</v>
      </c>
      <c r="BN706" t="s">
        <v>3634</v>
      </c>
      <c r="BO706" t="s">
        <v>3561</v>
      </c>
      <c r="BP706" t="s">
        <v>3635</v>
      </c>
      <c r="BQ706" t="s">
        <v>3636</v>
      </c>
      <c r="BR706" t="s">
        <v>3575</v>
      </c>
      <c r="BS706" t="s">
        <v>231</v>
      </c>
      <c r="BT706" t="s">
        <v>3637</v>
      </c>
      <c r="CS706" t="s">
        <v>5365</v>
      </c>
      <c r="CT706" t="s">
        <v>3534</v>
      </c>
      <c r="CU706" t="s">
        <v>3535</v>
      </c>
      <c r="CV706" t="s">
        <v>3536</v>
      </c>
      <c r="CW706" t="s">
        <v>3569</v>
      </c>
      <c r="CX706" t="s">
        <v>223</v>
      </c>
      <c r="CY706" t="s">
        <v>3536</v>
      </c>
      <c r="CZ706" t="s">
        <v>224</v>
      </c>
      <c r="DA706" t="s">
        <v>3571</v>
      </c>
      <c r="DB706" t="s">
        <v>3569</v>
      </c>
      <c r="DC706" t="s">
        <v>363</v>
      </c>
      <c r="DD706" t="s">
        <v>5099</v>
      </c>
      <c r="DE706" t="s">
        <v>5366</v>
      </c>
    </row>
    <row r="707" spans="1:109" ht="11.25" customHeight="1">
      <c r="A707" s="1314" t="s">
        <v>231</v>
      </c>
      <c r="B707" t="s">
        <v>231</v>
      </c>
      <c r="C707" t="s">
        <v>231</v>
      </c>
      <c r="D707" t="s">
        <v>231</v>
      </c>
      <c r="E707" t="s">
        <v>231</v>
      </c>
      <c r="F707" t="s">
        <v>231</v>
      </c>
      <c r="G707" t="s">
        <v>231</v>
      </c>
      <c r="H707" t="s">
        <v>231</v>
      </c>
      <c r="I707" t="s">
        <v>5086</v>
      </c>
      <c r="J707" t="s">
        <v>231</v>
      </c>
      <c r="K707" t="s">
        <v>231</v>
      </c>
      <c r="L707" t="s">
        <v>231</v>
      </c>
      <c r="M707" t="s">
        <v>231</v>
      </c>
      <c r="N707" t="s">
        <v>231</v>
      </c>
      <c r="O707" t="s">
        <v>231</v>
      </c>
      <c r="P707" t="s">
        <v>231</v>
      </c>
      <c r="Q707" t="s">
        <v>231</v>
      </c>
      <c r="R707" t="s">
        <v>5130</v>
      </c>
      <c r="S707" t="s">
        <v>231</v>
      </c>
      <c r="T707" t="s">
        <v>231</v>
      </c>
      <c r="U707" t="s">
        <v>101</v>
      </c>
      <c r="V707" t="s">
        <v>231</v>
      </c>
      <c r="W707" t="s">
        <v>231</v>
      </c>
      <c r="X707" t="s">
        <v>3628</v>
      </c>
      <c r="Y707" t="s">
        <v>231</v>
      </c>
      <c r="Z707" t="s">
        <v>151</v>
      </c>
      <c r="AA707" t="s">
        <v>151</v>
      </c>
      <c r="AB707" t="s">
        <v>160</v>
      </c>
      <c r="AC707" t="s">
        <v>343</v>
      </c>
      <c r="AD707" t="s">
        <v>343</v>
      </c>
      <c r="AE707" t="s">
        <v>344</v>
      </c>
      <c r="AF707" t="s">
        <v>3561</v>
      </c>
      <c r="AG707" t="s">
        <v>3562</v>
      </c>
      <c r="AH707" t="s">
        <v>5131</v>
      </c>
      <c r="AI707" t="s">
        <v>3575</v>
      </c>
      <c r="AJ707" t="s">
        <v>231</v>
      </c>
      <c r="AK707" t="s">
        <v>231</v>
      </c>
      <c r="AL707" t="s">
        <v>231</v>
      </c>
      <c r="AN707" t="s">
        <v>231</v>
      </c>
      <c r="AO707" t="s">
        <v>231</v>
      </c>
      <c r="AP707" t="s">
        <v>231</v>
      </c>
      <c r="AQ707" t="s">
        <v>231</v>
      </c>
      <c r="AR707" t="s">
        <v>231</v>
      </c>
      <c r="AS707" t="s">
        <v>231</v>
      </c>
      <c r="AT707" t="s">
        <v>231</v>
      </c>
      <c r="AU707" t="s">
        <v>231</v>
      </c>
      <c r="AV707" t="s">
        <v>231</v>
      </c>
      <c r="AW707" t="s">
        <v>231</v>
      </c>
      <c r="AX707" t="s">
        <v>231</v>
      </c>
      <c r="AY707" t="s">
        <v>231</v>
      </c>
      <c r="AZ707" t="s">
        <v>231</v>
      </c>
      <c r="BA707" t="s">
        <v>231</v>
      </c>
      <c r="BB707" t="s">
        <v>231</v>
      </c>
      <c r="BC707" t="s">
        <v>231</v>
      </c>
      <c r="BD707" t="s">
        <v>231</v>
      </c>
      <c r="BE707" t="s">
        <v>5367</v>
      </c>
      <c r="BF707" t="s">
        <v>5133</v>
      </c>
      <c r="BG707" t="s">
        <v>111</v>
      </c>
      <c r="BH707" t="s">
        <v>3632</v>
      </c>
      <c r="BI707" t="s">
        <v>122</v>
      </c>
      <c r="BJ707" t="s">
        <v>231</v>
      </c>
      <c r="BK707" t="s">
        <v>5368</v>
      </c>
      <c r="BL707" t="s">
        <v>343</v>
      </c>
      <c r="BM707" t="s">
        <v>343</v>
      </c>
      <c r="BN707" t="s">
        <v>3634</v>
      </c>
      <c r="BO707" t="s">
        <v>3561</v>
      </c>
      <c r="BP707" t="s">
        <v>3635</v>
      </c>
      <c r="BQ707" t="s">
        <v>5369</v>
      </c>
      <c r="BR707" t="s">
        <v>3575</v>
      </c>
      <c r="BS707" t="s">
        <v>231</v>
      </c>
      <c r="BT707" t="s">
        <v>3637</v>
      </c>
      <c r="CS707" t="s">
        <v>5365</v>
      </c>
      <c r="CT707" t="s">
        <v>3534</v>
      </c>
      <c r="CU707" t="s">
        <v>3535</v>
      </c>
      <c r="CV707" t="s">
        <v>3536</v>
      </c>
      <c r="CW707" t="s">
        <v>3569</v>
      </c>
      <c r="CX707" t="s">
        <v>223</v>
      </c>
      <c r="CY707" t="s">
        <v>3536</v>
      </c>
      <c r="CZ707" t="s">
        <v>224</v>
      </c>
      <c r="DA707" t="s">
        <v>3571</v>
      </c>
      <c r="DB707" t="s">
        <v>3569</v>
      </c>
      <c r="DC707" t="s">
        <v>363</v>
      </c>
      <c r="DD707" t="s">
        <v>5099</v>
      </c>
      <c r="DE707" t="s">
        <v>5134</v>
      </c>
    </row>
    <row r="708" spans="1:109" ht="11.25" customHeight="1">
      <c r="A708" s="1314" t="s">
        <v>231</v>
      </c>
      <c r="B708" t="s">
        <v>231</v>
      </c>
      <c r="C708" t="s">
        <v>231</v>
      </c>
      <c r="D708" t="s">
        <v>231</v>
      </c>
      <c r="E708" t="s">
        <v>231</v>
      </c>
      <c r="F708" t="s">
        <v>231</v>
      </c>
      <c r="G708" t="s">
        <v>231</v>
      </c>
      <c r="H708" t="s">
        <v>231</v>
      </c>
      <c r="I708" t="s">
        <v>5086</v>
      </c>
      <c r="J708" t="s">
        <v>231</v>
      </c>
      <c r="K708" t="s">
        <v>231</v>
      </c>
      <c r="L708" t="s">
        <v>231</v>
      </c>
      <c r="M708" t="s">
        <v>231</v>
      </c>
      <c r="N708" t="s">
        <v>231</v>
      </c>
      <c r="O708" t="s">
        <v>231</v>
      </c>
      <c r="P708" t="s">
        <v>231</v>
      </c>
      <c r="Q708" t="s">
        <v>231</v>
      </c>
      <c r="R708" t="s">
        <v>5370</v>
      </c>
      <c r="S708" t="s">
        <v>231</v>
      </c>
      <c r="T708" t="s">
        <v>231</v>
      </c>
      <c r="U708" t="s">
        <v>101</v>
      </c>
      <c r="V708" t="s">
        <v>231</v>
      </c>
      <c r="W708" t="s">
        <v>231</v>
      </c>
      <c r="X708" t="s">
        <v>3628</v>
      </c>
      <c r="Y708" t="s">
        <v>231</v>
      </c>
      <c r="Z708" t="s">
        <v>151</v>
      </c>
      <c r="AA708" t="s">
        <v>151</v>
      </c>
      <c r="AB708" t="s">
        <v>160</v>
      </c>
      <c r="AC708" t="s">
        <v>343</v>
      </c>
      <c r="AD708" t="s">
        <v>343</v>
      </c>
      <c r="AE708" t="s">
        <v>344</v>
      </c>
      <c r="AF708" t="s">
        <v>3561</v>
      </c>
      <c r="AG708" t="s">
        <v>3562</v>
      </c>
      <c r="AH708" t="s">
        <v>5371</v>
      </c>
      <c r="AI708" t="s">
        <v>3575</v>
      </c>
      <c r="AJ708" t="s">
        <v>231</v>
      </c>
      <c r="AK708" t="s">
        <v>231</v>
      </c>
      <c r="AL708" t="s">
        <v>231</v>
      </c>
      <c r="AN708" t="s">
        <v>231</v>
      </c>
      <c r="AO708" t="s">
        <v>231</v>
      </c>
      <c r="AP708" t="s">
        <v>231</v>
      </c>
      <c r="AQ708" t="s">
        <v>231</v>
      </c>
      <c r="AR708" t="s">
        <v>231</v>
      </c>
      <c r="AS708" t="s">
        <v>231</v>
      </c>
      <c r="AT708" t="s">
        <v>231</v>
      </c>
      <c r="AU708" t="s">
        <v>231</v>
      </c>
      <c r="AV708" t="s">
        <v>231</v>
      </c>
      <c r="AW708" t="s">
        <v>231</v>
      </c>
      <c r="AX708" t="s">
        <v>231</v>
      </c>
      <c r="AY708" t="s">
        <v>231</v>
      </c>
      <c r="AZ708" t="s">
        <v>231</v>
      </c>
      <c r="BA708" t="s">
        <v>231</v>
      </c>
      <c r="BB708" t="s">
        <v>231</v>
      </c>
      <c r="BC708" t="s">
        <v>231</v>
      </c>
      <c r="BD708" t="s">
        <v>231</v>
      </c>
      <c r="BE708" t="s">
        <v>3760</v>
      </c>
      <c r="BF708" t="s">
        <v>5372</v>
      </c>
      <c r="BG708" t="s">
        <v>111</v>
      </c>
      <c r="BH708" t="s">
        <v>3632</v>
      </c>
      <c r="BI708" t="s">
        <v>122</v>
      </c>
      <c r="BJ708" t="s">
        <v>231</v>
      </c>
      <c r="BK708" t="s">
        <v>5373</v>
      </c>
      <c r="BL708" t="s">
        <v>343</v>
      </c>
      <c r="BM708" t="s">
        <v>343</v>
      </c>
      <c r="BN708" t="s">
        <v>3634</v>
      </c>
      <c r="BO708" t="s">
        <v>3561</v>
      </c>
      <c r="BP708" t="s">
        <v>3635</v>
      </c>
      <c r="BQ708" t="s">
        <v>5371</v>
      </c>
      <c r="BR708" t="s">
        <v>3575</v>
      </c>
      <c r="BS708" t="s">
        <v>231</v>
      </c>
      <c r="BT708" t="s">
        <v>3637</v>
      </c>
      <c r="CS708" t="s">
        <v>5365</v>
      </c>
      <c r="CT708" t="s">
        <v>3534</v>
      </c>
      <c r="CU708" t="s">
        <v>3535</v>
      </c>
      <c r="CV708" t="s">
        <v>3536</v>
      </c>
      <c r="CW708" t="s">
        <v>3569</v>
      </c>
      <c r="CX708" t="s">
        <v>223</v>
      </c>
      <c r="CY708" t="s">
        <v>3536</v>
      </c>
      <c r="CZ708" t="s">
        <v>224</v>
      </c>
      <c r="DA708" t="s">
        <v>3571</v>
      </c>
      <c r="DB708" t="s">
        <v>3569</v>
      </c>
      <c r="DC708" t="s">
        <v>363</v>
      </c>
      <c r="DD708" t="s">
        <v>5099</v>
      </c>
      <c r="DE708" t="s">
        <v>5374</v>
      </c>
    </row>
    <row r="709" spans="1:109" ht="11.25" customHeight="1">
      <c r="A709" s="1314" t="s">
        <v>231</v>
      </c>
      <c r="B709" t="s">
        <v>231</v>
      </c>
      <c r="C709" t="s">
        <v>231</v>
      </c>
      <c r="D709" t="s">
        <v>231</v>
      </c>
      <c r="E709" t="s">
        <v>231</v>
      </c>
      <c r="F709" t="s">
        <v>231</v>
      </c>
      <c r="G709" t="s">
        <v>231</v>
      </c>
      <c r="H709" t="s">
        <v>231</v>
      </c>
      <c r="I709" t="s">
        <v>5086</v>
      </c>
      <c r="J709" t="s">
        <v>231</v>
      </c>
      <c r="K709" t="s">
        <v>231</v>
      </c>
      <c r="L709" t="s">
        <v>231</v>
      </c>
      <c r="M709" t="s">
        <v>231</v>
      </c>
      <c r="N709" t="s">
        <v>231</v>
      </c>
      <c r="O709" t="s">
        <v>231</v>
      </c>
      <c r="P709" t="s">
        <v>231</v>
      </c>
      <c r="Q709" t="s">
        <v>231</v>
      </c>
      <c r="R709" t="s">
        <v>5370</v>
      </c>
      <c r="S709" t="s">
        <v>231</v>
      </c>
      <c r="T709" t="s">
        <v>231</v>
      </c>
      <c r="U709" t="s">
        <v>101</v>
      </c>
      <c r="V709" t="s">
        <v>231</v>
      </c>
      <c r="W709" t="s">
        <v>231</v>
      </c>
      <c r="X709" t="s">
        <v>3955</v>
      </c>
      <c r="Y709" t="s">
        <v>231</v>
      </c>
      <c r="Z709" t="s">
        <v>151</v>
      </c>
      <c r="AA709" t="s">
        <v>160</v>
      </c>
      <c r="AB709" t="s">
        <v>151</v>
      </c>
      <c r="AC709" t="s">
        <v>343</v>
      </c>
      <c r="AD709" t="s">
        <v>343</v>
      </c>
      <c r="AE709" t="s">
        <v>344</v>
      </c>
      <c r="AF709" t="s">
        <v>3561</v>
      </c>
      <c r="AG709" t="s">
        <v>3562</v>
      </c>
      <c r="AH709" t="s">
        <v>5371</v>
      </c>
      <c r="AI709" t="s">
        <v>3575</v>
      </c>
      <c r="AJ709" t="s">
        <v>231</v>
      </c>
      <c r="AK709" t="s">
        <v>231</v>
      </c>
      <c r="AL709" t="s">
        <v>231</v>
      </c>
      <c r="AN709" t="s">
        <v>231</v>
      </c>
      <c r="AO709" t="s">
        <v>231</v>
      </c>
      <c r="AP709" t="s">
        <v>3760</v>
      </c>
      <c r="AQ709" t="s">
        <v>5372</v>
      </c>
      <c r="AR709" t="s">
        <v>111</v>
      </c>
      <c r="AS709" t="s">
        <v>3632</v>
      </c>
      <c r="AT709" t="s">
        <v>122</v>
      </c>
      <c r="AU709" t="s">
        <v>231</v>
      </c>
      <c r="AV709" t="s">
        <v>5370</v>
      </c>
      <c r="AW709" t="s">
        <v>343</v>
      </c>
      <c r="AX709" t="s">
        <v>343</v>
      </c>
      <c r="AY709" t="s">
        <v>3634</v>
      </c>
      <c r="AZ709" t="s">
        <v>3561</v>
      </c>
      <c r="BA709" t="s">
        <v>3635</v>
      </c>
      <c r="BB709" t="s">
        <v>5371</v>
      </c>
      <c r="BC709" t="s">
        <v>3575</v>
      </c>
      <c r="BD709" t="s">
        <v>5375</v>
      </c>
      <c r="BE709" t="s">
        <v>231</v>
      </c>
      <c r="BF709" t="s">
        <v>231</v>
      </c>
      <c r="BG709" t="s">
        <v>231</v>
      </c>
      <c r="BH709" t="s">
        <v>231</v>
      </c>
      <c r="BI709" t="s">
        <v>231</v>
      </c>
      <c r="BJ709" t="s">
        <v>231</v>
      </c>
      <c r="BK709" t="s">
        <v>231</v>
      </c>
      <c r="BL709" t="s">
        <v>231</v>
      </c>
      <c r="BM709" t="s">
        <v>231</v>
      </c>
      <c r="BN709" t="s">
        <v>231</v>
      </c>
      <c r="BO709" t="s">
        <v>231</v>
      </c>
      <c r="BP709" t="s">
        <v>231</v>
      </c>
      <c r="BQ709" t="s">
        <v>231</v>
      </c>
      <c r="BR709" t="s">
        <v>231</v>
      </c>
      <c r="BS709" t="s">
        <v>231</v>
      </c>
      <c r="BT709" t="s">
        <v>231</v>
      </c>
      <c r="CS709" t="s">
        <v>231</v>
      </c>
      <c r="CT709" t="s">
        <v>3534</v>
      </c>
      <c r="CU709" t="s">
        <v>3535</v>
      </c>
      <c r="CV709" t="s">
        <v>3536</v>
      </c>
      <c r="CW709" t="s">
        <v>3569</v>
      </c>
      <c r="CX709" t="s">
        <v>3570</v>
      </c>
      <c r="CY709" t="s">
        <v>3536</v>
      </c>
      <c r="CZ709" t="s">
        <v>224</v>
      </c>
      <c r="DA709" t="s">
        <v>3571</v>
      </c>
      <c r="DB709" t="s">
        <v>3569</v>
      </c>
      <c r="DC709" t="s">
        <v>363</v>
      </c>
      <c r="DD709" t="s">
        <v>5099</v>
      </c>
      <c r="DE709" t="s">
        <v>5374</v>
      </c>
    </row>
    <row r="710" spans="1:109" ht="11.25" customHeight="1">
      <c r="A710" s="1314" t="s">
        <v>231</v>
      </c>
      <c r="B710" t="s">
        <v>231</v>
      </c>
      <c r="C710" t="s">
        <v>231</v>
      </c>
      <c r="D710" t="s">
        <v>231</v>
      </c>
      <c r="E710" t="s">
        <v>231</v>
      </c>
      <c r="F710" t="s">
        <v>231</v>
      </c>
      <c r="G710" t="s">
        <v>231</v>
      </c>
      <c r="H710" t="s">
        <v>231</v>
      </c>
      <c r="I710" t="s">
        <v>5086</v>
      </c>
      <c r="J710" t="s">
        <v>231</v>
      </c>
      <c r="K710" t="s">
        <v>231</v>
      </c>
      <c r="L710" t="s">
        <v>231</v>
      </c>
      <c r="M710" t="s">
        <v>231</v>
      </c>
      <c r="N710" t="s">
        <v>231</v>
      </c>
      <c r="O710" t="s">
        <v>231</v>
      </c>
      <c r="P710" t="s">
        <v>231</v>
      </c>
      <c r="Q710" t="s">
        <v>231</v>
      </c>
      <c r="R710" t="s">
        <v>5376</v>
      </c>
      <c r="S710" t="s">
        <v>231</v>
      </c>
      <c r="T710" t="s">
        <v>231</v>
      </c>
      <c r="U710" t="s">
        <v>101</v>
      </c>
      <c r="V710" t="s">
        <v>231</v>
      </c>
      <c r="W710" t="s">
        <v>231</v>
      </c>
      <c r="X710" t="s">
        <v>5377</v>
      </c>
      <c r="Y710" t="s">
        <v>231</v>
      </c>
      <c r="Z710" t="s">
        <v>160</v>
      </c>
      <c r="AA710" t="s">
        <v>151</v>
      </c>
      <c r="AB710" t="s">
        <v>160</v>
      </c>
      <c r="AC710" t="s">
        <v>343</v>
      </c>
      <c r="AD710" t="s">
        <v>343</v>
      </c>
      <c r="AE710" t="s">
        <v>344</v>
      </c>
      <c r="AF710" t="s">
        <v>3561</v>
      </c>
      <c r="AG710" t="s">
        <v>3562</v>
      </c>
      <c r="AH710" t="s">
        <v>5378</v>
      </c>
      <c r="AI710" t="s">
        <v>4182</v>
      </c>
      <c r="AJ710" t="s">
        <v>5172</v>
      </c>
      <c r="AK710" t="s">
        <v>3528</v>
      </c>
      <c r="AL710" t="s">
        <v>5112</v>
      </c>
      <c r="AN710" t="s">
        <v>3549</v>
      </c>
      <c r="AO710" t="s">
        <v>5379</v>
      </c>
      <c r="AP710" t="s">
        <v>231</v>
      </c>
      <c r="AQ710" t="s">
        <v>231</v>
      </c>
      <c r="AR710" t="s">
        <v>231</v>
      </c>
      <c r="AS710" t="s">
        <v>231</v>
      </c>
      <c r="AT710" t="s">
        <v>231</v>
      </c>
      <c r="AU710" t="s">
        <v>231</v>
      </c>
      <c r="AV710" t="s">
        <v>231</v>
      </c>
      <c r="AW710" t="s">
        <v>231</v>
      </c>
      <c r="AX710" t="s">
        <v>231</v>
      </c>
      <c r="AY710" t="s">
        <v>231</v>
      </c>
      <c r="AZ710" t="s">
        <v>231</v>
      </c>
      <c r="BA710" t="s">
        <v>231</v>
      </c>
      <c r="BB710" t="s">
        <v>231</v>
      </c>
      <c r="BC710" t="s">
        <v>231</v>
      </c>
      <c r="BD710" t="s">
        <v>231</v>
      </c>
      <c r="BE710" t="s">
        <v>5172</v>
      </c>
      <c r="BF710" t="s">
        <v>3528</v>
      </c>
      <c r="BG710" t="s">
        <v>231</v>
      </c>
      <c r="BH710" t="s">
        <v>231</v>
      </c>
      <c r="BI710" t="s">
        <v>231</v>
      </c>
      <c r="BJ710" t="s">
        <v>231</v>
      </c>
      <c r="BK710" t="s">
        <v>231</v>
      </c>
      <c r="BL710" t="s">
        <v>231</v>
      </c>
      <c r="BM710" t="s">
        <v>231</v>
      </c>
      <c r="BN710" t="s">
        <v>231</v>
      </c>
      <c r="BO710" t="s">
        <v>231</v>
      </c>
      <c r="BP710" t="s">
        <v>231</v>
      </c>
      <c r="BQ710" t="s">
        <v>231</v>
      </c>
      <c r="BR710" t="s">
        <v>231</v>
      </c>
      <c r="BS710" t="s">
        <v>231</v>
      </c>
      <c r="BT710" t="s">
        <v>3637</v>
      </c>
      <c r="CS710" t="s">
        <v>5380</v>
      </c>
      <c r="CT710" t="s">
        <v>3534</v>
      </c>
      <c r="CU710" t="s">
        <v>3535</v>
      </c>
      <c r="CV710" t="s">
        <v>3536</v>
      </c>
      <c r="CW710" t="s">
        <v>3569</v>
      </c>
      <c r="CX710" t="s">
        <v>223</v>
      </c>
      <c r="CY710" t="s">
        <v>3536</v>
      </c>
      <c r="CZ710" t="s">
        <v>224</v>
      </c>
      <c r="DA710" t="s">
        <v>3571</v>
      </c>
      <c r="DB710" t="s">
        <v>3569</v>
      </c>
      <c r="DC710" t="s">
        <v>363</v>
      </c>
      <c r="DD710" t="s">
        <v>5099</v>
      </c>
      <c r="DE710" t="s">
        <v>5381</v>
      </c>
    </row>
    <row r="711" spans="1:109" ht="11.25" customHeight="1">
      <c r="A711" s="1314" t="s">
        <v>231</v>
      </c>
      <c r="B711" t="s">
        <v>231</v>
      </c>
      <c r="C711" t="s">
        <v>231</v>
      </c>
      <c r="D711" t="s">
        <v>231</v>
      </c>
      <c r="E711" t="s">
        <v>231</v>
      </c>
      <c r="F711" t="s">
        <v>231</v>
      </c>
      <c r="G711" t="s">
        <v>231</v>
      </c>
      <c r="H711" t="s">
        <v>231</v>
      </c>
      <c r="I711" t="s">
        <v>5086</v>
      </c>
      <c r="J711" t="s">
        <v>231</v>
      </c>
      <c r="K711" t="s">
        <v>231</v>
      </c>
      <c r="L711" t="s">
        <v>231</v>
      </c>
      <c r="M711" t="s">
        <v>231</v>
      </c>
      <c r="N711" t="s">
        <v>231</v>
      </c>
      <c r="O711" t="s">
        <v>231</v>
      </c>
      <c r="P711" t="s">
        <v>231</v>
      </c>
      <c r="Q711" t="s">
        <v>231</v>
      </c>
      <c r="R711" t="s">
        <v>5382</v>
      </c>
      <c r="S711" t="s">
        <v>231</v>
      </c>
      <c r="T711" t="s">
        <v>231</v>
      </c>
      <c r="U711" t="s">
        <v>101</v>
      </c>
      <c r="V711" t="s">
        <v>231</v>
      </c>
      <c r="W711" t="s">
        <v>231</v>
      </c>
      <c r="X711" t="s">
        <v>3628</v>
      </c>
      <c r="Y711" t="s">
        <v>231</v>
      </c>
      <c r="Z711" t="s">
        <v>151</v>
      </c>
      <c r="AA711" t="s">
        <v>151</v>
      </c>
      <c r="AB711" t="s">
        <v>160</v>
      </c>
      <c r="AC711" t="s">
        <v>343</v>
      </c>
      <c r="AD711" t="s">
        <v>343</v>
      </c>
      <c r="AE711" t="s">
        <v>344</v>
      </c>
      <c r="AF711" t="s">
        <v>3561</v>
      </c>
      <c r="AG711" t="s">
        <v>3562</v>
      </c>
      <c r="AH711" t="s">
        <v>4515</v>
      </c>
      <c r="AI711" t="s">
        <v>5383</v>
      </c>
      <c r="AJ711" t="s">
        <v>231</v>
      </c>
      <c r="AK711" t="s">
        <v>231</v>
      </c>
      <c r="AL711" t="s">
        <v>231</v>
      </c>
      <c r="AN711" t="s">
        <v>231</v>
      </c>
      <c r="AO711" t="s">
        <v>231</v>
      </c>
      <c r="AP711" t="s">
        <v>231</v>
      </c>
      <c r="AQ711" t="s">
        <v>231</v>
      </c>
      <c r="AR711" t="s">
        <v>231</v>
      </c>
      <c r="AS711" t="s">
        <v>231</v>
      </c>
      <c r="AT711" t="s">
        <v>231</v>
      </c>
      <c r="AU711" t="s">
        <v>231</v>
      </c>
      <c r="AV711" t="s">
        <v>231</v>
      </c>
      <c r="AW711" t="s">
        <v>231</v>
      </c>
      <c r="AX711" t="s">
        <v>231</v>
      </c>
      <c r="AY711" t="s">
        <v>231</v>
      </c>
      <c r="AZ711" t="s">
        <v>231</v>
      </c>
      <c r="BA711" t="s">
        <v>231</v>
      </c>
      <c r="BB711" t="s">
        <v>231</v>
      </c>
      <c r="BC711" t="s">
        <v>231</v>
      </c>
      <c r="BD711" t="s">
        <v>231</v>
      </c>
      <c r="BE711" t="s">
        <v>5384</v>
      </c>
      <c r="BF711" t="s">
        <v>5384</v>
      </c>
      <c r="BG711" t="s">
        <v>111</v>
      </c>
      <c r="BH711" t="s">
        <v>3632</v>
      </c>
      <c r="BI711" t="s">
        <v>122</v>
      </c>
      <c r="BJ711" t="s">
        <v>231</v>
      </c>
      <c r="BK711" t="s">
        <v>5108</v>
      </c>
      <c r="BL711" t="s">
        <v>343</v>
      </c>
      <c r="BM711" t="s">
        <v>343</v>
      </c>
      <c r="BN711" t="s">
        <v>3634</v>
      </c>
      <c r="BO711" t="s">
        <v>3561</v>
      </c>
      <c r="BP711" t="s">
        <v>3635</v>
      </c>
      <c r="BQ711" t="s">
        <v>4515</v>
      </c>
      <c r="BR711" t="s">
        <v>5383</v>
      </c>
      <c r="BS711" t="s">
        <v>231</v>
      </c>
      <c r="BT711" t="s">
        <v>3637</v>
      </c>
      <c r="CS711" t="s">
        <v>5365</v>
      </c>
      <c r="CT711" t="s">
        <v>3534</v>
      </c>
      <c r="CU711" t="s">
        <v>3535</v>
      </c>
      <c r="CV711" t="s">
        <v>3536</v>
      </c>
      <c r="CW711" t="s">
        <v>3569</v>
      </c>
      <c r="CX711" t="s">
        <v>223</v>
      </c>
      <c r="CY711" t="s">
        <v>3536</v>
      </c>
      <c r="CZ711" t="s">
        <v>224</v>
      </c>
      <c r="DA711" t="s">
        <v>3571</v>
      </c>
      <c r="DB711" t="s">
        <v>3569</v>
      </c>
      <c r="DC711" t="s">
        <v>363</v>
      </c>
      <c r="DD711" t="s">
        <v>5099</v>
      </c>
      <c r="DE711" t="s">
        <v>5385</v>
      </c>
    </row>
    <row r="712" spans="1:109" ht="11.25" customHeight="1">
      <c r="A712" s="1314" t="s">
        <v>231</v>
      </c>
      <c r="B712" t="s">
        <v>231</v>
      </c>
      <c r="C712" t="s">
        <v>231</v>
      </c>
      <c r="D712" t="s">
        <v>231</v>
      </c>
      <c r="E712" t="s">
        <v>231</v>
      </c>
      <c r="F712" t="s">
        <v>231</v>
      </c>
      <c r="G712" t="s">
        <v>231</v>
      </c>
      <c r="H712" t="s">
        <v>231</v>
      </c>
      <c r="I712" t="s">
        <v>5086</v>
      </c>
      <c r="J712" t="s">
        <v>231</v>
      </c>
      <c r="K712" t="s">
        <v>231</v>
      </c>
      <c r="L712" t="s">
        <v>231</v>
      </c>
      <c r="M712" t="s">
        <v>231</v>
      </c>
      <c r="N712" t="s">
        <v>231</v>
      </c>
      <c r="O712" t="s">
        <v>231</v>
      </c>
      <c r="P712" t="s">
        <v>231</v>
      </c>
      <c r="Q712" t="s">
        <v>231</v>
      </c>
      <c r="R712" t="s">
        <v>5386</v>
      </c>
      <c r="S712" t="s">
        <v>231</v>
      </c>
      <c r="T712" t="s">
        <v>231</v>
      </c>
      <c r="U712" t="s">
        <v>101</v>
      </c>
      <c r="V712" t="s">
        <v>231</v>
      </c>
      <c r="W712" t="s">
        <v>231</v>
      </c>
      <c r="X712" t="s">
        <v>5088</v>
      </c>
      <c r="Y712" t="s">
        <v>231</v>
      </c>
      <c r="Z712" t="s">
        <v>160</v>
      </c>
      <c r="AA712" t="s">
        <v>151</v>
      </c>
      <c r="AB712" t="s">
        <v>151</v>
      </c>
      <c r="AC712" t="s">
        <v>2289</v>
      </c>
      <c r="AD712" t="s">
        <v>2289</v>
      </c>
      <c r="AE712" t="s">
        <v>2290</v>
      </c>
      <c r="AF712" t="s">
        <v>3816</v>
      </c>
      <c r="AG712" t="s">
        <v>3817</v>
      </c>
      <c r="AH712" t="s">
        <v>3618</v>
      </c>
      <c r="AI712" t="s">
        <v>3618</v>
      </c>
      <c r="AJ712" t="s">
        <v>4996</v>
      </c>
      <c r="AK712" t="s">
        <v>5297</v>
      </c>
      <c r="AL712" t="s">
        <v>5092</v>
      </c>
      <c r="AN712" t="s">
        <v>3549</v>
      </c>
      <c r="AO712" t="s">
        <v>4151</v>
      </c>
      <c r="AP712" t="s">
        <v>231</v>
      </c>
      <c r="AQ712" t="s">
        <v>231</v>
      </c>
      <c r="AR712" t="s">
        <v>231</v>
      </c>
      <c r="AS712" t="s">
        <v>231</v>
      </c>
      <c r="AT712" t="s">
        <v>231</v>
      </c>
      <c r="AU712" t="s">
        <v>231</v>
      </c>
      <c r="AV712" t="s">
        <v>231</v>
      </c>
      <c r="AW712" t="s">
        <v>231</v>
      </c>
      <c r="AX712" t="s">
        <v>231</v>
      </c>
      <c r="AY712" t="s">
        <v>231</v>
      </c>
      <c r="AZ712" t="s">
        <v>231</v>
      </c>
      <c r="BA712" t="s">
        <v>231</v>
      </c>
      <c r="BB712" t="s">
        <v>231</v>
      </c>
      <c r="BC712" t="s">
        <v>231</v>
      </c>
      <c r="BD712" t="s">
        <v>231</v>
      </c>
      <c r="BE712" t="s">
        <v>231</v>
      </c>
      <c r="BF712" t="s">
        <v>231</v>
      </c>
      <c r="BG712" t="s">
        <v>231</v>
      </c>
      <c r="BH712" t="s">
        <v>231</v>
      </c>
      <c r="BI712" t="s">
        <v>231</v>
      </c>
      <c r="BJ712" t="s">
        <v>231</v>
      </c>
      <c r="BK712" t="s">
        <v>231</v>
      </c>
      <c r="BL712" t="s">
        <v>231</v>
      </c>
      <c r="BM712" t="s">
        <v>231</v>
      </c>
      <c r="BN712" t="s">
        <v>231</v>
      </c>
      <c r="BO712" t="s">
        <v>231</v>
      </c>
      <c r="BP712" t="s">
        <v>231</v>
      </c>
      <c r="BQ712" t="s">
        <v>231</v>
      </c>
      <c r="BR712" t="s">
        <v>231</v>
      </c>
      <c r="BS712" t="s">
        <v>231</v>
      </c>
      <c r="BT712" t="s">
        <v>231</v>
      </c>
      <c r="CS712" t="s">
        <v>231</v>
      </c>
      <c r="CT712" t="s">
        <v>3534</v>
      </c>
      <c r="CU712" t="s">
        <v>3535</v>
      </c>
      <c r="CV712" t="s">
        <v>3536</v>
      </c>
      <c r="CW712" t="s">
        <v>3589</v>
      </c>
      <c r="CX712" t="s">
        <v>223</v>
      </c>
      <c r="CY712" t="s">
        <v>3536</v>
      </c>
      <c r="CZ712" t="s">
        <v>3590</v>
      </c>
      <c r="DA712" t="s">
        <v>3591</v>
      </c>
      <c r="DB712" t="s">
        <v>3589</v>
      </c>
      <c r="DC712" t="s">
        <v>363</v>
      </c>
      <c r="DD712" t="s">
        <v>5099</v>
      </c>
      <c r="DE712" t="s">
        <v>4203</v>
      </c>
    </row>
    <row r="713" spans="1:109" ht="11.25" customHeight="1">
      <c r="A713" s="1314" t="s">
        <v>231</v>
      </c>
      <c r="B713" t="s">
        <v>231</v>
      </c>
      <c r="C713" t="s">
        <v>231</v>
      </c>
      <c r="D713" t="s">
        <v>231</v>
      </c>
      <c r="E713" t="s">
        <v>231</v>
      </c>
      <c r="F713" t="s">
        <v>231</v>
      </c>
      <c r="G713" t="s">
        <v>231</v>
      </c>
      <c r="H713" t="s">
        <v>231</v>
      </c>
      <c r="I713" t="s">
        <v>5086</v>
      </c>
      <c r="J713" t="s">
        <v>231</v>
      </c>
      <c r="K713" t="s">
        <v>231</v>
      </c>
      <c r="L713" t="s">
        <v>231</v>
      </c>
      <c r="M713" t="s">
        <v>231</v>
      </c>
      <c r="N713" t="s">
        <v>231</v>
      </c>
      <c r="O713" t="s">
        <v>231</v>
      </c>
      <c r="P713" t="s">
        <v>231</v>
      </c>
      <c r="Q713" t="s">
        <v>231</v>
      </c>
      <c r="R713" t="s">
        <v>5387</v>
      </c>
      <c r="S713" t="s">
        <v>231</v>
      </c>
      <c r="T713" t="s">
        <v>231</v>
      </c>
      <c r="U713" t="s">
        <v>101</v>
      </c>
      <c r="V713" t="s">
        <v>231</v>
      </c>
      <c r="W713" t="s">
        <v>231</v>
      </c>
      <c r="X713" t="s">
        <v>3628</v>
      </c>
      <c r="Y713" t="s">
        <v>231</v>
      </c>
      <c r="Z713" t="s">
        <v>151</v>
      </c>
      <c r="AA713" t="s">
        <v>151</v>
      </c>
      <c r="AB713" t="s">
        <v>160</v>
      </c>
      <c r="AC713" t="s">
        <v>2289</v>
      </c>
      <c r="AD713" t="s">
        <v>2289</v>
      </c>
      <c r="AE713" t="s">
        <v>2290</v>
      </c>
      <c r="AF713" t="s">
        <v>4020</v>
      </c>
      <c r="AG713" t="s">
        <v>4021</v>
      </c>
      <c r="AH713" t="s">
        <v>3618</v>
      </c>
      <c r="AI713" t="s">
        <v>3618</v>
      </c>
      <c r="AJ713" t="s">
        <v>231</v>
      </c>
      <c r="AK713" t="s">
        <v>231</v>
      </c>
      <c r="AL713" t="s">
        <v>231</v>
      </c>
      <c r="AN713" t="s">
        <v>231</v>
      </c>
      <c r="AO713" t="s">
        <v>231</v>
      </c>
      <c r="AP713" t="s">
        <v>231</v>
      </c>
      <c r="AQ713" t="s">
        <v>231</v>
      </c>
      <c r="AR713" t="s">
        <v>231</v>
      </c>
      <c r="AS713" t="s">
        <v>231</v>
      </c>
      <c r="AT713" t="s">
        <v>231</v>
      </c>
      <c r="AU713" t="s">
        <v>231</v>
      </c>
      <c r="AV713" t="s">
        <v>231</v>
      </c>
      <c r="AW713" t="s">
        <v>231</v>
      </c>
      <c r="AX713" t="s">
        <v>231</v>
      </c>
      <c r="AY713" t="s">
        <v>231</v>
      </c>
      <c r="AZ713" t="s">
        <v>231</v>
      </c>
      <c r="BA713" t="s">
        <v>231</v>
      </c>
      <c r="BB713" t="s">
        <v>231</v>
      </c>
      <c r="BC713" t="s">
        <v>231</v>
      </c>
      <c r="BD713" t="s">
        <v>231</v>
      </c>
      <c r="BE713" t="s">
        <v>3594</v>
      </c>
      <c r="BF713" t="s">
        <v>3775</v>
      </c>
      <c r="BG713" t="s">
        <v>111</v>
      </c>
      <c r="BH713" t="s">
        <v>3632</v>
      </c>
      <c r="BI713" t="s">
        <v>122</v>
      </c>
      <c r="BJ713" t="s">
        <v>231</v>
      </c>
      <c r="BK713" t="s">
        <v>231</v>
      </c>
      <c r="BL713" t="s">
        <v>2289</v>
      </c>
      <c r="BM713" t="s">
        <v>2289</v>
      </c>
      <c r="BN713" t="s">
        <v>3707</v>
      </c>
      <c r="BO713" t="s">
        <v>4020</v>
      </c>
      <c r="BP713" t="s">
        <v>4470</v>
      </c>
      <c r="BQ713" t="s">
        <v>3618</v>
      </c>
      <c r="BR713" t="s">
        <v>3618</v>
      </c>
      <c r="BS713" t="s">
        <v>231</v>
      </c>
      <c r="BT713" t="s">
        <v>3694</v>
      </c>
      <c r="CS713" t="s">
        <v>5212</v>
      </c>
      <c r="CT713" t="s">
        <v>3534</v>
      </c>
      <c r="CU713" t="s">
        <v>3535</v>
      </c>
      <c r="CV713" t="s">
        <v>3536</v>
      </c>
      <c r="CW713" t="s">
        <v>3589</v>
      </c>
      <c r="CX713" t="s">
        <v>223</v>
      </c>
      <c r="CY713" t="s">
        <v>3536</v>
      </c>
      <c r="CZ713" t="s">
        <v>3590</v>
      </c>
      <c r="DA713" t="s">
        <v>3591</v>
      </c>
      <c r="DB713" t="s">
        <v>3589</v>
      </c>
      <c r="DC713" t="s">
        <v>363</v>
      </c>
      <c r="DD713" t="s">
        <v>5099</v>
      </c>
      <c r="DE713" t="s">
        <v>4472</v>
      </c>
    </row>
    <row r="714" spans="1:109" ht="11.25" customHeight="1">
      <c r="A714" s="1314" t="s">
        <v>231</v>
      </c>
      <c r="B714" t="s">
        <v>231</v>
      </c>
      <c r="C714" t="s">
        <v>231</v>
      </c>
      <c r="D714" t="s">
        <v>231</v>
      </c>
      <c r="E714" t="s">
        <v>231</v>
      </c>
      <c r="F714" t="s">
        <v>231</v>
      </c>
      <c r="G714" t="s">
        <v>231</v>
      </c>
      <c r="H714" t="s">
        <v>231</v>
      </c>
      <c r="I714" t="s">
        <v>5086</v>
      </c>
      <c r="J714" t="s">
        <v>231</v>
      </c>
      <c r="K714" t="s">
        <v>231</v>
      </c>
      <c r="L714" t="s">
        <v>231</v>
      </c>
      <c r="M714" t="s">
        <v>231</v>
      </c>
      <c r="N714" t="s">
        <v>231</v>
      </c>
      <c r="O714" t="s">
        <v>231</v>
      </c>
      <c r="P714" t="s">
        <v>231</v>
      </c>
      <c r="Q714" t="s">
        <v>231</v>
      </c>
      <c r="R714" t="s">
        <v>5388</v>
      </c>
      <c r="S714" t="s">
        <v>231</v>
      </c>
      <c r="T714" t="s">
        <v>231</v>
      </c>
      <c r="U714" t="s">
        <v>101</v>
      </c>
      <c r="V714" t="s">
        <v>231</v>
      </c>
      <c r="W714" t="s">
        <v>231</v>
      </c>
      <c r="X714" t="s">
        <v>5088</v>
      </c>
      <c r="Y714" t="s">
        <v>231</v>
      </c>
      <c r="Z714" t="s">
        <v>160</v>
      </c>
      <c r="AA714" t="s">
        <v>151</v>
      </c>
      <c r="AB714" t="s">
        <v>151</v>
      </c>
      <c r="AC714" t="s">
        <v>2691</v>
      </c>
      <c r="AD714" t="s">
        <v>2691</v>
      </c>
      <c r="AE714" t="s">
        <v>2692</v>
      </c>
      <c r="AF714" t="s">
        <v>3991</v>
      </c>
      <c r="AG714" t="s">
        <v>3992</v>
      </c>
      <c r="AH714" t="s">
        <v>5389</v>
      </c>
      <c r="AI714" t="s">
        <v>710</v>
      </c>
      <c r="AJ714" t="s">
        <v>4996</v>
      </c>
      <c r="AK714" t="s">
        <v>5390</v>
      </c>
      <c r="AL714" t="s">
        <v>5092</v>
      </c>
      <c r="AN714" t="s">
        <v>3595</v>
      </c>
      <c r="AO714" t="s">
        <v>5391</v>
      </c>
      <c r="AP714" t="s">
        <v>231</v>
      </c>
      <c r="AQ714" t="s">
        <v>231</v>
      </c>
      <c r="AR714" t="s">
        <v>231</v>
      </c>
      <c r="AS714" t="s">
        <v>231</v>
      </c>
      <c r="AT714" t="s">
        <v>231</v>
      </c>
      <c r="AU714" t="s">
        <v>231</v>
      </c>
      <c r="AV714" t="s">
        <v>231</v>
      </c>
      <c r="AW714" t="s">
        <v>231</v>
      </c>
      <c r="AX714" t="s">
        <v>231</v>
      </c>
      <c r="AY714" t="s">
        <v>231</v>
      </c>
      <c r="AZ714" t="s">
        <v>231</v>
      </c>
      <c r="BA714" t="s">
        <v>231</v>
      </c>
      <c r="BB714" t="s">
        <v>231</v>
      </c>
      <c r="BC714" t="s">
        <v>231</v>
      </c>
      <c r="BD714" t="s">
        <v>231</v>
      </c>
      <c r="BE714" t="s">
        <v>231</v>
      </c>
      <c r="BF714" t="s">
        <v>231</v>
      </c>
      <c r="BG714" t="s">
        <v>231</v>
      </c>
      <c r="BH714" t="s">
        <v>231</v>
      </c>
      <c r="BI714" t="s">
        <v>231</v>
      </c>
      <c r="BJ714" t="s">
        <v>231</v>
      </c>
      <c r="BK714" t="s">
        <v>231</v>
      </c>
      <c r="BL714" t="s">
        <v>231</v>
      </c>
      <c r="BM714" t="s">
        <v>231</v>
      </c>
      <c r="BN714" t="s">
        <v>231</v>
      </c>
      <c r="BO714" t="s">
        <v>231</v>
      </c>
      <c r="BP714" t="s">
        <v>231</v>
      </c>
      <c r="BQ714" t="s">
        <v>231</v>
      </c>
      <c r="BR714" t="s">
        <v>231</v>
      </c>
      <c r="BS714" t="s">
        <v>231</v>
      </c>
      <c r="BT714" t="s">
        <v>231</v>
      </c>
      <c r="CS714" t="s">
        <v>231</v>
      </c>
      <c r="CT714" t="s">
        <v>3534</v>
      </c>
      <c r="CU714" t="s">
        <v>3535</v>
      </c>
      <c r="CV714" t="s">
        <v>3997</v>
      </c>
      <c r="CW714" t="s">
        <v>3998</v>
      </c>
      <c r="CX714" t="s">
        <v>3570</v>
      </c>
      <c r="CY714" t="s">
        <v>3997</v>
      </c>
      <c r="CZ714" t="s">
        <v>5106</v>
      </c>
      <c r="DA714" t="s">
        <v>3999</v>
      </c>
      <c r="DB714" t="s">
        <v>3998</v>
      </c>
      <c r="DC714" t="s">
        <v>363</v>
      </c>
      <c r="DD714" t="s">
        <v>5099</v>
      </c>
      <c r="DE714" t="s">
        <v>5392</v>
      </c>
    </row>
    <row r="715" spans="1:109" ht="11.25" customHeight="1">
      <c r="A715" s="1314" t="s">
        <v>231</v>
      </c>
      <c r="B715" t="s">
        <v>231</v>
      </c>
      <c r="C715" t="s">
        <v>231</v>
      </c>
      <c r="D715" t="s">
        <v>231</v>
      </c>
      <c r="E715" t="s">
        <v>231</v>
      </c>
      <c r="F715" t="s">
        <v>231</v>
      </c>
      <c r="G715" t="s">
        <v>231</v>
      </c>
      <c r="H715" t="s">
        <v>231</v>
      </c>
      <c r="I715" t="s">
        <v>5086</v>
      </c>
      <c r="J715" t="s">
        <v>231</v>
      </c>
      <c r="K715" t="s">
        <v>231</v>
      </c>
      <c r="L715" t="s">
        <v>231</v>
      </c>
      <c r="M715" t="s">
        <v>231</v>
      </c>
      <c r="N715" t="s">
        <v>231</v>
      </c>
      <c r="O715" t="s">
        <v>231</v>
      </c>
      <c r="P715" t="s">
        <v>231</v>
      </c>
      <c r="Q715" t="s">
        <v>231</v>
      </c>
      <c r="R715" t="s">
        <v>5393</v>
      </c>
      <c r="S715" t="s">
        <v>231</v>
      </c>
      <c r="T715" t="s">
        <v>231</v>
      </c>
      <c r="U715" t="s">
        <v>101</v>
      </c>
      <c r="V715" t="s">
        <v>231</v>
      </c>
      <c r="W715" t="s">
        <v>231</v>
      </c>
      <c r="X715" t="s">
        <v>5088</v>
      </c>
      <c r="Y715" t="s">
        <v>231</v>
      </c>
      <c r="Z715" t="s">
        <v>160</v>
      </c>
      <c r="AA715" t="s">
        <v>151</v>
      </c>
      <c r="AB715" t="s">
        <v>151</v>
      </c>
      <c r="AC715" t="s">
        <v>2691</v>
      </c>
      <c r="AD715" t="s">
        <v>2691</v>
      </c>
      <c r="AE715" t="s">
        <v>2692</v>
      </c>
      <c r="AF715" t="s">
        <v>3991</v>
      </c>
      <c r="AG715" t="s">
        <v>3992</v>
      </c>
      <c r="AH715" t="s">
        <v>5394</v>
      </c>
      <c r="AI715" t="s">
        <v>948</v>
      </c>
      <c r="AJ715" t="s">
        <v>4960</v>
      </c>
      <c r="AK715" t="s">
        <v>5395</v>
      </c>
      <c r="AL715" t="s">
        <v>5092</v>
      </c>
      <c r="AN715" t="s">
        <v>3595</v>
      </c>
      <c r="AO715" t="s">
        <v>5396</v>
      </c>
      <c r="AP715" t="s">
        <v>231</v>
      </c>
      <c r="AQ715" t="s">
        <v>231</v>
      </c>
      <c r="AR715" t="s">
        <v>231</v>
      </c>
      <c r="AS715" t="s">
        <v>231</v>
      </c>
      <c r="AT715" t="s">
        <v>231</v>
      </c>
      <c r="AU715" t="s">
        <v>231</v>
      </c>
      <c r="AV715" t="s">
        <v>231</v>
      </c>
      <c r="AW715" t="s">
        <v>231</v>
      </c>
      <c r="AX715" t="s">
        <v>231</v>
      </c>
      <c r="AY715" t="s">
        <v>231</v>
      </c>
      <c r="AZ715" t="s">
        <v>231</v>
      </c>
      <c r="BA715" t="s">
        <v>231</v>
      </c>
      <c r="BB715" t="s">
        <v>231</v>
      </c>
      <c r="BC715" t="s">
        <v>231</v>
      </c>
      <c r="BD715" t="s">
        <v>231</v>
      </c>
      <c r="BE715" t="s">
        <v>231</v>
      </c>
      <c r="BF715" t="s">
        <v>231</v>
      </c>
      <c r="BG715" t="s">
        <v>231</v>
      </c>
      <c r="BH715" t="s">
        <v>231</v>
      </c>
      <c r="BI715" t="s">
        <v>231</v>
      </c>
      <c r="BJ715" t="s">
        <v>231</v>
      </c>
      <c r="BK715" t="s">
        <v>231</v>
      </c>
      <c r="BL715" t="s">
        <v>231</v>
      </c>
      <c r="BM715" t="s">
        <v>231</v>
      </c>
      <c r="BN715" t="s">
        <v>231</v>
      </c>
      <c r="BO715" t="s">
        <v>231</v>
      </c>
      <c r="BP715" t="s">
        <v>231</v>
      </c>
      <c r="BQ715" t="s">
        <v>231</v>
      </c>
      <c r="BR715" t="s">
        <v>231</v>
      </c>
      <c r="BS715" t="s">
        <v>231</v>
      </c>
      <c r="BT715" t="s">
        <v>231</v>
      </c>
      <c r="CS715" t="s">
        <v>231</v>
      </c>
      <c r="CT715" t="s">
        <v>3534</v>
      </c>
      <c r="CU715" t="s">
        <v>3535</v>
      </c>
      <c r="CV715" t="s">
        <v>3997</v>
      </c>
      <c r="CW715" t="s">
        <v>3998</v>
      </c>
      <c r="CX715" t="s">
        <v>3570</v>
      </c>
      <c r="CY715" t="s">
        <v>3997</v>
      </c>
      <c r="CZ715" t="s">
        <v>5106</v>
      </c>
      <c r="DA715" t="s">
        <v>3999</v>
      </c>
      <c r="DB715" t="s">
        <v>3998</v>
      </c>
      <c r="DC715" t="s">
        <v>363</v>
      </c>
      <c r="DD715" t="s">
        <v>5099</v>
      </c>
      <c r="DE715" t="s">
        <v>5397</v>
      </c>
    </row>
    <row r="716" spans="1:109" ht="11.25" customHeight="1">
      <c r="A716" s="1314" t="s">
        <v>231</v>
      </c>
      <c r="B716" t="s">
        <v>231</v>
      </c>
      <c r="C716" t="s">
        <v>231</v>
      </c>
      <c r="D716" t="s">
        <v>231</v>
      </c>
      <c r="E716" t="s">
        <v>231</v>
      </c>
      <c r="F716" t="s">
        <v>231</v>
      </c>
      <c r="G716" t="s">
        <v>231</v>
      </c>
      <c r="H716" t="s">
        <v>231</v>
      </c>
      <c r="I716" t="s">
        <v>5086</v>
      </c>
      <c r="J716" t="s">
        <v>231</v>
      </c>
      <c r="K716" t="s">
        <v>231</v>
      </c>
      <c r="L716" t="s">
        <v>231</v>
      </c>
      <c r="M716" t="s">
        <v>231</v>
      </c>
      <c r="N716" t="s">
        <v>231</v>
      </c>
      <c r="O716" t="s">
        <v>231</v>
      </c>
      <c r="P716" t="s">
        <v>231</v>
      </c>
      <c r="Q716" t="s">
        <v>231</v>
      </c>
      <c r="R716" t="s">
        <v>5398</v>
      </c>
      <c r="S716" t="s">
        <v>231</v>
      </c>
      <c r="T716" t="s">
        <v>231</v>
      </c>
      <c r="U716" t="s">
        <v>101</v>
      </c>
      <c r="V716" t="s">
        <v>231</v>
      </c>
      <c r="W716" t="s">
        <v>231</v>
      </c>
      <c r="X716" t="s">
        <v>3628</v>
      </c>
      <c r="Y716" t="s">
        <v>231</v>
      </c>
      <c r="Z716" t="s">
        <v>151</v>
      </c>
      <c r="AA716" t="s">
        <v>151</v>
      </c>
      <c r="AB716" t="s">
        <v>160</v>
      </c>
      <c r="AC716" t="s">
        <v>2289</v>
      </c>
      <c r="AD716" t="s">
        <v>2289</v>
      </c>
      <c r="AE716" t="s">
        <v>2290</v>
      </c>
      <c r="AF716" t="s">
        <v>4511</v>
      </c>
      <c r="AG716" t="s">
        <v>4512</v>
      </c>
      <c r="AH716" t="s">
        <v>3618</v>
      </c>
      <c r="AI716" t="s">
        <v>3618</v>
      </c>
      <c r="AJ716" t="s">
        <v>231</v>
      </c>
      <c r="AK716" t="s">
        <v>231</v>
      </c>
      <c r="AL716" t="s">
        <v>231</v>
      </c>
      <c r="AN716" t="s">
        <v>231</v>
      </c>
      <c r="AO716" t="s">
        <v>231</v>
      </c>
      <c r="AP716" t="s">
        <v>231</v>
      </c>
      <c r="AQ716" t="s">
        <v>231</v>
      </c>
      <c r="AR716" t="s">
        <v>231</v>
      </c>
      <c r="AS716" t="s">
        <v>231</v>
      </c>
      <c r="AT716" t="s">
        <v>231</v>
      </c>
      <c r="AU716" t="s">
        <v>231</v>
      </c>
      <c r="AV716" t="s">
        <v>231</v>
      </c>
      <c r="AW716" t="s">
        <v>231</v>
      </c>
      <c r="AX716" t="s">
        <v>231</v>
      </c>
      <c r="AY716" t="s">
        <v>231</v>
      </c>
      <c r="AZ716" t="s">
        <v>231</v>
      </c>
      <c r="BA716" t="s">
        <v>231</v>
      </c>
      <c r="BB716" t="s">
        <v>231</v>
      </c>
      <c r="BC716" t="s">
        <v>231</v>
      </c>
      <c r="BD716" t="s">
        <v>231</v>
      </c>
      <c r="BE716" t="s">
        <v>3594</v>
      </c>
      <c r="BF716" t="s">
        <v>3775</v>
      </c>
      <c r="BG716" t="s">
        <v>111</v>
      </c>
      <c r="BH716" t="s">
        <v>3632</v>
      </c>
      <c r="BI716" t="s">
        <v>122</v>
      </c>
      <c r="BJ716" t="s">
        <v>231</v>
      </c>
      <c r="BK716" t="s">
        <v>231</v>
      </c>
      <c r="BL716" t="s">
        <v>2289</v>
      </c>
      <c r="BM716" t="s">
        <v>2289</v>
      </c>
      <c r="BN716" t="s">
        <v>3707</v>
      </c>
      <c r="BO716" t="s">
        <v>4511</v>
      </c>
      <c r="BP716" t="s">
        <v>4779</v>
      </c>
      <c r="BQ716" t="s">
        <v>3618</v>
      </c>
      <c r="BR716" t="s">
        <v>3618</v>
      </c>
      <c r="BS716" t="s">
        <v>231</v>
      </c>
      <c r="BT716" t="s">
        <v>3694</v>
      </c>
      <c r="CS716" t="s">
        <v>5212</v>
      </c>
      <c r="CT716" t="s">
        <v>3534</v>
      </c>
      <c r="CU716" t="s">
        <v>3535</v>
      </c>
      <c r="CV716" t="s">
        <v>3536</v>
      </c>
      <c r="CW716" t="s">
        <v>3589</v>
      </c>
      <c r="CX716" t="s">
        <v>223</v>
      </c>
      <c r="CY716" t="s">
        <v>3536</v>
      </c>
      <c r="CZ716" t="s">
        <v>3590</v>
      </c>
      <c r="DA716" t="s">
        <v>3591</v>
      </c>
      <c r="DB716" t="s">
        <v>3589</v>
      </c>
      <c r="DC716" t="s">
        <v>363</v>
      </c>
      <c r="DD716" t="s">
        <v>5099</v>
      </c>
      <c r="DE716" t="s">
        <v>4781</v>
      </c>
    </row>
    <row r="717" spans="1:109" ht="11.25" customHeight="1">
      <c r="A717" s="1314" t="s">
        <v>231</v>
      </c>
      <c r="B717" t="s">
        <v>231</v>
      </c>
      <c r="C717" t="s">
        <v>231</v>
      </c>
      <c r="D717" t="s">
        <v>231</v>
      </c>
      <c r="E717" t="s">
        <v>231</v>
      </c>
      <c r="F717" t="s">
        <v>231</v>
      </c>
      <c r="G717" t="s">
        <v>231</v>
      </c>
      <c r="H717" t="s">
        <v>231</v>
      </c>
      <c r="I717" t="s">
        <v>5086</v>
      </c>
      <c r="J717" t="s">
        <v>231</v>
      </c>
      <c r="K717" t="s">
        <v>231</v>
      </c>
      <c r="L717" t="s">
        <v>231</v>
      </c>
      <c r="M717" t="s">
        <v>231</v>
      </c>
      <c r="N717" t="s">
        <v>231</v>
      </c>
      <c r="O717" t="s">
        <v>231</v>
      </c>
      <c r="P717" t="s">
        <v>231</v>
      </c>
      <c r="Q717" t="s">
        <v>231</v>
      </c>
      <c r="R717" t="s">
        <v>5399</v>
      </c>
      <c r="S717" t="s">
        <v>231</v>
      </c>
      <c r="T717" t="s">
        <v>231</v>
      </c>
      <c r="U717" t="s">
        <v>101</v>
      </c>
      <c r="V717" t="s">
        <v>231</v>
      </c>
      <c r="W717" t="s">
        <v>231</v>
      </c>
      <c r="X717" t="s">
        <v>5088</v>
      </c>
      <c r="Y717" t="s">
        <v>231</v>
      </c>
      <c r="Z717" t="s">
        <v>160</v>
      </c>
      <c r="AA717" t="s">
        <v>151</v>
      </c>
      <c r="AB717" t="s">
        <v>151</v>
      </c>
      <c r="AC717" t="s">
        <v>343</v>
      </c>
      <c r="AD717" t="s">
        <v>343</v>
      </c>
      <c r="AE717" t="s">
        <v>344</v>
      </c>
      <c r="AF717" t="s">
        <v>3561</v>
      </c>
      <c r="AG717" t="s">
        <v>3562</v>
      </c>
      <c r="AH717" t="s">
        <v>5400</v>
      </c>
      <c r="AI717" t="s">
        <v>3575</v>
      </c>
      <c r="AJ717" t="s">
        <v>3825</v>
      </c>
      <c r="AK717" t="s">
        <v>5401</v>
      </c>
      <c r="AL717" t="s">
        <v>5092</v>
      </c>
      <c r="AN717" t="s">
        <v>5402</v>
      </c>
      <c r="AO717" t="s">
        <v>5403</v>
      </c>
      <c r="AP717" t="s">
        <v>231</v>
      </c>
      <c r="AQ717" t="s">
        <v>231</v>
      </c>
      <c r="AR717" t="s">
        <v>231</v>
      </c>
      <c r="AS717" t="s">
        <v>231</v>
      </c>
      <c r="AT717" t="s">
        <v>231</v>
      </c>
      <c r="AU717" t="s">
        <v>231</v>
      </c>
      <c r="AV717" t="s">
        <v>231</v>
      </c>
      <c r="AW717" t="s">
        <v>231</v>
      </c>
      <c r="AX717" t="s">
        <v>231</v>
      </c>
      <c r="AY717" t="s">
        <v>231</v>
      </c>
      <c r="AZ717" t="s">
        <v>231</v>
      </c>
      <c r="BA717" t="s">
        <v>231</v>
      </c>
      <c r="BB717" t="s">
        <v>231</v>
      </c>
      <c r="BC717" t="s">
        <v>231</v>
      </c>
      <c r="BD717" t="s">
        <v>231</v>
      </c>
      <c r="BE717" t="s">
        <v>231</v>
      </c>
      <c r="BF717" t="s">
        <v>231</v>
      </c>
      <c r="BG717" t="s">
        <v>231</v>
      </c>
      <c r="BH717" t="s">
        <v>231</v>
      </c>
      <c r="BI717" t="s">
        <v>231</v>
      </c>
      <c r="BJ717" t="s">
        <v>231</v>
      </c>
      <c r="BK717" t="s">
        <v>231</v>
      </c>
      <c r="BL717" t="s">
        <v>231</v>
      </c>
      <c r="BM717" t="s">
        <v>231</v>
      </c>
      <c r="BN717" t="s">
        <v>231</v>
      </c>
      <c r="BO717" t="s">
        <v>231</v>
      </c>
      <c r="BP717" t="s">
        <v>231</v>
      </c>
      <c r="BQ717" t="s">
        <v>231</v>
      </c>
      <c r="BR717" t="s">
        <v>231</v>
      </c>
      <c r="BS717" t="s">
        <v>231</v>
      </c>
      <c r="BT717" t="s">
        <v>231</v>
      </c>
      <c r="CS717" t="s">
        <v>231</v>
      </c>
      <c r="CT717" t="s">
        <v>3534</v>
      </c>
      <c r="CU717" t="s">
        <v>3535</v>
      </c>
      <c r="CV717" t="s">
        <v>3536</v>
      </c>
      <c r="CW717" t="s">
        <v>3569</v>
      </c>
      <c r="CX717" t="s">
        <v>3570</v>
      </c>
      <c r="CY717" t="s">
        <v>3536</v>
      </c>
      <c r="CZ717" t="s">
        <v>224</v>
      </c>
      <c r="DA717" t="s">
        <v>3571</v>
      </c>
      <c r="DB717" t="s">
        <v>3569</v>
      </c>
      <c r="DC717" t="s">
        <v>363</v>
      </c>
      <c r="DD717" t="s">
        <v>5099</v>
      </c>
      <c r="DE717" t="s">
        <v>5404</v>
      </c>
    </row>
    <row r="718" spans="1:109" ht="11.25" customHeight="1">
      <c r="A718" s="1314" t="s">
        <v>231</v>
      </c>
      <c r="B718" t="s">
        <v>231</v>
      </c>
      <c r="C718" t="s">
        <v>231</v>
      </c>
      <c r="D718" t="s">
        <v>231</v>
      </c>
      <c r="E718" t="s">
        <v>231</v>
      </c>
      <c r="F718" t="s">
        <v>231</v>
      </c>
      <c r="G718" t="s">
        <v>231</v>
      </c>
      <c r="H718" t="s">
        <v>231</v>
      </c>
      <c r="I718" t="s">
        <v>5086</v>
      </c>
      <c r="J718" t="s">
        <v>231</v>
      </c>
      <c r="K718" t="s">
        <v>231</v>
      </c>
      <c r="L718" t="s">
        <v>231</v>
      </c>
      <c r="M718" t="s">
        <v>231</v>
      </c>
      <c r="N718" t="s">
        <v>231</v>
      </c>
      <c r="O718" t="s">
        <v>231</v>
      </c>
      <c r="P718" t="s">
        <v>231</v>
      </c>
      <c r="Q718" t="s">
        <v>231</v>
      </c>
      <c r="R718" t="s">
        <v>5405</v>
      </c>
      <c r="S718" t="s">
        <v>231</v>
      </c>
      <c r="T718" t="s">
        <v>231</v>
      </c>
      <c r="U718" t="s">
        <v>101</v>
      </c>
      <c r="V718" t="s">
        <v>231</v>
      </c>
      <c r="W718" t="s">
        <v>231</v>
      </c>
      <c r="X718" t="s">
        <v>3628</v>
      </c>
      <c r="Y718" t="s">
        <v>231</v>
      </c>
      <c r="Z718" t="s">
        <v>151</v>
      </c>
      <c r="AA718" t="s">
        <v>151</v>
      </c>
      <c r="AB718" t="s">
        <v>160</v>
      </c>
      <c r="AC718" t="s">
        <v>2289</v>
      </c>
      <c r="AD718" t="s">
        <v>2289</v>
      </c>
      <c r="AE718" t="s">
        <v>2290</v>
      </c>
      <c r="AF718" t="s">
        <v>3930</v>
      </c>
      <c r="AG718" t="s">
        <v>3931</v>
      </c>
      <c r="AH718" t="s">
        <v>3618</v>
      </c>
      <c r="AI718" t="s">
        <v>3618</v>
      </c>
      <c r="AJ718" t="s">
        <v>231</v>
      </c>
      <c r="AK718" t="s">
        <v>231</v>
      </c>
      <c r="AL718" t="s">
        <v>231</v>
      </c>
      <c r="AN718" t="s">
        <v>231</v>
      </c>
      <c r="AO718" t="s">
        <v>231</v>
      </c>
      <c r="AP718" t="s">
        <v>231</v>
      </c>
      <c r="AQ718" t="s">
        <v>231</v>
      </c>
      <c r="AR718" t="s">
        <v>231</v>
      </c>
      <c r="AS718" t="s">
        <v>231</v>
      </c>
      <c r="AT718" t="s">
        <v>231</v>
      </c>
      <c r="AU718" t="s">
        <v>231</v>
      </c>
      <c r="AV718" t="s">
        <v>231</v>
      </c>
      <c r="AW718" t="s">
        <v>231</v>
      </c>
      <c r="AX718" t="s">
        <v>231</v>
      </c>
      <c r="AY718" t="s">
        <v>231</v>
      </c>
      <c r="AZ718" t="s">
        <v>231</v>
      </c>
      <c r="BA718" t="s">
        <v>231</v>
      </c>
      <c r="BB718" t="s">
        <v>231</v>
      </c>
      <c r="BC718" t="s">
        <v>231</v>
      </c>
      <c r="BD718" t="s">
        <v>231</v>
      </c>
      <c r="BE718" t="s">
        <v>3546</v>
      </c>
      <c r="BF718" t="s">
        <v>3820</v>
      </c>
      <c r="BG718" t="s">
        <v>111</v>
      </c>
      <c r="BH718" t="s">
        <v>3632</v>
      </c>
      <c r="BI718" t="s">
        <v>122</v>
      </c>
      <c r="BJ718" t="s">
        <v>231</v>
      </c>
      <c r="BK718" t="s">
        <v>231</v>
      </c>
      <c r="BL718" t="s">
        <v>2289</v>
      </c>
      <c r="BM718" t="s">
        <v>2289</v>
      </c>
      <c r="BN718" t="s">
        <v>3707</v>
      </c>
      <c r="BO718" t="s">
        <v>3930</v>
      </c>
      <c r="BP718" t="s">
        <v>4894</v>
      </c>
      <c r="BQ718" t="s">
        <v>3618</v>
      </c>
      <c r="BR718" t="s">
        <v>3618</v>
      </c>
      <c r="BS718" t="s">
        <v>231</v>
      </c>
      <c r="BT718" t="s">
        <v>3694</v>
      </c>
      <c r="CS718" t="s">
        <v>5212</v>
      </c>
      <c r="CT718" t="s">
        <v>3534</v>
      </c>
      <c r="CU718" t="s">
        <v>3535</v>
      </c>
      <c r="CV718" t="s">
        <v>3536</v>
      </c>
      <c r="CW718" t="s">
        <v>3589</v>
      </c>
      <c r="CX718" t="s">
        <v>223</v>
      </c>
      <c r="CY718" t="s">
        <v>3536</v>
      </c>
      <c r="CZ718" t="s">
        <v>3590</v>
      </c>
      <c r="DA718" t="s">
        <v>3591</v>
      </c>
      <c r="DB718" t="s">
        <v>3589</v>
      </c>
      <c r="DC718" t="s">
        <v>363</v>
      </c>
      <c r="DD718" t="s">
        <v>5099</v>
      </c>
      <c r="DE718" t="s">
        <v>4896</v>
      </c>
    </row>
    <row r="719" spans="1:109" ht="11.25" customHeight="1">
      <c r="A719" s="1314" t="s">
        <v>231</v>
      </c>
      <c r="B719" t="s">
        <v>231</v>
      </c>
      <c r="C719" t="s">
        <v>231</v>
      </c>
      <c r="D719" t="s">
        <v>231</v>
      </c>
      <c r="E719" t="s">
        <v>231</v>
      </c>
      <c r="F719" t="s">
        <v>231</v>
      </c>
      <c r="G719" t="s">
        <v>231</v>
      </c>
      <c r="H719" t="s">
        <v>231</v>
      </c>
      <c r="I719" t="s">
        <v>5086</v>
      </c>
      <c r="J719" t="s">
        <v>231</v>
      </c>
      <c r="K719" t="s">
        <v>231</v>
      </c>
      <c r="L719" t="s">
        <v>231</v>
      </c>
      <c r="M719" t="s">
        <v>231</v>
      </c>
      <c r="N719" t="s">
        <v>231</v>
      </c>
      <c r="O719" t="s">
        <v>231</v>
      </c>
      <c r="P719" t="s">
        <v>231</v>
      </c>
      <c r="Q719" t="s">
        <v>231</v>
      </c>
      <c r="R719" t="s">
        <v>5406</v>
      </c>
      <c r="S719" t="s">
        <v>231</v>
      </c>
      <c r="T719" t="s">
        <v>231</v>
      </c>
      <c r="U719" t="s">
        <v>101</v>
      </c>
      <c r="V719" t="s">
        <v>231</v>
      </c>
      <c r="W719" t="s">
        <v>231</v>
      </c>
      <c r="X719" t="s">
        <v>3955</v>
      </c>
      <c r="Y719" t="s">
        <v>231</v>
      </c>
      <c r="Z719" t="s">
        <v>151</v>
      </c>
      <c r="AA719" t="s">
        <v>160</v>
      </c>
      <c r="AB719" t="s">
        <v>151</v>
      </c>
      <c r="AC719" t="s">
        <v>2691</v>
      </c>
      <c r="AD719" t="s">
        <v>2691</v>
      </c>
      <c r="AE719" t="s">
        <v>2692</v>
      </c>
      <c r="AF719" t="s">
        <v>3991</v>
      </c>
      <c r="AG719" t="s">
        <v>3992</v>
      </c>
      <c r="AH719" t="s">
        <v>5407</v>
      </c>
      <c r="AI719" t="s">
        <v>3575</v>
      </c>
      <c r="AJ719" t="s">
        <v>231</v>
      </c>
      <c r="AK719" t="s">
        <v>231</v>
      </c>
      <c r="AL719" t="s">
        <v>231</v>
      </c>
      <c r="AN719" t="s">
        <v>231</v>
      </c>
      <c r="AO719" t="s">
        <v>231</v>
      </c>
      <c r="AP719" t="s">
        <v>5232</v>
      </c>
      <c r="AQ719" t="s">
        <v>5233</v>
      </c>
      <c r="AR719" t="s">
        <v>111</v>
      </c>
      <c r="AS719" t="s">
        <v>3632</v>
      </c>
      <c r="AT719" t="s">
        <v>122</v>
      </c>
      <c r="AU719" t="s">
        <v>231</v>
      </c>
      <c r="AV719" t="s">
        <v>5408</v>
      </c>
      <c r="AW719" t="s">
        <v>2691</v>
      </c>
      <c r="AX719" t="s">
        <v>2691</v>
      </c>
      <c r="AY719" t="s">
        <v>4116</v>
      </c>
      <c r="AZ719" t="s">
        <v>3991</v>
      </c>
      <c r="BA719" t="s">
        <v>4117</v>
      </c>
      <c r="BB719" t="s">
        <v>5407</v>
      </c>
      <c r="BC719" t="s">
        <v>3575</v>
      </c>
      <c r="BD719" t="s">
        <v>3595</v>
      </c>
      <c r="BE719" t="s">
        <v>231</v>
      </c>
      <c r="BF719" t="s">
        <v>231</v>
      </c>
      <c r="BG719" t="s">
        <v>231</v>
      </c>
      <c r="BH719" t="s">
        <v>231</v>
      </c>
      <c r="BI719" t="s">
        <v>231</v>
      </c>
      <c r="BJ719" t="s">
        <v>231</v>
      </c>
      <c r="BK719" t="s">
        <v>231</v>
      </c>
      <c r="BL719" t="s">
        <v>231</v>
      </c>
      <c r="BM719" t="s">
        <v>231</v>
      </c>
      <c r="BN719" t="s">
        <v>231</v>
      </c>
      <c r="BO719" t="s">
        <v>231</v>
      </c>
      <c r="BP719" t="s">
        <v>231</v>
      </c>
      <c r="BQ719" t="s">
        <v>231</v>
      </c>
      <c r="BR719" t="s">
        <v>231</v>
      </c>
      <c r="BS719" t="s">
        <v>231</v>
      </c>
      <c r="BT719" t="s">
        <v>231</v>
      </c>
      <c r="CS719" t="s">
        <v>231</v>
      </c>
      <c r="CT719" t="s">
        <v>3534</v>
      </c>
      <c r="CU719" t="s">
        <v>3535</v>
      </c>
      <c r="CV719" t="s">
        <v>3997</v>
      </c>
      <c r="CW719" t="s">
        <v>3998</v>
      </c>
      <c r="CX719" t="s">
        <v>3570</v>
      </c>
      <c r="CY719" t="s">
        <v>3997</v>
      </c>
      <c r="CZ719" t="s">
        <v>5106</v>
      </c>
      <c r="DA719" t="s">
        <v>3999</v>
      </c>
      <c r="DB719" t="s">
        <v>3998</v>
      </c>
      <c r="DC719" t="s">
        <v>363</v>
      </c>
      <c r="DD719" t="s">
        <v>5099</v>
      </c>
      <c r="DE719" t="s">
        <v>5409</v>
      </c>
    </row>
    <row r="720" spans="1:109" ht="11.25" customHeight="1">
      <c r="A720" s="1314" t="s">
        <v>231</v>
      </c>
      <c r="B720" t="s">
        <v>231</v>
      </c>
      <c r="C720" t="s">
        <v>231</v>
      </c>
      <c r="D720" t="s">
        <v>231</v>
      </c>
      <c r="E720" t="s">
        <v>231</v>
      </c>
      <c r="F720" t="s">
        <v>231</v>
      </c>
      <c r="G720" t="s">
        <v>231</v>
      </c>
      <c r="H720" t="s">
        <v>231</v>
      </c>
      <c r="I720" t="s">
        <v>5086</v>
      </c>
      <c r="J720" t="s">
        <v>231</v>
      </c>
      <c r="K720" t="s">
        <v>231</v>
      </c>
      <c r="L720" t="s">
        <v>231</v>
      </c>
      <c r="M720" t="s">
        <v>231</v>
      </c>
      <c r="N720" t="s">
        <v>231</v>
      </c>
      <c r="O720" t="s">
        <v>231</v>
      </c>
      <c r="P720" t="s">
        <v>231</v>
      </c>
      <c r="Q720" t="s">
        <v>231</v>
      </c>
      <c r="R720" t="s">
        <v>5408</v>
      </c>
      <c r="S720" t="s">
        <v>231</v>
      </c>
      <c r="T720" t="s">
        <v>231</v>
      </c>
      <c r="U720" t="s">
        <v>101</v>
      </c>
      <c r="V720" t="s">
        <v>231</v>
      </c>
      <c r="W720" t="s">
        <v>231</v>
      </c>
      <c r="X720" t="s">
        <v>3955</v>
      </c>
      <c r="Y720" t="s">
        <v>231</v>
      </c>
      <c r="Z720" t="s">
        <v>151</v>
      </c>
      <c r="AA720" t="s">
        <v>160</v>
      </c>
      <c r="AB720" t="s">
        <v>151</v>
      </c>
      <c r="AC720" t="s">
        <v>2262</v>
      </c>
      <c r="AD720" t="s">
        <v>2262</v>
      </c>
      <c r="AE720" t="s">
        <v>2264</v>
      </c>
      <c r="AF720" t="s">
        <v>4879</v>
      </c>
      <c r="AG720" t="s">
        <v>4880</v>
      </c>
      <c r="AH720" t="s">
        <v>4986</v>
      </c>
      <c r="AI720" t="s">
        <v>281</v>
      </c>
      <c r="AJ720" t="s">
        <v>231</v>
      </c>
      <c r="AK720" t="s">
        <v>231</v>
      </c>
      <c r="AL720" t="s">
        <v>231</v>
      </c>
      <c r="AN720" t="s">
        <v>231</v>
      </c>
      <c r="AO720" t="s">
        <v>231</v>
      </c>
      <c r="AP720" t="s">
        <v>5274</v>
      </c>
      <c r="AQ720" t="s">
        <v>5146</v>
      </c>
      <c r="AR720" t="s">
        <v>111</v>
      </c>
      <c r="AS720" t="s">
        <v>3632</v>
      </c>
      <c r="AT720" t="s">
        <v>122</v>
      </c>
      <c r="AU720" t="s">
        <v>231</v>
      </c>
      <c r="AV720" t="s">
        <v>5408</v>
      </c>
      <c r="AW720" t="s">
        <v>2262</v>
      </c>
      <c r="AX720" t="s">
        <v>2262</v>
      </c>
      <c r="AY720" t="s">
        <v>4884</v>
      </c>
      <c r="AZ720" t="s">
        <v>4879</v>
      </c>
      <c r="BA720" t="s">
        <v>4885</v>
      </c>
      <c r="BB720" t="s">
        <v>4986</v>
      </c>
      <c r="BC720" t="s">
        <v>281</v>
      </c>
      <c r="BD720" t="s">
        <v>3621</v>
      </c>
      <c r="BE720" t="s">
        <v>231</v>
      </c>
      <c r="BF720" t="s">
        <v>231</v>
      </c>
      <c r="BG720" t="s">
        <v>231</v>
      </c>
      <c r="BH720" t="s">
        <v>231</v>
      </c>
      <c r="BI720" t="s">
        <v>231</v>
      </c>
      <c r="BJ720" t="s">
        <v>231</v>
      </c>
      <c r="BK720" t="s">
        <v>231</v>
      </c>
      <c r="BL720" t="s">
        <v>231</v>
      </c>
      <c r="BM720" t="s">
        <v>231</v>
      </c>
      <c r="BN720" t="s">
        <v>231</v>
      </c>
      <c r="BO720" t="s">
        <v>231</v>
      </c>
      <c r="BP720" t="s">
        <v>231</v>
      </c>
      <c r="BQ720" t="s">
        <v>231</v>
      </c>
      <c r="BR720" t="s">
        <v>231</v>
      </c>
      <c r="BS720" t="s">
        <v>231</v>
      </c>
      <c r="BT720" t="s">
        <v>231</v>
      </c>
      <c r="CS720" t="s">
        <v>231</v>
      </c>
      <c r="CT720" t="s">
        <v>3534</v>
      </c>
      <c r="CU720" t="s">
        <v>3535</v>
      </c>
      <c r="CV720" t="s">
        <v>3536</v>
      </c>
      <c r="CW720" t="s">
        <v>4891</v>
      </c>
      <c r="CX720" t="s">
        <v>223</v>
      </c>
      <c r="CY720" t="s">
        <v>3536</v>
      </c>
      <c r="CZ720" t="s">
        <v>321</v>
      </c>
      <c r="DA720" t="s">
        <v>3539</v>
      </c>
      <c r="DB720" t="s">
        <v>4891</v>
      </c>
      <c r="DC720" t="s">
        <v>363</v>
      </c>
      <c r="DD720" t="s">
        <v>5099</v>
      </c>
      <c r="DE720" t="s">
        <v>5410</v>
      </c>
    </row>
    <row r="721" spans="1:109" ht="11.25" customHeight="1">
      <c r="A721" s="1314" t="s">
        <v>231</v>
      </c>
      <c r="B721" t="s">
        <v>231</v>
      </c>
      <c r="C721" t="s">
        <v>231</v>
      </c>
      <c r="D721" t="s">
        <v>231</v>
      </c>
      <c r="E721" t="s">
        <v>231</v>
      </c>
      <c r="F721" t="s">
        <v>231</v>
      </c>
      <c r="G721" t="s">
        <v>231</v>
      </c>
      <c r="H721" t="s">
        <v>231</v>
      </c>
      <c r="I721" t="s">
        <v>5086</v>
      </c>
      <c r="J721" t="s">
        <v>231</v>
      </c>
      <c r="K721" t="s">
        <v>231</v>
      </c>
      <c r="L721" t="s">
        <v>231</v>
      </c>
      <c r="M721" t="s">
        <v>231</v>
      </c>
      <c r="N721" t="s">
        <v>231</v>
      </c>
      <c r="O721" t="s">
        <v>231</v>
      </c>
      <c r="P721" t="s">
        <v>231</v>
      </c>
      <c r="Q721" t="s">
        <v>231</v>
      </c>
      <c r="R721" t="s">
        <v>5088</v>
      </c>
      <c r="S721" t="s">
        <v>231</v>
      </c>
      <c r="T721" t="s">
        <v>231</v>
      </c>
      <c r="U721" t="s">
        <v>101</v>
      </c>
      <c r="V721" t="s">
        <v>231</v>
      </c>
      <c r="W721" t="s">
        <v>231</v>
      </c>
      <c r="X721" t="s">
        <v>5088</v>
      </c>
      <c r="Y721" t="s">
        <v>231</v>
      </c>
      <c r="Z721" t="s">
        <v>160</v>
      </c>
      <c r="AA721" t="s">
        <v>151</v>
      </c>
      <c r="AB721" t="s">
        <v>151</v>
      </c>
      <c r="AC721" t="s">
        <v>2262</v>
      </c>
      <c r="AD721" t="s">
        <v>2262</v>
      </c>
      <c r="AE721" t="s">
        <v>2264</v>
      </c>
      <c r="AF721" t="s">
        <v>4879</v>
      </c>
      <c r="AG721" t="s">
        <v>4880</v>
      </c>
      <c r="AH721" t="s">
        <v>5147</v>
      </c>
      <c r="AI721" t="s">
        <v>5411</v>
      </c>
      <c r="AJ721" t="s">
        <v>5412</v>
      </c>
      <c r="AK721" t="s">
        <v>5413</v>
      </c>
      <c r="AL721" t="s">
        <v>5092</v>
      </c>
      <c r="AN721" t="s">
        <v>3621</v>
      </c>
      <c r="AO721" t="s">
        <v>3662</v>
      </c>
      <c r="AP721" t="s">
        <v>231</v>
      </c>
      <c r="AQ721" t="s">
        <v>231</v>
      </c>
      <c r="AR721" t="s">
        <v>231</v>
      </c>
      <c r="AS721" t="s">
        <v>231</v>
      </c>
      <c r="AT721" t="s">
        <v>231</v>
      </c>
      <c r="AU721" t="s">
        <v>231</v>
      </c>
      <c r="AV721" t="s">
        <v>231</v>
      </c>
      <c r="AW721" t="s">
        <v>231</v>
      </c>
      <c r="AX721" t="s">
        <v>231</v>
      </c>
      <c r="AY721" t="s">
        <v>231</v>
      </c>
      <c r="AZ721" t="s">
        <v>231</v>
      </c>
      <c r="BA721" t="s">
        <v>231</v>
      </c>
      <c r="BB721" t="s">
        <v>231</v>
      </c>
      <c r="BC721" t="s">
        <v>231</v>
      </c>
      <c r="BD721" t="s">
        <v>231</v>
      </c>
      <c r="BE721" t="s">
        <v>231</v>
      </c>
      <c r="BF721" t="s">
        <v>231</v>
      </c>
      <c r="BG721" t="s">
        <v>231</v>
      </c>
      <c r="BH721" t="s">
        <v>231</v>
      </c>
      <c r="BI721" t="s">
        <v>231</v>
      </c>
      <c r="BJ721" t="s">
        <v>231</v>
      </c>
      <c r="BK721" t="s">
        <v>231</v>
      </c>
      <c r="BL721" t="s">
        <v>231</v>
      </c>
      <c r="BM721" t="s">
        <v>231</v>
      </c>
      <c r="BN721" t="s">
        <v>231</v>
      </c>
      <c r="BO721" t="s">
        <v>231</v>
      </c>
      <c r="BP721" t="s">
        <v>231</v>
      </c>
      <c r="BQ721" t="s">
        <v>231</v>
      </c>
      <c r="BR721" t="s">
        <v>231</v>
      </c>
      <c r="BS721" t="s">
        <v>231</v>
      </c>
      <c r="BT721" t="s">
        <v>231</v>
      </c>
      <c r="CS721" t="s">
        <v>231</v>
      </c>
      <c r="CT721" t="s">
        <v>3534</v>
      </c>
      <c r="CU721" t="s">
        <v>3535</v>
      </c>
      <c r="CV721" t="s">
        <v>3536</v>
      </c>
      <c r="CW721" t="s">
        <v>4891</v>
      </c>
      <c r="CX721" t="s">
        <v>223</v>
      </c>
      <c r="CY721" t="s">
        <v>3536</v>
      </c>
      <c r="CZ721" t="s">
        <v>321</v>
      </c>
      <c r="DA721" t="s">
        <v>3539</v>
      </c>
      <c r="DB721" t="s">
        <v>4891</v>
      </c>
      <c r="DC721" t="s">
        <v>363</v>
      </c>
      <c r="DD721" t="s">
        <v>5099</v>
      </c>
      <c r="DE721" t="s">
        <v>5414</v>
      </c>
    </row>
    <row r="722" spans="1:109" ht="11.25" customHeight="1">
      <c r="A722" s="1314" t="s">
        <v>231</v>
      </c>
      <c r="B722" t="s">
        <v>231</v>
      </c>
      <c r="C722" t="s">
        <v>231</v>
      </c>
      <c r="D722" t="s">
        <v>231</v>
      </c>
      <c r="E722" t="s">
        <v>231</v>
      </c>
      <c r="F722" t="s">
        <v>231</v>
      </c>
      <c r="G722" t="s">
        <v>231</v>
      </c>
      <c r="H722" t="s">
        <v>231</v>
      </c>
      <c r="I722" t="s">
        <v>5086</v>
      </c>
      <c r="J722" t="s">
        <v>231</v>
      </c>
      <c r="K722" t="s">
        <v>231</v>
      </c>
      <c r="L722" t="s">
        <v>231</v>
      </c>
      <c r="M722" t="s">
        <v>231</v>
      </c>
      <c r="N722" t="s">
        <v>231</v>
      </c>
      <c r="O722" t="s">
        <v>231</v>
      </c>
      <c r="P722" t="s">
        <v>231</v>
      </c>
      <c r="Q722" t="s">
        <v>231</v>
      </c>
      <c r="R722" t="s">
        <v>5415</v>
      </c>
      <c r="S722" t="s">
        <v>231</v>
      </c>
      <c r="T722" t="s">
        <v>231</v>
      </c>
      <c r="U722" t="s">
        <v>101</v>
      </c>
      <c r="V722" t="s">
        <v>231</v>
      </c>
      <c r="W722" t="s">
        <v>231</v>
      </c>
      <c r="X722" t="s">
        <v>5088</v>
      </c>
      <c r="Y722" t="s">
        <v>231</v>
      </c>
      <c r="Z722" t="s">
        <v>160</v>
      </c>
      <c r="AA722" t="s">
        <v>151</v>
      </c>
      <c r="AB722" t="s">
        <v>151</v>
      </c>
      <c r="AC722" t="s">
        <v>2262</v>
      </c>
      <c r="AD722" t="s">
        <v>2262</v>
      </c>
      <c r="AE722" t="s">
        <v>2264</v>
      </c>
      <c r="AF722" t="s">
        <v>4879</v>
      </c>
      <c r="AG722" t="s">
        <v>4880</v>
      </c>
      <c r="AH722" t="s">
        <v>5416</v>
      </c>
      <c r="AI722" t="s">
        <v>3575</v>
      </c>
      <c r="AJ722" t="s">
        <v>3549</v>
      </c>
      <c r="AK722" t="s">
        <v>5417</v>
      </c>
      <c r="AL722" t="s">
        <v>5092</v>
      </c>
      <c r="AN722" t="s">
        <v>5297</v>
      </c>
      <c r="AO722" t="s">
        <v>5098</v>
      </c>
      <c r="AP722" t="s">
        <v>231</v>
      </c>
      <c r="AQ722" t="s">
        <v>231</v>
      </c>
      <c r="AR722" t="s">
        <v>231</v>
      </c>
      <c r="AS722" t="s">
        <v>231</v>
      </c>
      <c r="AT722" t="s">
        <v>231</v>
      </c>
      <c r="AU722" t="s">
        <v>231</v>
      </c>
      <c r="AV722" t="s">
        <v>231</v>
      </c>
      <c r="AW722" t="s">
        <v>231</v>
      </c>
      <c r="AX722" t="s">
        <v>231</v>
      </c>
      <c r="AY722" t="s">
        <v>231</v>
      </c>
      <c r="AZ722" t="s">
        <v>231</v>
      </c>
      <c r="BA722" t="s">
        <v>231</v>
      </c>
      <c r="BB722" t="s">
        <v>231</v>
      </c>
      <c r="BC722" t="s">
        <v>231</v>
      </c>
      <c r="BD722" t="s">
        <v>231</v>
      </c>
      <c r="BE722" t="s">
        <v>231</v>
      </c>
      <c r="BF722" t="s">
        <v>231</v>
      </c>
      <c r="BG722" t="s">
        <v>231</v>
      </c>
      <c r="BH722" t="s">
        <v>231</v>
      </c>
      <c r="BI722" t="s">
        <v>231</v>
      </c>
      <c r="BJ722" t="s">
        <v>231</v>
      </c>
      <c r="BK722" t="s">
        <v>231</v>
      </c>
      <c r="BL722" t="s">
        <v>231</v>
      </c>
      <c r="BM722" t="s">
        <v>231</v>
      </c>
      <c r="BN722" t="s">
        <v>231</v>
      </c>
      <c r="BO722" t="s">
        <v>231</v>
      </c>
      <c r="BP722" t="s">
        <v>231</v>
      </c>
      <c r="BQ722" t="s">
        <v>231</v>
      </c>
      <c r="BR722" t="s">
        <v>231</v>
      </c>
      <c r="BS722" t="s">
        <v>231</v>
      </c>
      <c r="BT722" t="s">
        <v>231</v>
      </c>
      <c r="CS722" t="s">
        <v>231</v>
      </c>
      <c r="CT722" t="s">
        <v>3534</v>
      </c>
      <c r="CU722" t="s">
        <v>3535</v>
      </c>
      <c r="CV722" t="s">
        <v>3536</v>
      </c>
      <c r="CW722" t="s">
        <v>4891</v>
      </c>
      <c r="CX722" t="s">
        <v>223</v>
      </c>
      <c r="CY722" t="s">
        <v>3536</v>
      </c>
      <c r="CZ722" t="s">
        <v>321</v>
      </c>
      <c r="DA722" t="s">
        <v>3539</v>
      </c>
      <c r="DB722" t="s">
        <v>4891</v>
      </c>
      <c r="DC722" t="s">
        <v>363</v>
      </c>
      <c r="DD722" t="s">
        <v>5099</v>
      </c>
      <c r="DE722" t="s">
        <v>5418</v>
      </c>
    </row>
    <row r="723" spans="1:109" ht="11.25" customHeight="1">
      <c r="A723" s="1314" t="s">
        <v>231</v>
      </c>
      <c r="B723" t="s">
        <v>231</v>
      </c>
      <c r="C723" t="s">
        <v>231</v>
      </c>
      <c r="D723" t="s">
        <v>231</v>
      </c>
      <c r="E723" t="s">
        <v>231</v>
      </c>
      <c r="F723" t="s">
        <v>231</v>
      </c>
      <c r="G723" t="s">
        <v>231</v>
      </c>
      <c r="H723" t="s">
        <v>231</v>
      </c>
      <c r="I723" t="s">
        <v>5086</v>
      </c>
      <c r="J723" t="s">
        <v>231</v>
      </c>
      <c r="K723" t="s">
        <v>231</v>
      </c>
      <c r="L723" t="s">
        <v>231</v>
      </c>
      <c r="M723" t="s">
        <v>231</v>
      </c>
      <c r="N723" t="s">
        <v>231</v>
      </c>
      <c r="O723" t="s">
        <v>231</v>
      </c>
      <c r="P723" t="s">
        <v>231</v>
      </c>
      <c r="Q723" t="s">
        <v>231</v>
      </c>
      <c r="R723" t="s">
        <v>5419</v>
      </c>
      <c r="S723" t="s">
        <v>231</v>
      </c>
      <c r="T723" t="s">
        <v>231</v>
      </c>
      <c r="U723" t="s">
        <v>101</v>
      </c>
      <c r="V723" t="s">
        <v>231</v>
      </c>
      <c r="W723" t="s">
        <v>231</v>
      </c>
      <c r="X723" t="s">
        <v>3628</v>
      </c>
      <c r="Y723" t="s">
        <v>231</v>
      </c>
      <c r="Z723" t="s">
        <v>151</v>
      </c>
      <c r="AA723" t="s">
        <v>151</v>
      </c>
      <c r="AB723" t="s">
        <v>160</v>
      </c>
      <c r="AC723" t="s">
        <v>2289</v>
      </c>
      <c r="AD723" t="s">
        <v>2289</v>
      </c>
      <c r="AE723" t="s">
        <v>2290</v>
      </c>
      <c r="AF723" t="s">
        <v>3735</v>
      </c>
      <c r="AG723" t="s">
        <v>3736</v>
      </c>
      <c r="AH723" t="s">
        <v>3618</v>
      </c>
      <c r="AI723" t="s">
        <v>3618</v>
      </c>
      <c r="AJ723" t="s">
        <v>231</v>
      </c>
      <c r="AK723" t="s">
        <v>231</v>
      </c>
      <c r="AL723" t="s">
        <v>231</v>
      </c>
      <c r="AN723" t="s">
        <v>231</v>
      </c>
      <c r="AO723" t="s">
        <v>231</v>
      </c>
      <c r="AP723" t="s">
        <v>231</v>
      </c>
      <c r="AQ723" t="s">
        <v>231</v>
      </c>
      <c r="AR723" t="s">
        <v>231</v>
      </c>
      <c r="AS723" t="s">
        <v>231</v>
      </c>
      <c r="AT723" t="s">
        <v>231</v>
      </c>
      <c r="AU723" t="s">
        <v>231</v>
      </c>
      <c r="AV723" t="s">
        <v>231</v>
      </c>
      <c r="AW723" t="s">
        <v>231</v>
      </c>
      <c r="AX723" t="s">
        <v>231</v>
      </c>
      <c r="AY723" t="s">
        <v>231</v>
      </c>
      <c r="AZ723" t="s">
        <v>231</v>
      </c>
      <c r="BA723" t="s">
        <v>231</v>
      </c>
      <c r="BB723" t="s">
        <v>231</v>
      </c>
      <c r="BC723" t="s">
        <v>231</v>
      </c>
      <c r="BD723" t="s">
        <v>231</v>
      </c>
      <c r="BE723" t="s">
        <v>3586</v>
      </c>
      <c r="BF723" t="s">
        <v>3716</v>
      </c>
      <c r="BG723" t="s">
        <v>111</v>
      </c>
      <c r="BH723" t="s">
        <v>3632</v>
      </c>
      <c r="BI723" t="s">
        <v>122</v>
      </c>
      <c r="BJ723" t="s">
        <v>231</v>
      </c>
      <c r="BK723" t="s">
        <v>231</v>
      </c>
      <c r="BL723" t="s">
        <v>2289</v>
      </c>
      <c r="BM723" t="s">
        <v>2289</v>
      </c>
      <c r="BN723" t="s">
        <v>3707</v>
      </c>
      <c r="BO723" t="s">
        <v>3735</v>
      </c>
      <c r="BP723" t="s">
        <v>4070</v>
      </c>
      <c r="BQ723" t="s">
        <v>3618</v>
      </c>
      <c r="BR723" t="s">
        <v>3618</v>
      </c>
      <c r="BS723" t="s">
        <v>231</v>
      </c>
      <c r="BT723" t="s">
        <v>3694</v>
      </c>
      <c r="CS723" t="s">
        <v>5212</v>
      </c>
      <c r="CT723" t="s">
        <v>3534</v>
      </c>
      <c r="CU723" t="s">
        <v>3535</v>
      </c>
      <c r="CV723" t="s">
        <v>3536</v>
      </c>
      <c r="CW723" t="s">
        <v>3589</v>
      </c>
      <c r="CX723" t="s">
        <v>223</v>
      </c>
      <c r="CY723" t="s">
        <v>3536</v>
      </c>
      <c r="CZ723" t="s">
        <v>3590</v>
      </c>
      <c r="DA723" t="s">
        <v>3591</v>
      </c>
      <c r="DB723" t="s">
        <v>3589</v>
      </c>
      <c r="DC723" t="s">
        <v>363</v>
      </c>
      <c r="DD723" t="s">
        <v>5099</v>
      </c>
      <c r="DE723" t="s">
        <v>4072</v>
      </c>
    </row>
    <row r="724" spans="1:109" ht="11.25" customHeight="1">
      <c r="A724" s="1314" t="s">
        <v>231</v>
      </c>
      <c r="B724" t="s">
        <v>231</v>
      </c>
      <c r="C724" t="s">
        <v>231</v>
      </c>
      <c r="D724" t="s">
        <v>231</v>
      </c>
      <c r="E724" t="s">
        <v>231</v>
      </c>
      <c r="F724" t="s">
        <v>231</v>
      </c>
      <c r="G724" t="s">
        <v>231</v>
      </c>
      <c r="H724" t="s">
        <v>231</v>
      </c>
      <c r="I724" t="s">
        <v>5086</v>
      </c>
      <c r="J724" t="s">
        <v>231</v>
      </c>
      <c r="K724" t="s">
        <v>231</v>
      </c>
      <c r="L724" t="s">
        <v>231</v>
      </c>
      <c r="M724" t="s">
        <v>231</v>
      </c>
      <c r="N724" t="s">
        <v>231</v>
      </c>
      <c r="O724" t="s">
        <v>231</v>
      </c>
      <c r="P724" t="s">
        <v>231</v>
      </c>
      <c r="Q724" t="s">
        <v>231</v>
      </c>
      <c r="R724" t="s">
        <v>5420</v>
      </c>
      <c r="S724" t="s">
        <v>231</v>
      </c>
      <c r="T724" t="s">
        <v>231</v>
      </c>
      <c r="U724" t="s">
        <v>101</v>
      </c>
      <c r="V724" t="s">
        <v>231</v>
      </c>
      <c r="W724" t="s">
        <v>231</v>
      </c>
      <c r="X724" t="s">
        <v>3628</v>
      </c>
      <c r="Y724" t="s">
        <v>231</v>
      </c>
      <c r="Z724" t="s">
        <v>151</v>
      </c>
      <c r="AA724" t="s">
        <v>151</v>
      </c>
      <c r="AB724" t="s">
        <v>160</v>
      </c>
      <c r="AC724" t="s">
        <v>2289</v>
      </c>
      <c r="AD724" t="s">
        <v>2289</v>
      </c>
      <c r="AE724" t="s">
        <v>2290</v>
      </c>
      <c r="AF724" t="s">
        <v>3793</v>
      </c>
      <c r="AG724" t="s">
        <v>3794</v>
      </c>
      <c r="AH724" t="s">
        <v>3618</v>
      </c>
      <c r="AI724" t="s">
        <v>3618</v>
      </c>
      <c r="AJ724" t="s">
        <v>231</v>
      </c>
      <c r="AK724" t="s">
        <v>231</v>
      </c>
      <c r="AL724" t="s">
        <v>231</v>
      </c>
      <c r="AN724" t="s">
        <v>231</v>
      </c>
      <c r="AO724" t="s">
        <v>231</v>
      </c>
      <c r="AP724" t="s">
        <v>231</v>
      </c>
      <c r="AQ724" t="s">
        <v>231</v>
      </c>
      <c r="AR724" t="s">
        <v>231</v>
      </c>
      <c r="AS724" t="s">
        <v>231</v>
      </c>
      <c r="AT724" t="s">
        <v>231</v>
      </c>
      <c r="AU724" t="s">
        <v>231</v>
      </c>
      <c r="AV724" t="s">
        <v>231</v>
      </c>
      <c r="AW724" t="s">
        <v>231</v>
      </c>
      <c r="AX724" t="s">
        <v>231</v>
      </c>
      <c r="AY724" t="s">
        <v>231</v>
      </c>
      <c r="AZ724" t="s">
        <v>231</v>
      </c>
      <c r="BA724" t="s">
        <v>231</v>
      </c>
      <c r="BB724" t="s">
        <v>231</v>
      </c>
      <c r="BC724" t="s">
        <v>231</v>
      </c>
      <c r="BD724" t="s">
        <v>231</v>
      </c>
      <c r="BE724" t="s">
        <v>4996</v>
      </c>
      <c r="BF724" t="s">
        <v>5297</v>
      </c>
      <c r="BG724" t="s">
        <v>111</v>
      </c>
      <c r="BH724" t="s">
        <v>3632</v>
      </c>
      <c r="BI724" t="s">
        <v>122</v>
      </c>
      <c r="BJ724" t="s">
        <v>231</v>
      </c>
      <c r="BK724" t="s">
        <v>231</v>
      </c>
      <c r="BL724" t="s">
        <v>2289</v>
      </c>
      <c r="BM724" t="s">
        <v>2289</v>
      </c>
      <c r="BN724" t="s">
        <v>3707</v>
      </c>
      <c r="BO724" t="s">
        <v>3793</v>
      </c>
      <c r="BP724" t="s">
        <v>4920</v>
      </c>
      <c r="BQ724" t="s">
        <v>3618</v>
      </c>
      <c r="BR724" t="s">
        <v>3618</v>
      </c>
      <c r="BS724" t="s">
        <v>231</v>
      </c>
      <c r="BT724" t="s">
        <v>3694</v>
      </c>
      <c r="CS724" t="s">
        <v>5212</v>
      </c>
      <c r="CT724" t="s">
        <v>3534</v>
      </c>
      <c r="CU724" t="s">
        <v>3535</v>
      </c>
      <c r="CV724" t="s">
        <v>3536</v>
      </c>
      <c r="CW724" t="s">
        <v>3589</v>
      </c>
      <c r="CX724" t="s">
        <v>223</v>
      </c>
      <c r="CY724" t="s">
        <v>3536</v>
      </c>
      <c r="CZ724" t="s">
        <v>3590</v>
      </c>
      <c r="DA724" t="s">
        <v>3591</v>
      </c>
      <c r="DB724" t="s">
        <v>3623</v>
      </c>
      <c r="DC724" t="s">
        <v>363</v>
      </c>
      <c r="DD724" t="s">
        <v>5099</v>
      </c>
      <c r="DE724" t="s">
        <v>4922</v>
      </c>
    </row>
    <row r="725" spans="1:109" ht="11.25" customHeight="1">
      <c r="A725" s="1314" t="s">
        <v>231</v>
      </c>
      <c r="B725" t="s">
        <v>231</v>
      </c>
      <c r="C725" t="s">
        <v>231</v>
      </c>
      <c r="D725" t="s">
        <v>231</v>
      </c>
      <c r="E725" t="s">
        <v>231</v>
      </c>
      <c r="F725" t="s">
        <v>231</v>
      </c>
      <c r="G725" t="s">
        <v>231</v>
      </c>
      <c r="H725" t="s">
        <v>231</v>
      </c>
      <c r="I725" t="s">
        <v>5086</v>
      </c>
      <c r="J725" t="s">
        <v>231</v>
      </c>
      <c r="K725" t="s">
        <v>231</v>
      </c>
      <c r="L725" t="s">
        <v>231</v>
      </c>
      <c r="M725" t="s">
        <v>231</v>
      </c>
      <c r="N725" t="s">
        <v>231</v>
      </c>
      <c r="O725" t="s">
        <v>231</v>
      </c>
      <c r="P725" t="s">
        <v>231</v>
      </c>
      <c r="Q725" t="s">
        <v>231</v>
      </c>
      <c r="R725" t="s">
        <v>5421</v>
      </c>
      <c r="S725" t="s">
        <v>231</v>
      </c>
      <c r="T725" t="s">
        <v>231</v>
      </c>
      <c r="U725" t="s">
        <v>101</v>
      </c>
      <c r="V725" t="s">
        <v>231</v>
      </c>
      <c r="W725" t="s">
        <v>231</v>
      </c>
      <c r="X725" t="s">
        <v>3955</v>
      </c>
      <c r="Y725" t="s">
        <v>231</v>
      </c>
      <c r="Z725" t="s">
        <v>151</v>
      </c>
      <c r="AA725" t="s">
        <v>160</v>
      </c>
      <c r="AB725" t="s">
        <v>151</v>
      </c>
      <c r="AC725" t="s">
        <v>2691</v>
      </c>
      <c r="AD725" t="s">
        <v>2691</v>
      </c>
      <c r="AE725" t="s">
        <v>2692</v>
      </c>
      <c r="AF725" t="s">
        <v>3991</v>
      </c>
      <c r="AG725" t="s">
        <v>3992</v>
      </c>
      <c r="AH725" t="s">
        <v>5422</v>
      </c>
      <c r="AI725" t="s">
        <v>3575</v>
      </c>
      <c r="AJ725" t="s">
        <v>231</v>
      </c>
      <c r="AK725" t="s">
        <v>231</v>
      </c>
      <c r="AL725" t="s">
        <v>231</v>
      </c>
      <c r="AN725" t="s">
        <v>231</v>
      </c>
      <c r="AO725" t="s">
        <v>231</v>
      </c>
      <c r="AP725" t="s">
        <v>5182</v>
      </c>
      <c r="AQ725" t="s">
        <v>5183</v>
      </c>
      <c r="AR725" t="s">
        <v>111</v>
      </c>
      <c r="AS725" t="s">
        <v>3632</v>
      </c>
      <c r="AT725" t="s">
        <v>122</v>
      </c>
      <c r="AU725" t="s">
        <v>231</v>
      </c>
      <c r="AV725" t="s">
        <v>5408</v>
      </c>
      <c r="AW725" t="s">
        <v>2691</v>
      </c>
      <c r="AX725" t="s">
        <v>2691</v>
      </c>
      <c r="AY725" t="s">
        <v>4116</v>
      </c>
      <c r="AZ725" t="s">
        <v>3991</v>
      </c>
      <c r="BA725" t="s">
        <v>4117</v>
      </c>
      <c r="BB725" t="s">
        <v>5423</v>
      </c>
      <c r="BC725" t="s">
        <v>3575</v>
      </c>
      <c r="BD725" t="s">
        <v>3595</v>
      </c>
      <c r="BE725" t="s">
        <v>231</v>
      </c>
      <c r="BF725" t="s">
        <v>231</v>
      </c>
      <c r="BG725" t="s">
        <v>231</v>
      </c>
      <c r="BH725" t="s">
        <v>231</v>
      </c>
      <c r="BI725" t="s">
        <v>231</v>
      </c>
      <c r="BJ725" t="s">
        <v>231</v>
      </c>
      <c r="BK725" t="s">
        <v>231</v>
      </c>
      <c r="BL725" t="s">
        <v>231</v>
      </c>
      <c r="BM725" t="s">
        <v>231</v>
      </c>
      <c r="BN725" t="s">
        <v>231</v>
      </c>
      <c r="BO725" t="s">
        <v>231</v>
      </c>
      <c r="BP725" t="s">
        <v>231</v>
      </c>
      <c r="BQ725" t="s">
        <v>231</v>
      </c>
      <c r="BR725" t="s">
        <v>231</v>
      </c>
      <c r="BS725" t="s">
        <v>231</v>
      </c>
      <c r="BT725" t="s">
        <v>231</v>
      </c>
      <c r="CS725" t="s">
        <v>231</v>
      </c>
      <c r="CT725" t="s">
        <v>3534</v>
      </c>
      <c r="CU725" t="s">
        <v>3535</v>
      </c>
      <c r="CV725" t="s">
        <v>3997</v>
      </c>
      <c r="CW725" t="s">
        <v>3998</v>
      </c>
      <c r="CX725" t="s">
        <v>3570</v>
      </c>
      <c r="CY725" t="s">
        <v>3997</v>
      </c>
      <c r="CZ725" t="s">
        <v>5106</v>
      </c>
      <c r="DA725" t="s">
        <v>3999</v>
      </c>
      <c r="DB725" t="s">
        <v>3998</v>
      </c>
      <c r="DC725" t="s">
        <v>363</v>
      </c>
      <c r="DD725" t="s">
        <v>5099</v>
      </c>
      <c r="DE725" t="s">
        <v>5424</v>
      </c>
    </row>
    <row r="726" spans="1:109" ht="11.25" customHeight="1">
      <c r="A726" s="1314" t="s">
        <v>231</v>
      </c>
      <c r="B726" t="s">
        <v>231</v>
      </c>
      <c r="C726" t="s">
        <v>231</v>
      </c>
      <c r="D726" t="s">
        <v>231</v>
      </c>
      <c r="E726" t="s">
        <v>231</v>
      </c>
      <c r="F726" t="s">
        <v>231</v>
      </c>
      <c r="G726" t="s">
        <v>231</v>
      </c>
      <c r="H726" t="s">
        <v>231</v>
      </c>
      <c r="I726" t="s">
        <v>5086</v>
      </c>
      <c r="J726" t="s">
        <v>231</v>
      </c>
      <c r="K726" t="s">
        <v>231</v>
      </c>
      <c r="L726" t="s">
        <v>231</v>
      </c>
      <c r="M726" t="s">
        <v>231</v>
      </c>
      <c r="N726" t="s">
        <v>231</v>
      </c>
      <c r="O726" t="s">
        <v>231</v>
      </c>
      <c r="P726" t="s">
        <v>231</v>
      </c>
      <c r="Q726" t="s">
        <v>231</v>
      </c>
      <c r="R726" t="s">
        <v>5425</v>
      </c>
      <c r="S726" t="s">
        <v>231</v>
      </c>
      <c r="T726" t="s">
        <v>231</v>
      </c>
      <c r="U726" t="s">
        <v>101</v>
      </c>
      <c r="V726" t="s">
        <v>231</v>
      </c>
      <c r="W726" t="s">
        <v>231</v>
      </c>
      <c r="X726" t="s">
        <v>5088</v>
      </c>
      <c r="Y726" t="s">
        <v>231</v>
      </c>
      <c r="Z726" t="s">
        <v>160</v>
      </c>
      <c r="AA726" t="s">
        <v>151</v>
      </c>
      <c r="AB726" t="s">
        <v>151</v>
      </c>
      <c r="AC726" t="s">
        <v>2262</v>
      </c>
      <c r="AD726" t="s">
        <v>2262</v>
      </c>
      <c r="AE726" t="s">
        <v>2264</v>
      </c>
      <c r="AF726" t="s">
        <v>3524</v>
      </c>
      <c r="AG726" t="s">
        <v>3525</v>
      </c>
      <c r="AH726" t="s">
        <v>5426</v>
      </c>
      <c r="AI726" t="s">
        <v>3575</v>
      </c>
      <c r="AJ726" t="s">
        <v>4254</v>
      </c>
      <c r="AK726" t="s">
        <v>5427</v>
      </c>
      <c r="AL726" t="s">
        <v>5092</v>
      </c>
      <c r="AN726" t="s">
        <v>3800</v>
      </c>
      <c r="AO726" t="s">
        <v>4541</v>
      </c>
      <c r="AP726" t="s">
        <v>231</v>
      </c>
      <c r="AQ726" t="s">
        <v>231</v>
      </c>
      <c r="AR726" t="s">
        <v>231</v>
      </c>
      <c r="AS726" t="s">
        <v>231</v>
      </c>
      <c r="AT726" t="s">
        <v>231</v>
      </c>
      <c r="AU726" t="s">
        <v>231</v>
      </c>
      <c r="AV726" t="s">
        <v>231</v>
      </c>
      <c r="AW726" t="s">
        <v>231</v>
      </c>
      <c r="AX726" t="s">
        <v>231</v>
      </c>
      <c r="AY726" t="s">
        <v>231</v>
      </c>
      <c r="AZ726" t="s">
        <v>231</v>
      </c>
      <c r="BA726" t="s">
        <v>231</v>
      </c>
      <c r="BB726" t="s">
        <v>231</v>
      </c>
      <c r="BC726" t="s">
        <v>231</v>
      </c>
      <c r="BD726" t="s">
        <v>231</v>
      </c>
      <c r="BE726" t="s">
        <v>231</v>
      </c>
      <c r="BF726" t="s">
        <v>231</v>
      </c>
      <c r="BG726" t="s">
        <v>231</v>
      </c>
      <c r="BH726" t="s">
        <v>231</v>
      </c>
      <c r="BI726" t="s">
        <v>231</v>
      </c>
      <c r="BJ726" t="s">
        <v>231</v>
      </c>
      <c r="BK726" t="s">
        <v>231</v>
      </c>
      <c r="BL726" t="s">
        <v>231</v>
      </c>
      <c r="BM726" t="s">
        <v>231</v>
      </c>
      <c r="BN726" t="s">
        <v>231</v>
      </c>
      <c r="BO726" t="s">
        <v>231</v>
      </c>
      <c r="BP726" t="s">
        <v>231</v>
      </c>
      <c r="BQ726" t="s">
        <v>231</v>
      </c>
      <c r="BR726" t="s">
        <v>231</v>
      </c>
      <c r="BS726" t="s">
        <v>231</v>
      </c>
      <c r="BT726" t="s">
        <v>231</v>
      </c>
      <c r="CS726" t="s">
        <v>231</v>
      </c>
      <c r="CT726" t="s">
        <v>3534</v>
      </c>
      <c r="CU726" t="s">
        <v>3535</v>
      </c>
      <c r="CV726" t="s">
        <v>3536</v>
      </c>
      <c r="CW726" t="s">
        <v>3537</v>
      </c>
      <c r="CX726" t="s">
        <v>223</v>
      </c>
      <c r="CY726" t="s">
        <v>3536</v>
      </c>
      <c r="CZ726" t="s">
        <v>3538</v>
      </c>
      <c r="DA726" t="s">
        <v>3539</v>
      </c>
      <c r="DB726" t="s">
        <v>3537</v>
      </c>
      <c r="DC726" t="s">
        <v>363</v>
      </c>
      <c r="DD726" t="s">
        <v>5099</v>
      </c>
      <c r="DE726" t="s">
        <v>5428</v>
      </c>
    </row>
    <row r="727" spans="1:109" ht="11.25" customHeight="1">
      <c r="A727" s="1314" t="s">
        <v>231</v>
      </c>
      <c r="B727" t="s">
        <v>231</v>
      </c>
      <c r="C727" t="s">
        <v>231</v>
      </c>
      <c r="D727" t="s">
        <v>231</v>
      </c>
      <c r="E727" t="s">
        <v>231</v>
      </c>
      <c r="F727" t="s">
        <v>231</v>
      </c>
      <c r="G727" t="s">
        <v>231</v>
      </c>
      <c r="H727" t="s">
        <v>231</v>
      </c>
      <c r="I727" t="s">
        <v>5086</v>
      </c>
      <c r="J727" t="s">
        <v>231</v>
      </c>
      <c r="K727" t="s">
        <v>231</v>
      </c>
      <c r="L727" t="s">
        <v>231</v>
      </c>
      <c r="M727" t="s">
        <v>231</v>
      </c>
      <c r="N727" t="s">
        <v>231</v>
      </c>
      <c r="O727" t="s">
        <v>231</v>
      </c>
      <c r="P727" t="s">
        <v>231</v>
      </c>
      <c r="Q727" t="s">
        <v>231</v>
      </c>
      <c r="R727" t="s">
        <v>5360</v>
      </c>
      <c r="S727" t="s">
        <v>231</v>
      </c>
      <c r="T727" t="s">
        <v>231</v>
      </c>
      <c r="U727" t="s">
        <v>101</v>
      </c>
      <c r="V727" t="s">
        <v>231</v>
      </c>
      <c r="W727" t="s">
        <v>231</v>
      </c>
      <c r="X727" t="s">
        <v>3955</v>
      </c>
      <c r="Y727" t="s">
        <v>231</v>
      </c>
      <c r="Z727" t="s">
        <v>151</v>
      </c>
      <c r="AA727" t="s">
        <v>160</v>
      </c>
      <c r="AB727" t="s">
        <v>151</v>
      </c>
      <c r="AC727" t="s">
        <v>343</v>
      </c>
      <c r="AD727" t="s">
        <v>343</v>
      </c>
      <c r="AE727" t="s">
        <v>344</v>
      </c>
      <c r="AF727" t="s">
        <v>3561</v>
      </c>
      <c r="AG727" t="s">
        <v>3562</v>
      </c>
      <c r="AH727" t="s">
        <v>5361</v>
      </c>
      <c r="AI727" t="s">
        <v>3575</v>
      </c>
      <c r="AJ727" t="s">
        <v>231</v>
      </c>
      <c r="AK727" t="s">
        <v>231</v>
      </c>
      <c r="AL727" t="s">
        <v>231</v>
      </c>
      <c r="AN727" t="s">
        <v>231</v>
      </c>
      <c r="AO727" t="s">
        <v>231</v>
      </c>
      <c r="AP727" t="s">
        <v>5429</v>
      </c>
      <c r="AQ727" t="s">
        <v>5363</v>
      </c>
      <c r="AR727" t="s">
        <v>111</v>
      </c>
      <c r="AS727" t="s">
        <v>3632</v>
      </c>
      <c r="AT727" t="s">
        <v>122</v>
      </c>
      <c r="AU727" t="s">
        <v>231</v>
      </c>
      <c r="AV727" t="s">
        <v>5360</v>
      </c>
      <c r="AW727" t="s">
        <v>343</v>
      </c>
      <c r="AX727" t="s">
        <v>343</v>
      </c>
      <c r="AY727" t="s">
        <v>3634</v>
      </c>
      <c r="AZ727" t="s">
        <v>3561</v>
      </c>
      <c r="BA727" t="s">
        <v>3635</v>
      </c>
      <c r="BB727" t="s">
        <v>5361</v>
      </c>
      <c r="BC727" t="s">
        <v>3575</v>
      </c>
      <c r="BD727" t="s">
        <v>5430</v>
      </c>
      <c r="BE727" t="s">
        <v>231</v>
      </c>
      <c r="BF727" t="s">
        <v>231</v>
      </c>
      <c r="BG727" t="s">
        <v>231</v>
      </c>
      <c r="BH727" t="s">
        <v>231</v>
      </c>
      <c r="BI727" t="s">
        <v>231</v>
      </c>
      <c r="BJ727" t="s">
        <v>231</v>
      </c>
      <c r="BK727" t="s">
        <v>231</v>
      </c>
      <c r="BL727" t="s">
        <v>231</v>
      </c>
      <c r="BM727" t="s">
        <v>231</v>
      </c>
      <c r="BN727" t="s">
        <v>231</v>
      </c>
      <c r="BO727" t="s">
        <v>231</v>
      </c>
      <c r="BP727" t="s">
        <v>231</v>
      </c>
      <c r="BQ727" t="s">
        <v>231</v>
      </c>
      <c r="BR727" t="s">
        <v>231</v>
      </c>
      <c r="BS727" t="s">
        <v>231</v>
      </c>
      <c r="BT727" t="s">
        <v>231</v>
      </c>
      <c r="CS727" t="s">
        <v>231</v>
      </c>
      <c r="CT727" t="s">
        <v>3534</v>
      </c>
      <c r="CU727" t="s">
        <v>5095</v>
      </c>
      <c r="CV727" t="s">
        <v>3997</v>
      </c>
      <c r="CW727" t="s">
        <v>3643</v>
      </c>
      <c r="CX727" t="s">
        <v>3570</v>
      </c>
      <c r="CY727" t="s">
        <v>3997</v>
      </c>
      <c r="CZ727" t="s">
        <v>5097</v>
      </c>
      <c r="DA727" t="s">
        <v>5098</v>
      </c>
      <c r="DB727" t="s">
        <v>3643</v>
      </c>
      <c r="DC727" t="s">
        <v>363</v>
      </c>
      <c r="DD727" t="s">
        <v>5099</v>
      </c>
      <c r="DE727" t="s">
        <v>5366</v>
      </c>
    </row>
    <row r="728" spans="1:109" ht="11.25" customHeight="1">
      <c r="A728" s="1314" t="s">
        <v>231</v>
      </c>
      <c r="B728" t="s">
        <v>231</v>
      </c>
      <c r="C728" t="s">
        <v>231</v>
      </c>
      <c r="D728" t="s">
        <v>231</v>
      </c>
      <c r="E728" t="s">
        <v>231</v>
      </c>
      <c r="F728" t="s">
        <v>231</v>
      </c>
      <c r="G728" t="s">
        <v>231</v>
      </c>
      <c r="H728" t="s">
        <v>231</v>
      </c>
      <c r="I728" t="s">
        <v>5086</v>
      </c>
      <c r="J728" t="s">
        <v>231</v>
      </c>
      <c r="K728" t="s">
        <v>231</v>
      </c>
      <c r="L728" t="s">
        <v>231</v>
      </c>
      <c r="M728" t="s">
        <v>231</v>
      </c>
      <c r="N728" t="s">
        <v>231</v>
      </c>
      <c r="O728" t="s">
        <v>231</v>
      </c>
      <c r="P728" t="s">
        <v>231</v>
      </c>
      <c r="Q728" t="s">
        <v>231</v>
      </c>
      <c r="R728" t="s">
        <v>5431</v>
      </c>
      <c r="S728" t="s">
        <v>231</v>
      </c>
      <c r="T728" t="s">
        <v>231</v>
      </c>
      <c r="U728" t="s">
        <v>101</v>
      </c>
      <c r="V728" t="s">
        <v>231</v>
      </c>
      <c r="W728" t="s">
        <v>231</v>
      </c>
      <c r="X728" t="s">
        <v>5088</v>
      </c>
      <c r="Y728" t="s">
        <v>231</v>
      </c>
      <c r="Z728" t="s">
        <v>160</v>
      </c>
      <c r="AA728" t="s">
        <v>151</v>
      </c>
      <c r="AB728" t="s">
        <v>151</v>
      </c>
      <c r="AC728" t="s">
        <v>2262</v>
      </c>
      <c r="AD728" t="s">
        <v>2262</v>
      </c>
      <c r="AE728" t="s">
        <v>2264</v>
      </c>
      <c r="AF728" t="s">
        <v>3524</v>
      </c>
      <c r="AG728" t="s">
        <v>3525</v>
      </c>
      <c r="AH728" t="s">
        <v>5432</v>
      </c>
      <c r="AI728" t="s">
        <v>5433</v>
      </c>
      <c r="AJ728" t="s">
        <v>5140</v>
      </c>
      <c r="AK728" t="s">
        <v>5434</v>
      </c>
      <c r="AL728" t="s">
        <v>5112</v>
      </c>
      <c r="AN728" t="s">
        <v>5435</v>
      </c>
      <c r="AO728" t="s">
        <v>3790</v>
      </c>
      <c r="AP728" t="s">
        <v>231</v>
      </c>
      <c r="AQ728" t="s">
        <v>231</v>
      </c>
      <c r="AR728" t="s">
        <v>231</v>
      </c>
      <c r="AS728" t="s">
        <v>231</v>
      </c>
      <c r="AT728" t="s">
        <v>231</v>
      </c>
      <c r="AU728" t="s">
        <v>231</v>
      </c>
      <c r="AV728" t="s">
        <v>231</v>
      </c>
      <c r="AW728" t="s">
        <v>231</v>
      </c>
      <c r="AX728" t="s">
        <v>231</v>
      </c>
      <c r="AY728" t="s">
        <v>231</v>
      </c>
      <c r="AZ728" t="s">
        <v>231</v>
      </c>
      <c r="BA728" t="s">
        <v>231</v>
      </c>
      <c r="BB728" t="s">
        <v>231</v>
      </c>
      <c r="BC728" t="s">
        <v>231</v>
      </c>
      <c r="BD728" t="s">
        <v>231</v>
      </c>
      <c r="BE728" t="s">
        <v>231</v>
      </c>
      <c r="BF728" t="s">
        <v>231</v>
      </c>
      <c r="BG728" t="s">
        <v>231</v>
      </c>
      <c r="BH728" t="s">
        <v>231</v>
      </c>
      <c r="BI728" t="s">
        <v>231</v>
      </c>
      <c r="BJ728" t="s">
        <v>231</v>
      </c>
      <c r="BK728" t="s">
        <v>231</v>
      </c>
      <c r="BL728" t="s">
        <v>231</v>
      </c>
      <c r="BM728" t="s">
        <v>231</v>
      </c>
      <c r="BN728" t="s">
        <v>231</v>
      </c>
      <c r="BO728" t="s">
        <v>231</v>
      </c>
      <c r="BP728" t="s">
        <v>231</v>
      </c>
      <c r="BQ728" t="s">
        <v>231</v>
      </c>
      <c r="BR728" t="s">
        <v>231</v>
      </c>
      <c r="BS728" t="s">
        <v>231</v>
      </c>
      <c r="BT728" t="s">
        <v>231</v>
      </c>
      <c r="CS728" t="s">
        <v>231</v>
      </c>
      <c r="CT728" t="s">
        <v>3534</v>
      </c>
      <c r="CU728" t="s">
        <v>3535</v>
      </c>
      <c r="CV728" t="s">
        <v>3536</v>
      </c>
      <c r="CW728" t="s">
        <v>3537</v>
      </c>
      <c r="CX728" t="s">
        <v>223</v>
      </c>
      <c r="CY728" t="s">
        <v>3536</v>
      </c>
      <c r="CZ728" t="s">
        <v>3538</v>
      </c>
      <c r="DA728" t="s">
        <v>3539</v>
      </c>
      <c r="DB728" t="s">
        <v>3537</v>
      </c>
      <c r="DC728" t="s">
        <v>363</v>
      </c>
      <c r="DD728" t="s">
        <v>5099</v>
      </c>
      <c r="DE728" t="s">
        <v>5436</v>
      </c>
    </row>
    <row r="729" spans="1:109" ht="11.25" customHeight="1">
      <c r="A729" s="1314" t="s">
        <v>231</v>
      </c>
      <c r="B729" t="s">
        <v>231</v>
      </c>
      <c r="C729" t="s">
        <v>231</v>
      </c>
      <c r="D729" t="s">
        <v>231</v>
      </c>
      <c r="E729" t="s">
        <v>231</v>
      </c>
      <c r="F729" t="s">
        <v>231</v>
      </c>
      <c r="G729" t="s">
        <v>231</v>
      </c>
      <c r="H729" t="s">
        <v>231</v>
      </c>
      <c r="I729" t="s">
        <v>5086</v>
      </c>
      <c r="J729" t="s">
        <v>231</v>
      </c>
      <c r="K729" t="s">
        <v>231</v>
      </c>
      <c r="L729" t="s">
        <v>231</v>
      </c>
      <c r="M729" t="s">
        <v>231</v>
      </c>
      <c r="N729" t="s">
        <v>231</v>
      </c>
      <c r="O729" t="s">
        <v>231</v>
      </c>
      <c r="P729" t="s">
        <v>231</v>
      </c>
      <c r="Q729" t="s">
        <v>231</v>
      </c>
      <c r="R729" t="s">
        <v>5437</v>
      </c>
      <c r="S729" t="s">
        <v>231</v>
      </c>
      <c r="T729" t="s">
        <v>231</v>
      </c>
      <c r="U729" t="s">
        <v>101</v>
      </c>
      <c r="V729" t="s">
        <v>231</v>
      </c>
      <c r="W729" t="s">
        <v>231</v>
      </c>
      <c r="X729" t="s">
        <v>5088</v>
      </c>
      <c r="Y729" t="s">
        <v>231</v>
      </c>
      <c r="Z729" t="s">
        <v>160</v>
      </c>
      <c r="AA729" t="s">
        <v>151</v>
      </c>
      <c r="AB729" t="s">
        <v>151</v>
      </c>
      <c r="AC729" t="s">
        <v>343</v>
      </c>
      <c r="AD729" t="s">
        <v>343</v>
      </c>
      <c r="AE729" t="s">
        <v>344</v>
      </c>
      <c r="AF729" t="s">
        <v>3561</v>
      </c>
      <c r="AG729" t="s">
        <v>3562</v>
      </c>
      <c r="AH729" t="s">
        <v>5438</v>
      </c>
      <c r="AI729" t="s">
        <v>3575</v>
      </c>
      <c r="AJ729" t="s">
        <v>5439</v>
      </c>
      <c r="AK729" t="s">
        <v>5440</v>
      </c>
      <c r="AL729" t="s">
        <v>5092</v>
      </c>
      <c r="AN729" t="s">
        <v>5441</v>
      </c>
      <c r="AO729" t="s">
        <v>5442</v>
      </c>
      <c r="AP729" t="s">
        <v>231</v>
      </c>
      <c r="AQ729" t="s">
        <v>231</v>
      </c>
      <c r="AR729" t="s">
        <v>231</v>
      </c>
      <c r="AS729" t="s">
        <v>231</v>
      </c>
      <c r="AT729" t="s">
        <v>231</v>
      </c>
      <c r="AU729" t="s">
        <v>231</v>
      </c>
      <c r="AV729" t="s">
        <v>231</v>
      </c>
      <c r="AW729" t="s">
        <v>231</v>
      </c>
      <c r="AX729" t="s">
        <v>231</v>
      </c>
      <c r="AY729" t="s">
        <v>231</v>
      </c>
      <c r="AZ729" t="s">
        <v>231</v>
      </c>
      <c r="BA729" t="s">
        <v>231</v>
      </c>
      <c r="BB729" t="s">
        <v>231</v>
      </c>
      <c r="BC729" t="s">
        <v>231</v>
      </c>
      <c r="BD729" t="s">
        <v>231</v>
      </c>
      <c r="BE729" t="s">
        <v>231</v>
      </c>
      <c r="BF729" t="s">
        <v>231</v>
      </c>
      <c r="BG729" t="s">
        <v>231</v>
      </c>
      <c r="BH729" t="s">
        <v>231</v>
      </c>
      <c r="BI729" t="s">
        <v>231</v>
      </c>
      <c r="BJ729" t="s">
        <v>231</v>
      </c>
      <c r="BK729" t="s">
        <v>231</v>
      </c>
      <c r="BL729" t="s">
        <v>231</v>
      </c>
      <c r="BM729" t="s">
        <v>231</v>
      </c>
      <c r="BN729" t="s">
        <v>231</v>
      </c>
      <c r="BO729" t="s">
        <v>231</v>
      </c>
      <c r="BP729" t="s">
        <v>231</v>
      </c>
      <c r="BQ729" t="s">
        <v>231</v>
      </c>
      <c r="BR729" t="s">
        <v>231</v>
      </c>
      <c r="BS729" t="s">
        <v>231</v>
      </c>
      <c r="BT729" t="s">
        <v>231</v>
      </c>
      <c r="CS729" t="s">
        <v>231</v>
      </c>
      <c r="CT729" t="s">
        <v>3534</v>
      </c>
      <c r="CU729" t="s">
        <v>3535</v>
      </c>
      <c r="CV729" t="s">
        <v>3536</v>
      </c>
      <c r="CW729" t="s">
        <v>3569</v>
      </c>
      <c r="CX729" t="s">
        <v>3570</v>
      </c>
      <c r="CY729" t="s">
        <v>3536</v>
      </c>
      <c r="CZ729" t="s">
        <v>224</v>
      </c>
      <c r="DA729" t="s">
        <v>3571</v>
      </c>
      <c r="DB729" t="s">
        <v>3569</v>
      </c>
      <c r="DC729" t="s">
        <v>363</v>
      </c>
      <c r="DD729" t="s">
        <v>5099</v>
      </c>
      <c r="DE729" t="s">
        <v>5443</v>
      </c>
    </row>
    <row r="730" spans="1:109" ht="11.25" customHeight="1">
      <c r="A730" s="1314" t="s">
        <v>231</v>
      </c>
      <c r="B730" t="s">
        <v>231</v>
      </c>
      <c r="C730" t="s">
        <v>231</v>
      </c>
      <c r="D730" t="s">
        <v>231</v>
      </c>
      <c r="E730" t="s">
        <v>231</v>
      </c>
      <c r="F730" t="s">
        <v>231</v>
      </c>
      <c r="G730" t="s">
        <v>231</v>
      </c>
      <c r="H730" t="s">
        <v>231</v>
      </c>
      <c r="I730" t="s">
        <v>5086</v>
      </c>
      <c r="J730" t="s">
        <v>231</v>
      </c>
      <c r="K730" t="s">
        <v>231</v>
      </c>
      <c r="L730" t="s">
        <v>231</v>
      </c>
      <c r="M730" t="s">
        <v>231</v>
      </c>
      <c r="N730" t="s">
        <v>231</v>
      </c>
      <c r="O730" t="s">
        <v>231</v>
      </c>
      <c r="P730" t="s">
        <v>231</v>
      </c>
      <c r="Q730" t="s">
        <v>231</v>
      </c>
      <c r="R730" t="s">
        <v>5444</v>
      </c>
      <c r="S730" t="s">
        <v>231</v>
      </c>
      <c r="T730" t="s">
        <v>231</v>
      </c>
      <c r="U730" t="s">
        <v>101</v>
      </c>
      <c r="V730" t="s">
        <v>231</v>
      </c>
      <c r="W730" t="s">
        <v>231</v>
      </c>
      <c r="X730" t="s">
        <v>5088</v>
      </c>
      <c r="Y730" t="s">
        <v>231</v>
      </c>
      <c r="Z730" t="s">
        <v>160</v>
      </c>
      <c r="AA730" t="s">
        <v>151</v>
      </c>
      <c r="AB730" t="s">
        <v>151</v>
      </c>
      <c r="AC730" t="s">
        <v>2262</v>
      </c>
      <c r="AD730" t="s">
        <v>2262</v>
      </c>
      <c r="AE730" t="s">
        <v>2264</v>
      </c>
      <c r="AF730" t="s">
        <v>3524</v>
      </c>
      <c r="AG730" t="s">
        <v>3525</v>
      </c>
      <c r="AH730" t="s">
        <v>5445</v>
      </c>
      <c r="AI730" t="s">
        <v>5446</v>
      </c>
      <c r="AJ730" t="s">
        <v>4254</v>
      </c>
      <c r="AK730" t="s">
        <v>3546</v>
      </c>
      <c r="AL730" t="s">
        <v>5092</v>
      </c>
      <c r="AN730" t="s">
        <v>3800</v>
      </c>
      <c r="AO730" t="s">
        <v>5220</v>
      </c>
      <c r="AP730" t="s">
        <v>231</v>
      </c>
      <c r="AQ730" t="s">
        <v>231</v>
      </c>
      <c r="AR730" t="s">
        <v>231</v>
      </c>
      <c r="AS730" t="s">
        <v>231</v>
      </c>
      <c r="AT730" t="s">
        <v>231</v>
      </c>
      <c r="AU730" t="s">
        <v>231</v>
      </c>
      <c r="AV730" t="s">
        <v>231</v>
      </c>
      <c r="AW730" t="s">
        <v>231</v>
      </c>
      <c r="AX730" t="s">
        <v>231</v>
      </c>
      <c r="AY730" t="s">
        <v>231</v>
      </c>
      <c r="AZ730" t="s">
        <v>231</v>
      </c>
      <c r="BA730" t="s">
        <v>231</v>
      </c>
      <c r="BB730" t="s">
        <v>231</v>
      </c>
      <c r="BC730" t="s">
        <v>231</v>
      </c>
      <c r="BD730" t="s">
        <v>231</v>
      </c>
      <c r="BE730" t="s">
        <v>231</v>
      </c>
      <c r="BF730" t="s">
        <v>231</v>
      </c>
      <c r="BG730" t="s">
        <v>231</v>
      </c>
      <c r="BH730" t="s">
        <v>231</v>
      </c>
      <c r="BI730" t="s">
        <v>231</v>
      </c>
      <c r="BJ730" t="s">
        <v>231</v>
      </c>
      <c r="BK730" t="s">
        <v>231</v>
      </c>
      <c r="BL730" t="s">
        <v>231</v>
      </c>
      <c r="BM730" t="s">
        <v>231</v>
      </c>
      <c r="BN730" t="s">
        <v>231</v>
      </c>
      <c r="BO730" t="s">
        <v>231</v>
      </c>
      <c r="BP730" t="s">
        <v>231</v>
      </c>
      <c r="BQ730" t="s">
        <v>231</v>
      </c>
      <c r="BR730" t="s">
        <v>231</v>
      </c>
      <c r="BS730" t="s">
        <v>231</v>
      </c>
      <c r="BT730" t="s">
        <v>231</v>
      </c>
      <c r="CS730" t="s">
        <v>231</v>
      </c>
      <c r="CT730" t="s">
        <v>3534</v>
      </c>
      <c r="CU730" t="s">
        <v>3535</v>
      </c>
      <c r="CV730" t="s">
        <v>3536</v>
      </c>
      <c r="CW730" t="s">
        <v>3537</v>
      </c>
      <c r="CX730" t="s">
        <v>223</v>
      </c>
      <c r="CY730" t="s">
        <v>3536</v>
      </c>
      <c r="CZ730" t="s">
        <v>3538</v>
      </c>
      <c r="DA730" t="s">
        <v>3539</v>
      </c>
      <c r="DB730" t="s">
        <v>3537</v>
      </c>
      <c r="DC730" t="s">
        <v>363</v>
      </c>
      <c r="DD730" t="s">
        <v>5099</v>
      </c>
      <c r="DE730" t="s">
        <v>5447</v>
      </c>
    </row>
    <row r="731" spans="1:109" ht="11.25" customHeight="1">
      <c r="A731" s="1314" t="s">
        <v>231</v>
      </c>
      <c r="B731" t="s">
        <v>231</v>
      </c>
      <c r="C731" t="s">
        <v>231</v>
      </c>
      <c r="D731" t="s">
        <v>231</v>
      </c>
      <c r="E731" t="s">
        <v>231</v>
      </c>
      <c r="F731" t="s">
        <v>231</v>
      </c>
      <c r="G731" t="s">
        <v>231</v>
      </c>
      <c r="H731" t="s">
        <v>231</v>
      </c>
      <c r="I731" t="s">
        <v>5086</v>
      </c>
      <c r="J731" t="s">
        <v>231</v>
      </c>
      <c r="K731" t="s">
        <v>231</v>
      </c>
      <c r="L731" t="s">
        <v>231</v>
      </c>
      <c r="M731" t="s">
        <v>231</v>
      </c>
      <c r="N731" t="s">
        <v>231</v>
      </c>
      <c r="O731" t="s">
        <v>231</v>
      </c>
      <c r="P731" t="s">
        <v>231</v>
      </c>
      <c r="Q731" t="s">
        <v>231</v>
      </c>
      <c r="R731" t="s">
        <v>5108</v>
      </c>
      <c r="S731" t="s">
        <v>231</v>
      </c>
      <c r="T731" t="s">
        <v>231</v>
      </c>
      <c r="U731" t="s">
        <v>101</v>
      </c>
      <c r="V731" t="s">
        <v>231</v>
      </c>
      <c r="W731" t="s">
        <v>231</v>
      </c>
      <c r="X731" t="s">
        <v>5088</v>
      </c>
      <c r="Y731" t="s">
        <v>231</v>
      </c>
      <c r="Z731" t="s">
        <v>160</v>
      </c>
      <c r="AA731" t="s">
        <v>151</v>
      </c>
      <c r="AB731" t="s">
        <v>151</v>
      </c>
      <c r="AC731" t="s">
        <v>2262</v>
      </c>
      <c r="AD731" t="s">
        <v>2262</v>
      </c>
      <c r="AE731" t="s">
        <v>2264</v>
      </c>
      <c r="AF731" t="s">
        <v>3524</v>
      </c>
      <c r="AG731" t="s">
        <v>3525</v>
      </c>
      <c r="AH731" t="s">
        <v>5448</v>
      </c>
      <c r="AI731" t="s">
        <v>5449</v>
      </c>
      <c r="AJ731" t="s">
        <v>5140</v>
      </c>
      <c r="AK731" t="s">
        <v>5141</v>
      </c>
      <c r="AL731" t="s">
        <v>5092</v>
      </c>
      <c r="AN731" t="s">
        <v>5435</v>
      </c>
      <c r="AO731" t="s">
        <v>5114</v>
      </c>
      <c r="AP731" t="s">
        <v>231</v>
      </c>
      <c r="AQ731" t="s">
        <v>231</v>
      </c>
      <c r="AR731" t="s">
        <v>231</v>
      </c>
      <c r="AS731" t="s">
        <v>231</v>
      </c>
      <c r="AT731" t="s">
        <v>231</v>
      </c>
      <c r="AU731" t="s">
        <v>231</v>
      </c>
      <c r="AV731" t="s">
        <v>231</v>
      </c>
      <c r="AW731" t="s">
        <v>231</v>
      </c>
      <c r="AX731" t="s">
        <v>231</v>
      </c>
      <c r="AY731" t="s">
        <v>231</v>
      </c>
      <c r="AZ731" t="s">
        <v>231</v>
      </c>
      <c r="BA731" t="s">
        <v>231</v>
      </c>
      <c r="BB731" t="s">
        <v>231</v>
      </c>
      <c r="BC731" t="s">
        <v>231</v>
      </c>
      <c r="BD731" t="s">
        <v>231</v>
      </c>
      <c r="BE731" t="s">
        <v>231</v>
      </c>
      <c r="BF731" t="s">
        <v>231</v>
      </c>
      <c r="BG731" t="s">
        <v>231</v>
      </c>
      <c r="BH731" t="s">
        <v>231</v>
      </c>
      <c r="BI731" t="s">
        <v>231</v>
      </c>
      <c r="BJ731" t="s">
        <v>231</v>
      </c>
      <c r="BK731" t="s">
        <v>231</v>
      </c>
      <c r="BL731" t="s">
        <v>231</v>
      </c>
      <c r="BM731" t="s">
        <v>231</v>
      </c>
      <c r="BN731" t="s">
        <v>231</v>
      </c>
      <c r="BO731" t="s">
        <v>231</v>
      </c>
      <c r="BP731" t="s">
        <v>231</v>
      </c>
      <c r="BQ731" t="s">
        <v>231</v>
      </c>
      <c r="BR731" t="s">
        <v>231</v>
      </c>
      <c r="BS731" t="s">
        <v>231</v>
      </c>
      <c r="BT731" t="s">
        <v>231</v>
      </c>
      <c r="CS731" t="s">
        <v>231</v>
      </c>
      <c r="CT731" t="s">
        <v>3534</v>
      </c>
      <c r="CU731" t="s">
        <v>3535</v>
      </c>
      <c r="CV731" t="s">
        <v>3536</v>
      </c>
      <c r="CW731" t="s">
        <v>3537</v>
      </c>
      <c r="CX731" t="s">
        <v>223</v>
      </c>
      <c r="CY731" t="s">
        <v>3536</v>
      </c>
      <c r="CZ731" t="s">
        <v>3538</v>
      </c>
      <c r="DA731" t="s">
        <v>3539</v>
      </c>
      <c r="DB731" t="s">
        <v>3537</v>
      </c>
      <c r="DC731" t="s">
        <v>363</v>
      </c>
      <c r="DD731" t="s">
        <v>5099</v>
      </c>
      <c r="DE731" t="s">
        <v>5450</v>
      </c>
    </row>
    <row r="732" spans="1:109" ht="11.25" customHeight="1">
      <c r="A732" s="1314" t="s">
        <v>231</v>
      </c>
      <c r="B732" t="s">
        <v>231</v>
      </c>
      <c r="C732" t="s">
        <v>231</v>
      </c>
      <c r="D732" t="s">
        <v>231</v>
      </c>
      <c r="E732" t="s">
        <v>231</v>
      </c>
      <c r="F732" t="s">
        <v>231</v>
      </c>
      <c r="G732" t="s">
        <v>231</v>
      </c>
      <c r="H732" t="s">
        <v>231</v>
      </c>
      <c r="I732" t="s">
        <v>5086</v>
      </c>
      <c r="J732" t="s">
        <v>231</v>
      </c>
      <c r="K732" t="s">
        <v>231</v>
      </c>
      <c r="L732" t="s">
        <v>231</v>
      </c>
      <c r="M732" t="s">
        <v>231</v>
      </c>
      <c r="N732" t="s">
        <v>231</v>
      </c>
      <c r="O732" t="s">
        <v>231</v>
      </c>
      <c r="P732" t="s">
        <v>231</v>
      </c>
      <c r="Q732" t="s">
        <v>231</v>
      </c>
      <c r="R732" t="s">
        <v>5451</v>
      </c>
      <c r="S732" t="s">
        <v>231</v>
      </c>
      <c r="T732" t="s">
        <v>231</v>
      </c>
      <c r="U732" t="s">
        <v>101</v>
      </c>
      <c r="V732" t="s">
        <v>231</v>
      </c>
      <c r="W732" t="s">
        <v>231</v>
      </c>
      <c r="X732" t="s">
        <v>5088</v>
      </c>
      <c r="Y732" t="s">
        <v>231</v>
      </c>
      <c r="Z732" t="s">
        <v>160</v>
      </c>
      <c r="AA732" t="s">
        <v>151</v>
      </c>
      <c r="AB732" t="s">
        <v>151</v>
      </c>
      <c r="AC732" t="s">
        <v>343</v>
      </c>
      <c r="AD732" t="s">
        <v>343</v>
      </c>
      <c r="AE732" t="s">
        <v>344</v>
      </c>
      <c r="AF732" t="s">
        <v>3561</v>
      </c>
      <c r="AG732" t="s">
        <v>3562</v>
      </c>
      <c r="AH732" t="s">
        <v>5452</v>
      </c>
      <c r="AI732" t="s">
        <v>5453</v>
      </c>
      <c r="AJ732" t="s">
        <v>3825</v>
      </c>
      <c r="AK732" t="s">
        <v>5454</v>
      </c>
      <c r="AL732" t="s">
        <v>5092</v>
      </c>
      <c r="AN732" t="s">
        <v>5455</v>
      </c>
      <c r="AO732" t="s">
        <v>5403</v>
      </c>
      <c r="AP732" t="s">
        <v>231</v>
      </c>
      <c r="AQ732" t="s">
        <v>231</v>
      </c>
      <c r="AR732" t="s">
        <v>231</v>
      </c>
      <c r="AS732" t="s">
        <v>231</v>
      </c>
      <c r="AT732" t="s">
        <v>231</v>
      </c>
      <c r="AU732" t="s">
        <v>231</v>
      </c>
      <c r="AV732" t="s">
        <v>231</v>
      </c>
      <c r="AW732" t="s">
        <v>231</v>
      </c>
      <c r="AX732" t="s">
        <v>231</v>
      </c>
      <c r="AY732" t="s">
        <v>231</v>
      </c>
      <c r="AZ732" t="s">
        <v>231</v>
      </c>
      <c r="BA732" t="s">
        <v>231</v>
      </c>
      <c r="BB732" t="s">
        <v>231</v>
      </c>
      <c r="BC732" t="s">
        <v>231</v>
      </c>
      <c r="BD732" t="s">
        <v>231</v>
      </c>
      <c r="BE732" t="s">
        <v>231</v>
      </c>
      <c r="BF732" t="s">
        <v>231</v>
      </c>
      <c r="BG732" t="s">
        <v>231</v>
      </c>
      <c r="BH732" t="s">
        <v>231</v>
      </c>
      <c r="BI732" t="s">
        <v>231</v>
      </c>
      <c r="BJ732" t="s">
        <v>231</v>
      </c>
      <c r="BK732" t="s">
        <v>231</v>
      </c>
      <c r="BL732" t="s">
        <v>231</v>
      </c>
      <c r="BM732" t="s">
        <v>231</v>
      </c>
      <c r="BN732" t="s">
        <v>231</v>
      </c>
      <c r="BO732" t="s">
        <v>231</v>
      </c>
      <c r="BP732" t="s">
        <v>231</v>
      </c>
      <c r="BQ732" t="s">
        <v>231</v>
      </c>
      <c r="BR732" t="s">
        <v>231</v>
      </c>
      <c r="BS732" t="s">
        <v>231</v>
      </c>
      <c r="BT732" t="s">
        <v>231</v>
      </c>
      <c r="CS732" t="s">
        <v>231</v>
      </c>
      <c r="CT732" t="s">
        <v>3534</v>
      </c>
      <c r="CU732" t="s">
        <v>3535</v>
      </c>
      <c r="CV732" t="s">
        <v>3536</v>
      </c>
      <c r="CW732" t="s">
        <v>3569</v>
      </c>
      <c r="CX732" t="s">
        <v>3570</v>
      </c>
      <c r="CY732" t="s">
        <v>3536</v>
      </c>
      <c r="CZ732" t="s">
        <v>224</v>
      </c>
      <c r="DA732" t="s">
        <v>3571</v>
      </c>
      <c r="DB732" t="s">
        <v>3569</v>
      </c>
      <c r="DC732" t="s">
        <v>363</v>
      </c>
      <c r="DD732" t="s">
        <v>5099</v>
      </c>
      <c r="DE732" t="s">
        <v>5456</v>
      </c>
    </row>
    <row r="733" spans="1:109" ht="11.25" customHeight="1">
      <c r="A733" s="1314" t="s">
        <v>231</v>
      </c>
      <c r="B733" t="s">
        <v>231</v>
      </c>
      <c r="C733" t="s">
        <v>231</v>
      </c>
      <c r="D733" t="s">
        <v>231</v>
      </c>
      <c r="E733" t="s">
        <v>231</v>
      </c>
      <c r="F733" t="s">
        <v>231</v>
      </c>
      <c r="G733" t="s">
        <v>231</v>
      </c>
      <c r="H733" t="s">
        <v>231</v>
      </c>
      <c r="I733" t="s">
        <v>5086</v>
      </c>
      <c r="J733" t="s">
        <v>231</v>
      </c>
      <c r="K733" t="s">
        <v>231</v>
      </c>
      <c r="L733" t="s">
        <v>231</v>
      </c>
      <c r="M733" t="s">
        <v>231</v>
      </c>
      <c r="N733" t="s">
        <v>231</v>
      </c>
      <c r="O733" t="s">
        <v>231</v>
      </c>
      <c r="P733" t="s">
        <v>231</v>
      </c>
      <c r="Q733" t="s">
        <v>231</v>
      </c>
      <c r="R733" t="s">
        <v>5457</v>
      </c>
      <c r="S733" t="s">
        <v>231</v>
      </c>
      <c r="T733" t="s">
        <v>231</v>
      </c>
      <c r="U733" t="s">
        <v>101</v>
      </c>
      <c r="V733" t="s">
        <v>231</v>
      </c>
      <c r="W733" t="s">
        <v>231</v>
      </c>
      <c r="X733" t="s">
        <v>3628</v>
      </c>
      <c r="Y733" t="s">
        <v>231</v>
      </c>
      <c r="Z733" t="s">
        <v>151</v>
      </c>
      <c r="AA733" t="s">
        <v>151</v>
      </c>
      <c r="AB733" t="s">
        <v>160</v>
      </c>
      <c r="AC733" t="s">
        <v>2289</v>
      </c>
      <c r="AD733" t="s">
        <v>2289</v>
      </c>
      <c r="AE733" t="s">
        <v>2290</v>
      </c>
      <c r="AF733" t="s">
        <v>3771</v>
      </c>
      <c r="AG733" t="s">
        <v>3772</v>
      </c>
      <c r="AH733" t="s">
        <v>3618</v>
      </c>
      <c r="AI733" t="s">
        <v>3618</v>
      </c>
      <c r="AJ733" t="s">
        <v>231</v>
      </c>
      <c r="AK733" t="s">
        <v>231</v>
      </c>
      <c r="AL733" t="s">
        <v>231</v>
      </c>
      <c r="AN733" t="s">
        <v>231</v>
      </c>
      <c r="AO733" t="s">
        <v>231</v>
      </c>
      <c r="AP733" t="s">
        <v>231</v>
      </c>
      <c r="AQ733" t="s">
        <v>231</v>
      </c>
      <c r="AR733" t="s">
        <v>231</v>
      </c>
      <c r="AS733" t="s">
        <v>231</v>
      </c>
      <c r="AT733" t="s">
        <v>231</v>
      </c>
      <c r="AU733" t="s">
        <v>231</v>
      </c>
      <c r="AV733" t="s">
        <v>231</v>
      </c>
      <c r="AW733" t="s">
        <v>231</v>
      </c>
      <c r="AX733" t="s">
        <v>231</v>
      </c>
      <c r="AY733" t="s">
        <v>231</v>
      </c>
      <c r="AZ733" t="s">
        <v>231</v>
      </c>
      <c r="BA733" t="s">
        <v>231</v>
      </c>
      <c r="BB733" t="s">
        <v>231</v>
      </c>
      <c r="BC733" t="s">
        <v>231</v>
      </c>
      <c r="BD733" t="s">
        <v>231</v>
      </c>
      <c r="BE733" t="s">
        <v>3547</v>
      </c>
      <c r="BF733" t="s">
        <v>3820</v>
      </c>
      <c r="BG733" t="s">
        <v>111</v>
      </c>
      <c r="BH733" t="s">
        <v>3632</v>
      </c>
      <c r="BI733" t="s">
        <v>122</v>
      </c>
      <c r="BJ733" t="s">
        <v>231</v>
      </c>
      <c r="BK733" t="s">
        <v>231</v>
      </c>
      <c r="BL733" t="s">
        <v>2289</v>
      </c>
      <c r="BM733" t="s">
        <v>2289</v>
      </c>
      <c r="BN733" t="s">
        <v>3707</v>
      </c>
      <c r="BO733" t="s">
        <v>3771</v>
      </c>
      <c r="BP733" t="s">
        <v>4092</v>
      </c>
      <c r="BQ733" t="s">
        <v>3618</v>
      </c>
      <c r="BR733" t="s">
        <v>3618</v>
      </c>
      <c r="BS733" t="s">
        <v>231</v>
      </c>
      <c r="BT733" t="s">
        <v>3694</v>
      </c>
      <c r="CS733" t="s">
        <v>5212</v>
      </c>
      <c r="CT733" t="s">
        <v>3534</v>
      </c>
      <c r="CU733" t="s">
        <v>3535</v>
      </c>
      <c r="CV733" t="s">
        <v>3536</v>
      </c>
      <c r="CW733" t="s">
        <v>3589</v>
      </c>
      <c r="CX733" t="s">
        <v>223</v>
      </c>
      <c r="CY733" t="s">
        <v>3536</v>
      </c>
      <c r="CZ733" t="s">
        <v>3590</v>
      </c>
      <c r="DA733" t="s">
        <v>3591</v>
      </c>
      <c r="DB733" t="s">
        <v>3589</v>
      </c>
      <c r="DC733" t="s">
        <v>363</v>
      </c>
      <c r="DD733" t="s">
        <v>5099</v>
      </c>
      <c r="DE733" t="s">
        <v>4094</v>
      </c>
    </row>
    <row r="734" spans="1:109" ht="11.25" customHeight="1">
      <c r="A734" s="1314" t="s">
        <v>231</v>
      </c>
      <c r="B734" t="s">
        <v>231</v>
      </c>
      <c r="C734" t="s">
        <v>231</v>
      </c>
      <c r="D734" t="s">
        <v>231</v>
      </c>
      <c r="E734" t="s">
        <v>231</v>
      </c>
      <c r="F734" t="s">
        <v>231</v>
      </c>
      <c r="G734" t="s">
        <v>231</v>
      </c>
      <c r="H734" t="s">
        <v>231</v>
      </c>
      <c r="I734" t="s">
        <v>5086</v>
      </c>
      <c r="J734" t="s">
        <v>231</v>
      </c>
      <c r="K734" t="s">
        <v>231</v>
      </c>
      <c r="L734" t="s">
        <v>231</v>
      </c>
      <c r="M734" t="s">
        <v>231</v>
      </c>
      <c r="N734" t="s">
        <v>231</v>
      </c>
      <c r="O734" t="s">
        <v>231</v>
      </c>
      <c r="P734" t="s">
        <v>231</v>
      </c>
      <c r="Q734" t="s">
        <v>231</v>
      </c>
      <c r="R734" t="s">
        <v>5458</v>
      </c>
      <c r="S734" t="s">
        <v>231</v>
      </c>
      <c r="T734" t="s">
        <v>231</v>
      </c>
      <c r="U734" t="s">
        <v>101</v>
      </c>
      <c r="V734" t="s">
        <v>231</v>
      </c>
      <c r="W734" t="s">
        <v>231</v>
      </c>
      <c r="X734" t="s">
        <v>3628</v>
      </c>
      <c r="Y734" t="s">
        <v>231</v>
      </c>
      <c r="Z734" t="s">
        <v>151</v>
      </c>
      <c r="AA734" t="s">
        <v>151</v>
      </c>
      <c r="AB734" t="s">
        <v>160</v>
      </c>
      <c r="AC734" t="s">
        <v>2289</v>
      </c>
      <c r="AD734" t="s">
        <v>2289</v>
      </c>
      <c r="AE734" t="s">
        <v>2290</v>
      </c>
      <c r="AF734" t="s">
        <v>3890</v>
      </c>
      <c r="AG734" t="s">
        <v>3891</v>
      </c>
      <c r="AH734" t="s">
        <v>3618</v>
      </c>
      <c r="AI734" t="s">
        <v>3618</v>
      </c>
      <c r="AJ734" t="s">
        <v>231</v>
      </c>
      <c r="AK734" t="s">
        <v>231</v>
      </c>
      <c r="AL734" t="s">
        <v>231</v>
      </c>
      <c r="AN734" t="s">
        <v>231</v>
      </c>
      <c r="AO734" t="s">
        <v>231</v>
      </c>
      <c r="AP734" t="s">
        <v>231</v>
      </c>
      <c r="AQ734" t="s">
        <v>231</v>
      </c>
      <c r="AR734" t="s">
        <v>231</v>
      </c>
      <c r="AS734" t="s">
        <v>231</v>
      </c>
      <c r="AT734" t="s">
        <v>231</v>
      </c>
      <c r="AU734" t="s">
        <v>231</v>
      </c>
      <c r="AV734" t="s">
        <v>231</v>
      </c>
      <c r="AW734" t="s">
        <v>231</v>
      </c>
      <c r="AX734" t="s">
        <v>231</v>
      </c>
      <c r="AY734" t="s">
        <v>231</v>
      </c>
      <c r="AZ734" t="s">
        <v>231</v>
      </c>
      <c r="BA734" t="s">
        <v>231</v>
      </c>
      <c r="BB734" t="s">
        <v>231</v>
      </c>
      <c r="BC734" t="s">
        <v>231</v>
      </c>
      <c r="BD734" t="s">
        <v>231</v>
      </c>
      <c r="BE734" t="s">
        <v>3586</v>
      </c>
      <c r="BF734" t="s">
        <v>3716</v>
      </c>
      <c r="BG734" t="s">
        <v>111</v>
      </c>
      <c r="BH734" t="s">
        <v>3632</v>
      </c>
      <c r="BI734" t="s">
        <v>122</v>
      </c>
      <c r="BJ734" t="s">
        <v>231</v>
      </c>
      <c r="BK734" t="s">
        <v>231</v>
      </c>
      <c r="BL734" t="s">
        <v>2289</v>
      </c>
      <c r="BM734" t="s">
        <v>2289</v>
      </c>
      <c r="BN734" t="s">
        <v>3707</v>
      </c>
      <c r="BO734" t="s">
        <v>3890</v>
      </c>
      <c r="BP734" t="s">
        <v>4364</v>
      </c>
      <c r="BQ734" t="s">
        <v>3618</v>
      </c>
      <c r="BR734" t="s">
        <v>3618</v>
      </c>
      <c r="BS734" t="s">
        <v>231</v>
      </c>
      <c r="BT734" t="s">
        <v>3694</v>
      </c>
      <c r="CS734" t="s">
        <v>5212</v>
      </c>
      <c r="CT734" t="s">
        <v>3534</v>
      </c>
      <c r="CU734" t="s">
        <v>3535</v>
      </c>
      <c r="CV734" t="s">
        <v>3536</v>
      </c>
      <c r="CW734" t="s">
        <v>3589</v>
      </c>
      <c r="CX734" t="s">
        <v>223</v>
      </c>
      <c r="CY734" t="s">
        <v>3536</v>
      </c>
      <c r="CZ734" t="s">
        <v>3590</v>
      </c>
      <c r="DA734" t="s">
        <v>3591</v>
      </c>
      <c r="DB734" t="s">
        <v>3589</v>
      </c>
      <c r="DC734" t="s">
        <v>363</v>
      </c>
      <c r="DD734" t="s">
        <v>5099</v>
      </c>
      <c r="DE734" t="s">
        <v>4366</v>
      </c>
    </row>
    <row r="735" spans="1:109" ht="11.25" customHeight="1">
      <c r="A735" s="1314" t="s">
        <v>231</v>
      </c>
      <c r="B735" t="s">
        <v>231</v>
      </c>
      <c r="C735" t="s">
        <v>231</v>
      </c>
      <c r="D735" t="s">
        <v>231</v>
      </c>
      <c r="E735" t="s">
        <v>231</v>
      </c>
      <c r="F735" t="s">
        <v>231</v>
      </c>
      <c r="G735" t="s">
        <v>231</v>
      </c>
      <c r="H735" t="s">
        <v>231</v>
      </c>
      <c r="I735" t="s">
        <v>5086</v>
      </c>
      <c r="J735" t="s">
        <v>231</v>
      </c>
      <c r="K735" t="s">
        <v>231</v>
      </c>
      <c r="L735" t="s">
        <v>231</v>
      </c>
      <c r="M735" t="s">
        <v>231</v>
      </c>
      <c r="N735" t="s">
        <v>231</v>
      </c>
      <c r="O735" t="s">
        <v>231</v>
      </c>
      <c r="P735" t="s">
        <v>231</v>
      </c>
      <c r="Q735" t="s">
        <v>231</v>
      </c>
      <c r="R735" t="s">
        <v>5459</v>
      </c>
      <c r="S735" t="s">
        <v>231</v>
      </c>
      <c r="T735" t="s">
        <v>231</v>
      </c>
      <c r="U735" t="s">
        <v>101</v>
      </c>
      <c r="V735" t="s">
        <v>231</v>
      </c>
      <c r="W735" t="s">
        <v>231</v>
      </c>
      <c r="X735" t="s">
        <v>5088</v>
      </c>
      <c r="Y735" t="s">
        <v>231</v>
      </c>
      <c r="Z735" t="s">
        <v>160</v>
      </c>
      <c r="AA735" t="s">
        <v>151</v>
      </c>
      <c r="AB735" t="s">
        <v>151</v>
      </c>
      <c r="AC735" t="s">
        <v>343</v>
      </c>
      <c r="AD735" t="s">
        <v>343</v>
      </c>
      <c r="AE735" t="s">
        <v>344</v>
      </c>
      <c r="AF735" t="s">
        <v>3561</v>
      </c>
      <c r="AG735" t="s">
        <v>3562</v>
      </c>
      <c r="AH735" t="s">
        <v>5460</v>
      </c>
      <c r="AI735" t="s">
        <v>5461</v>
      </c>
      <c r="AJ735" t="s">
        <v>3744</v>
      </c>
      <c r="AK735" t="s">
        <v>5462</v>
      </c>
      <c r="AL735" t="s">
        <v>5092</v>
      </c>
      <c r="AN735" t="s">
        <v>4331</v>
      </c>
      <c r="AO735" t="s">
        <v>4332</v>
      </c>
      <c r="AP735" t="s">
        <v>231</v>
      </c>
      <c r="AQ735" t="s">
        <v>231</v>
      </c>
      <c r="AR735" t="s">
        <v>231</v>
      </c>
      <c r="AS735" t="s">
        <v>231</v>
      </c>
      <c r="AT735" t="s">
        <v>231</v>
      </c>
      <c r="AU735" t="s">
        <v>231</v>
      </c>
      <c r="AV735" t="s">
        <v>231</v>
      </c>
      <c r="AW735" t="s">
        <v>231</v>
      </c>
      <c r="AX735" t="s">
        <v>231</v>
      </c>
      <c r="AY735" t="s">
        <v>231</v>
      </c>
      <c r="AZ735" t="s">
        <v>231</v>
      </c>
      <c r="BA735" t="s">
        <v>231</v>
      </c>
      <c r="BB735" t="s">
        <v>231</v>
      </c>
      <c r="BC735" t="s">
        <v>231</v>
      </c>
      <c r="BD735" t="s">
        <v>231</v>
      </c>
      <c r="BE735" t="s">
        <v>231</v>
      </c>
      <c r="BF735" t="s">
        <v>231</v>
      </c>
      <c r="BG735" t="s">
        <v>231</v>
      </c>
      <c r="BH735" t="s">
        <v>231</v>
      </c>
      <c r="BI735" t="s">
        <v>231</v>
      </c>
      <c r="BJ735" t="s">
        <v>231</v>
      </c>
      <c r="BK735" t="s">
        <v>231</v>
      </c>
      <c r="BL735" t="s">
        <v>231</v>
      </c>
      <c r="BM735" t="s">
        <v>231</v>
      </c>
      <c r="BN735" t="s">
        <v>231</v>
      </c>
      <c r="BO735" t="s">
        <v>231</v>
      </c>
      <c r="BP735" t="s">
        <v>231</v>
      </c>
      <c r="BQ735" t="s">
        <v>231</v>
      </c>
      <c r="BR735" t="s">
        <v>231</v>
      </c>
      <c r="BS735" t="s">
        <v>231</v>
      </c>
      <c r="BT735" t="s">
        <v>231</v>
      </c>
      <c r="CS735" t="s">
        <v>231</v>
      </c>
      <c r="CT735" t="s">
        <v>3534</v>
      </c>
      <c r="CU735" t="s">
        <v>3535</v>
      </c>
      <c r="CV735" t="s">
        <v>3536</v>
      </c>
      <c r="CW735" t="s">
        <v>3569</v>
      </c>
      <c r="CX735" t="s">
        <v>3570</v>
      </c>
      <c r="CY735" t="s">
        <v>3536</v>
      </c>
      <c r="CZ735" t="s">
        <v>224</v>
      </c>
      <c r="DA735" t="s">
        <v>3571</v>
      </c>
      <c r="DB735" t="s">
        <v>3569</v>
      </c>
      <c r="DC735" t="s">
        <v>363</v>
      </c>
      <c r="DD735" t="s">
        <v>5099</v>
      </c>
      <c r="DE735" t="s">
        <v>5463</v>
      </c>
    </row>
    <row r="736" spans="1:109" ht="11.25" customHeight="1">
      <c r="A736" s="1314" t="s">
        <v>231</v>
      </c>
      <c r="B736" t="s">
        <v>231</v>
      </c>
      <c r="C736" t="s">
        <v>231</v>
      </c>
      <c r="D736" t="s">
        <v>231</v>
      </c>
      <c r="E736" t="s">
        <v>231</v>
      </c>
      <c r="F736" t="s">
        <v>231</v>
      </c>
      <c r="G736" t="s">
        <v>231</v>
      </c>
      <c r="H736" t="s">
        <v>231</v>
      </c>
      <c r="I736" t="s">
        <v>5086</v>
      </c>
      <c r="J736" t="s">
        <v>231</v>
      </c>
      <c r="K736" t="s">
        <v>231</v>
      </c>
      <c r="L736" t="s">
        <v>231</v>
      </c>
      <c r="M736" t="s">
        <v>231</v>
      </c>
      <c r="N736" t="s">
        <v>231</v>
      </c>
      <c r="O736" t="s">
        <v>231</v>
      </c>
      <c r="P736" t="s">
        <v>231</v>
      </c>
      <c r="Q736" t="s">
        <v>231</v>
      </c>
      <c r="R736" t="s">
        <v>5464</v>
      </c>
      <c r="S736" t="s">
        <v>231</v>
      </c>
      <c r="T736" t="s">
        <v>231</v>
      </c>
      <c r="U736" t="s">
        <v>101</v>
      </c>
      <c r="V736" t="s">
        <v>231</v>
      </c>
      <c r="W736" t="s">
        <v>231</v>
      </c>
      <c r="X736" t="s">
        <v>5088</v>
      </c>
      <c r="Y736" t="s">
        <v>231</v>
      </c>
      <c r="Z736" t="s">
        <v>160</v>
      </c>
      <c r="AA736" t="s">
        <v>151</v>
      </c>
      <c r="AB736" t="s">
        <v>151</v>
      </c>
      <c r="AC736" t="s">
        <v>343</v>
      </c>
      <c r="AD736" t="s">
        <v>343</v>
      </c>
      <c r="AE736" t="s">
        <v>344</v>
      </c>
      <c r="AF736" t="s">
        <v>3561</v>
      </c>
      <c r="AG736" t="s">
        <v>3562</v>
      </c>
      <c r="AH736" t="s">
        <v>5465</v>
      </c>
      <c r="AI736" t="s">
        <v>3575</v>
      </c>
      <c r="AJ736" t="s">
        <v>5466</v>
      </c>
      <c r="AK736" t="s">
        <v>3641</v>
      </c>
      <c r="AL736" t="s">
        <v>5092</v>
      </c>
      <c r="AN736" t="s">
        <v>5441</v>
      </c>
      <c r="AO736" t="s">
        <v>5442</v>
      </c>
      <c r="AP736" t="s">
        <v>231</v>
      </c>
      <c r="AQ736" t="s">
        <v>231</v>
      </c>
      <c r="AR736" t="s">
        <v>231</v>
      </c>
      <c r="AS736" t="s">
        <v>231</v>
      </c>
      <c r="AT736" t="s">
        <v>231</v>
      </c>
      <c r="AU736" t="s">
        <v>231</v>
      </c>
      <c r="AV736" t="s">
        <v>231</v>
      </c>
      <c r="AW736" t="s">
        <v>231</v>
      </c>
      <c r="AX736" t="s">
        <v>231</v>
      </c>
      <c r="AY736" t="s">
        <v>231</v>
      </c>
      <c r="AZ736" t="s">
        <v>231</v>
      </c>
      <c r="BA736" t="s">
        <v>231</v>
      </c>
      <c r="BB736" t="s">
        <v>231</v>
      </c>
      <c r="BC736" t="s">
        <v>231</v>
      </c>
      <c r="BD736" t="s">
        <v>231</v>
      </c>
      <c r="BE736" t="s">
        <v>231</v>
      </c>
      <c r="BF736" t="s">
        <v>231</v>
      </c>
      <c r="BG736" t="s">
        <v>231</v>
      </c>
      <c r="BH736" t="s">
        <v>231</v>
      </c>
      <c r="BI736" t="s">
        <v>231</v>
      </c>
      <c r="BJ736" t="s">
        <v>231</v>
      </c>
      <c r="BK736" t="s">
        <v>231</v>
      </c>
      <c r="BL736" t="s">
        <v>231</v>
      </c>
      <c r="BM736" t="s">
        <v>231</v>
      </c>
      <c r="BN736" t="s">
        <v>231</v>
      </c>
      <c r="BO736" t="s">
        <v>231</v>
      </c>
      <c r="BP736" t="s">
        <v>231</v>
      </c>
      <c r="BQ736" t="s">
        <v>231</v>
      </c>
      <c r="BR736" t="s">
        <v>231</v>
      </c>
      <c r="BS736" t="s">
        <v>231</v>
      </c>
      <c r="BT736" t="s">
        <v>231</v>
      </c>
      <c r="CS736" t="s">
        <v>231</v>
      </c>
      <c r="CT736" t="s">
        <v>3534</v>
      </c>
      <c r="CU736" t="s">
        <v>3535</v>
      </c>
      <c r="CV736" t="s">
        <v>3536</v>
      </c>
      <c r="CW736" t="s">
        <v>3569</v>
      </c>
      <c r="CX736" t="s">
        <v>3570</v>
      </c>
      <c r="CY736" t="s">
        <v>3536</v>
      </c>
      <c r="CZ736" t="s">
        <v>224</v>
      </c>
      <c r="DA736" t="s">
        <v>3571</v>
      </c>
      <c r="DB736" t="s">
        <v>3569</v>
      </c>
      <c r="DC736" t="s">
        <v>363</v>
      </c>
      <c r="DD736" t="s">
        <v>5099</v>
      </c>
      <c r="DE736" t="s">
        <v>5467</v>
      </c>
    </row>
    <row r="737" spans="1:109" ht="11.25" customHeight="1">
      <c r="A737" s="1314" t="s">
        <v>231</v>
      </c>
      <c r="B737" t="s">
        <v>231</v>
      </c>
      <c r="C737" t="s">
        <v>231</v>
      </c>
      <c r="D737" t="s">
        <v>231</v>
      </c>
      <c r="E737" t="s">
        <v>231</v>
      </c>
      <c r="F737" t="s">
        <v>231</v>
      </c>
      <c r="G737" t="s">
        <v>231</v>
      </c>
      <c r="H737" t="s">
        <v>231</v>
      </c>
      <c r="I737" t="s">
        <v>5086</v>
      </c>
      <c r="J737" t="s">
        <v>231</v>
      </c>
      <c r="K737" t="s">
        <v>231</v>
      </c>
      <c r="L737" t="s">
        <v>231</v>
      </c>
      <c r="M737" t="s">
        <v>231</v>
      </c>
      <c r="N737" t="s">
        <v>231</v>
      </c>
      <c r="O737" t="s">
        <v>231</v>
      </c>
      <c r="P737" t="s">
        <v>231</v>
      </c>
      <c r="Q737" t="s">
        <v>231</v>
      </c>
      <c r="R737" t="s">
        <v>5468</v>
      </c>
      <c r="S737" t="s">
        <v>231</v>
      </c>
      <c r="T737" t="s">
        <v>231</v>
      </c>
      <c r="U737" t="s">
        <v>101</v>
      </c>
      <c r="V737" t="s">
        <v>231</v>
      </c>
      <c r="W737" t="s">
        <v>231</v>
      </c>
      <c r="X737" t="s">
        <v>5088</v>
      </c>
      <c r="Y737" t="s">
        <v>231</v>
      </c>
      <c r="Z737" t="s">
        <v>160</v>
      </c>
      <c r="AA737" t="s">
        <v>151</v>
      </c>
      <c r="AB737" t="s">
        <v>151</v>
      </c>
      <c r="AC737" t="s">
        <v>343</v>
      </c>
      <c r="AD737" t="s">
        <v>343</v>
      </c>
      <c r="AE737" t="s">
        <v>344</v>
      </c>
      <c r="AF737" t="s">
        <v>3561</v>
      </c>
      <c r="AG737" t="s">
        <v>3562</v>
      </c>
      <c r="AH737" t="s">
        <v>5469</v>
      </c>
      <c r="AI737" t="s">
        <v>5470</v>
      </c>
      <c r="AJ737" t="s">
        <v>5471</v>
      </c>
      <c r="AK737" t="s">
        <v>5472</v>
      </c>
      <c r="AL737" t="s">
        <v>5092</v>
      </c>
      <c r="AN737" t="s">
        <v>3642</v>
      </c>
      <c r="AO737" t="s">
        <v>5473</v>
      </c>
      <c r="AP737" t="s">
        <v>231</v>
      </c>
      <c r="AQ737" t="s">
        <v>231</v>
      </c>
      <c r="AR737" t="s">
        <v>231</v>
      </c>
      <c r="AS737" t="s">
        <v>231</v>
      </c>
      <c r="AT737" t="s">
        <v>231</v>
      </c>
      <c r="AU737" t="s">
        <v>231</v>
      </c>
      <c r="AV737" t="s">
        <v>231</v>
      </c>
      <c r="AW737" t="s">
        <v>231</v>
      </c>
      <c r="AX737" t="s">
        <v>231</v>
      </c>
      <c r="AY737" t="s">
        <v>231</v>
      </c>
      <c r="AZ737" t="s">
        <v>231</v>
      </c>
      <c r="BA737" t="s">
        <v>231</v>
      </c>
      <c r="BB737" t="s">
        <v>231</v>
      </c>
      <c r="BC737" t="s">
        <v>231</v>
      </c>
      <c r="BD737" t="s">
        <v>231</v>
      </c>
      <c r="BE737" t="s">
        <v>231</v>
      </c>
      <c r="BF737" t="s">
        <v>231</v>
      </c>
      <c r="BG737" t="s">
        <v>231</v>
      </c>
      <c r="BH737" t="s">
        <v>231</v>
      </c>
      <c r="BI737" t="s">
        <v>231</v>
      </c>
      <c r="BJ737" t="s">
        <v>231</v>
      </c>
      <c r="BK737" t="s">
        <v>231</v>
      </c>
      <c r="BL737" t="s">
        <v>231</v>
      </c>
      <c r="BM737" t="s">
        <v>231</v>
      </c>
      <c r="BN737" t="s">
        <v>231</v>
      </c>
      <c r="BO737" t="s">
        <v>231</v>
      </c>
      <c r="BP737" t="s">
        <v>231</v>
      </c>
      <c r="BQ737" t="s">
        <v>231</v>
      </c>
      <c r="BR737" t="s">
        <v>231</v>
      </c>
      <c r="BS737" t="s">
        <v>231</v>
      </c>
      <c r="BT737" t="s">
        <v>231</v>
      </c>
      <c r="CS737" t="s">
        <v>231</v>
      </c>
      <c r="CT737" t="s">
        <v>3534</v>
      </c>
      <c r="CU737" t="s">
        <v>3535</v>
      </c>
      <c r="CV737" t="s">
        <v>3536</v>
      </c>
      <c r="CW737" t="s">
        <v>3569</v>
      </c>
      <c r="CX737" t="s">
        <v>3570</v>
      </c>
      <c r="CY737" t="s">
        <v>3536</v>
      </c>
      <c r="CZ737" t="s">
        <v>224</v>
      </c>
      <c r="DA737" t="s">
        <v>3571</v>
      </c>
      <c r="DB737" t="s">
        <v>3569</v>
      </c>
      <c r="DC737" t="s">
        <v>363</v>
      </c>
      <c r="DD737" t="s">
        <v>5099</v>
      </c>
      <c r="DE737" t="s">
        <v>5474</v>
      </c>
    </row>
    <row r="738" spans="1:109" ht="11.25" customHeight="1">
      <c r="A738" s="1314" t="s">
        <v>231</v>
      </c>
      <c r="B738" t="s">
        <v>231</v>
      </c>
      <c r="C738" t="s">
        <v>231</v>
      </c>
      <c r="D738" t="s">
        <v>231</v>
      </c>
      <c r="E738" t="s">
        <v>231</v>
      </c>
      <c r="F738" t="s">
        <v>231</v>
      </c>
      <c r="G738" t="s">
        <v>231</v>
      </c>
      <c r="H738" t="s">
        <v>231</v>
      </c>
      <c r="I738" t="s">
        <v>5086</v>
      </c>
      <c r="J738" t="s">
        <v>231</v>
      </c>
      <c r="K738" t="s">
        <v>231</v>
      </c>
      <c r="L738" t="s">
        <v>231</v>
      </c>
      <c r="M738" t="s">
        <v>231</v>
      </c>
      <c r="N738" t="s">
        <v>231</v>
      </c>
      <c r="O738" t="s">
        <v>231</v>
      </c>
      <c r="P738" t="s">
        <v>231</v>
      </c>
      <c r="Q738" t="s">
        <v>231</v>
      </c>
      <c r="R738" t="s">
        <v>5475</v>
      </c>
      <c r="S738" t="s">
        <v>231</v>
      </c>
      <c r="T738" t="s">
        <v>231</v>
      </c>
      <c r="U738" t="s">
        <v>101</v>
      </c>
      <c r="V738" t="s">
        <v>231</v>
      </c>
      <c r="W738" t="s">
        <v>231</v>
      </c>
      <c r="X738" t="s">
        <v>3955</v>
      </c>
      <c r="Y738" t="s">
        <v>231</v>
      </c>
      <c r="Z738" t="s">
        <v>151</v>
      </c>
      <c r="AA738" t="s">
        <v>160</v>
      </c>
      <c r="AB738" t="s">
        <v>151</v>
      </c>
      <c r="AC738" t="s">
        <v>2262</v>
      </c>
      <c r="AD738" t="s">
        <v>2262</v>
      </c>
      <c r="AE738" t="s">
        <v>2264</v>
      </c>
      <c r="AF738" t="s">
        <v>3524</v>
      </c>
      <c r="AG738" t="s">
        <v>3525</v>
      </c>
      <c r="AH738" t="s">
        <v>5448</v>
      </c>
      <c r="AI738" t="s">
        <v>5476</v>
      </c>
      <c r="AJ738" t="s">
        <v>231</v>
      </c>
      <c r="AK738" t="s">
        <v>231</v>
      </c>
      <c r="AL738" t="s">
        <v>231</v>
      </c>
      <c r="AN738" t="s">
        <v>231</v>
      </c>
      <c r="AO738" t="s">
        <v>231</v>
      </c>
      <c r="AP738" t="s">
        <v>5477</v>
      </c>
      <c r="AQ738" t="s">
        <v>5141</v>
      </c>
      <c r="AR738" t="s">
        <v>111</v>
      </c>
      <c r="AS738" t="s">
        <v>3632</v>
      </c>
      <c r="AT738" t="s">
        <v>122</v>
      </c>
      <c r="AU738" t="s">
        <v>231</v>
      </c>
      <c r="AV738" t="s">
        <v>5408</v>
      </c>
      <c r="AW738" t="s">
        <v>2262</v>
      </c>
      <c r="AX738" t="s">
        <v>2262</v>
      </c>
      <c r="AY738" t="s">
        <v>4884</v>
      </c>
      <c r="AZ738" t="s">
        <v>3524</v>
      </c>
      <c r="BA738" t="s">
        <v>5143</v>
      </c>
      <c r="BB738" t="s">
        <v>5448</v>
      </c>
      <c r="BC738" t="s">
        <v>5476</v>
      </c>
      <c r="BD738" t="s">
        <v>3532</v>
      </c>
      <c r="BE738" t="s">
        <v>231</v>
      </c>
      <c r="BF738" t="s">
        <v>231</v>
      </c>
      <c r="BG738" t="s">
        <v>231</v>
      </c>
      <c r="BH738" t="s">
        <v>231</v>
      </c>
      <c r="BI738" t="s">
        <v>231</v>
      </c>
      <c r="BJ738" t="s">
        <v>231</v>
      </c>
      <c r="BK738" t="s">
        <v>231</v>
      </c>
      <c r="BL738" t="s">
        <v>231</v>
      </c>
      <c r="BM738" t="s">
        <v>231</v>
      </c>
      <c r="BN738" t="s">
        <v>231</v>
      </c>
      <c r="BO738" t="s">
        <v>231</v>
      </c>
      <c r="BP738" t="s">
        <v>231</v>
      </c>
      <c r="BQ738" t="s">
        <v>231</v>
      </c>
      <c r="BR738" t="s">
        <v>231</v>
      </c>
      <c r="BS738" t="s">
        <v>231</v>
      </c>
      <c r="BT738" t="s">
        <v>231</v>
      </c>
      <c r="CS738" t="s">
        <v>231</v>
      </c>
      <c r="CT738" t="s">
        <v>3534</v>
      </c>
      <c r="CU738" t="s">
        <v>3535</v>
      </c>
      <c r="CV738" t="s">
        <v>3536</v>
      </c>
      <c r="CW738" t="s">
        <v>3537</v>
      </c>
      <c r="CX738" t="s">
        <v>223</v>
      </c>
      <c r="CY738" t="s">
        <v>3536</v>
      </c>
      <c r="CZ738" t="s">
        <v>3538</v>
      </c>
      <c r="DA738" t="s">
        <v>3539</v>
      </c>
      <c r="DB738" t="s">
        <v>3537</v>
      </c>
      <c r="DC738" t="s">
        <v>363</v>
      </c>
      <c r="DD738" t="s">
        <v>5099</v>
      </c>
      <c r="DE738" t="s">
        <v>5478</v>
      </c>
    </row>
    <row r="739" spans="1:109" ht="11.25" customHeight="1">
      <c r="A739" s="1314" t="s">
        <v>231</v>
      </c>
      <c r="B739" t="s">
        <v>231</v>
      </c>
      <c r="C739" t="s">
        <v>231</v>
      </c>
      <c r="D739" t="s">
        <v>231</v>
      </c>
      <c r="E739" t="s">
        <v>231</v>
      </c>
      <c r="F739" t="s">
        <v>231</v>
      </c>
      <c r="G739" t="s">
        <v>231</v>
      </c>
      <c r="H739" t="s">
        <v>231</v>
      </c>
      <c r="I739" t="s">
        <v>5086</v>
      </c>
      <c r="J739" t="s">
        <v>231</v>
      </c>
      <c r="K739" t="s">
        <v>231</v>
      </c>
      <c r="L739" t="s">
        <v>231</v>
      </c>
      <c r="M739" t="s">
        <v>231</v>
      </c>
      <c r="N739" t="s">
        <v>231</v>
      </c>
      <c r="O739" t="s">
        <v>231</v>
      </c>
      <c r="P739" t="s">
        <v>231</v>
      </c>
      <c r="Q739" t="s">
        <v>231</v>
      </c>
      <c r="R739" t="s">
        <v>5479</v>
      </c>
      <c r="S739" t="s">
        <v>231</v>
      </c>
      <c r="T739" t="s">
        <v>231</v>
      </c>
      <c r="U739" t="s">
        <v>101</v>
      </c>
      <c r="V739" t="s">
        <v>231</v>
      </c>
      <c r="W739" t="s">
        <v>231</v>
      </c>
      <c r="X739" t="s">
        <v>3955</v>
      </c>
      <c r="Y739" t="s">
        <v>231</v>
      </c>
      <c r="Z739" t="s">
        <v>151</v>
      </c>
      <c r="AA739" t="s">
        <v>160</v>
      </c>
      <c r="AB739" t="s">
        <v>151</v>
      </c>
      <c r="AC739" t="s">
        <v>2262</v>
      </c>
      <c r="AD739" t="s">
        <v>2262</v>
      </c>
      <c r="AE739" t="s">
        <v>2264</v>
      </c>
      <c r="AF739" t="s">
        <v>3524</v>
      </c>
      <c r="AG739" t="s">
        <v>3525</v>
      </c>
      <c r="AH739" t="s">
        <v>5480</v>
      </c>
      <c r="AI739" t="s">
        <v>5481</v>
      </c>
      <c r="AJ739" t="s">
        <v>231</v>
      </c>
      <c r="AK739" t="s">
        <v>231</v>
      </c>
      <c r="AL739" t="s">
        <v>231</v>
      </c>
      <c r="AN739" t="s">
        <v>231</v>
      </c>
      <c r="AO739" t="s">
        <v>231</v>
      </c>
      <c r="AP739" t="s">
        <v>4960</v>
      </c>
      <c r="AQ739" t="s">
        <v>5482</v>
      </c>
      <c r="AR739" t="s">
        <v>111</v>
      </c>
      <c r="AS739" t="s">
        <v>3632</v>
      </c>
      <c r="AT739" t="s">
        <v>122</v>
      </c>
      <c r="AU739" t="s">
        <v>231</v>
      </c>
      <c r="AV739" t="s">
        <v>5408</v>
      </c>
      <c r="AW739" t="s">
        <v>2262</v>
      </c>
      <c r="AX739" t="s">
        <v>2262</v>
      </c>
      <c r="AY739" t="s">
        <v>4884</v>
      </c>
      <c r="AZ739" t="s">
        <v>4420</v>
      </c>
      <c r="BA739" t="s">
        <v>5483</v>
      </c>
      <c r="BB739" t="s">
        <v>4422</v>
      </c>
      <c r="BC739" t="s">
        <v>3575</v>
      </c>
      <c r="BD739" t="s">
        <v>3532</v>
      </c>
      <c r="BE739" t="s">
        <v>231</v>
      </c>
      <c r="BF739" t="s">
        <v>231</v>
      </c>
      <c r="BG739" t="s">
        <v>231</v>
      </c>
      <c r="BH739" t="s">
        <v>231</v>
      </c>
      <c r="BI739" t="s">
        <v>231</v>
      </c>
      <c r="BJ739" t="s">
        <v>231</v>
      </c>
      <c r="BK739" t="s">
        <v>231</v>
      </c>
      <c r="BL739" t="s">
        <v>231</v>
      </c>
      <c r="BM739" t="s">
        <v>231</v>
      </c>
      <c r="BN739" t="s">
        <v>231</v>
      </c>
      <c r="BO739" t="s">
        <v>231</v>
      </c>
      <c r="BP739" t="s">
        <v>231</v>
      </c>
      <c r="BQ739" t="s">
        <v>231</v>
      </c>
      <c r="BR739" t="s">
        <v>231</v>
      </c>
      <c r="BS739" t="s">
        <v>231</v>
      </c>
      <c r="BT739" t="s">
        <v>231</v>
      </c>
      <c r="CS739" t="s">
        <v>231</v>
      </c>
      <c r="CT739" t="s">
        <v>3534</v>
      </c>
      <c r="CU739" t="s">
        <v>3535</v>
      </c>
      <c r="CV739" t="s">
        <v>3536</v>
      </c>
      <c r="CW739" t="s">
        <v>3537</v>
      </c>
      <c r="CX739" t="s">
        <v>223</v>
      </c>
      <c r="CY739" t="s">
        <v>3536</v>
      </c>
      <c r="CZ739" t="s">
        <v>3538</v>
      </c>
      <c r="DA739" t="s">
        <v>3539</v>
      </c>
      <c r="DB739" t="s">
        <v>3537</v>
      </c>
      <c r="DC739" t="s">
        <v>363</v>
      </c>
      <c r="DD739" t="s">
        <v>5099</v>
      </c>
      <c r="DE739" t="s">
        <v>5484</v>
      </c>
    </row>
    <row r="740" spans="1:109" ht="11.25" customHeight="1">
      <c r="A740" s="1314" t="s">
        <v>231</v>
      </c>
      <c r="B740" t="s">
        <v>231</v>
      </c>
      <c r="C740" t="s">
        <v>231</v>
      </c>
      <c r="D740" t="s">
        <v>231</v>
      </c>
      <c r="E740" t="s">
        <v>231</v>
      </c>
      <c r="F740" t="s">
        <v>231</v>
      </c>
      <c r="G740" t="s">
        <v>231</v>
      </c>
      <c r="H740" t="s">
        <v>231</v>
      </c>
      <c r="I740" t="s">
        <v>5086</v>
      </c>
      <c r="J740" t="s">
        <v>231</v>
      </c>
      <c r="K740" t="s">
        <v>231</v>
      </c>
      <c r="L740" t="s">
        <v>231</v>
      </c>
      <c r="M740" t="s">
        <v>231</v>
      </c>
      <c r="N740" t="s">
        <v>231</v>
      </c>
      <c r="O740" t="s">
        <v>231</v>
      </c>
      <c r="P740" t="s">
        <v>231</v>
      </c>
      <c r="Q740" t="s">
        <v>231</v>
      </c>
      <c r="R740" t="s">
        <v>5485</v>
      </c>
      <c r="S740" t="s">
        <v>231</v>
      </c>
      <c r="T740" t="s">
        <v>231</v>
      </c>
      <c r="U740" t="s">
        <v>101</v>
      </c>
      <c r="V740" t="s">
        <v>231</v>
      </c>
      <c r="W740" t="s">
        <v>231</v>
      </c>
      <c r="X740" t="s">
        <v>3628</v>
      </c>
      <c r="Y740" t="s">
        <v>231</v>
      </c>
      <c r="Z740" t="s">
        <v>151</v>
      </c>
      <c r="AA740" t="s">
        <v>151</v>
      </c>
      <c r="AB740" t="s">
        <v>160</v>
      </c>
      <c r="AC740" t="s">
        <v>2289</v>
      </c>
      <c r="AD740" t="s">
        <v>2289</v>
      </c>
      <c r="AE740" t="s">
        <v>2290</v>
      </c>
      <c r="AF740" t="s">
        <v>4368</v>
      </c>
      <c r="AG740" t="s">
        <v>4369</v>
      </c>
      <c r="AH740" t="s">
        <v>3618</v>
      </c>
      <c r="AI740" t="s">
        <v>3618</v>
      </c>
      <c r="AJ740" t="s">
        <v>231</v>
      </c>
      <c r="AK740" t="s">
        <v>231</v>
      </c>
      <c r="AL740" t="s">
        <v>231</v>
      </c>
      <c r="AN740" t="s">
        <v>231</v>
      </c>
      <c r="AO740" t="s">
        <v>231</v>
      </c>
      <c r="AP740" t="s">
        <v>231</v>
      </c>
      <c r="AQ740" t="s">
        <v>231</v>
      </c>
      <c r="AR740" t="s">
        <v>231</v>
      </c>
      <c r="AS740" t="s">
        <v>231</v>
      </c>
      <c r="AT740" t="s">
        <v>231</v>
      </c>
      <c r="AU740" t="s">
        <v>231</v>
      </c>
      <c r="AV740" t="s">
        <v>231</v>
      </c>
      <c r="AW740" t="s">
        <v>231</v>
      </c>
      <c r="AX740" t="s">
        <v>231</v>
      </c>
      <c r="AY740" t="s">
        <v>231</v>
      </c>
      <c r="AZ740" t="s">
        <v>231</v>
      </c>
      <c r="BA740" t="s">
        <v>231</v>
      </c>
      <c r="BB740" t="s">
        <v>231</v>
      </c>
      <c r="BC740" t="s">
        <v>231</v>
      </c>
      <c r="BD740" t="s">
        <v>231</v>
      </c>
      <c r="BE740" t="s">
        <v>3820</v>
      </c>
      <c r="BF740" t="s">
        <v>3586</v>
      </c>
      <c r="BG740" t="s">
        <v>111</v>
      </c>
      <c r="BH740" t="s">
        <v>3632</v>
      </c>
      <c r="BI740" t="s">
        <v>122</v>
      </c>
      <c r="BJ740" t="s">
        <v>231</v>
      </c>
      <c r="BK740" t="s">
        <v>231</v>
      </c>
      <c r="BL740" t="s">
        <v>2289</v>
      </c>
      <c r="BM740" t="s">
        <v>2289</v>
      </c>
      <c r="BN740" t="s">
        <v>3707</v>
      </c>
      <c r="BO740" t="s">
        <v>4368</v>
      </c>
      <c r="BP740" t="s">
        <v>4627</v>
      </c>
      <c r="BQ740" t="s">
        <v>3618</v>
      </c>
      <c r="BR740" t="s">
        <v>3618</v>
      </c>
      <c r="BS740" t="s">
        <v>231</v>
      </c>
      <c r="BT740" t="s">
        <v>3694</v>
      </c>
      <c r="CS740" t="s">
        <v>5212</v>
      </c>
      <c r="CT740" t="s">
        <v>3534</v>
      </c>
      <c r="CU740" t="s">
        <v>3535</v>
      </c>
      <c r="CV740" t="s">
        <v>3536</v>
      </c>
      <c r="CW740" t="s">
        <v>3589</v>
      </c>
      <c r="CX740" t="s">
        <v>223</v>
      </c>
      <c r="CY740" t="s">
        <v>3536</v>
      </c>
      <c r="CZ740" t="s">
        <v>3590</v>
      </c>
      <c r="DA740" t="s">
        <v>3591</v>
      </c>
      <c r="DB740" t="s">
        <v>3589</v>
      </c>
      <c r="DC740" t="s">
        <v>363</v>
      </c>
      <c r="DD740" t="s">
        <v>5099</v>
      </c>
      <c r="DE740" t="s">
        <v>4629</v>
      </c>
    </row>
    <row r="741" spans="1:109" ht="11.25" customHeight="1">
      <c r="A741" s="1314" t="s">
        <v>231</v>
      </c>
      <c r="B741" t="s">
        <v>231</v>
      </c>
      <c r="C741" t="s">
        <v>231</v>
      </c>
      <c r="D741" t="s">
        <v>231</v>
      </c>
      <c r="E741" t="s">
        <v>231</v>
      </c>
      <c r="F741" t="s">
        <v>231</v>
      </c>
      <c r="G741" t="s">
        <v>231</v>
      </c>
      <c r="H741" t="s">
        <v>231</v>
      </c>
      <c r="I741" t="s">
        <v>5086</v>
      </c>
      <c r="J741" t="s">
        <v>231</v>
      </c>
      <c r="K741" t="s">
        <v>231</v>
      </c>
      <c r="L741" t="s">
        <v>231</v>
      </c>
      <c r="M741" t="s">
        <v>231</v>
      </c>
      <c r="N741" t="s">
        <v>231</v>
      </c>
      <c r="O741" t="s">
        <v>231</v>
      </c>
      <c r="P741" t="s">
        <v>231</v>
      </c>
      <c r="Q741" t="s">
        <v>231</v>
      </c>
      <c r="R741" t="s">
        <v>5486</v>
      </c>
      <c r="S741" t="s">
        <v>231</v>
      </c>
      <c r="T741" t="s">
        <v>231</v>
      </c>
      <c r="U741" t="s">
        <v>101</v>
      </c>
      <c r="V741" t="s">
        <v>231</v>
      </c>
      <c r="W741" t="s">
        <v>231</v>
      </c>
      <c r="X741" t="s">
        <v>3628</v>
      </c>
      <c r="Y741" t="s">
        <v>231</v>
      </c>
      <c r="Z741" t="s">
        <v>151</v>
      </c>
      <c r="AA741" t="s">
        <v>151</v>
      </c>
      <c r="AB741" t="s">
        <v>160</v>
      </c>
      <c r="AC741" t="s">
        <v>2289</v>
      </c>
      <c r="AD741" t="s">
        <v>2289</v>
      </c>
      <c r="AE741" t="s">
        <v>2290</v>
      </c>
      <c r="AF741" t="s">
        <v>3816</v>
      </c>
      <c r="AG741" t="s">
        <v>3817</v>
      </c>
      <c r="AH741" t="s">
        <v>3618</v>
      </c>
      <c r="AI741" t="s">
        <v>3618</v>
      </c>
      <c r="AJ741" t="s">
        <v>231</v>
      </c>
      <c r="AK741" t="s">
        <v>231</v>
      </c>
      <c r="AL741" t="s">
        <v>231</v>
      </c>
      <c r="AN741" t="s">
        <v>231</v>
      </c>
      <c r="AO741" t="s">
        <v>231</v>
      </c>
      <c r="AP741" t="s">
        <v>231</v>
      </c>
      <c r="AQ741" t="s">
        <v>231</v>
      </c>
      <c r="AR741" t="s">
        <v>231</v>
      </c>
      <c r="AS741" t="s">
        <v>231</v>
      </c>
      <c r="AT741" t="s">
        <v>231</v>
      </c>
      <c r="AU741" t="s">
        <v>231</v>
      </c>
      <c r="AV741" t="s">
        <v>231</v>
      </c>
      <c r="AW741" t="s">
        <v>231</v>
      </c>
      <c r="AX741" t="s">
        <v>231</v>
      </c>
      <c r="AY741" t="s">
        <v>231</v>
      </c>
      <c r="AZ741" t="s">
        <v>231</v>
      </c>
      <c r="BA741" t="s">
        <v>231</v>
      </c>
      <c r="BB741" t="s">
        <v>231</v>
      </c>
      <c r="BC741" t="s">
        <v>231</v>
      </c>
      <c r="BD741" t="s">
        <v>231</v>
      </c>
      <c r="BE741" t="s">
        <v>5427</v>
      </c>
      <c r="BF741" t="s">
        <v>3800</v>
      </c>
      <c r="BG741" t="s">
        <v>111</v>
      </c>
      <c r="BH741" t="s">
        <v>3632</v>
      </c>
      <c r="BI741" t="s">
        <v>122</v>
      </c>
      <c r="BJ741" t="s">
        <v>231</v>
      </c>
      <c r="BK741" t="s">
        <v>231</v>
      </c>
      <c r="BL741" t="s">
        <v>2289</v>
      </c>
      <c r="BM741" t="s">
        <v>2289</v>
      </c>
      <c r="BN741" t="s">
        <v>3707</v>
      </c>
      <c r="BO741" t="s">
        <v>3816</v>
      </c>
      <c r="BP741" t="s">
        <v>4201</v>
      </c>
      <c r="BQ741" t="s">
        <v>3618</v>
      </c>
      <c r="BR741" t="s">
        <v>3618</v>
      </c>
      <c r="BS741" t="s">
        <v>231</v>
      </c>
      <c r="BT741" t="s">
        <v>3694</v>
      </c>
      <c r="CS741" t="s">
        <v>5212</v>
      </c>
      <c r="CT741" t="s">
        <v>3534</v>
      </c>
      <c r="CU741" t="s">
        <v>3535</v>
      </c>
      <c r="CV741" t="s">
        <v>3536</v>
      </c>
      <c r="CW741" t="s">
        <v>3589</v>
      </c>
      <c r="CX741" t="s">
        <v>223</v>
      </c>
      <c r="CY741" t="s">
        <v>3536</v>
      </c>
      <c r="CZ741" t="s">
        <v>3590</v>
      </c>
      <c r="DA741" t="s">
        <v>3591</v>
      </c>
      <c r="DB741" t="s">
        <v>3589</v>
      </c>
      <c r="DC741" t="s">
        <v>363</v>
      </c>
      <c r="DD741" t="s">
        <v>5099</v>
      </c>
      <c r="DE741" t="s">
        <v>4203</v>
      </c>
    </row>
    <row r="742" spans="1:109" ht="11.25" customHeight="1">
      <c r="A742" s="1314" t="s">
        <v>231</v>
      </c>
      <c r="B742" t="s">
        <v>231</v>
      </c>
      <c r="C742" t="s">
        <v>231</v>
      </c>
      <c r="D742" t="s">
        <v>231</v>
      </c>
      <c r="E742" t="s">
        <v>231</v>
      </c>
      <c r="F742" t="s">
        <v>231</v>
      </c>
      <c r="G742" t="s">
        <v>231</v>
      </c>
      <c r="H742" t="s">
        <v>231</v>
      </c>
      <c r="I742" t="s">
        <v>5086</v>
      </c>
      <c r="J742" t="s">
        <v>231</v>
      </c>
      <c r="K742" t="s">
        <v>231</v>
      </c>
      <c r="L742" t="s">
        <v>231</v>
      </c>
      <c r="M742" t="s">
        <v>231</v>
      </c>
      <c r="N742" t="s">
        <v>231</v>
      </c>
      <c r="O742" t="s">
        <v>231</v>
      </c>
      <c r="P742" t="s">
        <v>231</v>
      </c>
      <c r="Q742" t="s">
        <v>231</v>
      </c>
      <c r="R742" t="s">
        <v>5487</v>
      </c>
      <c r="S742" t="s">
        <v>231</v>
      </c>
      <c r="T742" t="s">
        <v>231</v>
      </c>
      <c r="U742" t="s">
        <v>101</v>
      </c>
      <c r="V742" t="s">
        <v>231</v>
      </c>
      <c r="W742" t="s">
        <v>231</v>
      </c>
      <c r="X742" t="s">
        <v>5088</v>
      </c>
      <c r="Y742" t="s">
        <v>231</v>
      </c>
      <c r="Z742" t="s">
        <v>160</v>
      </c>
      <c r="AA742" t="s">
        <v>151</v>
      </c>
      <c r="AB742" t="s">
        <v>151</v>
      </c>
      <c r="AC742" t="s">
        <v>343</v>
      </c>
      <c r="AD742" t="s">
        <v>343</v>
      </c>
      <c r="AE742" t="s">
        <v>344</v>
      </c>
      <c r="AF742" t="s">
        <v>3561</v>
      </c>
      <c r="AG742" t="s">
        <v>3562</v>
      </c>
      <c r="AH742" t="s">
        <v>5125</v>
      </c>
      <c r="AI742" t="s">
        <v>3575</v>
      </c>
      <c r="AJ742" t="s">
        <v>5136</v>
      </c>
      <c r="AK742" t="s">
        <v>5488</v>
      </c>
      <c r="AL742" t="s">
        <v>5112</v>
      </c>
      <c r="AN742" t="s">
        <v>4530</v>
      </c>
      <c r="AO742" t="s">
        <v>5138</v>
      </c>
      <c r="AP742" t="s">
        <v>231</v>
      </c>
      <c r="AQ742" t="s">
        <v>231</v>
      </c>
      <c r="AR742" t="s">
        <v>231</v>
      </c>
      <c r="AS742" t="s">
        <v>231</v>
      </c>
      <c r="AT742" t="s">
        <v>231</v>
      </c>
      <c r="AU742" t="s">
        <v>231</v>
      </c>
      <c r="AV742" t="s">
        <v>231</v>
      </c>
      <c r="AW742" t="s">
        <v>231</v>
      </c>
      <c r="AX742" t="s">
        <v>231</v>
      </c>
      <c r="AY742" t="s">
        <v>231</v>
      </c>
      <c r="AZ742" t="s">
        <v>231</v>
      </c>
      <c r="BA742" t="s">
        <v>231</v>
      </c>
      <c r="BB742" t="s">
        <v>231</v>
      </c>
      <c r="BC742" t="s">
        <v>231</v>
      </c>
      <c r="BD742" t="s">
        <v>231</v>
      </c>
      <c r="BE742" t="s">
        <v>231</v>
      </c>
      <c r="BF742" t="s">
        <v>231</v>
      </c>
      <c r="BG742" t="s">
        <v>231</v>
      </c>
      <c r="BH742" t="s">
        <v>231</v>
      </c>
      <c r="BI742" t="s">
        <v>231</v>
      </c>
      <c r="BJ742" t="s">
        <v>231</v>
      </c>
      <c r="BK742" t="s">
        <v>231</v>
      </c>
      <c r="BL742" t="s">
        <v>231</v>
      </c>
      <c r="BM742" t="s">
        <v>231</v>
      </c>
      <c r="BN742" t="s">
        <v>231</v>
      </c>
      <c r="BO742" t="s">
        <v>231</v>
      </c>
      <c r="BP742" t="s">
        <v>231</v>
      </c>
      <c r="BQ742" t="s">
        <v>231</v>
      </c>
      <c r="BR742" t="s">
        <v>231</v>
      </c>
      <c r="BS742" t="s">
        <v>231</v>
      </c>
      <c r="BT742" t="s">
        <v>231</v>
      </c>
      <c r="CS742" t="s">
        <v>231</v>
      </c>
      <c r="CT742" t="s">
        <v>3534</v>
      </c>
      <c r="CU742" t="s">
        <v>3535</v>
      </c>
      <c r="CV742" t="s">
        <v>3536</v>
      </c>
      <c r="CW742" t="s">
        <v>3569</v>
      </c>
      <c r="CX742" t="s">
        <v>223</v>
      </c>
      <c r="CY742" t="s">
        <v>3536</v>
      </c>
      <c r="CZ742" t="s">
        <v>224</v>
      </c>
      <c r="DA742" t="s">
        <v>3571</v>
      </c>
      <c r="DB742" t="s">
        <v>3569</v>
      </c>
      <c r="DC742" t="s">
        <v>363</v>
      </c>
      <c r="DD742" t="s">
        <v>5099</v>
      </c>
      <c r="DE742" t="s">
        <v>5129</v>
      </c>
    </row>
    <row r="743" spans="1:109" ht="11.25" customHeight="1">
      <c r="A743" s="1314" t="s">
        <v>231</v>
      </c>
      <c r="B743" t="s">
        <v>231</v>
      </c>
      <c r="C743" t="s">
        <v>231</v>
      </c>
      <c r="D743" t="s">
        <v>231</v>
      </c>
      <c r="E743" t="s">
        <v>231</v>
      </c>
      <c r="F743" t="s">
        <v>231</v>
      </c>
      <c r="G743" t="s">
        <v>231</v>
      </c>
      <c r="H743" t="s">
        <v>231</v>
      </c>
      <c r="I743" t="s">
        <v>5086</v>
      </c>
      <c r="J743" t="s">
        <v>231</v>
      </c>
      <c r="K743" t="s">
        <v>231</v>
      </c>
      <c r="L743" t="s">
        <v>231</v>
      </c>
      <c r="M743" t="s">
        <v>231</v>
      </c>
      <c r="N743" t="s">
        <v>231</v>
      </c>
      <c r="O743" t="s">
        <v>231</v>
      </c>
      <c r="P743" t="s">
        <v>231</v>
      </c>
      <c r="Q743" t="s">
        <v>231</v>
      </c>
      <c r="R743" t="s">
        <v>5489</v>
      </c>
      <c r="S743" t="s">
        <v>231</v>
      </c>
      <c r="T743" t="s">
        <v>231</v>
      </c>
      <c r="U743" t="s">
        <v>101</v>
      </c>
      <c r="V743" t="s">
        <v>231</v>
      </c>
      <c r="W743" t="s">
        <v>231</v>
      </c>
      <c r="X743" t="s">
        <v>5088</v>
      </c>
      <c r="Y743" t="s">
        <v>231</v>
      </c>
      <c r="Z743" t="s">
        <v>160</v>
      </c>
      <c r="AA743" t="s">
        <v>151</v>
      </c>
      <c r="AB743" t="s">
        <v>151</v>
      </c>
      <c r="AC743" t="s">
        <v>2287</v>
      </c>
      <c r="AD743" t="s">
        <v>2287</v>
      </c>
      <c r="AE743" t="s">
        <v>2288</v>
      </c>
      <c r="AF743" t="s">
        <v>4025</v>
      </c>
      <c r="AG743" t="s">
        <v>4026</v>
      </c>
      <c r="AH743" t="s">
        <v>3660</v>
      </c>
      <c r="AI743" t="s">
        <v>3618</v>
      </c>
      <c r="AJ743" t="s">
        <v>5219</v>
      </c>
      <c r="AK743" t="s">
        <v>5490</v>
      </c>
      <c r="AL743" t="s">
        <v>5092</v>
      </c>
      <c r="AN743" t="s">
        <v>3529</v>
      </c>
      <c r="AO743" t="s">
        <v>5244</v>
      </c>
      <c r="AP743" t="s">
        <v>231</v>
      </c>
      <c r="AQ743" t="s">
        <v>231</v>
      </c>
      <c r="AR743" t="s">
        <v>231</v>
      </c>
      <c r="AS743" t="s">
        <v>231</v>
      </c>
      <c r="AT743" t="s">
        <v>231</v>
      </c>
      <c r="AU743" t="s">
        <v>231</v>
      </c>
      <c r="AV743" t="s">
        <v>231</v>
      </c>
      <c r="AW743" t="s">
        <v>231</v>
      </c>
      <c r="AX743" t="s">
        <v>231</v>
      </c>
      <c r="AY743" t="s">
        <v>231</v>
      </c>
      <c r="AZ743" t="s">
        <v>231</v>
      </c>
      <c r="BA743" t="s">
        <v>231</v>
      </c>
      <c r="BB743" t="s">
        <v>231</v>
      </c>
      <c r="BC743" t="s">
        <v>231</v>
      </c>
      <c r="BD743" t="s">
        <v>231</v>
      </c>
      <c r="BE743" t="s">
        <v>231</v>
      </c>
      <c r="BF743" t="s">
        <v>231</v>
      </c>
      <c r="BG743" t="s">
        <v>231</v>
      </c>
      <c r="BH743" t="s">
        <v>231</v>
      </c>
      <c r="BI743" t="s">
        <v>231</v>
      </c>
      <c r="BJ743" t="s">
        <v>231</v>
      </c>
      <c r="BK743" t="s">
        <v>231</v>
      </c>
      <c r="BL743" t="s">
        <v>231</v>
      </c>
      <c r="BM743" t="s">
        <v>231</v>
      </c>
      <c r="BN743" t="s">
        <v>231</v>
      </c>
      <c r="BO743" t="s">
        <v>231</v>
      </c>
      <c r="BP743" t="s">
        <v>231</v>
      </c>
      <c r="BQ743" t="s">
        <v>231</v>
      </c>
      <c r="BR743" t="s">
        <v>231</v>
      </c>
      <c r="BS743" t="s">
        <v>231</v>
      </c>
      <c r="BT743" t="s">
        <v>231</v>
      </c>
      <c r="CS743" t="s">
        <v>231</v>
      </c>
      <c r="CT743" t="s">
        <v>3534</v>
      </c>
      <c r="CU743" t="s">
        <v>3535</v>
      </c>
      <c r="CV743" t="s">
        <v>3536</v>
      </c>
      <c r="CW743" t="s">
        <v>3623</v>
      </c>
      <c r="CX743" t="s">
        <v>223</v>
      </c>
      <c r="CY743" t="s">
        <v>3536</v>
      </c>
      <c r="CZ743" t="s">
        <v>3624</v>
      </c>
      <c r="DA743" t="s">
        <v>3625</v>
      </c>
      <c r="DB743" t="s">
        <v>3623</v>
      </c>
      <c r="DC743" t="s">
        <v>363</v>
      </c>
      <c r="DD743" t="s">
        <v>5099</v>
      </c>
      <c r="DE743" t="s">
        <v>5491</v>
      </c>
    </row>
    <row r="744" spans="1:109" ht="11.25" customHeight="1">
      <c r="A744" s="1314" t="s">
        <v>231</v>
      </c>
      <c r="B744" t="s">
        <v>231</v>
      </c>
      <c r="C744" t="s">
        <v>231</v>
      </c>
      <c r="D744" t="s">
        <v>231</v>
      </c>
      <c r="E744" t="s">
        <v>231</v>
      </c>
      <c r="F744" t="s">
        <v>231</v>
      </c>
      <c r="G744" t="s">
        <v>231</v>
      </c>
      <c r="H744" t="s">
        <v>231</v>
      </c>
      <c r="I744" t="s">
        <v>5086</v>
      </c>
      <c r="J744" t="s">
        <v>231</v>
      </c>
      <c r="K744" t="s">
        <v>231</v>
      </c>
      <c r="L744" t="s">
        <v>231</v>
      </c>
      <c r="M744" t="s">
        <v>231</v>
      </c>
      <c r="N744" t="s">
        <v>231</v>
      </c>
      <c r="O744" t="s">
        <v>231</v>
      </c>
      <c r="P744" t="s">
        <v>231</v>
      </c>
      <c r="Q744" t="s">
        <v>231</v>
      </c>
      <c r="R744" t="s">
        <v>5492</v>
      </c>
      <c r="S744" t="s">
        <v>231</v>
      </c>
      <c r="T744" t="s">
        <v>231</v>
      </c>
      <c r="U744" t="s">
        <v>101</v>
      </c>
      <c r="V744" t="s">
        <v>231</v>
      </c>
      <c r="W744" t="s">
        <v>231</v>
      </c>
      <c r="X744" t="s">
        <v>5088</v>
      </c>
      <c r="Y744" t="s">
        <v>231</v>
      </c>
      <c r="Z744" t="s">
        <v>160</v>
      </c>
      <c r="AA744" t="s">
        <v>151</v>
      </c>
      <c r="AB744" t="s">
        <v>151</v>
      </c>
      <c r="AC744" t="s">
        <v>343</v>
      </c>
      <c r="AD744" t="s">
        <v>343</v>
      </c>
      <c r="AE744" t="s">
        <v>344</v>
      </c>
      <c r="AF744" t="s">
        <v>3561</v>
      </c>
      <c r="AG744" t="s">
        <v>3562</v>
      </c>
      <c r="AH744" t="s">
        <v>3804</v>
      </c>
      <c r="AI744" t="s">
        <v>3575</v>
      </c>
      <c r="AJ744" t="s">
        <v>3952</v>
      </c>
      <c r="AK744" t="s">
        <v>5493</v>
      </c>
      <c r="AL744" t="s">
        <v>5092</v>
      </c>
      <c r="AN744" t="s">
        <v>5494</v>
      </c>
      <c r="AO744" t="s">
        <v>5495</v>
      </c>
      <c r="AP744" t="s">
        <v>231</v>
      </c>
      <c r="AQ744" t="s">
        <v>231</v>
      </c>
      <c r="AR744" t="s">
        <v>231</v>
      </c>
      <c r="AS744" t="s">
        <v>231</v>
      </c>
      <c r="AT744" t="s">
        <v>231</v>
      </c>
      <c r="AU744" t="s">
        <v>231</v>
      </c>
      <c r="AV744" t="s">
        <v>231</v>
      </c>
      <c r="AW744" t="s">
        <v>231</v>
      </c>
      <c r="AX744" t="s">
        <v>231</v>
      </c>
      <c r="AY744" t="s">
        <v>231</v>
      </c>
      <c r="AZ744" t="s">
        <v>231</v>
      </c>
      <c r="BA744" t="s">
        <v>231</v>
      </c>
      <c r="BB744" t="s">
        <v>231</v>
      </c>
      <c r="BC744" t="s">
        <v>231</v>
      </c>
      <c r="BD744" t="s">
        <v>231</v>
      </c>
      <c r="BE744" t="s">
        <v>231</v>
      </c>
      <c r="BF744" t="s">
        <v>231</v>
      </c>
      <c r="BG744" t="s">
        <v>231</v>
      </c>
      <c r="BH744" t="s">
        <v>231</v>
      </c>
      <c r="BI744" t="s">
        <v>231</v>
      </c>
      <c r="BJ744" t="s">
        <v>231</v>
      </c>
      <c r="BK744" t="s">
        <v>231</v>
      </c>
      <c r="BL744" t="s">
        <v>231</v>
      </c>
      <c r="BM744" t="s">
        <v>231</v>
      </c>
      <c r="BN744" t="s">
        <v>231</v>
      </c>
      <c r="BO744" t="s">
        <v>231</v>
      </c>
      <c r="BP744" t="s">
        <v>231</v>
      </c>
      <c r="BQ744" t="s">
        <v>231</v>
      </c>
      <c r="BR744" t="s">
        <v>231</v>
      </c>
      <c r="BS744" t="s">
        <v>231</v>
      </c>
      <c r="BT744" t="s">
        <v>231</v>
      </c>
      <c r="CS744" t="s">
        <v>231</v>
      </c>
      <c r="CT744" t="s">
        <v>3534</v>
      </c>
      <c r="CU744" t="s">
        <v>3535</v>
      </c>
      <c r="CV744" t="s">
        <v>3536</v>
      </c>
      <c r="CW744" t="s">
        <v>3569</v>
      </c>
      <c r="CX744" t="s">
        <v>3570</v>
      </c>
      <c r="CY744" t="s">
        <v>3536</v>
      </c>
      <c r="CZ744" t="s">
        <v>224</v>
      </c>
      <c r="DA744" t="s">
        <v>3571</v>
      </c>
      <c r="DB744" t="s">
        <v>3569</v>
      </c>
      <c r="DC744" t="s">
        <v>363</v>
      </c>
      <c r="DD744" t="s">
        <v>5099</v>
      </c>
      <c r="DE744" t="s">
        <v>3809</v>
      </c>
    </row>
    <row r="745" spans="1:109" ht="11.25" customHeight="1">
      <c r="A745" s="1314" t="s">
        <v>231</v>
      </c>
      <c r="B745" t="s">
        <v>231</v>
      </c>
      <c r="C745" t="s">
        <v>231</v>
      </c>
      <c r="D745" t="s">
        <v>231</v>
      </c>
      <c r="E745" t="s">
        <v>231</v>
      </c>
      <c r="F745" t="s">
        <v>231</v>
      </c>
      <c r="G745" t="s">
        <v>231</v>
      </c>
      <c r="H745" t="s">
        <v>231</v>
      </c>
      <c r="I745" t="s">
        <v>5086</v>
      </c>
      <c r="J745" t="s">
        <v>231</v>
      </c>
      <c r="K745" t="s">
        <v>231</v>
      </c>
      <c r="L745" t="s">
        <v>231</v>
      </c>
      <c r="M745" t="s">
        <v>231</v>
      </c>
      <c r="N745" t="s">
        <v>231</v>
      </c>
      <c r="O745" t="s">
        <v>231</v>
      </c>
      <c r="P745" t="s">
        <v>231</v>
      </c>
      <c r="Q745" t="s">
        <v>231</v>
      </c>
      <c r="R745" t="s">
        <v>5496</v>
      </c>
      <c r="S745" t="s">
        <v>231</v>
      </c>
      <c r="T745" t="s">
        <v>231</v>
      </c>
      <c r="U745" t="s">
        <v>101</v>
      </c>
      <c r="V745" t="s">
        <v>231</v>
      </c>
      <c r="W745" t="s">
        <v>231</v>
      </c>
      <c r="X745" t="s">
        <v>3955</v>
      </c>
      <c r="Y745" t="s">
        <v>231</v>
      </c>
      <c r="Z745" t="s">
        <v>151</v>
      </c>
      <c r="AA745" t="s">
        <v>160</v>
      </c>
      <c r="AB745" t="s">
        <v>151</v>
      </c>
      <c r="AC745" t="s">
        <v>2287</v>
      </c>
      <c r="AD745" t="s">
        <v>2287</v>
      </c>
      <c r="AE745" t="s">
        <v>2288</v>
      </c>
      <c r="AF745" t="s">
        <v>4025</v>
      </c>
      <c r="AG745" t="s">
        <v>4026</v>
      </c>
      <c r="AH745" t="s">
        <v>3618</v>
      </c>
      <c r="AI745" t="s">
        <v>3618</v>
      </c>
      <c r="AJ745" t="s">
        <v>231</v>
      </c>
      <c r="AK745" t="s">
        <v>231</v>
      </c>
      <c r="AL745" t="s">
        <v>231</v>
      </c>
      <c r="AN745" t="s">
        <v>231</v>
      </c>
      <c r="AO745" t="s">
        <v>231</v>
      </c>
      <c r="AP745" t="s">
        <v>5210</v>
      </c>
      <c r="AQ745" t="s">
        <v>5211</v>
      </c>
      <c r="AR745" t="s">
        <v>111</v>
      </c>
      <c r="AS745" t="s">
        <v>3632</v>
      </c>
      <c r="AT745" t="s">
        <v>122</v>
      </c>
      <c r="AU745" t="s">
        <v>231</v>
      </c>
      <c r="AV745" t="s">
        <v>5496</v>
      </c>
      <c r="AW745" t="s">
        <v>2287</v>
      </c>
      <c r="AX745" t="s">
        <v>2287</v>
      </c>
      <c r="AY745" t="s">
        <v>3842</v>
      </c>
      <c r="AZ745" t="s">
        <v>4025</v>
      </c>
      <c r="BA745" t="s">
        <v>4216</v>
      </c>
      <c r="BB745" t="s">
        <v>231</v>
      </c>
      <c r="BC745" t="s">
        <v>231</v>
      </c>
      <c r="BD745" t="s">
        <v>3549</v>
      </c>
      <c r="BE745" t="s">
        <v>231</v>
      </c>
      <c r="BF745" t="s">
        <v>231</v>
      </c>
      <c r="BG745" t="s">
        <v>231</v>
      </c>
      <c r="BH745" t="s">
        <v>231</v>
      </c>
      <c r="BI745" t="s">
        <v>231</v>
      </c>
      <c r="BJ745" t="s">
        <v>231</v>
      </c>
      <c r="BK745" t="s">
        <v>231</v>
      </c>
      <c r="BL745" t="s">
        <v>231</v>
      </c>
      <c r="BM745" t="s">
        <v>231</v>
      </c>
      <c r="BN745" t="s">
        <v>231</v>
      </c>
      <c r="BO745" t="s">
        <v>231</v>
      </c>
      <c r="BP745" t="s">
        <v>231</v>
      </c>
      <c r="BQ745" t="s">
        <v>231</v>
      </c>
      <c r="BR745" t="s">
        <v>231</v>
      </c>
      <c r="BS745" t="s">
        <v>231</v>
      </c>
      <c r="BT745" t="s">
        <v>231</v>
      </c>
      <c r="CS745" t="s">
        <v>231</v>
      </c>
      <c r="CT745" t="s">
        <v>3534</v>
      </c>
      <c r="CU745" t="s">
        <v>3535</v>
      </c>
      <c r="CV745" t="s">
        <v>3536</v>
      </c>
      <c r="CW745" t="s">
        <v>3623</v>
      </c>
      <c r="CX745" t="s">
        <v>223</v>
      </c>
      <c r="CY745" t="s">
        <v>3536</v>
      </c>
      <c r="CZ745" t="s">
        <v>3624</v>
      </c>
      <c r="DA745" t="s">
        <v>3625</v>
      </c>
      <c r="DB745" t="s">
        <v>3623</v>
      </c>
      <c r="DC745" t="s">
        <v>363</v>
      </c>
      <c r="DD745" t="s">
        <v>5099</v>
      </c>
      <c r="DE745" t="s">
        <v>4290</v>
      </c>
    </row>
    <row r="746" spans="1:109" ht="11.25" customHeight="1">
      <c r="A746" s="1314" t="s">
        <v>231</v>
      </c>
      <c r="B746" t="s">
        <v>231</v>
      </c>
      <c r="C746" t="s">
        <v>231</v>
      </c>
      <c r="D746" t="s">
        <v>231</v>
      </c>
      <c r="E746" t="s">
        <v>231</v>
      </c>
      <c r="F746" t="s">
        <v>231</v>
      </c>
      <c r="G746" t="s">
        <v>231</v>
      </c>
      <c r="H746" t="s">
        <v>231</v>
      </c>
      <c r="I746" t="s">
        <v>5086</v>
      </c>
      <c r="J746" t="s">
        <v>231</v>
      </c>
      <c r="K746" t="s">
        <v>231</v>
      </c>
      <c r="L746" t="s">
        <v>231</v>
      </c>
      <c r="M746" t="s">
        <v>231</v>
      </c>
      <c r="N746" t="s">
        <v>231</v>
      </c>
      <c r="O746" t="s">
        <v>231</v>
      </c>
      <c r="P746" t="s">
        <v>231</v>
      </c>
      <c r="Q746" t="s">
        <v>231</v>
      </c>
      <c r="R746" t="s">
        <v>5206</v>
      </c>
      <c r="S746" t="s">
        <v>231</v>
      </c>
      <c r="T746" t="s">
        <v>231</v>
      </c>
      <c r="U746" t="s">
        <v>101</v>
      </c>
      <c r="V746" t="s">
        <v>231</v>
      </c>
      <c r="W746" t="s">
        <v>231</v>
      </c>
      <c r="X746" t="s">
        <v>5088</v>
      </c>
      <c r="Y746" t="s">
        <v>231</v>
      </c>
      <c r="Z746" t="s">
        <v>160</v>
      </c>
      <c r="AA746" t="s">
        <v>151</v>
      </c>
      <c r="AB746" t="s">
        <v>151</v>
      </c>
      <c r="AC746" t="s">
        <v>2262</v>
      </c>
      <c r="AD746" t="s">
        <v>2262</v>
      </c>
      <c r="AE746" t="s">
        <v>2264</v>
      </c>
      <c r="AF746" t="s">
        <v>3524</v>
      </c>
      <c r="AG746" t="s">
        <v>3525</v>
      </c>
      <c r="AH746" t="s">
        <v>5497</v>
      </c>
      <c r="AI746" t="s">
        <v>4018</v>
      </c>
      <c r="AJ746" t="s">
        <v>4960</v>
      </c>
      <c r="AK746" t="s">
        <v>3532</v>
      </c>
      <c r="AL746" t="s">
        <v>5092</v>
      </c>
      <c r="AN746" t="s">
        <v>4260</v>
      </c>
      <c r="AO746" t="s">
        <v>3622</v>
      </c>
      <c r="AP746" t="s">
        <v>231</v>
      </c>
      <c r="AQ746" t="s">
        <v>231</v>
      </c>
      <c r="AR746" t="s">
        <v>231</v>
      </c>
      <c r="AS746" t="s">
        <v>231</v>
      </c>
      <c r="AT746" t="s">
        <v>231</v>
      </c>
      <c r="AU746" t="s">
        <v>231</v>
      </c>
      <c r="AV746" t="s">
        <v>231</v>
      </c>
      <c r="AW746" t="s">
        <v>231</v>
      </c>
      <c r="AX746" t="s">
        <v>231</v>
      </c>
      <c r="AY746" t="s">
        <v>231</v>
      </c>
      <c r="AZ746" t="s">
        <v>231</v>
      </c>
      <c r="BA746" t="s">
        <v>231</v>
      </c>
      <c r="BB746" t="s">
        <v>231</v>
      </c>
      <c r="BC746" t="s">
        <v>231</v>
      </c>
      <c r="BD746" t="s">
        <v>231</v>
      </c>
      <c r="BE746" t="s">
        <v>231</v>
      </c>
      <c r="BF746" t="s">
        <v>231</v>
      </c>
      <c r="BG746" t="s">
        <v>231</v>
      </c>
      <c r="BH746" t="s">
        <v>231</v>
      </c>
      <c r="BI746" t="s">
        <v>231</v>
      </c>
      <c r="BJ746" t="s">
        <v>231</v>
      </c>
      <c r="BK746" t="s">
        <v>231</v>
      </c>
      <c r="BL746" t="s">
        <v>231</v>
      </c>
      <c r="BM746" t="s">
        <v>231</v>
      </c>
      <c r="BN746" t="s">
        <v>231</v>
      </c>
      <c r="BO746" t="s">
        <v>231</v>
      </c>
      <c r="BP746" t="s">
        <v>231</v>
      </c>
      <c r="BQ746" t="s">
        <v>231</v>
      </c>
      <c r="BR746" t="s">
        <v>231</v>
      </c>
      <c r="BS746" t="s">
        <v>231</v>
      </c>
      <c r="BT746" t="s">
        <v>231</v>
      </c>
      <c r="CS746" t="s">
        <v>231</v>
      </c>
      <c r="CT746" t="s">
        <v>3534</v>
      </c>
      <c r="CU746" t="s">
        <v>3535</v>
      </c>
      <c r="CV746" t="s">
        <v>3536</v>
      </c>
      <c r="CW746" t="s">
        <v>3537</v>
      </c>
      <c r="CX746" t="s">
        <v>223</v>
      </c>
      <c r="CY746" t="s">
        <v>3536</v>
      </c>
      <c r="CZ746" t="s">
        <v>3538</v>
      </c>
      <c r="DA746" t="s">
        <v>3539</v>
      </c>
      <c r="DB746" t="s">
        <v>3537</v>
      </c>
      <c r="DC746" t="s">
        <v>363</v>
      </c>
      <c r="DD746" t="s">
        <v>5099</v>
      </c>
      <c r="DE746" t="s">
        <v>5498</v>
      </c>
    </row>
    <row r="747" spans="1:109" ht="11.25" customHeight="1">
      <c r="A747" s="1314" t="s">
        <v>231</v>
      </c>
      <c r="B747" t="s">
        <v>231</v>
      </c>
      <c r="C747" t="s">
        <v>231</v>
      </c>
      <c r="D747" t="s">
        <v>231</v>
      </c>
      <c r="E747" t="s">
        <v>231</v>
      </c>
      <c r="F747" t="s">
        <v>231</v>
      </c>
      <c r="G747" t="s">
        <v>231</v>
      </c>
      <c r="H747" t="s">
        <v>231</v>
      </c>
      <c r="I747" t="s">
        <v>5086</v>
      </c>
      <c r="J747" t="s">
        <v>231</v>
      </c>
      <c r="K747" t="s">
        <v>231</v>
      </c>
      <c r="L747" t="s">
        <v>231</v>
      </c>
      <c r="M747" t="s">
        <v>231</v>
      </c>
      <c r="N747" t="s">
        <v>231</v>
      </c>
      <c r="O747" t="s">
        <v>231</v>
      </c>
      <c r="P747" t="s">
        <v>231</v>
      </c>
      <c r="Q747" t="s">
        <v>231</v>
      </c>
      <c r="R747" t="s">
        <v>5108</v>
      </c>
      <c r="S747" t="s">
        <v>231</v>
      </c>
      <c r="T747" t="s">
        <v>231</v>
      </c>
      <c r="U747" t="s">
        <v>101</v>
      </c>
      <c r="V747" t="s">
        <v>231</v>
      </c>
      <c r="W747" t="s">
        <v>231</v>
      </c>
      <c r="X747" t="s">
        <v>5088</v>
      </c>
      <c r="Y747" t="s">
        <v>231</v>
      </c>
      <c r="Z747" t="s">
        <v>160</v>
      </c>
      <c r="AA747" t="s">
        <v>151</v>
      </c>
      <c r="AB747" t="s">
        <v>151</v>
      </c>
      <c r="AC747" t="s">
        <v>2262</v>
      </c>
      <c r="AD747" t="s">
        <v>2262</v>
      </c>
      <c r="AE747" t="s">
        <v>2264</v>
      </c>
      <c r="AF747" t="s">
        <v>4879</v>
      </c>
      <c r="AG747" t="s">
        <v>4880</v>
      </c>
      <c r="AH747" t="s">
        <v>5499</v>
      </c>
      <c r="AI747" t="s">
        <v>4975</v>
      </c>
      <c r="AJ747" t="s">
        <v>5500</v>
      </c>
      <c r="AK747" t="s">
        <v>4960</v>
      </c>
      <c r="AL747" t="s">
        <v>5092</v>
      </c>
      <c r="AN747" t="s">
        <v>3621</v>
      </c>
      <c r="AO747" t="s">
        <v>3679</v>
      </c>
      <c r="AP747" t="s">
        <v>231</v>
      </c>
      <c r="AQ747" t="s">
        <v>231</v>
      </c>
      <c r="AR747" t="s">
        <v>231</v>
      </c>
      <c r="AS747" t="s">
        <v>231</v>
      </c>
      <c r="AT747" t="s">
        <v>231</v>
      </c>
      <c r="AU747" t="s">
        <v>231</v>
      </c>
      <c r="AV747" t="s">
        <v>231</v>
      </c>
      <c r="AW747" t="s">
        <v>231</v>
      </c>
      <c r="AX747" t="s">
        <v>231</v>
      </c>
      <c r="AY747" t="s">
        <v>231</v>
      </c>
      <c r="AZ747" t="s">
        <v>231</v>
      </c>
      <c r="BA747" t="s">
        <v>231</v>
      </c>
      <c r="BB747" t="s">
        <v>231</v>
      </c>
      <c r="BC747" t="s">
        <v>231</v>
      </c>
      <c r="BD747" t="s">
        <v>231</v>
      </c>
      <c r="BE747" t="s">
        <v>231</v>
      </c>
      <c r="BF747" t="s">
        <v>231</v>
      </c>
      <c r="BG747" t="s">
        <v>231</v>
      </c>
      <c r="BH747" t="s">
        <v>231</v>
      </c>
      <c r="BI747" t="s">
        <v>231</v>
      </c>
      <c r="BJ747" t="s">
        <v>231</v>
      </c>
      <c r="BK747" t="s">
        <v>231</v>
      </c>
      <c r="BL747" t="s">
        <v>231</v>
      </c>
      <c r="BM747" t="s">
        <v>231</v>
      </c>
      <c r="BN747" t="s">
        <v>231</v>
      </c>
      <c r="BO747" t="s">
        <v>231</v>
      </c>
      <c r="BP747" t="s">
        <v>231</v>
      </c>
      <c r="BQ747" t="s">
        <v>231</v>
      </c>
      <c r="BR747" t="s">
        <v>231</v>
      </c>
      <c r="BS747" t="s">
        <v>231</v>
      </c>
      <c r="BT747" t="s">
        <v>231</v>
      </c>
      <c r="CS747" t="s">
        <v>231</v>
      </c>
      <c r="CT747" t="s">
        <v>3534</v>
      </c>
      <c r="CU747" t="s">
        <v>3535</v>
      </c>
      <c r="CV747" t="s">
        <v>3536</v>
      </c>
      <c r="CW747" t="s">
        <v>4891</v>
      </c>
      <c r="CX747" t="s">
        <v>223</v>
      </c>
      <c r="CY747" t="s">
        <v>3536</v>
      </c>
      <c r="CZ747" t="s">
        <v>321</v>
      </c>
      <c r="DA747" t="s">
        <v>3539</v>
      </c>
      <c r="DB747" t="s">
        <v>4891</v>
      </c>
      <c r="DC747" t="s">
        <v>363</v>
      </c>
      <c r="DD747" t="s">
        <v>5099</v>
      </c>
      <c r="DE747" t="s">
        <v>5501</v>
      </c>
    </row>
    <row r="748" spans="1:109" ht="11.25" customHeight="1">
      <c r="A748" s="1314" t="s">
        <v>231</v>
      </c>
      <c r="B748" t="s">
        <v>231</v>
      </c>
      <c r="C748" t="s">
        <v>231</v>
      </c>
      <c r="D748" t="s">
        <v>231</v>
      </c>
      <c r="E748" t="s">
        <v>231</v>
      </c>
      <c r="F748" t="s">
        <v>231</v>
      </c>
      <c r="G748" t="s">
        <v>231</v>
      </c>
      <c r="H748" t="s">
        <v>231</v>
      </c>
      <c r="I748" t="s">
        <v>5086</v>
      </c>
      <c r="J748" t="s">
        <v>231</v>
      </c>
      <c r="K748" t="s">
        <v>231</v>
      </c>
      <c r="L748" t="s">
        <v>231</v>
      </c>
      <c r="M748" t="s">
        <v>231</v>
      </c>
      <c r="N748" t="s">
        <v>231</v>
      </c>
      <c r="O748" t="s">
        <v>231</v>
      </c>
      <c r="P748" t="s">
        <v>231</v>
      </c>
      <c r="Q748" t="s">
        <v>231</v>
      </c>
      <c r="R748" t="s">
        <v>5502</v>
      </c>
      <c r="S748" t="s">
        <v>231</v>
      </c>
      <c r="T748" t="s">
        <v>231</v>
      </c>
      <c r="U748" t="s">
        <v>101</v>
      </c>
      <c r="V748" t="s">
        <v>231</v>
      </c>
      <c r="W748" t="s">
        <v>231</v>
      </c>
      <c r="X748" t="s">
        <v>5088</v>
      </c>
      <c r="Y748" t="s">
        <v>231</v>
      </c>
      <c r="Z748" t="s">
        <v>160</v>
      </c>
      <c r="AA748" t="s">
        <v>151</v>
      </c>
      <c r="AB748" t="s">
        <v>151</v>
      </c>
      <c r="AC748" t="s">
        <v>2691</v>
      </c>
      <c r="AD748" t="s">
        <v>2691</v>
      </c>
      <c r="AE748" t="s">
        <v>2692</v>
      </c>
      <c r="AF748" t="s">
        <v>3991</v>
      </c>
      <c r="AG748" t="s">
        <v>3992</v>
      </c>
      <c r="AH748" t="s">
        <v>4277</v>
      </c>
      <c r="AI748" t="s">
        <v>4624</v>
      </c>
      <c r="AJ748" t="s">
        <v>3867</v>
      </c>
      <c r="AK748" t="s">
        <v>3867</v>
      </c>
      <c r="AL748" t="s">
        <v>5092</v>
      </c>
      <c r="AN748" t="s">
        <v>3595</v>
      </c>
      <c r="AO748" t="s">
        <v>5503</v>
      </c>
      <c r="AP748" t="s">
        <v>231</v>
      </c>
      <c r="AQ748" t="s">
        <v>231</v>
      </c>
      <c r="AR748" t="s">
        <v>231</v>
      </c>
      <c r="AS748" t="s">
        <v>231</v>
      </c>
      <c r="AT748" t="s">
        <v>231</v>
      </c>
      <c r="AU748" t="s">
        <v>231</v>
      </c>
      <c r="AV748" t="s">
        <v>231</v>
      </c>
      <c r="AW748" t="s">
        <v>231</v>
      </c>
      <c r="AX748" t="s">
        <v>231</v>
      </c>
      <c r="AY748" t="s">
        <v>231</v>
      </c>
      <c r="AZ748" t="s">
        <v>231</v>
      </c>
      <c r="BA748" t="s">
        <v>231</v>
      </c>
      <c r="BB748" t="s">
        <v>231</v>
      </c>
      <c r="BC748" t="s">
        <v>231</v>
      </c>
      <c r="BD748" t="s">
        <v>231</v>
      </c>
      <c r="BE748" t="s">
        <v>231</v>
      </c>
      <c r="BF748" t="s">
        <v>231</v>
      </c>
      <c r="BG748" t="s">
        <v>231</v>
      </c>
      <c r="BH748" t="s">
        <v>231</v>
      </c>
      <c r="BI748" t="s">
        <v>231</v>
      </c>
      <c r="BJ748" t="s">
        <v>231</v>
      </c>
      <c r="BK748" t="s">
        <v>231</v>
      </c>
      <c r="BL748" t="s">
        <v>231</v>
      </c>
      <c r="BM748" t="s">
        <v>231</v>
      </c>
      <c r="BN748" t="s">
        <v>231</v>
      </c>
      <c r="BO748" t="s">
        <v>231</v>
      </c>
      <c r="BP748" t="s">
        <v>231</v>
      </c>
      <c r="BQ748" t="s">
        <v>231</v>
      </c>
      <c r="BR748" t="s">
        <v>231</v>
      </c>
      <c r="BS748" t="s">
        <v>231</v>
      </c>
      <c r="BT748" t="s">
        <v>231</v>
      </c>
      <c r="CS748" t="s">
        <v>231</v>
      </c>
      <c r="CT748" t="s">
        <v>3534</v>
      </c>
      <c r="CU748" t="s">
        <v>3535</v>
      </c>
      <c r="CV748" t="s">
        <v>3997</v>
      </c>
      <c r="CW748" t="s">
        <v>3998</v>
      </c>
      <c r="CX748" t="s">
        <v>3570</v>
      </c>
      <c r="CY748" t="s">
        <v>3997</v>
      </c>
      <c r="CZ748" t="s">
        <v>5106</v>
      </c>
      <c r="DA748" t="s">
        <v>3999</v>
      </c>
      <c r="DB748" t="s">
        <v>3998</v>
      </c>
      <c r="DC748" t="s">
        <v>363</v>
      </c>
      <c r="DD748" t="s">
        <v>5099</v>
      </c>
      <c r="DE748" t="s">
        <v>5504</v>
      </c>
    </row>
    <row r="749" spans="1:109" ht="11.25" customHeight="1">
      <c r="A749" s="1314" t="s">
        <v>231</v>
      </c>
      <c r="B749" t="s">
        <v>231</v>
      </c>
      <c r="C749" t="s">
        <v>231</v>
      </c>
      <c r="D749" t="s">
        <v>231</v>
      </c>
      <c r="E749" t="s">
        <v>231</v>
      </c>
      <c r="F749" t="s">
        <v>231</v>
      </c>
      <c r="G749" t="s">
        <v>231</v>
      </c>
      <c r="H749" t="s">
        <v>231</v>
      </c>
      <c r="I749" t="s">
        <v>5086</v>
      </c>
      <c r="J749" t="s">
        <v>231</v>
      </c>
      <c r="K749" t="s">
        <v>231</v>
      </c>
      <c r="L749" t="s">
        <v>231</v>
      </c>
      <c r="M749" t="s">
        <v>231</v>
      </c>
      <c r="N749" t="s">
        <v>231</v>
      </c>
      <c r="O749" t="s">
        <v>231</v>
      </c>
      <c r="P749" t="s">
        <v>231</v>
      </c>
      <c r="Q749" t="s">
        <v>231</v>
      </c>
      <c r="R749" t="s">
        <v>5505</v>
      </c>
      <c r="S749" t="s">
        <v>231</v>
      </c>
      <c r="T749" t="s">
        <v>231</v>
      </c>
      <c r="U749" t="s">
        <v>101</v>
      </c>
      <c r="V749" t="s">
        <v>231</v>
      </c>
      <c r="W749" t="s">
        <v>231</v>
      </c>
      <c r="X749" t="s">
        <v>5088</v>
      </c>
      <c r="Y749" t="s">
        <v>231</v>
      </c>
      <c r="Z749" t="s">
        <v>160</v>
      </c>
      <c r="AA749" t="s">
        <v>151</v>
      </c>
      <c r="AB749" t="s">
        <v>151</v>
      </c>
      <c r="AC749" t="s">
        <v>2691</v>
      </c>
      <c r="AD749" t="s">
        <v>2691</v>
      </c>
      <c r="AE749" t="s">
        <v>2692</v>
      </c>
      <c r="AF749" t="s">
        <v>3991</v>
      </c>
      <c r="AG749" t="s">
        <v>3992</v>
      </c>
      <c r="AH749" t="s">
        <v>4742</v>
      </c>
      <c r="AI749" t="s">
        <v>482</v>
      </c>
      <c r="AJ749" t="s">
        <v>3621</v>
      </c>
      <c r="AK749" t="s">
        <v>3621</v>
      </c>
      <c r="AL749" t="s">
        <v>5092</v>
      </c>
      <c r="AN749" t="s">
        <v>3595</v>
      </c>
      <c r="AO749" t="s">
        <v>5506</v>
      </c>
      <c r="AP749" t="s">
        <v>231</v>
      </c>
      <c r="AQ749" t="s">
        <v>231</v>
      </c>
      <c r="AR749" t="s">
        <v>231</v>
      </c>
      <c r="AS749" t="s">
        <v>231</v>
      </c>
      <c r="AT749" t="s">
        <v>231</v>
      </c>
      <c r="AU749" t="s">
        <v>231</v>
      </c>
      <c r="AV749" t="s">
        <v>231</v>
      </c>
      <c r="AW749" t="s">
        <v>231</v>
      </c>
      <c r="AX749" t="s">
        <v>231</v>
      </c>
      <c r="AY749" t="s">
        <v>231</v>
      </c>
      <c r="AZ749" t="s">
        <v>231</v>
      </c>
      <c r="BA749" t="s">
        <v>231</v>
      </c>
      <c r="BB749" t="s">
        <v>231</v>
      </c>
      <c r="BC749" t="s">
        <v>231</v>
      </c>
      <c r="BD749" t="s">
        <v>231</v>
      </c>
      <c r="BE749" t="s">
        <v>231</v>
      </c>
      <c r="BF749" t="s">
        <v>231</v>
      </c>
      <c r="BG749" t="s">
        <v>231</v>
      </c>
      <c r="BH749" t="s">
        <v>231</v>
      </c>
      <c r="BI749" t="s">
        <v>231</v>
      </c>
      <c r="BJ749" t="s">
        <v>231</v>
      </c>
      <c r="BK749" t="s">
        <v>231</v>
      </c>
      <c r="BL749" t="s">
        <v>231</v>
      </c>
      <c r="BM749" t="s">
        <v>231</v>
      </c>
      <c r="BN749" t="s">
        <v>231</v>
      </c>
      <c r="BO749" t="s">
        <v>231</v>
      </c>
      <c r="BP749" t="s">
        <v>231</v>
      </c>
      <c r="BQ749" t="s">
        <v>231</v>
      </c>
      <c r="BR749" t="s">
        <v>231</v>
      </c>
      <c r="BS749" t="s">
        <v>231</v>
      </c>
      <c r="BT749" t="s">
        <v>231</v>
      </c>
      <c r="CS749" t="s">
        <v>231</v>
      </c>
      <c r="CT749" t="s">
        <v>3534</v>
      </c>
      <c r="CU749" t="s">
        <v>3535</v>
      </c>
      <c r="CV749" t="s">
        <v>3997</v>
      </c>
      <c r="CW749" t="s">
        <v>3998</v>
      </c>
      <c r="CX749" t="s">
        <v>3570</v>
      </c>
      <c r="CY749" t="s">
        <v>3997</v>
      </c>
      <c r="CZ749" t="s">
        <v>5106</v>
      </c>
      <c r="DA749" t="s">
        <v>3999</v>
      </c>
      <c r="DB749" t="s">
        <v>3998</v>
      </c>
      <c r="DC749" t="s">
        <v>363</v>
      </c>
      <c r="DD749" t="s">
        <v>5099</v>
      </c>
      <c r="DE749" t="s">
        <v>4746</v>
      </c>
    </row>
    <row r="750" spans="1:109" ht="11.25" customHeight="1">
      <c r="A750" s="1314" t="s">
        <v>231</v>
      </c>
      <c r="B750" t="s">
        <v>231</v>
      </c>
      <c r="C750" t="s">
        <v>231</v>
      </c>
      <c r="D750" t="s">
        <v>231</v>
      </c>
      <c r="E750" t="s">
        <v>231</v>
      </c>
      <c r="F750" t="s">
        <v>231</v>
      </c>
      <c r="G750" t="s">
        <v>231</v>
      </c>
      <c r="H750" t="s">
        <v>231</v>
      </c>
      <c r="I750" t="s">
        <v>5086</v>
      </c>
      <c r="J750" t="s">
        <v>231</v>
      </c>
      <c r="K750" t="s">
        <v>231</v>
      </c>
      <c r="L750" t="s">
        <v>231</v>
      </c>
      <c r="M750" t="s">
        <v>231</v>
      </c>
      <c r="N750" t="s">
        <v>231</v>
      </c>
      <c r="O750" t="s">
        <v>231</v>
      </c>
      <c r="P750" t="s">
        <v>231</v>
      </c>
      <c r="Q750" t="s">
        <v>231</v>
      </c>
      <c r="R750" t="s">
        <v>5507</v>
      </c>
      <c r="S750" t="s">
        <v>231</v>
      </c>
      <c r="T750" t="s">
        <v>231</v>
      </c>
      <c r="U750" t="s">
        <v>101</v>
      </c>
      <c r="V750" t="s">
        <v>231</v>
      </c>
      <c r="W750" t="s">
        <v>231</v>
      </c>
      <c r="X750" t="s">
        <v>3628</v>
      </c>
      <c r="Y750" t="s">
        <v>231</v>
      </c>
      <c r="Z750" t="s">
        <v>151</v>
      </c>
      <c r="AA750" t="s">
        <v>151</v>
      </c>
      <c r="AB750" t="s">
        <v>160</v>
      </c>
      <c r="AC750" t="s">
        <v>2262</v>
      </c>
      <c r="AD750" t="s">
        <v>2262</v>
      </c>
      <c r="AE750" t="s">
        <v>2264</v>
      </c>
      <c r="AF750" t="s">
        <v>4879</v>
      </c>
      <c r="AG750" t="s">
        <v>4880</v>
      </c>
      <c r="AH750" t="s">
        <v>4881</v>
      </c>
      <c r="AI750" t="s">
        <v>3575</v>
      </c>
      <c r="AJ750" t="s">
        <v>231</v>
      </c>
      <c r="AK750" t="s">
        <v>231</v>
      </c>
      <c r="AL750" t="s">
        <v>231</v>
      </c>
      <c r="AN750" t="s">
        <v>231</v>
      </c>
      <c r="AO750" t="s">
        <v>231</v>
      </c>
      <c r="AP750" t="s">
        <v>231</v>
      </c>
      <c r="AQ750" t="s">
        <v>231</v>
      </c>
      <c r="AR750" t="s">
        <v>231</v>
      </c>
      <c r="AS750" t="s">
        <v>231</v>
      </c>
      <c r="AT750" t="s">
        <v>231</v>
      </c>
      <c r="AU750" t="s">
        <v>231</v>
      </c>
      <c r="AV750" t="s">
        <v>231</v>
      </c>
      <c r="AW750" t="s">
        <v>231</v>
      </c>
      <c r="AX750" t="s">
        <v>231</v>
      </c>
      <c r="AY750" t="s">
        <v>231</v>
      </c>
      <c r="AZ750" t="s">
        <v>231</v>
      </c>
      <c r="BA750" t="s">
        <v>231</v>
      </c>
      <c r="BB750" t="s">
        <v>231</v>
      </c>
      <c r="BC750" t="s">
        <v>231</v>
      </c>
      <c r="BD750" t="s">
        <v>231</v>
      </c>
      <c r="BE750" t="s">
        <v>4996</v>
      </c>
      <c r="BF750" t="s">
        <v>5146</v>
      </c>
      <c r="BG750" t="s">
        <v>111</v>
      </c>
      <c r="BH750" t="s">
        <v>3632</v>
      </c>
      <c r="BI750" t="s">
        <v>122</v>
      </c>
      <c r="BJ750" t="s">
        <v>231</v>
      </c>
      <c r="BK750" t="s">
        <v>5108</v>
      </c>
      <c r="BL750" t="s">
        <v>2262</v>
      </c>
      <c r="BM750" t="s">
        <v>2262</v>
      </c>
      <c r="BN750" t="s">
        <v>4884</v>
      </c>
      <c r="BO750" t="s">
        <v>4879</v>
      </c>
      <c r="BP750" t="s">
        <v>4885</v>
      </c>
      <c r="BQ750" t="s">
        <v>5499</v>
      </c>
      <c r="BR750" t="s">
        <v>3893</v>
      </c>
      <c r="BS750" t="s">
        <v>231</v>
      </c>
      <c r="BT750" t="s">
        <v>3694</v>
      </c>
      <c r="CS750" t="s">
        <v>3546</v>
      </c>
      <c r="CT750" t="s">
        <v>3534</v>
      </c>
      <c r="CU750" t="s">
        <v>3535</v>
      </c>
      <c r="CV750" t="s">
        <v>3536</v>
      </c>
      <c r="CW750" t="s">
        <v>4891</v>
      </c>
      <c r="CX750" t="s">
        <v>223</v>
      </c>
      <c r="CY750" t="s">
        <v>3536</v>
      </c>
      <c r="CZ750" t="s">
        <v>321</v>
      </c>
      <c r="DA750" t="s">
        <v>3539</v>
      </c>
      <c r="DB750" t="s">
        <v>4891</v>
      </c>
      <c r="DC750" t="s">
        <v>363</v>
      </c>
      <c r="DD750" t="s">
        <v>5099</v>
      </c>
      <c r="DE750" t="s">
        <v>5149</v>
      </c>
    </row>
    <row r="751" spans="1:109" ht="11.25" customHeight="1">
      <c r="A751" s="1314" t="s">
        <v>231</v>
      </c>
      <c r="B751" t="s">
        <v>231</v>
      </c>
      <c r="C751" t="s">
        <v>231</v>
      </c>
      <c r="D751" t="s">
        <v>231</v>
      </c>
      <c r="E751" t="s">
        <v>231</v>
      </c>
      <c r="F751" t="s">
        <v>231</v>
      </c>
      <c r="G751" t="s">
        <v>231</v>
      </c>
      <c r="H751" t="s">
        <v>231</v>
      </c>
      <c r="I751" t="s">
        <v>5086</v>
      </c>
      <c r="J751" t="s">
        <v>231</v>
      </c>
      <c r="K751" t="s">
        <v>231</v>
      </c>
      <c r="L751" t="s">
        <v>231</v>
      </c>
      <c r="M751" t="s">
        <v>231</v>
      </c>
      <c r="N751" t="s">
        <v>231</v>
      </c>
      <c r="O751" t="s">
        <v>231</v>
      </c>
      <c r="P751" t="s">
        <v>231</v>
      </c>
      <c r="Q751" t="s">
        <v>231</v>
      </c>
      <c r="R751" t="s">
        <v>5508</v>
      </c>
      <c r="S751" t="s">
        <v>231</v>
      </c>
      <c r="T751" t="s">
        <v>231</v>
      </c>
      <c r="U751" t="s">
        <v>101</v>
      </c>
      <c r="V751" t="s">
        <v>231</v>
      </c>
      <c r="W751" t="s">
        <v>231</v>
      </c>
      <c r="X751" t="s">
        <v>3628</v>
      </c>
      <c r="Y751" t="s">
        <v>231</v>
      </c>
      <c r="Z751" t="s">
        <v>151</v>
      </c>
      <c r="AA751" t="s">
        <v>151</v>
      </c>
      <c r="AB751" t="s">
        <v>160</v>
      </c>
      <c r="AC751" t="s">
        <v>2289</v>
      </c>
      <c r="AD751" t="s">
        <v>2289</v>
      </c>
      <c r="AE751" t="s">
        <v>2290</v>
      </c>
      <c r="AF751" t="s">
        <v>4454</v>
      </c>
      <c r="AG751" t="s">
        <v>4455</v>
      </c>
      <c r="AH751" t="s">
        <v>3618</v>
      </c>
      <c r="AI751" t="s">
        <v>3618</v>
      </c>
      <c r="AJ751" t="s">
        <v>231</v>
      </c>
      <c r="AK751" t="s">
        <v>231</v>
      </c>
      <c r="AL751" t="s">
        <v>231</v>
      </c>
      <c r="AN751" t="s">
        <v>231</v>
      </c>
      <c r="AO751" t="s">
        <v>231</v>
      </c>
      <c r="AP751" t="s">
        <v>231</v>
      </c>
      <c r="AQ751" t="s">
        <v>231</v>
      </c>
      <c r="AR751" t="s">
        <v>231</v>
      </c>
      <c r="AS751" t="s">
        <v>231</v>
      </c>
      <c r="AT751" t="s">
        <v>231</v>
      </c>
      <c r="AU751" t="s">
        <v>231</v>
      </c>
      <c r="AV751" t="s">
        <v>231</v>
      </c>
      <c r="AW751" t="s">
        <v>231</v>
      </c>
      <c r="AX751" t="s">
        <v>231</v>
      </c>
      <c r="AY751" t="s">
        <v>231</v>
      </c>
      <c r="AZ751" t="s">
        <v>231</v>
      </c>
      <c r="BA751" t="s">
        <v>231</v>
      </c>
      <c r="BB751" t="s">
        <v>231</v>
      </c>
      <c r="BC751" t="s">
        <v>231</v>
      </c>
      <c r="BD751" t="s">
        <v>231</v>
      </c>
      <c r="BE751" t="s">
        <v>3586</v>
      </c>
      <c r="BF751" t="s">
        <v>3716</v>
      </c>
      <c r="BG751" t="s">
        <v>111</v>
      </c>
      <c r="BH751" t="s">
        <v>3632</v>
      </c>
      <c r="BI751" t="s">
        <v>122</v>
      </c>
      <c r="BJ751" t="s">
        <v>231</v>
      </c>
      <c r="BK751" t="s">
        <v>231</v>
      </c>
      <c r="BL751" t="s">
        <v>2289</v>
      </c>
      <c r="BM751" t="s">
        <v>2289</v>
      </c>
      <c r="BN751" t="s">
        <v>3707</v>
      </c>
      <c r="BO751" t="s">
        <v>4454</v>
      </c>
      <c r="BP751" t="s">
        <v>4933</v>
      </c>
      <c r="BQ751" t="s">
        <v>3618</v>
      </c>
      <c r="BR751" t="s">
        <v>3618</v>
      </c>
      <c r="BS751" t="s">
        <v>231</v>
      </c>
      <c r="BT751" t="s">
        <v>3694</v>
      </c>
      <c r="CS751" t="s">
        <v>5212</v>
      </c>
      <c r="CT751" t="s">
        <v>3534</v>
      </c>
      <c r="CU751" t="s">
        <v>3535</v>
      </c>
      <c r="CV751" t="s">
        <v>3536</v>
      </c>
      <c r="CW751" t="s">
        <v>3589</v>
      </c>
      <c r="CX751" t="s">
        <v>223</v>
      </c>
      <c r="CY751" t="s">
        <v>3536</v>
      </c>
      <c r="CZ751" t="s">
        <v>3590</v>
      </c>
      <c r="DA751" t="s">
        <v>3591</v>
      </c>
      <c r="DB751" t="s">
        <v>3589</v>
      </c>
      <c r="DC751" t="s">
        <v>363</v>
      </c>
      <c r="DD751" t="s">
        <v>5099</v>
      </c>
      <c r="DE751" t="s">
        <v>4935</v>
      </c>
    </row>
    <row r="752" spans="1:109" ht="11.25" customHeight="1">
      <c r="A752" s="1314" t="s">
        <v>231</v>
      </c>
      <c r="B752" t="s">
        <v>231</v>
      </c>
      <c r="C752" t="s">
        <v>231</v>
      </c>
      <c r="D752" t="s">
        <v>231</v>
      </c>
      <c r="E752" t="s">
        <v>231</v>
      </c>
      <c r="F752" t="s">
        <v>231</v>
      </c>
      <c r="G752" t="s">
        <v>231</v>
      </c>
      <c r="H752" t="s">
        <v>231</v>
      </c>
      <c r="I752" t="s">
        <v>5086</v>
      </c>
      <c r="J752" t="s">
        <v>231</v>
      </c>
      <c r="K752" t="s">
        <v>231</v>
      </c>
      <c r="L752" t="s">
        <v>231</v>
      </c>
      <c r="M752" t="s">
        <v>231</v>
      </c>
      <c r="N752" t="s">
        <v>231</v>
      </c>
      <c r="O752" t="s">
        <v>231</v>
      </c>
      <c r="P752" t="s">
        <v>231</v>
      </c>
      <c r="Q752" t="s">
        <v>231</v>
      </c>
      <c r="R752" t="s">
        <v>5509</v>
      </c>
      <c r="S752" t="s">
        <v>231</v>
      </c>
      <c r="T752" t="s">
        <v>231</v>
      </c>
      <c r="U752" t="s">
        <v>101</v>
      </c>
      <c r="V752" t="s">
        <v>231</v>
      </c>
      <c r="W752" t="s">
        <v>231</v>
      </c>
      <c r="X752" t="s">
        <v>5088</v>
      </c>
      <c r="Y752" t="s">
        <v>231</v>
      </c>
      <c r="Z752" t="s">
        <v>160</v>
      </c>
      <c r="AA752" t="s">
        <v>151</v>
      </c>
      <c r="AB752" t="s">
        <v>151</v>
      </c>
      <c r="AC752" t="s">
        <v>343</v>
      </c>
      <c r="AD752" t="s">
        <v>343</v>
      </c>
      <c r="AE752" t="s">
        <v>344</v>
      </c>
      <c r="AF752" t="s">
        <v>3561</v>
      </c>
      <c r="AG752" t="s">
        <v>3562</v>
      </c>
      <c r="AH752" t="s">
        <v>5510</v>
      </c>
      <c r="AI752" t="s">
        <v>5511</v>
      </c>
      <c r="AJ752" t="s">
        <v>3825</v>
      </c>
      <c r="AK752" t="s">
        <v>5512</v>
      </c>
      <c r="AL752" t="s">
        <v>5092</v>
      </c>
      <c r="AN752" t="s">
        <v>5513</v>
      </c>
      <c r="AO752" t="s">
        <v>5403</v>
      </c>
      <c r="AP752" t="s">
        <v>231</v>
      </c>
      <c r="AQ752" t="s">
        <v>231</v>
      </c>
      <c r="AR752" t="s">
        <v>231</v>
      </c>
      <c r="AS752" t="s">
        <v>231</v>
      </c>
      <c r="AT752" t="s">
        <v>231</v>
      </c>
      <c r="AU752" t="s">
        <v>231</v>
      </c>
      <c r="AV752" t="s">
        <v>231</v>
      </c>
      <c r="AW752" t="s">
        <v>231</v>
      </c>
      <c r="AX752" t="s">
        <v>231</v>
      </c>
      <c r="AY752" t="s">
        <v>231</v>
      </c>
      <c r="AZ752" t="s">
        <v>231</v>
      </c>
      <c r="BA752" t="s">
        <v>231</v>
      </c>
      <c r="BB752" t="s">
        <v>231</v>
      </c>
      <c r="BC752" t="s">
        <v>231</v>
      </c>
      <c r="BD752" t="s">
        <v>231</v>
      </c>
      <c r="BE752" t="s">
        <v>231</v>
      </c>
      <c r="BF752" t="s">
        <v>231</v>
      </c>
      <c r="BG752" t="s">
        <v>231</v>
      </c>
      <c r="BH752" t="s">
        <v>231</v>
      </c>
      <c r="BI752" t="s">
        <v>231</v>
      </c>
      <c r="BJ752" t="s">
        <v>231</v>
      </c>
      <c r="BK752" t="s">
        <v>231</v>
      </c>
      <c r="BL752" t="s">
        <v>231</v>
      </c>
      <c r="BM752" t="s">
        <v>231</v>
      </c>
      <c r="BN752" t="s">
        <v>231</v>
      </c>
      <c r="BO752" t="s">
        <v>231</v>
      </c>
      <c r="BP752" t="s">
        <v>231</v>
      </c>
      <c r="BQ752" t="s">
        <v>231</v>
      </c>
      <c r="BR752" t="s">
        <v>231</v>
      </c>
      <c r="BS752" t="s">
        <v>231</v>
      </c>
      <c r="BT752" t="s">
        <v>231</v>
      </c>
      <c r="CS752" t="s">
        <v>231</v>
      </c>
      <c r="CT752" t="s">
        <v>3534</v>
      </c>
      <c r="CU752" t="s">
        <v>3535</v>
      </c>
      <c r="CV752" t="s">
        <v>3536</v>
      </c>
      <c r="CW752" t="s">
        <v>3569</v>
      </c>
      <c r="CX752" t="s">
        <v>3570</v>
      </c>
      <c r="CY752" t="s">
        <v>3536</v>
      </c>
      <c r="CZ752" t="s">
        <v>224</v>
      </c>
      <c r="DA752" t="s">
        <v>3571</v>
      </c>
      <c r="DB752" t="s">
        <v>3569</v>
      </c>
      <c r="DC752" t="s">
        <v>363</v>
      </c>
      <c r="DD752" t="s">
        <v>5099</v>
      </c>
      <c r="DE752" t="s">
        <v>5514</v>
      </c>
    </row>
    <row r="753" spans="1:109" ht="11.25" customHeight="1">
      <c r="A753" s="1314" t="s">
        <v>231</v>
      </c>
      <c r="B753" t="s">
        <v>231</v>
      </c>
      <c r="C753" t="s">
        <v>231</v>
      </c>
      <c r="D753" t="s">
        <v>231</v>
      </c>
      <c r="E753" t="s">
        <v>231</v>
      </c>
      <c r="F753" t="s">
        <v>231</v>
      </c>
      <c r="G753" t="s">
        <v>231</v>
      </c>
      <c r="H753" t="s">
        <v>231</v>
      </c>
      <c r="I753" t="s">
        <v>5086</v>
      </c>
      <c r="J753" t="s">
        <v>231</v>
      </c>
      <c r="K753" t="s">
        <v>231</v>
      </c>
      <c r="L753" t="s">
        <v>231</v>
      </c>
      <c r="M753" t="s">
        <v>231</v>
      </c>
      <c r="N753" t="s">
        <v>231</v>
      </c>
      <c r="O753" t="s">
        <v>231</v>
      </c>
      <c r="P753" t="s">
        <v>231</v>
      </c>
      <c r="Q753" t="s">
        <v>231</v>
      </c>
      <c r="R753" t="s">
        <v>5515</v>
      </c>
      <c r="S753" t="s">
        <v>231</v>
      </c>
      <c r="T753" t="s">
        <v>231</v>
      </c>
      <c r="U753" t="s">
        <v>101</v>
      </c>
      <c r="V753" t="s">
        <v>231</v>
      </c>
      <c r="W753" t="s">
        <v>231</v>
      </c>
      <c r="X753" t="s">
        <v>3955</v>
      </c>
      <c r="Y753" t="s">
        <v>231</v>
      </c>
      <c r="Z753" t="s">
        <v>151</v>
      </c>
      <c r="AA753" t="s">
        <v>160</v>
      </c>
      <c r="AB753" t="s">
        <v>151</v>
      </c>
      <c r="AC753" t="s">
        <v>2691</v>
      </c>
      <c r="AD753" t="s">
        <v>2691</v>
      </c>
      <c r="AE753" t="s">
        <v>2692</v>
      </c>
      <c r="AF753" t="s">
        <v>3991</v>
      </c>
      <c r="AG753" t="s">
        <v>3992</v>
      </c>
      <c r="AH753" t="s">
        <v>4277</v>
      </c>
      <c r="AI753" t="s">
        <v>3575</v>
      </c>
      <c r="AJ753" t="s">
        <v>231</v>
      </c>
      <c r="AK753" t="s">
        <v>231</v>
      </c>
      <c r="AL753" t="s">
        <v>231</v>
      </c>
      <c r="AN753" t="s">
        <v>231</v>
      </c>
      <c r="AO753" t="s">
        <v>231</v>
      </c>
      <c r="AP753" t="s">
        <v>5222</v>
      </c>
      <c r="AQ753" t="s">
        <v>5223</v>
      </c>
      <c r="AR753" t="s">
        <v>111</v>
      </c>
      <c r="AS753" t="s">
        <v>3632</v>
      </c>
      <c r="AT753" t="s">
        <v>122</v>
      </c>
      <c r="AU753" t="s">
        <v>231</v>
      </c>
      <c r="AV753" t="s">
        <v>5408</v>
      </c>
      <c r="AW753" t="s">
        <v>2691</v>
      </c>
      <c r="AX753" t="s">
        <v>2691</v>
      </c>
      <c r="AY753" t="s">
        <v>4116</v>
      </c>
      <c r="AZ753" t="s">
        <v>3991</v>
      </c>
      <c r="BA753" t="s">
        <v>4117</v>
      </c>
      <c r="BB753" t="s">
        <v>4277</v>
      </c>
      <c r="BC753" t="s">
        <v>3575</v>
      </c>
      <c r="BD753" t="s">
        <v>3595</v>
      </c>
      <c r="BE753" t="s">
        <v>231</v>
      </c>
      <c r="BF753" t="s">
        <v>231</v>
      </c>
      <c r="BG753" t="s">
        <v>231</v>
      </c>
      <c r="BH753" t="s">
        <v>231</v>
      </c>
      <c r="BI753" t="s">
        <v>231</v>
      </c>
      <c r="BJ753" t="s">
        <v>231</v>
      </c>
      <c r="BK753" t="s">
        <v>231</v>
      </c>
      <c r="BL753" t="s">
        <v>231</v>
      </c>
      <c r="BM753" t="s">
        <v>231</v>
      </c>
      <c r="BN753" t="s">
        <v>231</v>
      </c>
      <c r="BO753" t="s">
        <v>231</v>
      </c>
      <c r="BP753" t="s">
        <v>231</v>
      </c>
      <c r="BQ753" t="s">
        <v>231</v>
      </c>
      <c r="BR753" t="s">
        <v>231</v>
      </c>
      <c r="BS753" t="s">
        <v>231</v>
      </c>
      <c r="BT753" t="s">
        <v>231</v>
      </c>
      <c r="CS753" t="s">
        <v>231</v>
      </c>
      <c r="CT753" t="s">
        <v>3534</v>
      </c>
      <c r="CU753" t="s">
        <v>3535</v>
      </c>
      <c r="CV753" t="s">
        <v>3997</v>
      </c>
      <c r="CW753" t="s">
        <v>3998</v>
      </c>
      <c r="CX753" t="s">
        <v>3570</v>
      </c>
      <c r="CY753" t="s">
        <v>3997</v>
      </c>
      <c r="CZ753" t="s">
        <v>5106</v>
      </c>
      <c r="DA753" t="s">
        <v>3999</v>
      </c>
      <c r="DB753" t="s">
        <v>3998</v>
      </c>
      <c r="DC753" t="s">
        <v>363</v>
      </c>
      <c r="DD753" t="s">
        <v>5099</v>
      </c>
      <c r="DE753" t="s">
        <v>5516</v>
      </c>
    </row>
    <row r="754" spans="1:109" ht="11.25" customHeight="1">
      <c r="A754" s="1314" t="s">
        <v>231</v>
      </c>
      <c r="B754" t="s">
        <v>231</v>
      </c>
      <c r="C754" t="s">
        <v>231</v>
      </c>
      <c r="D754" t="s">
        <v>231</v>
      </c>
      <c r="E754" t="s">
        <v>231</v>
      </c>
      <c r="F754" t="s">
        <v>231</v>
      </c>
      <c r="G754" t="s">
        <v>231</v>
      </c>
      <c r="H754" t="s">
        <v>231</v>
      </c>
      <c r="I754" t="s">
        <v>5086</v>
      </c>
      <c r="J754" t="s">
        <v>231</v>
      </c>
      <c r="K754" t="s">
        <v>231</v>
      </c>
      <c r="L754" t="s">
        <v>231</v>
      </c>
      <c r="M754" t="s">
        <v>231</v>
      </c>
      <c r="N754" t="s">
        <v>231</v>
      </c>
      <c r="O754" t="s">
        <v>231</v>
      </c>
      <c r="P754" t="s">
        <v>231</v>
      </c>
      <c r="Q754" t="s">
        <v>231</v>
      </c>
      <c r="R754" t="s">
        <v>5408</v>
      </c>
      <c r="S754" t="s">
        <v>231</v>
      </c>
      <c r="T754" t="s">
        <v>231</v>
      </c>
      <c r="U754" t="s">
        <v>101</v>
      </c>
      <c r="V754" t="s">
        <v>231</v>
      </c>
      <c r="W754" t="s">
        <v>231</v>
      </c>
      <c r="X754" t="s">
        <v>3955</v>
      </c>
      <c r="Y754" t="s">
        <v>231</v>
      </c>
      <c r="Z754" t="s">
        <v>151</v>
      </c>
      <c r="AA754" t="s">
        <v>160</v>
      </c>
      <c r="AB754" t="s">
        <v>151</v>
      </c>
      <c r="AC754" t="s">
        <v>2283</v>
      </c>
      <c r="AD754" t="s">
        <v>2283</v>
      </c>
      <c r="AE754" t="s">
        <v>2284</v>
      </c>
      <c r="AF754" t="s">
        <v>4001</v>
      </c>
      <c r="AG754" t="s">
        <v>4002</v>
      </c>
      <c r="AH754" t="s">
        <v>5207</v>
      </c>
      <c r="AI754" t="s">
        <v>3575</v>
      </c>
      <c r="AJ754" t="s">
        <v>231</v>
      </c>
      <c r="AK754" t="s">
        <v>231</v>
      </c>
      <c r="AL754" t="s">
        <v>231</v>
      </c>
      <c r="AN754" t="s">
        <v>231</v>
      </c>
      <c r="AO754" t="s">
        <v>231</v>
      </c>
      <c r="AP754" t="s">
        <v>5204</v>
      </c>
      <c r="AQ754" t="s">
        <v>5205</v>
      </c>
      <c r="AR754" t="s">
        <v>111</v>
      </c>
      <c r="AS754" t="s">
        <v>3632</v>
      </c>
      <c r="AT754" t="s">
        <v>122</v>
      </c>
      <c r="AU754" t="s">
        <v>231</v>
      </c>
      <c r="AV754" t="s">
        <v>5408</v>
      </c>
      <c r="AW754" t="s">
        <v>2283</v>
      </c>
      <c r="AX754" t="s">
        <v>2283</v>
      </c>
      <c r="AY754" t="s">
        <v>3690</v>
      </c>
      <c r="AZ754" t="s">
        <v>4001</v>
      </c>
      <c r="BA754" t="s">
        <v>4005</v>
      </c>
      <c r="BB754" t="s">
        <v>5207</v>
      </c>
      <c r="BC754" t="s">
        <v>3575</v>
      </c>
      <c r="BD754" t="s">
        <v>3549</v>
      </c>
      <c r="BE754" t="s">
        <v>231</v>
      </c>
      <c r="BF754" t="s">
        <v>231</v>
      </c>
      <c r="BG754" t="s">
        <v>231</v>
      </c>
      <c r="BH754" t="s">
        <v>231</v>
      </c>
      <c r="BI754" t="s">
        <v>231</v>
      </c>
      <c r="BJ754" t="s">
        <v>231</v>
      </c>
      <c r="BK754" t="s">
        <v>231</v>
      </c>
      <c r="BL754" t="s">
        <v>231</v>
      </c>
      <c r="BM754" t="s">
        <v>231</v>
      </c>
      <c r="BN754" t="s">
        <v>231</v>
      </c>
      <c r="BO754" t="s">
        <v>231</v>
      </c>
      <c r="BP754" t="s">
        <v>231</v>
      </c>
      <c r="BQ754" t="s">
        <v>231</v>
      </c>
      <c r="BR754" t="s">
        <v>231</v>
      </c>
      <c r="BS754" t="s">
        <v>231</v>
      </c>
      <c r="BT754" t="s">
        <v>231</v>
      </c>
      <c r="CS754" t="s">
        <v>231</v>
      </c>
      <c r="CT754" t="s">
        <v>3534</v>
      </c>
      <c r="CU754" t="s">
        <v>3535</v>
      </c>
      <c r="CV754" t="s">
        <v>3536</v>
      </c>
      <c r="CW754" t="s">
        <v>3551</v>
      </c>
      <c r="CX754" t="s">
        <v>223</v>
      </c>
      <c r="CY754" t="s">
        <v>3536</v>
      </c>
      <c r="CZ754" t="s">
        <v>3552</v>
      </c>
      <c r="DA754" t="s">
        <v>3553</v>
      </c>
      <c r="DB754" t="s">
        <v>3551</v>
      </c>
      <c r="DC754" t="s">
        <v>363</v>
      </c>
      <c r="DD754" t="s">
        <v>5099</v>
      </c>
      <c r="DE754" t="s">
        <v>5236</v>
      </c>
    </row>
    <row r="755" spans="1:109" ht="11.25" customHeight="1">
      <c r="A755" s="1314" t="s">
        <v>231</v>
      </c>
      <c r="B755" t="s">
        <v>231</v>
      </c>
      <c r="C755" t="s">
        <v>231</v>
      </c>
      <c r="D755" t="s">
        <v>231</v>
      </c>
      <c r="E755" t="s">
        <v>231</v>
      </c>
      <c r="F755" t="s">
        <v>231</v>
      </c>
      <c r="G755" t="s">
        <v>231</v>
      </c>
      <c r="H755" t="s">
        <v>231</v>
      </c>
      <c r="I755" t="s">
        <v>5086</v>
      </c>
      <c r="J755" t="s">
        <v>231</v>
      </c>
      <c r="K755" t="s">
        <v>231</v>
      </c>
      <c r="L755" t="s">
        <v>231</v>
      </c>
      <c r="M755" t="s">
        <v>231</v>
      </c>
      <c r="N755" t="s">
        <v>231</v>
      </c>
      <c r="O755" t="s">
        <v>231</v>
      </c>
      <c r="P755" t="s">
        <v>231</v>
      </c>
      <c r="Q755" t="s">
        <v>231</v>
      </c>
      <c r="R755" t="s">
        <v>5517</v>
      </c>
      <c r="S755" t="s">
        <v>231</v>
      </c>
      <c r="T755" t="s">
        <v>231</v>
      </c>
      <c r="U755" t="s">
        <v>101</v>
      </c>
      <c r="V755" t="s">
        <v>231</v>
      </c>
      <c r="W755" t="s">
        <v>231</v>
      </c>
      <c r="X755" t="s">
        <v>5088</v>
      </c>
      <c r="Y755" t="s">
        <v>231</v>
      </c>
      <c r="Z755" t="s">
        <v>160</v>
      </c>
      <c r="AA755" t="s">
        <v>151</v>
      </c>
      <c r="AB755" t="s">
        <v>151</v>
      </c>
      <c r="AC755" t="s">
        <v>2262</v>
      </c>
      <c r="AD755" t="s">
        <v>2262</v>
      </c>
      <c r="AE755" t="s">
        <v>2264</v>
      </c>
      <c r="AF755" t="s">
        <v>4879</v>
      </c>
      <c r="AG755" t="s">
        <v>4880</v>
      </c>
      <c r="AH755" t="s">
        <v>5518</v>
      </c>
      <c r="AI755" t="s">
        <v>3575</v>
      </c>
      <c r="AJ755" t="s">
        <v>5519</v>
      </c>
      <c r="AK755" t="s">
        <v>5201</v>
      </c>
      <c r="AL755" t="s">
        <v>5092</v>
      </c>
      <c r="AN755" t="s">
        <v>3595</v>
      </c>
      <c r="AO755" t="s">
        <v>5260</v>
      </c>
      <c r="AP755" t="s">
        <v>231</v>
      </c>
      <c r="AQ755" t="s">
        <v>231</v>
      </c>
      <c r="AR755" t="s">
        <v>231</v>
      </c>
      <c r="AS755" t="s">
        <v>231</v>
      </c>
      <c r="AT755" t="s">
        <v>231</v>
      </c>
      <c r="AU755" t="s">
        <v>231</v>
      </c>
      <c r="AV755" t="s">
        <v>231</v>
      </c>
      <c r="AW755" t="s">
        <v>231</v>
      </c>
      <c r="AX755" t="s">
        <v>231</v>
      </c>
      <c r="AY755" t="s">
        <v>231</v>
      </c>
      <c r="AZ755" t="s">
        <v>231</v>
      </c>
      <c r="BA755" t="s">
        <v>231</v>
      </c>
      <c r="BB755" t="s">
        <v>231</v>
      </c>
      <c r="BC755" t="s">
        <v>231</v>
      </c>
      <c r="BD755" t="s">
        <v>231</v>
      </c>
      <c r="BE755" t="s">
        <v>231</v>
      </c>
      <c r="BF755" t="s">
        <v>231</v>
      </c>
      <c r="BG755" t="s">
        <v>231</v>
      </c>
      <c r="BH755" t="s">
        <v>231</v>
      </c>
      <c r="BI755" t="s">
        <v>231</v>
      </c>
      <c r="BJ755" t="s">
        <v>231</v>
      </c>
      <c r="BK755" t="s">
        <v>231</v>
      </c>
      <c r="BL755" t="s">
        <v>231</v>
      </c>
      <c r="BM755" t="s">
        <v>231</v>
      </c>
      <c r="BN755" t="s">
        <v>231</v>
      </c>
      <c r="BO755" t="s">
        <v>231</v>
      </c>
      <c r="BP755" t="s">
        <v>231</v>
      </c>
      <c r="BQ755" t="s">
        <v>231</v>
      </c>
      <c r="BR755" t="s">
        <v>231</v>
      </c>
      <c r="BS755" t="s">
        <v>231</v>
      </c>
      <c r="BT755" t="s">
        <v>231</v>
      </c>
      <c r="CS755" t="s">
        <v>231</v>
      </c>
      <c r="CT755" t="s">
        <v>3534</v>
      </c>
      <c r="CU755" t="s">
        <v>3535</v>
      </c>
      <c r="CV755" t="s">
        <v>3536</v>
      </c>
      <c r="CW755" t="s">
        <v>4891</v>
      </c>
      <c r="CX755" t="s">
        <v>223</v>
      </c>
      <c r="CY755" t="s">
        <v>3536</v>
      </c>
      <c r="CZ755" t="s">
        <v>321</v>
      </c>
      <c r="DA755" t="s">
        <v>3539</v>
      </c>
      <c r="DB755" t="s">
        <v>4891</v>
      </c>
      <c r="DC755" t="s">
        <v>363</v>
      </c>
      <c r="DD755" t="s">
        <v>5099</v>
      </c>
      <c r="DE755" t="s">
        <v>5520</v>
      </c>
    </row>
    <row r="756" spans="1:109" ht="11.25" customHeight="1">
      <c r="A756" s="1314" t="s">
        <v>231</v>
      </c>
      <c r="B756" t="s">
        <v>231</v>
      </c>
      <c r="C756" t="s">
        <v>231</v>
      </c>
      <c r="D756" t="s">
        <v>231</v>
      </c>
      <c r="E756" t="s">
        <v>231</v>
      </c>
      <c r="F756" t="s">
        <v>231</v>
      </c>
      <c r="G756" t="s">
        <v>231</v>
      </c>
      <c r="H756" t="s">
        <v>231</v>
      </c>
      <c r="I756" t="s">
        <v>5086</v>
      </c>
      <c r="J756" t="s">
        <v>231</v>
      </c>
      <c r="K756" t="s">
        <v>231</v>
      </c>
      <c r="L756" t="s">
        <v>231</v>
      </c>
      <c r="M756" t="s">
        <v>231</v>
      </c>
      <c r="N756" t="s">
        <v>231</v>
      </c>
      <c r="O756" t="s">
        <v>231</v>
      </c>
      <c r="P756" t="s">
        <v>231</v>
      </c>
      <c r="Q756" t="s">
        <v>231</v>
      </c>
      <c r="R756" t="s">
        <v>5521</v>
      </c>
      <c r="S756" t="s">
        <v>231</v>
      </c>
      <c r="T756" t="s">
        <v>231</v>
      </c>
      <c r="U756" t="s">
        <v>101</v>
      </c>
      <c r="V756" t="s">
        <v>231</v>
      </c>
      <c r="W756" t="s">
        <v>231</v>
      </c>
      <c r="X756" t="s">
        <v>5088</v>
      </c>
      <c r="Y756" t="s">
        <v>231</v>
      </c>
      <c r="Z756" t="s">
        <v>160</v>
      </c>
      <c r="AA756" t="s">
        <v>151</v>
      </c>
      <c r="AB756" t="s">
        <v>151</v>
      </c>
      <c r="AC756" t="s">
        <v>343</v>
      </c>
      <c r="AD756" t="s">
        <v>343</v>
      </c>
      <c r="AE756" t="s">
        <v>344</v>
      </c>
      <c r="AF756" t="s">
        <v>3561</v>
      </c>
      <c r="AG756" t="s">
        <v>3562</v>
      </c>
      <c r="AH756" t="s">
        <v>5286</v>
      </c>
      <c r="AI756" t="s">
        <v>5522</v>
      </c>
      <c r="AJ756" t="s">
        <v>4309</v>
      </c>
      <c r="AK756" t="s">
        <v>5523</v>
      </c>
      <c r="AL756" t="s">
        <v>5092</v>
      </c>
      <c r="AN756" t="s">
        <v>3532</v>
      </c>
      <c r="AO756" t="s">
        <v>5289</v>
      </c>
      <c r="AP756" t="s">
        <v>231</v>
      </c>
      <c r="AQ756" t="s">
        <v>231</v>
      </c>
      <c r="AR756" t="s">
        <v>231</v>
      </c>
      <c r="AS756" t="s">
        <v>231</v>
      </c>
      <c r="AT756" t="s">
        <v>231</v>
      </c>
      <c r="AU756" t="s">
        <v>231</v>
      </c>
      <c r="AV756" t="s">
        <v>231</v>
      </c>
      <c r="AW756" t="s">
        <v>231</v>
      </c>
      <c r="AX756" t="s">
        <v>231</v>
      </c>
      <c r="AY756" t="s">
        <v>231</v>
      </c>
      <c r="AZ756" t="s">
        <v>231</v>
      </c>
      <c r="BA756" t="s">
        <v>231</v>
      </c>
      <c r="BB756" t="s">
        <v>231</v>
      </c>
      <c r="BC756" t="s">
        <v>231</v>
      </c>
      <c r="BD756" t="s">
        <v>231</v>
      </c>
      <c r="BE756" t="s">
        <v>231</v>
      </c>
      <c r="BF756" t="s">
        <v>231</v>
      </c>
      <c r="BG756" t="s">
        <v>231</v>
      </c>
      <c r="BH756" t="s">
        <v>231</v>
      </c>
      <c r="BI756" t="s">
        <v>231</v>
      </c>
      <c r="BJ756" t="s">
        <v>231</v>
      </c>
      <c r="BK756" t="s">
        <v>231</v>
      </c>
      <c r="BL756" t="s">
        <v>231</v>
      </c>
      <c r="BM756" t="s">
        <v>231</v>
      </c>
      <c r="BN756" t="s">
        <v>231</v>
      </c>
      <c r="BO756" t="s">
        <v>231</v>
      </c>
      <c r="BP756" t="s">
        <v>231</v>
      </c>
      <c r="BQ756" t="s">
        <v>231</v>
      </c>
      <c r="BR756" t="s">
        <v>231</v>
      </c>
      <c r="BS756" t="s">
        <v>231</v>
      </c>
      <c r="BT756" t="s">
        <v>231</v>
      </c>
      <c r="CS756" t="s">
        <v>231</v>
      </c>
      <c r="CT756" t="s">
        <v>3534</v>
      </c>
      <c r="CU756" t="s">
        <v>5095</v>
      </c>
      <c r="CV756" t="s">
        <v>4616</v>
      </c>
      <c r="CW756" t="s">
        <v>5524</v>
      </c>
      <c r="CX756" t="s">
        <v>3570</v>
      </c>
      <c r="CY756" t="s">
        <v>5291</v>
      </c>
      <c r="CZ756" t="s">
        <v>5525</v>
      </c>
      <c r="DA756" t="s">
        <v>5289</v>
      </c>
      <c r="DB756" t="s">
        <v>5524</v>
      </c>
      <c r="DC756" t="s">
        <v>363</v>
      </c>
      <c r="DD756" t="s">
        <v>5099</v>
      </c>
      <c r="DE756" t="s">
        <v>5526</v>
      </c>
    </row>
    <row r="757" spans="1:109" ht="11.25" customHeight="1">
      <c r="A757" s="1314" t="s">
        <v>231</v>
      </c>
      <c r="B757" t="s">
        <v>231</v>
      </c>
      <c r="C757" t="s">
        <v>231</v>
      </c>
      <c r="D757" t="s">
        <v>231</v>
      </c>
      <c r="E757" t="s">
        <v>231</v>
      </c>
      <c r="F757" t="s">
        <v>231</v>
      </c>
      <c r="G757" t="s">
        <v>231</v>
      </c>
      <c r="H757" t="s">
        <v>231</v>
      </c>
      <c r="I757" t="s">
        <v>5086</v>
      </c>
      <c r="J757" t="s">
        <v>231</v>
      </c>
      <c r="K757" t="s">
        <v>231</v>
      </c>
      <c r="L757" t="s">
        <v>231</v>
      </c>
      <c r="M757" t="s">
        <v>231</v>
      </c>
      <c r="N757" t="s">
        <v>231</v>
      </c>
      <c r="O757" t="s">
        <v>231</v>
      </c>
      <c r="P757" t="s">
        <v>231</v>
      </c>
      <c r="Q757" t="s">
        <v>231</v>
      </c>
      <c r="R757" t="s">
        <v>5527</v>
      </c>
      <c r="S757" t="s">
        <v>231</v>
      </c>
      <c r="T757" t="s">
        <v>231</v>
      </c>
      <c r="U757" t="s">
        <v>101</v>
      </c>
      <c r="V757" t="s">
        <v>231</v>
      </c>
      <c r="W757" t="s">
        <v>231</v>
      </c>
      <c r="X757" t="s">
        <v>5088</v>
      </c>
      <c r="Y757" t="s">
        <v>231</v>
      </c>
      <c r="Z757" t="s">
        <v>160</v>
      </c>
      <c r="AA757" t="s">
        <v>151</v>
      </c>
      <c r="AB757" t="s">
        <v>151</v>
      </c>
      <c r="AC757" t="s">
        <v>2262</v>
      </c>
      <c r="AD757" t="s">
        <v>2262</v>
      </c>
      <c r="AE757" t="s">
        <v>2264</v>
      </c>
      <c r="AF757" t="s">
        <v>3524</v>
      </c>
      <c r="AG757" t="s">
        <v>3525</v>
      </c>
      <c r="AH757" t="s">
        <v>5528</v>
      </c>
      <c r="AI757" t="s">
        <v>1666</v>
      </c>
      <c r="AJ757" t="s">
        <v>3866</v>
      </c>
      <c r="AK757" t="s">
        <v>3586</v>
      </c>
      <c r="AL757" t="s">
        <v>5092</v>
      </c>
      <c r="AN757" t="s">
        <v>3800</v>
      </c>
      <c r="AO757" t="s">
        <v>4541</v>
      </c>
      <c r="AP757" t="s">
        <v>231</v>
      </c>
      <c r="AQ757" t="s">
        <v>231</v>
      </c>
      <c r="AR757" t="s">
        <v>231</v>
      </c>
      <c r="AS757" t="s">
        <v>231</v>
      </c>
      <c r="AT757" t="s">
        <v>231</v>
      </c>
      <c r="AU757" t="s">
        <v>231</v>
      </c>
      <c r="AV757" t="s">
        <v>231</v>
      </c>
      <c r="AW757" t="s">
        <v>231</v>
      </c>
      <c r="AX757" t="s">
        <v>231</v>
      </c>
      <c r="AY757" t="s">
        <v>231</v>
      </c>
      <c r="AZ757" t="s">
        <v>231</v>
      </c>
      <c r="BA757" t="s">
        <v>231</v>
      </c>
      <c r="BB757" t="s">
        <v>231</v>
      </c>
      <c r="BC757" t="s">
        <v>231</v>
      </c>
      <c r="BD757" t="s">
        <v>231</v>
      </c>
      <c r="BE757" t="s">
        <v>231</v>
      </c>
      <c r="BF757" t="s">
        <v>231</v>
      </c>
      <c r="BG757" t="s">
        <v>231</v>
      </c>
      <c r="BH757" t="s">
        <v>231</v>
      </c>
      <c r="BI757" t="s">
        <v>231</v>
      </c>
      <c r="BJ757" t="s">
        <v>231</v>
      </c>
      <c r="BK757" t="s">
        <v>231</v>
      </c>
      <c r="BL757" t="s">
        <v>231</v>
      </c>
      <c r="BM757" t="s">
        <v>231</v>
      </c>
      <c r="BN757" t="s">
        <v>231</v>
      </c>
      <c r="BO757" t="s">
        <v>231</v>
      </c>
      <c r="BP757" t="s">
        <v>231</v>
      </c>
      <c r="BQ757" t="s">
        <v>231</v>
      </c>
      <c r="BR757" t="s">
        <v>231</v>
      </c>
      <c r="BS757" t="s">
        <v>231</v>
      </c>
      <c r="BT757" t="s">
        <v>231</v>
      </c>
      <c r="CS757" t="s">
        <v>231</v>
      </c>
      <c r="CT757" t="s">
        <v>3534</v>
      </c>
      <c r="CU757" t="s">
        <v>3535</v>
      </c>
      <c r="CV757" t="s">
        <v>3536</v>
      </c>
      <c r="CW757" t="s">
        <v>3537</v>
      </c>
      <c r="CX757" t="s">
        <v>223</v>
      </c>
      <c r="CY757" t="s">
        <v>3536</v>
      </c>
      <c r="CZ757" t="s">
        <v>3538</v>
      </c>
      <c r="DA757" t="s">
        <v>3539</v>
      </c>
      <c r="DB757" t="s">
        <v>3537</v>
      </c>
      <c r="DC757" t="s">
        <v>363</v>
      </c>
      <c r="DD757" t="s">
        <v>5099</v>
      </c>
      <c r="DE757" t="s">
        <v>5529</v>
      </c>
    </row>
    <row r="758" spans="1:109" ht="11.25" customHeight="1">
      <c r="A758" s="1314" t="s">
        <v>231</v>
      </c>
      <c r="B758" t="s">
        <v>231</v>
      </c>
      <c r="C758" t="s">
        <v>231</v>
      </c>
      <c r="D758" t="s">
        <v>231</v>
      </c>
      <c r="E758" t="s">
        <v>231</v>
      </c>
      <c r="F758" t="s">
        <v>231</v>
      </c>
      <c r="G758" t="s">
        <v>231</v>
      </c>
      <c r="H758" t="s">
        <v>231</v>
      </c>
      <c r="I758" t="s">
        <v>5086</v>
      </c>
      <c r="J758" t="s">
        <v>231</v>
      </c>
      <c r="K758" t="s">
        <v>231</v>
      </c>
      <c r="L758" t="s">
        <v>231</v>
      </c>
      <c r="M758" t="s">
        <v>231</v>
      </c>
      <c r="N758" t="s">
        <v>231</v>
      </c>
      <c r="O758" t="s">
        <v>231</v>
      </c>
      <c r="P758" t="s">
        <v>231</v>
      </c>
      <c r="Q758" t="s">
        <v>231</v>
      </c>
      <c r="R758" t="s">
        <v>5530</v>
      </c>
      <c r="S758" t="s">
        <v>231</v>
      </c>
      <c r="T758" t="s">
        <v>231</v>
      </c>
      <c r="U758" t="s">
        <v>101</v>
      </c>
      <c r="V758" t="s">
        <v>231</v>
      </c>
      <c r="W758" t="s">
        <v>231</v>
      </c>
      <c r="X758" t="s">
        <v>5088</v>
      </c>
      <c r="Y758" t="s">
        <v>231</v>
      </c>
      <c r="Z758" t="s">
        <v>160</v>
      </c>
      <c r="AA758" t="s">
        <v>151</v>
      </c>
      <c r="AB758" t="s">
        <v>151</v>
      </c>
      <c r="AC758" t="s">
        <v>2262</v>
      </c>
      <c r="AD758" t="s">
        <v>2262</v>
      </c>
      <c r="AE758" t="s">
        <v>2264</v>
      </c>
      <c r="AF758" t="s">
        <v>3524</v>
      </c>
      <c r="AG758" t="s">
        <v>3525</v>
      </c>
      <c r="AH758" t="s">
        <v>5531</v>
      </c>
      <c r="AI758" t="s">
        <v>5532</v>
      </c>
      <c r="AJ758" t="s">
        <v>5205</v>
      </c>
      <c r="AK758" t="s">
        <v>4042</v>
      </c>
      <c r="AL758" t="s">
        <v>5092</v>
      </c>
      <c r="AN758" t="s">
        <v>3701</v>
      </c>
      <c r="AO758" t="s">
        <v>3622</v>
      </c>
      <c r="AP758" t="s">
        <v>231</v>
      </c>
      <c r="AQ758" t="s">
        <v>231</v>
      </c>
      <c r="AR758" t="s">
        <v>231</v>
      </c>
      <c r="AS758" t="s">
        <v>231</v>
      </c>
      <c r="AT758" t="s">
        <v>231</v>
      </c>
      <c r="AU758" t="s">
        <v>231</v>
      </c>
      <c r="AV758" t="s">
        <v>231</v>
      </c>
      <c r="AW758" t="s">
        <v>231</v>
      </c>
      <c r="AX758" t="s">
        <v>231</v>
      </c>
      <c r="AY758" t="s">
        <v>231</v>
      </c>
      <c r="AZ758" t="s">
        <v>231</v>
      </c>
      <c r="BA758" t="s">
        <v>231</v>
      </c>
      <c r="BB758" t="s">
        <v>231</v>
      </c>
      <c r="BC758" t="s">
        <v>231</v>
      </c>
      <c r="BD758" t="s">
        <v>231</v>
      </c>
      <c r="BE758" t="s">
        <v>231</v>
      </c>
      <c r="BF758" t="s">
        <v>231</v>
      </c>
      <c r="BG758" t="s">
        <v>231</v>
      </c>
      <c r="BH758" t="s">
        <v>231</v>
      </c>
      <c r="BI758" t="s">
        <v>231</v>
      </c>
      <c r="BJ758" t="s">
        <v>231</v>
      </c>
      <c r="BK758" t="s">
        <v>231</v>
      </c>
      <c r="BL758" t="s">
        <v>231</v>
      </c>
      <c r="BM758" t="s">
        <v>231</v>
      </c>
      <c r="BN758" t="s">
        <v>231</v>
      </c>
      <c r="BO758" t="s">
        <v>231</v>
      </c>
      <c r="BP758" t="s">
        <v>231</v>
      </c>
      <c r="BQ758" t="s">
        <v>231</v>
      </c>
      <c r="BR758" t="s">
        <v>231</v>
      </c>
      <c r="BS758" t="s">
        <v>231</v>
      </c>
      <c r="BT758" t="s">
        <v>231</v>
      </c>
      <c r="CS758" t="s">
        <v>231</v>
      </c>
      <c r="CT758" t="s">
        <v>3534</v>
      </c>
      <c r="CU758" t="s">
        <v>3535</v>
      </c>
      <c r="CV758" t="s">
        <v>3536</v>
      </c>
      <c r="CW758" t="s">
        <v>3537</v>
      </c>
      <c r="CX758" t="s">
        <v>223</v>
      </c>
      <c r="CY758" t="s">
        <v>3536</v>
      </c>
      <c r="CZ758" t="s">
        <v>3538</v>
      </c>
      <c r="DA758" t="s">
        <v>3539</v>
      </c>
      <c r="DB758" t="s">
        <v>3537</v>
      </c>
      <c r="DC758" t="s">
        <v>363</v>
      </c>
      <c r="DD758" t="s">
        <v>5099</v>
      </c>
      <c r="DE758" t="s">
        <v>5533</v>
      </c>
    </row>
    <row r="759" spans="1:109" ht="11.25" customHeight="1">
      <c r="A759" s="1314" t="s">
        <v>231</v>
      </c>
      <c r="B759" t="s">
        <v>231</v>
      </c>
      <c r="C759" t="s">
        <v>231</v>
      </c>
      <c r="D759" t="s">
        <v>231</v>
      </c>
      <c r="E759" t="s">
        <v>231</v>
      </c>
      <c r="F759" t="s">
        <v>231</v>
      </c>
      <c r="G759" t="s">
        <v>231</v>
      </c>
      <c r="H759" t="s">
        <v>231</v>
      </c>
      <c r="I759" t="s">
        <v>5086</v>
      </c>
      <c r="J759" t="s">
        <v>231</v>
      </c>
      <c r="K759" t="s">
        <v>231</v>
      </c>
      <c r="L759" t="s">
        <v>231</v>
      </c>
      <c r="M759" t="s">
        <v>231</v>
      </c>
      <c r="N759" t="s">
        <v>231</v>
      </c>
      <c r="O759" t="s">
        <v>231</v>
      </c>
      <c r="P759" t="s">
        <v>231</v>
      </c>
      <c r="Q759" t="s">
        <v>231</v>
      </c>
      <c r="R759" t="s">
        <v>5534</v>
      </c>
      <c r="S759" t="s">
        <v>231</v>
      </c>
      <c r="T759" t="s">
        <v>231</v>
      </c>
      <c r="U759" t="s">
        <v>101</v>
      </c>
      <c r="V759" t="s">
        <v>231</v>
      </c>
      <c r="W759" t="s">
        <v>231</v>
      </c>
      <c r="X759" t="s">
        <v>5088</v>
      </c>
      <c r="Y759" t="s">
        <v>231</v>
      </c>
      <c r="Z759" t="s">
        <v>160</v>
      </c>
      <c r="AA759" t="s">
        <v>151</v>
      </c>
      <c r="AB759" t="s">
        <v>151</v>
      </c>
      <c r="AC759" t="s">
        <v>2262</v>
      </c>
      <c r="AD759" t="s">
        <v>2262</v>
      </c>
      <c r="AE759" t="s">
        <v>2264</v>
      </c>
      <c r="AF759" t="s">
        <v>3524</v>
      </c>
      <c r="AG759" t="s">
        <v>3525</v>
      </c>
      <c r="AH759" t="s">
        <v>5535</v>
      </c>
      <c r="AI759" t="s">
        <v>3545</v>
      </c>
      <c r="AJ759" t="s">
        <v>5248</v>
      </c>
      <c r="AK759" t="s">
        <v>5536</v>
      </c>
      <c r="AL759" t="s">
        <v>5092</v>
      </c>
      <c r="AN759" t="s">
        <v>4260</v>
      </c>
      <c r="AO759" t="s">
        <v>5235</v>
      </c>
      <c r="AP759" t="s">
        <v>231</v>
      </c>
      <c r="AQ759" t="s">
        <v>231</v>
      </c>
      <c r="AR759" t="s">
        <v>231</v>
      </c>
      <c r="AS759" t="s">
        <v>231</v>
      </c>
      <c r="AT759" t="s">
        <v>231</v>
      </c>
      <c r="AU759" t="s">
        <v>231</v>
      </c>
      <c r="AV759" t="s">
        <v>231</v>
      </c>
      <c r="AW759" t="s">
        <v>231</v>
      </c>
      <c r="AX759" t="s">
        <v>231</v>
      </c>
      <c r="AY759" t="s">
        <v>231</v>
      </c>
      <c r="AZ759" t="s">
        <v>231</v>
      </c>
      <c r="BA759" t="s">
        <v>231</v>
      </c>
      <c r="BB759" t="s">
        <v>231</v>
      </c>
      <c r="BC759" t="s">
        <v>231</v>
      </c>
      <c r="BD759" t="s">
        <v>231</v>
      </c>
      <c r="BE759" t="s">
        <v>231</v>
      </c>
      <c r="BF759" t="s">
        <v>231</v>
      </c>
      <c r="BG759" t="s">
        <v>231</v>
      </c>
      <c r="BH759" t="s">
        <v>231</v>
      </c>
      <c r="BI759" t="s">
        <v>231</v>
      </c>
      <c r="BJ759" t="s">
        <v>231</v>
      </c>
      <c r="BK759" t="s">
        <v>231</v>
      </c>
      <c r="BL759" t="s">
        <v>231</v>
      </c>
      <c r="BM759" t="s">
        <v>231</v>
      </c>
      <c r="BN759" t="s">
        <v>231</v>
      </c>
      <c r="BO759" t="s">
        <v>231</v>
      </c>
      <c r="BP759" t="s">
        <v>231</v>
      </c>
      <c r="BQ759" t="s">
        <v>231</v>
      </c>
      <c r="BR759" t="s">
        <v>231</v>
      </c>
      <c r="BS759" t="s">
        <v>231</v>
      </c>
      <c r="BT759" t="s">
        <v>231</v>
      </c>
      <c r="CS759" t="s">
        <v>231</v>
      </c>
      <c r="CT759" t="s">
        <v>3534</v>
      </c>
      <c r="CU759" t="s">
        <v>3535</v>
      </c>
      <c r="CV759" t="s">
        <v>3536</v>
      </c>
      <c r="CW759" t="s">
        <v>3537</v>
      </c>
      <c r="CX759" t="s">
        <v>223</v>
      </c>
      <c r="CY759" t="s">
        <v>3536</v>
      </c>
      <c r="CZ759" t="s">
        <v>3538</v>
      </c>
      <c r="DA759" t="s">
        <v>3539</v>
      </c>
      <c r="DB759" t="s">
        <v>3537</v>
      </c>
      <c r="DC759" t="s">
        <v>363</v>
      </c>
      <c r="DD759" t="s">
        <v>5099</v>
      </c>
      <c r="DE759" t="s">
        <v>5537</v>
      </c>
    </row>
    <row r="760" spans="1:109" ht="11.25" customHeight="1">
      <c r="A760" s="1314" t="s">
        <v>231</v>
      </c>
      <c r="B760" t="s">
        <v>231</v>
      </c>
      <c r="C760" t="s">
        <v>231</v>
      </c>
      <c r="D760" t="s">
        <v>231</v>
      </c>
      <c r="E760" t="s">
        <v>231</v>
      </c>
      <c r="F760" t="s">
        <v>231</v>
      </c>
      <c r="G760" t="s">
        <v>231</v>
      </c>
      <c r="H760" t="s">
        <v>231</v>
      </c>
      <c r="I760" t="s">
        <v>5086</v>
      </c>
      <c r="J760" t="s">
        <v>231</v>
      </c>
      <c r="K760" t="s">
        <v>231</v>
      </c>
      <c r="L760" t="s">
        <v>231</v>
      </c>
      <c r="M760" t="s">
        <v>231</v>
      </c>
      <c r="N760" t="s">
        <v>231</v>
      </c>
      <c r="O760" t="s">
        <v>231</v>
      </c>
      <c r="P760" t="s">
        <v>231</v>
      </c>
      <c r="Q760" t="s">
        <v>231</v>
      </c>
      <c r="R760" t="s">
        <v>5492</v>
      </c>
      <c r="S760" t="s">
        <v>231</v>
      </c>
      <c r="T760" t="s">
        <v>231</v>
      </c>
      <c r="U760" t="s">
        <v>101</v>
      </c>
      <c r="V760" t="s">
        <v>231</v>
      </c>
      <c r="W760" t="s">
        <v>231</v>
      </c>
      <c r="X760" t="s">
        <v>5088</v>
      </c>
      <c r="Y760" t="s">
        <v>231</v>
      </c>
      <c r="Z760" t="s">
        <v>160</v>
      </c>
      <c r="AA760" t="s">
        <v>151</v>
      </c>
      <c r="AB760" t="s">
        <v>151</v>
      </c>
      <c r="AC760" t="s">
        <v>343</v>
      </c>
      <c r="AD760" t="s">
        <v>343</v>
      </c>
      <c r="AE760" t="s">
        <v>344</v>
      </c>
      <c r="AF760" t="s">
        <v>3561</v>
      </c>
      <c r="AG760" t="s">
        <v>3562</v>
      </c>
      <c r="AH760" t="s">
        <v>3804</v>
      </c>
      <c r="AI760" t="s">
        <v>3575</v>
      </c>
      <c r="AJ760" t="s">
        <v>3952</v>
      </c>
      <c r="AK760" t="s">
        <v>5493</v>
      </c>
      <c r="AL760" t="s">
        <v>5092</v>
      </c>
      <c r="AN760" t="s">
        <v>5494</v>
      </c>
      <c r="AO760" t="s">
        <v>5495</v>
      </c>
      <c r="AP760" t="s">
        <v>231</v>
      </c>
      <c r="AQ760" t="s">
        <v>231</v>
      </c>
      <c r="AR760" t="s">
        <v>231</v>
      </c>
      <c r="AS760" t="s">
        <v>231</v>
      </c>
      <c r="AT760" t="s">
        <v>231</v>
      </c>
      <c r="AU760" t="s">
        <v>231</v>
      </c>
      <c r="AV760" t="s">
        <v>231</v>
      </c>
      <c r="AW760" t="s">
        <v>231</v>
      </c>
      <c r="AX760" t="s">
        <v>231</v>
      </c>
      <c r="AY760" t="s">
        <v>231</v>
      </c>
      <c r="AZ760" t="s">
        <v>231</v>
      </c>
      <c r="BA760" t="s">
        <v>231</v>
      </c>
      <c r="BB760" t="s">
        <v>231</v>
      </c>
      <c r="BC760" t="s">
        <v>231</v>
      </c>
      <c r="BD760" t="s">
        <v>231</v>
      </c>
      <c r="BE760" t="s">
        <v>231</v>
      </c>
      <c r="BF760" t="s">
        <v>231</v>
      </c>
      <c r="BG760" t="s">
        <v>231</v>
      </c>
      <c r="BH760" t="s">
        <v>231</v>
      </c>
      <c r="BI760" t="s">
        <v>231</v>
      </c>
      <c r="BJ760" t="s">
        <v>231</v>
      </c>
      <c r="BK760" t="s">
        <v>231</v>
      </c>
      <c r="BL760" t="s">
        <v>231</v>
      </c>
      <c r="BM760" t="s">
        <v>231</v>
      </c>
      <c r="BN760" t="s">
        <v>231</v>
      </c>
      <c r="BO760" t="s">
        <v>231</v>
      </c>
      <c r="BP760" t="s">
        <v>231</v>
      </c>
      <c r="BQ760" t="s">
        <v>231</v>
      </c>
      <c r="BR760" t="s">
        <v>231</v>
      </c>
      <c r="BS760" t="s">
        <v>231</v>
      </c>
      <c r="BT760" t="s">
        <v>231</v>
      </c>
      <c r="CS760" t="s">
        <v>231</v>
      </c>
      <c r="CT760" t="s">
        <v>3534</v>
      </c>
      <c r="CU760" t="s">
        <v>3535</v>
      </c>
      <c r="CV760" t="s">
        <v>3536</v>
      </c>
      <c r="CW760" t="s">
        <v>3569</v>
      </c>
      <c r="CX760" t="s">
        <v>3570</v>
      </c>
      <c r="CY760" t="s">
        <v>3536</v>
      </c>
      <c r="CZ760" t="s">
        <v>224</v>
      </c>
      <c r="DA760" t="s">
        <v>3571</v>
      </c>
      <c r="DB760" t="s">
        <v>3569</v>
      </c>
      <c r="DC760" t="s">
        <v>363</v>
      </c>
      <c r="DD760" t="s">
        <v>5099</v>
      </c>
      <c r="DE760" t="s">
        <v>3809</v>
      </c>
    </row>
    <row r="761" spans="1:109" ht="11.25" customHeight="1">
      <c r="A761" s="1314" t="s">
        <v>231</v>
      </c>
      <c r="B761" t="s">
        <v>231</v>
      </c>
      <c r="C761" t="s">
        <v>231</v>
      </c>
      <c r="D761" t="s">
        <v>231</v>
      </c>
      <c r="E761" t="s">
        <v>231</v>
      </c>
      <c r="F761" t="s">
        <v>231</v>
      </c>
      <c r="G761" t="s">
        <v>231</v>
      </c>
      <c r="H761" t="s">
        <v>231</v>
      </c>
      <c r="I761" t="s">
        <v>5086</v>
      </c>
      <c r="J761" t="s">
        <v>231</v>
      </c>
      <c r="K761" t="s">
        <v>231</v>
      </c>
      <c r="L761" t="s">
        <v>231</v>
      </c>
      <c r="M761" t="s">
        <v>231</v>
      </c>
      <c r="N761" t="s">
        <v>231</v>
      </c>
      <c r="O761" t="s">
        <v>231</v>
      </c>
      <c r="P761" t="s">
        <v>231</v>
      </c>
      <c r="Q761" t="s">
        <v>231</v>
      </c>
      <c r="R761" t="s">
        <v>5087</v>
      </c>
      <c r="S761" t="s">
        <v>231</v>
      </c>
      <c r="T761" t="s">
        <v>231</v>
      </c>
      <c r="U761" t="s">
        <v>101</v>
      </c>
      <c r="V761" t="s">
        <v>231</v>
      </c>
      <c r="W761" t="s">
        <v>231</v>
      </c>
      <c r="X761" t="s">
        <v>5088</v>
      </c>
      <c r="Y761" t="s">
        <v>231</v>
      </c>
      <c r="Z761" t="s">
        <v>160</v>
      </c>
      <c r="AA761" t="s">
        <v>151</v>
      </c>
      <c r="AB761" t="s">
        <v>151</v>
      </c>
      <c r="AC761" t="s">
        <v>343</v>
      </c>
      <c r="AD761" t="s">
        <v>343</v>
      </c>
      <c r="AE761" t="s">
        <v>344</v>
      </c>
      <c r="AF761" t="s">
        <v>3561</v>
      </c>
      <c r="AG761" t="s">
        <v>3562</v>
      </c>
      <c r="AH761" t="s">
        <v>5089</v>
      </c>
      <c r="AI761" t="s">
        <v>3575</v>
      </c>
      <c r="AJ761" t="s">
        <v>5090</v>
      </c>
      <c r="AK761" t="s">
        <v>5091</v>
      </c>
      <c r="AL761" t="s">
        <v>5092</v>
      </c>
      <c r="AN761" t="s">
        <v>5093</v>
      </c>
      <c r="AO761" t="s">
        <v>5094</v>
      </c>
      <c r="AP761" t="s">
        <v>231</v>
      </c>
      <c r="AQ761" t="s">
        <v>231</v>
      </c>
      <c r="AR761" t="s">
        <v>231</v>
      </c>
      <c r="AS761" t="s">
        <v>231</v>
      </c>
      <c r="AT761" t="s">
        <v>231</v>
      </c>
      <c r="AU761" t="s">
        <v>231</v>
      </c>
      <c r="AV761" t="s">
        <v>231</v>
      </c>
      <c r="AW761" t="s">
        <v>231</v>
      </c>
      <c r="AX761" t="s">
        <v>231</v>
      </c>
      <c r="AY761" t="s">
        <v>231</v>
      </c>
      <c r="AZ761" t="s">
        <v>231</v>
      </c>
      <c r="BA761" t="s">
        <v>231</v>
      </c>
      <c r="BB761" t="s">
        <v>231</v>
      </c>
      <c r="BC761" t="s">
        <v>231</v>
      </c>
      <c r="BD761" t="s">
        <v>231</v>
      </c>
      <c r="BE761" t="s">
        <v>231</v>
      </c>
      <c r="BF761" t="s">
        <v>231</v>
      </c>
      <c r="BG761" t="s">
        <v>231</v>
      </c>
      <c r="BH761" t="s">
        <v>231</v>
      </c>
      <c r="BI761" t="s">
        <v>231</v>
      </c>
      <c r="BJ761" t="s">
        <v>231</v>
      </c>
      <c r="BK761" t="s">
        <v>231</v>
      </c>
      <c r="BL761" t="s">
        <v>231</v>
      </c>
      <c r="BM761" t="s">
        <v>231</v>
      </c>
      <c r="BN761" t="s">
        <v>231</v>
      </c>
      <c r="BO761" t="s">
        <v>231</v>
      </c>
      <c r="BP761" t="s">
        <v>231</v>
      </c>
      <c r="BQ761" t="s">
        <v>231</v>
      </c>
      <c r="BR761" t="s">
        <v>231</v>
      </c>
      <c r="BS761" t="s">
        <v>231</v>
      </c>
      <c r="BT761" t="s">
        <v>231</v>
      </c>
      <c r="CS761" t="s">
        <v>231</v>
      </c>
      <c r="CT761" t="s">
        <v>3534</v>
      </c>
      <c r="CU761" t="s">
        <v>5095</v>
      </c>
      <c r="CV761" t="s">
        <v>3997</v>
      </c>
      <c r="CW761" t="s">
        <v>5096</v>
      </c>
      <c r="CX761" t="s">
        <v>3570</v>
      </c>
      <c r="CY761" t="s">
        <v>3997</v>
      </c>
      <c r="CZ761" t="s">
        <v>5097</v>
      </c>
      <c r="DA761" t="s">
        <v>5098</v>
      </c>
      <c r="DB761" t="s">
        <v>5096</v>
      </c>
      <c r="DC761" t="s">
        <v>363</v>
      </c>
      <c r="DD761" t="s">
        <v>5099</v>
      </c>
      <c r="DE761" t="s">
        <v>5100</v>
      </c>
    </row>
    <row r="762" spans="1:109" ht="11.25" customHeight="1">
      <c r="A762" s="1314" t="s">
        <v>231</v>
      </c>
      <c r="B762" t="s">
        <v>231</v>
      </c>
      <c r="C762" t="s">
        <v>231</v>
      </c>
      <c r="D762" t="s">
        <v>231</v>
      </c>
      <c r="E762" t="s">
        <v>231</v>
      </c>
      <c r="F762" t="s">
        <v>231</v>
      </c>
      <c r="G762" t="s">
        <v>231</v>
      </c>
      <c r="H762" t="s">
        <v>231</v>
      </c>
      <c r="I762" t="s">
        <v>5086</v>
      </c>
      <c r="J762" t="s">
        <v>231</v>
      </c>
      <c r="K762" t="s">
        <v>231</v>
      </c>
      <c r="L762" t="s">
        <v>231</v>
      </c>
      <c r="M762" t="s">
        <v>231</v>
      </c>
      <c r="N762" t="s">
        <v>231</v>
      </c>
      <c r="O762" t="s">
        <v>231</v>
      </c>
      <c r="P762" t="s">
        <v>231</v>
      </c>
      <c r="Q762" t="s">
        <v>231</v>
      </c>
      <c r="R762" t="s">
        <v>5206</v>
      </c>
      <c r="S762" t="s">
        <v>231</v>
      </c>
      <c r="T762" t="s">
        <v>231</v>
      </c>
      <c r="U762" t="s">
        <v>101</v>
      </c>
      <c r="V762" t="s">
        <v>231</v>
      </c>
      <c r="W762" t="s">
        <v>231</v>
      </c>
      <c r="X762" t="s">
        <v>5088</v>
      </c>
      <c r="Y762" t="s">
        <v>231</v>
      </c>
      <c r="Z762" t="s">
        <v>160</v>
      </c>
      <c r="AA762" t="s">
        <v>151</v>
      </c>
      <c r="AB762" t="s">
        <v>151</v>
      </c>
      <c r="AC762" t="s">
        <v>2283</v>
      </c>
      <c r="AD762" t="s">
        <v>2283</v>
      </c>
      <c r="AE762" t="s">
        <v>2284</v>
      </c>
      <c r="AF762" t="s">
        <v>4001</v>
      </c>
      <c r="AG762" t="s">
        <v>4002</v>
      </c>
      <c r="AH762" t="s">
        <v>5207</v>
      </c>
      <c r="AI762" t="s">
        <v>3575</v>
      </c>
      <c r="AJ762" t="s">
        <v>5234</v>
      </c>
      <c r="AK762" t="s">
        <v>3529</v>
      </c>
      <c r="AL762" t="s">
        <v>5092</v>
      </c>
      <c r="AN762" t="s">
        <v>3549</v>
      </c>
      <c r="AO762" t="s">
        <v>5235</v>
      </c>
      <c r="AP762" t="s">
        <v>231</v>
      </c>
      <c r="AQ762" t="s">
        <v>231</v>
      </c>
      <c r="AR762" t="s">
        <v>231</v>
      </c>
      <c r="AS762" t="s">
        <v>231</v>
      </c>
      <c r="AT762" t="s">
        <v>231</v>
      </c>
      <c r="AU762" t="s">
        <v>231</v>
      </c>
      <c r="AV762" t="s">
        <v>231</v>
      </c>
      <c r="AW762" t="s">
        <v>231</v>
      </c>
      <c r="AX762" t="s">
        <v>231</v>
      </c>
      <c r="AY762" t="s">
        <v>231</v>
      </c>
      <c r="AZ762" t="s">
        <v>231</v>
      </c>
      <c r="BA762" t="s">
        <v>231</v>
      </c>
      <c r="BB762" t="s">
        <v>231</v>
      </c>
      <c r="BC762" t="s">
        <v>231</v>
      </c>
      <c r="BD762" t="s">
        <v>231</v>
      </c>
      <c r="BE762" t="s">
        <v>231</v>
      </c>
      <c r="BF762" t="s">
        <v>231</v>
      </c>
      <c r="BG762" t="s">
        <v>231</v>
      </c>
      <c r="BH762" t="s">
        <v>231</v>
      </c>
      <c r="BI762" t="s">
        <v>231</v>
      </c>
      <c r="BJ762" t="s">
        <v>231</v>
      </c>
      <c r="BK762" t="s">
        <v>231</v>
      </c>
      <c r="BL762" t="s">
        <v>231</v>
      </c>
      <c r="BM762" t="s">
        <v>231</v>
      </c>
      <c r="BN762" t="s">
        <v>231</v>
      </c>
      <c r="BO762" t="s">
        <v>231</v>
      </c>
      <c r="BP762" t="s">
        <v>231</v>
      </c>
      <c r="BQ762" t="s">
        <v>231</v>
      </c>
      <c r="BR762" t="s">
        <v>231</v>
      </c>
      <c r="BS762" t="s">
        <v>231</v>
      </c>
      <c r="BT762" t="s">
        <v>231</v>
      </c>
      <c r="CS762" t="s">
        <v>231</v>
      </c>
      <c r="CT762" t="s">
        <v>3534</v>
      </c>
      <c r="CU762" t="s">
        <v>3535</v>
      </c>
      <c r="CV762" t="s">
        <v>3536</v>
      </c>
      <c r="CW762" t="s">
        <v>3551</v>
      </c>
      <c r="CX762" t="s">
        <v>223</v>
      </c>
      <c r="CY762" t="s">
        <v>3536</v>
      </c>
      <c r="CZ762" t="s">
        <v>3552</v>
      </c>
      <c r="DA762" t="s">
        <v>3553</v>
      </c>
      <c r="DB762" t="s">
        <v>3551</v>
      </c>
      <c r="DC762" t="s">
        <v>363</v>
      </c>
      <c r="DD762" t="s">
        <v>5099</v>
      </c>
      <c r="DE762" t="s">
        <v>5236</v>
      </c>
    </row>
    <row r="763" spans="1:109" ht="11.25" customHeight="1">
      <c r="A763" s="1314" t="s">
        <v>231</v>
      </c>
      <c r="B763" t="s">
        <v>231</v>
      </c>
      <c r="C763" t="s">
        <v>231</v>
      </c>
      <c r="D763" t="s">
        <v>231</v>
      </c>
      <c r="E763" t="s">
        <v>231</v>
      </c>
      <c r="F763" t="s">
        <v>231</v>
      </c>
      <c r="G763" t="s">
        <v>231</v>
      </c>
      <c r="H763" t="s">
        <v>231</v>
      </c>
      <c r="I763" t="s">
        <v>5086</v>
      </c>
      <c r="J763" t="s">
        <v>231</v>
      </c>
      <c r="K763" t="s">
        <v>231</v>
      </c>
      <c r="L763" t="s">
        <v>231</v>
      </c>
      <c r="M763" t="s">
        <v>231</v>
      </c>
      <c r="N763" t="s">
        <v>231</v>
      </c>
      <c r="O763" t="s">
        <v>231</v>
      </c>
      <c r="P763" t="s">
        <v>231</v>
      </c>
      <c r="Q763" t="s">
        <v>231</v>
      </c>
      <c r="R763" t="s">
        <v>5376</v>
      </c>
      <c r="S763" t="s">
        <v>231</v>
      </c>
      <c r="T763" t="s">
        <v>231</v>
      </c>
      <c r="U763" t="s">
        <v>101</v>
      </c>
      <c r="V763" t="s">
        <v>231</v>
      </c>
      <c r="W763" t="s">
        <v>231</v>
      </c>
      <c r="X763" t="s">
        <v>5377</v>
      </c>
      <c r="Y763" t="s">
        <v>231</v>
      </c>
      <c r="Z763" t="s">
        <v>160</v>
      </c>
      <c r="AA763" t="s">
        <v>151</v>
      </c>
      <c r="AB763" t="s">
        <v>160</v>
      </c>
      <c r="AC763" t="s">
        <v>343</v>
      </c>
      <c r="AD763" t="s">
        <v>343</v>
      </c>
      <c r="AE763" t="s">
        <v>344</v>
      </c>
      <c r="AF763" t="s">
        <v>3561</v>
      </c>
      <c r="AG763" t="s">
        <v>3562</v>
      </c>
      <c r="AH763" t="s">
        <v>5378</v>
      </c>
      <c r="AI763" t="s">
        <v>4182</v>
      </c>
      <c r="AJ763" t="s">
        <v>5172</v>
      </c>
      <c r="AK763" t="s">
        <v>3528</v>
      </c>
      <c r="AL763" t="s">
        <v>5112</v>
      </c>
      <c r="AN763" t="s">
        <v>3549</v>
      </c>
      <c r="AO763" t="s">
        <v>5379</v>
      </c>
      <c r="AP763" t="s">
        <v>231</v>
      </c>
      <c r="AQ763" t="s">
        <v>231</v>
      </c>
      <c r="AR763" t="s">
        <v>231</v>
      </c>
      <c r="AS763" t="s">
        <v>231</v>
      </c>
      <c r="AT763" t="s">
        <v>231</v>
      </c>
      <c r="AU763" t="s">
        <v>231</v>
      </c>
      <c r="AV763" t="s">
        <v>231</v>
      </c>
      <c r="AW763" t="s">
        <v>231</v>
      </c>
      <c r="AX763" t="s">
        <v>231</v>
      </c>
      <c r="AY763" t="s">
        <v>231</v>
      </c>
      <c r="AZ763" t="s">
        <v>231</v>
      </c>
      <c r="BA763" t="s">
        <v>231</v>
      </c>
      <c r="BB763" t="s">
        <v>231</v>
      </c>
      <c r="BC763" t="s">
        <v>231</v>
      </c>
      <c r="BD763" t="s">
        <v>231</v>
      </c>
      <c r="BE763" t="s">
        <v>5172</v>
      </c>
      <c r="BF763" t="s">
        <v>3528</v>
      </c>
      <c r="BG763" t="s">
        <v>231</v>
      </c>
      <c r="BH763" t="s">
        <v>231</v>
      </c>
      <c r="BI763" t="s">
        <v>231</v>
      </c>
      <c r="BJ763" t="s">
        <v>231</v>
      </c>
      <c r="BK763" t="s">
        <v>231</v>
      </c>
      <c r="BL763" t="s">
        <v>231</v>
      </c>
      <c r="BM763" t="s">
        <v>231</v>
      </c>
      <c r="BN763" t="s">
        <v>231</v>
      </c>
      <c r="BO763" t="s">
        <v>231</v>
      </c>
      <c r="BP763" t="s">
        <v>231</v>
      </c>
      <c r="BQ763" t="s">
        <v>231</v>
      </c>
      <c r="BR763" t="s">
        <v>231</v>
      </c>
      <c r="BS763" t="s">
        <v>231</v>
      </c>
      <c r="BT763" t="s">
        <v>3637</v>
      </c>
      <c r="CS763" t="s">
        <v>5380</v>
      </c>
      <c r="CT763" t="s">
        <v>3534</v>
      </c>
      <c r="CU763" t="s">
        <v>3535</v>
      </c>
      <c r="CV763" t="s">
        <v>3536</v>
      </c>
      <c r="CW763" t="s">
        <v>3569</v>
      </c>
      <c r="CX763" t="s">
        <v>223</v>
      </c>
      <c r="CY763" t="s">
        <v>3536</v>
      </c>
      <c r="CZ763" t="s">
        <v>224</v>
      </c>
      <c r="DA763" t="s">
        <v>3571</v>
      </c>
      <c r="DB763" t="s">
        <v>3569</v>
      </c>
      <c r="DC763" t="s">
        <v>363</v>
      </c>
      <c r="DD763" t="s">
        <v>5099</v>
      </c>
      <c r="DE763" t="s">
        <v>5381</v>
      </c>
    </row>
    <row r="764" spans="1:109" ht="11.25" customHeight="1">
      <c r="A764" s="1314" t="s">
        <v>231</v>
      </c>
      <c r="B764" t="s">
        <v>231</v>
      </c>
      <c r="C764" t="s">
        <v>231</v>
      </c>
      <c r="D764" t="s">
        <v>231</v>
      </c>
      <c r="E764" t="s">
        <v>231</v>
      </c>
      <c r="F764" t="s">
        <v>231</v>
      </c>
      <c r="G764" t="s">
        <v>231</v>
      </c>
      <c r="H764" t="s">
        <v>231</v>
      </c>
      <c r="I764" t="s">
        <v>5086</v>
      </c>
      <c r="J764" t="s">
        <v>231</v>
      </c>
      <c r="K764" t="s">
        <v>231</v>
      </c>
      <c r="L764" t="s">
        <v>231</v>
      </c>
      <c r="M764" t="s">
        <v>231</v>
      </c>
      <c r="N764" t="s">
        <v>231</v>
      </c>
      <c r="O764" t="s">
        <v>231</v>
      </c>
      <c r="P764" t="s">
        <v>231</v>
      </c>
      <c r="Q764" t="s">
        <v>231</v>
      </c>
      <c r="R764" t="s">
        <v>5370</v>
      </c>
      <c r="S764" t="s">
        <v>231</v>
      </c>
      <c r="T764" t="s">
        <v>231</v>
      </c>
      <c r="U764" t="s">
        <v>101</v>
      </c>
      <c r="V764" t="s">
        <v>231</v>
      </c>
      <c r="W764" t="s">
        <v>231</v>
      </c>
      <c r="X764" t="s">
        <v>3955</v>
      </c>
      <c r="Y764" t="s">
        <v>231</v>
      </c>
      <c r="Z764" t="s">
        <v>151</v>
      </c>
      <c r="AA764" t="s">
        <v>160</v>
      </c>
      <c r="AB764" t="s">
        <v>151</v>
      </c>
      <c r="AC764" t="s">
        <v>343</v>
      </c>
      <c r="AD764" t="s">
        <v>343</v>
      </c>
      <c r="AE764" t="s">
        <v>344</v>
      </c>
      <c r="AF764" t="s">
        <v>3561</v>
      </c>
      <c r="AG764" t="s">
        <v>3562</v>
      </c>
      <c r="AH764" t="s">
        <v>5371</v>
      </c>
      <c r="AI764" t="s">
        <v>3575</v>
      </c>
      <c r="AJ764" t="s">
        <v>231</v>
      </c>
      <c r="AK764" t="s">
        <v>231</v>
      </c>
      <c r="AL764" t="s">
        <v>231</v>
      </c>
      <c r="AN764" t="s">
        <v>231</v>
      </c>
      <c r="AO764" t="s">
        <v>231</v>
      </c>
      <c r="AP764" t="s">
        <v>3760</v>
      </c>
      <c r="AQ764" t="s">
        <v>5372</v>
      </c>
      <c r="AR764" t="s">
        <v>111</v>
      </c>
      <c r="AS764" t="s">
        <v>3632</v>
      </c>
      <c r="AT764" t="s">
        <v>122</v>
      </c>
      <c r="AU764" t="s">
        <v>231</v>
      </c>
      <c r="AV764" t="s">
        <v>5370</v>
      </c>
      <c r="AW764" t="s">
        <v>343</v>
      </c>
      <c r="AX764" t="s">
        <v>343</v>
      </c>
      <c r="AY764" t="s">
        <v>3634</v>
      </c>
      <c r="AZ764" t="s">
        <v>3561</v>
      </c>
      <c r="BA764" t="s">
        <v>3635</v>
      </c>
      <c r="BB764" t="s">
        <v>5371</v>
      </c>
      <c r="BC764" t="s">
        <v>3575</v>
      </c>
      <c r="BD764" t="s">
        <v>5375</v>
      </c>
      <c r="BE764" t="s">
        <v>231</v>
      </c>
      <c r="BF764" t="s">
        <v>231</v>
      </c>
      <c r="BG764" t="s">
        <v>231</v>
      </c>
      <c r="BH764" t="s">
        <v>231</v>
      </c>
      <c r="BI764" t="s">
        <v>231</v>
      </c>
      <c r="BJ764" t="s">
        <v>231</v>
      </c>
      <c r="BK764" t="s">
        <v>231</v>
      </c>
      <c r="BL764" t="s">
        <v>231</v>
      </c>
      <c r="BM764" t="s">
        <v>231</v>
      </c>
      <c r="BN764" t="s">
        <v>231</v>
      </c>
      <c r="BO764" t="s">
        <v>231</v>
      </c>
      <c r="BP764" t="s">
        <v>231</v>
      </c>
      <c r="BQ764" t="s">
        <v>231</v>
      </c>
      <c r="BR764" t="s">
        <v>231</v>
      </c>
      <c r="BS764" t="s">
        <v>231</v>
      </c>
      <c r="BT764" t="s">
        <v>231</v>
      </c>
      <c r="CS764" t="s">
        <v>231</v>
      </c>
      <c r="CT764" t="s">
        <v>3534</v>
      </c>
      <c r="CU764" t="s">
        <v>3535</v>
      </c>
      <c r="CV764" t="s">
        <v>3536</v>
      </c>
      <c r="CW764" t="s">
        <v>3569</v>
      </c>
      <c r="CX764" t="s">
        <v>3570</v>
      </c>
      <c r="CY764" t="s">
        <v>3536</v>
      </c>
      <c r="CZ764" t="s">
        <v>224</v>
      </c>
      <c r="DA764" t="s">
        <v>3571</v>
      </c>
      <c r="DB764" t="s">
        <v>3569</v>
      </c>
      <c r="DC764" t="s">
        <v>363</v>
      </c>
      <c r="DD764" t="s">
        <v>5099</v>
      </c>
      <c r="DE764" t="s">
        <v>5374</v>
      </c>
    </row>
    <row r="765" spans="1:109" ht="11.25" customHeight="1">
      <c r="A765" s="1314" t="s">
        <v>231</v>
      </c>
      <c r="B765" t="s">
        <v>231</v>
      </c>
      <c r="C765" t="s">
        <v>231</v>
      </c>
      <c r="D765" t="s">
        <v>231</v>
      </c>
      <c r="E765" t="s">
        <v>231</v>
      </c>
      <c r="F765" t="s">
        <v>231</v>
      </c>
      <c r="G765" t="s">
        <v>231</v>
      </c>
      <c r="H765" t="s">
        <v>231</v>
      </c>
      <c r="I765" t="s">
        <v>5086</v>
      </c>
      <c r="J765" t="s">
        <v>231</v>
      </c>
      <c r="K765" t="s">
        <v>231</v>
      </c>
      <c r="L765" t="s">
        <v>231</v>
      </c>
      <c r="M765" t="s">
        <v>231</v>
      </c>
      <c r="N765" t="s">
        <v>231</v>
      </c>
      <c r="O765" t="s">
        <v>231</v>
      </c>
      <c r="P765" t="s">
        <v>231</v>
      </c>
      <c r="Q765" t="s">
        <v>231</v>
      </c>
      <c r="R765" t="s">
        <v>5382</v>
      </c>
      <c r="S765" t="s">
        <v>231</v>
      </c>
      <c r="T765" t="s">
        <v>231</v>
      </c>
      <c r="U765" t="s">
        <v>101</v>
      </c>
      <c r="V765" t="s">
        <v>231</v>
      </c>
      <c r="W765" t="s">
        <v>231</v>
      </c>
      <c r="X765" t="s">
        <v>3628</v>
      </c>
      <c r="Y765" t="s">
        <v>231</v>
      </c>
      <c r="Z765" t="s">
        <v>151</v>
      </c>
      <c r="AA765" t="s">
        <v>151</v>
      </c>
      <c r="AB765" t="s">
        <v>160</v>
      </c>
      <c r="AC765" t="s">
        <v>343</v>
      </c>
      <c r="AD765" t="s">
        <v>343</v>
      </c>
      <c r="AE765" t="s">
        <v>344</v>
      </c>
      <c r="AF765" t="s">
        <v>3561</v>
      </c>
      <c r="AG765" t="s">
        <v>3562</v>
      </c>
      <c r="AH765" t="s">
        <v>4515</v>
      </c>
      <c r="AI765" t="s">
        <v>5383</v>
      </c>
      <c r="AJ765" t="s">
        <v>231</v>
      </c>
      <c r="AK765" t="s">
        <v>231</v>
      </c>
      <c r="AL765" t="s">
        <v>231</v>
      </c>
      <c r="AN765" t="s">
        <v>231</v>
      </c>
      <c r="AO765" t="s">
        <v>231</v>
      </c>
      <c r="AP765" t="s">
        <v>231</v>
      </c>
      <c r="AQ765" t="s">
        <v>231</v>
      </c>
      <c r="AR765" t="s">
        <v>231</v>
      </c>
      <c r="AS765" t="s">
        <v>231</v>
      </c>
      <c r="AT765" t="s">
        <v>231</v>
      </c>
      <c r="AU765" t="s">
        <v>231</v>
      </c>
      <c r="AV765" t="s">
        <v>231</v>
      </c>
      <c r="AW765" t="s">
        <v>231</v>
      </c>
      <c r="AX765" t="s">
        <v>231</v>
      </c>
      <c r="AY765" t="s">
        <v>231</v>
      </c>
      <c r="AZ765" t="s">
        <v>231</v>
      </c>
      <c r="BA765" t="s">
        <v>231</v>
      </c>
      <c r="BB765" t="s">
        <v>231</v>
      </c>
      <c r="BC765" t="s">
        <v>231</v>
      </c>
      <c r="BD765" t="s">
        <v>231</v>
      </c>
      <c r="BE765" t="s">
        <v>5384</v>
      </c>
      <c r="BF765" t="s">
        <v>5384</v>
      </c>
      <c r="BG765" t="s">
        <v>111</v>
      </c>
      <c r="BH765" t="s">
        <v>3632</v>
      </c>
      <c r="BI765" t="s">
        <v>122</v>
      </c>
      <c r="BJ765" t="s">
        <v>231</v>
      </c>
      <c r="BK765" t="s">
        <v>5108</v>
      </c>
      <c r="BL765" t="s">
        <v>343</v>
      </c>
      <c r="BM765" t="s">
        <v>343</v>
      </c>
      <c r="BN765" t="s">
        <v>3634</v>
      </c>
      <c r="BO765" t="s">
        <v>3561</v>
      </c>
      <c r="BP765" t="s">
        <v>3635</v>
      </c>
      <c r="BQ765" t="s">
        <v>4515</v>
      </c>
      <c r="BR765" t="s">
        <v>5383</v>
      </c>
      <c r="BS765" t="s">
        <v>231</v>
      </c>
      <c r="BT765" t="s">
        <v>3637</v>
      </c>
      <c r="CS765" t="s">
        <v>5365</v>
      </c>
      <c r="CT765" t="s">
        <v>3534</v>
      </c>
      <c r="CU765" t="s">
        <v>3535</v>
      </c>
      <c r="CV765" t="s">
        <v>3536</v>
      </c>
      <c r="CW765" t="s">
        <v>3569</v>
      </c>
      <c r="CX765" t="s">
        <v>223</v>
      </c>
      <c r="CY765" t="s">
        <v>3536</v>
      </c>
      <c r="CZ765" t="s">
        <v>224</v>
      </c>
      <c r="DA765" t="s">
        <v>3571</v>
      </c>
      <c r="DB765" t="s">
        <v>3569</v>
      </c>
      <c r="DC765" t="s">
        <v>363</v>
      </c>
      <c r="DD765" t="s">
        <v>5099</v>
      </c>
      <c r="DE765" t="s">
        <v>5385</v>
      </c>
    </row>
    <row r="766" spans="1:109" ht="11.25" customHeight="1">
      <c r="A766" s="1314" t="s">
        <v>231</v>
      </c>
      <c r="B766" t="s">
        <v>231</v>
      </c>
      <c r="C766" t="s">
        <v>231</v>
      </c>
      <c r="D766" t="s">
        <v>231</v>
      </c>
      <c r="E766" t="s">
        <v>231</v>
      </c>
      <c r="F766" t="s">
        <v>231</v>
      </c>
      <c r="G766" t="s">
        <v>231</v>
      </c>
      <c r="H766" t="s">
        <v>231</v>
      </c>
      <c r="I766" t="s">
        <v>5086</v>
      </c>
      <c r="J766" t="s">
        <v>231</v>
      </c>
      <c r="K766" t="s">
        <v>231</v>
      </c>
      <c r="L766" t="s">
        <v>231</v>
      </c>
      <c r="M766" t="s">
        <v>231</v>
      </c>
      <c r="N766" t="s">
        <v>231</v>
      </c>
      <c r="O766" t="s">
        <v>231</v>
      </c>
      <c r="P766" t="s">
        <v>231</v>
      </c>
      <c r="Q766" t="s">
        <v>231</v>
      </c>
      <c r="R766" t="s">
        <v>5139</v>
      </c>
      <c r="S766" t="s">
        <v>231</v>
      </c>
      <c r="T766" t="s">
        <v>231</v>
      </c>
      <c r="U766" t="s">
        <v>101</v>
      </c>
      <c r="V766" t="s">
        <v>231</v>
      </c>
      <c r="W766" t="s">
        <v>231</v>
      </c>
      <c r="X766" t="s">
        <v>3628</v>
      </c>
      <c r="Y766" t="s">
        <v>231</v>
      </c>
      <c r="Z766" t="s">
        <v>151</v>
      </c>
      <c r="AA766" t="s">
        <v>151</v>
      </c>
      <c r="AB766" t="s">
        <v>160</v>
      </c>
      <c r="AC766" t="s">
        <v>2283</v>
      </c>
      <c r="AD766" t="s">
        <v>2283</v>
      </c>
      <c r="AE766" t="s">
        <v>2284</v>
      </c>
      <c r="AF766" t="s">
        <v>4001</v>
      </c>
      <c r="AG766" t="s">
        <v>4002</v>
      </c>
      <c r="AH766" t="s">
        <v>4001</v>
      </c>
      <c r="AI766" t="s">
        <v>3575</v>
      </c>
      <c r="AJ766" t="s">
        <v>231</v>
      </c>
      <c r="AK766" t="s">
        <v>231</v>
      </c>
      <c r="AL766" t="s">
        <v>231</v>
      </c>
      <c r="AN766" t="s">
        <v>231</v>
      </c>
      <c r="AO766" t="s">
        <v>231</v>
      </c>
      <c r="AP766" t="s">
        <v>231</v>
      </c>
      <c r="AQ766" t="s">
        <v>231</v>
      </c>
      <c r="AR766" t="s">
        <v>231</v>
      </c>
      <c r="AS766" t="s">
        <v>231</v>
      </c>
      <c r="AT766" t="s">
        <v>231</v>
      </c>
      <c r="AU766" t="s">
        <v>231</v>
      </c>
      <c r="AV766" t="s">
        <v>231</v>
      </c>
      <c r="AW766" t="s">
        <v>231</v>
      </c>
      <c r="AX766" t="s">
        <v>231</v>
      </c>
      <c r="AY766" t="s">
        <v>231</v>
      </c>
      <c r="AZ766" t="s">
        <v>231</v>
      </c>
      <c r="BA766" t="s">
        <v>231</v>
      </c>
      <c r="BB766" t="s">
        <v>231</v>
      </c>
      <c r="BC766" t="s">
        <v>231</v>
      </c>
      <c r="BD766" t="s">
        <v>231</v>
      </c>
      <c r="BE766" t="s">
        <v>5204</v>
      </c>
      <c r="BF766" t="s">
        <v>5205</v>
      </c>
      <c r="BG766" t="s">
        <v>111</v>
      </c>
      <c r="BH766" t="s">
        <v>3632</v>
      </c>
      <c r="BI766" t="s">
        <v>122</v>
      </c>
      <c r="BJ766" t="s">
        <v>231</v>
      </c>
      <c r="BK766" t="s">
        <v>5206</v>
      </c>
      <c r="BL766" t="s">
        <v>2283</v>
      </c>
      <c r="BM766" t="s">
        <v>2283</v>
      </c>
      <c r="BN766" t="s">
        <v>3690</v>
      </c>
      <c r="BO766" t="s">
        <v>4001</v>
      </c>
      <c r="BP766" t="s">
        <v>4005</v>
      </c>
      <c r="BQ766" t="s">
        <v>5207</v>
      </c>
      <c r="BR766" t="s">
        <v>3575</v>
      </c>
      <c r="BS766" t="s">
        <v>231</v>
      </c>
      <c r="BT766" t="s">
        <v>3694</v>
      </c>
      <c r="CS766" t="s">
        <v>3549</v>
      </c>
      <c r="CT766" t="s">
        <v>3534</v>
      </c>
      <c r="CU766" t="s">
        <v>3535</v>
      </c>
      <c r="CV766" t="s">
        <v>3536</v>
      </c>
      <c r="CW766" t="s">
        <v>3551</v>
      </c>
      <c r="CX766" t="s">
        <v>223</v>
      </c>
      <c r="CY766" t="s">
        <v>3536</v>
      </c>
      <c r="CZ766" t="s">
        <v>3552</v>
      </c>
      <c r="DA766" t="s">
        <v>3553</v>
      </c>
      <c r="DB766" t="s">
        <v>3551</v>
      </c>
      <c r="DC766" t="s">
        <v>363</v>
      </c>
      <c r="DD766" t="s">
        <v>5099</v>
      </c>
      <c r="DE766" t="s">
        <v>5208</v>
      </c>
    </row>
    <row r="767" spans="1:109" ht="11.25" customHeight="1">
      <c r="A767" s="1314" t="s">
        <v>231</v>
      </c>
      <c r="B767" t="s">
        <v>231</v>
      </c>
      <c r="C767" t="s">
        <v>231</v>
      </c>
      <c r="D767" t="s">
        <v>231</v>
      </c>
      <c r="E767" t="s">
        <v>231</v>
      </c>
      <c r="F767" t="s">
        <v>231</v>
      </c>
      <c r="G767" t="s">
        <v>231</v>
      </c>
      <c r="H767" t="s">
        <v>231</v>
      </c>
      <c r="I767" t="s">
        <v>5086</v>
      </c>
      <c r="J767" t="s">
        <v>231</v>
      </c>
      <c r="K767" t="s">
        <v>231</v>
      </c>
      <c r="L767" t="s">
        <v>231</v>
      </c>
      <c r="M767" t="s">
        <v>231</v>
      </c>
      <c r="N767" t="s">
        <v>231</v>
      </c>
      <c r="O767" t="s">
        <v>231</v>
      </c>
      <c r="P767" t="s">
        <v>231</v>
      </c>
      <c r="Q767" t="s">
        <v>231</v>
      </c>
      <c r="R767" t="s">
        <v>5116</v>
      </c>
      <c r="S767" t="s">
        <v>231</v>
      </c>
      <c r="T767" t="s">
        <v>231</v>
      </c>
      <c r="U767" t="s">
        <v>101</v>
      </c>
      <c r="V767" t="s">
        <v>231</v>
      </c>
      <c r="W767" t="s">
        <v>231</v>
      </c>
      <c r="X767" t="s">
        <v>5088</v>
      </c>
      <c r="Y767" t="s">
        <v>231</v>
      </c>
      <c r="Z767" t="s">
        <v>160</v>
      </c>
      <c r="AA767" t="s">
        <v>151</v>
      </c>
      <c r="AB767" t="s">
        <v>151</v>
      </c>
      <c r="AC767" t="s">
        <v>343</v>
      </c>
      <c r="AD767" t="s">
        <v>343</v>
      </c>
      <c r="AE767" t="s">
        <v>344</v>
      </c>
      <c r="AF767" t="s">
        <v>3561</v>
      </c>
      <c r="AG767" t="s">
        <v>3562</v>
      </c>
      <c r="AH767" t="s">
        <v>5117</v>
      </c>
      <c r="AI767" t="s">
        <v>3575</v>
      </c>
      <c r="AJ767" t="s">
        <v>3951</v>
      </c>
      <c r="AK767" t="s">
        <v>5118</v>
      </c>
      <c r="AL767" t="s">
        <v>5092</v>
      </c>
      <c r="AN767" t="s">
        <v>3939</v>
      </c>
      <c r="AO767" t="s">
        <v>5119</v>
      </c>
      <c r="AP767" t="s">
        <v>231</v>
      </c>
      <c r="AQ767" t="s">
        <v>231</v>
      </c>
      <c r="AR767" t="s">
        <v>231</v>
      </c>
      <c r="AS767" t="s">
        <v>231</v>
      </c>
      <c r="AT767" t="s">
        <v>231</v>
      </c>
      <c r="AU767" t="s">
        <v>231</v>
      </c>
      <c r="AV767" t="s">
        <v>231</v>
      </c>
      <c r="AW767" t="s">
        <v>231</v>
      </c>
      <c r="AX767" t="s">
        <v>231</v>
      </c>
      <c r="AY767" t="s">
        <v>231</v>
      </c>
      <c r="AZ767" t="s">
        <v>231</v>
      </c>
      <c r="BA767" t="s">
        <v>231</v>
      </c>
      <c r="BB767" t="s">
        <v>231</v>
      </c>
      <c r="BC767" t="s">
        <v>231</v>
      </c>
      <c r="BD767" t="s">
        <v>231</v>
      </c>
      <c r="BE767" t="s">
        <v>231</v>
      </c>
      <c r="BF767" t="s">
        <v>231</v>
      </c>
      <c r="BG767" t="s">
        <v>231</v>
      </c>
      <c r="BH767" t="s">
        <v>231</v>
      </c>
      <c r="BI767" t="s">
        <v>231</v>
      </c>
      <c r="BJ767" t="s">
        <v>231</v>
      </c>
      <c r="BK767" t="s">
        <v>231</v>
      </c>
      <c r="BL767" t="s">
        <v>231</v>
      </c>
      <c r="BM767" t="s">
        <v>231</v>
      </c>
      <c r="BN767" t="s">
        <v>231</v>
      </c>
      <c r="BO767" t="s">
        <v>231</v>
      </c>
      <c r="BP767" t="s">
        <v>231</v>
      </c>
      <c r="BQ767" t="s">
        <v>231</v>
      </c>
      <c r="BR767" t="s">
        <v>231</v>
      </c>
      <c r="BS767" t="s">
        <v>231</v>
      </c>
      <c r="BT767" t="s">
        <v>231</v>
      </c>
      <c r="CS767" t="s">
        <v>231</v>
      </c>
      <c r="CT767" t="s">
        <v>3534</v>
      </c>
      <c r="CU767" t="s">
        <v>3535</v>
      </c>
      <c r="CV767" t="s">
        <v>3536</v>
      </c>
      <c r="CW767" t="s">
        <v>3569</v>
      </c>
      <c r="CX767" t="s">
        <v>3570</v>
      </c>
      <c r="CY767" t="s">
        <v>3536</v>
      </c>
      <c r="CZ767" t="s">
        <v>224</v>
      </c>
      <c r="DA767" t="s">
        <v>3571</v>
      </c>
      <c r="DB767" t="s">
        <v>3569</v>
      </c>
      <c r="DC767" t="s">
        <v>363</v>
      </c>
      <c r="DD767" t="s">
        <v>5099</v>
      </c>
      <c r="DE767" t="s">
        <v>5120</v>
      </c>
    </row>
    <row r="768" spans="1:109" ht="11.25" customHeight="1">
      <c r="A768" s="1314" t="s">
        <v>231</v>
      </c>
      <c r="B768" t="s">
        <v>231</v>
      </c>
      <c r="C768" t="s">
        <v>231</v>
      </c>
      <c r="D768" t="s">
        <v>231</v>
      </c>
      <c r="E768" t="s">
        <v>231</v>
      </c>
      <c r="F768" t="s">
        <v>231</v>
      </c>
      <c r="G768" t="s">
        <v>231</v>
      </c>
      <c r="H768" t="s">
        <v>231</v>
      </c>
      <c r="I768" t="s">
        <v>5086</v>
      </c>
      <c r="J768" t="s">
        <v>231</v>
      </c>
      <c r="K768" t="s">
        <v>231</v>
      </c>
      <c r="L768" t="s">
        <v>231</v>
      </c>
      <c r="M768" t="s">
        <v>231</v>
      </c>
      <c r="N768" t="s">
        <v>231</v>
      </c>
      <c r="O768" t="s">
        <v>231</v>
      </c>
      <c r="P768" t="s">
        <v>231</v>
      </c>
      <c r="Q768" t="s">
        <v>231</v>
      </c>
      <c r="R768" t="s">
        <v>5360</v>
      </c>
      <c r="S768" t="s">
        <v>231</v>
      </c>
      <c r="T768" t="s">
        <v>231</v>
      </c>
      <c r="U768" t="s">
        <v>101</v>
      </c>
      <c r="V768" t="s">
        <v>231</v>
      </c>
      <c r="W768" t="s">
        <v>231</v>
      </c>
      <c r="X768" t="s">
        <v>3955</v>
      </c>
      <c r="Y768" t="s">
        <v>231</v>
      </c>
      <c r="Z768" t="s">
        <v>151</v>
      </c>
      <c r="AA768" t="s">
        <v>160</v>
      </c>
      <c r="AB768" t="s">
        <v>151</v>
      </c>
      <c r="AC768" t="s">
        <v>343</v>
      </c>
      <c r="AD768" t="s">
        <v>343</v>
      </c>
      <c r="AE768" t="s">
        <v>344</v>
      </c>
      <c r="AF768" t="s">
        <v>3561</v>
      </c>
      <c r="AG768" t="s">
        <v>3562</v>
      </c>
      <c r="AH768" t="s">
        <v>5361</v>
      </c>
      <c r="AI768" t="s">
        <v>3575</v>
      </c>
      <c r="AJ768" t="s">
        <v>231</v>
      </c>
      <c r="AK768" t="s">
        <v>231</v>
      </c>
      <c r="AL768" t="s">
        <v>231</v>
      </c>
      <c r="AN768" t="s">
        <v>231</v>
      </c>
      <c r="AO768" t="s">
        <v>231</v>
      </c>
      <c r="AP768" t="s">
        <v>5429</v>
      </c>
      <c r="AQ768" t="s">
        <v>5363</v>
      </c>
      <c r="AR768" t="s">
        <v>111</v>
      </c>
      <c r="AS768" t="s">
        <v>3632</v>
      </c>
      <c r="AT768" t="s">
        <v>122</v>
      </c>
      <c r="AU768" t="s">
        <v>231</v>
      </c>
      <c r="AV768" t="s">
        <v>5360</v>
      </c>
      <c r="AW768" t="s">
        <v>343</v>
      </c>
      <c r="AX768" t="s">
        <v>343</v>
      </c>
      <c r="AY768" t="s">
        <v>3634</v>
      </c>
      <c r="AZ768" t="s">
        <v>3561</v>
      </c>
      <c r="BA768" t="s">
        <v>3635</v>
      </c>
      <c r="BB768" t="s">
        <v>5361</v>
      </c>
      <c r="BC768" t="s">
        <v>3575</v>
      </c>
      <c r="BD768" t="s">
        <v>5430</v>
      </c>
      <c r="BE768" t="s">
        <v>231</v>
      </c>
      <c r="BF768" t="s">
        <v>231</v>
      </c>
      <c r="BG768" t="s">
        <v>231</v>
      </c>
      <c r="BH768" t="s">
        <v>231</v>
      </c>
      <c r="BI768" t="s">
        <v>231</v>
      </c>
      <c r="BJ768" t="s">
        <v>231</v>
      </c>
      <c r="BK768" t="s">
        <v>231</v>
      </c>
      <c r="BL768" t="s">
        <v>231</v>
      </c>
      <c r="BM768" t="s">
        <v>231</v>
      </c>
      <c r="BN768" t="s">
        <v>231</v>
      </c>
      <c r="BO768" t="s">
        <v>231</v>
      </c>
      <c r="BP768" t="s">
        <v>231</v>
      </c>
      <c r="BQ768" t="s">
        <v>231</v>
      </c>
      <c r="BR768" t="s">
        <v>231</v>
      </c>
      <c r="BS768" t="s">
        <v>231</v>
      </c>
      <c r="BT768" t="s">
        <v>231</v>
      </c>
      <c r="CS768" t="s">
        <v>231</v>
      </c>
      <c r="CT768" t="s">
        <v>3534</v>
      </c>
      <c r="CU768" t="s">
        <v>5095</v>
      </c>
      <c r="CV768" t="s">
        <v>3997</v>
      </c>
      <c r="CW768" t="s">
        <v>3643</v>
      </c>
      <c r="CX768" t="s">
        <v>3570</v>
      </c>
      <c r="CY768" t="s">
        <v>3997</v>
      </c>
      <c r="CZ768" t="s">
        <v>5097</v>
      </c>
      <c r="DA768" t="s">
        <v>5098</v>
      </c>
      <c r="DB768" t="s">
        <v>3643</v>
      </c>
      <c r="DC768" t="s">
        <v>363</v>
      </c>
      <c r="DD768" t="s">
        <v>5099</v>
      </c>
      <c r="DE768" t="s">
        <v>5366</v>
      </c>
    </row>
    <row r="769" spans="1:109" ht="11.25" customHeight="1">
      <c r="A769" s="1314" t="s">
        <v>231</v>
      </c>
      <c r="B769" t="s">
        <v>231</v>
      </c>
      <c r="C769" t="s">
        <v>231</v>
      </c>
      <c r="D769" t="s">
        <v>231</v>
      </c>
      <c r="E769" t="s">
        <v>231</v>
      </c>
      <c r="F769" t="s">
        <v>231</v>
      </c>
      <c r="G769" t="s">
        <v>231</v>
      </c>
      <c r="H769" t="s">
        <v>231</v>
      </c>
      <c r="I769" t="s">
        <v>5086</v>
      </c>
      <c r="J769" t="s">
        <v>231</v>
      </c>
      <c r="K769" t="s">
        <v>231</v>
      </c>
      <c r="L769" t="s">
        <v>231</v>
      </c>
      <c r="M769" t="s">
        <v>231</v>
      </c>
      <c r="N769" t="s">
        <v>231</v>
      </c>
      <c r="O769" t="s">
        <v>231</v>
      </c>
      <c r="P769" t="s">
        <v>231</v>
      </c>
      <c r="Q769" t="s">
        <v>231</v>
      </c>
      <c r="R769" t="s">
        <v>5237</v>
      </c>
      <c r="S769" t="s">
        <v>231</v>
      </c>
      <c r="T769" t="s">
        <v>231</v>
      </c>
      <c r="U769" t="s">
        <v>101</v>
      </c>
      <c r="V769" t="s">
        <v>231</v>
      </c>
      <c r="W769" t="s">
        <v>231</v>
      </c>
      <c r="X769" t="s">
        <v>5088</v>
      </c>
      <c r="Y769" t="s">
        <v>231</v>
      </c>
      <c r="Z769" t="s">
        <v>160</v>
      </c>
      <c r="AA769" t="s">
        <v>151</v>
      </c>
      <c r="AB769" t="s">
        <v>151</v>
      </c>
      <c r="AC769" t="s">
        <v>2283</v>
      </c>
      <c r="AD769" t="s">
        <v>2283</v>
      </c>
      <c r="AE769" t="s">
        <v>2284</v>
      </c>
      <c r="AF769" t="s">
        <v>4001</v>
      </c>
      <c r="AG769" t="s">
        <v>4002</v>
      </c>
      <c r="AH769" t="s">
        <v>5238</v>
      </c>
      <c r="AI769" t="s">
        <v>3575</v>
      </c>
      <c r="AJ769" t="s">
        <v>3995</v>
      </c>
      <c r="AK769" t="s">
        <v>5239</v>
      </c>
      <c r="AL769" t="s">
        <v>5092</v>
      </c>
      <c r="AN769" t="s">
        <v>3549</v>
      </c>
      <c r="AO769" t="s">
        <v>5240</v>
      </c>
      <c r="AP769" t="s">
        <v>231</v>
      </c>
      <c r="AQ769" t="s">
        <v>231</v>
      </c>
      <c r="AR769" t="s">
        <v>231</v>
      </c>
      <c r="AS769" t="s">
        <v>231</v>
      </c>
      <c r="AT769" t="s">
        <v>231</v>
      </c>
      <c r="AU769" t="s">
        <v>231</v>
      </c>
      <c r="AV769" t="s">
        <v>231</v>
      </c>
      <c r="AW769" t="s">
        <v>231</v>
      </c>
      <c r="AX769" t="s">
        <v>231</v>
      </c>
      <c r="AY769" t="s">
        <v>231</v>
      </c>
      <c r="AZ769" t="s">
        <v>231</v>
      </c>
      <c r="BA769" t="s">
        <v>231</v>
      </c>
      <c r="BB769" t="s">
        <v>231</v>
      </c>
      <c r="BC769" t="s">
        <v>231</v>
      </c>
      <c r="BD769" t="s">
        <v>231</v>
      </c>
      <c r="BE769" t="s">
        <v>231</v>
      </c>
      <c r="BF769" t="s">
        <v>231</v>
      </c>
      <c r="BG769" t="s">
        <v>231</v>
      </c>
      <c r="BH769" t="s">
        <v>231</v>
      </c>
      <c r="BI769" t="s">
        <v>231</v>
      </c>
      <c r="BJ769" t="s">
        <v>231</v>
      </c>
      <c r="BK769" t="s">
        <v>231</v>
      </c>
      <c r="BL769" t="s">
        <v>231</v>
      </c>
      <c r="BM769" t="s">
        <v>231</v>
      </c>
      <c r="BN769" t="s">
        <v>231</v>
      </c>
      <c r="BO769" t="s">
        <v>231</v>
      </c>
      <c r="BP769" t="s">
        <v>231</v>
      </c>
      <c r="BQ769" t="s">
        <v>231</v>
      </c>
      <c r="BR769" t="s">
        <v>231</v>
      </c>
      <c r="BS769" t="s">
        <v>231</v>
      </c>
      <c r="BT769" t="s">
        <v>231</v>
      </c>
      <c r="CS769" t="s">
        <v>231</v>
      </c>
      <c r="CT769" t="s">
        <v>3534</v>
      </c>
      <c r="CU769" t="s">
        <v>3535</v>
      </c>
      <c r="CV769" t="s">
        <v>3536</v>
      </c>
      <c r="CW769" t="s">
        <v>3551</v>
      </c>
      <c r="CX769" t="s">
        <v>223</v>
      </c>
      <c r="CY769" t="s">
        <v>3536</v>
      </c>
      <c r="CZ769" t="s">
        <v>3552</v>
      </c>
      <c r="DA769" t="s">
        <v>3553</v>
      </c>
      <c r="DB769" t="s">
        <v>3551</v>
      </c>
      <c r="DC769" t="s">
        <v>363</v>
      </c>
      <c r="DD769" t="s">
        <v>5099</v>
      </c>
      <c r="DE769" t="s">
        <v>5241</v>
      </c>
    </row>
    <row r="770" spans="1:109" ht="11.25" customHeight="1">
      <c r="A770" s="1314" t="s">
        <v>231</v>
      </c>
      <c r="B770" t="s">
        <v>231</v>
      </c>
      <c r="C770" t="s">
        <v>231</v>
      </c>
      <c r="D770" t="s">
        <v>231</v>
      </c>
      <c r="E770" t="s">
        <v>231</v>
      </c>
      <c r="F770" t="s">
        <v>231</v>
      </c>
      <c r="G770" t="s">
        <v>231</v>
      </c>
      <c r="H770" t="s">
        <v>231</v>
      </c>
      <c r="I770" t="s">
        <v>5086</v>
      </c>
      <c r="J770" t="s">
        <v>231</v>
      </c>
      <c r="K770" t="s">
        <v>231</v>
      </c>
      <c r="L770" t="s">
        <v>231</v>
      </c>
      <c r="M770" t="s">
        <v>231</v>
      </c>
      <c r="N770" t="s">
        <v>231</v>
      </c>
      <c r="O770" t="s">
        <v>231</v>
      </c>
      <c r="P770" t="s">
        <v>231</v>
      </c>
      <c r="Q770" t="s">
        <v>231</v>
      </c>
      <c r="R770" t="s">
        <v>5408</v>
      </c>
      <c r="S770" t="s">
        <v>231</v>
      </c>
      <c r="T770" t="s">
        <v>231</v>
      </c>
      <c r="U770" t="s">
        <v>101</v>
      </c>
      <c r="V770" t="s">
        <v>231</v>
      </c>
      <c r="W770" t="s">
        <v>231</v>
      </c>
      <c r="X770" t="s">
        <v>3955</v>
      </c>
      <c r="Y770" t="s">
        <v>231</v>
      </c>
      <c r="Z770" t="s">
        <v>151</v>
      </c>
      <c r="AA770" t="s">
        <v>160</v>
      </c>
      <c r="AB770" t="s">
        <v>151</v>
      </c>
      <c r="AC770" t="s">
        <v>2283</v>
      </c>
      <c r="AD770" t="s">
        <v>2283</v>
      </c>
      <c r="AE770" t="s">
        <v>2284</v>
      </c>
      <c r="AF770" t="s">
        <v>4001</v>
      </c>
      <c r="AG770" t="s">
        <v>4002</v>
      </c>
      <c r="AH770" t="s">
        <v>5207</v>
      </c>
      <c r="AI770" t="s">
        <v>3575</v>
      </c>
      <c r="AJ770" t="s">
        <v>231</v>
      </c>
      <c r="AK770" t="s">
        <v>231</v>
      </c>
      <c r="AL770" t="s">
        <v>231</v>
      </c>
      <c r="AN770" t="s">
        <v>231</v>
      </c>
      <c r="AO770" t="s">
        <v>231</v>
      </c>
      <c r="AP770" t="s">
        <v>5204</v>
      </c>
      <c r="AQ770" t="s">
        <v>5205</v>
      </c>
      <c r="AR770" t="s">
        <v>111</v>
      </c>
      <c r="AS770" t="s">
        <v>3632</v>
      </c>
      <c r="AT770" t="s">
        <v>122</v>
      </c>
      <c r="AU770" t="s">
        <v>231</v>
      </c>
      <c r="AV770" t="s">
        <v>5408</v>
      </c>
      <c r="AW770" t="s">
        <v>2283</v>
      </c>
      <c r="AX770" t="s">
        <v>2283</v>
      </c>
      <c r="AY770" t="s">
        <v>3690</v>
      </c>
      <c r="AZ770" t="s">
        <v>4001</v>
      </c>
      <c r="BA770" t="s">
        <v>4005</v>
      </c>
      <c r="BB770" t="s">
        <v>5207</v>
      </c>
      <c r="BC770" t="s">
        <v>3575</v>
      </c>
      <c r="BD770" t="s">
        <v>3549</v>
      </c>
      <c r="BE770" t="s">
        <v>231</v>
      </c>
      <c r="BF770" t="s">
        <v>231</v>
      </c>
      <c r="BG770" t="s">
        <v>231</v>
      </c>
      <c r="BH770" t="s">
        <v>231</v>
      </c>
      <c r="BI770" t="s">
        <v>231</v>
      </c>
      <c r="BJ770" t="s">
        <v>231</v>
      </c>
      <c r="BK770" t="s">
        <v>231</v>
      </c>
      <c r="BL770" t="s">
        <v>231</v>
      </c>
      <c r="BM770" t="s">
        <v>231</v>
      </c>
      <c r="BN770" t="s">
        <v>231</v>
      </c>
      <c r="BO770" t="s">
        <v>231</v>
      </c>
      <c r="BP770" t="s">
        <v>231</v>
      </c>
      <c r="BQ770" t="s">
        <v>231</v>
      </c>
      <c r="BR770" t="s">
        <v>231</v>
      </c>
      <c r="BS770" t="s">
        <v>231</v>
      </c>
      <c r="BT770" t="s">
        <v>231</v>
      </c>
      <c r="CS770" t="s">
        <v>231</v>
      </c>
      <c r="CT770" t="s">
        <v>3534</v>
      </c>
      <c r="CU770" t="s">
        <v>3535</v>
      </c>
      <c r="CV770" t="s">
        <v>3536</v>
      </c>
      <c r="CW770" t="s">
        <v>3551</v>
      </c>
      <c r="CX770" t="s">
        <v>223</v>
      </c>
      <c r="CY770" t="s">
        <v>3536</v>
      </c>
      <c r="CZ770" t="s">
        <v>3552</v>
      </c>
      <c r="DA770" t="s">
        <v>3553</v>
      </c>
      <c r="DB770" t="s">
        <v>3551</v>
      </c>
      <c r="DC770" t="s">
        <v>363</v>
      </c>
      <c r="DD770" t="s">
        <v>5099</v>
      </c>
      <c r="DE770" t="s">
        <v>5236</v>
      </c>
    </row>
    <row r="771" spans="1:109" ht="11.25" customHeight="1">
      <c r="A771" s="1314" t="s">
        <v>231</v>
      </c>
      <c r="B771" t="s">
        <v>231</v>
      </c>
      <c r="C771" t="s">
        <v>231</v>
      </c>
      <c r="D771" t="s">
        <v>231</v>
      </c>
      <c r="E771" t="s">
        <v>231</v>
      </c>
      <c r="F771" t="s">
        <v>231</v>
      </c>
      <c r="G771" t="s">
        <v>231</v>
      </c>
      <c r="H771" t="s">
        <v>231</v>
      </c>
      <c r="I771" t="s">
        <v>5086</v>
      </c>
      <c r="J771" t="s">
        <v>231</v>
      </c>
      <c r="K771" t="s">
        <v>231</v>
      </c>
      <c r="L771" t="s">
        <v>231</v>
      </c>
      <c r="M771" t="s">
        <v>231</v>
      </c>
      <c r="N771" t="s">
        <v>231</v>
      </c>
      <c r="O771" t="s">
        <v>231</v>
      </c>
      <c r="P771" t="s">
        <v>231</v>
      </c>
      <c r="Q771" t="s">
        <v>231</v>
      </c>
      <c r="R771" t="s">
        <v>5386</v>
      </c>
      <c r="S771" t="s">
        <v>231</v>
      </c>
      <c r="T771" t="s">
        <v>231</v>
      </c>
      <c r="U771" t="s">
        <v>101</v>
      </c>
      <c r="V771" t="s">
        <v>231</v>
      </c>
      <c r="W771" t="s">
        <v>231</v>
      </c>
      <c r="X771" t="s">
        <v>5088</v>
      </c>
      <c r="Y771" t="s">
        <v>231</v>
      </c>
      <c r="Z771" t="s">
        <v>160</v>
      </c>
      <c r="AA771" t="s">
        <v>151</v>
      </c>
      <c r="AB771" t="s">
        <v>151</v>
      </c>
      <c r="AC771" t="s">
        <v>2289</v>
      </c>
      <c r="AD771" t="s">
        <v>2289</v>
      </c>
      <c r="AE771" t="s">
        <v>2290</v>
      </c>
      <c r="AF771" t="s">
        <v>3816</v>
      </c>
      <c r="AG771" t="s">
        <v>3817</v>
      </c>
      <c r="AH771" t="s">
        <v>3618</v>
      </c>
      <c r="AI771" t="s">
        <v>3618</v>
      </c>
      <c r="AJ771" t="s">
        <v>4996</v>
      </c>
      <c r="AK771" t="s">
        <v>5297</v>
      </c>
      <c r="AL771" t="s">
        <v>5092</v>
      </c>
      <c r="AN771" t="s">
        <v>3549</v>
      </c>
      <c r="AO771" t="s">
        <v>4151</v>
      </c>
      <c r="AP771" t="s">
        <v>231</v>
      </c>
      <c r="AQ771" t="s">
        <v>231</v>
      </c>
      <c r="AR771" t="s">
        <v>231</v>
      </c>
      <c r="AS771" t="s">
        <v>231</v>
      </c>
      <c r="AT771" t="s">
        <v>231</v>
      </c>
      <c r="AU771" t="s">
        <v>231</v>
      </c>
      <c r="AV771" t="s">
        <v>231</v>
      </c>
      <c r="AW771" t="s">
        <v>231</v>
      </c>
      <c r="AX771" t="s">
        <v>231</v>
      </c>
      <c r="AY771" t="s">
        <v>231</v>
      </c>
      <c r="AZ771" t="s">
        <v>231</v>
      </c>
      <c r="BA771" t="s">
        <v>231</v>
      </c>
      <c r="BB771" t="s">
        <v>231</v>
      </c>
      <c r="BC771" t="s">
        <v>231</v>
      </c>
      <c r="BD771" t="s">
        <v>231</v>
      </c>
      <c r="BE771" t="s">
        <v>231</v>
      </c>
      <c r="BF771" t="s">
        <v>231</v>
      </c>
      <c r="BG771" t="s">
        <v>231</v>
      </c>
      <c r="BH771" t="s">
        <v>231</v>
      </c>
      <c r="BI771" t="s">
        <v>231</v>
      </c>
      <c r="BJ771" t="s">
        <v>231</v>
      </c>
      <c r="BK771" t="s">
        <v>231</v>
      </c>
      <c r="BL771" t="s">
        <v>231</v>
      </c>
      <c r="BM771" t="s">
        <v>231</v>
      </c>
      <c r="BN771" t="s">
        <v>231</v>
      </c>
      <c r="BO771" t="s">
        <v>231</v>
      </c>
      <c r="BP771" t="s">
        <v>231</v>
      </c>
      <c r="BQ771" t="s">
        <v>231</v>
      </c>
      <c r="BR771" t="s">
        <v>231</v>
      </c>
      <c r="BS771" t="s">
        <v>231</v>
      </c>
      <c r="BT771" t="s">
        <v>231</v>
      </c>
      <c r="CS771" t="s">
        <v>231</v>
      </c>
      <c r="CT771" t="s">
        <v>3534</v>
      </c>
      <c r="CU771" t="s">
        <v>3535</v>
      </c>
      <c r="CV771" t="s">
        <v>3536</v>
      </c>
      <c r="CW771" t="s">
        <v>3589</v>
      </c>
      <c r="CX771" t="s">
        <v>223</v>
      </c>
      <c r="CY771" t="s">
        <v>3536</v>
      </c>
      <c r="CZ771" t="s">
        <v>3590</v>
      </c>
      <c r="DA771" t="s">
        <v>3591</v>
      </c>
      <c r="DB771" t="s">
        <v>3589</v>
      </c>
      <c r="DC771" t="s">
        <v>363</v>
      </c>
      <c r="DD771" t="s">
        <v>5099</v>
      </c>
      <c r="DE771" t="s">
        <v>4203</v>
      </c>
    </row>
    <row r="772" spans="1:109" ht="11.25" customHeight="1">
      <c r="A772" s="1314" t="s">
        <v>231</v>
      </c>
      <c r="B772" t="s">
        <v>231</v>
      </c>
      <c r="C772" t="s">
        <v>231</v>
      </c>
      <c r="D772" t="s">
        <v>231</v>
      </c>
      <c r="E772" t="s">
        <v>231</v>
      </c>
      <c r="F772" t="s">
        <v>231</v>
      </c>
      <c r="G772" t="s">
        <v>231</v>
      </c>
      <c r="H772" t="s">
        <v>231</v>
      </c>
      <c r="I772" t="s">
        <v>5086</v>
      </c>
      <c r="J772" t="s">
        <v>231</v>
      </c>
      <c r="K772" t="s">
        <v>231</v>
      </c>
      <c r="L772" t="s">
        <v>231</v>
      </c>
      <c r="M772" t="s">
        <v>231</v>
      </c>
      <c r="N772" t="s">
        <v>231</v>
      </c>
      <c r="O772" t="s">
        <v>231</v>
      </c>
      <c r="P772" t="s">
        <v>231</v>
      </c>
      <c r="Q772" t="s">
        <v>231</v>
      </c>
      <c r="R772" t="s">
        <v>5399</v>
      </c>
      <c r="S772" t="s">
        <v>231</v>
      </c>
      <c r="T772" t="s">
        <v>231</v>
      </c>
      <c r="U772" t="s">
        <v>101</v>
      </c>
      <c r="V772" t="s">
        <v>231</v>
      </c>
      <c r="W772" t="s">
        <v>231</v>
      </c>
      <c r="X772" t="s">
        <v>5088</v>
      </c>
      <c r="Y772" t="s">
        <v>231</v>
      </c>
      <c r="Z772" t="s">
        <v>160</v>
      </c>
      <c r="AA772" t="s">
        <v>151</v>
      </c>
      <c r="AB772" t="s">
        <v>151</v>
      </c>
      <c r="AC772" t="s">
        <v>343</v>
      </c>
      <c r="AD772" t="s">
        <v>343</v>
      </c>
      <c r="AE772" t="s">
        <v>344</v>
      </c>
      <c r="AF772" t="s">
        <v>3561</v>
      </c>
      <c r="AG772" t="s">
        <v>3562</v>
      </c>
      <c r="AH772" t="s">
        <v>5400</v>
      </c>
      <c r="AI772" t="s">
        <v>3575</v>
      </c>
      <c r="AJ772" t="s">
        <v>3825</v>
      </c>
      <c r="AK772" t="s">
        <v>5401</v>
      </c>
      <c r="AL772" t="s">
        <v>5092</v>
      </c>
      <c r="AN772" t="s">
        <v>5402</v>
      </c>
      <c r="AO772" t="s">
        <v>5403</v>
      </c>
      <c r="AP772" t="s">
        <v>231</v>
      </c>
      <c r="AQ772" t="s">
        <v>231</v>
      </c>
      <c r="AR772" t="s">
        <v>231</v>
      </c>
      <c r="AS772" t="s">
        <v>231</v>
      </c>
      <c r="AT772" t="s">
        <v>231</v>
      </c>
      <c r="AU772" t="s">
        <v>231</v>
      </c>
      <c r="AV772" t="s">
        <v>231</v>
      </c>
      <c r="AW772" t="s">
        <v>231</v>
      </c>
      <c r="AX772" t="s">
        <v>231</v>
      </c>
      <c r="AY772" t="s">
        <v>231</v>
      </c>
      <c r="AZ772" t="s">
        <v>231</v>
      </c>
      <c r="BA772" t="s">
        <v>231</v>
      </c>
      <c r="BB772" t="s">
        <v>231</v>
      </c>
      <c r="BC772" t="s">
        <v>231</v>
      </c>
      <c r="BD772" t="s">
        <v>231</v>
      </c>
      <c r="BE772" t="s">
        <v>231</v>
      </c>
      <c r="BF772" t="s">
        <v>231</v>
      </c>
      <c r="BG772" t="s">
        <v>231</v>
      </c>
      <c r="BH772" t="s">
        <v>231</v>
      </c>
      <c r="BI772" t="s">
        <v>231</v>
      </c>
      <c r="BJ772" t="s">
        <v>231</v>
      </c>
      <c r="BK772" t="s">
        <v>231</v>
      </c>
      <c r="BL772" t="s">
        <v>231</v>
      </c>
      <c r="BM772" t="s">
        <v>231</v>
      </c>
      <c r="BN772" t="s">
        <v>231</v>
      </c>
      <c r="BO772" t="s">
        <v>231</v>
      </c>
      <c r="BP772" t="s">
        <v>231</v>
      </c>
      <c r="BQ772" t="s">
        <v>231</v>
      </c>
      <c r="BR772" t="s">
        <v>231</v>
      </c>
      <c r="BS772" t="s">
        <v>231</v>
      </c>
      <c r="BT772" t="s">
        <v>231</v>
      </c>
      <c r="CS772" t="s">
        <v>231</v>
      </c>
      <c r="CT772" t="s">
        <v>3534</v>
      </c>
      <c r="CU772" t="s">
        <v>3535</v>
      </c>
      <c r="CV772" t="s">
        <v>3536</v>
      </c>
      <c r="CW772" t="s">
        <v>3569</v>
      </c>
      <c r="CX772" t="s">
        <v>3570</v>
      </c>
      <c r="CY772" t="s">
        <v>3536</v>
      </c>
      <c r="CZ772" t="s">
        <v>224</v>
      </c>
      <c r="DA772" t="s">
        <v>3571</v>
      </c>
      <c r="DB772" t="s">
        <v>3569</v>
      </c>
      <c r="DC772" t="s">
        <v>363</v>
      </c>
      <c r="DD772" t="s">
        <v>5099</v>
      </c>
      <c r="DE772" t="s">
        <v>5404</v>
      </c>
    </row>
    <row r="773" spans="1:109" ht="11.25" customHeight="1">
      <c r="A773" s="1314" t="s">
        <v>231</v>
      </c>
      <c r="B773" t="s">
        <v>231</v>
      </c>
      <c r="C773" t="s">
        <v>231</v>
      </c>
      <c r="D773" t="s">
        <v>231</v>
      </c>
      <c r="E773" t="s">
        <v>231</v>
      </c>
      <c r="F773" t="s">
        <v>231</v>
      </c>
      <c r="G773" t="s">
        <v>231</v>
      </c>
      <c r="H773" t="s">
        <v>231</v>
      </c>
      <c r="I773" t="s">
        <v>5086</v>
      </c>
      <c r="J773" t="s">
        <v>231</v>
      </c>
      <c r="K773" t="s">
        <v>231</v>
      </c>
      <c r="L773" t="s">
        <v>231</v>
      </c>
      <c r="M773" t="s">
        <v>231</v>
      </c>
      <c r="N773" t="s">
        <v>231</v>
      </c>
      <c r="O773" t="s">
        <v>231</v>
      </c>
      <c r="P773" t="s">
        <v>231</v>
      </c>
      <c r="Q773" t="s">
        <v>231</v>
      </c>
      <c r="R773" t="s">
        <v>5387</v>
      </c>
      <c r="S773" t="s">
        <v>231</v>
      </c>
      <c r="T773" t="s">
        <v>231</v>
      </c>
      <c r="U773" t="s">
        <v>101</v>
      </c>
      <c r="V773" t="s">
        <v>231</v>
      </c>
      <c r="W773" t="s">
        <v>231</v>
      </c>
      <c r="X773" t="s">
        <v>3628</v>
      </c>
      <c r="Y773" t="s">
        <v>231</v>
      </c>
      <c r="Z773" t="s">
        <v>151</v>
      </c>
      <c r="AA773" t="s">
        <v>151</v>
      </c>
      <c r="AB773" t="s">
        <v>160</v>
      </c>
      <c r="AC773" t="s">
        <v>2289</v>
      </c>
      <c r="AD773" t="s">
        <v>2289</v>
      </c>
      <c r="AE773" t="s">
        <v>2290</v>
      </c>
      <c r="AF773" t="s">
        <v>4020</v>
      </c>
      <c r="AG773" t="s">
        <v>4021</v>
      </c>
      <c r="AH773" t="s">
        <v>3618</v>
      </c>
      <c r="AI773" t="s">
        <v>3618</v>
      </c>
      <c r="AJ773" t="s">
        <v>231</v>
      </c>
      <c r="AK773" t="s">
        <v>231</v>
      </c>
      <c r="AL773" t="s">
        <v>231</v>
      </c>
      <c r="AN773" t="s">
        <v>231</v>
      </c>
      <c r="AO773" t="s">
        <v>231</v>
      </c>
      <c r="AP773" t="s">
        <v>231</v>
      </c>
      <c r="AQ773" t="s">
        <v>231</v>
      </c>
      <c r="AR773" t="s">
        <v>231</v>
      </c>
      <c r="AS773" t="s">
        <v>231</v>
      </c>
      <c r="AT773" t="s">
        <v>231</v>
      </c>
      <c r="AU773" t="s">
        <v>231</v>
      </c>
      <c r="AV773" t="s">
        <v>231</v>
      </c>
      <c r="AW773" t="s">
        <v>231</v>
      </c>
      <c r="AX773" t="s">
        <v>231</v>
      </c>
      <c r="AY773" t="s">
        <v>231</v>
      </c>
      <c r="AZ773" t="s">
        <v>231</v>
      </c>
      <c r="BA773" t="s">
        <v>231</v>
      </c>
      <c r="BB773" t="s">
        <v>231</v>
      </c>
      <c r="BC773" t="s">
        <v>231</v>
      </c>
      <c r="BD773" t="s">
        <v>231</v>
      </c>
      <c r="BE773" t="s">
        <v>3594</v>
      </c>
      <c r="BF773" t="s">
        <v>3775</v>
      </c>
      <c r="BG773" t="s">
        <v>111</v>
      </c>
      <c r="BH773" t="s">
        <v>3632</v>
      </c>
      <c r="BI773" t="s">
        <v>122</v>
      </c>
      <c r="BJ773" t="s">
        <v>231</v>
      </c>
      <c r="BK773" t="s">
        <v>231</v>
      </c>
      <c r="BL773" t="s">
        <v>2289</v>
      </c>
      <c r="BM773" t="s">
        <v>2289</v>
      </c>
      <c r="BN773" t="s">
        <v>3707</v>
      </c>
      <c r="BO773" t="s">
        <v>4020</v>
      </c>
      <c r="BP773" t="s">
        <v>4470</v>
      </c>
      <c r="BQ773" t="s">
        <v>3618</v>
      </c>
      <c r="BR773" t="s">
        <v>3618</v>
      </c>
      <c r="BS773" t="s">
        <v>231</v>
      </c>
      <c r="BT773" t="s">
        <v>3694</v>
      </c>
      <c r="CS773" t="s">
        <v>5212</v>
      </c>
      <c r="CT773" t="s">
        <v>3534</v>
      </c>
      <c r="CU773" t="s">
        <v>3535</v>
      </c>
      <c r="CV773" t="s">
        <v>3536</v>
      </c>
      <c r="CW773" t="s">
        <v>3589</v>
      </c>
      <c r="CX773" t="s">
        <v>223</v>
      </c>
      <c r="CY773" t="s">
        <v>3536</v>
      </c>
      <c r="CZ773" t="s">
        <v>3590</v>
      </c>
      <c r="DA773" t="s">
        <v>3591</v>
      </c>
      <c r="DB773" t="s">
        <v>3589</v>
      </c>
      <c r="DC773" t="s">
        <v>363</v>
      </c>
      <c r="DD773" t="s">
        <v>5099</v>
      </c>
      <c r="DE773" t="s">
        <v>4472</v>
      </c>
    </row>
    <row r="774" spans="1:109" ht="11.25" customHeight="1">
      <c r="A774" s="1314" t="s">
        <v>231</v>
      </c>
      <c r="B774" t="s">
        <v>231</v>
      </c>
      <c r="C774" t="s">
        <v>231</v>
      </c>
      <c r="D774" t="s">
        <v>231</v>
      </c>
      <c r="E774" t="s">
        <v>231</v>
      </c>
      <c r="F774" t="s">
        <v>231</v>
      </c>
      <c r="G774" t="s">
        <v>231</v>
      </c>
      <c r="H774" t="s">
        <v>231</v>
      </c>
      <c r="I774" t="s">
        <v>5086</v>
      </c>
      <c r="J774" t="s">
        <v>231</v>
      </c>
      <c r="K774" t="s">
        <v>231</v>
      </c>
      <c r="L774" t="s">
        <v>231</v>
      </c>
      <c r="M774" t="s">
        <v>231</v>
      </c>
      <c r="N774" t="s">
        <v>231</v>
      </c>
      <c r="O774" t="s">
        <v>231</v>
      </c>
      <c r="P774" t="s">
        <v>231</v>
      </c>
      <c r="Q774" t="s">
        <v>231</v>
      </c>
      <c r="R774" t="s">
        <v>5398</v>
      </c>
      <c r="S774" t="s">
        <v>231</v>
      </c>
      <c r="T774" t="s">
        <v>231</v>
      </c>
      <c r="U774" t="s">
        <v>101</v>
      </c>
      <c r="V774" t="s">
        <v>231</v>
      </c>
      <c r="W774" t="s">
        <v>231</v>
      </c>
      <c r="X774" t="s">
        <v>3628</v>
      </c>
      <c r="Y774" t="s">
        <v>231</v>
      </c>
      <c r="Z774" t="s">
        <v>151</v>
      </c>
      <c r="AA774" t="s">
        <v>151</v>
      </c>
      <c r="AB774" t="s">
        <v>160</v>
      </c>
      <c r="AC774" t="s">
        <v>2289</v>
      </c>
      <c r="AD774" t="s">
        <v>2289</v>
      </c>
      <c r="AE774" t="s">
        <v>2290</v>
      </c>
      <c r="AF774" t="s">
        <v>4511</v>
      </c>
      <c r="AG774" t="s">
        <v>4512</v>
      </c>
      <c r="AH774" t="s">
        <v>3618</v>
      </c>
      <c r="AI774" t="s">
        <v>3618</v>
      </c>
      <c r="AJ774" t="s">
        <v>231</v>
      </c>
      <c r="AK774" t="s">
        <v>231</v>
      </c>
      <c r="AL774" t="s">
        <v>231</v>
      </c>
      <c r="AN774" t="s">
        <v>231</v>
      </c>
      <c r="AO774" t="s">
        <v>231</v>
      </c>
      <c r="AP774" t="s">
        <v>231</v>
      </c>
      <c r="AQ774" t="s">
        <v>231</v>
      </c>
      <c r="AR774" t="s">
        <v>231</v>
      </c>
      <c r="AS774" t="s">
        <v>231</v>
      </c>
      <c r="AT774" t="s">
        <v>231</v>
      </c>
      <c r="AU774" t="s">
        <v>231</v>
      </c>
      <c r="AV774" t="s">
        <v>231</v>
      </c>
      <c r="AW774" t="s">
        <v>231</v>
      </c>
      <c r="AX774" t="s">
        <v>231</v>
      </c>
      <c r="AY774" t="s">
        <v>231</v>
      </c>
      <c r="AZ774" t="s">
        <v>231</v>
      </c>
      <c r="BA774" t="s">
        <v>231</v>
      </c>
      <c r="BB774" t="s">
        <v>231</v>
      </c>
      <c r="BC774" t="s">
        <v>231</v>
      </c>
      <c r="BD774" t="s">
        <v>231</v>
      </c>
      <c r="BE774" t="s">
        <v>3594</v>
      </c>
      <c r="BF774" t="s">
        <v>3775</v>
      </c>
      <c r="BG774" t="s">
        <v>111</v>
      </c>
      <c r="BH774" t="s">
        <v>3632</v>
      </c>
      <c r="BI774" t="s">
        <v>122</v>
      </c>
      <c r="BJ774" t="s">
        <v>231</v>
      </c>
      <c r="BK774" t="s">
        <v>231</v>
      </c>
      <c r="BL774" t="s">
        <v>2289</v>
      </c>
      <c r="BM774" t="s">
        <v>2289</v>
      </c>
      <c r="BN774" t="s">
        <v>3707</v>
      </c>
      <c r="BO774" t="s">
        <v>4511</v>
      </c>
      <c r="BP774" t="s">
        <v>4779</v>
      </c>
      <c r="BQ774" t="s">
        <v>3618</v>
      </c>
      <c r="BR774" t="s">
        <v>3618</v>
      </c>
      <c r="BS774" t="s">
        <v>231</v>
      </c>
      <c r="BT774" t="s">
        <v>3694</v>
      </c>
      <c r="CS774" t="s">
        <v>5212</v>
      </c>
      <c r="CT774" t="s">
        <v>3534</v>
      </c>
      <c r="CU774" t="s">
        <v>3535</v>
      </c>
      <c r="CV774" t="s">
        <v>3536</v>
      </c>
      <c r="CW774" t="s">
        <v>3589</v>
      </c>
      <c r="CX774" t="s">
        <v>223</v>
      </c>
      <c r="CY774" t="s">
        <v>3536</v>
      </c>
      <c r="CZ774" t="s">
        <v>3590</v>
      </c>
      <c r="DA774" t="s">
        <v>3591</v>
      </c>
      <c r="DB774" t="s">
        <v>3589</v>
      </c>
      <c r="DC774" t="s">
        <v>363</v>
      </c>
      <c r="DD774" t="s">
        <v>5099</v>
      </c>
      <c r="DE774" t="s">
        <v>4781</v>
      </c>
    </row>
    <row r="775" spans="1:109" ht="11.25" customHeight="1">
      <c r="A775" s="1314" t="s">
        <v>231</v>
      </c>
      <c r="B775" t="s">
        <v>231</v>
      </c>
      <c r="C775" t="s">
        <v>231</v>
      </c>
      <c r="D775" t="s">
        <v>231</v>
      </c>
      <c r="E775" t="s">
        <v>231</v>
      </c>
      <c r="F775" t="s">
        <v>231</v>
      </c>
      <c r="G775" t="s">
        <v>231</v>
      </c>
      <c r="H775" t="s">
        <v>231</v>
      </c>
      <c r="I775" t="s">
        <v>5086</v>
      </c>
      <c r="J775" t="s">
        <v>231</v>
      </c>
      <c r="K775" t="s">
        <v>231</v>
      </c>
      <c r="L775" t="s">
        <v>231</v>
      </c>
      <c r="M775" t="s">
        <v>231</v>
      </c>
      <c r="N775" t="s">
        <v>231</v>
      </c>
      <c r="O775" t="s">
        <v>231</v>
      </c>
      <c r="P775" t="s">
        <v>231</v>
      </c>
      <c r="Q775" t="s">
        <v>231</v>
      </c>
      <c r="R775" t="s">
        <v>5101</v>
      </c>
      <c r="S775" t="s">
        <v>231</v>
      </c>
      <c r="T775" t="s">
        <v>231</v>
      </c>
      <c r="U775" t="s">
        <v>101</v>
      </c>
      <c r="V775" t="s">
        <v>231</v>
      </c>
      <c r="W775" t="s">
        <v>231</v>
      </c>
      <c r="X775" t="s">
        <v>5088</v>
      </c>
      <c r="Y775" t="s">
        <v>231</v>
      </c>
      <c r="Z775" t="s">
        <v>160</v>
      </c>
      <c r="AA775" t="s">
        <v>151</v>
      </c>
      <c r="AB775" t="s">
        <v>151</v>
      </c>
      <c r="AC775" t="s">
        <v>2691</v>
      </c>
      <c r="AD775" t="s">
        <v>2691</v>
      </c>
      <c r="AE775" t="s">
        <v>2692</v>
      </c>
      <c r="AF775" t="s">
        <v>3991</v>
      </c>
      <c r="AG775" t="s">
        <v>3992</v>
      </c>
      <c r="AH775" t="s">
        <v>5102</v>
      </c>
      <c r="AI775" t="s">
        <v>5103</v>
      </c>
      <c r="AJ775" t="s">
        <v>4960</v>
      </c>
      <c r="AK775" t="s">
        <v>5104</v>
      </c>
      <c r="AL775" t="s">
        <v>5092</v>
      </c>
      <c r="AN775" t="s">
        <v>3595</v>
      </c>
      <c r="AO775" t="s">
        <v>5105</v>
      </c>
      <c r="AP775" t="s">
        <v>231</v>
      </c>
      <c r="AQ775" t="s">
        <v>231</v>
      </c>
      <c r="AR775" t="s">
        <v>231</v>
      </c>
      <c r="AS775" t="s">
        <v>231</v>
      </c>
      <c r="AT775" t="s">
        <v>231</v>
      </c>
      <c r="AU775" t="s">
        <v>231</v>
      </c>
      <c r="AV775" t="s">
        <v>231</v>
      </c>
      <c r="AW775" t="s">
        <v>231</v>
      </c>
      <c r="AX775" t="s">
        <v>231</v>
      </c>
      <c r="AY775" t="s">
        <v>231</v>
      </c>
      <c r="AZ775" t="s">
        <v>231</v>
      </c>
      <c r="BA775" t="s">
        <v>231</v>
      </c>
      <c r="BB775" t="s">
        <v>231</v>
      </c>
      <c r="BC775" t="s">
        <v>231</v>
      </c>
      <c r="BD775" t="s">
        <v>231</v>
      </c>
      <c r="BE775" t="s">
        <v>231</v>
      </c>
      <c r="BF775" t="s">
        <v>231</v>
      </c>
      <c r="BG775" t="s">
        <v>231</v>
      </c>
      <c r="BH775" t="s">
        <v>231</v>
      </c>
      <c r="BI775" t="s">
        <v>231</v>
      </c>
      <c r="BJ775" t="s">
        <v>231</v>
      </c>
      <c r="BK775" t="s">
        <v>231</v>
      </c>
      <c r="BL775" t="s">
        <v>231</v>
      </c>
      <c r="BM775" t="s">
        <v>231</v>
      </c>
      <c r="BN775" t="s">
        <v>231</v>
      </c>
      <c r="BO775" t="s">
        <v>231</v>
      </c>
      <c r="BP775" t="s">
        <v>231</v>
      </c>
      <c r="BQ775" t="s">
        <v>231</v>
      </c>
      <c r="BR775" t="s">
        <v>231</v>
      </c>
      <c r="BS775" t="s">
        <v>231</v>
      </c>
      <c r="BT775" t="s">
        <v>231</v>
      </c>
      <c r="CS775" t="s">
        <v>231</v>
      </c>
      <c r="CT775" t="s">
        <v>3534</v>
      </c>
      <c r="CU775" t="s">
        <v>3535</v>
      </c>
      <c r="CV775" t="s">
        <v>3997</v>
      </c>
      <c r="CW775" t="s">
        <v>3998</v>
      </c>
      <c r="CX775" t="s">
        <v>3570</v>
      </c>
      <c r="CY775" t="s">
        <v>3997</v>
      </c>
      <c r="CZ775" t="s">
        <v>5106</v>
      </c>
      <c r="DA775" t="s">
        <v>3999</v>
      </c>
      <c r="DB775" t="s">
        <v>3998</v>
      </c>
      <c r="DC775" t="s">
        <v>363</v>
      </c>
      <c r="DD775" t="s">
        <v>5099</v>
      </c>
      <c r="DE775" t="s">
        <v>5107</v>
      </c>
    </row>
    <row r="776" spans="1:109" ht="11.25" customHeight="1">
      <c r="A776" s="1314" t="s">
        <v>231</v>
      </c>
      <c r="B776" t="s">
        <v>231</v>
      </c>
      <c r="C776" t="s">
        <v>231</v>
      </c>
      <c r="D776" t="s">
        <v>231</v>
      </c>
      <c r="E776" t="s">
        <v>231</v>
      </c>
      <c r="F776" t="s">
        <v>231</v>
      </c>
      <c r="G776" t="s">
        <v>231</v>
      </c>
      <c r="H776" t="s">
        <v>231</v>
      </c>
      <c r="I776" t="s">
        <v>5086</v>
      </c>
      <c r="J776" t="s">
        <v>231</v>
      </c>
      <c r="K776" t="s">
        <v>231</v>
      </c>
      <c r="L776" t="s">
        <v>231</v>
      </c>
      <c r="M776" t="s">
        <v>231</v>
      </c>
      <c r="N776" t="s">
        <v>231</v>
      </c>
      <c r="O776" t="s">
        <v>231</v>
      </c>
      <c r="P776" t="s">
        <v>231</v>
      </c>
      <c r="Q776" t="s">
        <v>231</v>
      </c>
      <c r="R776" t="s">
        <v>5388</v>
      </c>
      <c r="S776" t="s">
        <v>231</v>
      </c>
      <c r="T776" t="s">
        <v>231</v>
      </c>
      <c r="U776" t="s">
        <v>101</v>
      </c>
      <c r="V776" t="s">
        <v>231</v>
      </c>
      <c r="W776" t="s">
        <v>231</v>
      </c>
      <c r="X776" t="s">
        <v>5088</v>
      </c>
      <c r="Y776" t="s">
        <v>231</v>
      </c>
      <c r="Z776" t="s">
        <v>160</v>
      </c>
      <c r="AA776" t="s">
        <v>151</v>
      </c>
      <c r="AB776" t="s">
        <v>151</v>
      </c>
      <c r="AC776" t="s">
        <v>2691</v>
      </c>
      <c r="AD776" t="s">
        <v>2691</v>
      </c>
      <c r="AE776" t="s">
        <v>2692</v>
      </c>
      <c r="AF776" t="s">
        <v>3991</v>
      </c>
      <c r="AG776" t="s">
        <v>3992</v>
      </c>
      <c r="AH776" t="s">
        <v>5389</v>
      </c>
      <c r="AI776" t="s">
        <v>710</v>
      </c>
      <c r="AJ776" t="s">
        <v>4996</v>
      </c>
      <c r="AK776" t="s">
        <v>5390</v>
      </c>
      <c r="AL776" t="s">
        <v>5092</v>
      </c>
      <c r="AN776" t="s">
        <v>3595</v>
      </c>
      <c r="AO776" t="s">
        <v>5391</v>
      </c>
      <c r="AP776" t="s">
        <v>231</v>
      </c>
      <c r="AQ776" t="s">
        <v>231</v>
      </c>
      <c r="AR776" t="s">
        <v>231</v>
      </c>
      <c r="AS776" t="s">
        <v>231</v>
      </c>
      <c r="AT776" t="s">
        <v>231</v>
      </c>
      <c r="AU776" t="s">
        <v>231</v>
      </c>
      <c r="AV776" t="s">
        <v>231</v>
      </c>
      <c r="AW776" t="s">
        <v>231</v>
      </c>
      <c r="AX776" t="s">
        <v>231</v>
      </c>
      <c r="AY776" t="s">
        <v>231</v>
      </c>
      <c r="AZ776" t="s">
        <v>231</v>
      </c>
      <c r="BA776" t="s">
        <v>231</v>
      </c>
      <c r="BB776" t="s">
        <v>231</v>
      </c>
      <c r="BC776" t="s">
        <v>231</v>
      </c>
      <c r="BD776" t="s">
        <v>231</v>
      </c>
      <c r="BE776" t="s">
        <v>231</v>
      </c>
      <c r="BF776" t="s">
        <v>231</v>
      </c>
      <c r="BG776" t="s">
        <v>231</v>
      </c>
      <c r="BH776" t="s">
        <v>231</v>
      </c>
      <c r="BI776" t="s">
        <v>231</v>
      </c>
      <c r="BJ776" t="s">
        <v>231</v>
      </c>
      <c r="BK776" t="s">
        <v>231</v>
      </c>
      <c r="BL776" t="s">
        <v>231</v>
      </c>
      <c r="BM776" t="s">
        <v>231</v>
      </c>
      <c r="BN776" t="s">
        <v>231</v>
      </c>
      <c r="BO776" t="s">
        <v>231</v>
      </c>
      <c r="BP776" t="s">
        <v>231</v>
      </c>
      <c r="BQ776" t="s">
        <v>231</v>
      </c>
      <c r="BR776" t="s">
        <v>231</v>
      </c>
      <c r="BS776" t="s">
        <v>231</v>
      </c>
      <c r="BT776" t="s">
        <v>231</v>
      </c>
      <c r="CS776" t="s">
        <v>231</v>
      </c>
      <c r="CT776" t="s">
        <v>3534</v>
      </c>
      <c r="CU776" t="s">
        <v>3535</v>
      </c>
      <c r="CV776" t="s">
        <v>3997</v>
      </c>
      <c r="CW776" t="s">
        <v>3998</v>
      </c>
      <c r="CX776" t="s">
        <v>3570</v>
      </c>
      <c r="CY776" t="s">
        <v>3997</v>
      </c>
      <c r="CZ776" t="s">
        <v>5106</v>
      </c>
      <c r="DA776" t="s">
        <v>3999</v>
      </c>
      <c r="DB776" t="s">
        <v>3998</v>
      </c>
      <c r="DC776" t="s">
        <v>363</v>
      </c>
      <c r="DD776" t="s">
        <v>5099</v>
      </c>
      <c r="DE776" t="s">
        <v>5392</v>
      </c>
    </row>
    <row r="777" spans="1:109" ht="11.25" customHeight="1">
      <c r="A777" s="1314" t="s">
        <v>231</v>
      </c>
      <c r="B777" t="s">
        <v>231</v>
      </c>
      <c r="C777" t="s">
        <v>231</v>
      </c>
      <c r="D777" t="s">
        <v>231</v>
      </c>
      <c r="E777" t="s">
        <v>231</v>
      </c>
      <c r="F777" t="s">
        <v>231</v>
      </c>
      <c r="G777" t="s">
        <v>231</v>
      </c>
      <c r="H777" t="s">
        <v>231</v>
      </c>
      <c r="I777" t="s">
        <v>5086</v>
      </c>
      <c r="J777" t="s">
        <v>231</v>
      </c>
      <c r="K777" t="s">
        <v>231</v>
      </c>
      <c r="L777" t="s">
        <v>231</v>
      </c>
      <c r="M777" t="s">
        <v>231</v>
      </c>
      <c r="N777" t="s">
        <v>231</v>
      </c>
      <c r="O777" t="s">
        <v>231</v>
      </c>
      <c r="P777" t="s">
        <v>231</v>
      </c>
      <c r="Q777" t="s">
        <v>231</v>
      </c>
      <c r="R777" t="s">
        <v>5393</v>
      </c>
      <c r="S777" t="s">
        <v>231</v>
      </c>
      <c r="T777" t="s">
        <v>231</v>
      </c>
      <c r="U777" t="s">
        <v>101</v>
      </c>
      <c r="V777" t="s">
        <v>231</v>
      </c>
      <c r="W777" t="s">
        <v>231</v>
      </c>
      <c r="X777" t="s">
        <v>5088</v>
      </c>
      <c r="Y777" t="s">
        <v>231</v>
      </c>
      <c r="Z777" t="s">
        <v>160</v>
      </c>
      <c r="AA777" t="s">
        <v>151</v>
      </c>
      <c r="AB777" t="s">
        <v>151</v>
      </c>
      <c r="AC777" t="s">
        <v>2691</v>
      </c>
      <c r="AD777" t="s">
        <v>2691</v>
      </c>
      <c r="AE777" t="s">
        <v>2692</v>
      </c>
      <c r="AF777" t="s">
        <v>3991</v>
      </c>
      <c r="AG777" t="s">
        <v>3992</v>
      </c>
      <c r="AH777" t="s">
        <v>5394</v>
      </c>
      <c r="AI777" t="s">
        <v>948</v>
      </c>
      <c r="AJ777" t="s">
        <v>4960</v>
      </c>
      <c r="AK777" t="s">
        <v>5395</v>
      </c>
      <c r="AL777" t="s">
        <v>5092</v>
      </c>
      <c r="AN777" t="s">
        <v>3595</v>
      </c>
      <c r="AO777" t="s">
        <v>5396</v>
      </c>
      <c r="AP777" t="s">
        <v>231</v>
      </c>
      <c r="AQ777" t="s">
        <v>231</v>
      </c>
      <c r="AR777" t="s">
        <v>231</v>
      </c>
      <c r="AS777" t="s">
        <v>231</v>
      </c>
      <c r="AT777" t="s">
        <v>231</v>
      </c>
      <c r="AU777" t="s">
        <v>231</v>
      </c>
      <c r="AV777" t="s">
        <v>231</v>
      </c>
      <c r="AW777" t="s">
        <v>231</v>
      </c>
      <c r="AX777" t="s">
        <v>231</v>
      </c>
      <c r="AY777" t="s">
        <v>231</v>
      </c>
      <c r="AZ777" t="s">
        <v>231</v>
      </c>
      <c r="BA777" t="s">
        <v>231</v>
      </c>
      <c r="BB777" t="s">
        <v>231</v>
      </c>
      <c r="BC777" t="s">
        <v>231</v>
      </c>
      <c r="BD777" t="s">
        <v>231</v>
      </c>
      <c r="BE777" t="s">
        <v>231</v>
      </c>
      <c r="BF777" t="s">
        <v>231</v>
      </c>
      <c r="BG777" t="s">
        <v>231</v>
      </c>
      <c r="BH777" t="s">
        <v>231</v>
      </c>
      <c r="BI777" t="s">
        <v>231</v>
      </c>
      <c r="BJ777" t="s">
        <v>231</v>
      </c>
      <c r="BK777" t="s">
        <v>231</v>
      </c>
      <c r="BL777" t="s">
        <v>231</v>
      </c>
      <c r="BM777" t="s">
        <v>231</v>
      </c>
      <c r="BN777" t="s">
        <v>231</v>
      </c>
      <c r="BO777" t="s">
        <v>231</v>
      </c>
      <c r="BP777" t="s">
        <v>231</v>
      </c>
      <c r="BQ777" t="s">
        <v>231</v>
      </c>
      <c r="BR777" t="s">
        <v>231</v>
      </c>
      <c r="BS777" t="s">
        <v>231</v>
      </c>
      <c r="BT777" t="s">
        <v>231</v>
      </c>
      <c r="CS777" t="s">
        <v>231</v>
      </c>
      <c r="CT777" t="s">
        <v>3534</v>
      </c>
      <c r="CU777" t="s">
        <v>3535</v>
      </c>
      <c r="CV777" t="s">
        <v>3997</v>
      </c>
      <c r="CW777" t="s">
        <v>3998</v>
      </c>
      <c r="CX777" t="s">
        <v>3570</v>
      </c>
      <c r="CY777" t="s">
        <v>3997</v>
      </c>
      <c r="CZ777" t="s">
        <v>5106</v>
      </c>
      <c r="DA777" t="s">
        <v>3999</v>
      </c>
      <c r="DB777" t="s">
        <v>3998</v>
      </c>
      <c r="DC777" t="s">
        <v>363</v>
      </c>
      <c r="DD777" t="s">
        <v>5099</v>
      </c>
      <c r="DE777" t="s">
        <v>5397</v>
      </c>
    </row>
    <row r="778" spans="1:109" ht="11.25" customHeight="1">
      <c r="A778" s="1314" t="s">
        <v>231</v>
      </c>
      <c r="B778" t="s">
        <v>231</v>
      </c>
      <c r="C778" t="s">
        <v>231</v>
      </c>
      <c r="D778" t="s">
        <v>231</v>
      </c>
      <c r="E778" t="s">
        <v>231</v>
      </c>
      <c r="F778" t="s">
        <v>231</v>
      </c>
      <c r="G778" t="s">
        <v>231</v>
      </c>
      <c r="H778" t="s">
        <v>231</v>
      </c>
      <c r="I778" t="s">
        <v>5086</v>
      </c>
      <c r="J778" t="s">
        <v>231</v>
      </c>
      <c r="K778" t="s">
        <v>231</v>
      </c>
      <c r="L778" t="s">
        <v>231</v>
      </c>
      <c r="M778" t="s">
        <v>231</v>
      </c>
      <c r="N778" t="s">
        <v>231</v>
      </c>
      <c r="O778" t="s">
        <v>231</v>
      </c>
      <c r="P778" t="s">
        <v>231</v>
      </c>
      <c r="Q778" t="s">
        <v>231</v>
      </c>
      <c r="R778" t="s">
        <v>5329</v>
      </c>
      <c r="S778" t="s">
        <v>231</v>
      </c>
      <c r="T778" t="s">
        <v>231</v>
      </c>
      <c r="U778" t="s">
        <v>101</v>
      </c>
      <c r="V778" t="s">
        <v>231</v>
      </c>
      <c r="W778" t="s">
        <v>231</v>
      </c>
      <c r="X778" t="s">
        <v>5088</v>
      </c>
      <c r="Y778" t="s">
        <v>231</v>
      </c>
      <c r="Z778" t="s">
        <v>160</v>
      </c>
      <c r="AA778" t="s">
        <v>151</v>
      </c>
      <c r="AB778" t="s">
        <v>151</v>
      </c>
      <c r="AC778" t="s">
        <v>2691</v>
      </c>
      <c r="AD778" t="s">
        <v>2691</v>
      </c>
      <c r="AE778" t="s">
        <v>2692</v>
      </c>
      <c r="AF778" t="s">
        <v>3991</v>
      </c>
      <c r="AG778" t="s">
        <v>3992</v>
      </c>
      <c r="AH778" t="s">
        <v>5330</v>
      </c>
      <c r="AI778" t="s">
        <v>3575</v>
      </c>
      <c r="AJ778" t="s">
        <v>3995</v>
      </c>
      <c r="AK778" t="s">
        <v>5215</v>
      </c>
      <c r="AL778" t="s">
        <v>5092</v>
      </c>
      <c r="AN778" t="s">
        <v>3595</v>
      </c>
      <c r="AO778" t="s">
        <v>5331</v>
      </c>
      <c r="AP778" t="s">
        <v>231</v>
      </c>
      <c r="AQ778" t="s">
        <v>231</v>
      </c>
      <c r="AR778" t="s">
        <v>231</v>
      </c>
      <c r="AS778" t="s">
        <v>231</v>
      </c>
      <c r="AT778" t="s">
        <v>231</v>
      </c>
      <c r="AU778" t="s">
        <v>231</v>
      </c>
      <c r="AV778" t="s">
        <v>231</v>
      </c>
      <c r="AW778" t="s">
        <v>231</v>
      </c>
      <c r="AX778" t="s">
        <v>231</v>
      </c>
      <c r="AY778" t="s">
        <v>231</v>
      </c>
      <c r="AZ778" t="s">
        <v>231</v>
      </c>
      <c r="BA778" t="s">
        <v>231</v>
      </c>
      <c r="BB778" t="s">
        <v>231</v>
      </c>
      <c r="BC778" t="s">
        <v>231</v>
      </c>
      <c r="BD778" t="s">
        <v>231</v>
      </c>
      <c r="BE778" t="s">
        <v>231</v>
      </c>
      <c r="BF778" t="s">
        <v>231</v>
      </c>
      <c r="BG778" t="s">
        <v>231</v>
      </c>
      <c r="BH778" t="s">
        <v>231</v>
      </c>
      <c r="BI778" t="s">
        <v>231</v>
      </c>
      <c r="BJ778" t="s">
        <v>231</v>
      </c>
      <c r="BK778" t="s">
        <v>231</v>
      </c>
      <c r="BL778" t="s">
        <v>231</v>
      </c>
      <c r="BM778" t="s">
        <v>231</v>
      </c>
      <c r="BN778" t="s">
        <v>231</v>
      </c>
      <c r="BO778" t="s">
        <v>231</v>
      </c>
      <c r="BP778" t="s">
        <v>231</v>
      </c>
      <c r="BQ778" t="s">
        <v>231</v>
      </c>
      <c r="BR778" t="s">
        <v>231</v>
      </c>
      <c r="BS778" t="s">
        <v>231</v>
      </c>
      <c r="BT778" t="s">
        <v>231</v>
      </c>
      <c r="CS778" t="s">
        <v>231</v>
      </c>
      <c r="CT778" t="s">
        <v>3534</v>
      </c>
      <c r="CU778" t="s">
        <v>3535</v>
      </c>
      <c r="CV778" t="s">
        <v>3997</v>
      </c>
      <c r="CW778" t="s">
        <v>3998</v>
      </c>
      <c r="CX778" t="s">
        <v>3570</v>
      </c>
      <c r="CY778" t="s">
        <v>3997</v>
      </c>
      <c r="CZ778" t="s">
        <v>5106</v>
      </c>
      <c r="DA778" t="s">
        <v>3999</v>
      </c>
      <c r="DB778" t="s">
        <v>3998</v>
      </c>
      <c r="DC778" t="s">
        <v>363</v>
      </c>
      <c r="DD778" t="s">
        <v>5099</v>
      </c>
      <c r="DE778" t="s">
        <v>5332</v>
      </c>
    </row>
    <row r="779" spans="1:109" ht="11.25" customHeight="1">
      <c r="A779" s="1314" t="s">
        <v>231</v>
      </c>
      <c r="B779" t="s">
        <v>231</v>
      </c>
      <c r="C779" t="s">
        <v>231</v>
      </c>
      <c r="D779" t="s">
        <v>231</v>
      </c>
      <c r="E779" t="s">
        <v>231</v>
      </c>
      <c r="F779" t="s">
        <v>231</v>
      </c>
      <c r="G779" t="s">
        <v>231</v>
      </c>
      <c r="H779" t="s">
        <v>231</v>
      </c>
      <c r="I779" t="s">
        <v>5086</v>
      </c>
      <c r="J779" t="s">
        <v>231</v>
      </c>
      <c r="K779" t="s">
        <v>231</v>
      </c>
      <c r="L779" t="s">
        <v>231</v>
      </c>
      <c r="M779" t="s">
        <v>231</v>
      </c>
      <c r="N779" t="s">
        <v>231</v>
      </c>
      <c r="O779" t="s">
        <v>231</v>
      </c>
      <c r="P779" t="s">
        <v>231</v>
      </c>
      <c r="Q779" t="s">
        <v>231</v>
      </c>
      <c r="R779" t="s">
        <v>5108</v>
      </c>
      <c r="S779" t="s">
        <v>231</v>
      </c>
      <c r="T779" t="s">
        <v>231</v>
      </c>
      <c r="U779" t="s">
        <v>101</v>
      </c>
      <c r="V779" t="s">
        <v>231</v>
      </c>
      <c r="W779" t="s">
        <v>231</v>
      </c>
      <c r="X779" t="s">
        <v>5088</v>
      </c>
      <c r="Y779" t="s">
        <v>231</v>
      </c>
      <c r="Z779" t="s">
        <v>160</v>
      </c>
      <c r="AA779" t="s">
        <v>151</v>
      </c>
      <c r="AB779" t="s">
        <v>151</v>
      </c>
      <c r="AC779" t="s">
        <v>2262</v>
      </c>
      <c r="AD779" t="s">
        <v>2262</v>
      </c>
      <c r="AE779" t="s">
        <v>2264</v>
      </c>
      <c r="AF779" t="s">
        <v>4879</v>
      </c>
      <c r="AG779" t="s">
        <v>4880</v>
      </c>
      <c r="AH779" t="s">
        <v>5499</v>
      </c>
      <c r="AI779" t="s">
        <v>4975</v>
      </c>
      <c r="AJ779" t="s">
        <v>5500</v>
      </c>
      <c r="AK779" t="s">
        <v>4960</v>
      </c>
      <c r="AL779" t="s">
        <v>5092</v>
      </c>
      <c r="AN779" t="s">
        <v>3621</v>
      </c>
      <c r="AO779" t="s">
        <v>3679</v>
      </c>
      <c r="AP779" t="s">
        <v>231</v>
      </c>
      <c r="AQ779" t="s">
        <v>231</v>
      </c>
      <c r="AR779" t="s">
        <v>231</v>
      </c>
      <c r="AS779" t="s">
        <v>231</v>
      </c>
      <c r="AT779" t="s">
        <v>231</v>
      </c>
      <c r="AU779" t="s">
        <v>231</v>
      </c>
      <c r="AV779" t="s">
        <v>231</v>
      </c>
      <c r="AW779" t="s">
        <v>231</v>
      </c>
      <c r="AX779" t="s">
        <v>231</v>
      </c>
      <c r="AY779" t="s">
        <v>231</v>
      </c>
      <c r="AZ779" t="s">
        <v>231</v>
      </c>
      <c r="BA779" t="s">
        <v>231</v>
      </c>
      <c r="BB779" t="s">
        <v>231</v>
      </c>
      <c r="BC779" t="s">
        <v>231</v>
      </c>
      <c r="BD779" t="s">
        <v>231</v>
      </c>
      <c r="BE779" t="s">
        <v>231</v>
      </c>
      <c r="BF779" t="s">
        <v>231</v>
      </c>
      <c r="BG779" t="s">
        <v>231</v>
      </c>
      <c r="BH779" t="s">
        <v>231</v>
      </c>
      <c r="BI779" t="s">
        <v>231</v>
      </c>
      <c r="BJ779" t="s">
        <v>231</v>
      </c>
      <c r="BK779" t="s">
        <v>231</v>
      </c>
      <c r="BL779" t="s">
        <v>231</v>
      </c>
      <c r="BM779" t="s">
        <v>231</v>
      </c>
      <c r="BN779" t="s">
        <v>231</v>
      </c>
      <c r="BO779" t="s">
        <v>231</v>
      </c>
      <c r="BP779" t="s">
        <v>231</v>
      </c>
      <c r="BQ779" t="s">
        <v>231</v>
      </c>
      <c r="BR779" t="s">
        <v>231</v>
      </c>
      <c r="BS779" t="s">
        <v>231</v>
      </c>
      <c r="BT779" t="s">
        <v>231</v>
      </c>
      <c r="CS779" t="s">
        <v>231</v>
      </c>
      <c r="CT779" t="s">
        <v>3534</v>
      </c>
      <c r="CU779" t="s">
        <v>3535</v>
      </c>
      <c r="CV779" t="s">
        <v>3536</v>
      </c>
      <c r="CW779" t="s">
        <v>4891</v>
      </c>
      <c r="CX779" t="s">
        <v>223</v>
      </c>
      <c r="CY779" t="s">
        <v>3536</v>
      </c>
      <c r="CZ779" t="s">
        <v>321</v>
      </c>
      <c r="DA779" t="s">
        <v>3539</v>
      </c>
      <c r="DB779" t="s">
        <v>4891</v>
      </c>
      <c r="DC779" t="s">
        <v>363</v>
      </c>
      <c r="DD779" t="s">
        <v>5099</v>
      </c>
      <c r="DE779" t="s">
        <v>5501</v>
      </c>
    </row>
    <row r="780" spans="1:109" ht="11.25" customHeight="1">
      <c r="A780" s="1314" t="s">
        <v>231</v>
      </c>
      <c r="B780" t="s">
        <v>231</v>
      </c>
      <c r="C780" t="s">
        <v>231</v>
      </c>
      <c r="D780" t="s">
        <v>231</v>
      </c>
      <c r="E780" t="s">
        <v>231</v>
      </c>
      <c r="F780" t="s">
        <v>231</v>
      </c>
      <c r="G780" t="s">
        <v>231</v>
      </c>
      <c r="H780" t="s">
        <v>231</v>
      </c>
      <c r="I780" t="s">
        <v>5086</v>
      </c>
      <c r="J780" t="s">
        <v>231</v>
      </c>
      <c r="K780" t="s">
        <v>231</v>
      </c>
      <c r="L780" t="s">
        <v>231</v>
      </c>
      <c r="M780" t="s">
        <v>231</v>
      </c>
      <c r="N780" t="s">
        <v>231</v>
      </c>
      <c r="O780" t="s">
        <v>231</v>
      </c>
      <c r="P780" t="s">
        <v>231</v>
      </c>
      <c r="Q780" t="s">
        <v>231</v>
      </c>
      <c r="R780" t="s">
        <v>5517</v>
      </c>
      <c r="S780" t="s">
        <v>231</v>
      </c>
      <c r="T780" t="s">
        <v>231</v>
      </c>
      <c r="U780" t="s">
        <v>101</v>
      </c>
      <c r="V780" t="s">
        <v>231</v>
      </c>
      <c r="W780" t="s">
        <v>231</v>
      </c>
      <c r="X780" t="s">
        <v>5088</v>
      </c>
      <c r="Y780" t="s">
        <v>231</v>
      </c>
      <c r="Z780" t="s">
        <v>160</v>
      </c>
      <c r="AA780" t="s">
        <v>151</v>
      </c>
      <c r="AB780" t="s">
        <v>151</v>
      </c>
      <c r="AC780" t="s">
        <v>2262</v>
      </c>
      <c r="AD780" t="s">
        <v>2262</v>
      </c>
      <c r="AE780" t="s">
        <v>2264</v>
      </c>
      <c r="AF780" t="s">
        <v>4879</v>
      </c>
      <c r="AG780" t="s">
        <v>4880</v>
      </c>
      <c r="AH780" t="s">
        <v>5518</v>
      </c>
      <c r="AI780" t="s">
        <v>3575</v>
      </c>
      <c r="AJ780" t="s">
        <v>5519</v>
      </c>
      <c r="AK780" t="s">
        <v>5201</v>
      </c>
      <c r="AL780" t="s">
        <v>5092</v>
      </c>
      <c r="AN780" t="s">
        <v>3595</v>
      </c>
      <c r="AO780" t="s">
        <v>5260</v>
      </c>
      <c r="AP780" t="s">
        <v>231</v>
      </c>
      <c r="AQ780" t="s">
        <v>231</v>
      </c>
      <c r="AR780" t="s">
        <v>231</v>
      </c>
      <c r="AS780" t="s">
        <v>231</v>
      </c>
      <c r="AT780" t="s">
        <v>231</v>
      </c>
      <c r="AU780" t="s">
        <v>231</v>
      </c>
      <c r="AV780" t="s">
        <v>231</v>
      </c>
      <c r="AW780" t="s">
        <v>231</v>
      </c>
      <c r="AX780" t="s">
        <v>231</v>
      </c>
      <c r="AY780" t="s">
        <v>231</v>
      </c>
      <c r="AZ780" t="s">
        <v>231</v>
      </c>
      <c r="BA780" t="s">
        <v>231</v>
      </c>
      <c r="BB780" t="s">
        <v>231</v>
      </c>
      <c r="BC780" t="s">
        <v>231</v>
      </c>
      <c r="BD780" t="s">
        <v>231</v>
      </c>
      <c r="BE780" t="s">
        <v>231</v>
      </c>
      <c r="BF780" t="s">
        <v>231</v>
      </c>
      <c r="BG780" t="s">
        <v>231</v>
      </c>
      <c r="BH780" t="s">
        <v>231</v>
      </c>
      <c r="BI780" t="s">
        <v>231</v>
      </c>
      <c r="BJ780" t="s">
        <v>231</v>
      </c>
      <c r="BK780" t="s">
        <v>231</v>
      </c>
      <c r="BL780" t="s">
        <v>231</v>
      </c>
      <c r="BM780" t="s">
        <v>231</v>
      </c>
      <c r="BN780" t="s">
        <v>231</v>
      </c>
      <c r="BO780" t="s">
        <v>231</v>
      </c>
      <c r="BP780" t="s">
        <v>231</v>
      </c>
      <c r="BQ780" t="s">
        <v>231</v>
      </c>
      <c r="BR780" t="s">
        <v>231</v>
      </c>
      <c r="BS780" t="s">
        <v>231</v>
      </c>
      <c r="BT780" t="s">
        <v>231</v>
      </c>
      <c r="CS780" t="s">
        <v>231</v>
      </c>
      <c r="CT780" t="s">
        <v>3534</v>
      </c>
      <c r="CU780" t="s">
        <v>3535</v>
      </c>
      <c r="CV780" t="s">
        <v>3536</v>
      </c>
      <c r="CW780" t="s">
        <v>4891</v>
      </c>
      <c r="CX780" t="s">
        <v>223</v>
      </c>
      <c r="CY780" t="s">
        <v>3536</v>
      </c>
      <c r="CZ780" t="s">
        <v>321</v>
      </c>
      <c r="DA780" t="s">
        <v>3539</v>
      </c>
      <c r="DB780" t="s">
        <v>4891</v>
      </c>
      <c r="DC780" t="s">
        <v>363</v>
      </c>
      <c r="DD780" t="s">
        <v>5099</v>
      </c>
      <c r="DE780" t="s">
        <v>5520</v>
      </c>
    </row>
    <row r="781" spans="1:109" ht="11.25" customHeight="1">
      <c r="A781" s="1314" t="s">
        <v>231</v>
      </c>
      <c r="B781" t="s">
        <v>231</v>
      </c>
      <c r="C781" t="s">
        <v>231</v>
      </c>
      <c r="D781" t="s">
        <v>231</v>
      </c>
      <c r="E781" t="s">
        <v>231</v>
      </c>
      <c r="F781" t="s">
        <v>231</v>
      </c>
      <c r="G781" t="s">
        <v>231</v>
      </c>
      <c r="H781" t="s">
        <v>231</v>
      </c>
      <c r="I781" t="s">
        <v>5086</v>
      </c>
      <c r="J781" t="s">
        <v>231</v>
      </c>
      <c r="K781" t="s">
        <v>231</v>
      </c>
      <c r="L781" t="s">
        <v>231</v>
      </c>
      <c r="M781" t="s">
        <v>231</v>
      </c>
      <c r="N781" t="s">
        <v>231</v>
      </c>
      <c r="O781" t="s">
        <v>231</v>
      </c>
      <c r="P781" t="s">
        <v>231</v>
      </c>
      <c r="Q781" t="s">
        <v>231</v>
      </c>
      <c r="R781" t="s">
        <v>5405</v>
      </c>
      <c r="S781" t="s">
        <v>231</v>
      </c>
      <c r="T781" t="s">
        <v>231</v>
      </c>
      <c r="U781" t="s">
        <v>101</v>
      </c>
      <c r="V781" t="s">
        <v>231</v>
      </c>
      <c r="W781" t="s">
        <v>231</v>
      </c>
      <c r="X781" t="s">
        <v>3628</v>
      </c>
      <c r="Y781" t="s">
        <v>231</v>
      </c>
      <c r="Z781" t="s">
        <v>151</v>
      </c>
      <c r="AA781" t="s">
        <v>151</v>
      </c>
      <c r="AB781" t="s">
        <v>160</v>
      </c>
      <c r="AC781" t="s">
        <v>2289</v>
      </c>
      <c r="AD781" t="s">
        <v>2289</v>
      </c>
      <c r="AE781" t="s">
        <v>2290</v>
      </c>
      <c r="AF781" t="s">
        <v>3930</v>
      </c>
      <c r="AG781" t="s">
        <v>3931</v>
      </c>
      <c r="AH781" t="s">
        <v>3618</v>
      </c>
      <c r="AI781" t="s">
        <v>3618</v>
      </c>
      <c r="AJ781" t="s">
        <v>231</v>
      </c>
      <c r="AK781" t="s">
        <v>231</v>
      </c>
      <c r="AL781" t="s">
        <v>231</v>
      </c>
      <c r="AN781" t="s">
        <v>231</v>
      </c>
      <c r="AO781" t="s">
        <v>231</v>
      </c>
      <c r="AP781" t="s">
        <v>231</v>
      </c>
      <c r="AQ781" t="s">
        <v>231</v>
      </c>
      <c r="AR781" t="s">
        <v>231</v>
      </c>
      <c r="AS781" t="s">
        <v>231</v>
      </c>
      <c r="AT781" t="s">
        <v>231</v>
      </c>
      <c r="AU781" t="s">
        <v>231</v>
      </c>
      <c r="AV781" t="s">
        <v>231</v>
      </c>
      <c r="AW781" t="s">
        <v>231</v>
      </c>
      <c r="AX781" t="s">
        <v>231</v>
      </c>
      <c r="AY781" t="s">
        <v>231</v>
      </c>
      <c r="AZ781" t="s">
        <v>231</v>
      </c>
      <c r="BA781" t="s">
        <v>231</v>
      </c>
      <c r="BB781" t="s">
        <v>231</v>
      </c>
      <c r="BC781" t="s">
        <v>231</v>
      </c>
      <c r="BD781" t="s">
        <v>231</v>
      </c>
      <c r="BE781" t="s">
        <v>3546</v>
      </c>
      <c r="BF781" t="s">
        <v>3820</v>
      </c>
      <c r="BG781" t="s">
        <v>111</v>
      </c>
      <c r="BH781" t="s">
        <v>3632</v>
      </c>
      <c r="BI781" t="s">
        <v>122</v>
      </c>
      <c r="BJ781" t="s">
        <v>231</v>
      </c>
      <c r="BK781" t="s">
        <v>231</v>
      </c>
      <c r="BL781" t="s">
        <v>2289</v>
      </c>
      <c r="BM781" t="s">
        <v>2289</v>
      </c>
      <c r="BN781" t="s">
        <v>3707</v>
      </c>
      <c r="BO781" t="s">
        <v>3930</v>
      </c>
      <c r="BP781" t="s">
        <v>4894</v>
      </c>
      <c r="BQ781" t="s">
        <v>3618</v>
      </c>
      <c r="BR781" t="s">
        <v>3618</v>
      </c>
      <c r="BS781" t="s">
        <v>231</v>
      </c>
      <c r="BT781" t="s">
        <v>3694</v>
      </c>
      <c r="CS781" t="s">
        <v>5212</v>
      </c>
      <c r="CT781" t="s">
        <v>3534</v>
      </c>
      <c r="CU781" t="s">
        <v>3535</v>
      </c>
      <c r="CV781" t="s">
        <v>3536</v>
      </c>
      <c r="CW781" t="s">
        <v>3589</v>
      </c>
      <c r="CX781" t="s">
        <v>223</v>
      </c>
      <c r="CY781" t="s">
        <v>3536</v>
      </c>
      <c r="CZ781" t="s">
        <v>3590</v>
      </c>
      <c r="DA781" t="s">
        <v>3591</v>
      </c>
      <c r="DB781" t="s">
        <v>3589</v>
      </c>
      <c r="DC781" t="s">
        <v>363</v>
      </c>
      <c r="DD781" t="s">
        <v>5099</v>
      </c>
      <c r="DE781" t="s">
        <v>4896</v>
      </c>
    </row>
    <row r="782" spans="1:109" ht="11.25" customHeight="1">
      <c r="A782" s="1314" t="s">
        <v>231</v>
      </c>
      <c r="B782" t="s">
        <v>231</v>
      </c>
      <c r="C782" t="s">
        <v>231</v>
      </c>
      <c r="D782" t="s">
        <v>231</v>
      </c>
      <c r="E782" t="s">
        <v>231</v>
      </c>
      <c r="F782" t="s">
        <v>231</v>
      </c>
      <c r="G782" t="s">
        <v>231</v>
      </c>
      <c r="H782" t="s">
        <v>231</v>
      </c>
      <c r="I782" t="s">
        <v>5086</v>
      </c>
      <c r="J782" t="s">
        <v>231</v>
      </c>
      <c r="K782" t="s">
        <v>231</v>
      </c>
      <c r="L782" t="s">
        <v>231</v>
      </c>
      <c r="M782" t="s">
        <v>231</v>
      </c>
      <c r="N782" t="s">
        <v>231</v>
      </c>
      <c r="O782" t="s">
        <v>231</v>
      </c>
      <c r="P782" t="s">
        <v>231</v>
      </c>
      <c r="Q782" t="s">
        <v>231</v>
      </c>
      <c r="R782" t="s">
        <v>5508</v>
      </c>
      <c r="S782" t="s">
        <v>231</v>
      </c>
      <c r="T782" t="s">
        <v>231</v>
      </c>
      <c r="U782" t="s">
        <v>101</v>
      </c>
      <c r="V782" t="s">
        <v>231</v>
      </c>
      <c r="W782" t="s">
        <v>231</v>
      </c>
      <c r="X782" t="s">
        <v>3628</v>
      </c>
      <c r="Y782" t="s">
        <v>231</v>
      </c>
      <c r="Z782" t="s">
        <v>151</v>
      </c>
      <c r="AA782" t="s">
        <v>151</v>
      </c>
      <c r="AB782" t="s">
        <v>160</v>
      </c>
      <c r="AC782" t="s">
        <v>2289</v>
      </c>
      <c r="AD782" t="s">
        <v>2289</v>
      </c>
      <c r="AE782" t="s">
        <v>2290</v>
      </c>
      <c r="AF782" t="s">
        <v>4454</v>
      </c>
      <c r="AG782" t="s">
        <v>4455</v>
      </c>
      <c r="AH782" t="s">
        <v>3618</v>
      </c>
      <c r="AI782" t="s">
        <v>3618</v>
      </c>
      <c r="AJ782" t="s">
        <v>231</v>
      </c>
      <c r="AK782" t="s">
        <v>231</v>
      </c>
      <c r="AL782" t="s">
        <v>231</v>
      </c>
      <c r="AN782" t="s">
        <v>231</v>
      </c>
      <c r="AO782" t="s">
        <v>231</v>
      </c>
      <c r="AP782" t="s">
        <v>231</v>
      </c>
      <c r="AQ782" t="s">
        <v>231</v>
      </c>
      <c r="AR782" t="s">
        <v>231</v>
      </c>
      <c r="AS782" t="s">
        <v>231</v>
      </c>
      <c r="AT782" t="s">
        <v>231</v>
      </c>
      <c r="AU782" t="s">
        <v>231</v>
      </c>
      <c r="AV782" t="s">
        <v>231</v>
      </c>
      <c r="AW782" t="s">
        <v>231</v>
      </c>
      <c r="AX782" t="s">
        <v>231</v>
      </c>
      <c r="AY782" t="s">
        <v>231</v>
      </c>
      <c r="AZ782" t="s">
        <v>231</v>
      </c>
      <c r="BA782" t="s">
        <v>231</v>
      </c>
      <c r="BB782" t="s">
        <v>231</v>
      </c>
      <c r="BC782" t="s">
        <v>231</v>
      </c>
      <c r="BD782" t="s">
        <v>231</v>
      </c>
      <c r="BE782" t="s">
        <v>3586</v>
      </c>
      <c r="BF782" t="s">
        <v>3716</v>
      </c>
      <c r="BG782" t="s">
        <v>111</v>
      </c>
      <c r="BH782" t="s">
        <v>3632</v>
      </c>
      <c r="BI782" t="s">
        <v>122</v>
      </c>
      <c r="BJ782" t="s">
        <v>231</v>
      </c>
      <c r="BK782" t="s">
        <v>231</v>
      </c>
      <c r="BL782" t="s">
        <v>2289</v>
      </c>
      <c r="BM782" t="s">
        <v>2289</v>
      </c>
      <c r="BN782" t="s">
        <v>3707</v>
      </c>
      <c r="BO782" t="s">
        <v>4454</v>
      </c>
      <c r="BP782" t="s">
        <v>4933</v>
      </c>
      <c r="BQ782" t="s">
        <v>3618</v>
      </c>
      <c r="BR782" t="s">
        <v>3618</v>
      </c>
      <c r="BS782" t="s">
        <v>231</v>
      </c>
      <c r="BT782" t="s">
        <v>3694</v>
      </c>
      <c r="CS782" t="s">
        <v>5212</v>
      </c>
      <c r="CT782" t="s">
        <v>3534</v>
      </c>
      <c r="CU782" t="s">
        <v>3535</v>
      </c>
      <c r="CV782" t="s">
        <v>3536</v>
      </c>
      <c r="CW782" t="s">
        <v>3589</v>
      </c>
      <c r="CX782" t="s">
        <v>223</v>
      </c>
      <c r="CY782" t="s">
        <v>3536</v>
      </c>
      <c r="CZ782" t="s">
        <v>3590</v>
      </c>
      <c r="DA782" t="s">
        <v>3591</v>
      </c>
      <c r="DB782" t="s">
        <v>3589</v>
      </c>
      <c r="DC782" t="s">
        <v>363</v>
      </c>
      <c r="DD782" t="s">
        <v>5099</v>
      </c>
      <c r="DE782" t="s">
        <v>4935</v>
      </c>
    </row>
    <row r="783" spans="1:109" ht="11.25" customHeight="1">
      <c r="A783" s="1314" t="s">
        <v>231</v>
      </c>
      <c r="B783" t="s">
        <v>231</v>
      </c>
      <c r="C783" t="s">
        <v>231</v>
      </c>
      <c r="D783" t="s">
        <v>231</v>
      </c>
      <c r="E783" t="s">
        <v>231</v>
      </c>
      <c r="F783" t="s">
        <v>231</v>
      </c>
      <c r="G783" t="s">
        <v>231</v>
      </c>
      <c r="H783" t="s">
        <v>231</v>
      </c>
      <c r="I783" t="s">
        <v>5086</v>
      </c>
      <c r="J783" t="s">
        <v>231</v>
      </c>
      <c r="K783" t="s">
        <v>231</v>
      </c>
      <c r="L783" t="s">
        <v>231</v>
      </c>
      <c r="M783" t="s">
        <v>231</v>
      </c>
      <c r="N783" t="s">
        <v>231</v>
      </c>
      <c r="O783" t="s">
        <v>231</v>
      </c>
      <c r="P783" t="s">
        <v>231</v>
      </c>
      <c r="Q783" t="s">
        <v>231</v>
      </c>
      <c r="R783" t="s">
        <v>5505</v>
      </c>
      <c r="S783" t="s">
        <v>231</v>
      </c>
      <c r="T783" t="s">
        <v>231</v>
      </c>
      <c r="U783" t="s">
        <v>101</v>
      </c>
      <c r="V783" t="s">
        <v>231</v>
      </c>
      <c r="W783" t="s">
        <v>231</v>
      </c>
      <c r="X783" t="s">
        <v>5088</v>
      </c>
      <c r="Y783" t="s">
        <v>231</v>
      </c>
      <c r="Z783" t="s">
        <v>160</v>
      </c>
      <c r="AA783" t="s">
        <v>151</v>
      </c>
      <c r="AB783" t="s">
        <v>151</v>
      </c>
      <c r="AC783" t="s">
        <v>2691</v>
      </c>
      <c r="AD783" t="s">
        <v>2691</v>
      </c>
      <c r="AE783" t="s">
        <v>2692</v>
      </c>
      <c r="AF783" t="s">
        <v>3991</v>
      </c>
      <c r="AG783" t="s">
        <v>3992</v>
      </c>
      <c r="AH783" t="s">
        <v>4742</v>
      </c>
      <c r="AI783" t="s">
        <v>482</v>
      </c>
      <c r="AJ783" t="s">
        <v>3621</v>
      </c>
      <c r="AK783" t="s">
        <v>3621</v>
      </c>
      <c r="AL783" t="s">
        <v>5092</v>
      </c>
      <c r="AN783" t="s">
        <v>3595</v>
      </c>
      <c r="AO783" t="s">
        <v>5506</v>
      </c>
      <c r="AP783" t="s">
        <v>231</v>
      </c>
      <c r="AQ783" t="s">
        <v>231</v>
      </c>
      <c r="AR783" t="s">
        <v>231</v>
      </c>
      <c r="AS783" t="s">
        <v>231</v>
      </c>
      <c r="AT783" t="s">
        <v>231</v>
      </c>
      <c r="AU783" t="s">
        <v>231</v>
      </c>
      <c r="AV783" t="s">
        <v>231</v>
      </c>
      <c r="AW783" t="s">
        <v>231</v>
      </c>
      <c r="AX783" t="s">
        <v>231</v>
      </c>
      <c r="AY783" t="s">
        <v>231</v>
      </c>
      <c r="AZ783" t="s">
        <v>231</v>
      </c>
      <c r="BA783" t="s">
        <v>231</v>
      </c>
      <c r="BB783" t="s">
        <v>231</v>
      </c>
      <c r="BC783" t="s">
        <v>231</v>
      </c>
      <c r="BD783" t="s">
        <v>231</v>
      </c>
      <c r="BE783" t="s">
        <v>231</v>
      </c>
      <c r="BF783" t="s">
        <v>231</v>
      </c>
      <c r="BG783" t="s">
        <v>231</v>
      </c>
      <c r="BH783" t="s">
        <v>231</v>
      </c>
      <c r="BI783" t="s">
        <v>231</v>
      </c>
      <c r="BJ783" t="s">
        <v>231</v>
      </c>
      <c r="BK783" t="s">
        <v>231</v>
      </c>
      <c r="BL783" t="s">
        <v>231</v>
      </c>
      <c r="BM783" t="s">
        <v>231</v>
      </c>
      <c r="BN783" t="s">
        <v>231</v>
      </c>
      <c r="BO783" t="s">
        <v>231</v>
      </c>
      <c r="BP783" t="s">
        <v>231</v>
      </c>
      <c r="BQ783" t="s">
        <v>231</v>
      </c>
      <c r="BR783" t="s">
        <v>231</v>
      </c>
      <c r="BS783" t="s">
        <v>231</v>
      </c>
      <c r="BT783" t="s">
        <v>231</v>
      </c>
      <c r="CS783" t="s">
        <v>231</v>
      </c>
      <c r="CT783" t="s">
        <v>3534</v>
      </c>
      <c r="CU783" t="s">
        <v>3535</v>
      </c>
      <c r="CV783" t="s">
        <v>3997</v>
      </c>
      <c r="CW783" t="s">
        <v>3998</v>
      </c>
      <c r="CX783" t="s">
        <v>3570</v>
      </c>
      <c r="CY783" t="s">
        <v>3997</v>
      </c>
      <c r="CZ783" t="s">
        <v>5106</v>
      </c>
      <c r="DA783" t="s">
        <v>3999</v>
      </c>
      <c r="DB783" t="s">
        <v>3998</v>
      </c>
      <c r="DC783" t="s">
        <v>363</v>
      </c>
      <c r="DD783" t="s">
        <v>5099</v>
      </c>
      <c r="DE783" t="s">
        <v>4746</v>
      </c>
    </row>
    <row r="784" spans="1:109" ht="11.25" customHeight="1">
      <c r="A784" s="1314" t="s">
        <v>231</v>
      </c>
      <c r="B784" t="s">
        <v>231</v>
      </c>
      <c r="C784" t="s">
        <v>231</v>
      </c>
      <c r="D784" t="s">
        <v>231</v>
      </c>
      <c r="E784" t="s">
        <v>231</v>
      </c>
      <c r="F784" t="s">
        <v>231</v>
      </c>
      <c r="G784" t="s">
        <v>231</v>
      </c>
      <c r="H784" t="s">
        <v>231</v>
      </c>
      <c r="I784" t="s">
        <v>5086</v>
      </c>
      <c r="J784" t="s">
        <v>231</v>
      </c>
      <c r="K784" t="s">
        <v>231</v>
      </c>
      <c r="L784" t="s">
        <v>231</v>
      </c>
      <c r="M784" t="s">
        <v>231</v>
      </c>
      <c r="N784" t="s">
        <v>231</v>
      </c>
      <c r="O784" t="s">
        <v>231</v>
      </c>
      <c r="P784" t="s">
        <v>231</v>
      </c>
      <c r="Q784" t="s">
        <v>231</v>
      </c>
      <c r="R784" t="s">
        <v>5502</v>
      </c>
      <c r="S784" t="s">
        <v>231</v>
      </c>
      <c r="T784" t="s">
        <v>231</v>
      </c>
      <c r="U784" t="s">
        <v>101</v>
      </c>
      <c r="V784" t="s">
        <v>231</v>
      </c>
      <c r="W784" t="s">
        <v>231</v>
      </c>
      <c r="X784" t="s">
        <v>5088</v>
      </c>
      <c r="Y784" t="s">
        <v>231</v>
      </c>
      <c r="Z784" t="s">
        <v>160</v>
      </c>
      <c r="AA784" t="s">
        <v>151</v>
      </c>
      <c r="AB784" t="s">
        <v>151</v>
      </c>
      <c r="AC784" t="s">
        <v>2691</v>
      </c>
      <c r="AD784" t="s">
        <v>2691</v>
      </c>
      <c r="AE784" t="s">
        <v>2692</v>
      </c>
      <c r="AF784" t="s">
        <v>3991</v>
      </c>
      <c r="AG784" t="s">
        <v>3992</v>
      </c>
      <c r="AH784" t="s">
        <v>4277</v>
      </c>
      <c r="AI784" t="s">
        <v>4624</v>
      </c>
      <c r="AJ784" t="s">
        <v>3867</v>
      </c>
      <c r="AK784" t="s">
        <v>3867</v>
      </c>
      <c r="AL784" t="s">
        <v>5092</v>
      </c>
      <c r="AN784" t="s">
        <v>3595</v>
      </c>
      <c r="AO784" t="s">
        <v>5503</v>
      </c>
      <c r="AP784" t="s">
        <v>231</v>
      </c>
      <c r="AQ784" t="s">
        <v>231</v>
      </c>
      <c r="AR784" t="s">
        <v>231</v>
      </c>
      <c r="AS784" t="s">
        <v>231</v>
      </c>
      <c r="AT784" t="s">
        <v>231</v>
      </c>
      <c r="AU784" t="s">
        <v>231</v>
      </c>
      <c r="AV784" t="s">
        <v>231</v>
      </c>
      <c r="AW784" t="s">
        <v>231</v>
      </c>
      <c r="AX784" t="s">
        <v>231</v>
      </c>
      <c r="AY784" t="s">
        <v>231</v>
      </c>
      <c r="AZ784" t="s">
        <v>231</v>
      </c>
      <c r="BA784" t="s">
        <v>231</v>
      </c>
      <c r="BB784" t="s">
        <v>231</v>
      </c>
      <c r="BC784" t="s">
        <v>231</v>
      </c>
      <c r="BD784" t="s">
        <v>231</v>
      </c>
      <c r="BE784" t="s">
        <v>231</v>
      </c>
      <c r="BF784" t="s">
        <v>231</v>
      </c>
      <c r="BG784" t="s">
        <v>231</v>
      </c>
      <c r="BH784" t="s">
        <v>231</v>
      </c>
      <c r="BI784" t="s">
        <v>231</v>
      </c>
      <c r="BJ784" t="s">
        <v>231</v>
      </c>
      <c r="BK784" t="s">
        <v>231</v>
      </c>
      <c r="BL784" t="s">
        <v>231</v>
      </c>
      <c r="BM784" t="s">
        <v>231</v>
      </c>
      <c r="BN784" t="s">
        <v>231</v>
      </c>
      <c r="BO784" t="s">
        <v>231</v>
      </c>
      <c r="BP784" t="s">
        <v>231</v>
      </c>
      <c r="BQ784" t="s">
        <v>231</v>
      </c>
      <c r="BR784" t="s">
        <v>231</v>
      </c>
      <c r="BS784" t="s">
        <v>231</v>
      </c>
      <c r="BT784" t="s">
        <v>231</v>
      </c>
      <c r="CS784" t="s">
        <v>231</v>
      </c>
      <c r="CT784" t="s">
        <v>3534</v>
      </c>
      <c r="CU784" t="s">
        <v>3535</v>
      </c>
      <c r="CV784" t="s">
        <v>3997</v>
      </c>
      <c r="CW784" t="s">
        <v>3998</v>
      </c>
      <c r="CX784" t="s">
        <v>3570</v>
      </c>
      <c r="CY784" t="s">
        <v>3997</v>
      </c>
      <c r="CZ784" t="s">
        <v>5106</v>
      </c>
      <c r="DA784" t="s">
        <v>3999</v>
      </c>
      <c r="DB784" t="s">
        <v>3998</v>
      </c>
      <c r="DC784" t="s">
        <v>363</v>
      </c>
      <c r="DD784" t="s">
        <v>5099</v>
      </c>
      <c r="DE784" t="s">
        <v>5504</v>
      </c>
    </row>
    <row r="785" spans="1:109" ht="11.25" customHeight="1">
      <c r="A785" s="1314" t="s">
        <v>231</v>
      </c>
      <c r="B785" t="s">
        <v>231</v>
      </c>
      <c r="C785" t="s">
        <v>231</v>
      </c>
      <c r="D785" t="s">
        <v>231</v>
      </c>
      <c r="E785" t="s">
        <v>231</v>
      </c>
      <c r="F785" t="s">
        <v>231</v>
      </c>
      <c r="G785" t="s">
        <v>231</v>
      </c>
      <c r="H785" t="s">
        <v>231</v>
      </c>
      <c r="I785" t="s">
        <v>5086</v>
      </c>
      <c r="J785" t="s">
        <v>231</v>
      </c>
      <c r="K785" t="s">
        <v>231</v>
      </c>
      <c r="L785" t="s">
        <v>231</v>
      </c>
      <c r="M785" t="s">
        <v>231</v>
      </c>
      <c r="N785" t="s">
        <v>231</v>
      </c>
      <c r="O785" t="s">
        <v>231</v>
      </c>
      <c r="P785" t="s">
        <v>231</v>
      </c>
      <c r="Q785" t="s">
        <v>231</v>
      </c>
      <c r="R785" t="s">
        <v>5121</v>
      </c>
      <c r="S785" t="s">
        <v>231</v>
      </c>
      <c r="T785" t="s">
        <v>231</v>
      </c>
      <c r="U785" t="s">
        <v>101</v>
      </c>
      <c r="V785" t="s">
        <v>231</v>
      </c>
      <c r="W785" t="s">
        <v>231</v>
      </c>
      <c r="X785" t="s">
        <v>5088</v>
      </c>
      <c r="Y785" t="s">
        <v>231</v>
      </c>
      <c r="Z785" t="s">
        <v>160</v>
      </c>
      <c r="AA785" t="s">
        <v>151</v>
      </c>
      <c r="AB785" t="s">
        <v>151</v>
      </c>
      <c r="AC785" t="s">
        <v>2691</v>
      </c>
      <c r="AD785" t="s">
        <v>2691</v>
      </c>
      <c r="AE785" t="s">
        <v>2692</v>
      </c>
      <c r="AF785" t="s">
        <v>3991</v>
      </c>
      <c r="AG785" t="s">
        <v>3992</v>
      </c>
      <c r="AH785" t="s">
        <v>3660</v>
      </c>
      <c r="AI785" t="s">
        <v>3575</v>
      </c>
      <c r="AJ785" t="s">
        <v>3867</v>
      </c>
      <c r="AK785" t="s">
        <v>3587</v>
      </c>
      <c r="AL785" t="s">
        <v>5092</v>
      </c>
      <c r="AN785" t="s">
        <v>3595</v>
      </c>
      <c r="AO785" t="s">
        <v>5122</v>
      </c>
      <c r="AP785" t="s">
        <v>231</v>
      </c>
      <c r="AQ785" t="s">
        <v>231</v>
      </c>
      <c r="AR785" t="s">
        <v>231</v>
      </c>
      <c r="AS785" t="s">
        <v>231</v>
      </c>
      <c r="AT785" t="s">
        <v>231</v>
      </c>
      <c r="AU785" t="s">
        <v>231</v>
      </c>
      <c r="AV785" t="s">
        <v>231</v>
      </c>
      <c r="AW785" t="s">
        <v>231</v>
      </c>
      <c r="AX785" t="s">
        <v>231</v>
      </c>
      <c r="AY785" t="s">
        <v>231</v>
      </c>
      <c r="AZ785" t="s">
        <v>231</v>
      </c>
      <c r="BA785" t="s">
        <v>231</v>
      </c>
      <c r="BB785" t="s">
        <v>231</v>
      </c>
      <c r="BC785" t="s">
        <v>231</v>
      </c>
      <c r="BD785" t="s">
        <v>231</v>
      </c>
      <c r="BE785" t="s">
        <v>231</v>
      </c>
      <c r="BF785" t="s">
        <v>231</v>
      </c>
      <c r="BG785" t="s">
        <v>231</v>
      </c>
      <c r="BH785" t="s">
        <v>231</v>
      </c>
      <c r="BI785" t="s">
        <v>231</v>
      </c>
      <c r="BJ785" t="s">
        <v>231</v>
      </c>
      <c r="BK785" t="s">
        <v>231</v>
      </c>
      <c r="BL785" t="s">
        <v>231</v>
      </c>
      <c r="BM785" t="s">
        <v>231</v>
      </c>
      <c r="BN785" t="s">
        <v>231</v>
      </c>
      <c r="BO785" t="s">
        <v>231</v>
      </c>
      <c r="BP785" t="s">
        <v>231</v>
      </c>
      <c r="BQ785" t="s">
        <v>231</v>
      </c>
      <c r="BR785" t="s">
        <v>231</v>
      </c>
      <c r="BS785" t="s">
        <v>231</v>
      </c>
      <c r="BT785" t="s">
        <v>231</v>
      </c>
      <c r="CS785" t="s">
        <v>231</v>
      </c>
      <c r="CT785" t="s">
        <v>3534</v>
      </c>
      <c r="CU785" t="s">
        <v>3535</v>
      </c>
      <c r="CV785" t="s">
        <v>3997</v>
      </c>
      <c r="CW785" t="s">
        <v>3998</v>
      </c>
      <c r="CX785" t="s">
        <v>3570</v>
      </c>
      <c r="CY785" t="s">
        <v>3997</v>
      </c>
      <c r="CZ785" t="s">
        <v>5106</v>
      </c>
      <c r="DA785" t="s">
        <v>3999</v>
      </c>
      <c r="DB785" t="s">
        <v>3998</v>
      </c>
      <c r="DC785" t="s">
        <v>363</v>
      </c>
      <c r="DD785" t="s">
        <v>5099</v>
      </c>
      <c r="DE785" t="s">
        <v>5123</v>
      </c>
    </row>
    <row r="786" spans="1:109" ht="11.25" customHeight="1">
      <c r="A786" s="1314" t="s">
        <v>231</v>
      </c>
      <c r="B786" t="s">
        <v>231</v>
      </c>
      <c r="C786" t="s">
        <v>231</v>
      </c>
      <c r="D786" t="s">
        <v>231</v>
      </c>
      <c r="E786" t="s">
        <v>231</v>
      </c>
      <c r="F786" t="s">
        <v>231</v>
      </c>
      <c r="G786" t="s">
        <v>231</v>
      </c>
      <c r="H786" t="s">
        <v>231</v>
      </c>
      <c r="I786" t="s">
        <v>5086</v>
      </c>
      <c r="J786" t="s">
        <v>231</v>
      </c>
      <c r="K786" t="s">
        <v>231</v>
      </c>
      <c r="L786" t="s">
        <v>231</v>
      </c>
      <c r="M786" t="s">
        <v>231</v>
      </c>
      <c r="N786" t="s">
        <v>231</v>
      </c>
      <c r="O786" t="s">
        <v>231</v>
      </c>
      <c r="P786" t="s">
        <v>231</v>
      </c>
      <c r="Q786" t="s">
        <v>231</v>
      </c>
      <c r="R786" t="s">
        <v>5521</v>
      </c>
      <c r="S786" t="s">
        <v>231</v>
      </c>
      <c r="T786" t="s">
        <v>231</v>
      </c>
      <c r="U786" t="s">
        <v>101</v>
      </c>
      <c r="V786" t="s">
        <v>231</v>
      </c>
      <c r="W786" t="s">
        <v>231</v>
      </c>
      <c r="X786" t="s">
        <v>5088</v>
      </c>
      <c r="Y786" t="s">
        <v>231</v>
      </c>
      <c r="Z786" t="s">
        <v>160</v>
      </c>
      <c r="AA786" t="s">
        <v>151</v>
      </c>
      <c r="AB786" t="s">
        <v>151</v>
      </c>
      <c r="AC786" t="s">
        <v>343</v>
      </c>
      <c r="AD786" t="s">
        <v>343</v>
      </c>
      <c r="AE786" t="s">
        <v>344</v>
      </c>
      <c r="AF786" t="s">
        <v>3561</v>
      </c>
      <c r="AG786" t="s">
        <v>3562</v>
      </c>
      <c r="AH786" t="s">
        <v>5286</v>
      </c>
      <c r="AI786" t="s">
        <v>5522</v>
      </c>
      <c r="AJ786" t="s">
        <v>4309</v>
      </c>
      <c r="AK786" t="s">
        <v>5523</v>
      </c>
      <c r="AL786" t="s">
        <v>5092</v>
      </c>
      <c r="AN786" t="s">
        <v>3532</v>
      </c>
      <c r="AO786" t="s">
        <v>5289</v>
      </c>
      <c r="AP786" t="s">
        <v>231</v>
      </c>
      <c r="AQ786" t="s">
        <v>231</v>
      </c>
      <c r="AR786" t="s">
        <v>231</v>
      </c>
      <c r="AS786" t="s">
        <v>231</v>
      </c>
      <c r="AT786" t="s">
        <v>231</v>
      </c>
      <c r="AU786" t="s">
        <v>231</v>
      </c>
      <c r="AV786" t="s">
        <v>231</v>
      </c>
      <c r="AW786" t="s">
        <v>231</v>
      </c>
      <c r="AX786" t="s">
        <v>231</v>
      </c>
      <c r="AY786" t="s">
        <v>231</v>
      </c>
      <c r="AZ786" t="s">
        <v>231</v>
      </c>
      <c r="BA786" t="s">
        <v>231</v>
      </c>
      <c r="BB786" t="s">
        <v>231</v>
      </c>
      <c r="BC786" t="s">
        <v>231</v>
      </c>
      <c r="BD786" t="s">
        <v>231</v>
      </c>
      <c r="BE786" t="s">
        <v>231</v>
      </c>
      <c r="BF786" t="s">
        <v>231</v>
      </c>
      <c r="BG786" t="s">
        <v>231</v>
      </c>
      <c r="BH786" t="s">
        <v>231</v>
      </c>
      <c r="BI786" t="s">
        <v>231</v>
      </c>
      <c r="BJ786" t="s">
        <v>231</v>
      </c>
      <c r="BK786" t="s">
        <v>231</v>
      </c>
      <c r="BL786" t="s">
        <v>231</v>
      </c>
      <c r="BM786" t="s">
        <v>231</v>
      </c>
      <c r="BN786" t="s">
        <v>231</v>
      </c>
      <c r="BO786" t="s">
        <v>231</v>
      </c>
      <c r="BP786" t="s">
        <v>231</v>
      </c>
      <c r="BQ786" t="s">
        <v>231</v>
      </c>
      <c r="BR786" t="s">
        <v>231</v>
      </c>
      <c r="BS786" t="s">
        <v>231</v>
      </c>
      <c r="BT786" t="s">
        <v>231</v>
      </c>
      <c r="CS786" t="s">
        <v>231</v>
      </c>
      <c r="CT786" t="s">
        <v>3534</v>
      </c>
      <c r="CU786" t="s">
        <v>5095</v>
      </c>
      <c r="CV786" t="s">
        <v>4616</v>
      </c>
      <c r="CW786" t="s">
        <v>5524</v>
      </c>
      <c r="CX786" t="s">
        <v>3570</v>
      </c>
      <c r="CY786" t="s">
        <v>5291</v>
      </c>
      <c r="CZ786" t="s">
        <v>5525</v>
      </c>
      <c r="DA786" t="s">
        <v>5289</v>
      </c>
      <c r="DB786" t="s">
        <v>5524</v>
      </c>
      <c r="DC786" t="s">
        <v>363</v>
      </c>
      <c r="DD786" t="s">
        <v>5099</v>
      </c>
      <c r="DE786" t="s">
        <v>5526</v>
      </c>
    </row>
    <row r="787" spans="1:109" ht="11.25" customHeight="1">
      <c r="A787" s="1314" t="s">
        <v>231</v>
      </c>
      <c r="B787" t="s">
        <v>231</v>
      </c>
      <c r="C787" t="s">
        <v>231</v>
      </c>
      <c r="D787" t="s">
        <v>231</v>
      </c>
      <c r="E787" t="s">
        <v>231</v>
      </c>
      <c r="F787" t="s">
        <v>231</v>
      </c>
      <c r="G787" t="s">
        <v>231</v>
      </c>
      <c r="H787" t="s">
        <v>231</v>
      </c>
      <c r="I787" t="s">
        <v>5086</v>
      </c>
      <c r="J787" t="s">
        <v>231</v>
      </c>
      <c r="K787" t="s">
        <v>231</v>
      </c>
      <c r="L787" t="s">
        <v>231</v>
      </c>
      <c r="M787" t="s">
        <v>231</v>
      </c>
      <c r="N787" t="s">
        <v>231</v>
      </c>
      <c r="O787" t="s">
        <v>231</v>
      </c>
      <c r="P787" t="s">
        <v>231</v>
      </c>
      <c r="Q787" t="s">
        <v>231</v>
      </c>
      <c r="R787" t="s">
        <v>5285</v>
      </c>
      <c r="S787" t="s">
        <v>231</v>
      </c>
      <c r="T787" t="s">
        <v>231</v>
      </c>
      <c r="U787" t="s">
        <v>101</v>
      </c>
      <c r="V787" t="s">
        <v>231</v>
      </c>
      <c r="W787" t="s">
        <v>231</v>
      </c>
      <c r="X787" t="s">
        <v>5088</v>
      </c>
      <c r="Y787" t="s">
        <v>231</v>
      </c>
      <c r="Z787" t="s">
        <v>160</v>
      </c>
      <c r="AA787" t="s">
        <v>151</v>
      </c>
      <c r="AB787" t="s">
        <v>151</v>
      </c>
      <c r="AC787" t="s">
        <v>343</v>
      </c>
      <c r="AD787" t="s">
        <v>343</v>
      </c>
      <c r="AE787" t="s">
        <v>344</v>
      </c>
      <c r="AF787" t="s">
        <v>3561</v>
      </c>
      <c r="AG787" t="s">
        <v>3562</v>
      </c>
      <c r="AH787" t="s">
        <v>5286</v>
      </c>
      <c r="AI787" t="s">
        <v>5287</v>
      </c>
      <c r="AJ787" t="s">
        <v>3866</v>
      </c>
      <c r="AK787" t="s">
        <v>5288</v>
      </c>
      <c r="AL787" t="s">
        <v>5092</v>
      </c>
      <c r="AN787" t="s">
        <v>3532</v>
      </c>
      <c r="AO787" t="s">
        <v>5289</v>
      </c>
      <c r="AP787" t="s">
        <v>231</v>
      </c>
      <c r="AQ787" t="s">
        <v>231</v>
      </c>
      <c r="AR787" t="s">
        <v>231</v>
      </c>
      <c r="AS787" t="s">
        <v>231</v>
      </c>
      <c r="AT787" t="s">
        <v>231</v>
      </c>
      <c r="AU787" t="s">
        <v>231</v>
      </c>
      <c r="AV787" t="s">
        <v>231</v>
      </c>
      <c r="AW787" t="s">
        <v>231</v>
      </c>
      <c r="AX787" t="s">
        <v>231</v>
      </c>
      <c r="AY787" t="s">
        <v>231</v>
      </c>
      <c r="AZ787" t="s">
        <v>231</v>
      </c>
      <c r="BA787" t="s">
        <v>231</v>
      </c>
      <c r="BB787" t="s">
        <v>231</v>
      </c>
      <c r="BC787" t="s">
        <v>231</v>
      </c>
      <c r="BD787" t="s">
        <v>231</v>
      </c>
      <c r="BE787" t="s">
        <v>231</v>
      </c>
      <c r="BF787" t="s">
        <v>231</v>
      </c>
      <c r="BG787" t="s">
        <v>231</v>
      </c>
      <c r="BH787" t="s">
        <v>231</v>
      </c>
      <c r="BI787" t="s">
        <v>231</v>
      </c>
      <c r="BJ787" t="s">
        <v>231</v>
      </c>
      <c r="BK787" t="s">
        <v>231</v>
      </c>
      <c r="BL787" t="s">
        <v>231</v>
      </c>
      <c r="BM787" t="s">
        <v>231</v>
      </c>
      <c r="BN787" t="s">
        <v>231</v>
      </c>
      <c r="BO787" t="s">
        <v>231</v>
      </c>
      <c r="BP787" t="s">
        <v>231</v>
      </c>
      <c r="BQ787" t="s">
        <v>231</v>
      </c>
      <c r="BR787" t="s">
        <v>231</v>
      </c>
      <c r="BS787" t="s">
        <v>231</v>
      </c>
      <c r="BT787" t="s">
        <v>231</v>
      </c>
      <c r="CS787" t="s">
        <v>231</v>
      </c>
      <c r="CT787" t="s">
        <v>3534</v>
      </c>
      <c r="CU787" t="s">
        <v>5095</v>
      </c>
      <c r="CV787" t="s">
        <v>4616</v>
      </c>
      <c r="CW787" t="s">
        <v>5290</v>
      </c>
      <c r="CX787" t="s">
        <v>3570</v>
      </c>
      <c r="CY787" t="s">
        <v>5291</v>
      </c>
      <c r="CZ787" t="s">
        <v>5292</v>
      </c>
      <c r="DA787" t="s">
        <v>5289</v>
      </c>
      <c r="DB787" t="s">
        <v>5290</v>
      </c>
      <c r="DC787" t="s">
        <v>363</v>
      </c>
      <c r="DD787" t="s">
        <v>5099</v>
      </c>
      <c r="DE787" t="s">
        <v>5293</v>
      </c>
    </row>
    <row r="788" spans="1:109" ht="11.25" customHeight="1">
      <c r="A788" s="1314" t="s">
        <v>231</v>
      </c>
      <c r="B788" t="s">
        <v>231</v>
      </c>
      <c r="C788" t="s">
        <v>231</v>
      </c>
      <c r="D788" t="s">
        <v>231</v>
      </c>
      <c r="E788" t="s">
        <v>231</v>
      </c>
      <c r="F788" t="s">
        <v>231</v>
      </c>
      <c r="G788" t="s">
        <v>231</v>
      </c>
      <c r="H788" t="s">
        <v>231</v>
      </c>
      <c r="I788" t="s">
        <v>5086</v>
      </c>
      <c r="J788" t="s">
        <v>231</v>
      </c>
      <c r="K788" t="s">
        <v>231</v>
      </c>
      <c r="L788" t="s">
        <v>231</v>
      </c>
      <c r="M788" t="s">
        <v>231</v>
      </c>
      <c r="N788" t="s">
        <v>231</v>
      </c>
      <c r="O788" t="s">
        <v>231</v>
      </c>
      <c r="P788" t="s">
        <v>231</v>
      </c>
      <c r="Q788" t="s">
        <v>231</v>
      </c>
      <c r="R788" t="s">
        <v>5451</v>
      </c>
      <c r="S788" t="s">
        <v>231</v>
      </c>
      <c r="T788" t="s">
        <v>231</v>
      </c>
      <c r="U788" t="s">
        <v>101</v>
      </c>
      <c r="V788" t="s">
        <v>231</v>
      </c>
      <c r="W788" t="s">
        <v>231</v>
      </c>
      <c r="X788" t="s">
        <v>5088</v>
      </c>
      <c r="Y788" t="s">
        <v>231</v>
      </c>
      <c r="Z788" t="s">
        <v>160</v>
      </c>
      <c r="AA788" t="s">
        <v>151</v>
      </c>
      <c r="AB788" t="s">
        <v>151</v>
      </c>
      <c r="AC788" t="s">
        <v>343</v>
      </c>
      <c r="AD788" t="s">
        <v>343</v>
      </c>
      <c r="AE788" t="s">
        <v>344</v>
      </c>
      <c r="AF788" t="s">
        <v>3561</v>
      </c>
      <c r="AG788" t="s">
        <v>3562</v>
      </c>
      <c r="AH788" t="s">
        <v>5452</v>
      </c>
      <c r="AI788" t="s">
        <v>5453</v>
      </c>
      <c r="AJ788" t="s">
        <v>3825</v>
      </c>
      <c r="AK788" t="s">
        <v>5454</v>
      </c>
      <c r="AL788" t="s">
        <v>5092</v>
      </c>
      <c r="AN788" t="s">
        <v>5455</v>
      </c>
      <c r="AO788" t="s">
        <v>5403</v>
      </c>
      <c r="AP788" t="s">
        <v>231</v>
      </c>
      <c r="AQ788" t="s">
        <v>231</v>
      </c>
      <c r="AR788" t="s">
        <v>231</v>
      </c>
      <c r="AS788" t="s">
        <v>231</v>
      </c>
      <c r="AT788" t="s">
        <v>231</v>
      </c>
      <c r="AU788" t="s">
        <v>231</v>
      </c>
      <c r="AV788" t="s">
        <v>231</v>
      </c>
      <c r="AW788" t="s">
        <v>231</v>
      </c>
      <c r="AX788" t="s">
        <v>231</v>
      </c>
      <c r="AY788" t="s">
        <v>231</v>
      </c>
      <c r="AZ788" t="s">
        <v>231</v>
      </c>
      <c r="BA788" t="s">
        <v>231</v>
      </c>
      <c r="BB788" t="s">
        <v>231</v>
      </c>
      <c r="BC788" t="s">
        <v>231</v>
      </c>
      <c r="BD788" t="s">
        <v>231</v>
      </c>
      <c r="BE788" t="s">
        <v>231</v>
      </c>
      <c r="BF788" t="s">
        <v>231</v>
      </c>
      <c r="BG788" t="s">
        <v>231</v>
      </c>
      <c r="BH788" t="s">
        <v>231</v>
      </c>
      <c r="BI788" t="s">
        <v>231</v>
      </c>
      <c r="BJ788" t="s">
        <v>231</v>
      </c>
      <c r="BK788" t="s">
        <v>231</v>
      </c>
      <c r="BL788" t="s">
        <v>231</v>
      </c>
      <c r="BM788" t="s">
        <v>231</v>
      </c>
      <c r="BN788" t="s">
        <v>231</v>
      </c>
      <c r="BO788" t="s">
        <v>231</v>
      </c>
      <c r="BP788" t="s">
        <v>231</v>
      </c>
      <c r="BQ788" t="s">
        <v>231</v>
      </c>
      <c r="BR788" t="s">
        <v>231</v>
      </c>
      <c r="BS788" t="s">
        <v>231</v>
      </c>
      <c r="BT788" t="s">
        <v>231</v>
      </c>
      <c r="CS788" t="s">
        <v>231</v>
      </c>
      <c r="CT788" t="s">
        <v>3534</v>
      </c>
      <c r="CU788" t="s">
        <v>3535</v>
      </c>
      <c r="CV788" t="s">
        <v>3536</v>
      </c>
      <c r="CW788" t="s">
        <v>3569</v>
      </c>
      <c r="CX788" t="s">
        <v>3570</v>
      </c>
      <c r="CY788" t="s">
        <v>3536</v>
      </c>
      <c r="CZ788" t="s">
        <v>224</v>
      </c>
      <c r="DA788" t="s">
        <v>3571</v>
      </c>
      <c r="DB788" t="s">
        <v>3569</v>
      </c>
      <c r="DC788" t="s">
        <v>363</v>
      </c>
      <c r="DD788" t="s">
        <v>5099</v>
      </c>
      <c r="DE788" t="s">
        <v>5456</v>
      </c>
    </row>
    <row r="789" spans="1:109" ht="11.25" customHeight="1">
      <c r="A789" s="1314" t="s">
        <v>231</v>
      </c>
      <c r="B789" t="s">
        <v>231</v>
      </c>
      <c r="C789" t="s">
        <v>231</v>
      </c>
      <c r="D789" t="s">
        <v>231</v>
      </c>
      <c r="E789" t="s">
        <v>231</v>
      </c>
      <c r="F789" t="s">
        <v>231</v>
      </c>
      <c r="G789" t="s">
        <v>231</v>
      </c>
      <c r="H789" t="s">
        <v>231</v>
      </c>
      <c r="I789" t="s">
        <v>5086</v>
      </c>
      <c r="J789" t="s">
        <v>231</v>
      </c>
      <c r="K789" t="s">
        <v>231</v>
      </c>
      <c r="L789" t="s">
        <v>231</v>
      </c>
      <c r="M789" t="s">
        <v>231</v>
      </c>
      <c r="N789" t="s">
        <v>231</v>
      </c>
      <c r="O789" t="s">
        <v>231</v>
      </c>
      <c r="P789" t="s">
        <v>231</v>
      </c>
      <c r="Q789" t="s">
        <v>231</v>
      </c>
      <c r="R789" t="s">
        <v>5294</v>
      </c>
      <c r="S789" t="s">
        <v>231</v>
      </c>
      <c r="T789" t="s">
        <v>231</v>
      </c>
      <c r="U789" t="s">
        <v>101</v>
      </c>
      <c r="V789" t="s">
        <v>231</v>
      </c>
      <c r="W789" t="s">
        <v>231</v>
      </c>
      <c r="X789" t="s">
        <v>5088</v>
      </c>
      <c r="Y789" t="s">
        <v>231</v>
      </c>
      <c r="Z789" t="s">
        <v>160</v>
      </c>
      <c r="AA789" t="s">
        <v>151</v>
      </c>
      <c r="AB789" t="s">
        <v>151</v>
      </c>
      <c r="AC789" t="s">
        <v>2289</v>
      </c>
      <c r="AD789" t="s">
        <v>2289</v>
      </c>
      <c r="AE789" t="s">
        <v>2290</v>
      </c>
      <c r="AF789" t="s">
        <v>3793</v>
      </c>
      <c r="AG789" t="s">
        <v>3794</v>
      </c>
      <c r="AH789" t="s">
        <v>5295</v>
      </c>
      <c r="AI789" t="s">
        <v>5296</v>
      </c>
      <c r="AJ789" t="s">
        <v>4996</v>
      </c>
      <c r="AK789" t="s">
        <v>5297</v>
      </c>
      <c r="AL789" t="s">
        <v>5092</v>
      </c>
      <c r="AN789" t="s">
        <v>3549</v>
      </c>
      <c r="AO789" t="s">
        <v>3668</v>
      </c>
      <c r="AP789" t="s">
        <v>231</v>
      </c>
      <c r="AQ789" t="s">
        <v>231</v>
      </c>
      <c r="AR789" t="s">
        <v>231</v>
      </c>
      <c r="AS789" t="s">
        <v>231</v>
      </c>
      <c r="AT789" t="s">
        <v>231</v>
      </c>
      <c r="AU789" t="s">
        <v>231</v>
      </c>
      <c r="AV789" t="s">
        <v>231</v>
      </c>
      <c r="AW789" t="s">
        <v>231</v>
      </c>
      <c r="AX789" t="s">
        <v>231</v>
      </c>
      <c r="AY789" t="s">
        <v>231</v>
      </c>
      <c r="AZ789" t="s">
        <v>231</v>
      </c>
      <c r="BA789" t="s">
        <v>231</v>
      </c>
      <c r="BB789" t="s">
        <v>231</v>
      </c>
      <c r="BC789" t="s">
        <v>231</v>
      </c>
      <c r="BD789" t="s">
        <v>231</v>
      </c>
      <c r="BE789" t="s">
        <v>231</v>
      </c>
      <c r="BF789" t="s">
        <v>231</v>
      </c>
      <c r="BG789" t="s">
        <v>231</v>
      </c>
      <c r="BH789" t="s">
        <v>231</v>
      </c>
      <c r="BI789" t="s">
        <v>231</v>
      </c>
      <c r="BJ789" t="s">
        <v>231</v>
      </c>
      <c r="BK789" t="s">
        <v>231</v>
      </c>
      <c r="BL789" t="s">
        <v>231</v>
      </c>
      <c r="BM789" t="s">
        <v>231</v>
      </c>
      <c r="BN789" t="s">
        <v>231</v>
      </c>
      <c r="BO789" t="s">
        <v>231</v>
      </c>
      <c r="BP789" t="s">
        <v>231</v>
      </c>
      <c r="BQ789" t="s">
        <v>231</v>
      </c>
      <c r="BR789" t="s">
        <v>231</v>
      </c>
      <c r="BS789" t="s">
        <v>231</v>
      </c>
      <c r="BT789" t="s">
        <v>231</v>
      </c>
      <c r="CS789" t="s">
        <v>231</v>
      </c>
      <c r="CT789" t="s">
        <v>3534</v>
      </c>
      <c r="CU789" t="s">
        <v>3535</v>
      </c>
      <c r="CV789" t="s">
        <v>3536</v>
      </c>
      <c r="CW789" t="s">
        <v>3589</v>
      </c>
      <c r="CX789" t="s">
        <v>223</v>
      </c>
      <c r="CY789" t="s">
        <v>3536</v>
      </c>
      <c r="CZ789" t="s">
        <v>3590</v>
      </c>
      <c r="DA789" t="s">
        <v>3591</v>
      </c>
      <c r="DB789" t="s">
        <v>3589</v>
      </c>
      <c r="DC789" t="s">
        <v>363</v>
      </c>
      <c r="DD789" t="s">
        <v>5099</v>
      </c>
      <c r="DE789" t="s">
        <v>5298</v>
      </c>
    </row>
    <row r="790" spans="1:109" ht="11.25" customHeight="1">
      <c r="A790" s="1314" t="s">
        <v>231</v>
      </c>
      <c r="B790" t="s">
        <v>231</v>
      </c>
      <c r="C790" t="s">
        <v>231</v>
      </c>
      <c r="D790" t="s">
        <v>231</v>
      </c>
      <c r="E790" t="s">
        <v>231</v>
      </c>
      <c r="F790" t="s">
        <v>231</v>
      </c>
      <c r="G790" t="s">
        <v>231</v>
      </c>
      <c r="H790" t="s">
        <v>231</v>
      </c>
      <c r="I790" t="s">
        <v>5086</v>
      </c>
      <c r="J790" t="s">
        <v>231</v>
      </c>
      <c r="K790" t="s">
        <v>231</v>
      </c>
      <c r="L790" t="s">
        <v>231</v>
      </c>
      <c r="M790" t="s">
        <v>231</v>
      </c>
      <c r="N790" t="s">
        <v>231</v>
      </c>
      <c r="O790" t="s">
        <v>231</v>
      </c>
      <c r="P790" t="s">
        <v>231</v>
      </c>
      <c r="Q790" t="s">
        <v>231</v>
      </c>
      <c r="R790" t="s">
        <v>5299</v>
      </c>
      <c r="S790" t="s">
        <v>231</v>
      </c>
      <c r="T790" t="s">
        <v>231</v>
      </c>
      <c r="U790" t="s">
        <v>101</v>
      </c>
      <c r="V790" t="s">
        <v>231</v>
      </c>
      <c r="W790" t="s">
        <v>231</v>
      </c>
      <c r="X790" t="s">
        <v>5088</v>
      </c>
      <c r="Y790" t="s">
        <v>231</v>
      </c>
      <c r="Z790" t="s">
        <v>160</v>
      </c>
      <c r="AA790" t="s">
        <v>151</v>
      </c>
      <c r="AB790" t="s">
        <v>151</v>
      </c>
      <c r="AC790" t="s">
        <v>2289</v>
      </c>
      <c r="AD790" t="s">
        <v>2289</v>
      </c>
      <c r="AE790" t="s">
        <v>2290</v>
      </c>
      <c r="AF790" t="s">
        <v>3793</v>
      </c>
      <c r="AG790" t="s">
        <v>3794</v>
      </c>
      <c r="AH790" t="s">
        <v>5300</v>
      </c>
      <c r="AI790" t="s">
        <v>3618</v>
      </c>
      <c r="AJ790" t="s">
        <v>4996</v>
      </c>
      <c r="AK790" t="s">
        <v>5297</v>
      </c>
      <c r="AL790" t="s">
        <v>5092</v>
      </c>
      <c r="AN790" t="s">
        <v>3549</v>
      </c>
      <c r="AO790" t="s">
        <v>3668</v>
      </c>
      <c r="AP790" t="s">
        <v>231</v>
      </c>
      <c r="AQ790" t="s">
        <v>231</v>
      </c>
      <c r="AR790" t="s">
        <v>231</v>
      </c>
      <c r="AS790" t="s">
        <v>231</v>
      </c>
      <c r="AT790" t="s">
        <v>231</v>
      </c>
      <c r="AU790" t="s">
        <v>231</v>
      </c>
      <c r="AV790" t="s">
        <v>231</v>
      </c>
      <c r="AW790" t="s">
        <v>231</v>
      </c>
      <c r="AX790" t="s">
        <v>231</v>
      </c>
      <c r="AY790" t="s">
        <v>231</v>
      </c>
      <c r="AZ790" t="s">
        <v>231</v>
      </c>
      <c r="BA790" t="s">
        <v>231</v>
      </c>
      <c r="BB790" t="s">
        <v>231</v>
      </c>
      <c r="BC790" t="s">
        <v>231</v>
      </c>
      <c r="BD790" t="s">
        <v>231</v>
      </c>
      <c r="BE790" t="s">
        <v>231</v>
      </c>
      <c r="BF790" t="s">
        <v>231</v>
      </c>
      <c r="BG790" t="s">
        <v>231</v>
      </c>
      <c r="BH790" t="s">
        <v>231</v>
      </c>
      <c r="BI790" t="s">
        <v>231</v>
      </c>
      <c r="BJ790" t="s">
        <v>231</v>
      </c>
      <c r="BK790" t="s">
        <v>231</v>
      </c>
      <c r="BL790" t="s">
        <v>231</v>
      </c>
      <c r="BM790" t="s">
        <v>231</v>
      </c>
      <c r="BN790" t="s">
        <v>231</v>
      </c>
      <c r="BO790" t="s">
        <v>231</v>
      </c>
      <c r="BP790" t="s">
        <v>231</v>
      </c>
      <c r="BQ790" t="s">
        <v>231</v>
      </c>
      <c r="BR790" t="s">
        <v>231</v>
      </c>
      <c r="BS790" t="s">
        <v>231</v>
      </c>
      <c r="BT790" t="s">
        <v>231</v>
      </c>
      <c r="CS790" t="s">
        <v>231</v>
      </c>
      <c r="CT790" t="s">
        <v>3534</v>
      </c>
      <c r="CU790" t="s">
        <v>3535</v>
      </c>
      <c r="CV790" t="s">
        <v>3536</v>
      </c>
      <c r="CW790" t="s">
        <v>3589</v>
      </c>
      <c r="CX790" t="s">
        <v>223</v>
      </c>
      <c r="CY790" t="s">
        <v>3536</v>
      </c>
      <c r="CZ790" t="s">
        <v>3590</v>
      </c>
      <c r="DA790" t="s">
        <v>3591</v>
      </c>
      <c r="DB790" t="s">
        <v>3589</v>
      </c>
      <c r="DC790" t="s">
        <v>363</v>
      </c>
      <c r="DD790" t="s">
        <v>5099</v>
      </c>
      <c r="DE790" t="s">
        <v>5301</v>
      </c>
    </row>
    <row r="791" spans="1:109" ht="11.25" customHeight="1">
      <c r="A791" s="1314" t="s">
        <v>231</v>
      </c>
      <c r="B791" t="s">
        <v>231</v>
      </c>
      <c r="C791" t="s">
        <v>231</v>
      </c>
      <c r="D791" t="s">
        <v>231</v>
      </c>
      <c r="E791" t="s">
        <v>231</v>
      </c>
      <c r="F791" t="s">
        <v>231</v>
      </c>
      <c r="G791" t="s">
        <v>231</v>
      </c>
      <c r="H791" t="s">
        <v>231</v>
      </c>
      <c r="I791" t="s">
        <v>5086</v>
      </c>
      <c r="J791" t="s">
        <v>231</v>
      </c>
      <c r="K791" t="s">
        <v>231</v>
      </c>
      <c r="L791" t="s">
        <v>231</v>
      </c>
      <c r="M791" t="s">
        <v>231</v>
      </c>
      <c r="N791" t="s">
        <v>231</v>
      </c>
      <c r="O791" t="s">
        <v>231</v>
      </c>
      <c r="P791" t="s">
        <v>231</v>
      </c>
      <c r="Q791" t="s">
        <v>231</v>
      </c>
      <c r="R791" t="s">
        <v>5509</v>
      </c>
      <c r="S791" t="s">
        <v>231</v>
      </c>
      <c r="T791" t="s">
        <v>231</v>
      </c>
      <c r="U791" t="s">
        <v>101</v>
      </c>
      <c r="V791" t="s">
        <v>231</v>
      </c>
      <c r="W791" t="s">
        <v>231</v>
      </c>
      <c r="X791" t="s">
        <v>5088</v>
      </c>
      <c r="Y791" t="s">
        <v>231</v>
      </c>
      <c r="Z791" t="s">
        <v>160</v>
      </c>
      <c r="AA791" t="s">
        <v>151</v>
      </c>
      <c r="AB791" t="s">
        <v>151</v>
      </c>
      <c r="AC791" t="s">
        <v>343</v>
      </c>
      <c r="AD791" t="s">
        <v>343</v>
      </c>
      <c r="AE791" t="s">
        <v>344</v>
      </c>
      <c r="AF791" t="s">
        <v>3561</v>
      </c>
      <c r="AG791" t="s">
        <v>3562</v>
      </c>
      <c r="AH791" t="s">
        <v>5510</v>
      </c>
      <c r="AI791" t="s">
        <v>5511</v>
      </c>
      <c r="AJ791" t="s">
        <v>3825</v>
      </c>
      <c r="AK791" t="s">
        <v>5512</v>
      </c>
      <c r="AL791" t="s">
        <v>5092</v>
      </c>
      <c r="AN791" t="s">
        <v>5513</v>
      </c>
      <c r="AO791" t="s">
        <v>5403</v>
      </c>
      <c r="AP791" t="s">
        <v>231</v>
      </c>
      <c r="AQ791" t="s">
        <v>231</v>
      </c>
      <c r="AR791" t="s">
        <v>231</v>
      </c>
      <c r="AS791" t="s">
        <v>231</v>
      </c>
      <c r="AT791" t="s">
        <v>231</v>
      </c>
      <c r="AU791" t="s">
        <v>231</v>
      </c>
      <c r="AV791" t="s">
        <v>231</v>
      </c>
      <c r="AW791" t="s">
        <v>231</v>
      </c>
      <c r="AX791" t="s">
        <v>231</v>
      </c>
      <c r="AY791" t="s">
        <v>231</v>
      </c>
      <c r="AZ791" t="s">
        <v>231</v>
      </c>
      <c r="BA791" t="s">
        <v>231</v>
      </c>
      <c r="BB791" t="s">
        <v>231</v>
      </c>
      <c r="BC791" t="s">
        <v>231</v>
      </c>
      <c r="BD791" t="s">
        <v>231</v>
      </c>
      <c r="BE791" t="s">
        <v>231</v>
      </c>
      <c r="BF791" t="s">
        <v>231</v>
      </c>
      <c r="BG791" t="s">
        <v>231</v>
      </c>
      <c r="BH791" t="s">
        <v>231</v>
      </c>
      <c r="BI791" t="s">
        <v>231</v>
      </c>
      <c r="BJ791" t="s">
        <v>231</v>
      </c>
      <c r="BK791" t="s">
        <v>231</v>
      </c>
      <c r="BL791" t="s">
        <v>231</v>
      </c>
      <c r="BM791" t="s">
        <v>231</v>
      </c>
      <c r="BN791" t="s">
        <v>231</v>
      </c>
      <c r="BO791" t="s">
        <v>231</v>
      </c>
      <c r="BP791" t="s">
        <v>231</v>
      </c>
      <c r="BQ791" t="s">
        <v>231</v>
      </c>
      <c r="BR791" t="s">
        <v>231</v>
      </c>
      <c r="BS791" t="s">
        <v>231</v>
      </c>
      <c r="BT791" t="s">
        <v>231</v>
      </c>
      <c r="CS791" t="s">
        <v>231</v>
      </c>
      <c r="CT791" t="s">
        <v>3534</v>
      </c>
      <c r="CU791" t="s">
        <v>3535</v>
      </c>
      <c r="CV791" t="s">
        <v>3536</v>
      </c>
      <c r="CW791" t="s">
        <v>3569</v>
      </c>
      <c r="CX791" t="s">
        <v>3570</v>
      </c>
      <c r="CY791" t="s">
        <v>3536</v>
      </c>
      <c r="CZ791" t="s">
        <v>224</v>
      </c>
      <c r="DA791" t="s">
        <v>3571</v>
      </c>
      <c r="DB791" t="s">
        <v>3569</v>
      </c>
      <c r="DC791" t="s">
        <v>363</v>
      </c>
      <c r="DD791" t="s">
        <v>5099</v>
      </c>
      <c r="DE791" t="s">
        <v>5514</v>
      </c>
    </row>
    <row r="792" spans="1:109" ht="11.25" customHeight="1">
      <c r="A792" s="1314" t="s">
        <v>231</v>
      </c>
      <c r="B792" t="s">
        <v>231</v>
      </c>
      <c r="C792" t="s">
        <v>231</v>
      </c>
      <c r="D792" t="s">
        <v>231</v>
      </c>
      <c r="E792" t="s">
        <v>231</v>
      </c>
      <c r="F792" t="s">
        <v>231</v>
      </c>
      <c r="G792" t="s">
        <v>231</v>
      </c>
      <c r="H792" t="s">
        <v>231</v>
      </c>
      <c r="I792" t="s">
        <v>5086</v>
      </c>
      <c r="J792" t="s">
        <v>231</v>
      </c>
      <c r="K792" t="s">
        <v>231</v>
      </c>
      <c r="L792" t="s">
        <v>231</v>
      </c>
      <c r="M792" t="s">
        <v>231</v>
      </c>
      <c r="N792" t="s">
        <v>231</v>
      </c>
      <c r="O792" t="s">
        <v>231</v>
      </c>
      <c r="P792" t="s">
        <v>231</v>
      </c>
      <c r="Q792" t="s">
        <v>231</v>
      </c>
      <c r="R792" t="s">
        <v>5419</v>
      </c>
      <c r="S792" t="s">
        <v>231</v>
      </c>
      <c r="T792" t="s">
        <v>231</v>
      </c>
      <c r="U792" t="s">
        <v>101</v>
      </c>
      <c r="V792" t="s">
        <v>231</v>
      </c>
      <c r="W792" t="s">
        <v>231</v>
      </c>
      <c r="X792" t="s">
        <v>3628</v>
      </c>
      <c r="Y792" t="s">
        <v>231</v>
      </c>
      <c r="Z792" t="s">
        <v>151</v>
      </c>
      <c r="AA792" t="s">
        <v>151</v>
      </c>
      <c r="AB792" t="s">
        <v>160</v>
      </c>
      <c r="AC792" t="s">
        <v>2289</v>
      </c>
      <c r="AD792" t="s">
        <v>2289</v>
      </c>
      <c r="AE792" t="s">
        <v>2290</v>
      </c>
      <c r="AF792" t="s">
        <v>3735</v>
      </c>
      <c r="AG792" t="s">
        <v>3736</v>
      </c>
      <c r="AH792" t="s">
        <v>3618</v>
      </c>
      <c r="AI792" t="s">
        <v>3618</v>
      </c>
      <c r="AJ792" t="s">
        <v>231</v>
      </c>
      <c r="AK792" t="s">
        <v>231</v>
      </c>
      <c r="AL792" t="s">
        <v>231</v>
      </c>
      <c r="AN792" t="s">
        <v>231</v>
      </c>
      <c r="AO792" t="s">
        <v>231</v>
      </c>
      <c r="AP792" t="s">
        <v>231</v>
      </c>
      <c r="AQ792" t="s">
        <v>231</v>
      </c>
      <c r="AR792" t="s">
        <v>231</v>
      </c>
      <c r="AS792" t="s">
        <v>231</v>
      </c>
      <c r="AT792" t="s">
        <v>231</v>
      </c>
      <c r="AU792" t="s">
        <v>231</v>
      </c>
      <c r="AV792" t="s">
        <v>231</v>
      </c>
      <c r="AW792" t="s">
        <v>231</v>
      </c>
      <c r="AX792" t="s">
        <v>231</v>
      </c>
      <c r="AY792" t="s">
        <v>231</v>
      </c>
      <c r="AZ792" t="s">
        <v>231</v>
      </c>
      <c r="BA792" t="s">
        <v>231</v>
      </c>
      <c r="BB792" t="s">
        <v>231</v>
      </c>
      <c r="BC792" t="s">
        <v>231</v>
      </c>
      <c r="BD792" t="s">
        <v>231</v>
      </c>
      <c r="BE792" t="s">
        <v>3586</v>
      </c>
      <c r="BF792" t="s">
        <v>3716</v>
      </c>
      <c r="BG792" t="s">
        <v>111</v>
      </c>
      <c r="BH792" t="s">
        <v>3632</v>
      </c>
      <c r="BI792" t="s">
        <v>122</v>
      </c>
      <c r="BJ792" t="s">
        <v>231</v>
      </c>
      <c r="BK792" t="s">
        <v>231</v>
      </c>
      <c r="BL792" t="s">
        <v>2289</v>
      </c>
      <c r="BM792" t="s">
        <v>2289</v>
      </c>
      <c r="BN792" t="s">
        <v>3707</v>
      </c>
      <c r="BO792" t="s">
        <v>3735</v>
      </c>
      <c r="BP792" t="s">
        <v>4070</v>
      </c>
      <c r="BQ792" t="s">
        <v>3618</v>
      </c>
      <c r="BR792" t="s">
        <v>3618</v>
      </c>
      <c r="BS792" t="s">
        <v>231</v>
      </c>
      <c r="BT792" t="s">
        <v>3694</v>
      </c>
      <c r="CS792" t="s">
        <v>5212</v>
      </c>
      <c r="CT792" t="s">
        <v>3534</v>
      </c>
      <c r="CU792" t="s">
        <v>3535</v>
      </c>
      <c r="CV792" t="s">
        <v>3536</v>
      </c>
      <c r="CW792" t="s">
        <v>3589</v>
      </c>
      <c r="CX792" t="s">
        <v>223</v>
      </c>
      <c r="CY792" t="s">
        <v>3536</v>
      </c>
      <c r="CZ792" t="s">
        <v>3590</v>
      </c>
      <c r="DA792" t="s">
        <v>3591</v>
      </c>
      <c r="DB792" t="s">
        <v>3589</v>
      </c>
      <c r="DC792" t="s">
        <v>363</v>
      </c>
      <c r="DD792" t="s">
        <v>5099</v>
      </c>
      <c r="DE792" t="s">
        <v>4072</v>
      </c>
    </row>
    <row r="793" spans="1:109" ht="11.25" customHeight="1">
      <c r="A793" s="1314" t="s">
        <v>231</v>
      </c>
      <c r="B793" t="s">
        <v>231</v>
      </c>
      <c r="C793" t="s">
        <v>231</v>
      </c>
      <c r="D793" t="s">
        <v>231</v>
      </c>
      <c r="E793" t="s">
        <v>231</v>
      </c>
      <c r="F793" t="s">
        <v>231</v>
      </c>
      <c r="G793" t="s">
        <v>231</v>
      </c>
      <c r="H793" t="s">
        <v>231</v>
      </c>
      <c r="I793" t="s">
        <v>5086</v>
      </c>
      <c r="J793" t="s">
        <v>231</v>
      </c>
      <c r="K793" t="s">
        <v>231</v>
      </c>
      <c r="L793" t="s">
        <v>231</v>
      </c>
      <c r="M793" t="s">
        <v>231</v>
      </c>
      <c r="N793" t="s">
        <v>231</v>
      </c>
      <c r="O793" t="s">
        <v>231</v>
      </c>
      <c r="P793" t="s">
        <v>231</v>
      </c>
      <c r="Q793" t="s">
        <v>231</v>
      </c>
      <c r="R793" t="s">
        <v>5420</v>
      </c>
      <c r="S793" t="s">
        <v>231</v>
      </c>
      <c r="T793" t="s">
        <v>231</v>
      </c>
      <c r="U793" t="s">
        <v>101</v>
      </c>
      <c r="V793" t="s">
        <v>231</v>
      </c>
      <c r="W793" t="s">
        <v>231</v>
      </c>
      <c r="X793" t="s">
        <v>3628</v>
      </c>
      <c r="Y793" t="s">
        <v>231</v>
      </c>
      <c r="Z793" t="s">
        <v>151</v>
      </c>
      <c r="AA793" t="s">
        <v>151</v>
      </c>
      <c r="AB793" t="s">
        <v>160</v>
      </c>
      <c r="AC793" t="s">
        <v>2289</v>
      </c>
      <c r="AD793" t="s">
        <v>2289</v>
      </c>
      <c r="AE793" t="s">
        <v>2290</v>
      </c>
      <c r="AF793" t="s">
        <v>3793</v>
      </c>
      <c r="AG793" t="s">
        <v>3794</v>
      </c>
      <c r="AH793" t="s">
        <v>3618</v>
      </c>
      <c r="AI793" t="s">
        <v>3618</v>
      </c>
      <c r="AJ793" t="s">
        <v>231</v>
      </c>
      <c r="AK793" t="s">
        <v>231</v>
      </c>
      <c r="AL793" t="s">
        <v>231</v>
      </c>
      <c r="AN793" t="s">
        <v>231</v>
      </c>
      <c r="AO793" t="s">
        <v>231</v>
      </c>
      <c r="AP793" t="s">
        <v>231</v>
      </c>
      <c r="AQ793" t="s">
        <v>231</v>
      </c>
      <c r="AR793" t="s">
        <v>231</v>
      </c>
      <c r="AS793" t="s">
        <v>231</v>
      </c>
      <c r="AT793" t="s">
        <v>231</v>
      </c>
      <c r="AU793" t="s">
        <v>231</v>
      </c>
      <c r="AV793" t="s">
        <v>231</v>
      </c>
      <c r="AW793" t="s">
        <v>231</v>
      </c>
      <c r="AX793" t="s">
        <v>231</v>
      </c>
      <c r="AY793" t="s">
        <v>231</v>
      </c>
      <c r="AZ793" t="s">
        <v>231</v>
      </c>
      <c r="BA793" t="s">
        <v>231</v>
      </c>
      <c r="BB793" t="s">
        <v>231</v>
      </c>
      <c r="BC793" t="s">
        <v>231</v>
      </c>
      <c r="BD793" t="s">
        <v>231</v>
      </c>
      <c r="BE793" t="s">
        <v>4996</v>
      </c>
      <c r="BF793" t="s">
        <v>5297</v>
      </c>
      <c r="BG793" t="s">
        <v>111</v>
      </c>
      <c r="BH793" t="s">
        <v>3632</v>
      </c>
      <c r="BI793" t="s">
        <v>122</v>
      </c>
      <c r="BJ793" t="s">
        <v>231</v>
      </c>
      <c r="BK793" t="s">
        <v>231</v>
      </c>
      <c r="BL793" t="s">
        <v>2289</v>
      </c>
      <c r="BM793" t="s">
        <v>2289</v>
      </c>
      <c r="BN793" t="s">
        <v>3707</v>
      </c>
      <c r="BO793" t="s">
        <v>3793</v>
      </c>
      <c r="BP793" t="s">
        <v>4920</v>
      </c>
      <c r="BQ793" t="s">
        <v>3618</v>
      </c>
      <c r="BR793" t="s">
        <v>3618</v>
      </c>
      <c r="BS793" t="s">
        <v>231</v>
      </c>
      <c r="BT793" t="s">
        <v>3694</v>
      </c>
      <c r="CS793" t="s">
        <v>5212</v>
      </c>
      <c r="CT793" t="s">
        <v>3534</v>
      </c>
      <c r="CU793" t="s">
        <v>3535</v>
      </c>
      <c r="CV793" t="s">
        <v>3536</v>
      </c>
      <c r="CW793" t="s">
        <v>3589</v>
      </c>
      <c r="CX793" t="s">
        <v>223</v>
      </c>
      <c r="CY793" t="s">
        <v>3536</v>
      </c>
      <c r="CZ793" t="s">
        <v>3590</v>
      </c>
      <c r="DA793" t="s">
        <v>3591</v>
      </c>
      <c r="DB793" t="s">
        <v>3623</v>
      </c>
      <c r="DC793" t="s">
        <v>363</v>
      </c>
      <c r="DD793" t="s">
        <v>5099</v>
      </c>
      <c r="DE793" t="s">
        <v>4922</v>
      </c>
    </row>
    <row r="794" spans="1:109" ht="11.25" customHeight="1">
      <c r="A794" s="1314" t="s">
        <v>231</v>
      </c>
      <c r="B794" t="s">
        <v>231</v>
      </c>
      <c r="C794" t="s">
        <v>231</v>
      </c>
      <c r="D794" t="s">
        <v>231</v>
      </c>
      <c r="E794" t="s">
        <v>231</v>
      </c>
      <c r="F794" t="s">
        <v>231</v>
      </c>
      <c r="G794" t="s">
        <v>231</v>
      </c>
      <c r="H794" t="s">
        <v>231</v>
      </c>
      <c r="I794" t="s">
        <v>5086</v>
      </c>
      <c r="J794" t="s">
        <v>231</v>
      </c>
      <c r="K794" t="s">
        <v>231</v>
      </c>
      <c r="L794" t="s">
        <v>231</v>
      </c>
      <c r="M794" t="s">
        <v>231</v>
      </c>
      <c r="N794" t="s">
        <v>231</v>
      </c>
      <c r="O794" t="s">
        <v>231</v>
      </c>
      <c r="P794" t="s">
        <v>231</v>
      </c>
      <c r="Q794" t="s">
        <v>231</v>
      </c>
      <c r="R794" t="s">
        <v>5246</v>
      </c>
      <c r="S794" t="s">
        <v>231</v>
      </c>
      <c r="T794" t="s">
        <v>231</v>
      </c>
      <c r="U794" t="s">
        <v>101</v>
      </c>
      <c r="V794" t="s">
        <v>231</v>
      </c>
      <c r="W794" t="s">
        <v>231</v>
      </c>
      <c r="X794" t="s">
        <v>5088</v>
      </c>
      <c r="Y794" t="s">
        <v>231</v>
      </c>
      <c r="Z794" t="s">
        <v>160</v>
      </c>
      <c r="AA794" t="s">
        <v>151</v>
      </c>
      <c r="AB794" t="s">
        <v>151</v>
      </c>
      <c r="AC794" t="s">
        <v>2691</v>
      </c>
      <c r="AD794" t="s">
        <v>2691</v>
      </c>
      <c r="AE794" t="s">
        <v>2692</v>
      </c>
      <c r="AF794" t="s">
        <v>3991</v>
      </c>
      <c r="AG794" t="s">
        <v>3992</v>
      </c>
      <c r="AH794" t="s">
        <v>5247</v>
      </c>
      <c r="AI794" t="s">
        <v>3575</v>
      </c>
      <c r="AJ794" t="s">
        <v>5248</v>
      </c>
      <c r="AK794" t="s">
        <v>5248</v>
      </c>
      <c r="AL794" t="s">
        <v>5092</v>
      </c>
      <c r="AN794" t="s">
        <v>3595</v>
      </c>
      <c r="AO794" t="s">
        <v>5249</v>
      </c>
      <c r="AP794" t="s">
        <v>231</v>
      </c>
      <c r="AQ794" t="s">
        <v>231</v>
      </c>
      <c r="AR794" t="s">
        <v>231</v>
      </c>
      <c r="AS794" t="s">
        <v>231</v>
      </c>
      <c r="AT794" t="s">
        <v>231</v>
      </c>
      <c r="AU794" t="s">
        <v>231</v>
      </c>
      <c r="AV794" t="s">
        <v>231</v>
      </c>
      <c r="AW794" t="s">
        <v>231</v>
      </c>
      <c r="AX794" t="s">
        <v>231</v>
      </c>
      <c r="AY794" t="s">
        <v>231</v>
      </c>
      <c r="AZ794" t="s">
        <v>231</v>
      </c>
      <c r="BA794" t="s">
        <v>231</v>
      </c>
      <c r="BB794" t="s">
        <v>231</v>
      </c>
      <c r="BC794" t="s">
        <v>231</v>
      </c>
      <c r="BD794" t="s">
        <v>231</v>
      </c>
      <c r="BE794" t="s">
        <v>231</v>
      </c>
      <c r="BF794" t="s">
        <v>231</v>
      </c>
      <c r="BG794" t="s">
        <v>231</v>
      </c>
      <c r="BH794" t="s">
        <v>231</v>
      </c>
      <c r="BI794" t="s">
        <v>231</v>
      </c>
      <c r="BJ794" t="s">
        <v>231</v>
      </c>
      <c r="BK794" t="s">
        <v>231</v>
      </c>
      <c r="BL794" t="s">
        <v>231</v>
      </c>
      <c r="BM794" t="s">
        <v>231</v>
      </c>
      <c r="BN794" t="s">
        <v>231</v>
      </c>
      <c r="BO794" t="s">
        <v>231</v>
      </c>
      <c r="BP794" t="s">
        <v>231</v>
      </c>
      <c r="BQ794" t="s">
        <v>231</v>
      </c>
      <c r="BR794" t="s">
        <v>231</v>
      </c>
      <c r="BS794" t="s">
        <v>231</v>
      </c>
      <c r="BT794" t="s">
        <v>231</v>
      </c>
      <c r="CS794" t="s">
        <v>231</v>
      </c>
      <c r="CT794" t="s">
        <v>3534</v>
      </c>
      <c r="CU794" t="s">
        <v>3535</v>
      </c>
      <c r="CV794" t="s">
        <v>3997</v>
      </c>
      <c r="CW794" t="s">
        <v>3998</v>
      </c>
      <c r="CX794" t="s">
        <v>3570</v>
      </c>
      <c r="CY794" t="s">
        <v>3997</v>
      </c>
      <c r="CZ794" t="s">
        <v>5106</v>
      </c>
      <c r="DA794" t="s">
        <v>3999</v>
      </c>
      <c r="DB794" t="s">
        <v>3998</v>
      </c>
      <c r="DC794" t="s">
        <v>363</v>
      </c>
      <c r="DD794" t="s">
        <v>5099</v>
      </c>
      <c r="DE794" t="s">
        <v>5250</v>
      </c>
    </row>
    <row r="795" spans="1:109" ht="11.25" customHeight="1">
      <c r="A795" s="1314" t="s">
        <v>231</v>
      </c>
      <c r="B795" t="s">
        <v>231</v>
      </c>
      <c r="C795" t="s">
        <v>231</v>
      </c>
      <c r="D795" t="s">
        <v>231</v>
      </c>
      <c r="E795" t="s">
        <v>231</v>
      </c>
      <c r="F795" t="s">
        <v>231</v>
      </c>
      <c r="G795" t="s">
        <v>231</v>
      </c>
      <c r="H795" t="s">
        <v>231</v>
      </c>
      <c r="I795" t="s">
        <v>5086</v>
      </c>
      <c r="J795" t="s">
        <v>231</v>
      </c>
      <c r="K795" t="s">
        <v>231</v>
      </c>
      <c r="L795" t="s">
        <v>231</v>
      </c>
      <c r="M795" t="s">
        <v>231</v>
      </c>
      <c r="N795" t="s">
        <v>231</v>
      </c>
      <c r="O795" t="s">
        <v>231</v>
      </c>
      <c r="P795" t="s">
        <v>231</v>
      </c>
      <c r="Q795" t="s">
        <v>231</v>
      </c>
      <c r="R795" t="s">
        <v>5515</v>
      </c>
      <c r="S795" t="s">
        <v>231</v>
      </c>
      <c r="T795" t="s">
        <v>231</v>
      </c>
      <c r="U795" t="s">
        <v>101</v>
      </c>
      <c r="V795" t="s">
        <v>231</v>
      </c>
      <c r="W795" t="s">
        <v>231</v>
      </c>
      <c r="X795" t="s">
        <v>3955</v>
      </c>
      <c r="Y795" t="s">
        <v>231</v>
      </c>
      <c r="Z795" t="s">
        <v>151</v>
      </c>
      <c r="AA795" t="s">
        <v>160</v>
      </c>
      <c r="AB795" t="s">
        <v>151</v>
      </c>
      <c r="AC795" t="s">
        <v>2691</v>
      </c>
      <c r="AD795" t="s">
        <v>2691</v>
      </c>
      <c r="AE795" t="s">
        <v>2692</v>
      </c>
      <c r="AF795" t="s">
        <v>3991</v>
      </c>
      <c r="AG795" t="s">
        <v>3992</v>
      </c>
      <c r="AH795" t="s">
        <v>4277</v>
      </c>
      <c r="AI795" t="s">
        <v>3575</v>
      </c>
      <c r="AJ795" t="s">
        <v>231</v>
      </c>
      <c r="AK795" t="s">
        <v>231</v>
      </c>
      <c r="AL795" t="s">
        <v>231</v>
      </c>
      <c r="AN795" t="s">
        <v>231</v>
      </c>
      <c r="AO795" t="s">
        <v>231</v>
      </c>
      <c r="AP795" t="s">
        <v>5222</v>
      </c>
      <c r="AQ795" t="s">
        <v>5223</v>
      </c>
      <c r="AR795" t="s">
        <v>111</v>
      </c>
      <c r="AS795" t="s">
        <v>3632</v>
      </c>
      <c r="AT795" t="s">
        <v>122</v>
      </c>
      <c r="AU795" t="s">
        <v>231</v>
      </c>
      <c r="AV795" t="s">
        <v>5408</v>
      </c>
      <c r="AW795" t="s">
        <v>2691</v>
      </c>
      <c r="AX795" t="s">
        <v>2691</v>
      </c>
      <c r="AY795" t="s">
        <v>4116</v>
      </c>
      <c r="AZ795" t="s">
        <v>3991</v>
      </c>
      <c r="BA795" t="s">
        <v>4117</v>
      </c>
      <c r="BB795" t="s">
        <v>4277</v>
      </c>
      <c r="BC795" t="s">
        <v>3575</v>
      </c>
      <c r="BD795" t="s">
        <v>3595</v>
      </c>
      <c r="BE795" t="s">
        <v>231</v>
      </c>
      <c r="BF795" t="s">
        <v>231</v>
      </c>
      <c r="BG795" t="s">
        <v>231</v>
      </c>
      <c r="BH795" t="s">
        <v>231</v>
      </c>
      <c r="BI795" t="s">
        <v>231</v>
      </c>
      <c r="BJ795" t="s">
        <v>231</v>
      </c>
      <c r="BK795" t="s">
        <v>231</v>
      </c>
      <c r="BL795" t="s">
        <v>231</v>
      </c>
      <c r="BM795" t="s">
        <v>231</v>
      </c>
      <c r="BN795" t="s">
        <v>231</v>
      </c>
      <c r="BO795" t="s">
        <v>231</v>
      </c>
      <c r="BP795" t="s">
        <v>231</v>
      </c>
      <c r="BQ795" t="s">
        <v>231</v>
      </c>
      <c r="BR795" t="s">
        <v>231</v>
      </c>
      <c r="BS795" t="s">
        <v>231</v>
      </c>
      <c r="BT795" t="s">
        <v>231</v>
      </c>
      <c r="CS795" t="s">
        <v>231</v>
      </c>
      <c r="CT795" t="s">
        <v>3534</v>
      </c>
      <c r="CU795" t="s">
        <v>3535</v>
      </c>
      <c r="CV795" t="s">
        <v>3997</v>
      </c>
      <c r="CW795" t="s">
        <v>3998</v>
      </c>
      <c r="CX795" t="s">
        <v>3570</v>
      </c>
      <c r="CY795" t="s">
        <v>3997</v>
      </c>
      <c r="CZ795" t="s">
        <v>5106</v>
      </c>
      <c r="DA795" t="s">
        <v>3999</v>
      </c>
      <c r="DB795" t="s">
        <v>3998</v>
      </c>
      <c r="DC795" t="s">
        <v>363</v>
      </c>
      <c r="DD795" t="s">
        <v>5099</v>
      </c>
      <c r="DE795" t="s">
        <v>5516</v>
      </c>
    </row>
    <row r="796" spans="1:109" ht="11.25" customHeight="1">
      <c r="A796" s="1314" t="s">
        <v>231</v>
      </c>
      <c r="B796" t="s">
        <v>231</v>
      </c>
      <c r="C796" t="s">
        <v>231</v>
      </c>
      <c r="D796" t="s">
        <v>231</v>
      </c>
      <c r="E796" t="s">
        <v>231</v>
      </c>
      <c r="F796" t="s">
        <v>231</v>
      </c>
      <c r="G796" t="s">
        <v>231</v>
      </c>
      <c r="H796" t="s">
        <v>231</v>
      </c>
      <c r="I796" t="s">
        <v>5086</v>
      </c>
      <c r="J796" t="s">
        <v>231</v>
      </c>
      <c r="K796" t="s">
        <v>231</v>
      </c>
      <c r="L796" t="s">
        <v>231</v>
      </c>
      <c r="M796" t="s">
        <v>231</v>
      </c>
      <c r="N796" t="s">
        <v>231</v>
      </c>
      <c r="O796" t="s">
        <v>231</v>
      </c>
      <c r="P796" t="s">
        <v>231</v>
      </c>
      <c r="Q796" t="s">
        <v>231</v>
      </c>
      <c r="R796" t="s">
        <v>5225</v>
      </c>
      <c r="S796" t="s">
        <v>231</v>
      </c>
      <c r="T796" t="s">
        <v>231</v>
      </c>
      <c r="U796" t="s">
        <v>101</v>
      </c>
      <c r="V796" t="s">
        <v>231</v>
      </c>
      <c r="W796" t="s">
        <v>231</v>
      </c>
      <c r="X796" t="s">
        <v>5088</v>
      </c>
      <c r="Y796" t="s">
        <v>231</v>
      </c>
      <c r="Z796" t="s">
        <v>160</v>
      </c>
      <c r="AA796" t="s">
        <v>151</v>
      </c>
      <c r="AB796" t="s">
        <v>151</v>
      </c>
      <c r="AC796" t="s">
        <v>343</v>
      </c>
      <c r="AD796" t="s">
        <v>343</v>
      </c>
      <c r="AE796" t="s">
        <v>344</v>
      </c>
      <c r="AF796" t="s">
        <v>3561</v>
      </c>
      <c r="AG796" t="s">
        <v>3562</v>
      </c>
      <c r="AH796" t="s">
        <v>5226</v>
      </c>
      <c r="AI796" t="s">
        <v>3575</v>
      </c>
      <c r="AJ796" t="s">
        <v>5227</v>
      </c>
      <c r="AK796" t="s">
        <v>5228</v>
      </c>
      <c r="AL796" t="s">
        <v>5092</v>
      </c>
      <c r="AN796" t="s">
        <v>5229</v>
      </c>
      <c r="AO796" t="s">
        <v>5230</v>
      </c>
      <c r="AP796" t="s">
        <v>231</v>
      </c>
      <c r="AQ796" t="s">
        <v>231</v>
      </c>
      <c r="AR796" t="s">
        <v>231</v>
      </c>
      <c r="AS796" t="s">
        <v>231</v>
      </c>
      <c r="AT796" t="s">
        <v>231</v>
      </c>
      <c r="AU796" t="s">
        <v>231</v>
      </c>
      <c r="AV796" t="s">
        <v>231</v>
      </c>
      <c r="AW796" t="s">
        <v>231</v>
      </c>
      <c r="AX796" t="s">
        <v>231</v>
      </c>
      <c r="AY796" t="s">
        <v>231</v>
      </c>
      <c r="AZ796" t="s">
        <v>231</v>
      </c>
      <c r="BA796" t="s">
        <v>231</v>
      </c>
      <c r="BB796" t="s">
        <v>231</v>
      </c>
      <c r="BC796" t="s">
        <v>231</v>
      </c>
      <c r="BD796" t="s">
        <v>231</v>
      </c>
      <c r="BE796" t="s">
        <v>231</v>
      </c>
      <c r="BF796" t="s">
        <v>231</v>
      </c>
      <c r="BG796" t="s">
        <v>231</v>
      </c>
      <c r="BH796" t="s">
        <v>231</v>
      </c>
      <c r="BI796" t="s">
        <v>231</v>
      </c>
      <c r="BJ796" t="s">
        <v>231</v>
      </c>
      <c r="BK796" t="s">
        <v>231</v>
      </c>
      <c r="BL796" t="s">
        <v>231</v>
      </c>
      <c r="BM796" t="s">
        <v>231</v>
      </c>
      <c r="BN796" t="s">
        <v>231</v>
      </c>
      <c r="BO796" t="s">
        <v>231</v>
      </c>
      <c r="BP796" t="s">
        <v>231</v>
      </c>
      <c r="BQ796" t="s">
        <v>231</v>
      </c>
      <c r="BR796" t="s">
        <v>231</v>
      </c>
      <c r="BS796" t="s">
        <v>231</v>
      </c>
      <c r="BT796" t="s">
        <v>231</v>
      </c>
      <c r="CS796" t="s">
        <v>231</v>
      </c>
      <c r="CT796" t="s">
        <v>3534</v>
      </c>
      <c r="CU796" t="s">
        <v>3535</v>
      </c>
      <c r="CV796" t="s">
        <v>3536</v>
      </c>
      <c r="CW796" t="s">
        <v>3569</v>
      </c>
      <c r="CX796" t="s">
        <v>3570</v>
      </c>
      <c r="CY796" t="s">
        <v>3536</v>
      </c>
      <c r="CZ796" t="s">
        <v>224</v>
      </c>
      <c r="DA796" t="s">
        <v>3571</v>
      </c>
      <c r="DB796" t="s">
        <v>3569</v>
      </c>
      <c r="DC796" t="s">
        <v>363</v>
      </c>
      <c r="DD796" t="s">
        <v>5099</v>
      </c>
      <c r="DE796" t="s">
        <v>5231</v>
      </c>
    </row>
    <row r="797" spans="1:109" ht="11.25" customHeight="1">
      <c r="A797" s="1314" t="s">
        <v>231</v>
      </c>
      <c r="B797" t="s">
        <v>231</v>
      </c>
      <c r="C797" t="s">
        <v>231</v>
      </c>
      <c r="D797" t="s">
        <v>231</v>
      </c>
      <c r="E797" t="s">
        <v>231</v>
      </c>
      <c r="F797" t="s">
        <v>231</v>
      </c>
      <c r="G797" t="s">
        <v>231</v>
      </c>
      <c r="H797" t="s">
        <v>231</v>
      </c>
      <c r="I797" t="s">
        <v>5086</v>
      </c>
      <c r="J797" t="s">
        <v>231</v>
      </c>
      <c r="K797" t="s">
        <v>231</v>
      </c>
      <c r="L797" t="s">
        <v>231</v>
      </c>
      <c r="M797" t="s">
        <v>231</v>
      </c>
      <c r="N797" t="s">
        <v>231</v>
      </c>
      <c r="O797" t="s">
        <v>231</v>
      </c>
      <c r="P797" t="s">
        <v>231</v>
      </c>
      <c r="Q797" t="s">
        <v>231</v>
      </c>
      <c r="R797" t="s">
        <v>5406</v>
      </c>
      <c r="S797" t="s">
        <v>231</v>
      </c>
      <c r="T797" t="s">
        <v>231</v>
      </c>
      <c r="U797" t="s">
        <v>101</v>
      </c>
      <c r="V797" t="s">
        <v>231</v>
      </c>
      <c r="W797" t="s">
        <v>231</v>
      </c>
      <c r="X797" t="s">
        <v>3955</v>
      </c>
      <c r="Y797" t="s">
        <v>231</v>
      </c>
      <c r="Z797" t="s">
        <v>151</v>
      </c>
      <c r="AA797" t="s">
        <v>160</v>
      </c>
      <c r="AB797" t="s">
        <v>151</v>
      </c>
      <c r="AC797" t="s">
        <v>2691</v>
      </c>
      <c r="AD797" t="s">
        <v>2691</v>
      </c>
      <c r="AE797" t="s">
        <v>2692</v>
      </c>
      <c r="AF797" t="s">
        <v>3991</v>
      </c>
      <c r="AG797" t="s">
        <v>3992</v>
      </c>
      <c r="AH797" t="s">
        <v>5407</v>
      </c>
      <c r="AI797" t="s">
        <v>3575</v>
      </c>
      <c r="AJ797" t="s">
        <v>231</v>
      </c>
      <c r="AK797" t="s">
        <v>231</v>
      </c>
      <c r="AL797" t="s">
        <v>231</v>
      </c>
      <c r="AN797" t="s">
        <v>231</v>
      </c>
      <c r="AO797" t="s">
        <v>231</v>
      </c>
      <c r="AP797" t="s">
        <v>5232</v>
      </c>
      <c r="AQ797" t="s">
        <v>5233</v>
      </c>
      <c r="AR797" t="s">
        <v>111</v>
      </c>
      <c r="AS797" t="s">
        <v>3632</v>
      </c>
      <c r="AT797" t="s">
        <v>122</v>
      </c>
      <c r="AU797" t="s">
        <v>231</v>
      </c>
      <c r="AV797" t="s">
        <v>5408</v>
      </c>
      <c r="AW797" t="s">
        <v>2691</v>
      </c>
      <c r="AX797" t="s">
        <v>2691</v>
      </c>
      <c r="AY797" t="s">
        <v>4116</v>
      </c>
      <c r="AZ797" t="s">
        <v>3991</v>
      </c>
      <c r="BA797" t="s">
        <v>4117</v>
      </c>
      <c r="BB797" t="s">
        <v>5407</v>
      </c>
      <c r="BC797" t="s">
        <v>3575</v>
      </c>
      <c r="BD797" t="s">
        <v>3595</v>
      </c>
      <c r="BE797" t="s">
        <v>231</v>
      </c>
      <c r="BF797" t="s">
        <v>231</v>
      </c>
      <c r="BG797" t="s">
        <v>231</v>
      </c>
      <c r="BH797" t="s">
        <v>231</v>
      </c>
      <c r="BI797" t="s">
        <v>231</v>
      </c>
      <c r="BJ797" t="s">
        <v>231</v>
      </c>
      <c r="BK797" t="s">
        <v>231</v>
      </c>
      <c r="BL797" t="s">
        <v>231</v>
      </c>
      <c r="BM797" t="s">
        <v>231</v>
      </c>
      <c r="BN797" t="s">
        <v>231</v>
      </c>
      <c r="BO797" t="s">
        <v>231</v>
      </c>
      <c r="BP797" t="s">
        <v>231</v>
      </c>
      <c r="BQ797" t="s">
        <v>231</v>
      </c>
      <c r="BR797" t="s">
        <v>231</v>
      </c>
      <c r="BS797" t="s">
        <v>231</v>
      </c>
      <c r="BT797" t="s">
        <v>231</v>
      </c>
      <c r="CS797" t="s">
        <v>231</v>
      </c>
      <c r="CT797" t="s">
        <v>3534</v>
      </c>
      <c r="CU797" t="s">
        <v>3535</v>
      </c>
      <c r="CV797" t="s">
        <v>3997</v>
      </c>
      <c r="CW797" t="s">
        <v>3998</v>
      </c>
      <c r="CX797" t="s">
        <v>3570</v>
      </c>
      <c r="CY797" t="s">
        <v>3997</v>
      </c>
      <c r="CZ797" t="s">
        <v>5106</v>
      </c>
      <c r="DA797" t="s">
        <v>3999</v>
      </c>
      <c r="DB797" t="s">
        <v>3998</v>
      </c>
      <c r="DC797" t="s">
        <v>363</v>
      </c>
      <c r="DD797" t="s">
        <v>5099</v>
      </c>
      <c r="DE797" t="s">
        <v>5409</v>
      </c>
    </row>
    <row r="798" spans="1:109" ht="11.25" customHeight="1">
      <c r="A798" s="1314" t="s">
        <v>231</v>
      </c>
      <c r="B798" t="s">
        <v>231</v>
      </c>
      <c r="C798" t="s">
        <v>231</v>
      </c>
      <c r="D798" t="s">
        <v>231</v>
      </c>
      <c r="E798" t="s">
        <v>231</v>
      </c>
      <c r="F798" t="s">
        <v>231</v>
      </c>
      <c r="G798" t="s">
        <v>231</v>
      </c>
      <c r="H798" t="s">
        <v>231</v>
      </c>
      <c r="I798" t="s">
        <v>5086</v>
      </c>
      <c r="J798" t="s">
        <v>231</v>
      </c>
      <c r="K798" t="s">
        <v>231</v>
      </c>
      <c r="L798" t="s">
        <v>231</v>
      </c>
      <c r="M798" t="s">
        <v>231</v>
      </c>
      <c r="N798" t="s">
        <v>231</v>
      </c>
      <c r="O798" t="s">
        <v>231</v>
      </c>
      <c r="P798" t="s">
        <v>231</v>
      </c>
      <c r="Q798" t="s">
        <v>231</v>
      </c>
      <c r="R798" t="s">
        <v>5337</v>
      </c>
      <c r="S798" t="s">
        <v>231</v>
      </c>
      <c r="T798" t="s">
        <v>231</v>
      </c>
      <c r="U798" t="s">
        <v>101</v>
      </c>
      <c r="V798" t="s">
        <v>231</v>
      </c>
      <c r="W798" t="s">
        <v>231</v>
      </c>
      <c r="X798" t="s">
        <v>5088</v>
      </c>
      <c r="Y798" t="s">
        <v>231</v>
      </c>
      <c r="Z798" t="s">
        <v>160</v>
      </c>
      <c r="AA798" t="s">
        <v>151</v>
      </c>
      <c r="AB798" t="s">
        <v>151</v>
      </c>
      <c r="AC798" t="s">
        <v>2289</v>
      </c>
      <c r="AD798" t="s">
        <v>2289</v>
      </c>
      <c r="AE798" t="s">
        <v>2290</v>
      </c>
      <c r="AF798" t="s">
        <v>3793</v>
      </c>
      <c r="AG798" t="s">
        <v>3794</v>
      </c>
      <c r="AH798" t="s">
        <v>5338</v>
      </c>
      <c r="AI798" t="s">
        <v>3667</v>
      </c>
      <c r="AJ798" t="s">
        <v>4996</v>
      </c>
      <c r="AK798" t="s">
        <v>5297</v>
      </c>
      <c r="AL798" t="s">
        <v>5092</v>
      </c>
      <c r="AN798" t="s">
        <v>3549</v>
      </c>
      <c r="AO798" t="s">
        <v>3668</v>
      </c>
      <c r="AP798" t="s">
        <v>231</v>
      </c>
      <c r="AQ798" t="s">
        <v>231</v>
      </c>
      <c r="AR798" t="s">
        <v>231</v>
      </c>
      <c r="AS798" t="s">
        <v>231</v>
      </c>
      <c r="AT798" t="s">
        <v>231</v>
      </c>
      <c r="AU798" t="s">
        <v>231</v>
      </c>
      <c r="AV798" t="s">
        <v>231</v>
      </c>
      <c r="AW798" t="s">
        <v>231</v>
      </c>
      <c r="AX798" t="s">
        <v>231</v>
      </c>
      <c r="AY798" t="s">
        <v>231</v>
      </c>
      <c r="AZ798" t="s">
        <v>231</v>
      </c>
      <c r="BA798" t="s">
        <v>231</v>
      </c>
      <c r="BB798" t="s">
        <v>231</v>
      </c>
      <c r="BC798" t="s">
        <v>231</v>
      </c>
      <c r="BD798" t="s">
        <v>231</v>
      </c>
      <c r="BE798" t="s">
        <v>231</v>
      </c>
      <c r="BF798" t="s">
        <v>231</v>
      </c>
      <c r="BG798" t="s">
        <v>231</v>
      </c>
      <c r="BH798" t="s">
        <v>231</v>
      </c>
      <c r="BI798" t="s">
        <v>231</v>
      </c>
      <c r="BJ798" t="s">
        <v>231</v>
      </c>
      <c r="BK798" t="s">
        <v>231</v>
      </c>
      <c r="BL798" t="s">
        <v>231</v>
      </c>
      <c r="BM798" t="s">
        <v>231</v>
      </c>
      <c r="BN798" t="s">
        <v>231</v>
      </c>
      <c r="BO798" t="s">
        <v>231</v>
      </c>
      <c r="BP798" t="s">
        <v>231</v>
      </c>
      <c r="BQ798" t="s">
        <v>231</v>
      </c>
      <c r="BR798" t="s">
        <v>231</v>
      </c>
      <c r="BS798" t="s">
        <v>231</v>
      </c>
      <c r="BT798" t="s">
        <v>231</v>
      </c>
      <c r="CS798" t="s">
        <v>231</v>
      </c>
      <c r="CT798" t="s">
        <v>3534</v>
      </c>
      <c r="CU798" t="s">
        <v>3535</v>
      </c>
      <c r="CV798" t="s">
        <v>3536</v>
      </c>
      <c r="CW798" t="s">
        <v>3589</v>
      </c>
      <c r="CX798" t="s">
        <v>223</v>
      </c>
      <c r="CY798" t="s">
        <v>3536</v>
      </c>
      <c r="CZ798" t="s">
        <v>3590</v>
      </c>
      <c r="DA798" t="s">
        <v>3591</v>
      </c>
      <c r="DB798" t="s">
        <v>3589</v>
      </c>
      <c r="DC798" t="s">
        <v>363</v>
      </c>
      <c r="DD798" t="s">
        <v>5099</v>
      </c>
      <c r="DE798" t="s">
        <v>5339</v>
      </c>
    </row>
    <row r="799" spans="1:109" ht="11.25" customHeight="1">
      <c r="A799" s="1314" t="s">
        <v>231</v>
      </c>
      <c r="B799" t="s">
        <v>231</v>
      </c>
      <c r="C799" t="s">
        <v>231</v>
      </c>
      <c r="D799" t="s">
        <v>231</v>
      </c>
      <c r="E799" t="s">
        <v>231</v>
      </c>
      <c r="F799" t="s">
        <v>231</v>
      </c>
      <c r="G799" t="s">
        <v>231</v>
      </c>
      <c r="H799" t="s">
        <v>231</v>
      </c>
      <c r="I799" t="s">
        <v>5086</v>
      </c>
      <c r="J799" t="s">
        <v>231</v>
      </c>
      <c r="K799" t="s">
        <v>231</v>
      </c>
      <c r="L799" t="s">
        <v>231</v>
      </c>
      <c r="M799" t="s">
        <v>231</v>
      </c>
      <c r="N799" t="s">
        <v>231</v>
      </c>
      <c r="O799" t="s">
        <v>231</v>
      </c>
      <c r="P799" t="s">
        <v>231</v>
      </c>
      <c r="Q799" t="s">
        <v>231</v>
      </c>
      <c r="R799" t="s">
        <v>5340</v>
      </c>
      <c r="S799" t="s">
        <v>231</v>
      </c>
      <c r="T799" t="s">
        <v>231</v>
      </c>
      <c r="U799" t="s">
        <v>101</v>
      </c>
      <c r="V799" t="s">
        <v>231</v>
      </c>
      <c r="W799" t="s">
        <v>231</v>
      </c>
      <c r="X799" t="s">
        <v>5088</v>
      </c>
      <c r="Y799" t="s">
        <v>231</v>
      </c>
      <c r="Z799" t="s">
        <v>160</v>
      </c>
      <c r="AA799" t="s">
        <v>151</v>
      </c>
      <c r="AB799" t="s">
        <v>151</v>
      </c>
      <c r="AC799" t="s">
        <v>2289</v>
      </c>
      <c r="AD799" t="s">
        <v>2289</v>
      </c>
      <c r="AE799" t="s">
        <v>2290</v>
      </c>
      <c r="AF799" t="s">
        <v>3793</v>
      </c>
      <c r="AG799" t="s">
        <v>3794</v>
      </c>
      <c r="AH799" t="s">
        <v>5341</v>
      </c>
      <c r="AI799" t="s">
        <v>3618</v>
      </c>
      <c r="AJ799" t="s">
        <v>4996</v>
      </c>
      <c r="AK799" t="s">
        <v>5297</v>
      </c>
      <c r="AL799" t="s">
        <v>5092</v>
      </c>
      <c r="AN799" t="s">
        <v>3549</v>
      </c>
      <c r="AO799" t="s">
        <v>5098</v>
      </c>
      <c r="AP799" t="s">
        <v>231</v>
      </c>
      <c r="AQ799" t="s">
        <v>231</v>
      </c>
      <c r="AR799" t="s">
        <v>231</v>
      </c>
      <c r="AS799" t="s">
        <v>231</v>
      </c>
      <c r="AT799" t="s">
        <v>231</v>
      </c>
      <c r="AU799" t="s">
        <v>231</v>
      </c>
      <c r="AV799" t="s">
        <v>231</v>
      </c>
      <c r="AW799" t="s">
        <v>231</v>
      </c>
      <c r="AX799" t="s">
        <v>231</v>
      </c>
      <c r="AY799" t="s">
        <v>231</v>
      </c>
      <c r="AZ799" t="s">
        <v>231</v>
      </c>
      <c r="BA799" t="s">
        <v>231</v>
      </c>
      <c r="BB799" t="s">
        <v>231</v>
      </c>
      <c r="BC799" t="s">
        <v>231</v>
      </c>
      <c r="BD799" t="s">
        <v>231</v>
      </c>
      <c r="BE799" t="s">
        <v>231</v>
      </c>
      <c r="BF799" t="s">
        <v>231</v>
      </c>
      <c r="BG799" t="s">
        <v>231</v>
      </c>
      <c r="BH799" t="s">
        <v>231</v>
      </c>
      <c r="BI799" t="s">
        <v>231</v>
      </c>
      <c r="BJ799" t="s">
        <v>231</v>
      </c>
      <c r="BK799" t="s">
        <v>231</v>
      </c>
      <c r="BL799" t="s">
        <v>231</v>
      </c>
      <c r="BM799" t="s">
        <v>231</v>
      </c>
      <c r="BN799" t="s">
        <v>231</v>
      </c>
      <c r="BO799" t="s">
        <v>231</v>
      </c>
      <c r="BP799" t="s">
        <v>231</v>
      </c>
      <c r="BQ799" t="s">
        <v>231</v>
      </c>
      <c r="BR799" t="s">
        <v>231</v>
      </c>
      <c r="BS799" t="s">
        <v>231</v>
      </c>
      <c r="BT799" t="s">
        <v>231</v>
      </c>
      <c r="CS799" t="s">
        <v>231</v>
      </c>
      <c r="CT799" t="s">
        <v>3534</v>
      </c>
      <c r="CU799" t="s">
        <v>3535</v>
      </c>
      <c r="CV799" t="s">
        <v>3536</v>
      </c>
      <c r="CW799" t="s">
        <v>3589</v>
      </c>
      <c r="CX799" t="s">
        <v>223</v>
      </c>
      <c r="CY799" t="s">
        <v>3536</v>
      </c>
      <c r="CZ799" t="s">
        <v>3590</v>
      </c>
      <c r="DA799" t="s">
        <v>3591</v>
      </c>
      <c r="DB799" t="s">
        <v>3589</v>
      </c>
      <c r="DC799" t="s">
        <v>363</v>
      </c>
      <c r="DD799" t="s">
        <v>5099</v>
      </c>
      <c r="DE799" t="s">
        <v>5342</v>
      </c>
    </row>
    <row r="800" spans="1:109" ht="11.25" customHeight="1">
      <c r="A800" s="1314" t="s">
        <v>231</v>
      </c>
      <c r="B800" t="s">
        <v>231</v>
      </c>
      <c r="C800" t="s">
        <v>231</v>
      </c>
      <c r="D800" t="s">
        <v>231</v>
      </c>
      <c r="E800" t="s">
        <v>231</v>
      </c>
      <c r="F800" t="s">
        <v>231</v>
      </c>
      <c r="G800" t="s">
        <v>231</v>
      </c>
      <c r="H800" t="s">
        <v>231</v>
      </c>
      <c r="I800" t="s">
        <v>5086</v>
      </c>
      <c r="J800" t="s">
        <v>231</v>
      </c>
      <c r="K800" t="s">
        <v>231</v>
      </c>
      <c r="L800" t="s">
        <v>231</v>
      </c>
      <c r="M800" t="s">
        <v>231</v>
      </c>
      <c r="N800" t="s">
        <v>231</v>
      </c>
      <c r="O800" t="s">
        <v>231</v>
      </c>
      <c r="P800" t="s">
        <v>231</v>
      </c>
      <c r="Q800" t="s">
        <v>231</v>
      </c>
      <c r="R800" t="s">
        <v>5343</v>
      </c>
      <c r="S800" t="s">
        <v>231</v>
      </c>
      <c r="T800" t="s">
        <v>231</v>
      </c>
      <c r="U800" t="s">
        <v>101</v>
      </c>
      <c r="V800" t="s">
        <v>231</v>
      </c>
      <c r="W800" t="s">
        <v>231</v>
      </c>
      <c r="X800" t="s">
        <v>3628</v>
      </c>
      <c r="Y800" t="s">
        <v>231</v>
      </c>
      <c r="Z800" t="s">
        <v>151</v>
      </c>
      <c r="AA800" t="s">
        <v>151</v>
      </c>
      <c r="AB800" t="s">
        <v>160</v>
      </c>
      <c r="AC800" t="s">
        <v>2289</v>
      </c>
      <c r="AD800" t="s">
        <v>2289</v>
      </c>
      <c r="AE800" t="s">
        <v>2290</v>
      </c>
      <c r="AF800" t="s">
        <v>3582</v>
      </c>
      <c r="AG800" t="s">
        <v>3583</v>
      </c>
      <c r="AH800" t="s">
        <v>3618</v>
      </c>
      <c r="AI800" t="s">
        <v>3618</v>
      </c>
      <c r="AJ800" t="s">
        <v>231</v>
      </c>
      <c r="AK800" t="s">
        <v>231</v>
      </c>
      <c r="AL800" t="s">
        <v>231</v>
      </c>
      <c r="AN800" t="s">
        <v>231</v>
      </c>
      <c r="AO800" t="s">
        <v>231</v>
      </c>
      <c r="AP800" t="s">
        <v>231</v>
      </c>
      <c r="AQ800" t="s">
        <v>231</v>
      </c>
      <c r="AR800" t="s">
        <v>231</v>
      </c>
      <c r="AS800" t="s">
        <v>231</v>
      </c>
      <c r="AT800" t="s">
        <v>231</v>
      </c>
      <c r="AU800" t="s">
        <v>231</v>
      </c>
      <c r="AV800" t="s">
        <v>231</v>
      </c>
      <c r="AW800" t="s">
        <v>231</v>
      </c>
      <c r="AX800" t="s">
        <v>231</v>
      </c>
      <c r="AY800" t="s">
        <v>231</v>
      </c>
      <c r="AZ800" t="s">
        <v>231</v>
      </c>
      <c r="BA800" t="s">
        <v>231</v>
      </c>
      <c r="BB800" t="s">
        <v>231</v>
      </c>
      <c r="BC800" t="s">
        <v>231</v>
      </c>
      <c r="BD800" t="s">
        <v>231</v>
      </c>
      <c r="BE800" t="s">
        <v>3547</v>
      </c>
      <c r="BF800" t="s">
        <v>3820</v>
      </c>
      <c r="BG800" t="s">
        <v>111</v>
      </c>
      <c r="BH800" t="s">
        <v>3632</v>
      </c>
      <c r="BI800" t="s">
        <v>122</v>
      </c>
      <c r="BJ800" t="s">
        <v>231</v>
      </c>
      <c r="BK800" t="s">
        <v>231</v>
      </c>
      <c r="BL800" t="s">
        <v>2289</v>
      </c>
      <c r="BM800" t="s">
        <v>2289</v>
      </c>
      <c r="BN800" t="s">
        <v>3707</v>
      </c>
      <c r="BO800" t="s">
        <v>3582</v>
      </c>
      <c r="BP800" t="s">
        <v>4234</v>
      </c>
      <c r="BQ800" t="s">
        <v>3618</v>
      </c>
      <c r="BR800" t="s">
        <v>3618</v>
      </c>
      <c r="BS800" t="s">
        <v>231</v>
      </c>
      <c r="BT800" t="s">
        <v>3694</v>
      </c>
      <c r="CS800" t="s">
        <v>5212</v>
      </c>
      <c r="CT800" t="s">
        <v>3534</v>
      </c>
      <c r="CU800" t="s">
        <v>3535</v>
      </c>
      <c r="CV800" t="s">
        <v>3536</v>
      </c>
      <c r="CW800" t="s">
        <v>3589</v>
      </c>
      <c r="CX800" t="s">
        <v>223</v>
      </c>
      <c r="CY800" t="s">
        <v>3536</v>
      </c>
      <c r="CZ800" t="s">
        <v>3590</v>
      </c>
      <c r="DA800" t="s">
        <v>3591</v>
      </c>
      <c r="DB800" t="s">
        <v>3589</v>
      </c>
      <c r="DC800" t="s">
        <v>363</v>
      </c>
      <c r="DD800" t="s">
        <v>5099</v>
      </c>
      <c r="DE800" t="s">
        <v>4236</v>
      </c>
    </row>
    <row r="801" spans="1:109" ht="11.25" customHeight="1">
      <c r="A801" s="1314" t="s">
        <v>231</v>
      </c>
      <c r="B801" t="s">
        <v>231</v>
      </c>
      <c r="C801" t="s">
        <v>231</v>
      </c>
      <c r="D801" t="s">
        <v>231</v>
      </c>
      <c r="E801" t="s">
        <v>231</v>
      </c>
      <c r="F801" t="s">
        <v>231</v>
      </c>
      <c r="G801" t="s">
        <v>231</v>
      </c>
      <c r="H801" t="s">
        <v>231</v>
      </c>
      <c r="I801" t="s">
        <v>5086</v>
      </c>
      <c r="J801" t="s">
        <v>231</v>
      </c>
      <c r="K801" t="s">
        <v>231</v>
      </c>
      <c r="L801" t="s">
        <v>231</v>
      </c>
      <c r="M801" t="s">
        <v>231</v>
      </c>
      <c r="N801" t="s">
        <v>231</v>
      </c>
      <c r="O801" t="s">
        <v>231</v>
      </c>
      <c r="P801" t="s">
        <v>231</v>
      </c>
      <c r="Q801" t="s">
        <v>231</v>
      </c>
      <c r="R801" t="s">
        <v>5209</v>
      </c>
      <c r="S801" t="s">
        <v>231</v>
      </c>
      <c r="T801" t="s">
        <v>231</v>
      </c>
      <c r="U801" t="s">
        <v>101</v>
      </c>
      <c r="V801" t="s">
        <v>231</v>
      </c>
      <c r="W801" t="s">
        <v>231</v>
      </c>
      <c r="X801" t="s">
        <v>3628</v>
      </c>
      <c r="Y801" t="s">
        <v>231</v>
      </c>
      <c r="Z801" t="s">
        <v>151</v>
      </c>
      <c r="AA801" t="s">
        <v>151</v>
      </c>
      <c r="AB801" t="s">
        <v>160</v>
      </c>
      <c r="AC801" t="s">
        <v>2287</v>
      </c>
      <c r="AD801" t="s">
        <v>2287</v>
      </c>
      <c r="AE801" t="s">
        <v>2288</v>
      </c>
      <c r="AF801" t="s">
        <v>4025</v>
      </c>
      <c r="AG801" t="s">
        <v>4026</v>
      </c>
      <c r="AH801" t="s">
        <v>3618</v>
      </c>
      <c r="AI801" t="s">
        <v>3618</v>
      </c>
      <c r="AJ801" t="s">
        <v>231</v>
      </c>
      <c r="AK801" t="s">
        <v>231</v>
      </c>
      <c r="AL801" t="s">
        <v>231</v>
      </c>
      <c r="AN801" t="s">
        <v>231</v>
      </c>
      <c r="AO801" t="s">
        <v>231</v>
      </c>
      <c r="AP801" t="s">
        <v>231</v>
      </c>
      <c r="AQ801" t="s">
        <v>231</v>
      </c>
      <c r="AR801" t="s">
        <v>231</v>
      </c>
      <c r="AS801" t="s">
        <v>231</v>
      </c>
      <c r="AT801" t="s">
        <v>231</v>
      </c>
      <c r="AU801" t="s">
        <v>231</v>
      </c>
      <c r="AV801" t="s">
        <v>231</v>
      </c>
      <c r="AW801" t="s">
        <v>231</v>
      </c>
      <c r="AX801" t="s">
        <v>231</v>
      </c>
      <c r="AY801" t="s">
        <v>231</v>
      </c>
      <c r="AZ801" t="s">
        <v>231</v>
      </c>
      <c r="BA801" t="s">
        <v>231</v>
      </c>
      <c r="BB801" t="s">
        <v>231</v>
      </c>
      <c r="BC801" t="s">
        <v>231</v>
      </c>
      <c r="BD801" t="s">
        <v>231</v>
      </c>
      <c r="BE801" t="s">
        <v>5210</v>
      </c>
      <c r="BF801" t="s">
        <v>5211</v>
      </c>
      <c r="BG801" t="s">
        <v>111</v>
      </c>
      <c r="BH801" t="s">
        <v>3632</v>
      </c>
      <c r="BI801" t="s">
        <v>122</v>
      </c>
      <c r="BJ801" t="s">
        <v>231</v>
      </c>
      <c r="BK801" t="s">
        <v>231</v>
      </c>
      <c r="BL801" t="s">
        <v>2287</v>
      </c>
      <c r="BM801" t="s">
        <v>2287</v>
      </c>
      <c r="BN801" t="s">
        <v>3842</v>
      </c>
      <c r="BO801" t="s">
        <v>4025</v>
      </c>
      <c r="BP801" t="s">
        <v>4216</v>
      </c>
      <c r="BQ801" t="s">
        <v>3618</v>
      </c>
      <c r="BR801" t="s">
        <v>3618</v>
      </c>
      <c r="BS801" t="s">
        <v>231</v>
      </c>
      <c r="BT801" t="s">
        <v>3694</v>
      </c>
      <c r="CS801" t="s">
        <v>5212</v>
      </c>
      <c r="CT801" t="s">
        <v>3534</v>
      </c>
      <c r="CU801" t="s">
        <v>3535</v>
      </c>
      <c r="CV801" t="s">
        <v>3536</v>
      </c>
      <c r="CW801" t="s">
        <v>3623</v>
      </c>
      <c r="CX801" t="s">
        <v>223</v>
      </c>
      <c r="CY801" t="s">
        <v>3536</v>
      </c>
      <c r="CZ801" t="s">
        <v>3624</v>
      </c>
      <c r="DA801" t="s">
        <v>3625</v>
      </c>
      <c r="DB801" t="s">
        <v>3623</v>
      </c>
      <c r="DC801" t="s">
        <v>363</v>
      </c>
      <c r="DD801" t="s">
        <v>5099</v>
      </c>
      <c r="DE801" t="s">
        <v>4290</v>
      </c>
    </row>
    <row r="802" spans="1:109" ht="11.25" customHeight="1">
      <c r="A802" s="1314" t="s">
        <v>231</v>
      </c>
      <c r="B802" t="s">
        <v>231</v>
      </c>
      <c r="C802" t="s">
        <v>231</v>
      </c>
      <c r="D802" t="s">
        <v>231</v>
      </c>
      <c r="E802" t="s">
        <v>231</v>
      </c>
      <c r="F802" t="s">
        <v>231</v>
      </c>
      <c r="G802" t="s">
        <v>231</v>
      </c>
      <c r="H802" t="s">
        <v>231</v>
      </c>
      <c r="I802" t="s">
        <v>5086</v>
      </c>
      <c r="J802" t="s">
        <v>231</v>
      </c>
      <c r="K802" t="s">
        <v>231</v>
      </c>
      <c r="L802" t="s">
        <v>231</v>
      </c>
      <c r="M802" t="s">
        <v>231</v>
      </c>
      <c r="N802" t="s">
        <v>231</v>
      </c>
      <c r="O802" t="s">
        <v>231</v>
      </c>
      <c r="P802" t="s">
        <v>231</v>
      </c>
      <c r="Q802" t="s">
        <v>231</v>
      </c>
      <c r="R802" t="s">
        <v>5421</v>
      </c>
      <c r="S802" t="s">
        <v>231</v>
      </c>
      <c r="T802" t="s">
        <v>231</v>
      </c>
      <c r="U802" t="s">
        <v>101</v>
      </c>
      <c r="V802" t="s">
        <v>231</v>
      </c>
      <c r="W802" t="s">
        <v>231</v>
      </c>
      <c r="X802" t="s">
        <v>3955</v>
      </c>
      <c r="Y802" t="s">
        <v>231</v>
      </c>
      <c r="Z802" t="s">
        <v>151</v>
      </c>
      <c r="AA802" t="s">
        <v>160</v>
      </c>
      <c r="AB802" t="s">
        <v>151</v>
      </c>
      <c r="AC802" t="s">
        <v>2691</v>
      </c>
      <c r="AD802" t="s">
        <v>2691</v>
      </c>
      <c r="AE802" t="s">
        <v>2692</v>
      </c>
      <c r="AF802" t="s">
        <v>3991</v>
      </c>
      <c r="AG802" t="s">
        <v>3992</v>
      </c>
      <c r="AH802" t="s">
        <v>5422</v>
      </c>
      <c r="AI802" t="s">
        <v>3575</v>
      </c>
      <c r="AJ802" t="s">
        <v>231</v>
      </c>
      <c r="AK802" t="s">
        <v>231</v>
      </c>
      <c r="AL802" t="s">
        <v>231</v>
      </c>
      <c r="AN802" t="s">
        <v>231</v>
      </c>
      <c r="AO802" t="s">
        <v>231</v>
      </c>
      <c r="AP802" t="s">
        <v>5182</v>
      </c>
      <c r="AQ802" t="s">
        <v>5183</v>
      </c>
      <c r="AR802" t="s">
        <v>111</v>
      </c>
      <c r="AS802" t="s">
        <v>3632</v>
      </c>
      <c r="AT802" t="s">
        <v>122</v>
      </c>
      <c r="AU802" t="s">
        <v>231</v>
      </c>
      <c r="AV802" t="s">
        <v>5408</v>
      </c>
      <c r="AW802" t="s">
        <v>2691</v>
      </c>
      <c r="AX802" t="s">
        <v>2691</v>
      </c>
      <c r="AY802" t="s">
        <v>4116</v>
      </c>
      <c r="AZ802" t="s">
        <v>3991</v>
      </c>
      <c r="BA802" t="s">
        <v>4117</v>
      </c>
      <c r="BB802" t="s">
        <v>5423</v>
      </c>
      <c r="BC802" t="s">
        <v>3575</v>
      </c>
      <c r="BD802" t="s">
        <v>3595</v>
      </c>
      <c r="BE802" t="s">
        <v>231</v>
      </c>
      <c r="BF802" t="s">
        <v>231</v>
      </c>
      <c r="BG802" t="s">
        <v>231</v>
      </c>
      <c r="BH802" t="s">
        <v>231</v>
      </c>
      <c r="BI802" t="s">
        <v>231</v>
      </c>
      <c r="BJ802" t="s">
        <v>231</v>
      </c>
      <c r="BK802" t="s">
        <v>231</v>
      </c>
      <c r="BL802" t="s">
        <v>231</v>
      </c>
      <c r="BM802" t="s">
        <v>231</v>
      </c>
      <c r="BN802" t="s">
        <v>231</v>
      </c>
      <c r="BO802" t="s">
        <v>231</v>
      </c>
      <c r="BP802" t="s">
        <v>231</v>
      </c>
      <c r="BQ802" t="s">
        <v>231</v>
      </c>
      <c r="BR802" t="s">
        <v>231</v>
      </c>
      <c r="BS802" t="s">
        <v>231</v>
      </c>
      <c r="BT802" t="s">
        <v>231</v>
      </c>
      <c r="CS802" t="s">
        <v>231</v>
      </c>
      <c r="CT802" t="s">
        <v>3534</v>
      </c>
      <c r="CU802" t="s">
        <v>3535</v>
      </c>
      <c r="CV802" t="s">
        <v>3997</v>
      </c>
      <c r="CW802" t="s">
        <v>3998</v>
      </c>
      <c r="CX802" t="s">
        <v>3570</v>
      </c>
      <c r="CY802" t="s">
        <v>3997</v>
      </c>
      <c r="CZ802" t="s">
        <v>5106</v>
      </c>
      <c r="DA802" t="s">
        <v>3999</v>
      </c>
      <c r="DB802" t="s">
        <v>3998</v>
      </c>
      <c r="DC802" t="s">
        <v>363</v>
      </c>
      <c r="DD802" t="s">
        <v>5099</v>
      </c>
      <c r="DE802" t="s">
        <v>5424</v>
      </c>
    </row>
    <row r="803" spans="1:109" ht="11.25" customHeight="1">
      <c r="A803" s="1314" t="s">
        <v>231</v>
      </c>
      <c r="B803" t="s">
        <v>231</v>
      </c>
      <c r="C803" t="s">
        <v>231</v>
      </c>
      <c r="D803" t="s">
        <v>231</v>
      </c>
      <c r="E803" t="s">
        <v>231</v>
      </c>
      <c r="F803" t="s">
        <v>231</v>
      </c>
      <c r="G803" t="s">
        <v>231</v>
      </c>
      <c r="H803" t="s">
        <v>231</v>
      </c>
      <c r="I803" t="s">
        <v>5086</v>
      </c>
      <c r="J803" t="s">
        <v>231</v>
      </c>
      <c r="K803" t="s">
        <v>231</v>
      </c>
      <c r="L803" t="s">
        <v>231</v>
      </c>
      <c r="M803" t="s">
        <v>231</v>
      </c>
      <c r="N803" t="s">
        <v>231</v>
      </c>
      <c r="O803" t="s">
        <v>231</v>
      </c>
      <c r="P803" t="s">
        <v>231</v>
      </c>
      <c r="Q803" t="s">
        <v>231</v>
      </c>
      <c r="R803" t="s">
        <v>5489</v>
      </c>
      <c r="S803" t="s">
        <v>231</v>
      </c>
      <c r="T803" t="s">
        <v>231</v>
      </c>
      <c r="U803" t="s">
        <v>101</v>
      </c>
      <c r="V803" t="s">
        <v>231</v>
      </c>
      <c r="W803" t="s">
        <v>231</v>
      </c>
      <c r="X803" t="s">
        <v>5088</v>
      </c>
      <c r="Y803" t="s">
        <v>231</v>
      </c>
      <c r="Z803" t="s">
        <v>160</v>
      </c>
      <c r="AA803" t="s">
        <v>151</v>
      </c>
      <c r="AB803" t="s">
        <v>151</v>
      </c>
      <c r="AC803" t="s">
        <v>2287</v>
      </c>
      <c r="AD803" t="s">
        <v>2287</v>
      </c>
      <c r="AE803" t="s">
        <v>2288</v>
      </c>
      <c r="AF803" t="s">
        <v>4025</v>
      </c>
      <c r="AG803" t="s">
        <v>4026</v>
      </c>
      <c r="AH803" t="s">
        <v>3660</v>
      </c>
      <c r="AI803" t="s">
        <v>3618</v>
      </c>
      <c r="AJ803" t="s">
        <v>5219</v>
      </c>
      <c r="AK803" t="s">
        <v>5490</v>
      </c>
      <c r="AL803" t="s">
        <v>5092</v>
      </c>
      <c r="AN803" t="s">
        <v>3529</v>
      </c>
      <c r="AO803" t="s">
        <v>5244</v>
      </c>
      <c r="AP803" t="s">
        <v>231</v>
      </c>
      <c r="AQ803" t="s">
        <v>231</v>
      </c>
      <c r="AR803" t="s">
        <v>231</v>
      </c>
      <c r="AS803" t="s">
        <v>231</v>
      </c>
      <c r="AT803" t="s">
        <v>231</v>
      </c>
      <c r="AU803" t="s">
        <v>231</v>
      </c>
      <c r="AV803" t="s">
        <v>231</v>
      </c>
      <c r="AW803" t="s">
        <v>231</v>
      </c>
      <c r="AX803" t="s">
        <v>231</v>
      </c>
      <c r="AY803" t="s">
        <v>231</v>
      </c>
      <c r="AZ803" t="s">
        <v>231</v>
      </c>
      <c r="BA803" t="s">
        <v>231</v>
      </c>
      <c r="BB803" t="s">
        <v>231</v>
      </c>
      <c r="BC803" t="s">
        <v>231</v>
      </c>
      <c r="BD803" t="s">
        <v>231</v>
      </c>
      <c r="BE803" t="s">
        <v>231</v>
      </c>
      <c r="BF803" t="s">
        <v>231</v>
      </c>
      <c r="BG803" t="s">
        <v>231</v>
      </c>
      <c r="BH803" t="s">
        <v>231</v>
      </c>
      <c r="BI803" t="s">
        <v>231</v>
      </c>
      <c r="BJ803" t="s">
        <v>231</v>
      </c>
      <c r="BK803" t="s">
        <v>231</v>
      </c>
      <c r="BL803" t="s">
        <v>231</v>
      </c>
      <c r="BM803" t="s">
        <v>231</v>
      </c>
      <c r="BN803" t="s">
        <v>231</v>
      </c>
      <c r="BO803" t="s">
        <v>231</v>
      </c>
      <c r="BP803" t="s">
        <v>231</v>
      </c>
      <c r="BQ803" t="s">
        <v>231</v>
      </c>
      <c r="BR803" t="s">
        <v>231</v>
      </c>
      <c r="BS803" t="s">
        <v>231</v>
      </c>
      <c r="BT803" t="s">
        <v>231</v>
      </c>
      <c r="CS803" t="s">
        <v>231</v>
      </c>
      <c r="CT803" t="s">
        <v>3534</v>
      </c>
      <c r="CU803" t="s">
        <v>3535</v>
      </c>
      <c r="CV803" t="s">
        <v>3536</v>
      </c>
      <c r="CW803" t="s">
        <v>3623</v>
      </c>
      <c r="CX803" t="s">
        <v>223</v>
      </c>
      <c r="CY803" t="s">
        <v>3536</v>
      </c>
      <c r="CZ803" t="s">
        <v>3624</v>
      </c>
      <c r="DA803" t="s">
        <v>3625</v>
      </c>
      <c r="DB803" t="s">
        <v>3623</v>
      </c>
      <c r="DC803" t="s">
        <v>363</v>
      </c>
      <c r="DD803" t="s">
        <v>5099</v>
      </c>
      <c r="DE803" t="s">
        <v>5491</v>
      </c>
    </row>
    <row r="804" spans="1:109" ht="11.25" customHeight="1">
      <c r="A804" s="1314" t="s">
        <v>231</v>
      </c>
      <c r="B804" t="s">
        <v>231</v>
      </c>
      <c r="C804" t="s">
        <v>231</v>
      </c>
      <c r="D804" t="s">
        <v>231</v>
      </c>
      <c r="E804" t="s">
        <v>231</v>
      </c>
      <c r="F804" t="s">
        <v>231</v>
      </c>
      <c r="G804" t="s">
        <v>231</v>
      </c>
      <c r="H804" t="s">
        <v>231</v>
      </c>
      <c r="I804" t="s">
        <v>5086</v>
      </c>
      <c r="J804" t="s">
        <v>231</v>
      </c>
      <c r="K804" t="s">
        <v>231</v>
      </c>
      <c r="L804" t="s">
        <v>231</v>
      </c>
      <c r="M804" t="s">
        <v>231</v>
      </c>
      <c r="N804" t="s">
        <v>231</v>
      </c>
      <c r="O804" t="s">
        <v>231</v>
      </c>
      <c r="P804" t="s">
        <v>231</v>
      </c>
      <c r="Q804" t="s">
        <v>231</v>
      </c>
      <c r="R804" t="s">
        <v>4903</v>
      </c>
      <c r="S804" t="s">
        <v>231</v>
      </c>
      <c r="T804" t="s">
        <v>231</v>
      </c>
      <c r="U804" t="s">
        <v>101</v>
      </c>
      <c r="V804" t="s">
        <v>231</v>
      </c>
      <c r="W804" t="s">
        <v>231</v>
      </c>
      <c r="X804" t="s">
        <v>3628</v>
      </c>
      <c r="Y804" t="s">
        <v>231</v>
      </c>
      <c r="Z804" t="s">
        <v>151</v>
      </c>
      <c r="AA804" t="s">
        <v>151</v>
      </c>
      <c r="AB804" t="s">
        <v>160</v>
      </c>
      <c r="AC804" t="s">
        <v>2691</v>
      </c>
      <c r="AD804" t="s">
        <v>2691</v>
      </c>
      <c r="AE804" t="s">
        <v>2692</v>
      </c>
      <c r="AF804" t="s">
        <v>3991</v>
      </c>
      <c r="AG804" t="s">
        <v>3992</v>
      </c>
      <c r="AH804" t="s">
        <v>4113</v>
      </c>
      <c r="AI804" t="s">
        <v>3575</v>
      </c>
      <c r="AJ804" t="s">
        <v>231</v>
      </c>
      <c r="AK804" t="s">
        <v>231</v>
      </c>
      <c r="AL804" t="s">
        <v>231</v>
      </c>
      <c r="AN804" t="s">
        <v>231</v>
      </c>
      <c r="AO804" t="s">
        <v>231</v>
      </c>
      <c r="AP804" t="s">
        <v>231</v>
      </c>
      <c r="AQ804" t="s">
        <v>231</v>
      </c>
      <c r="AR804" t="s">
        <v>231</v>
      </c>
      <c r="AS804" t="s">
        <v>231</v>
      </c>
      <c r="AT804" t="s">
        <v>231</v>
      </c>
      <c r="AU804" t="s">
        <v>231</v>
      </c>
      <c r="AV804" t="s">
        <v>231</v>
      </c>
      <c r="AW804" t="s">
        <v>231</v>
      </c>
      <c r="AX804" t="s">
        <v>231</v>
      </c>
      <c r="AY804" t="s">
        <v>231</v>
      </c>
      <c r="AZ804" t="s">
        <v>231</v>
      </c>
      <c r="BA804" t="s">
        <v>231</v>
      </c>
      <c r="BB804" t="s">
        <v>231</v>
      </c>
      <c r="BC804" t="s">
        <v>231</v>
      </c>
      <c r="BD804" t="s">
        <v>231</v>
      </c>
      <c r="BE804" t="s">
        <v>5182</v>
      </c>
      <c r="BF804" t="s">
        <v>5183</v>
      </c>
      <c r="BG804" t="s">
        <v>111</v>
      </c>
      <c r="BH804" t="s">
        <v>3632</v>
      </c>
      <c r="BI804" t="s">
        <v>122</v>
      </c>
      <c r="BJ804" t="s">
        <v>231</v>
      </c>
      <c r="BK804" t="s">
        <v>5184</v>
      </c>
      <c r="BL804" t="s">
        <v>2691</v>
      </c>
      <c r="BM804" t="s">
        <v>2691</v>
      </c>
      <c r="BN804" t="s">
        <v>4116</v>
      </c>
      <c r="BO804" t="s">
        <v>3991</v>
      </c>
      <c r="BP804" t="s">
        <v>4117</v>
      </c>
      <c r="BQ804" t="s">
        <v>4113</v>
      </c>
      <c r="BR804" t="s">
        <v>3575</v>
      </c>
      <c r="BS804" t="s">
        <v>231</v>
      </c>
      <c r="BT804" t="s">
        <v>3637</v>
      </c>
      <c r="CS804" t="s">
        <v>3595</v>
      </c>
      <c r="CT804" t="s">
        <v>3534</v>
      </c>
      <c r="CU804" t="s">
        <v>3535</v>
      </c>
      <c r="CV804" t="s">
        <v>3997</v>
      </c>
      <c r="CW804" t="s">
        <v>3998</v>
      </c>
      <c r="CX804" t="s">
        <v>3570</v>
      </c>
      <c r="CY804" t="s">
        <v>3997</v>
      </c>
      <c r="CZ804" t="s">
        <v>5106</v>
      </c>
      <c r="DA804" t="s">
        <v>3999</v>
      </c>
      <c r="DB804" t="s">
        <v>3998</v>
      </c>
      <c r="DC804" t="s">
        <v>363</v>
      </c>
      <c r="DD804" t="s">
        <v>5099</v>
      </c>
      <c r="DE804" t="s">
        <v>5185</v>
      </c>
    </row>
    <row r="805" spans="1:109" ht="11.25" customHeight="1">
      <c r="A805" s="1314" t="s">
        <v>231</v>
      </c>
      <c r="B805" t="s">
        <v>231</v>
      </c>
      <c r="C805" t="s">
        <v>231</v>
      </c>
      <c r="D805" t="s">
        <v>231</v>
      </c>
      <c r="E805" t="s">
        <v>231</v>
      </c>
      <c r="F805" t="s">
        <v>231</v>
      </c>
      <c r="G805" t="s">
        <v>231</v>
      </c>
      <c r="H805" t="s">
        <v>231</v>
      </c>
      <c r="I805" t="s">
        <v>5086</v>
      </c>
      <c r="J805" t="s">
        <v>231</v>
      </c>
      <c r="K805" t="s">
        <v>231</v>
      </c>
      <c r="L805" t="s">
        <v>231</v>
      </c>
      <c r="M805" t="s">
        <v>231</v>
      </c>
      <c r="N805" t="s">
        <v>231</v>
      </c>
      <c r="O805" t="s">
        <v>231</v>
      </c>
      <c r="P805" t="s">
        <v>231</v>
      </c>
      <c r="Q805" t="s">
        <v>231</v>
      </c>
      <c r="R805" t="s">
        <v>5457</v>
      </c>
      <c r="S805" t="s">
        <v>231</v>
      </c>
      <c r="T805" t="s">
        <v>231</v>
      </c>
      <c r="U805" t="s">
        <v>101</v>
      </c>
      <c r="V805" t="s">
        <v>231</v>
      </c>
      <c r="W805" t="s">
        <v>231</v>
      </c>
      <c r="X805" t="s">
        <v>3628</v>
      </c>
      <c r="Y805" t="s">
        <v>231</v>
      </c>
      <c r="Z805" t="s">
        <v>151</v>
      </c>
      <c r="AA805" t="s">
        <v>151</v>
      </c>
      <c r="AB805" t="s">
        <v>160</v>
      </c>
      <c r="AC805" t="s">
        <v>2289</v>
      </c>
      <c r="AD805" t="s">
        <v>2289</v>
      </c>
      <c r="AE805" t="s">
        <v>2290</v>
      </c>
      <c r="AF805" t="s">
        <v>3771</v>
      </c>
      <c r="AG805" t="s">
        <v>3772</v>
      </c>
      <c r="AH805" t="s">
        <v>3618</v>
      </c>
      <c r="AI805" t="s">
        <v>3618</v>
      </c>
      <c r="AJ805" t="s">
        <v>231</v>
      </c>
      <c r="AK805" t="s">
        <v>231</v>
      </c>
      <c r="AL805" t="s">
        <v>231</v>
      </c>
      <c r="AN805" t="s">
        <v>231</v>
      </c>
      <c r="AO805" t="s">
        <v>231</v>
      </c>
      <c r="AP805" t="s">
        <v>231</v>
      </c>
      <c r="AQ805" t="s">
        <v>231</v>
      </c>
      <c r="AR805" t="s">
        <v>231</v>
      </c>
      <c r="AS805" t="s">
        <v>231</v>
      </c>
      <c r="AT805" t="s">
        <v>231</v>
      </c>
      <c r="AU805" t="s">
        <v>231</v>
      </c>
      <c r="AV805" t="s">
        <v>231</v>
      </c>
      <c r="AW805" t="s">
        <v>231</v>
      </c>
      <c r="AX805" t="s">
        <v>231</v>
      </c>
      <c r="AY805" t="s">
        <v>231</v>
      </c>
      <c r="AZ805" t="s">
        <v>231</v>
      </c>
      <c r="BA805" t="s">
        <v>231</v>
      </c>
      <c r="BB805" t="s">
        <v>231</v>
      </c>
      <c r="BC805" t="s">
        <v>231</v>
      </c>
      <c r="BD805" t="s">
        <v>231</v>
      </c>
      <c r="BE805" t="s">
        <v>3547</v>
      </c>
      <c r="BF805" t="s">
        <v>3820</v>
      </c>
      <c r="BG805" t="s">
        <v>111</v>
      </c>
      <c r="BH805" t="s">
        <v>3632</v>
      </c>
      <c r="BI805" t="s">
        <v>122</v>
      </c>
      <c r="BJ805" t="s">
        <v>231</v>
      </c>
      <c r="BK805" t="s">
        <v>231</v>
      </c>
      <c r="BL805" t="s">
        <v>2289</v>
      </c>
      <c r="BM805" t="s">
        <v>2289</v>
      </c>
      <c r="BN805" t="s">
        <v>3707</v>
      </c>
      <c r="BO805" t="s">
        <v>3771</v>
      </c>
      <c r="BP805" t="s">
        <v>4092</v>
      </c>
      <c r="BQ805" t="s">
        <v>3618</v>
      </c>
      <c r="BR805" t="s">
        <v>3618</v>
      </c>
      <c r="BS805" t="s">
        <v>231</v>
      </c>
      <c r="BT805" t="s">
        <v>3694</v>
      </c>
      <c r="CS805" t="s">
        <v>5212</v>
      </c>
      <c r="CT805" t="s">
        <v>3534</v>
      </c>
      <c r="CU805" t="s">
        <v>3535</v>
      </c>
      <c r="CV805" t="s">
        <v>3536</v>
      </c>
      <c r="CW805" t="s">
        <v>3589</v>
      </c>
      <c r="CX805" t="s">
        <v>223</v>
      </c>
      <c r="CY805" t="s">
        <v>3536</v>
      </c>
      <c r="CZ805" t="s">
        <v>3590</v>
      </c>
      <c r="DA805" t="s">
        <v>3591</v>
      </c>
      <c r="DB805" t="s">
        <v>3589</v>
      </c>
      <c r="DC805" t="s">
        <v>363</v>
      </c>
      <c r="DD805" t="s">
        <v>5099</v>
      </c>
      <c r="DE805" t="s">
        <v>4094</v>
      </c>
    </row>
    <row r="806" spans="1:109" ht="11.25" customHeight="1">
      <c r="A806" s="1314" t="s">
        <v>231</v>
      </c>
      <c r="B806" t="s">
        <v>231</v>
      </c>
      <c r="C806" t="s">
        <v>231</v>
      </c>
      <c r="D806" t="s">
        <v>231</v>
      </c>
      <c r="E806" t="s">
        <v>231</v>
      </c>
      <c r="F806" t="s">
        <v>231</v>
      </c>
      <c r="G806" t="s">
        <v>231</v>
      </c>
      <c r="H806" t="s">
        <v>231</v>
      </c>
      <c r="I806" t="s">
        <v>5086</v>
      </c>
      <c r="J806" t="s">
        <v>231</v>
      </c>
      <c r="K806" t="s">
        <v>231</v>
      </c>
      <c r="L806" t="s">
        <v>231</v>
      </c>
      <c r="M806" t="s">
        <v>231</v>
      </c>
      <c r="N806" t="s">
        <v>231</v>
      </c>
      <c r="O806" t="s">
        <v>231</v>
      </c>
      <c r="P806" t="s">
        <v>231</v>
      </c>
      <c r="Q806" t="s">
        <v>231</v>
      </c>
      <c r="R806" t="s">
        <v>5458</v>
      </c>
      <c r="S806" t="s">
        <v>231</v>
      </c>
      <c r="T806" t="s">
        <v>231</v>
      </c>
      <c r="U806" t="s">
        <v>101</v>
      </c>
      <c r="V806" t="s">
        <v>231</v>
      </c>
      <c r="W806" t="s">
        <v>231</v>
      </c>
      <c r="X806" t="s">
        <v>3628</v>
      </c>
      <c r="Y806" t="s">
        <v>231</v>
      </c>
      <c r="Z806" t="s">
        <v>151</v>
      </c>
      <c r="AA806" t="s">
        <v>151</v>
      </c>
      <c r="AB806" t="s">
        <v>160</v>
      </c>
      <c r="AC806" t="s">
        <v>2289</v>
      </c>
      <c r="AD806" t="s">
        <v>2289</v>
      </c>
      <c r="AE806" t="s">
        <v>2290</v>
      </c>
      <c r="AF806" t="s">
        <v>3890</v>
      </c>
      <c r="AG806" t="s">
        <v>3891</v>
      </c>
      <c r="AH806" t="s">
        <v>3618</v>
      </c>
      <c r="AI806" t="s">
        <v>3618</v>
      </c>
      <c r="AJ806" t="s">
        <v>231</v>
      </c>
      <c r="AK806" t="s">
        <v>231</v>
      </c>
      <c r="AL806" t="s">
        <v>231</v>
      </c>
      <c r="AN806" t="s">
        <v>231</v>
      </c>
      <c r="AO806" t="s">
        <v>231</v>
      </c>
      <c r="AP806" t="s">
        <v>231</v>
      </c>
      <c r="AQ806" t="s">
        <v>231</v>
      </c>
      <c r="AR806" t="s">
        <v>231</v>
      </c>
      <c r="AS806" t="s">
        <v>231</v>
      </c>
      <c r="AT806" t="s">
        <v>231</v>
      </c>
      <c r="AU806" t="s">
        <v>231</v>
      </c>
      <c r="AV806" t="s">
        <v>231</v>
      </c>
      <c r="AW806" t="s">
        <v>231</v>
      </c>
      <c r="AX806" t="s">
        <v>231</v>
      </c>
      <c r="AY806" t="s">
        <v>231</v>
      </c>
      <c r="AZ806" t="s">
        <v>231</v>
      </c>
      <c r="BA806" t="s">
        <v>231</v>
      </c>
      <c r="BB806" t="s">
        <v>231</v>
      </c>
      <c r="BC806" t="s">
        <v>231</v>
      </c>
      <c r="BD806" t="s">
        <v>231</v>
      </c>
      <c r="BE806" t="s">
        <v>3586</v>
      </c>
      <c r="BF806" t="s">
        <v>3716</v>
      </c>
      <c r="BG806" t="s">
        <v>111</v>
      </c>
      <c r="BH806" t="s">
        <v>3632</v>
      </c>
      <c r="BI806" t="s">
        <v>122</v>
      </c>
      <c r="BJ806" t="s">
        <v>231</v>
      </c>
      <c r="BK806" t="s">
        <v>231</v>
      </c>
      <c r="BL806" t="s">
        <v>2289</v>
      </c>
      <c r="BM806" t="s">
        <v>2289</v>
      </c>
      <c r="BN806" t="s">
        <v>3707</v>
      </c>
      <c r="BO806" t="s">
        <v>3890</v>
      </c>
      <c r="BP806" t="s">
        <v>4364</v>
      </c>
      <c r="BQ806" t="s">
        <v>3618</v>
      </c>
      <c r="BR806" t="s">
        <v>3618</v>
      </c>
      <c r="BS806" t="s">
        <v>231</v>
      </c>
      <c r="BT806" t="s">
        <v>3694</v>
      </c>
      <c r="CS806" t="s">
        <v>5212</v>
      </c>
      <c r="CT806" t="s">
        <v>3534</v>
      </c>
      <c r="CU806" t="s">
        <v>3535</v>
      </c>
      <c r="CV806" t="s">
        <v>3536</v>
      </c>
      <c r="CW806" t="s">
        <v>3589</v>
      </c>
      <c r="CX806" t="s">
        <v>223</v>
      </c>
      <c r="CY806" t="s">
        <v>3536</v>
      </c>
      <c r="CZ806" t="s">
        <v>3590</v>
      </c>
      <c r="DA806" t="s">
        <v>3591</v>
      </c>
      <c r="DB806" t="s">
        <v>3589</v>
      </c>
      <c r="DC806" t="s">
        <v>363</v>
      </c>
      <c r="DD806" t="s">
        <v>5099</v>
      </c>
      <c r="DE806" t="s">
        <v>4366</v>
      </c>
    </row>
    <row r="807" spans="1:109" ht="11.25" customHeight="1">
      <c r="A807" s="1314" t="s">
        <v>231</v>
      </c>
      <c r="B807" t="s">
        <v>231</v>
      </c>
      <c r="C807" t="s">
        <v>231</v>
      </c>
      <c r="D807" t="s">
        <v>231</v>
      </c>
      <c r="E807" t="s">
        <v>231</v>
      </c>
      <c r="F807" t="s">
        <v>231</v>
      </c>
      <c r="G807" t="s">
        <v>231</v>
      </c>
      <c r="H807" t="s">
        <v>231</v>
      </c>
      <c r="I807" t="s">
        <v>5086</v>
      </c>
      <c r="J807" t="s">
        <v>231</v>
      </c>
      <c r="K807" t="s">
        <v>231</v>
      </c>
      <c r="L807" t="s">
        <v>231</v>
      </c>
      <c r="M807" t="s">
        <v>231</v>
      </c>
      <c r="N807" t="s">
        <v>231</v>
      </c>
      <c r="O807" t="s">
        <v>231</v>
      </c>
      <c r="P807" t="s">
        <v>231</v>
      </c>
      <c r="Q807" t="s">
        <v>231</v>
      </c>
      <c r="R807" t="s">
        <v>5213</v>
      </c>
      <c r="S807" t="s">
        <v>231</v>
      </c>
      <c r="T807" t="s">
        <v>231</v>
      </c>
      <c r="U807" t="s">
        <v>101</v>
      </c>
      <c r="V807" t="s">
        <v>231</v>
      </c>
      <c r="W807" t="s">
        <v>231</v>
      </c>
      <c r="X807" t="s">
        <v>5088</v>
      </c>
      <c r="Y807" t="s">
        <v>231</v>
      </c>
      <c r="Z807" t="s">
        <v>160</v>
      </c>
      <c r="AA807" t="s">
        <v>151</v>
      </c>
      <c r="AB807" t="s">
        <v>151</v>
      </c>
      <c r="AC807" t="s">
        <v>2287</v>
      </c>
      <c r="AD807" t="s">
        <v>2287</v>
      </c>
      <c r="AE807" t="s">
        <v>2288</v>
      </c>
      <c r="AF807" t="s">
        <v>4025</v>
      </c>
      <c r="AG807" t="s">
        <v>4026</v>
      </c>
      <c r="AH807" t="s">
        <v>5214</v>
      </c>
      <c r="AI807" t="s">
        <v>3618</v>
      </c>
      <c r="AJ807" t="s">
        <v>5212</v>
      </c>
      <c r="AK807" t="s">
        <v>5215</v>
      </c>
      <c r="AL807" t="s">
        <v>5092</v>
      </c>
      <c r="AN807" t="s">
        <v>3529</v>
      </c>
      <c r="AO807" t="s">
        <v>5216</v>
      </c>
      <c r="AP807" t="s">
        <v>231</v>
      </c>
      <c r="AQ807" t="s">
        <v>231</v>
      </c>
      <c r="AR807" t="s">
        <v>231</v>
      </c>
      <c r="AS807" t="s">
        <v>231</v>
      </c>
      <c r="AT807" t="s">
        <v>231</v>
      </c>
      <c r="AU807" t="s">
        <v>231</v>
      </c>
      <c r="AV807" t="s">
        <v>231</v>
      </c>
      <c r="AW807" t="s">
        <v>231</v>
      </c>
      <c r="AX807" t="s">
        <v>231</v>
      </c>
      <c r="AY807" t="s">
        <v>231</v>
      </c>
      <c r="AZ807" t="s">
        <v>231</v>
      </c>
      <c r="BA807" t="s">
        <v>231</v>
      </c>
      <c r="BB807" t="s">
        <v>231</v>
      </c>
      <c r="BC807" t="s">
        <v>231</v>
      </c>
      <c r="BD807" t="s">
        <v>231</v>
      </c>
      <c r="BE807" t="s">
        <v>231</v>
      </c>
      <c r="BF807" t="s">
        <v>231</v>
      </c>
      <c r="BG807" t="s">
        <v>231</v>
      </c>
      <c r="BH807" t="s">
        <v>231</v>
      </c>
      <c r="BI807" t="s">
        <v>231</v>
      </c>
      <c r="BJ807" t="s">
        <v>231</v>
      </c>
      <c r="BK807" t="s">
        <v>231</v>
      </c>
      <c r="BL807" t="s">
        <v>231</v>
      </c>
      <c r="BM807" t="s">
        <v>231</v>
      </c>
      <c r="BN807" t="s">
        <v>231</v>
      </c>
      <c r="BO807" t="s">
        <v>231</v>
      </c>
      <c r="BP807" t="s">
        <v>231</v>
      </c>
      <c r="BQ807" t="s">
        <v>231</v>
      </c>
      <c r="BR807" t="s">
        <v>231</v>
      </c>
      <c r="BS807" t="s">
        <v>231</v>
      </c>
      <c r="BT807" t="s">
        <v>231</v>
      </c>
      <c r="CS807" t="s">
        <v>231</v>
      </c>
      <c r="CT807" t="s">
        <v>3534</v>
      </c>
      <c r="CU807" t="s">
        <v>3535</v>
      </c>
      <c r="CV807" t="s">
        <v>3536</v>
      </c>
      <c r="CW807" t="s">
        <v>3623</v>
      </c>
      <c r="CX807" t="s">
        <v>223</v>
      </c>
      <c r="CY807" t="s">
        <v>3536</v>
      </c>
      <c r="CZ807" t="s">
        <v>3624</v>
      </c>
      <c r="DA807" t="s">
        <v>3625</v>
      </c>
      <c r="DB807" t="s">
        <v>3623</v>
      </c>
      <c r="DC807" t="s">
        <v>363</v>
      </c>
      <c r="DD807" t="s">
        <v>5099</v>
      </c>
      <c r="DE807" t="s">
        <v>5217</v>
      </c>
    </row>
    <row r="808" spans="1:109" ht="11.25" customHeight="1">
      <c r="A808" s="1314" t="s">
        <v>231</v>
      </c>
      <c r="B808" t="s">
        <v>231</v>
      </c>
      <c r="C808" t="s">
        <v>231</v>
      </c>
      <c r="D808" t="s">
        <v>231</v>
      </c>
      <c r="E808" t="s">
        <v>231</v>
      </c>
      <c r="F808" t="s">
        <v>231</v>
      </c>
      <c r="G808" t="s">
        <v>231</v>
      </c>
      <c r="H808" t="s">
        <v>231</v>
      </c>
      <c r="I808" t="s">
        <v>5086</v>
      </c>
      <c r="J808" t="s">
        <v>231</v>
      </c>
      <c r="K808" t="s">
        <v>231</v>
      </c>
      <c r="L808" t="s">
        <v>231</v>
      </c>
      <c r="M808" t="s">
        <v>231</v>
      </c>
      <c r="N808" t="s">
        <v>231</v>
      </c>
      <c r="O808" t="s">
        <v>231</v>
      </c>
      <c r="P808" t="s">
        <v>231</v>
      </c>
      <c r="Q808" t="s">
        <v>231</v>
      </c>
      <c r="R808" t="s">
        <v>5218</v>
      </c>
      <c r="S808" t="s">
        <v>231</v>
      </c>
      <c r="T808" t="s">
        <v>231</v>
      </c>
      <c r="U808" t="s">
        <v>101</v>
      </c>
      <c r="V808" t="s">
        <v>231</v>
      </c>
      <c r="W808" t="s">
        <v>231</v>
      </c>
      <c r="X808" t="s">
        <v>5088</v>
      </c>
      <c r="Y808" t="s">
        <v>231</v>
      </c>
      <c r="Z808" t="s">
        <v>160</v>
      </c>
      <c r="AA808" t="s">
        <v>151</v>
      </c>
      <c r="AB808" t="s">
        <v>151</v>
      </c>
      <c r="AC808" t="s">
        <v>2287</v>
      </c>
      <c r="AD808" t="s">
        <v>2287</v>
      </c>
      <c r="AE808" t="s">
        <v>2288</v>
      </c>
      <c r="AF808" t="s">
        <v>4025</v>
      </c>
      <c r="AG808" t="s">
        <v>4026</v>
      </c>
      <c r="AH808" t="s">
        <v>5207</v>
      </c>
      <c r="AI808" t="s">
        <v>3618</v>
      </c>
      <c r="AJ808" t="s">
        <v>5219</v>
      </c>
      <c r="AK808" t="s">
        <v>3775</v>
      </c>
      <c r="AL808" t="s">
        <v>5092</v>
      </c>
      <c r="AN808" t="s">
        <v>3529</v>
      </c>
      <c r="AO808" t="s">
        <v>5220</v>
      </c>
      <c r="AP808" t="s">
        <v>231</v>
      </c>
      <c r="AQ808" t="s">
        <v>231</v>
      </c>
      <c r="AR808" t="s">
        <v>231</v>
      </c>
      <c r="AS808" t="s">
        <v>231</v>
      </c>
      <c r="AT808" t="s">
        <v>231</v>
      </c>
      <c r="AU808" t="s">
        <v>231</v>
      </c>
      <c r="AV808" t="s">
        <v>231</v>
      </c>
      <c r="AW808" t="s">
        <v>231</v>
      </c>
      <c r="AX808" t="s">
        <v>231</v>
      </c>
      <c r="AY808" t="s">
        <v>231</v>
      </c>
      <c r="AZ808" t="s">
        <v>231</v>
      </c>
      <c r="BA808" t="s">
        <v>231</v>
      </c>
      <c r="BB808" t="s">
        <v>231</v>
      </c>
      <c r="BC808" t="s">
        <v>231</v>
      </c>
      <c r="BD808" t="s">
        <v>231</v>
      </c>
      <c r="BE808" t="s">
        <v>231</v>
      </c>
      <c r="BF808" t="s">
        <v>231</v>
      </c>
      <c r="BG808" t="s">
        <v>231</v>
      </c>
      <c r="BH808" t="s">
        <v>231</v>
      </c>
      <c r="BI808" t="s">
        <v>231</v>
      </c>
      <c r="BJ808" t="s">
        <v>231</v>
      </c>
      <c r="BK808" t="s">
        <v>231</v>
      </c>
      <c r="BL808" t="s">
        <v>231</v>
      </c>
      <c r="BM808" t="s">
        <v>231</v>
      </c>
      <c r="BN808" t="s">
        <v>231</v>
      </c>
      <c r="BO808" t="s">
        <v>231</v>
      </c>
      <c r="BP808" t="s">
        <v>231</v>
      </c>
      <c r="BQ808" t="s">
        <v>231</v>
      </c>
      <c r="BR808" t="s">
        <v>231</v>
      </c>
      <c r="BS808" t="s">
        <v>231</v>
      </c>
      <c r="BT808" t="s">
        <v>231</v>
      </c>
      <c r="CS808" t="s">
        <v>231</v>
      </c>
      <c r="CT808" t="s">
        <v>3534</v>
      </c>
      <c r="CU808" t="s">
        <v>3535</v>
      </c>
      <c r="CV808" t="s">
        <v>3536</v>
      </c>
      <c r="CW808" t="s">
        <v>3623</v>
      </c>
      <c r="CX808" t="s">
        <v>223</v>
      </c>
      <c r="CY808" t="s">
        <v>3536</v>
      </c>
      <c r="CZ808" t="s">
        <v>3624</v>
      </c>
      <c r="DA808" t="s">
        <v>3625</v>
      </c>
      <c r="DB808" t="s">
        <v>3623</v>
      </c>
      <c r="DC808" t="s">
        <v>363</v>
      </c>
      <c r="DD808" t="s">
        <v>5099</v>
      </c>
      <c r="DE808" t="s">
        <v>5221</v>
      </c>
    </row>
    <row r="809" spans="1:109" ht="11.25" customHeight="1">
      <c r="A809" s="1314" t="s">
        <v>231</v>
      </c>
      <c r="B809" t="s">
        <v>231</v>
      </c>
      <c r="C809" t="s">
        <v>231</v>
      </c>
      <c r="D809" t="s">
        <v>231</v>
      </c>
      <c r="E809" t="s">
        <v>231</v>
      </c>
      <c r="F809" t="s">
        <v>231</v>
      </c>
      <c r="G809" t="s">
        <v>231</v>
      </c>
      <c r="H809" t="s">
        <v>231</v>
      </c>
      <c r="I809" t="s">
        <v>5086</v>
      </c>
      <c r="J809" t="s">
        <v>231</v>
      </c>
      <c r="K809" t="s">
        <v>231</v>
      </c>
      <c r="L809" t="s">
        <v>231</v>
      </c>
      <c r="M809" t="s">
        <v>231</v>
      </c>
      <c r="N809" t="s">
        <v>231</v>
      </c>
      <c r="O809" t="s">
        <v>231</v>
      </c>
      <c r="P809" t="s">
        <v>231</v>
      </c>
      <c r="Q809" t="s">
        <v>231</v>
      </c>
      <c r="R809" t="s">
        <v>5242</v>
      </c>
      <c r="S809" t="s">
        <v>231</v>
      </c>
      <c r="T809" t="s">
        <v>231</v>
      </c>
      <c r="U809" t="s">
        <v>101</v>
      </c>
      <c r="V809" t="s">
        <v>231</v>
      </c>
      <c r="W809" t="s">
        <v>231</v>
      </c>
      <c r="X809" t="s">
        <v>5088</v>
      </c>
      <c r="Y809" t="s">
        <v>231</v>
      </c>
      <c r="Z809" t="s">
        <v>160</v>
      </c>
      <c r="AA809" t="s">
        <v>151</v>
      </c>
      <c r="AB809" t="s">
        <v>151</v>
      </c>
      <c r="AC809" t="s">
        <v>2287</v>
      </c>
      <c r="AD809" t="s">
        <v>2287</v>
      </c>
      <c r="AE809" t="s">
        <v>2288</v>
      </c>
      <c r="AF809" t="s">
        <v>4025</v>
      </c>
      <c r="AG809" t="s">
        <v>4026</v>
      </c>
      <c r="AH809" t="s">
        <v>5243</v>
      </c>
      <c r="AI809" t="s">
        <v>3618</v>
      </c>
      <c r="AJ809" t="s">
        <v>5219</v>
      </c>
      <c r="AK809" t="s">
        <v>5239</v>
      </c>
      <c r="AL809" t="s">
        <v>5092</v>
      </c>
      <c r="AN809" t="s">
        <v>3549</v>
      </c>
      <c r="AO809" t="s">
        <v>5244</v>
      </c>
      <c r="AP809" t="s">
        <v>231</v>
      </c>
      <c r="AQ809" t="s">
        <v>231</v>
      </c>
      <c r="AR809" t="s">
        <v>231</v>
      </c>
      <c r="AS809" t="s">
        <v>231</v>
      </c>
      <c r="AT809" t="s">
        <v>231</v>
      </c>
      <c r="AU809" t="s">
        <v>231</v>
      </c>
      <c r="AV809" t="s">
        <v>231</v>
      </c>
      <c r="AW809" t="s">
        <v>231</v>
      </c>
      <c r="AX809" t="s">
        <v>231</v>
      </c>
      <c r="AY809" t="s">
        <v>231</v>
      </c>
      <c r="AZ809" t="s">
        <v>231</v>
      </c>
      <c r="BA809" t="s">
        <v>231</v>
      </c>
      <c r="BB809" t="s">
        <v>231</v>
      </c>
      <c r="BC809" t="s">
        <v>231</v>
      </c>
      <c r="BD809" t="s">
        <v>231</v>
      </c>
      <c r="BE809" t="s">
        <v>231</v>
      </c>
      <c r="BF809" t="s">
        <v>231</v>
      </c>
      <c r="BG809" t="s">
        <v>231</v>
      </c>
      <c r="BH809" t="s">
        <v>231</v>
      </c>
      <c r="BI809" t="s">
        <v>231</v>
      </c>
      <c r="BJ809" t="s">
        <v>231</v>
      </c>
      <c r="BK809" t="s">
        <v>231</v>
      </c>
      <c r="BL809" t="s">
        <v>231</v>
      </c>
      <c r="BM809" t="s">
        <v>231</v>
      </c>
      <c r="BN809" t="s">
        <v>231</v>
      </c>
      <c r="BO809" t="s">
        <v>231</v>
      </c>
      <c r="BP809" t="s">
        <v>231</v>
      </c>
      <c r="BQ809" t="s">
        <v>231</v>
      </c>
      <c r="BR809" t="s">
        <v>231</v>
      </c>
      <c r="BS809" t="s">
        <v>231</v>
      </c>
      <c r="BT809" t="s">
        <v>231</v>
      </c>
      <c r="CS809" t="s">
        <v>231</v>
      </c>
      <c r="CT809" t="s">
        <v>3534</v>
      </c>
      <c r="CU809" t="s">
        <v>3535</v>
      </c>
      <c r="CV809" t="s">
        <v>3536</v>
      </c>
      <c r="CW809" t="s">
        <v>3623</v>
      </c>
      <c r="CX809" t="s">
        <v>223</v>
      </c>
      <c r="CY809" t="s">
        <v>3536</v>
      </c>
      <c r="CZ809" t="s">
        <v>3624</v>
      </c>
      <c r="DA809" t="s">
        <v>3625</v>
      </c>
      <c r="DB809" t="s">
        <v>3623</v>
      </c>
      <c r="DC809" t="s">
        <v>363</v>
      </c>
      <c r="DD809" t="s">
        <v>5099</v>
      </c>
      <c r="DE809" t="s">
        <v>5245</v>
      </c>
    </row>
    <row r="810" spans="1:109" ht="11.25" customHeight="1">
      <c r="A810" s="1314" t="s">
        <v>231</v>
      </c>
      <c r="B810" t="s">
        <v>231</v>
      </c>
      <c r="C810" t="s">
        <v>231</v>
      </c>
      <c r="D810" t="s">
        <v>231</v>
      </c>
      <c r="E810" t="s">
        <v>231</v>
      </c>
      <c r="F810" t="s">
        <v>231</v>
      </c>
      <c r="G810" t="s">
        <v>231</v>
      </c>
      <c r="H810" t="s">
        <v>231</v>
      </c>
      <c r="I810" t="s">
        <v>5086</v>
      </c>
      <c r="J810" t="s">
        <v>231</v>
      </c>
      <c r="K810" t="s">
        <v>231</v>
      </c>
      <c r="L810" t="s">
        <v>231</v>
      </c>
      <c r="M810" t="s">
        <v>231</v>
      </c>
      <c r="N810" t="s">
        <v>231</v>
      </c>
      <c r="O810" t="s">
        <v>231</v>
      </c>
      <c r="P810" t="s">
        <v>231</v>
      </c>
      <c r="Q810" t="s">
        <v>231</v>
      </c>
      <c r="R810" t="s">
        <v>4912</v>
      </c>
      <c r="S810" t="s">
        <v>231</v>
      </c>
      <c r="T810" t="s">
        <v>231</v>
      </c>
      <c r="U810" t="s">
        <v>101</v>
      </c>
      <c r="V810" t="s">
        <v>231</v>
      </c>
      <c r="W810" t="s">
        <v>231</v>
      </c>
      <c r="X810" t="s">
        <v>3628</v>
      </c>
      <c r="Y810" t="s">
        <v>231</v>
      </c>
      <c r="Z810" t="s">
        <v>151</v>
      </c>
      <c r="AA810" t="s">
        <v>151</v>
      </c>
      <c r="AB810" t="s">
        <v>160</v>
      </c>
      <c r="AC810" t="s">
        <v>2691</v>
      </c>
      <c r="AD810" t="s">
        <v>2691</v>
      </c>
      <c r="AE810" t="s">
        <v>2692</v>
      </c>
      <c r="AF810" t="s">
        <v>3991</v>
      </c>
      <c r="AG810" t="s">
        <v>3992</v>
      </c>
      <c r="AH810" t="s">
        <v>4113</v>
      </c>
      <c r="AI810" t="s">
        <v>3575</v>
      </c>
      <c r="AJ810" t="s">
        <v>231</v>
      </c>
      <c r="AK810" t="s">
        <v>231</v>
      </c>
      <c r="AL810" t="s">
        <v>231</v>
      </c>
      <c r="AN810" t="s">
        <v>231</v>
      </c>
      <c r="AO810" t="s">
        <v>231</v>
      </c>
      <c r="AP810" t="s">
        <v>231</v>
      </c>
      <c r="AQ810" t="s">
        <v>231</v>
      </c>
      <c r="AR810" t="s">
        <v>231</v>
      </c>
      <c r="AS810" t="s">
        <v>231</v>
      </c>
      <c r="AT810" t="s">
        <v>231</v>
      </c>
      <c r="AU810" t="s">
        <v>231</v>
      </c>
      <c r="AV810" t="s">
        <v>231</v>
      </c>
      <c r="AW810" t="s">
        <v>231</v>
      </c>
      <c r="AX810" t="s">
        <v>231</v>
      </c>
      <c r="AY810" t="s">
        <v>231</v>
      </c>
      <c r="AZ810" t="s">
        <v>231</v>
      </c>
      <c r="BA810" t="s">
        <v>231</v>
      </c>
      <c r="BB810" t="s">
        <v>231</v>
      </c>
      <c r="BC810" t="s">
        <v>231</v>
      </c>
      <c r="BD810" t="s">
        <v>231</v>
      </c>
      <c r="BE810" t="s">
        <v>5222</v>
      </c>
      <c r="BF810" t="s">
        <v>5223</v>
      </c>
      <c r="BG810" t="s">
        <v>111</v>
      </c>
      <c r="BH810" t="s">
        <v>3632</v>
      </c>
      <c r="BI810" t="s">
        <v>122</v>
      </c>
      <c r="BJ810" t="s">
        <v>231</v>
      </c>
      <c r="BK810" t="s">
        <v>5224</v>
      </c>
      <c r="BL810" t="s">
        <v>2691</v>
      </c>
      <c r="BM810" t="s">
        <v>2691</v>
      </c>
      <c r="BN810" t="s">
        <v>4116</v>
      </c>
      <c r="BO810" t="s">
        <v>3991</v>
      </c>
      <c r="BP810" t="s">
        <v>4117</v>
      </c>
      <c r="BQ810" t="s">
        <v>4113</v>
      </c>
      <c r="BR810" t="s">
        <v>3575</v>
      </c>
      <c r="BS810" t="s">
        <v>231</v>
      </c>
      <c r="BT810" t="s">
        <v>3637</v>
      </c>
      <c r="CS810" t="s">
        <v>3595</v>
      </c>
      <c r="CT810" t="s">
        <v>3534</v>
      </c>
      <c r="CU810" t="s">
        <v>3535</v>
      </c>
      <c r="CV810" t="s">
        <v>3997</v>
      </c>
      <c r="CW810" t="s">
        <v>3998</v>
      </c>
      <c r="CX810" t="s">
        <v>3570</v>
      </c>
      <c r="CY810" t="s">
        <v>3997</v>
      </c>
      <c r="CZ810" t="s">
        <v>5106</v>
      </c>
      <c r="DA810" t="s">
        <v>3999</v>
      </c>
      <c r="DB810" t="s">
        <v>3998</v>
      </c>
      <c r="DC810" t="s">
        <v>363</v>
      </c>
      <c r="DD810" t="s">
        <v>5099</v>
      </c>
      <c r="DE810" t="s">
        <v>5185</v>
      </c>
    </row>
    <row r="811" spans="1:109" ht="11.25" customHeight="1">
      <c r="A811" s="1314" t="s">
        <v>231</v>
      </c>
      <c r="B811" t="s">
        <v>231</v>
      </c>
      <c r="C811" t="s">
        <v>231</v>
      </c>
      <c r="D811" t="s">
        <v>231</v>
      </c>
      <c r="E811" t="s">
        <v>231</v>
      </c>
      <c r="F811" t="s">
        <v>231</v>
      </c>
      <c r="G811" t="s">
        <v>231</v>
      </c>
      <c r="H811" t="s">
        <v>231</v>
      </c>
      <c r="I811" t="s">
        <v>5086</v>
      </c>
      <c r="J811" t="s">
        <v>231</v>
      </c>
      <c r="K811" t="s">
        <v>231</v>
      </c>
      <c r="L811" t="s">
        <v>231</v>
      </c>
      <c r="M811" t="s">
        <v>231</v>
      </c>
      <c r="N811" t="s">
        <v>231</v>
      </c>
      <c r="O811" t="s">
        <v>231</v>
      </c>
      <c r="P811" t="s">
        <v>231</v>
      </c>
      <c r="Q811" t="s">
        <v>231</v>
      </c>
      <c r="R811" t="s">
        <v>5485</v>
      </c>
      <c r="S811" t="s">
        <v>231</v>
      </c>
      <c r="T811" t="s">
        <v>231</v>
      </c>
      <c r="U811" t="s">
        <v>101</v>
      </c>
      <c r="V811" t="s">
        <v>231</v>
      </c>
      <c r="W811" t="s">
        <v>231</v>
      </c>
      <c r="X811" t="s">
        <v>3628</v>
      </c>
      <c r="Y811" t="s">
        <v>231</v>
      </c>
      <c r="Z811" t="s">
        <v>151</v>
      </c>
      <c r="AA811" t="s">
        <v>151</v>
      </c>
      <c r="AB811" t="s">
        <v>160</v>
      </c>
      <c r="AC811" t="s">
        <v>2289</v>
      </c>
      <c r="AD811" t="s">
        <v>2289</v>
      </c>
      <c r="AE811" t="s">
        <v>2290</v>
      </c>
      <c r="AF811" t="s">
        <v>4368</v>
      </c>
      <c r="AG811" t="s">
        <v>4369</v>
      </c>
      <c r="AH811" t="s">
        <v>3618</v>
      </c>
      <c r="AI811" t="s">
        <v>3618</v>
      </c>
      <c r="AJ811" t="s">
        <v>231</v>
      </c>
      <c r="AK811" t="s">
        <v>231</v>
      </c>
      <c r="AL811" t="s">
        <v>231</v>
      </c>
      <c r="AN811" t="s">
        <v>231</v>
      </c>
      <c r="AO811" t="s">
        <v>231</v>
      </c>
      <c r="AP811" t="s">
        <v>231</v>
      </c>
      <c r="AQ811" t="s">
        <v>231</v>
      </c>
      <c r="AR811" t="s">
        <v>231</v>
      </c>
      <c r="AS811" t="s">
        <v>231</v>
      </c>
      <c r="AT811" t="s">
        <v>231</v>
      </c>
      <c r="AU811" t="s">
        <v>231</v>
      </c>
      <c r="AV811" t="s">
        <v>231</v>
      </c>
      <c r="AW811" t="s">
        <v>231</v>
      </c>
      <c r="AX811" t="s">
        <v>231</v>
      </c>
      <c r="AY811" t="s">
        <v>231</v>
      </c>
      <c r="AZ811" t="s">
        <v>231</v>
      </c>
      <c r="BA811" t="s">
        <v>231</v>
      </c>
      <c r="BB811" t="s">
        <v>231</v>
      </c>
      <c r="BC811" t="s">
        <v>231</v>
      </c>
      <c r="BD811" t="s">
        <v>231</v>
      </c>
      <c r="BE811" t="s">
        <v>3820</v>
      </c>
      <c r="BF811" t="s">
        <v>3586</v>
      </c>
      <c r="BG811" t="s">
        <v>111</v>
      </c>
      <c r="BH811" t="s">
        <v>3632</v>
      </c>
      <c r="BI811" t="s">
        <v>122</v>
      </c>
      <c r="BJ811" t="s">
        <v>231</v>
      </c>
      <c r="BK811" t="s">
        <v>231</v>
      </c>
      <c r="BL811" t="s">
        <v>2289</v>
      </c>
      <c r="BM811" t="s">
        <v>2289</v>
      </c>
      <c r="BN811" t="s">
        <v>3707</v>
      </c>
      <c r="BO811" t="s">
        <v>4368</v>
      </c>
      <c r="BP811" t="s">
        <v>4627</v>
      </c>
      <c r="BQ811" t="s">
        <v>3618</v>
      </c>
      <c r="BR811" t="s">
        <v>3618</v>
      </c>
      <c r="BS811" t="s">
        <v>231</v>
      </c>
      <c r="BT811" t="s">
        <v>3694</v>
      </c>
      <c r="CS811" t="s">
        <v>5212</v>
      </c>
      <c r="CT811" t="s">
        <v>3534</v>
      </c>
      <c r="CU811" t="s">
        <v>3535</v>
      </c>
      <c r="CV811" t="s">
        <v>3536</v>
      </c>
      <c r="CW811" t="s">
        <v>3589</v>
      </c>
      <c r="CX811" t="s">
        <v>223</v>
      </c>
      <c r="CY811" t="s">
        <v>3536</v>
      </c>
      <c r="CZ811" t="s">
        <v>3590</v>
      </c>
      <c r="DA811" t="s">
        <v>3591</v>
      </c>
      <c r="DB811" t="s">
        <v>3589</v>
      </c>
      <c r="DC811" t="s">
        <v>363</v>
      </c>
      <c r="DD811" t="s">
        <v>5099</v>
      </c>
      <c r="DE811" t="s">
        <v>4629</v>
      </c>
    </row>
    <row r="812" spans="1:109" ht="11.25" customHeight="1">
      <c r="A812" s="1314" t="s">
        <v>231</v>
      </c>
      <c r="B812" t="s">
        <v>231</v>
      </c>
      <c r="C812" t="s">
        <v>231</v>
      </c>
      <c r="D812" t="s">
        <v>231</v>
      </c>
      <c r="E812" t="s">
        <v>231</v>
      </c>
      <c r="F812" t="s">
        <v>231</v>
      </c>
      <c r="G812" t="s">
        <v>231</v>
      </c>
      <c r="H812" t="s">
        <v>231</v>
      </c>
      <c r="I812" t="s">
        <v>5086</v>
      </c>
      <c r="J812" t="s">
        <v>231</v>
      </c>
      <c r="K812" t="s">
        <v>231</v>
      </c>
      <c r="L812" t="s">
        <v>231</v>
      </c>
      <c r="M812" t="s">
        <v>231</v>
      </c>
      <c r="N812" t="s">
        <v>231</v>
      </c>
      <c r="O812" t="s">
        <v>231</v>
      </c>
      <c r="P812" t="s">
        <v>231</v>
      </c>
      <c r="Q812" t="s">
        <v>231</v>
      </c>
      <c r="R812" t="s">
        <v>5496</v>
      </c>
      <c r="S812" t="s">
        <v>231</v>
      </c>
      <c r="T812" t="s">
        <v>231</v>
      </c>
      <c r="U812" t="s">
        <v>101</v>
      </c>
      <c r="V812" t="s">
        <v>231</v>
      </c>
      <c r="W812" t="s">
        <v>231</v>
      </c>
      <c r="X812" t="s">
        <v>3955</v>
      </c>
      <c r="Y812" t="s">
        <v>231</v>
      </c>
      <c r="Z812" t="s">
        <v>151</v>
      </c>
      <c r="AA812" t="s">
        <v>160</v>
      </c>
      <c r="AB812" t="s">
        <v>151</v>
      </c>
      <c r="AC812" t="s">
        <v>2287</v>
      </c>
      <c r="AD812" t="s">
        <v>2287</v>
      </c>
      <c r="AE812" t="s">
        <v>2288</v>
      </c>
      <c r="AF812" t="s">
        <v>4025</v>
      </c>
      <c r="AG812" t="s">
        <v>4026</v>
      </c>
      <c r="AH812" t="s">
        <v>3618</v>
      </c>
      <c r="AI812" t="s">
        <v>3618</v>
      </c>
      <c r="AJ812" t="s">
        <v>231</v>
      </c>
      <c r="AK812" t="s">
        <v>231</v>
      </c>
      <c r="AL812" t="s">
        <v>231</v>
      </c>
      <c r="AN812" t="s">
        <v>231</v>
      </c>
      <c r="AO812" t="s">
        <v>231</v>
      </c>
      <c r="AP812" t="s">
        <v>5210</v>
      </c>
      <c r="AQ812" t="s">
        <v>5211</v>
      </c>
      <c r="AR812" t="s">
        <v>111</v>
      </c>
      <c r="AS812" t="s">
        <v>3632</v>
      </c>
      <c r="AT812" t="s">
        <v>122</v>
      </c>
      <c r="AU812" t="s">
        <v>231</v>
      </c>
      <c r="AV812" t="s">
        <v>5496</v>
      </c>
      <c r="AW812" t="s">
        <v>2287</v>
      </c>
      <c r="AX812" t="s">
        <v>2287</v>
      </c>
      <c r="AY812" t="s">
        <v>3842</v>
      </c>
      <c r="AZ812" t="s">
        <v>4025</v>
      </c>
      <c r="BA812" t="s">
        <v>4216</v>
      </c>
      <c r="BB812" t="s">
        <v>231</v>
      </c>
      <c r="BC812" t="s">
        <v>231</v>
      </c>
      <c r="BD812" t="s">
        <v>3549</v>
      </c>
      <c r="BE812" t="s">
        <v>231</v>
      </c>
      <c r="BF812" t="s">
        <v>231</v>
      </c>
      <c r="BG812" t="s">
        <v>231</v>
      </c>
      <c r="BH812" t="s">
        <v>231</v>
      </c>
      <c r="BI812" t="s">
        <v>231</v>
      </c>
      <c r="BJ812" t="s">
        <v>231</v>
      </c>
      <c r="BK812" t="s">
        <v>231</v>
      </c>
      <c r="BL812" t="s">
        <v>231</v>
      </c>
      <c r="BM812" t="s">
        <v>231</v>
      </c>
      <c r="BN812" t="s">
        <v>231</v>
      </c>
      <c r="BO812" t="s">
        <v>231</v>
      </c>
      <c r="BP812" t="s">
        <v>231</v>
      </c>
      <c r="BQ812" t="s">
        <v>231</v>
      </c>
      <c r="BR812" t="s">
        <v>231</v>
      </c>
      <c r="BS812" t="s">
        <v>231</v>
      </c>
      <c r="BT812" t="s">
        <v>231</v>
      </c>
      <c r="CS812" t="s">
        <v>231</v>
      </c>
      <c r="CT812" t="s">
        <v>3534</v>
      </c>
      <c r="CU812" t="s">
        <v>3535</v>
      </c>
      <c r="CV812" t="s">
        <v>3536</v>
      </c>
      <c r="CW812" t="s">
        <v>3623</v>
      </c>
      <c r="CX812" t="s">
        <v>223</v>
      </c>
      <c r="CY812" t="s">
        <v>3536</v>
      </c>
      <c r="CZ812" t="s">
        <v>3624</v>
      </c>
      <c r="DA812" t="s">
        <v>3625</v>
      </c>
      <c r="DB812" t="s">
        <v>3623</v>
      </c>
      <c r="DC812" t="s">
        <v>363</v>
      </c>
      <c r="DD812" t="s">
        <v>5099</v>
      </c>
      <c r="DE812" t="s">
        <v>4290</v>
      </c>
    </row>
    <row r="813" spans="1:109" ht="11.25" customHeight="1">
      <c r="A813" s="1314" t="s">
        <v>231</v>
      </c>
      <c r="B813" t="s">
        <v>231</v>
      </c>
      <c r="C813" t="s">
        <v>231</v>
      </c>
      <c r="D813" t="s">
        <v>231</v>
      </c>
      <c r="E813" t="s">
        <v>231</v>
      </c>
      <c r="F813" t="s">
        <v>231</v>
      </c>
      <c r="G813" t="s">
        <v>231</v>
      </c>
      <c r="H813" t="s">
        <v>231</v>
      </c>
      <c r="I813" t="s">
        <v>5086</v>
      </c>
      <c r="J813" t="s">
        <v>231</v>
      </c>
      <c r="K813" t="s">
        <v>231</v>
      </c>
      <c r="L813" t="s">
        <v>231</v>
      </c>
      <c r="M813" t="s">
        <v>231</v>
      </c>
      <c r="N813" t="s">
        <v>231</v>
      </c>
      <c r="O813" t="s">
        <v>231</v>
      </c>
      <c r="P813" t="s">
        <v>231</v>
      </c>
      <c r="Q813" t="s">
        <v>231</v>
      </c>
      <c r="R813" t="s">
        <v>5251</v>
      </c>
      <c r="S813" t="s">
        <v>231</v>
      </c>
      <c r="T813" t="s">
        <v>231</v>
      </c>
      <c r="U813" t="s">
        <v>101</v>
      </c>
      <c r="V813" t="s">
        <v>231</v>
      </c>
      <c r="W813" t="s">
        <v>231</v>
      </c>
      <c r="X813" t="s">
        <v>5088</v>
      </c>
      <c r="Y813" t="s">
        <v>231</v>
      </c>
      <c r="Z813" t="s">
        <v>160</v>
      </c>
      <c r="AA813" t="s">
        <v>151</v>
      </c>
      <c r="AB813" t="s">
        <v>151</v>
      </c>
      <c r="AC813" t="s">
        <v>343</v>
      </c>
      <c r="AD813" t="s">
        <v>343</v>
      </c>
      <c r="AE813" t="s">
        <v>344</v>
      </c>
      <c r="AF813" t="s">
        <v>3561</v>
      </c>
      <c r="AG813" t="s">
        <v>3562</v>
      </c>
      <c r="AH813" t="s">
        <v>5252</v>
      </c>
      <c r="AI813" t="s">
        <v>3618</v>
      </c>
      <c r="AJ813" t="s">
        <v>3952</v>
      </c>
      <c r="AK813" t="s">
        <v>5253</v>
      </c>
      <c r="AL813" t="s">
        <v>5092</v>
      </c>
      <c r="AN813" t="s">
        <v>3529</v>
      </c>
      <c r="AO813" t="s">
        <v>5254</v>
      </c>
      <c r="AP813" t="s">
        <v>231</v>
      </c>
      <c r="AQ813" t="s">
        <v>231</v>
      </c>
      <c r="AR813" t="s">
        <v>231</v>
      </c>
      <c r="AS813" t="s">
        <v>231</v>
      </c>
      <c r="AT813" t="s">
        <v>231</v>
      </c>
      <c r="AU813" t="s">
        <v>231</v>
      </c>
      <c r="AV813" t="s">
        <v>231</v>
      </c>
      <c r="AW813" t="s">
        <v>231</v>
      </c>
      <c r="AX813" t="s">
        <v>231</v>
      </c>
      <c r="AY813" t="s">
        <v>231</v>
      </c>
      <c r="AZ813" t="s">
        <v>231</v>
      </c>
      <c r="BA813" t="s">
        <v>231</v>
      </c>
      <c r="BB813" t="s">
        <v>231</v>
      </c>
      <c r="BC813" t="s">
        <v>231</v>
      </c>
      <c r="BD813" t="s">
        <v>231</v>
      </c>
      <c r="BE813" t="s">
        <v>231</v>
      </c>
      <c r="BF813" t="s">
        <v>231</v>
      </c>
      <c r="BG813" t="s">
        <v>231</v>
      </c>
      <c r="BH813" t="s">
        <v>231</v>
      </c>
      <c r="BI813" t="s">
        <v>231</v>
      </c>
      <c r="BJ813" t="s">
        <v>231</v>
      </c>
      <c r="BK813" t="s">
        <v>231</v>
      </c>
      <c r="BL813" t="s">
        <v>231</v>
      </c>
      <c r="BM813" t="s">
        <v>231</v>
      </c>
      <c r="BN813" t="s">
        <v>231</v>
      </c>
      <c r="BO813" t="s">
        <v>231</v>
      </c>
      <c r="BP813" t="s">
        <v>231</v>
      </c>
      <c r="BQ813" t="s">
        <v>231</v>
      </c>
      <c r="BR813" t="s">
        <v>231</v>
      </c>
      <c r="BS813" t="s">
        <v>231</v>
      </c>
      <c r="BT813" t="s">
        <v>231</v>
      </c>
      <c r="CS813" t="s">
        <v>231</v>
      </c>
      <c r="CT813" t="s">
        <v>3534</v>
      </c>
      <c r="CU813" t="s">
        <v>3535</v>
      </c>
      <c r="CV813" t="s">
        <v>3536</v>
      </c>
      <c r="CW813" t="s">
        <v>3569</v>
      </c>
      <c r="CX813" t="s">
        <v>223</v>
      </c>
      <c r="CY813" t="s">
        <v>3536</v>
      </c>
      <c r="CZ813" t="s">
        <v>224</v>
      </c>
      <c r="DA813" t="s">
        <v>3571</v>
      </c>
      <c r="DB813" t="s">
        <v>3569</v>
      </c>
      <c r="DC813" t="s">
        <v>363</v>
      </c>
      <c r="DD813" t="s">
        <v>5099</v>
      </c>
      <c r="DE813" t="s">
        <v>5255</v>
      </c>
    </row>
    <row r="814" spans="1:109" ht="11.25" customHeight="1">
      <c r="A814" s="1314" t="s">
        <v>231</v>
      </c>
      <c r="B814" t="s">
        <v>231</v>
      </c>
      <c r="C814" t="s">
        <v>231</v>
      </c>
      <c r="D814" t="s">
        <v>231</v>
      </c>
      <c r="E814" t="s">
        <v>231</v>
      </c>
      <c r="F814" t="s">
        <v>231</v>
      </c>
      <c r="G814" t="s">
        <v>231</v>
      </c>
      <c r="H814" t="s">
        <v>231</v>
      </c>
      <c r="I814" t="s">
        <v>5086</v>
      </c>
      <c r="J814" t="s">
        <v>231</v>
      </c>
      <c r="K814" t="s">
        <v>231</v>
      </c>
      <c r="L814" t="s">
        <v>231</v>
      </c>
      <c r="M814" t="s">
        <v>231</v>
      </c>
      <c r="N814" t="s">
        <v>231</v>
      </c>
      <c r="O814" t="s">
        <v>231</v>
      </c>
      <c r="P814" t="s">
        <v>231</v>
      </c>
      <c r="Q814" t="s">
        <v>231</v>
      </c>
      <c r="R814" t="s">
        <v>5256</v>
      </c>
      <c r="S814" t="s">
        <v>231</v>
      </c>
      <c r="T814" t="s">
        <v>231</v>
      </c>
      <c r="U814" t="s">
        <v>101</v>
      </c>
      <c r="V814" t="s">
        <v>231</v>
      </c>
      <c r="W814" t="s">
        <v>231</v>
      </c>
      <c r="X814" t="s">
        <v>5088</v>
      </c>
      <c r="Y814" t="s">
        <v>231</v>
      </c>
      <c r="Z814" t="s">
        <v>160</v>
      </c>
      <c r="AA814" t="s">
        <v>151</v>
      </c>
      <c r="AB814" t="s">
        <v>151</v>
      </c>
      <c r="AC814" t="s">
        <v>343</v>
      </c>
      <c r="AD814" t="s">
        <v>343</v>
      </c>
      <c r="AE814" t="s">
        <v>344</v>
      </c>
      <c r="AF814" t="s">
        <v>3561</v>
      </c>
      <c r="AG814" t="s">
        <v>3562</v>
      </c>
      <c r="AH814" t="s">
        <v>5257</v>
      </c>
      <c r="AI814" t="s">
        <v>3618</v>
      </c>
      <c r="AJ814" t="s">
        <v>5258</v>
      </c>
      <c r="AK814" t="s">
        <v>5259</v>
      </c>
      <c r="AL814" t="s">
        <v>5092</v>
      </c>
      <c r="AN814" t="s">
        <v>4794</v>
      </c>
      <c r="AO814" t="s">
        <v>5260</v>
      </c>
      <c r="AP814" t="s">
        <v>231</v>
      </c>
      <c r="AQ814" t="s">
        <v>231</v>
      </c>
      <c r="AR814" t="s">
        <v>231</v>
      </c>
      <c r="AS814" t="s">
        <v>231</v>
      </c>
      <c r="AT814" t="s">
        <v>231</v>
      </c>
      <c r="AU814" t="s">
        <v>231</v>
      </c>
      <c r="AV814" t="s">
        <v>231</v>
      </c>
      <c r="AW814" t="s">
        <v>231</v>
      </c>
      <c r="AX814" t="s">
        <v>231</v>
      </c>
      <c r="AY814" t="s">
        <v>231</v>
      </c>
      <c r="AZ814" t="s">
        <v>231</v>
      </c>
      <c r="BA814" t="s">
        <v>231</v>
      </c>
      <c r="BB814" t="s">
        <v>231</v>
      </c>
      <c r="BC814" t="s">
        <v>231</v>
      </c>
      <c r="BD814" t="s">
        <v>231</v>
      </c>
      <c r="BE814" t="s">
        <v>231</v>
      </c>
      <c r="BF814" t="s">
        <v>231</v>
      </c>
      <c r="BG814" t="s">
        <v>231</v>
      </c>
      <c r="BH814" t="s">
        <v>231</v>
      </c>
      <c r="BI814" t="s">
        <v>231</v>
      </c>
      <c r="BJ814" t="s">
        <v>231</v>
      </c>
      <c r="BK814" t="s">
        <v>231</v>
      </c>
      <c r="BL814" t="s">
        <v>231</v>
      </c>
      <c r="BM814" t="s">
        <v>231</v>
      </c>
      <c r="BN814" t="s">
        <v>231</v>
      </c>
      <c r="BO814" t="s">
        <v>231</v>
      </c>
      <c r="BP814" t="s">
        <v>231</v>
      </c>
      <c r="BQ814" t="s">
        <v>231</v>
      </c>
      <c r="BR814" t="s">
        <v>231</v>
      </c>
      <c r="BS814" t="s">
        <v>231</v>
      </c>
      <c r="BT814" t="s">
        <v>231</v>
      </c>
      <c r="CS814" t="s">
        <v>231</v>
      </c>
      <c r="CT814" t="s">
        <v>3534</v>
      </c>
      <c r="CU814" t="s">
        <v>3535</v>
      </c>
      <c r="CV814" t="s">
        <v>3536</v>
      </c>
      <c r="CW814" t="s">
        <v>3569</v>
      </c>
      <c r="CX814" t="s">
        <v>223</v>
      </c>
      <c r="CY814" t="s">
        <v>3536</v>
      </c>
      <c r="CZ814" t="s">
        <v>224</v>
      </c>
      <c r="DA814" t="s">
        <v>3571</v>
      </c>
      <c r="DB814" t="s">
        <v>3569</v>
      </c>
      <c r="DC814" t="s">
        <v>363</v>
      </c>
      <c r="DD814" t="s">
        <v>5099</v>
      </c>
      <c r="DE814" t="s">
        <v>5261</v>
      </c>
    </row>
    <row r="815" spans="1:109" ht="11.25" customHeight="1">
      <c r="A815" s="1314" t="s">
        <v>231</v>
      </c>
      <c r="B815" t="s">
        <v>231</v>
      </c>
      <c r="C815" t="s">
        <v>231</v>
      </c>
      <c r="D815" t="s">
        <v>231</v>
      </c>
      <c r="E815" t="s">
        <v>231</v>
      </c>
      <c r="F815" t="s">
        <v>231</v>
      </c>
      <c r="G815" t="s">
        <v>231</v>
      </c>
      <c r="H815" t="s">
        <v>231</v>
      </c>
      <c r="I815" t="s">
        <v>5086</v>
      </c>
      <c r="J815" t="s">
        <v>231</v>
      </c>
      <c r="K815" t="s">
        <v>231</v>
      </c>
      <c r="L815" t="s">
        <v>231</v>
      </c>
      <c r="M815" t="s">
        <v>231</v>
      </c>
      <c r="N815" t="s">
        <v>231</v>
      </c>
      <c r="O815" t="s">
        <v>231</v>
      </c>
      <c r="P815" t="s">
        <v>231</v>
      </c>
      <c r="Q815" t="s">
        <v>231</v>
      </c>
      <c r="R815" t="s">
        <v>4112</v>
      </c>
      <c r="S815" t="s">
        <v>231</v>
      </c>
      <c r="T815" t="s">
        <v>231</v>
      </c>
      <c r="U815" t="s">
        <v>101</v>
      </c>
      <c r="V815" t="s">
        <v>231</v>
      </c>
      <c r="W815" t="s">
        <v>231</v>
      </c>
      <c r="X815" t="s">
        <v>3628</v>
      </c>
      <c r="Y815" t="s">
        <v>231</v>
      </c>
      <c r="Z815" t="s">
        <v>151</v>
      </c>
      <c r="AA815" t="s">
        <v>151</v>
      </c>
      <c r="AB815" t="s">
        <v>160</v>
      </c>
      <c r="AC815" t="s">
        <v>2691</v>
      </c>
      <c r="AD815" t="s">
        <v>2691</v>
      </c>
      <c r="AE815" t="s">
        <v>2692</v>
      </c>
      <c r="AF815" t="s">
        <v>3991</v>
      </c>
      <c r="AG815" t="s">
        <v>3992</v>
      </c>
      <c r="AH815" t="s">
        <v>4113</v>
      </c>
      <c r="AI815" t="s">
        <v>3575</v>
      </c>
      <c r="AJ815" t="s">
        <v>231</v>
      </c>
      <c r="AK815" t="s">
        <v>231</v>
      </c>
      <c r="AL815" t="s">
        <v>231</v>
      </c>
      <c r="AN815" t="s">
        <v>231</v>
      </c>
      <c r="AO815" t="s">
        <v>231</v>
      </c>
      <c r="AP815" t="s">
        <v>231</v>
      </c>
      <c r="AQ815" t="s">
        <v>231</v>
      </c>
      <c r="AR815" t="s">
        <v>231</v>
      </c>
      <c r="AS815" t="s">
        <v>231</v>
      </c>
      <c r="AT815" t="s">
        <v>231</v>
      </c>
      <c r="AU815" t="s">
        <v>231</v>
      </c>
      <c r="AV815" t="s">
        <v>231</v>
      </c>
      <c r="AW815" t="s">
        <v>231</v>
      </c>
      <c r="AX815" t="s">
        <v>231</v>
      </c>
      <c r="AY815" t="s">
        <v>231</v>
      </c>
      <c r="AZ815" t="s">
        <v>231</v>
      </c>
      <c r="BA815" t="s">
        <v>231</v>
      </c>
      <c r="BB815" t="s">
        <v>231</v>
      </c>
      <c r="BC815" t="s">
        <v>231</v>
      </c>
      <c r="BD815" t="s">
        <v>231</v>
      </c>
      <c r="BE815" t="s">
        <v>5232</v>
      </c>
      <c r="BF815" t="s">
        <v>5233</v>
      </c>
      <c r="BG815" t="s">
        <v>111</v>
      </c>
      <c r="BH815" t="s">
        <v>3632</v>
      </c>
      <c r="BI815" t="s">
        <v>122</v>
      </c>
      <c r="BJ815" t="s">
        <v>231</v>
      </c>
      <c r="BK815" t="s">
        <v>151</v>
      </c>
      <c r="BL815" t="s">
        <v>2691</v>
      </c>
      <c r="BM815" t="s">
        <v>2691</v>
      </c>
      <c r="BN815" t="s">
        <v>4116</v>
      </c>
      <c r="BO815" t="s">
        <v>3991</v>
      </c>
      <c r="BP815" t="s">
        <v>4117</v>
      </c>
      <c r="BQ815" t="s">
        <v>4113</v>
      </c>
      <c r="BR815" t="s">
        <v>3575</v>
      </c>
      <c r="BS815" t="s">
        <v>231</v>
      </c>
      <c r="BT815" t="s">
        <v>3637</v>
      </c>
      <c r="CS815" t="s">
        <v>3595</v>
      </c>
      <c r="CT815" t="s">
        <v>3534</v>
      </c>
      <c r="CU815" t="s">
        <v>3535</v>
      </c>
      <c r="CV815" t="s">
        <v>3997</v>
      </c>
      <c r="CW815" t="s">
        <v>3998</v>
      </c>
      <c r="CX815" t="s">
        <v>3570</v>
      </c>
      <c r="CY815" t="s">
        <v>3997</v>
      </c>
      <c r="CZ815" t="s">
        <v>5106</v>
      </c>
      <c r="DA815" t="s">
        <v>3999</v>
      </c>
      <c r="DB815" t="s">
        <v>3998</v>
      </c>
      <c r="DC815" t="s">
        <v>363</v>
      </c>
      <c r="DD815" t="s">
        <v>5099</v>
      </c>
      <c r="DE815" t="s">
        <v>5185</v>
      </c>
    </row>
    <row r="816" spans="1:109" ht="11.25" customHeight="1">
      <c r="A816" s="1314" t="s">
        <v>231</v>
      </c>
      <c r="B816" t="s">
        <v>231</v>
      </c>
      <c r="C816" t="s">
        <v>231</v>
      </c>
      <c r="D816" t="s">
        <v>231</v>
      </c>
      <c r="E816" t="s">
        <v>231</v>
      </c>
      <c r="F816" t="s">
        <v>231</v>
      </c>
      <c r="G816" t="s">
        <v>231</v>
      </c>
      <c r="H816" t="s">
        <v>231</v>
      </c>
      <c r="I816" t="s">
        <v>5086</v>
      </c>
      <c r="J816" t="s">
        <v>231</v>
      </c>
      <c r="K816" t="s">
        <v>231</v>
      </c>
      <c r="L816" t="s">
        <v>231</v>
      </c>
      <c r="M816" t="s">
        <v>231</v>
      </c>
      <c r="N816" t="s">
        <v>231</v>
      </c>
      <c r="O816" t="s">
        <v>231</v>
      </c>
      <c r="P816" t="s">
        <v>231</v>
      </c>
      <c r="Q816" t="s">
        <v>231</v>
      </c>
      <c r="R816" t="s">
        <v>5206</v>
      </c>
      <c r="S816" t="s">
        <v>231</v>
      </c>
      <c r="T816" t="s">
        <v>231</v>
      </c>
      <c r="U816" t="s">
        <v>101</v>
      </c>
      <c r="V816" t="s">
        <v>231</v>
      </c>
      <c r="W816" t="s">
        <v>231</v>
      </c>
      <c r="X816" t="s">
        <v>5088</v>
      </c>
      <c r="Y816" t="s">
        <v>231</v>
      </c>
      <c r="Z816" t="s">
        <v>160</v>
      </c>
      <c r="AA816" t="s">
        <v>151</v>
      </c>
      <c r="AB816" t="s">
        <v>151</v>
      </c>
      <c r="AC816" t="s">
        <v>2262</v>
      </c>
      <c r="AD816" t="s">
        <v>2262</v>
      </c>
      <c r="AE816" t="s">
        <v>2264</v>
      </c>
      <c r="AF816" t="s">
        <v>3524</v>
      </c>
      <c r="AG816" t="s">
        <v>3525</v>
      </c>
      <c r="AH816" t="s">
        <v>5497</v>
      </c>
      <c r="AI816" t="s">
        <v>4018</v>
      </c>
      <c r="AJ816" t="s">
        <v>4960</v>
      </c>
      <c r="AK816" t="s">
        <v>3532</v>
      </c>
      <c r="AL816" t="s">
        <v>5092</v>
      </c>
      <c r="AN816" t="s">
        <v>4260</v>
      </c>
      <c r="AO816" t="s">
        <v>3622</v>
      </c>
      <c r="AP816" t="s">
        <v>231</v>
      </c>
      <c r="AQ816" t="s">
        <v>231</v>
      </c>
      <c r="AR816" t="s">
        <v>231</v>
      </c>
      <c r="AS816" t="s">
        <v>231</v>
      </c>
      <c r="AT816" t="s">
        <v>231</v>
      </c>
      <c r="AU816" t="s">
        <v>231</v>
      </c>
      <c r="AV816" t="s">
        <v>231</v>
      </c>
      <c r="AW816" t="s">
        <v>231</v>
      </c>
      <c r="AX816" t="s">
        <v>231</v>
      </c>
      <c r="AY816" t="s">
        <v>231</v>
      </c>
      <c r="AZ816" t="s">
        <v>231</v>
      </c>
      <c r="BA816" t="s">
        <v>231</v>
      </c>
      <c r="BB816" t="s">
        <v>231</v>
      </c>
      <c r="BC816" t="s">
        <v>231</v>
      </c>
      <c r="BD816" t="s">
        <v>231</v>
      </c>
      <c r="BE816" t="s">
        <v>231</v>
      </c>
      <c r="BF816" t="s">
        <v>231</v>
      </c>
      <c r="BG816" t="s">
        <v>231</v>
      </c>
      <c r="BH816" t="s">
        <v>231</v>
      </c>
      <c r="BI816" t="s">
        <v>231</v>
      </c>
      <c r="BJ816" t="s">
        <v>231</v>
      </c>
      <c r="BK816" t="s">
        <v>231</v>
      </c>
      <c r="BL816" t="s">
        <v>231</v>
      </c>
      <c r="BM816" t="s">
        <v>231</v>
      </c>
      <c r="BN816" t="s">
        <v>231</v>
      </c>
      <c r="BO816" t="s">
        <v>231</v>
      </c>
      <c r="BP816" t="s">
        <v>231</v>
      </c>
      <c r="BQ816" t="s">
        <v>231</v>
      </c>
      <c r="BR816" t="s">
        <v>231</v>
      </c>
      <c r="BS816" t="s">
        <v>231</v>
      </c>
      <c r="BT816" t="s">
        <v>231</v>
      </c>
      <c r="CS816" t="s">
        <v>231</v>
      </c>
      <c r="CT816" t="s">
        <v>3534</v>
      </c>
      <c r="CU816" t="s">
        <v>3535</v>
      </c>
      <c r="CV816" t="s">
        <v>3536</v>
      </c>
      <c r="CW816" t="s">
        <v>3537</v>
      </c>
      <c r="CX816" t="s">
        <v>223</v>
      </c>
      <c r="CY816" t="s">
        <v>3536</v>
      </c>
      <c r="CZ816" t="s">
        <v>3538</v>
      </c>
      <c r="DA816" t="s">
        <v>3539</v>
      </c>
      <c r="DB816" t="s">
        <v>3537</v>
      </c>
      <c r="DC816" t="s">
        <v>363</v>
      </c>
      <c r="DD816" t="s">
        <v>5099</v>
      </c>
      <c r="DE816" t="s">
        <v>5498</v>
      </c>
    </row>
    <row r="817" spans="1:109" ht="11.25" customHeight="1">
      <c r="A817" s="1314" t="s">
        <v>231</v>
      </c>
      <c r="B817" t="s">
        <v>231</v>
      </c>
      <c r="C817" t="s">
        <v>231</v>
      </c>
      <c r="D817" t="s">
        <v>231</v>
      </c>
      <c r="E817" t="s">
        <v>231</v>
      </c>
      <c r="F817" t="s">
        <v>231</v>
      </c>
      <c r="G817" t="s">
        <v>231</v>
      </c>
      <c r="H817" t="s">
        <v>231</v>
      </c>
      <c r="I817" t="s">
        <v>5086</v>
      </c>
      <c r="J817" t="s">
        <v>231</v>
      </c>
      <c r="K817" t="s">
        <v>231</v>
      </c>
      <c r="L817" t="s">
        <v>231</v>
      </c>
      <c r="M817" t="s">
        <v>231</v>
      </c>
      <c r="N817" t="s">
        <v>231</v>
      </c>
      <c r="O817" t="s">
        <v>231</v>
      </c>
      <c r="P817" t="s">
        <v>231</v>
      </c>
      <c r="Q817" t="s">
        <v>231</v>
      </c>
      <c r="R817" t="s">
        <v>5486</v>
      </c>
      <c r="S817" t="s">
        <v>231</v>
      </c>
      <c r="T817" t="s">
        <v>231</v>
      </c>
      <c r="U817" t="s">
        <v>101</v>
      </c>
      <c r="V817" t="s">
        <v>231</v>
      </c>
      <c r="W817" t="s">
        <v>231</v>
      </c>
      <c r="X817" t="s">
        <v>3628</v>
      </c>
      <c r="Y817" t="s">
        <v>231</v>
      </c>
      <c r="Z817" t="s">
        <v>151</v>
      </c>
      <c r="AA817" t="s">
        <v>151</v>
      </c>
      <c r="AB817" t="s">
        <v>160</v>
      </c>
      <c r="AC817" t="s">
        <v>2289</v>
      </c>
      <c r="AD817" t="s">
        <v>2289</v>
      </c>
      <c r="AE817" t="s">
        <v>2290</v>
      </c>
      <c r="AF817" t="s">
        <v>3816</v>
      </c>
      <c r="AG817" t="s">
        <v>3817</v>
      </c>
      <c r="AH817" t="s">
        <v>3618</v>
      </c>
      <c r="AI817" t="s">
        <v>3618</v>
      </c>
      <c r="AJ817" t="s">
        <v>231</v>
      </c>
      <c r="AK817" t="s">
        <v>231</v>
      </c>
      <c r="AL817" t="s">
        <v>231</v>
      </c>
      <c r="AN817" t="s">
        <v>231</v>
      </c>
      <c r="AO817" t="s">
        <v>231</v>
      </c>
      <c r="AP817" t="s">
        <v>231</v>
      </c>
      <c r="AQ817" t="s">
        <v>231</v>
      </c>
      <c r="AR817" t="s">
        <v>231</v>
      </c>
      <c r="AS817" t="s">
        <v>231</v>
      </c>
      <c r="AT817" t="s">
        <v>231</v>
      </c>
      <c r="AU817" t="s">
        <v>231</v>
      </c>
      <c r="AV817" t="s">
        <v>231</v>
      </c>
      <c r="AW817" t="s">
        <v>231</v>
      </c>
      <c r="AX817" t="s">
        <v>231</v>
      </c>
      <c r="AY817" t="s">
        <v>231</v>
      </c>
      <c r="AZ817" t="s">
        <v>231</v>
      </c>
      <c r="BA817" t="s">
        <v>231</v>
      </c>
      <c r="BB817" t="s">
        <v>231</v>
      </c>
      <c r="BC817" t="s">
        <v>231</v>
      </c>
      <c r="BD817" t="s">
        <v>231</v>
      </c>
      <c r="BE817" t="s">
        <v>5427</v>
      </c>
      <c r="BF817" t="s">
        <v>3800</v>
      </c>
      <c r="BG817" t="s">
        <v>111</v>
      </c>
      <c r="BH817" t="s">
        <v>3632</v>
      </c>
      <c r="BI817" t="s">
        <v>122</v>
      </c>
      <c r="BJ817" t="s">
        <v>231</v>
      </c>
      <c r="BK817" t="s">
        <v>231</v>
      </c>
      <c r="BL817" t="s">
        <v>2289</v>
      </c>
      <c r="BM817" t="s">
        <v>2289</v>
      </c>
      <c r="BN817" t="s">
        <v>3707</v>
      </c>
      <c r="BO817" t="s">
        <v>3816</v>
      </c>
      <c r="BP817" t="s">
        <v>4201</v>
      </c>
      <c r="BQ817" t="s">
        <v>3618</v>
      </c>
      <c r="BR817" t="s">
        <v>3618</v>
      </c>
      <c r="BS817" t="s">
        <v>231</v>
      </c>
      <c r="BT817" t="s">
        <v>3694</v>
      </c>
      <c r="CS817" t="s">
        <v>5212</v>
      </c>
      <c r="CT817" t="s">
        <v>3534</v>
      </c>
      <c r="CU817" t="s">
        <v>3535</v>
      </c>
      <c r="CV817" t="s">
        <v>3536</v>
      </c>
      <c r="CW817" t="s">
        <v>3589</v>
      </c>
      <c r="CX817" t="s">
        <v>223</v>
      </c>
      <c r="CY817" t="s">
        <v>3536</v>
      </c>
      <c r="CZ817" t="s">
        <v>3590</v>
      </c>
      <c r="DA817" t="s">
        <v>3591</v>
      </c>
      <c r="DB817" t="s">
        <v>3589</v>
      </c>
      <c r="DC817" t="s">
        <v>363</v>
      </c>
      <c r="DD817" t="s">
        <v>5099</v>
      </c>
      <c r="DE817" t="s">
        <v>4203</v>
      </c>
    </row>
    <row r="818" spans="1:109" ht="11.25" customHeight="1">
      <c r="A818" s="1314" t="s">
        <v>231</v>
      </c>
      <c r="B818" t="s">
        <v>231</v>
      </c>
      <c r="C818" t="s">
        <v>231</v>
      </c>
      <c r="D818" t="s">
        <v>231</v>
      </c>
      <c r="E818" t="s">
        <v>231</v>
      </c>
      <c r="F818" t="s">
        <v>231</v>
      </c>
      <c r="G818" t="s">
        <v>231</v>
      </c>
      <c r="H818" t="s">
        <v>231</v>
      </c>
      <c r="I818" t="s">
        <v>5086</v>
      </c>
      <c r="J818" t="s">
        <v>231</v>
      </c>
      <c r="K818" t="s">
        <v>231</v>
      </c>
      <c r="L818" t="s">
        <v>231</v>
      </c>
      <c r="M818" t="s">
        <v>231</v>
      </c>
      <c r="N818" t="s">
        <v>231</v>
      </c>
      <c r="O818" t="s">
        <v>231</v>
      </c>
      <c r="P818" t="s">
        <v>231</v>
      </c>
      <c r="Q818" t="s">
        <v>231</v>
      </c>
      <c r="R818" t="s">
        <v>5262</v>
      </c>
      <c r="S818" t="s">
        <v>231</v>
      </c>
      <c r="T818" t="s">
        <v>231</v>
      </c>
      <c r="U818" t="s">
        <v>101</v>
      </c>
      <c r="V818" t="s">
        <v>231</v>
      </c>
      <c r="W818" t="s">
        <v>231</v>
      </c>
      <c r="X818" t="s">
        <v>5088</v>
      </c>
      <c r="Y818" t="s">
        <v>231</v>
      </c>
      <c r="Z818" t="s">
        <v>160</v>
      </c>
      <c r="AA818" t="s">
        <v>151</v>
      </c>
      <c r="AB818" t="s">
        <v>151</v>
      </c>
      <c r="AC818" t="s">
        <v>343</v>
      </c>
      <c r="AD818" t="s">
        <v>343</v>
      </c>
      <c r="AE818" t="s">
        <v>344</v>
      </c>
      <c r="AF818" t="s">
        <v>3561</v>
      </c>
      <c r="AG818" t="s">
        <v>3562</v>
      </c>
      <c r="AH818" t="s">
        <v>5263</v>
      </c>
      <c r="AI818" t="s">
        <v>1666</v>
      </c>
      <c r="AJ818" t="s">
        <v>4254</v>
      </c>
      <c r="AK818" t="s">
        <v>5264</v>
      </c>
      <c r="AL818" t="s">
        <v>5092</v>
      </c>
      <c r="AN818" t="s">
        <v>3546</v>
      </c>
      <c r="AO818" t="s">
        <v>4440</v>
      </c>
      <c r="AP818" t="s">
        <v>231</v>
      </c>
      <c r="AQ818" t="s">
        <v>231</v>
      </c>
      <c r="AR818" t="s">
        <v>231</v>
      </c>
      <c r="AS818" t="s">
        <v>231</v>
      </c>
      <c r="AT818" t="s">
        <v>231</v>
      </c>
      <c r="AU818" t="s">
        <v>231</v>
      </c>
      <c r="AV818" t="s">
        <v>231</v>
      </c>
      <c r="AW818" t="s">
        <v>231</v>
      </c>
      <c r="AX818" t="s">
        <v>231</v>
      </c>
      <c r="AY818" t="s">
        <v>231</v>
      </c>
      <c r="AZ818" t="s">
        <v>231</v>
      </c>
      <c r="BA818" t="s">
        <v>231</v>
      </c>
      <c r="BB818" t="s">
        <v>231</v>
      </c>
      <c r="BC818" t="s">
        <v>231</v>
      </c>
      <c r="BD818" t="s">
        <v>231</v>
      </c>
      <c r="BE818" t="s">
        <v>231</v>
      </c>
      <c r="BF818" t="s">
        <v>231</v>
      </c>
      <c r="BG818" t="s">
        <v>231</v>
      </c>
      <c r="BH818" t="s">
        <v>231</v>
      </c>
      <c r="BI818" t="s">
        <v>231</v>
      </c>
      <c r="BJ818" t="s">
        <v>231</v>
      </c>
      <c r="BK818" t="s">
        <v>231</v>
      </c>
      <c r="BL818" t="s">
        <v>231</v>
      </c>
      <c r="BM818" t="s">
        <v>231</v>
      </c>
      <c r="BN818" t="s">
        <v>231</v>
      </c>
      <c r="BO818" t="s">
        <v>231</v>
      </c>
      <c r="BP818" t="s">
        <v>231</v>
      </c>
      <c r="BQ818" t="s">
        <v>231</v>
      </c>
      <c r="BR818" t="s">
        <v>231</v>
      </c>
      <c r="BS818" t="s">
        <v>231</v>
      </c>
      <c r="BT818" t="s">
        <v>231</v>
      </c>
      <c r="CS818" t="s">
        <v>231</v>
      </c>
      <c r="CT818" t="s">
        <v>3534</v>
      </c>
      <c r="CU818" t="s">
        <v>3535</v>
      </c>
      <c r="CV818" t="s">
        <v>3536</v>
      </c>
      <c r="CW818" t="s">
        <v>3569</v>
      </c>
      <c r="CX818" t="s">
        <v>223</v>
      </c>
      <c r="CY818" t="s">
        <v>3536</v>
      </c>
      <c r="CZ818" t="s">
        <v>224</v>
      </c>
      <c r="DA818" t="s">
        <v>3571</v>
      </c>
      <c r="DB818" t="s">
        <v>3569</v>
      </c>
      <c r="DC818" t="s">
        <v>363</v>
      </c>
      <c r="DD818" t="s">
        <v>5099</v>
      </c>
      <c r="DE818" t="s">
        <v>5265</v>
      </c>
    </row>
    <row r="819" spans="1:109" ht="11.25" customHeight="1">
      <c r="A819" s="1314" t="s">
        <v>231</v>
      </c>
      <c r="B819" t="s">
        <v>231</v>
      </c>
      <c r="C819" t="s">
        <v>231</v>
      </c>
      <c r="D819" t="s">
        <v>231</v>
      </c>
      <c r="E819" t="s">
        <v>231</v>
      </c>
      <c r="F819" t="s">
        <v>231</v>
      </c>
      <c r="G819" t="s">
        <v>231</v>
      </c>
      <c r="H819" t="s">
        <v>231</v>
      </c>
      <c r="I819" t="s">
        <v>5086</v>
      </c>
      <c r="J819" t="s">
        <v>231</v>
      </c>
      <c r="K819" t="s">
        <v>231</v>
      </c>
      <c r="L819" t="s">
        <v>231</v>
      </c>
      <c r="M819" t="s">
        <v>231</v>
      </c>
      <c r="N819" t="s">
        <v>231</v>
      </c>
      <c r="O819" t="s">
        <v>231</v>
      </c>
      <c r="P819" t="s">
        <v>231</v>
      </c>
      <c r="Q819" t="s">
        <v>231</v>
      </c>
      <c r="R819" t="s">
        <v>5302</v>
      </c>
      <c r="S819" t="s">
        <v>231</v>
      </c>
      <c r="T819" t="s">
        <v>231</v>
      </c>
      <c r="U819" t="s">
        <v>101</v>
      </c>
      <c r="V819" t="s">
        <v>231</v>
      </c>
      <c r="W819" t="s">
        <v>231</v>
      </c>
      <c r="X819" t="s">
        <v>5088</v>
      </c>
      <c r="Y819" t="s">
        <v>231</v>
      </c>
      <c r="Z819" t="s">
        <v>160</v>
      </c>
      <c r="AA819" t="s">
        <v>151</v>
      </c>
      <c r="AB819" t="s">
        <v>151</v>
      </c>
      <c r="AC819" t="s">
        <v>343</v>
      </c>
      <c r="AD819" t="s">
        <v>343</v>
      </c>
      <c r="AE819" t="s">
        <v>344</v>
      </c>
      <c r="AF819" t="s">
        <v>3561</v>
      </c>
      <c r="AG819" t="s">
        <v>3562</v>
      </c>
      <c r="AH819" t="s">
        <v>5303</v>
      </c>
      <c r="AI819" t="s">
        <v>482</v>
      </c>
      <c r="AJ819" t="s">
        <v>4960</v>
      </c>
      <c r="AK819" t="s">
        <v>5304</v>
      </c>
      <c r="AL819" t="s">
        <v>5092</v>
      </c>
      <c r="AN819" t="s">
        <v>3529</v>
      </c>
      <c r="AO819" t="s">
        <v>5202</v>
      </c>
      <c r="AP819" t="s">
        <v>231</v>
      </c>
      <c r="AQ819" t="s">
        <v>231</v>
      </c>
      <c r="AR819" t="s">
        <v>231</v>
      </c>
      <c r="AS819" t="s">
        <v>231</v>
      </c>
      <c r="AT819" t="s">
        <v>231</v>
      </c>
      <c r="AU819" t="s">
        <v>231</v>
      </c>
      <c r="AV819" t="s">
        <v>231</v>
      </c>
      <c r="AW819" t="s">
        <v>231</v>
      </c>
      <c r="AX819" t="s">
        <v>231</v>
      </c>
      <c r="AY819" t="s">
        <v>231</v>
      </c>
      <c r="AZ819" t="s">
        <v>231</v>
      </c>
      <c r="BA819" t="s">
        <v>231</v>
      </c>
      <c r="BB819" t="s">
        <v>231</v>
      </c>
      <c r="BC819" t="s">
        <v>231</v>
      </c>
      <c r="BD819" t="s">
        <v>231</v>
      </c>
      <c r="BE819" t="s">
        <v>231</v>
      </c>
      <c r="BF819" t="s">
        <v>231</v>
      </c>
      <c r="BG819" t="s">
        <v>231</v>
      </c>
      <c r="BH819" t="s">
        <v>231</v>
      </c>
      <c r="BI819" t="s">
        <v>231</v>
      </c>
      <c r="BJ819" t="s">
        <v>231</v>
      </c>
      <c r="BK819" t="s">
        <v>231</v>
      </c>
      <c r="BL819" t="s">
        <v>231</v>
      </c>
      <c r="BM819" t="s">
        <v>231</v>
      </c>
      <c r="BN819" t="s">
        <v>231</v>
      </c>
      <c r="BO819" t="s">
        <v>231</v>
      </c>
      <c r="BP819" t="s">
        <v>231</v>
      </c>
      <c r="BQ819" t="s">
        <v>231</v>
      </c>
      <c r="BR819" t="s">
        <v>231</v>
      </c>
      <c r="BS819" t="s">
        <v>231</v>
      </c>
      <c r="BT819" t="s">
        <v>231</v>
      </c>
      <c r="CS819" t="s">
        <v>231</v>
      </c>
      <c r="CT819" t="s">
        <v>3534</v>
      </c>
      <c r="CU819" t="s">
        <v>3535</v>
      </c>
      <c r="CV819" t="s">
        <v>3536</v>
      </c>
      <c r="CW819" t="s">
        <v>3569</v>
      </c>
      <c r="CX819" t="s">
        <v>223</v>
      </c>
      <c r="CY819" t="s">
        <v>3536</v>
      </c>
      <c r="CZ819" t="s">
        <v>224</v>
      </c>
      <c r="DA819" t="s">
        <v>3571</v>
      </c>
      <c r="DB819" t="s">
        <v>3569</v>
      </c>
      <c r="DC819" t="s">
        <v>363</v>
      </c>
      <c r="DD819" t="s">
        <v>5099</v>
      </c>
      <c r="DE819" t="s">
        <v>5305</v>
      </c>
    </row>
    <row r="820" spans="1:109" ht="11.25" customHeight="1">
      <c r="A820" s="1314" t="s">
        <v>231</v>
      </c>
      <c r="B820" t="s">
        <v>231</v>
      </c>
      <c r="C820" t="s">
        <v>231</v>
      </c>
      <c r="D820" t="s">
        <v>231</v>
      </c>
      <c r="E820" t="s">
        <v>231</v>
      </c>
      <c r="F820" t="s">
        <v>231</v>
      </c>
      <c r="G820" t="s">
        <v>231</v>
      </c>
      <c r="H820" t="s">
        <v>231</v>
      </c>
      <c r="I820" t="s">
        <v>5086</v>
      </c>
      <c r="J820" t="s">
        <v>231</v>
      </c>
      <c r="K820" t="s">
        <v>231</v>
      </c>
      <c r="L820" t="s">
        <v>231</v>
      </c>
      <c r="M820" t="s">
        <v>231</v>
      </c>
      <c r="N820" t="s">
        <v>231</v>
      </c>
      <c r="O820" t="s">
        <v>231</v>
      </c>
      <c r="P820" t="s">
        <v>231</v>
      </c>
      <c r="Q820" t="s">
        <v>231</v>
      </c>
      <c r="R820" t="s">
        <v>5306</v>
      </c>
      <c r="S820" t="s">
        <v>231</v>
      </c>
      <c r="T820" t="s">
        <v>231</v>
      </c>
      <c r="U820" t="s">
        <v>101</v>
      </c>
      <c r="V820" t="s">
        <v>231</v>
      </c>
      <c r="W820" t="s">
        <v>231</v>
      </c>
      <c r="X820" t="s">
        <v>5088</v>
      </c>
      <c r="Y820" t="s">
        <v>231</v>
      </c>
      <c r="Z820" t="s">
        <v>160</v>
      </c>
      <c r="AA820" t="s">
        <v>151</v>
      </c>
      <c r="AB820" t="s">
        <v>151</v>
      </c>
      <c r="AC820" t="s">
        <v>343</v>
      </c>
      <c r="AD820" t="s">
        <v>343</v>
      </c>
      <c r="AE820" t="s">
        <v>344</v>
      </c>
      <c r="AF820" t="s">
        <v>3561</v>
      </c>
      <c r="AG820" t="s">
        <v>3562</v>
      </c>
      <c r="AH820" t="s">
        <v>5307</v>
      </c>
      <c r="AI820" t="s">
        <v>3618</v>
      </c>
      <c r="AJ820" t="s">
        <v>4960</v>
      </c>
      <c r="AK820" t="s">
        <v>3546</v>
      </c>
      <c r="AL820" t="s">
        <v>5092</v>
      </c>
      <c r="AN820" t="s">
        <v>3866</v>
      </c>
      <c r="AO820" t="s">
        <v>5308</v>
      </c>
      <c r="AP820" t="s">
        <v>231</v>
      </c>
      <c r="AQ820" t="s">
        <v>231</v>
      </c>
      <c r="AR820" t="s">
        <v>231</v>
      </c>
      <c r="AS820" t="s">
        <v>231</v>
      </c>
      <c r="AT820" t="s">
        <v>231</v>
      </c>
      <c r="AU820" t="s">
        <v>231</v>
      </c>
      <c r="AV820" t="s">
        <v>231</v>
      </c>
      <c r="AW820" t="s">
        <v>231</v>
      </c>
      <c r="AX820" t="s">
        <v>231</v>
      </c>
      <c r="AY820" t="s">
        <v>231</v>
      </c>
      <c r="AZ820" t="s">
        <v>231</v>
      </c>
      <c r="BA820" t="s">
        <v>231</v>
      </c>
      <c r="BB820" t="s">
        <v>231</v>
      </c>
      <c r="BC820" t="s">
        <v>231</v>
      </c>
      <c r="BD820" t="s">
        <v>231</v>
      </c>
      <c r="BE820" t="s">
        <v>231</v>
      </c>
      <c r="BF820" t="s">
        <v>231</v>
      </c>
      <c r="BG820" t="s">
        <v>231</v>
      </c>
      <c r="BH820" t="s">
        <v>231</v>
      </c>
      <c r="BI820" t="s">
        <v>231</v>
      </c>
      <c r="BJ820" t="s">
        <v>231</v>
      </c>
      <c r="BK820" t="s">
        <v>231</v>
      </c>
      <c r="BL820" t="s">
        <v>231</v>
      </c>
      <c r="BM820" t="s">
        <v>231</v>
      </c>
      <c r="BN820" t="s">
        <v>231</v>
      </c>
      <c r="BO820" t="s">
        <v>231</v>
      </c>
      <c r="BP820" t="s">
        <v>231</v>
      </c>
      <c r="BQ820" t="s">
        <v>231</v>
      </c>
      <c r="BR820" t="s">
        <v>231</v>
      </c>
      <c r="BS820" t="s">
        <v>231</v>
      </c>
      <c r="BT820" t="s">
        <v>231</v>
      </c>
      <c r="CS820" t="s">
        <v>231</v>
      </c>
      <c r="CT820" t="s">
        <v>3534</v>
      </c>
      <c r="CU820" t="s">
        <v>5095</v>
      </c>
      <c r="CV820" t="s">
        <v>5309</v>
      </c>
      <c r="CW820" t="s">
        <v>5310</v>
      </c>
      <c r="CX820" t="s">
        <v>5311</v>
      </c>
      <c r="CY820" t="s">
        <v>5291</v>
      </c>
      <c r="CZ820" t="s">
        <v>5312</v>
      </c>
      <c r="DA820" t="s">
        <v>5308</v>
      </c>
      <c r="DB820" t="s">
        <v>5310</v>
      </c>
      <c r="DC820" t="s">
        <v>363</v>
      </c>
      <c r="DD820" t="s">
        <v>5099</v>
      </c>
      <c r="DE820" t="s">
        <v>5313</v>
      </c>
    </row>
    <row r="821" spans="1:109" ht="11.25" customHeight="1">
      <c r="A821" s="1314" t="s">
        <v>231</v>
      </c>
      <c r="B821" t="s">
        <v>231</v>
      </c>
      <c r="C821" t="s">
        <v>231</v>
      </c>
      <c r="D821" t="s">
        <v>231</v>
      </c>
      <c r="E821" t="s">
        <v>231</v>
      </c>
      <c r="F821" t="s">
        <v>231</v>
      </c>
      <c r="G821" t="s">
        <v>231</v>
      </c>
      <c r="H821" t="s">
        <v>231</v>
      </c>
      <c r="I821" t="s">
        <v>5086</v>
      </c>
      <c r="J821" t="s">
        <v>231</v>
      </c>
      <c r="K821" t="s">
        <v>231</v>
      </c>
      <c r="L821" t="s">
        <v>231</v>
      </c>
      <c r="M821" t="s">
        <v>231</v>
      </c>
      <c r="N821" t="s">
        <v>231</v>
      </c>
      <c r="O821" t="s">
        <v>231</v>
      </c>
      <c r="P821" t="s">
        <v>231</v>
      </c>
      <c r="Q821" t="s">
        <v>231</v>
      </c>
      <c r="R821" t="s">
        <v>5266</v>
      </c>
      <c r="S821" t="s">
        <v>231</v>
      </c>
      <c r="T821" t="s">
        <v>231</v>
      </c>
      <c r="U821" t="s">
        <v>101</v>
      </c>
      <c r="V821" t="s">
        <v>231</v>
      </c>
      <c r="W821" t="s">
        <v>231</v>
      </c>
      <c r="X821" t="s">
        <v>5088</v>
      </c>
      <c r="Y821" t="s">
        <v>231</v>
      </c>
      <c r="Z821" t="s">
        <v>160</v>
      </c>
      <c r="AA821" t="s">
        <v>151</v>
      </c>
      <c r="AB821" t="s">
        <v>151</v>
      </c>
      <c r="AC821" t="s">
        <v>2262</v>
      </c>
      <c r="AD821" t="s">
        <v>2262</v>
      </c>
      <c r="AE821" t="s">
        <v>2264</v>
      </c>
      <c r="AF821" t="s">
        <v>3524</v>
      </c>
      <c r="AG821" t="s">
        <v>3525</v>
      </c>
      <c r="AH821" t="s">
        <v>5267</v>
      </c>
      <c r="AI821" t="s">
        <v>5268</v>
      </c>
      <c r="AJ821" t="s">
        <v>3621</v>
      </c>
      <c r="AK821" t="s">
        <v>3840</v>
      </c>
      <c r="AL821" t="s">
        <v>5092</v>
      </c>
      <c r="AN821" t="s">
        <v>5269</v>
      </c>
      <c r="AO821" t="s">
        <v>3662</v>
      </c>
      <c r="AP821" t="s">
        <v>231</v>
      </c>
      <c r="AQ821" t="s">
        <v>231</v>
      </c>
      <c r="AR821" t="s">
        <v>231</v>
      </c>
      <c r="AS821" t="s">
        <v>231</v>
      </c>
      <c r="AT821" t="s">
        <v>231</v>
      </c>
      <c r="AU821" t="s">
        <v>231</v>
      </c>
      <c r="AV821" t="s">
        <v>231</v>
      </c>
      <c r="AW821" t="s">
        <v>231</v>
      </c>
      <c r="AX821" t="s">
        <v>231</v>
      </c>
      <c r="AY821" t="s">
        <v>231</v>
      </c>
      <c r="AZ821" t="s">
        <v>231</v>
      </c>
      <c r="BA821" t="s">
        <v>231</v>
      </c>
      <c r="BB821" t="s">
        <v>231</v>
      </c>
      <c r="BC821" t="s">
        <v>231</v>
      </c>
      <c r="BD821" t="s">
        <v>231</v>
      </c>
      <c r="BE821" t="s">
        <v>231</v>
      </c>
      <c r="BF821" t="s">
        <v>231</v>
      </c>
      <c r="BG821" t="s">
        <v>231</v>
      </c>
      <c r="BH821" t="s">
        <v>231</v>
      </c>
      <c r="BI821" t="s">
        <v>231</v>
      </c>
      <c r="BJ821" t="s">
        <v>231</v>
      </c>
      <c r="BK821" t="s">
        <v>231</v>
      </c>
      <c r="BL821" t="s">
        <v>231</v>
      </c>
      <c r="BM821" t="s">
        <v>231</v>
      </c>
      <c r="BN821" t="s">
        <v>231</v>
      </c>
      <c r="BO821" t="s">
        <v>231</v>
      </c>
      <c r="BP821" t="s">
        <v>231</v>
      </c>
      <c r="BQ821" t="s">
        <v>231</v>
      </c>
      <c r="BR821" t="s">
        <v>231</v>
      </c>
      <c r="BS821" t="s">
        <v>231</v>
      </c>
      <c r="BT821" t="s">
        <v>231</v>
      </c>
      <c r="CS821" t="s">
        <v>231</v>
      </c>
      <c r="CT821" t="s">
        <v>3534</v>
      </c>
      <c r="CU821" t="s">
        <v>3535</v>
      </c>
      <c r="CV821" t="s">
        <v>3536</v>
      </c>
      <c r="CW821" t="s">
        <v>3537</v>
      </c>
      <c r="CX821" t="s">
        <v>223</v>
      </c>
      <c r="CY821" t="s">
        <v>3536</v>
      </c>
      <c r="CZ821" t="s">
        <v>3538</v>
      </c>
      <c r="DA821" t="s">
        <v>3539</v>
      </c>
      <c r="DB821" t="s">
        <v>3537</v>
      </c>
      <c r="DC821" t="s">
        <v>363</v>
      </c>
      <c r="DD821" t="s">
        <v>5099</v>
      </c>
      <c r="DE821" t="s">
        <v>5270</v>
      </c>
    </row>
    <row r="822" spans="1:109" ht="11.25" customHeight="1">
      <c r="A822" s="1314" t="s">
        <v>231</v>
      </c>
      <c r="B822" t="s">
        <v>231</v>
      </c>
      <c r="C822" t="s">
        <v>231</v>
      </c>
      <c r="D822" t="s">
        <v>231</v>
      </c>
      <c r="E822" t="s">
        <v>231</v>
      </c>
      <c r="F822" t="s">
        <v>231</v>
      </c>
      <c r="G822" t="s">
        <v>231</v>
      </c>
      <c r="H822" t="s">
        <v>231</v>
      </c>
      <c r="I822" t="s">
        <v>5086</v>
      </c>
      <c r="J822" t="s">
        <v>231</v>
      </c>
      <c r="K822" t="s">
        <v>231</v>
      </c>
      <c r="L822" t="s">
        <v>231</v>
      </c>
      <c r="M822" t="s">
        <v>231</v>
      </c>
      <c r="N822" t="s">
        <v>231</v>
      </c>
      <c r="O822" t="s">
        <v>231</v>
      </c>
      <c r="P822" t="s">
        <v>231</v>
      </c>
      <c r="Q822" t="s">
        <v>231</v>
      </c>
      <c r="R822" t="s">
        <v>5271</v>
      </c>
      <c r="S822" t="s">
        <v>231</v>
      </c>
      <c r="T822" t="s">
        <v>231</v>
      </c>
      <c r="U822" t="s">
        <v>101</v>
      </c>
      <c r="V822" t="s">
        <v>231</v>
      </c>
      <c r="W822" t="s">
        <v>231</v>
      </c>
      <c r="X822" t="s">
        <v>5088</v>
      </c>
      <c r="Y822" t="s">
        <v>231</v>
      </c>
      <c r="Z822" t="s">
        <v>160</v>
      </c>
      <c r="AA822" t="s">
        <v>151</v>
      </c>
      <c r="AB822" t="s">
        <v>151</v>
      </c>
      <c r="AC822" t="s">
        <v>2262</v>
      </c>
      <c r="AD822" t="s">
        <v>2262</v>
      </c>
      <c r="AE822" t="s">
        <v>2264</v>
      </c>
      <c r="AF822" t="s">
        <v>3524</v>
      </c>
      <c r="AG822" t="s">
        <v>3525</v>
      </c>
      <c r="AH822" t="s">
        <v>5272</v>
      </c>
      <c r="AI822" t="s">
        <v>5273</v>
      </c>
      <c r="AJ822" t="s">
        <v>5274</v>
      </c>
      <c r="AK822" t="s">
        <v>4264</v>
      </c>
      <c r="AL822" t="s">
        <v>5092</v>
      </c>
      <c r="AN822" t="s">
        <v>5275</v>
      </c>
      <c r="AO822" t="s">
        <v>3679</v>
      </c>
      <c r="AP822" t="s">
        <v>231</v>
      </c>
      <c r="AQ822" t="s">
        <v>231</v>
      </c>
      <c r="AR822" t="s">
        <v>231</v>
      </c>
      <c r="AS822" t="s">
        <v>231</v>
      </c>
      <c r="AT822" t="s">
        <v>231</v>
      </c>
      <c r="AU822" t="s">
        <v>231</v>
      </c>
      <c r="AV822" t="s">
        <v>231</v>
      </c>
      <c r="AW822" t="s">
        <v>231</v>
      </c>
      <c r="AX822" t="s">
        <v>231</v>
      </c>
      <c r="AY822" t="s">
        <v>231</v>
      </c>
      <c r="AZ822" t="s">
        <v>231</v>
      </c>
      <c r="BA822" t="s">
        <v>231</v>
      </c>
      <c r="BB822" t="s">
        <v>231</v>
      </c>
      <c r="BC822" t="s">
        <v>231</v>
      </c>
      <c r="BD822" t="s">
        <v>231</v>
      </c>
      <c r="BE822" t="s">
        <v>231</v>
      </c>
      <c r="BF822" t="s">
        <v>231</v>
      </c>
      <c r="BG822" t="s">
        <v>231</v>
      </c>
      <c r="BH822" t="s">
        <v>231</v>
      </c>
      <c r="BI822" t="s">
        <v>231</v>
      </c>
      <c r="BJ822" t="s">
        <v>231</v>
      </c>
      <c r="BK822" t="s">
        <v>231</v>
      </c>
      <c r="BL822" t="s">
        <v>231</v>
      </c>
      <c r="BM822" t="s">
        <v>231</v>
      </c>
      <c r="BN822" t="s">
        <v>231</v>
      </c>
      <c r="BO822" t="s">
        <v>231</v>
      </c>
      <c r="BP822" t="s">
        <v>231</v>
      </c>
      <c r="BQ822" t="s">
        <v>231</v>
      </c>
      <c r="BR822" t="s">
        <v>231</v>
      </c>
      <c r="BS822" t="s">
        <v>231</v>
      </c>
      <c r="BT822" t="s">
        <v>231</v>
      </c>
      <c r="CS822" t="s">
        <v>231</v>
      </c>
      <c r="CT822" t="s">
        <v>3534</v>
      </c>
      <c r="CU822" t="s">
        <v>3535</v>
      </c>
      <c r="CV822" t="s">
        <v>3536</v>
      </c>
      <c r="CW822" t="s">
        <v>3537</v>
      </c>
      <c r="CX822" t="s">
        <v>223</v>
      </c>
      <c r="CY822" t="s">
        <v>3536</v>
      </c>
      <c r="CZ822" t="s">
        <v>3538</v>
      </c>
      <c r="DA822" t="s">
        <v>3539</v>
      </c>
      <c r="DB822" t="s">
        <v>3537</v>
      </c>
      <c r="DC822" t="s">
        <v>363</v>
      </c>
      <c r="DD822" t="s">
        <v>5099</v>
      </c>
      <c r="DE822" t="s">
        <v>5276</v>
      </c>
    </row>
    <row r="823" spans="1:109" ht="11.25" customHeight="1">
      <c r="A823" s="1314" t="s">
        <v>231</v>
      </c>
      <c r="B823" t="s">
        <v>231</v>
      </c>
      <c r="C823" t="s">
        <v>231</v>
      </c>
      <c r="D823" t="s">
        <v>231</v>
      </c>
      <c r="E823" t="s">
        <v>231</v>
      </c>
      <c r="F823" t="s">
        <v>231</v>
      </c>
      <c r="G823" t="s">
        <v>231</v>
      </c>
      <c r="H823" t="s">
        <v>231</v>
      </c>
      <c r="I823" t="s">
        <v>5086</v>
      </c>
      <c r="J823" t="s">
        <v>231</v>
      </c>
      <c r="K823" t="s">
        <v>231</v>
      </c>
      <c r="L823" t="s">
        <v>231</v>
      </c>
      <c r="M823" t="s">
        <v>231</v>
      </c>
      <c r="N823" t="s">
        <v>231</v>
      </c>
      <c r="O823" t="s">
        <v>231</v>
      </c>
      <c r="P823" t="s">
        <v>231</v>
      </c>
      <c r="Q823" t="s">
        <v>231</v>
      </c>
      <c r="R823" t="s">
        <v>5277</v>
      </c>
      <c r="S823" t="s">
        <v>231</v>
      </c>
      <c r="T823" t="s">
        <v>231</v>
      </c>
      <c r="U823" t="s">
        <v>101</v>
      </c>
      <c r="V823" t="s">
        <v>231</v>
      </c>
      <c r="W823" t="s">
        <v>231</v>
      </c>
      <c r="X823" t="s">
        <v>5088</v>
      </c>
      <c r="Y823" t="s">
        <v>231</v>
      </c>
      <c r="Z823" t="s">
        <v>160</v>
      </c>
      <c r="AA823" t="s">
        <v>151</v>
      </c>
      <c r="AB823" t="s">
        <v>151</v>
      </c>
      <c r="AC823" t="s">
        <v>2262</v>
      </c>
      <c r="AD823" t="s">
        <v>2262</v>
      </c>
      <c r="AE823" t="s">
        <v>2264</v>
      </c>
      <c r="AF823" t="s">
        <v>3524</v>
      </c>
      <c r="AG823" t="s">
        <v>3525</v>
      </c>
      <c r="AH823" t="s">
        <v>5278</v>
      </c>
      <c r="AI823" t="s">
        <v>5273</v>
      </c>
      <c r="AJ823" t="s">
        <v>5248</v>
      </c>
      <c r="AK823" t="s">
        <v>4042</v>
      </c>
      <c r="AL823" t="s">
        <v>5092</v>
      </c>
      <c r="AN823" t="s">
        <v>5279</v>
      </c>
      <c r="AO823" t="s">
        <v>3588</v>
      </c>
      <c r="AP823" t="s">
        <v>231</v>
      </c>
      <c r="AQ823" t="s">
        <v>231</v>
      </c>
      <c r="AR823" t="s">
        <v>231</v>
      </c>
      <c r="AS823" t="s">
        <v>231</v>
      </c>
      <c r="AT823" t="s">
        <v>231</v>
      </c>
      <c r="AU823" t="s">
        <v>231</v>
      </c>
      <c r="AV823" t="s">
        <v>231</v>
      </c>
      <c r="AW823" t="s">
        <v>231</v>
      </c>
      <c r="AX823" t="s">
        <v>231</v>
      </c>
      <c r="AY823" t="s">
        <v>231</v>
      </c>
      <c r="AZ823" t="s">
        <v>231</v>
      </c>
      <c r="BA823" t="s">
        <v>231</v>
      </c>
      <c r="BB823" t="s">
        <v>231</v>
      </c>
      <c r="BC823" t="s">
        <v>231</v>
      </c>
      <c r="BD823" t="s">
        <v>231</v>
      </c>
      <c r="BE823" t="s">
        <v>231</v>
      </c>
      <c r="BF823" t="s">
        <v>231</v>
      </c>
      <c r="BG823" t="s">
        <v>231</v>
      </c>
      <c r="BH823" t="s">
        <v>231</v>
      </c>
      <c r="BI823" t="s">
        <v>231</v>
      </c>
      <c r="BJ823" t="s">
        <v>231</v>
      </c>
      <c r="BK823" t="s">
        <v>231</v>
      </c>
      <c r="BL823" t="s">
        <v>231</v>
      </c>
      <c r="BM823" t="s">
        <v>231</v>
      </c>
      <c r="BN823" t="s">
        <v>231</v>
      </c>
      <c r="BO823" t="s">
        <v>231</v>
      </c>
      <c r="BP823" t="s">
        <v>231</v>
      </c>
      <c r="BQ823" t="s">
        <v>231</v>
      </c>
      <c r="BR823" t="s">
        <v>231</v>
      </c>
      <c r="BS823" t="s">
        <v>231</v>
      </c>
      <c r="BT823" t="s">
        <v>231</v>
      </c>
      <c r="CS823" t="s">
        <v>231</v>
      </c>
      <c r="CT823" t="s">
        <v>3534</v>
      </c>
      <c r="CU823" t="s">
        <v>3535</v>
      </c>
      <c r="CV823" t="s">
        <v>3536</v>
      </c>
      <c r="CW823" t="s">
        <v>3537</v>
      </c>
      <c r="CX823" t="s">
        <v>223</v>
      </c>
      <c r="CY823" t="s">
        <v>3536</v>
      </c>
      <c r="CZ823" t="s">
        <v>3538</v>
      </c>
      <c r="DA823" t="s">
        <v>3539</v>
      </c>
      <c r="DB823" t="s">
        <v>3537</v>
      </c>
      <c r="DC823" t="s">
        <v>363</v>
      </c>
      <c r="DD823" t="s">
        <v>5099</v>
      </c>
      <c r="DE823" t="s">
        <v>5280</v>
      </c>
    </row>
    <row r="824" spans="1:109" ht="11.25" customHeight="1">
      <c r="A824" s="1314" t="s">
        <v>231</v>
      </c>
      <c r="B824" t="s">
        <v>231</v>
      </c>
      <c r="C824" t="s">
        <v>231</v>
      </c>
      <c r="D824" t="s">
        <v>231</v>
      </c>
      <c r="E824" t="s">
        <v>231</v>
      </c>
      <c r="F824" t="s">
        <v>231</v>
      </c>
      <c r="G824" t="s">
        <v>231</v>
      </c>
      <c r="H824" t="s">
        <v>231</v>
      </c>
      <c r="I824" t="s">
        <v>5086</v>
      </c>
      <c r="J824" t="s">
        <v>231</v>
      </c>
      <c r="K824" t="s">
        <v>231</v>
      </c>
      <c r="L824" t="s">
        <v>231</v>
      </c>
      <c r="M824" t="s">
        <v>231</v>
      </c>
      <c r="N824" t="s">
        <v>231</v>
      </c>
      <c r="O824" t="s">
        <v>231</v>
      </c>
      <c r="P824" t="s">
        <v>231</v>
      </c>
      <c r="Q824" t="s">
        <v>231</v>
      </c>
      <c r="R824" t="s">
        <v>5281</v>
      </c>
      <c r="S824" t="s">
        <v>231</v>
      </c>
      <c r="T824" t="s">
        <v>231</v>
      </c>
      <c r="U824" t="s">
        <v>101</v>
      </c>
      <c r="V824" t="s">
        <v>231</v>
      </c>
      <c r="W824" t="s">
        <v>231</v>
      </c>
      <c r="X824" t="s">
        <v>5088</v>
      </c>
      <c r="Y824" t="s">
        <v>231</v>
      </c>
      <c r="Z824" t="s">
        <v>160</v>
      </c>
      <c r="AA824" t="s">
        <v>151</v>
      </c>
      <c r="AB824" t="s">
        <v>151</v>
      </c>
      <c r="AC824" t="s">
        <v>2262</v>
      </c>
      <c r="AD824" t="s">
        <v>2262</v>
      </c>
      <c r="AE824" t="s">
        <v>2264</v>
      </c>
      <c r="AF824" t="s">
        <v>3524</v>
      </c>
      <c r="AG824" t="s">
        <v>3525</v>
      </c>
      <c r="AH824" t="s">
        <v>5282</v>
      </c>
      <c r="AI824" t="s">
        <v>5283</v>
      </c>
      <c r="AJ824" t="s">
        <v>5248</v>
      </c>
      <c r="AK824" t="s">
        <v>4042</v>
      </c>
      <c r="AL824" t="s">
        <v>5092</v>
      </c>
      <c r="AN824" t="s">
        <v>4155</v>
      </c>
      <c r="AO824" t="s">
        <v>3588</v>
      </c>
      <c r="AP824" t="s">
        <v>231</v>
      </c>
      <c r="AQ824" t="s">
        <v>231</v>
      </c>
      <c r="AR824" t="s">
        <v>231</v>
      </c>
      <c r="AS824" t="s">
        <v>231</v>
      </c>
      <c r="AT824" t="s">
        <v>231</v>
      </c>
      <c r="AU824" t="s">
        <v>231</v>
      </c>
      <c r="AV824" t="s">
        <v>231</v>
      </c>
      <c r="AW824" t="s">
        <v>231</v>
      </c>
      <c r="AX824" t="s">
        <v>231</v>
      </c>
      <c r="AY824" t="s">
        <v>231</v>
      </c>
      <c r="AZ824" t="s">
        <v>231</v>
      </c>
      <c r="BA824" t="s">
        <v>231</v>
      </c>
      <c r="BB824" t="s">
        <v>231</v>
      </c>
      <c r="BC824" t="s">
        <v>231</v>
      </c>
      <c r="BD824" t="s">
        <v>231</v>
      </c>
      <c r="BE824" t="s">
        <v>231</v>
      </c>
      <c r="BF824" t="s">
        <v>231</v>
      </c>
      <c r="BG824" t="s">
        <v>231</v>
      </c>
      <c r="BH824" t="s">
        <v>231</v>
      </c>
      <c r="BI824" t="s">
        <v>231</v>
      </c>
      <c r="BJ824" t="s">
        <v>231</v>
      </c>
      <c r="BK824" t="s">
        <v>231</v>
      </c>
      <c r="BL824" t="s">
        <v>231</v>
      </c>
      <c r="BM824" t="s">
        <v>231</v>
      </c>
      <c r="BN824" t="s">
        <v>231</v>
      </c>
      <c r="BO824" t="s">
        <v>231</v>
      </c>
      <c r="BP824" t="s">
        <v>231</v>
      </c>
      <c r="BQ824" t="s">
        <v>231</v>
      </c>
      <c r="BR824" t="s">
        <v>231</v>
      </c>
      <c r="BS824" t="s">
        <v>231</v>
      </c>
      <c r="BT824" t="s">
        <v>231</v>
      </c>
      <c r="CS824" t="s">
        <v>231</v>
      </c>
      <c r="CT824" t="s">
        <v>3534</v>
      </c>
      <c r="CU824" t="s">
        <v>3535</v>
      </c>
      <c r="CV824" t="s">
        <v>3536</v>
      </c>
      <c r="CW824" t="s">
        <v>3537</v>
      </c>
      <c r="CX824" t="s">
        <v>223</v>
      </c>
      <c r="CY824" t="s">
        <v>3536</v>
      </c>
      <c r="CZ824" t="s">
        <v>3538</v>
      </c>
      <c r="DA824" t="s">
        <v>3539</v>
      </c>
      <c r="DB824" t="s">
        <v>3537</v>
      </c>
      <c r="DC824" t="s">
        <v>363</v>
      </c>
      <c r="DD824" t="s">
        <v>5099</v>
      </c>
      <c r="DE824" t="s">
        <v>5284</v>
      </c>
    </row>
    <row r="825" spans="1:109" ht="11.25" customHeight="1">
      <c r="A825" s="1314" t="s">
        <v>231</v>
      </c>
      <c r="B825" t="s">
        <v>231</v>
      </c>
      <c r="C825" t="s">
        <v>231</v>
      </c>
      <c r="D825" t="s">
        <v>231</v>
      </c>
      <c r="E825" t="s">
        <v>231</v>
      </c>
      <c r="F825" t="s">
        <v>231</v>
      </c>
      <c r="G825" t="s">
        <v>231</v>
      </c>
      <c r="H825" t="s">
        <v>231</v>
      </c>
      <c r="I825" t="s">
        <v>5086</v>
      </c>
      <c r="J825" t="s">
        <v>231</v>
      </c>
      <c r="K825" t="s">
        <v>231</v>
      </c>
      <c r="L825" t="s">
        <v>231</v>
      </c>
      <c r="M825" t="s">
        <v>231</v>
      </c>
      <c r="N825" t="s">
        <v>231</v>
      </c>
      <c r="O825" t="s">
        <v>231</v>
      </c>
      <c r="P825" t="s">
        <v>231</v>
      </c>
      <c r="Q825" t="s">
        <v>231</v>
      </c>
      <c r="R825" t="s">
        <v>5314</v>
      </c>
      <c r="S825" t="s">
        <v>231</v>
      </c>
      <c r="T825" t="s">
        <v>231</v>
      </c>
      <c r="U825" t="s">
        <v>101</v>
      </c>
      <c r="V825" t="s">
        <v>231</v>
      </c>
      <c r="W825" t="s">
        <v>231</v>
      </c>
      <c r="X825" t="s">
        <v>5088</v>
      </c>
      <c r="Y825" t="s">
        <v>231</v>
      </c>
      <c r="Z825" t="s">
        <v>160</v>
      </c>
      <c r="AA825" t="s">
        <v>151</v>
      </c>
      <c r="AB825" t="s">
        <v>151</v>
      </c>
      <c r="AC825" t="s">
        <v>343</v>
      </c>
      <c r="AD825" t="s">
        <v>343</v>
      </c>
      <c r="AE825" t="s">
        <v>344</v>
      </c>
      <c r="AF825" t="s">
        <v>3561</v>
      </c>
      <c r="AG825" t="s">
        <v>3562</v>
      </c>
      <c r="AH825" t="s">
        <v>5315</v>
      </c>
      <c r="AI825" t="s">
        <v>5316</v>
      </c>
      <c r="AJ825" t="s">
        <v>5317</v>
      </c>
      <c r="AK825" t="s">
        <v>5318</v>
      </c>
      <c r="AL825" t="s">
        <v>5092</v>
      </c>
      <c r="AN825" t="s">
        <v>3529</v>
      </c>
      <c r="AO825" t="s">
        <v>5202</v>
      </c>
      <c r="AP825" t="s">
        <v>231</v>
      </c>
      <c r="AQ825" t="s">
        <v>231</v>
      </c>
      <c r="AR825" t="s">
        <v>231</v>
      </c>
      <c r="AS825" t="s">
        <v>231</v>
      </c>
      <c r="AT825" t="s">
        <v>231</v>
      </c>
      <c r="AU825" t="s">
        <v>231</v>
      </c>
      <c r="AV825" t="s">
        <v>231</v>
      </c>
      <c r="AW825" t="s">
        <v>231</v>
      </c>
      <c r="AX825" t="s">
        <v>231</v>
      </c>
      <c r="AY825" t="s">
        <v>231</v>
      </c>
      <c r="AZ825" t="s">
        <v>231</v>
      </c>
      <c r="BA825" t="s">
        <v>231</v>
      </c>
      <c r="BB825" t="s">
        <v>231</v>
      </c>
      <c r="BC825" t="s">
        <v>231</v>
      </c>
      <c r="BD825" t="s">
        <v>231</v>
      </c>
      <c r="BE825" t="s">
        <v>231</v>
      </c>
      <c r="BF825" t="s">
        <v>231</v>
      </c>
      <c r="BG825" t="s">
        <v>231</v>
      </c>
      <c r="BH825" t="s">
        <v>231</v>
      </c>
      <c r="BI825" t="s">
        <v>231</v>
      </c>
      <c r="BJ825" t="s">
        <v>231</v>
      </c>
      <c r="BK825" t="s">
        <v>231</v>
      </c>
      <c r="BL825" t="s">
        <v>231</v>
      </c>
      <c r="BM825" t="s">
        <v>231</v>
      </c>
      <c r="BN825" t="s">
        <v>231</v>
      </c>
      <c r="BO825" t="s">
        <v>231</v>
      </c>
      <c r="BP825" t="s">
        <v>231</v>
      </c>
      <c r="BQ825" t="s">
        <v>231</v>
      </c>
      <c r="BR825" t="s">
        <v>231</v>
      </c>
      <c r="BS825" t="s">
        <v>231</v>
      </c>
      <c r="BT825" t="s">
        <v>231</v>
      </c>
      <c r="CS825" t="s">
        <v>231</v>
      </c>
      <c r="CT825" t="s">
        <v>3534</v>
      </c>
      <c r="CU825" t="s">
        <v>3535</v>
      </c>
      <c r="CV825" t="s">
        <v>3536</v>
      </c>
      <c r="CW825" t="s">
        <v>3569</v>
      </c>
      <c r="CX825" t="s">
        <v>223</v>
      </c>
      <c r="CY825" t="s">
        <v>3536</v>
      </c>
      <c r="CZ825" t="s">
        <v>224</v>
      </c>
      <c r="DA825" t="s">
        <v>3571</v>
      </c>
      <c r="DB825" t="s">
        <v>5319</v>
      </c>
      <c r="DC825" t="s">
        <v>363</v>
      </c>
      <c r="DD825" t="s">
        <v>5099</v>
      </c>
      <c r="DE825" t="s">
        <v>5320</v>
      </c>
    </row>
    <row r="826" spans="1:109" ht="11.25" customHeight="1">
      <c r="A826" s="1314" t="s">
        <v>231</v>
      </c>
      <c r="B826" t="s">
        <v>231</v>
      </c>
      <c r="C826" t="s">
        <v>231</v>
      </c>
      <c r="D826" t="s">
        <v>231</v>
      </c>
      <c r="E826" t="s">
        <v>231</v>
      </c>
      <c r="F826" t="s">
        <v>231</v>
      </c>
      <c r="G826" t="s">
        <v>231</v>
      </c>
      <c r="H826" t="s">
        <v>231</v>
      </c>
      <c r="I826" t="s">
        <v>5086</v>
      </c>
      <c r="J826" t="s">
        <v>231</v>
      </c>
      <c r="K826" t="s">
        <v>231</v>
      </c>
      <c r="L826" t="s">
        <v>231</v>
      </c>
      <c r="M826" t="s">
        <v>231</v>
      </c>
      <c r="N826" t="s">
        <v>231</v>
      </c>
      <c r="O826" t="s">
        <v>231</v>
      </c>
      <c r="P826" t="s">
        <v>231</v>
      </c>
      <c r="Q826" t="s">
        <v>231</v>
      </c>
      <c r="R826" t="s">
        <v>5344</v>
      </c>
      <c r="S826" t="s">
        <v>231</v>
      </c>
      <c r="T826" t="s">
        <v>231</v>
      </c>
      <c r="U826" t="s">
        <v>101</v>
      </c>
      <c r="V826" t="s">
        <v>231</v>
      </c>
      <c r="W826" t="s">
        <v>231</v>
      </c>
      <c r="X826" t="s">
        <v>5088</v>
      </c>
      <c r="Y826" t="s">
        <v>231</v>
      </c>
      <c r="Z826" t="s">
        <v>160</v>
      </c>
      <c r="AA826" t="s">
        <v>151</v>
      </c>
      <c r="AB826" t="s">
        <v>151</v>
      </c>
      <c r="AC826" t="s">
        <v>343</v>
      </c>
      <c r="AD826" t="s">
        <v>343</v>
      </c>
      <c r="AE826" t="s">
        <v>344</v>
      </c>
      <c r="AF826" t="s">
        <v>3561</v>
      </c>
      <c r="AG826" t="s">
        <v>3562</v>
      </c>
      <c r="AH826" t="s">
        <v>5345</v>
      </c>
      <c r="AI826" t="s">
        <v>5346</v>
      </c>
      <c r="AJ826" t="s">
        <v>3546</v>
      </c>
      <c r="AK826" t="s">
        <v>3641</v>
      </c>
      <c r="AL826" t="s">
        <v>5092</v>
      </c>
      <c r="AN826" t="s">
        <v>3532</v>
      </c>
      <c r="AO826" t="s">
        <v>5347</v>
      </c>
      <c r="AP826" t="s">
        <v>231</v>
      </c>
      <c r="AQ826" t="s">
        <v>231</v>
      </c>
      <c r="AR826" t="s">
        <v>231</v>
      </c>
      <c r="AS826" t="s">
        <v>231</v>
      </c>
      <c r="AT826" t="s">
        <v>231</v>
      </c>
      <c r="AU826" t="s">
        <v>231</v>
      </c>
      <c r="AV826" t="s">
        <v>231</v>
      </c>
      <c r="AW826" t="s">
        <v>231</v>
      </c>
      <c r="AX826" t="s">
        <v>231</v>
      </c>
      <c r="AY826" t="s">
        <v>231</v>
      </c>
      <c r="AZ826" t="s">
        <v>231</v>
      </c>
      <c r="BA826" t="s">
        <v>231</v>
      </c>
      <c r="BB826" t="s">
        <v>231</v>
      </c>
      <c r="BC826" t="s">
        <v>231</v>
      </c>
      <c r="BD826" t="s">
        <v>231</v>
      </c>
      <c r="BE826" t="s">
        <v>231</v>
      </c>
      <c r="BF826" t="s">
        <v>231</v>
      </c>
      <c r="BG826" t="s">
        <v>231</v>
      </c>
      <c r="BH826" t="s">
        <v>231</v>
      </c>
      <c r="BI826" t="s">
        <v>231</v>
      </c>
      <c r="BJ826" t="s">
        <v>231</v>
      </c>
      <c r="BK826" t="s">
        <v>231</v>
      </c>
      <c r="BL826" t="s">
        <v>231</v>
      </c>
      <c r="BM826" t="s">
        <v>231</v>
      </c>
      <c r="BN826" t="s">
        <v>231</v>
      </c>
      <c r="BO826" t="s">
        <v>231</v>
      </c>
      <c r="BP826" t="s">
        <v>231</v>
      </c>
      <c r="BQ826" t="s">
        <v>231</v>
      </c>
      <c r="BR826" t="s">
        <v>231</v>
      </c>
      <c r="BS826" t="s">
        <v>231</v>
      </c>
      <c r="BT826" t="s">
        <v>231</v>
      </c>
      <c r="CS826" t="s">
        <v>231</v>
      </c>
      <c r="CT826" t="s">
        <v>3534</v>
      </c>
      <c r="CU826" t="s">
        <v>3535</v>
      </c>
      <c r="CV826" t="s">
        <v>3536</v>
      </c>
      <c r="CW826" t="s">
        <v>3569</v>
      </c>
      <c r="CX826" t="s">
        <v>223</v>
      </c>
      <c r="CY826" t="s">
        <v>3536</v>
      </c>
      <c r="CZ826" t="s">
        <v>224</v>
      </c>
      <c r="DA826" t="s">
        <v>3571</v>
      </c>
      <c r="DB826" t="s">
        <v>5348</v>
      </c>
      <c r="DC826" t="s">
        <v>363</v>
      </c>
      <c r="DD826" t="s">
        <v>5099</v>
      </c>
      <c r="DE826" t="s">
        <v>5349</v>
      </c>
    </row>
    <row r="827" spans="1:109" ht="11.25" customHeight="1">
      <c r="A827" s="1314" t="s">
        <v>231</v>
      </c>
      <c r="B827" t="s">
        <v>231</v>
      </c>
      <c r="C827" t="s">
        <v>231</v>
      </c>
      <c r="D827" t="s">
        <v>231</v>
      </c>
      <c r="E827" t="s">
        <v>231</v>
      </c>
      <c r="F827" t="s">
        <v>231</v>
      </c>
      <c r="G827" t="s">
        <v>231</v>
      </c>
      <c r="H827" t="s">
        <v>231</v>
      </c>
      <c r="I827" t="s">
        <v>5086</v>
      </c>
      <c r="J827" t="s">
        <v>231</v>
      </c>
      <c r="K827" t="s">
        <v>231</v>
      </c>
      <c r="L827" t="s">
        <v>231</v>
      </c>
      <c r="M827" t="s">
        <v>231</v>
      </c>
      <c r="N827" t="s">
        <v>231</v>
      </c>
      <c r="O827" t="s">
        <v>231</v>
      </c>
      <c r="P827" t="s">
        <v>231</v>
      </c>
      <c r="Q827" t="s">
        <v>231</v>
      </c>
      <c r="R827" t="s">
        <v>5350</v>
      </c>
      <c r="S827" t="s">
        <v>231</v>
      </c>
      <c r="T827" t="s">
        <v>231</v>
      </c>
      <c r="U827" t="s">
        <v>101</v>
      </c>
      <c r="V827" t="s">
        <v>231</v>
      </c>
      <c r="W827" t="s">
        <v>231</v>
      </c>
      <c r="X827" t="s">
        <v>5088</v>
      </c>
      <c r="Y827" t="s">
        <v>231</v>
      </c>
      <c r="Z827" t="s">
        <v>160</v>
      </c>
      <c r="AA827" t="s">
        <v>151</v>
      </c>
      <c r="AB827" t="s">
        <v>151</v>
      </c>
      <c r="AC827" t="s">
        <v>343</v>
      </c>
      <c r="AD827" t="s">
        <v>343</v>
      </c>
      <c r="AE827" t="s">
        <v>344</v>
      </c>
      <c r="AF827" t="s">
        <v>3561</v>
      </c>
      <c r="AG827" t="s">
        <v>3562</v>
      </c>
      <c r="AH827" t="s">
        <v>5345</v>
      </c>
      <c r="AI827" t="s">
        <v>321</v>
      </c>
      <c r="AJ827" t="s">
        <v>5351</v>
      </c>
      <c r="AK827" t="s">
        <v>5352</v>
      </c>
      <c r="AL827" t="s">
        <v>5092</v>
      </c>
      <c r="AN827" t="s">
        <v>3532</v>
      </c>
      <c r="AO827" t="s">
        <v>5347</v>
      </c>
      <c r="AP827" t="s">
        <v>231</v>
      </c>
      <c r="AQ827" t="s">
        <v>231</v>
      </c>
      <c r="AR827" t="s">
        <v>231</v>
      </c>
      <c r="AS827" t="s">
        <v>231</v>
      </c>
      <c r="AT827" t="s">
        <v>231</v>
      </c>
      <c r="AU827" t="s">
        <v>231</v>
      </c>
      <c r="AV827" t="s">
        <v>231</v>
      </c>
      <c r="AW827" t="s">
        <v>231</v>
      </c>
      <c r="AX827" t="s">
        <v>231</v>
      </c>
      <c r="AY827" t="s">
        <v>231</v>
      </c>
      <c r="AZ827" t="s">
        <v>231</v>
      </c>
      <c r="BA827" t="s">
        <v>231</v>
      </c>
      <c r="BB827" t="s">
        <v>231</v>
      </c>
      <c r="BC827" t="s">
        <v>231</v>
      </c>
      <c r="BD827" t="s">
        <v>231</v>
      </c>
      <c r="BE827" t="s">
        <v>231</v>
      </c>
      <c r="BF827" t="s">
        <v>231</v>
      </c>
      <c r="BG827" t="s">
        <v>231</v>
      </c>
      <c r="BH827" t="s">
        <v>231</v>
      </c>
      <c r="BI827" t="s">
        <v>231</v>
      </c>
      <c r="BJ827" t="s">
        <v>231</v>
      </c>
      <c r="BK827" t="s">
        <v>231</v>
      </c>
      <c r="BL827" t="s">
        <v>231</v>
      </c>
      <c r="BM827" t="s">
        <v>231</v>
      </c>
      <c r="BN827" t="s">
        <v>231</v>
      </c>
      <c r="BO827" t="s">
        <v>231</v>
      </c>
      <c r="BP827" t="s">
        <v>231</v>
      </c>
      <c r="BQ827" t="s">
        <v>231</v>
      </c>
      <c r="BR827" t="s">
        <v>231</v>
      </c>
      <c r="BS827" t="s">
        <v>231</v>
      </c>
      <c r="BT827" t="s">
        <v>231</v>
      </c>
      <c r="CS827" t="s">
        <v>231</v>
      </c>
      <c r="CT827" t="s">
        <v>3534</v>
      </c>
      <c r="CU827" t="s">
        <v>3535</v>
      </c>
      <c r="CV827" t="s">
        <v>3536</v>
      </c>
      <c r="CW827" t="s">
        <v>3569</v>
      </c>
      <c r="CX827" t="s">
        <v>223</v>
      </c>
      <c r="CY827" t="s">
        <v>3536</v>
      </c>
      <c r="CZ827" t="s">
        <v>224</v>
      </c>
      <c r="DA827" t="s">
        <v>3571</v>
      </c>
      <c r="DB827" t="s">
        <v>5348</v>
      </c>
      <c r="DC827" t="s">
        <v>363</v>
      </c>
      <c r="DD827" t="s">
        <v>5099</v>
      </c>
      <c r="DE827" t="s">
        <v>5353</v>
      </c>
    </row>
    <row r="828" spans="1:109" ht="11.25" customHeight="1">
      <c r="A828" s="1314" t="s">
        <v>231</v>
      </c>
      <c r="B828" t="s">
        <v>231</v>
      </c>
      <c r="C828" t="s">
        <v>231</v>
      </c>
      <c r="D828" t="s">
        <v>231</v>
      </c>
      <c r="E828" t="s">
        <v>231</v>
      </c>
      <c r="F828" t="s">
        <v>231</v>
      </c>
      <c r="G828" t="s">
        <v>231</v>
      </c>
      <c r="H828" t="s">
        <v>231</v>
      </c>
      <c r="I828" t="s">
        <v>5086</v>
      </c>
      <c r="J828" t="s">
        <v>231</v>
      </c>
      <c r="K828" t="s">
        <v>231</v>
      </c>
      <c r="L828" t="s">
        <v>231</v>
      </c>
      <c r="M828" t="s">
        <v>231</v>
      </c>
      <c r="N828" t="s">
        <v>231</v>
      </c>
      <c r="O828" t="s">
        <v>231</v>
      </c>
      <c r="P828" t="s">
        <v>231</v>
      </c>
      <c r="Q828" t="s">
        <v>231</v>
      </c>
      <c r="R828" t="s">
        <v>5321</v>
      </c>
      <c r="S828" t="s">
        <v>231</v>
      </c>
      <c r="T828" t="s">
        <v>231</v>
      </c>
      <c r="U828" t="s">
        <v>101</v>
      </c>
      <c r="V828" t="s">
        <v>231</v>
      </c>
      <c r="W828" t="s">
        <v>231</v>
      </c>
      <c r="X828" t="s">
        <v>5088</v>
      </c>
      <c r="Y828" t="s">
        <v>231</v>
      </c>
      <c r="Z828" t="s">
        <v>160</v>
      </c>
      <c r="AA828" t="s">
        <v>151</v>
      </c>
      <c r="AB828" t="s">
        <v>151</v>
      </c>
      <c r="AC828" t="s">
        <v>2262</v>
      </c>
      <c r="AD828" t="s">
        <v>2262</v>
      </c>
      <c r="AE828" t="s">
        <v>2264</v>
      </c>
      <c r="AF828" t="s">
        <v>3524</v>
      </c>
      <c r="AG828" t="s">
        <v>3525</v>
      </c>
      <c r="AH828" t="s">
        <v>3526</v>
      </c>
      <c r="AI828" t="s">
        <v>5322</v>
      </c>
      <c r="AJ828" t="s">
        <v>3621</v>
      </c>
      <c r="AK828" t="s">
        <v>3820</v>
      </c>
      <c r="AL828" t="s">
        <v>5092</v>
      </c>
      <c r="AN828" t="s">
        <v>5323</v>
      </c>
      <c r="AO828" t="s">
        <v>3679</v>
      </c>
      <c r="AP828" t="s">
        <v>231</v>
      </c>
      <c r="AQ828" t="s">
        <v>231</v>
      </c>
      <c r="AR828" t="s">
        <v>231</v>
      </c>
      <c r="AS828" t="s">
        <v>231</v>
      </c>
      <c r="AT828" t="s">
        <v>231</v>
      </c>
      <c r="AU828" t="s">
        <v>231</v>
      </c>
      <c r="AV828" t="s">
        <v>231</v>
      </c>
      <c r="AW828" t="s">
        <v>231</v>
      </c>
      <c r="AX828" t="s">
        <v>231</v>
      </c>
      <c r="AY828" t="s">
        <v>231</v>
      </c>
      <c r="AZ828" t="s">
        <v>231</v>
      </c>
      <c r="BA828" t="s">
        <v>231</v>
      </c>
      <c r="BB828" t="s">
        <v>231</v>
      </c>
      <c r="BC828" t="s">
        <v>231</v>
      </c>
      <c r="BD828" t="s">
        <v>231</v>
      </c>
      <c r="BE828" t="s">
        <v>231</v>
      </c>
      <c r="BF828" t="s">
        <v>231</v>
      </c>
      <c r="BG828" t="s">
        <v>231</v>
      </c>
      <c r="BH828" t="s">
        <v>231</v>
      </c>
      <c r="BI828" t="s">
        <v>231</v>
      </c>
      <c r="BJ828" t="s">
        <v>231</v>
      </c>
      <c r="BK828" t="s">
        <v>231</v>
      </c>
      <c r="BL828" t="s">
        <v>231</v>
      </c>
      <c r="BM828" t="s">
        <v>231</v>
      </c>
      <c r="BN828" t="s">
        <v>231</v>
      </c>
      <c r="BO828" t="s">
        <v>231</v>
      </c>
      <c r="BP828" t="s">
        <v>231</v>
      </c>
      <c r="BQ828" t="s">
        <v>231</v>
      </c>
      <c r="BR828" t="s">
        <v>231</v>
      </c>
      <c r="BS828" t="s">
        <v>231</v>
      </c>
      <c r="BT828" t="s">
        <v>231</v>
      </c>
      <c r="CS828" t="s">
        <v>231</v>
      </c>
      <c r="CT828" t="s">
        <v>3534</v>
      </c>
      <c r="CU828" t="s">
        <v>3535</v>
      </c>
      <c r="CV828" t="s">
        <v>3536</v>
      </c>
      <c r="CW828" t="s">
        <v>3537</v>
      </c>
      <c r="CX828" t="s">
        <v>223</v>
      </c>
      <c r="CY828" t="s">
        <v>3536</v>
      </c>
      <c r="CZ828" t="s">
        <v>3538</v>
      </c>
      <c r="DA828" t="s">
        <v>3539</v>
      </c>
      <c r="DB828" t="s">
        <v>3537</v>
      </c>
      <c r="DC828" t="s">
        <v>363</v>
      </c>
      <c r="DD828" t="s">
        <v>5099</v>
      </c>
      <c r="DE828" t="s">
        <v>5324</v>
      </c>
    </row>
    <row r="829" spans="1:109" ht="11.25" customHeight="1">
      <c r="A829" s="1314" t="s">
        <v>231</v>
      </c>
      <c r="B829" t="s">
        <v>231</v>
      </c>
      <c r="C829" t="s">
        <v>231</v>
      </c>
      <c r="D829" t="s">
        <v>231</v>
      </c>
      <c r="E829" t="s">
        <v>231</v>
      </c>
      <c r="F829" t="s">
        <v>231</v>
      </c>
      <c r="G829" t="s">
        <v>231</v>
      </c>
      <c r="H829" t="s">
        <v>231</v>
      </c>
      <c r="I829" t="s">
        <v>5086</v>
      </c>
      <c r="J829" t="s">
        <v>231</v>
      </c>
      <c r="K829" t="s">
        <v>231</v>
      </c>
      <c r="L829" t="s">
        <v>231</v>
      </c>
      <c r="M829" t="s">
        <v>231</v>
      </c>
      <c r="N829" t="s">
        <v>231</v>
      </c>
      <c r="O829" t="s">
        <v>231</v>
      </c>
      <c r="P829" t="s">
        <v>231</v>
      </c>
      <c r="Q829" t="s">
        <v>231</v>
      </c>
      <c r="R829" t="s">
        <v>5325</v>
      </c>
      <c r="S829" t="s">
        <v>231</v>
      </c>
      <c r="T829" t="s">
        <v>231</v>
      </c>
      <c r="U829" t="s">
        <v>101</v>
      </c>
      <c r="V829" t="s">
        <v>231</v>
      </c>
      <c r="W829" t="s">
        <v>231</v>
      </c>
      <c r="X829" t="s">
        <v>5088</v>
      </c>
      <c r="Y829" t="s">
        <v>231</v>
      </c>
      <c r="Z829" t="s">
        <v>160</v>
      </c>
      <c r="AA829" t="s">
        <v>151</v>
      </c>
      <c r="AB829" t="s">
        <v>151</v>
      </c>
      <c r="AC829" t="s">
        <v>2262</v>
      </c>
      <c r="AD829" t="s">
        <v>2262</v>
      </c>
      <c r="AE829" t="s">
        <v>2264</v>
      </c>
      <c r="AF829" t="s">
        <v>3524</v>
      </c>
      <c r="AG829" t="s">
        <v>3525</v>
      </c>
      <c r="AH829" t="s">
        <v>5326</v>
      </c>
      <c r="AI829" t="s">
        <v>5327</v>
      </c>
      <c r="AJ829" t="s">
        <v>3621</v>
      </c>
      <c r="AK829" t="s">
        <v>3820</v>
      </c>
      <c r="AL829" t="s">
        <v>5092</v>
      </c>
      <c r="AN829" t="s">
        <v>3710</v>
      </c>
      <c r="AO829" t="s">
        <v>3812</v>
      </c>
      <c r="AP829" t="s">
        <v>231</v>
      </c>
      <c r="AQ829" t="s">
        <v>231</v>
      </c>
      <c r="AR829" t="s">
        <v>231</v>
      </c>
      <c r="AS829" t="s">
        <v>231</v>
      </c>
      <c r="AT829" t="s">
        <v>231</v>
      </c>
      <c r="AU829" t="s">
        <v>231</v>
      </c>
      <c r="AV829" t="s">
        <v>231</v>
      </c>
      <c r="AW829" t="s">
        <v>231</v>
      </c>
      <c r="AX829" t="s">
        <v>231</v>
      </c>
      <c r="AY829" t="s">
        <v>231</v>
      </c>
      <c r="AZ829" t="s">
        <v>231</v>
      </c>
      <c r="BA829" t="s">
        <v>231</v>
      </c>
      <c r="BB829" t="s">
        <v>231</v>
      </c>
      <c r="BC829" t="s">
        <v>231</v>
      </c>
      <c r="BD829" t="s">
        <v>231</v>
      </c>
      <c r="BE829" t="s">
        <v>231</v>
      </c>
      <c r="BF829" t="s">
        <v>231</v>
      </c>
      <c r="BG829" t="s">
        <v>231</v>
      </c>
      <c r="BH829" t="s">
        <v>231</v>
      </c>
      <c r="BI829" t="s">
        <v>231</v>
      </c>
      <c r="BJ829" t="s">
        <v>231</v>
      </c>
      <c r="BK829" t="s">
        <v>231</v>
      </c>
      <c r="BL829" t="s">
        <v>231</v>
      </c>
      <c r="BM829" t="s">
        <v>231</v>
      </c>
      <c r="BN829" t="s">
        <v>231</v>
      </c>
      <c r="BO829" t="s">
        <v>231</v>
      </c>
      <c r="BP829" t="s">
        <v>231</v>
      </c>
      <c r="BQ829" t="s">
        <v>231</v>
      </c>
      <c r="BR829" t="s">
        <v>231</v>
      </c>
      <c r="BS829" t="s">
        <v>231</v>
      </c>
      <c r="BT829" t="s">
        <v>231</v>
      </c>
      <c r="CS829" t="s">
        <v>231</v>
      </c>
      <c r="CT829" t="s">
        <v>3534</v>
      </c>
      <c r="CU829" t="s">
        <v>3535</v>
      </c>
      <c r="CV829" t="s">
        <v>3536</v>
      </c>
      <c r="CW829" t="s">
        <v>3537</v>
      </c>
      <c r="CX829" t="s">
        <v>223</v>
      </c>
      <c r="CY829" t="s">
        <v>3536</v>
      </c>
      <c r="CZ829" t="s">
        <v>3538</v>
      </c>
      <c r="DA829" t="s">
        <v>3539</v>
      </c>
      <c r="DB829" t="s">
        <v>3537</v>
      </c>
      <c r="DC829" t="s">
        <v>363</v>
      </c>
      <c r="DD829" t="s">
        <v>5099</v>
      </c>
      <c r="DE829" t="s">
        <v>5328</v>
      </c>
    </row>
    <row r="830" spans="1:109" ht="11.25" customHeight="1">
      <c r="A830" s="1314" t="s">
        <v>231</v>
      </c>
      <c r="B830" t="s">
        <v>231</v>
      </c>
      <c r="C830" t="s">
        <v>231</v>
      </c>
      <c r="D830" t="s">
        <v>231</v>
      </c>
      <c r="E830" t="s">
        <v>231</v>
      </c>
      <c r="F830" t="s">
        <v>231</v>
      </c>
      <c r="G830" t="s">
        <v>231</v>
      </c>
      <c r="H830" t="s">
        <v>231</v>
      </c>
      <c r="I830" t="s">
        <v>5086</v>
      </c>
      <c r="J830" t="s">
        <v>231</v>
      </c>
      <c r="K830" t="s">
        <v>231</v>
      </c>
      <c r="L830" t="s">
        <v>231</v>
      </c>
      <c r="M830" t="s">
        <v>231</v>
      </c>
      <c r="N830" t="s">
        <v>231</v>
      </c>
      <c r="O830" t="s">
        <v>231</v>
      </c>
      <c r="P830" t="s">
        <v>231</v>
      </c>
      <c r="Q830" t="s">
        <v>231</v>
      </c>
      <c r="R830" t="s">
        <v>5333</v>
      </c>
      <c r="S830" t="s">
        <v>231</v>
      </c>
      <c r="T830" t="s">
        <v>231</v>
      </c>
      <c r="U830" t="s">
        <v>101</v>
      </c>
      <c r="V830" t="s">
        <v>231</v>
      </c>
      <c r="W830" t="s">
        <v>231</v>
      </c>
      <c r="X830" t="s">
        <v>5088</v>
      </c>
      <c r="Y830" t="s">
        <v>231</v>
      </c>
      <c r="Z830" t="s">
        <v>160</v>
      </c>
      <c r="AA830" t="s">
        <v>151</v>
      </c>
      <c r="AB830" t="s">
        <v>151</v>
      </c>
      <c r="AC830" t="s">
        <v>2262</v>
      </c>
      <c r="AD830" t="s">
        <v>2262</v>
      </c>
      <c r="AE830" t="s">
        <v>2264</v>
      </c>
      <c r="AF830" t="s">
        <v>3524</v>
      </c>
      <c r="AG830" t="s">
        <v>3525</v>
      </c>
      <c r="AH830" t="s">
        <v>5334</v>
      </c>
      <c r="AI830" t="s">
        <v>4684</v>
      </c>
      <c r="AJ830" t="s">
        <v>3529</v>
      </c>
      <c r="AK830" t="s">
        <v>5239</v>
      </c>
      <c r="AL830" t="s">
        <v>5092</v>
      </c>
      <c r="AN830" t="s">
        <v>3951</v>
      </c>
      <c r="AO830" t="s">
        <v>5335</v>
      </c>
      <c r="AP830" t="s">
        <v>231</v>
      </c>
      <c r="AQ830" t="s">
        <v>231</v>
      </c>
      <c r="AR830" t="s">
        <v>231</v>
      </c>
      <c r="AS830" t="s">
        <v>231</v>
      </c>
      <c r="AT830" t="s">
        <v>231</v>
      </c>
      <c r="AU830" t="s">
        <v>231</v>
      </c>
      <c r="AV830" t="s">
        <v>231</v>
      </c>
      <c r="AW830" t="s">
        <v>231</v>
      </c>
      <c r="AX830" t="s">
        <v>231</v>
      </c>
      <c r="AY830" t="s">
        <v>231</v>
      </c>
      <c r="AZ830" t="s">
        <v>231</v>
      </c>
      <c r="BA830" t="s">
        <v>231</v>
      </c>
      <c r="BB830" t="s">
        <v>231</v>
      </c>
      <c r="BC830" t="s">
        <v>231</v>
      </c>
      <c r="BD830" t="s">
        <v>231</v>
      </c>
      <c r="BE830" t="s">
        <v>231</v>
      </c>
      <c r="BF830" t="s">
        <v>231</v>
      </c>
      <c r="BG830" t="s">
        <v>231</v>
      </c>
      <c r="BH830" t="s">
        <v>231</v>
      </c>
      <c r="BI830" t="s">
        <v>231</v>
      </c>
      <c r="BJ830" t="s">
        <v>231</v>
      </c>
      <c r="BK830" t="s">
        <v>231</v>
      </c>
      <c r="BL830" t="s">
        <v>231</v>
      </c>
      <c r="BM830" t="s">
        <v>231</v>
      </c>
      <c r="BN830" t="s">
        <v>231</v>
      </c>
      <c r="BO830" t="s">
        <v>231</v>
      </c>
      <c r="BP830" t="s">
        <v>231</v>
      </c>
      <c r="BQ830" t="s">
        <v>231</v>
      </c>
      <c r="BR830" t="s">
        <v>231</v>
      </c>
      <c r="BS830" t="s">
        <v>231</v>
      </c>
      <c r="BT830" t="s">
        <v>231</v>
      </c>
      <c r="CS830" t="s">
        <v>231</v>
      </c>
      <c r="CT830" t="s">
        <v>3534</v>
      </c>
      <c r="CU830" t="s">
        <v>3535</v>
      </c>
      <c r="CV830" t="s">
        <v>3536</v>
      </c>
      <c r="CW830" t="s">
        <v>3537</v>
      </c>
      <c r="CX830" t="s">
        <v>223</v>
      </c>
      <c r="CY830" t="s">
        <v>3536</v>
      </c>
      <c r="CZ830" t="s">
        <v>3538</v>
      </c>
      <c r="DA830" t="s">
        <v>3539</v>
      </c>
      <c r="DB830" t="s">
        <v>3537</v>
      </c>
      <c r="DC830" t="s">
        <v>363</v>
      </c>
      <c r="DD830" t="s">
        <v>5099</v>
      </c>
      <c r="DE830" t="s">
        <v>5336</v>
      </c>
    </row>
    <row r="831" spans="1:109" ht="11.25" customHeight="1">
      <c r="A831" s="1314" t="s">
        <v>231</v>
      </c>
      <c r="B831" t="s">
        <v>231</v>
      </c>
      <c r="C831" t="s">
        <v>231</v>
      </c>
      <c r="D831" t="s">
        <v>231</v>
      </c>
      <c r="E831" t="s">
        <v>231</v>
      </c>
      <c r="F831" t="s">
        <v>231</v>
      </c>
      <c r="G831" t="s">
        <v>231</v>
      </c>
      <c r="H831" t="s">
        <v>231</v>
      </c>
      <c r="I831" t="s">
        <v>5086</v>
      </c>
      <c r="J831" t="s">
        <v>231</v>
      </c>
      <c r="K831" t="s">
        <v>231</v>
      </c>
      <c r="L831" t="s">
        <v>231</v>
      </c>
      <c r="M831" t="s">
        <v>231</v>
      </c>
      <c r="N831" t="s">
        <v>231</v>
      </c>
      <c r="O831" t="s">
        <v>231</v>
      </c>
      <c r="P831" t="s">
        <v>231</v>
      </c>
      <c r="Q831" t="s">
        <v>231</v>
      </c>
      <c r="R831" t="s">
        <v>5459</v>
      </c>
      <c r="S831" t="s">
        <v>231</v>
      </c>
      <c r="T831" t="s">
        <v>231</v>
      </c>
      <c r="U831" t="s">
        <v>101</v>
      </c>
      <c r="V831" t="s">
        <v>231</v>
      </c>
      <c r="W831" t="s">
        <v>231</v>
      </c>
      <c r="X831" t="s">
        <v>5088</v>
      </c>
      <c r="Y831" t="s">
        <v>231</v>
      </c>
      <c r="Z831" t="s">
        <v>160</v>
      </c>
      <c r="AA831" t="s">
        <v>151</v>
      </c>
      <c r="AB831" t="s">
        <v>151</v>
      </c>
      <c r="AC831" t="s">
        <v>343</v>
      </c>
      <c r="AD831" t="s">
        <v>343</v>
      </c>
      <c r="AE831" t="s">
        <v>344</v>
      </c>
      <c r="AF831" t="s">
        <v>3561</v>
      </c>
      <c r="AG831" t="s">
        <v>3562</v>
      </c>
      <c r="AH831" t="s">
        <v>5460</v>
      </c>
      <c r="AI831" t="s">
        <v>5461</v>
      </c>
      <c r="AJ831" t="s">
        <v>3744</v>
      </c>
      <c r="AK831" t="s">
        <v>5462</v>
      </c>
      <c r="AL831" t="s">
        <v>5092</v>
      </c>
      <c r="AN831" t="s">
        <v>4331</v>
      </c>
      <c r="AO831" t="s">
        <v>4332</v>
      </c>
      <c r="AP831" t="s">
        <v>231</v>
      </c>
      <c r="AQ831" t="s">
        <v>231</v>
      </c>
      <c r="AR831" t="s">
        <v>231</v>
      </c>
      <c r="AS831" t="s">
        <v>231</v>
      </c>
      <c r="AT831" t="s">
        <v>231</v>
      </c>
      <c r="AU831" t="s">
        <v>231</v>
      </c>
      <c r="AV831" t="s">
        <v>231</v>
      </c>
      <c r="AW831" t="s">
        <v>231</v>
      </c>
      <c r="AX831" t="s">
        <v>231</v>
      </c>
      <c r="AY831" t="s">
        <v>231</v>
      </c>
      <c r="AZ831" t="s">
        <v>231</v>
      </c>
      <c r="BA831" t="s">
        <v>231</v>
      </c>
      <c r="BB831" t="s">
        <v>231</v>
      </c>
      <c r="BC831" t="s">
        <v>231</v>
      </c>
      <c r="BD831" t="s">
        <v>231</v>
      </c>
      <c r="BE831" t="s">
        <v>231</v>
      </c>
      <c r="BF831" t="s">
        <v>231</v>
      </c>
      <c r="BG831" t="s">
        <v>231</v>
      </c>
      <c r="BH831" t="s">
        <v>231</v>
      </c>
      <c r="BI831" t="s">
        <v>231</v>
      </c>
      <c r="BJ831" t="s">
        <v>231</v>
      </c>
      <c r="BK831" t="s">
        <v>231</v>
      </c>
      <c r="BL831" t="s">
        <v>231</v>
      </c>
      <c r="BM831" t="s">
        <v>231</v>
      </c>
      <c r="BN831" t="s">
        <v>231</v>
      </c>
      <c r="BO831" t="s">
        <v>231</v>
      </c>
      <c r="BP831" t="s">
        <v>231</v>
      </c>
      <c r="BQ831" t="s">
        <v>231</v>
      </c>
      <c r="BR831" t="s">
        <v>231</v>
      </c>
      <c r="BS831" t="s">
        <v>231</v>
      </c>
      <c r="BT831" t="s">
        <v>231</v>
      </c>
      <c r="CS831" t="s">
        <v>231</v>
      </c>
      <c r="CT831" t="s">
        <v>3534</v>
      </c>
      <c r="CU831" t="s">
        <v>3535</v>
      </c>
      <c r="CV831" t="s">
        <v>3536</v>
      </c>
      <c r="CW831" t="s">
        <v>3569</v>
      </c>
      <c r="CX831" t="s">
        <v>3570</v>
      </c>
      <c r="CY831" t="s">
        <v>3536</v>
      </c>
      <c r="CZ831" t="s">
        <v>224</v>
      </c>
      <c r="DA831" t="s">
        <v>3571</v>
      </c>
      <c r="DB831" t="s">
        <v>3569</v>
      </c>
      <c r="DC831" t="s">
        <v>363</v>
      </c>
      <c r="DD831" t="s">
        <v>5099</v>
      </c>
      <c r="DE831" t="s">
        <v>5463</v>
      </c>
    </row>
    <row r="832" spans="1:109" ht="11.25" customHeight="1">
      <c r="A832" s="1314" t="s">
        <v>231</v>
      </c>
      <c r="B832" t="s">
        <v>231</v>
      </c>
      <c r="C832" t="s">
        <v>231</v>
      </c>
      <c r="D832" t="s">
        <v>231</v>
      </c>
      <c r="E832" t="s">
        <v>231</v>
      </c>
      <c r="F832" t="s">
        <v>231</v>
      </c>
      <c r="G832" t="s">
        <v>231</v>
      </c>
      <c r="H832" t="s">
        <v>231</v>
      </c>
      <c r="I832" t="s">
        <v>5086</v>
      </c>
      <c r="J832" t="s">
        <v>231</v>
      </c>
      <c r="K832" t="s">
        <v>231</v>
      </c>
      <c r="L832" t="s">
        <v>231</v>
      </c>
      <c r="M832" t="s">
        <v>231</v>
      </c>
      <c r="N832" t="s">
        <v>231</v>
      </c>
      <c r="O832" t="s">
        <v>231</v>
      </c>
      <c r="P832" t="s">
        <v>231</v>
      </c>
      <c r="Q832" t="s">
        <v>231</v>
      </c>
      <c r="R832" t="s">
        <v>5354</v>
      </c>
      <c r="S832" t="s">
        <v>231</v>
      </c>
      <c r="T832" t="s">
        <v>231</v>
      </c>
      <c r="U832" t="s">
        <v>101</v>
      </c>
      <c r="V832" t="s">
        <v>231</v>
      </c>
      <c r="W832" t="s">
        <v>231</v>
      </c>
      <c r="X832" t="s">
        <v>5088</v>
      </c>
      <c r="Y832" t="s">
        <v>231</v>
      </c>
      <c r="Z832" t="s">
        <v>160</v>
      </c>
      <c r="AA832" t="s">
        <v>151</v>
      </c>
      <c r="AB832" t="s">
        <v>151</v>
      </c>
      <c r="AC832" t="s">
        <v>343</v>
      </c>
      <c r="AD832" t="s">
        <v>343</v>
      </c>
      <c r="AE832" t="s">
        <v>344</v>
      </c>
      <c r="AF832" t="s">
        <v>3561</v>
      </c>
      <c r="AG832" t="s">
        <v>3562</v>
      </c>
      <c r="AH832" t="s">
        <v>5355</v>
      </c>
      <c r="AI832" t="s">
        <v>3618</v>
      </c>
      <c r="AJ832" t="s">
        <v>5356</v>
      </c>
      <c r="AK832" t="s">
        <v>5357</v>
      </c>
      <c r="AL832" t="s">
        <v>5092</v>
      </c>
      <c r="AN832" t="s">
        <v>3532</v>
      </c>
      <c r="AO832" t="s">
        <v>5358</v>
      </c>
      <c r="AP832" t="s">
        <v>231</v>
      </c>
      <c r="AQ832" t="s">
        <v>231</v>
      </c>
      <c r="AR832" t="s">
        <v>231</v>
      </c>
      <c r="AS832" t="s">
        <v>231</v>
      </c>
      <c r="AT832" t="s">
        <v>231</v>
      </c>
      <c r="AU832" t="s">
        <v>231</v>
      </c>
      <c r="AV832" t="s">
        <v>231</v>
      </c>
      <c r="AW832" t="s">
        <v>231</v>
      </c>
      <c r="AX832" t="s">
        <v>231</v>
      </c>
      <c r="AY832" t="s">
        <v>231</v>
      </c>
      <c r="AZ832" t="s">
        <v>231</v>
      </c>
      <c r="BA832" t="s">
        <v>231</v>
      </c>
      <c r="BB832" t="s">
        <v>231</v>
      </c>
      <c r="BC832" t="s">
        <v>231</v>
      </c>
      <c r="BD832" t="s">
        <v>231</v>
      </c>
      <c r="BE832" t="s">
        <v>231</v>
      </c>
      <c r="BF832" t="s">
        <v>231</v>
      </c>
      <c r="BG832" t="s">
        <v>231</v>
      </c>
      <c r="BH832" t="s">
        <v>231</v>
      </c>
      <c r="BI832" t="s">
        <v>231</v>
      </c>
      <c r="BJ832" t="s">
        <v>231</v>
      </c>
      <c r="BK832" t="s">
        <v>231</v>
      </c>
      <c r="BL832" t="s">
        <v>231</v>
      </c>
      <c r="BM832" t="s">
        <v>231</v>
      </c>
      <c r="BN832" t="s">
        <v>231</v>
      </c>
      <c r="BO832" t="s">
        <v>231</v>
      </c>
      <c r="BP832" t="s">
        <v>231</v>
      </c>
      <c r="BQ832" t="s">
        <v>231</v>
      </c>
      <c r="BR832" t="s">
        <v>231</v>
      </c>
      <c r="BS832" t="s">
        <v>231</v>
      </c>
      <c r="BT832" t="s">
        <v>231</v>
      </c>
      <c r="CS832" t="s">
        <v>231</v>
      </c>
      <c r="CT832" t="s">
        <v>3534</v>
      </c>
      <c r="CU832" t="s">
        <v>3535</v>
      </c>
      <c r="CV832" t="s">
        <v>3536</v>
      </c>
      <c r="CW832" t="s">
        <v>3569</v>
      </c>
      <c r="CX832" t="s">
        <v>223</v>
      </c>
      <c r="CY832" t="s">
        <v>3536</v>
      </c>
      <c r="CZ832" t="s">
        <v>224</v>
      </c>
      <c r="DA832" t="s">
        <v>3571</v>
      </c>
      <c r="DB832" t="s">
        <v>5348</v>
      </c>
      <c r="DC832" t="s">
        <v>363</v>
      </c>
      <c r="DD832" t="s">
        <v>5099</v>
      </c>
      <c r="DE832" t="s">
        <v>5359</v>
      </c>
    </row>
    <row r="833" spans="1:109" ht="11.25" customHeight="1">
      <c r="A833" s="1314" t="s">
        <v>231</v>
      </c>
      <c r="B833" t="s">
        <v>231</v>
      </c>
      <c r="C833" t="s">
        <v>231</v>
      </c>
      <c r="D833" t="s">
        <v>231</v>
      </c>
      <c r="E833" t="s">
        <v>231</v>
      </c>
      <c r="F833" t="s">
        <v>231</v>
      </c>
      <c r="G833" t="s">
        <v>231</v>
      </c>
      <c r="H833" t="s">
        <v>231</v>
      </c>
      <c r="I833" t="s">
        <v>5086</v>
      </c>
      <c r="J833" t="s">
        <v>231</v>
      </c>
      <c r="K833" t="s">
        <v>231</v>
      </c>
      <c r="L833" t="s">
        <v>231</v>
      </c>
      <c r="M833" t="s">
        <v>231</v>
      </c>
      <c r="N833" t="s">
        <v>231</v>
      </c>
      <c r="O833" t="s">
        <v>231</v>
      </c>
      <c r="P833" t="s">
        <v>231</v>
      </c>
      <c r="Q833" t="s">
        <v>231</v>
      </c>
      <c r="R833" t="s">
        <v>5538</v>
      </c>
      <c r="S833" t="s">
        <v>231</v>
      </c>
      <c r="T833" t="s">
        <v>231</v>
      </c>
      <c r="U833" t="s">
        <v>101</v>
      </c>
      <c r="V833" t="s">
        <v>231</v>
      </c>
      <c r="W833" t="s">
        <v>231</v>
      </c>
      <c r="X833" t="s">
        <v>3955</v>
      </c>
      <c r="Y833" t="s">
        <v>231</v>
      </c>
      <c r="Z833" t="s">
        <v>151</v>
      </c>
      <c r="AA833" t="s">
        <v>160</v>
      </c>
      <c r="AB833" t="s">
        <v>151</v>
      </c>
      <c r="AC833" t="s">
        <v>343</v>
      </c>
      <c r="AD833" t="s">
        <v>343</v>
      </c>
      <c r="AE833" t="s">
        <v>344</v>
      </c>
      <c r="AF833" t="s">
        <v>3561</v>
      </c>
      <c r="AG833" t="s">
        <v>3562</v>
      </c>
      <c r="AH833" t="s">
        <v>5361</v>
      </c>
      <c r="AI833" t="s">
        <v>3575</v>
      </c>
      <c r="AJ833" t="s">
        <v>231</v>
      </c>
      <c r="AK833" t="s">
        <v>231</v>
      </c>
      <c r="AL833" t="s">
        <v>231</v>
      </c>
      <c r="AN833" t="s">
        <v>231</v>
      </c>
      <c r="AO833" t="s">
        <v>231</v>
      </c>
      <c r="AP833" t="s">
        <v>3621</v>
      </c>
      <c r="AQ833" t="s">
        <v>3641</v>
      </c>
      <c r="AR833" t="s">
        <v>111</v>
      </c>
      <c r="AS833" t="s">
        <v>3632</v>
      </c>
      <c r="AT833" t="s">
        <v>122</v>
      </c>
      <c r="AU833" t="s">
        <v>231</v>
      </c>
      <c r="AV833" t="s">
        <v>5538</v>
      </c>
      <c r="AW833" t="s">
        <v>343</v>
      </c>
      <c r="AX833" t="s">
        <v>343</v>
      </c>
      <c r="AY833" t="s">
        <v>3634</v>
      </c>
      <c r="AZ833" t="s">
        <v>3561</v>
      </c>
      <c r="BA833" t="s">
        <v>3635</v>
      </c>
      <c r="BB833" t="s">
        <v>5361</v>
      </c>
      <c r="BC833" t="s">
        <v>3575</v>
      </c>
      <c r="BD833" t="s">
        <v>3641</v>
      </c>
      <c r="BE833" t="s">
        <v>231</v>
      </c>
      <c r="BF833" t="s">
        <v>231</v>
      </c>
      <c r="BG833" t="s">
        <v>231</v>
      </c>
      <c r="BH833" t="s">
        <v>231</v>
      </c>
      <c r="BI833" t="s">
        <v>231</v>
      </c>
      <c r="BJ833" t="s">
        <v>231</v>
      </c>
      <c r="BK833" t="s">
        <v>231</v>
      </c>
      <c r="BL833" t="s">
        <v>231</v>
      </c>
      <c r="BM833" t="s">
        <v>231</v>
      </c>
      <c r="BN833" t="s">
        <v>231</v>
      </c>
      <c r="BO833" t="s">
        <v>231</v>
      </c>
      <c r="BP833" t="s">
        <v>231</v>
      </c>
      <c r="BQ833" t="s">
        <v>231</v>
      </c>
      <c r="BR833" t="s">
        <v>231</v>
      </c>
      <c r="BS833" t="s">
        <v>231</v>
      </c>
      <c r="BT833" t="s">
        <v>231</v>
      </c>
      <c r="CS833" t="s">
        <v>231</v>
      </c>
      <c r="CT833" t="s">
        <v>3534</v>
      </c>
      <c r="CU833" t="s">
        <v>5095</v>
      </c>
      <c r="CV833" t="s">
        <v>5539</v>
      </c>
      <c r="CW833" t="s">
        <v>5540</v>
      </c>
      <c r="CX833" t="s">
        <v>5541</v>
      </c>
      <c r="CY833" t="s">
        <v>5539</v>
      </c>
      <c r="CZ833" t="s">
        <v>5542</v>
      </c>
      <c r="DA833" t="s">
        <v>5543</v>
      </c>
      <c r="DB833" t="s">
        <v>5540</v>
      </c>
      <c r="DC833" t="s">
        <v>363</v>
      </c>
      <c r="DD833" t="s">
        <v>5099</v>
      </c>
      <c r="DE833" t="s">
        <v>5366</v>
      </c>
    </row>
    <row r="834" spans="1:109" ht="11.25" customHeight="1">
      <c r="A834" s="1314" t="s">
        <v>231</v>
      </c>
      <c r="B834" t="s">
        <v>231</v>
      </c>
      <c r="C834" t="s">
        <v>231</v>
      </c>
      <c r="D834" t="s">
        <v>231</v>
      </c>
      <c r="E834" t="s">
        <v>231</v>
      </c>
      <c r="F834" t="s">
        <v>231</v>
      </c>
      <c r="G834" t="s">
        <v>231</v>
      </c>
      <c r="H834" t="s">
        <v>231</v>
      </c>
      <c r="I834" t="s">
        <v>5086</v>
      </c>
      <c r="J834" t="s">
        <v>231</v>
      </c>
      <c r="K834" t="s">
        <v>231</v>
      </c>
      <c r="L834" t="s">
        <v>231</v>
      </c>
      <c r="M834" t="s">
        <v>231</v>
      </c>
      <c r="N834" t="s">
        <v>231</v>
      </c>
      <c r="O834" t="s">
        <v>231</v>
      </c>
      <c r="P834" t="s">
        <v>231</v>
      </c>
      <c r="Q834" t="s">
        <v>231</v>
      </c>
      <c r="R834" t="s">
        <v>5408</v>
      </c>
      <c r="S834" t="s">
        <v>231</v>
      </c>
      <c r="T834" t="s">
        <v>231</v>
      </c>
      <c r="U834" t="s">
        <v>101</v>
      </c>
      <c r="V834" t="s">
        <v>231</v>
      </c>
      <c r="W834" t="s">
        <v>231</v>
      </c>
      <c r="X834" t="s">
        <v>3955</v>
      </c>
      <c r="Y834" t="s">
        <v>231</v>
      </c>
      <c r="Z834" t="s">
        <v>151</v>
      </c>
      <c r="AA834" t="s">
        <v>160</v>
      </c>
      <c r="AB834" t="s">
        <v>151</v>
      </c>
      <c r="AC834" t="s">
        <v>2289</v>
      </c>
      <c r="AD834" t="s">
        <v>2289</v>
      </c>
      <c r="AE834" t="s">
        <v>2290</v>
      </c>
      <c r="AF834" t="s">
        <v>3793</v>
      </c>
      <c r="AG834" t="s">
        <v>3794</v>
      </c>
      <c r="AH834" t="s">
        <v>3688</v>
      </c>
      <c r="AI834" t="s">
        <v>3688</v>
      </c>
      <c r="AJ834" t="s">
        <v>231</v>
      </c>
      <c r="AK834" t="s">
        <v>231</v>
      </c>
      <c r="AL834" t="s">
        <v>231</v>
      </c>
      <c r="AN834" t="s">
        <v>231</v>
      </c>
      <c r="AO834" t="s">
        <v>231</v>
      </c>
      <c r="AP834" t="s">
        <v>5544</v>
      </c>
      <c r="AQ834" t="s">
        <v>3621</v>
      </c>
      <c r="AR834" t="s">
        <v>111</v>
      </c>
      <c r="AS834" t="s">
        <v>3632</v>
      </c>
      <c r="AT834" t="s">
        <v>122</v>
      </c>
      <c r="AU834" t="s">
        <v>231</v>
      </c>
      <c r="AV834" t="s">
        <v>5408</v>
      </c>
      <c r="AW834" t="s">
        <v>2289</v>
      </c>
      <c r="AX834" t="s">
        <v>2289</v>
      </c>
      <c r="AY834" t="s">
        <v>3707</v>
      </c>
      <c r="AZ834" t="s">
        <v>3793</v>
      </c>
      <c r="BA834" t="s">
        <v>4920</v>
      </c>
      <c r="BB834" t="s">
        <v>3688</v>
      </c>
      <c r="BC834" t="s">
        <v>3688</v>
      </c>
      <c r="BD834" t="s">
        <v>3621</v>
      </c>
      <c r="BE834" t="s">
        <v>231</v>
      </c>
      <c r="BF834" t="s">
        <v>231</v>
      </c>
      <c r="BG834" t="s">
        <v>231</v>
      </c>
      <c r="BH834" t="s">
        <v>231</v>
      </c>
      <c r="BI834" t="s">
        <v>231</v>
      </c>
      <c r="BJ834" t="s">
        <v>231</v>
      </c>
      <c r="BK834" t="s">
        <v>231</v>
      </c>
      <c r="BL834" t="s">
        <v>231</v>
      </c>
      <c r="BM834" t="s">
        <v>231</v>
      </c>
      <c r="BN834" t="s">
        <v>231</v>
      </c>
      <c r="BO834" t="s">
        <v>231</v>
      </c>
      <c r="BP834" t="s">
        <v>231</v>
      </c>
      <c r="BQ834" t="s">
        <v>231</v>
      </c>
      <c r="BR834" t="s">
        <v>231</v>
      </c>
      <c r="BS834" t="s">
        <v>231</v>
      </c>
      <c r="BT834" t="s">
        <v>231</v>
      </c>
      <c r="CS834" t="s">
        <v>231</v>
      </c>
      <c r="CT834" t="s">
        <v>3534</v>
      </c>
      <c r="CU834" t="s">
        <v>3535</v>
      </c>
      <c r="CV834" t="s">
        <v>3536</v>
      </c>
      <c r="CW834" t="s">
        <v>3589</v>
      </c>
      <c r="CX834" t="s">
        <v>223</v>
      </c>
      <c r="CY834" t="s">
        <v>3536</v>
      </c>
      <c r="CZ834" t="s">
        <v>3590</v>
      </c>
      <c r="DA834" t="s">
        <v>3591</v>
      </c>
      <c r="DB834" t="s">
        <v>3589</v>
      </c>
      <c r="DC834" t="s">
        <v>363</v>
      </c>
      <c r="DD834" t="s">
        <v>5099</v>
      </c>
      <c r="DE834" t="s">
        <v>5545</v>
      </c>
    </row>
    <row r="835" spans="1:109" ht="11.25" customHeight="1">
      <c r="A835" s="1314" t="s">
        <v>231</v>
      </c>
      <c r="B835" t="s">
        <v>231</v>
      </c>
      <c r="C835" t="s">
        <v>231</v>
      </c>
      <c r="D835" t="s">
        <v>231</v>
      </c>
      <c r="E835" t="s">
        <v>231</v>
      </c>
      <c r="F835" t="s">
        <v>231</v>
      </c>
      <c r="G835" t="s">
        <v>231</v>
      </c>
      <c r="H835" t="s">
        <v>231</v>
      </c>
      <c r="I835" t="s">
        <v>5086</v>
      </c>
      <c r="J835" t="s">
        <v>231</v>
      </c>
      <c r="K835" t="s">
        <v>231</v>
      </c>
      <c r="L835" t="s">
        <v>231</v>
      </c>
      <c r="M835" t="s">
        <v>231</v>
      </c>
      <c r="N835" t="s">
        <v>231</v>
      </c>
      <c r="O835" t="s">
        <v>231</v>
      </c>
      <c r="P835" t="s">
        <v>231</v>
      </c>
      <c r="Q835" t="s">
        <v>231</v>
      </c>
      <c r="R835" t="s">
        <v>5530</v>
      </c>
      <c r="S835" t="s">
        <v>231</v>
      </c>
      <c r="T835" t="s">
        <v>231</v>
      </c>
      <c r="U835" t="s">
        <v>101</v>
      </c>
      <c r="V835" t="s">
        <v>231</v>
      </c>
      <c r="W835" t="s">
        <v>231</v>
      </c>
      <c r="X835" t="s">
        <v>5088</v>
      </c>
      <c r="Y835" t="s">
        <v>231</v>
      </c>
      <c r="Z835" t="s">
        <v>160</v>
      </c>
      <c r="AA835" t="s">
        <v>151</v>
      </c>
      <c r="AB835" t="s">
        <v>151</v>
      </c>
      <c r="AC835" t="s">
        <v>2262</v>
      </c>
      <c r="AD835" t="s">
        <v>2262</v>
      </c>
      <c r="AE835" t="s">
        <v>2264</v>
      </c>
      <c r="AF835" t="s">
        <v>3524</v>
      </c>
      <c r="AG835" t="s">
        <v>3525</v>
      </c>
      <c r="AH835" t="s">
        <v>5531</v>
      </c>
      <c r="AI835" t="s">
        <v>5532</v>
      </c>
      <c r="AJ835" t="s">
        <v>5205</v>
      </c>
      <c r="AK835" t="s">
        <v>4042</v>
      </c>
      <c r="AL835" t="s">
        <v>5092</v>
      </c>
      <c r="AN835" t="s">
        <v>3701</v>
      </c>
      <c r="AO835" t="s">
        <v>3622</v>
      </c>
      <c r="AP835" t="s">
        <v>231</v>
      </c>
      <c r="AQ835" t="s">
        <v>231</v>
      </c>
      <c r="AR835" t="s">
        <v>231</v>
      </c>
      <c r="AS835" t="s">
        <v>231</v>
      </c>
      <c r="AT835" t="s">
        <v>231</v>
      </c>
      <c r="AU835" t="s">
        <v>231</v>
      </c>
      <c r="AV835" t="s">
        <v>231</v>
      </c>
      <c r="AW835" t="s">
        <v>231</v>
      </c>
      <c r="AX835" t="s">
        <v>231</v>
      </c>
      <c r="AY835" t="s">
        <v>231</v>
      </c>
      <c r="AZ835" t="s">
        <v>231</v>
      </c>
      <c r="BA835" t="s">
        <v>231</v>
      </c>
      <c r="BB835" t="s">
        <v>231</v>
      </c>
      <c r="BC835" t="s">
        <v>231</v>
      </c>
      <c r="BD835" t="s">
        <v>231</v>
      </c>
      <c r="BE835" t="s">
        <v>231</v>
      </c>
      <c r="BF835" t="s">
        <v>231</v>
      </c>
      <c r="BG835" t="s">
        <v>231</v>
      </c>
      <c r="BH835" t="s">
        <v>231</v>
      </c>
      <c r="BI835" t="s">
        <v>231</v>
      </c>
      <c r="BJ835" t="s">
        <v>231</v>
      </c>
      <c r="BK835" t="s">
        <v>231</v>
      </c>
      <c r="BL835" t="s">
        <v>231</v>
      </c>
      <c r="BM835" t="s">
        <v>231</v>
      </c>
      <c r="BN835" t="s">
        <v>231</v>
      </c>
      <c r="BO835" t="s">
        <v>231</v>
      </c>
      <c r="BP835" t="s">
        <v>231</v>
      </c>
      <c r="BQ835" t="s">
        <v>231</v>
      </c>
      <c r="BR835" t="s">
        <v>231</v>
      </c>
      <c r="BS835" t="s">
        <v>231</v>
      </c>
      <c r="BT835" t="s">
        <v>231</v>
      </c>
      <c r="CS835" t="s">
        <v>231</v>
      </c>
      <c r="CT835" t="s">
        <v>3534</v>
      </c>
      <c r="CU835" t="s">
        <v>3535</v>
      </c>
      <c r="CV835" t="s">
        <v>3536</v>
      </c>
      <c r="CW835" t="s">
        <v>3537</v>
      </c>
      <c r="CX835" t="s">
        <v>223</v>
      </c>
      <c r="CY835" t="s">
        <v>3536</v>
      </c>
      <c r="CZ835" t="s">
        <v>3538</v>
      </c>
      <c r="DA835" t="s">
        <v>3539</v>
      </c>
      <c r="DB835" t="s">
        <v>3537</v>
      </c>
      <c r="DC835" t="s">
        <v>363</v>
      </c>
      <c r="DD835" t="s">
        <v>5099</v>
      </c>
      <c r="DE835" t="s">
        <v>5533</v>
      </c>
    </row>
    <row r="836" spans="1:109" ht="11.25" customHeight="1">
      <c r="A836" s="1314" t="s">
        <v>231</v>
      </c>
      <c r="B836" t="s">
        <v>231</v>
      </c>
      <c r="C836" t="s">
        <v>231</v>
      </c>
      <c r="D836" t="s">
        <v>231</v>
      </c>
      <c r="E836" t="s">
        <v>231</v>
      </c>
      <c r="F836" t="s">
        <v>231</v>
      </c>
      <c r="G836" t="s">
        <v>231</v>
      </c>
      <c r="H836" t="s">
        <v>231</v>
      </c>
      <c r="I836" t="s">
        <v>5086</v>
      </c>
      <c r="J836" t="s">
        <v>231</v>
      </c>
      <c r="K836" t="s">
        <v>231</v>
      </c>
      <c r="L836" t="s">
        <v>231</v>
      </c>
      <c r="M836" t="s">
        <v>231</v>
      </c>
      <c r="N836" t="s">
        <v>231</v>
      </c>
      <c r="O836" t="s">
        <v>231</v>
      </c>
      <c r="P836" t="s">
        <v>231</v>
      </c>
      <c r="Q836" t="s">
        <v>231</v>
      </c>
      <c r="R836" t="s">
        <v>5108</v>
      </c>
      <c r="S836" t="s">
        <v>231</v>
      </c>
      <c r="T836" t="s">
        <v>231</v>
      </c>
      <c r="U836" t="s">
        <v>101</v>
      </c>
      <c r="V836" t="s">
        <v>231</v>
      </c>
      <c r="W836" t="s">
        <v>231</v>
      </c>
      <c r="X836" t="s">
        <v>5088</v>
      </c>
      <c r="Y836" t="s">
        <v>231</v>
      </c>
      <c r="Z836" t="s">
        <v>160</v>
      </c>
      <c r="AA836" t="s">
        <v>151</v>
      </c>
      <c r="AB836" t="s">
        <v>151</v>
      </c>
      <c r="AC836" t="s">
        <v>343</v>
      </c>
      <c r="AD836" t="s">
        <v>343</v>
      </c>
      <c r="AE836" t="s">
        <v>344</v>
      </c>
      <c r="AF836" t="s">
        <v>3561</v>
      </c>
      <c r="AG836" t="s">
        <v>3562</v>
      </c>
      <c r="AH836" t="s">
        <v>5109</v>
      </c>
      <c r="AI836" t="s">
        <v>5110</v>
      </c>
      <c r="AJ836" t="s">
        <v>3611</v>
      </c>
      <c r="AK836" t="s">
        <v>5111</v>
      </c>
      <c r="AL836" t="s">
        <v>5112</v>
      </c>
      <c r="AN836" t="s">
        <v>5113</v>
      </c>
      <c r="AO836" t="s">
        <v>5114</v>
      </c>
      <c r="AP836" t="s">
        <v>231</v>
      </c>
      <c r="AQ836" t="s">
        <v>231</v>
      </c>
      <c r="AR836" t="s">
        <v>231</v>
      </c>
      <c r="AS836" t="s">
        <v>231</v>
      </c>
      <c r="AT836" t="s">
        <v>231</v>
      </c>
      <c r="AU836" t="s">
        <v>231</v>
      </c>
      <c r="AV836" t="s">
        <v>231</v>
      </c>
      <c r="AW836" t="s">
        <v>231</v>
      </c>
      <c r="AX836" t="s">
        <v>231</v>
      </c>
      <c r="AY836" t="s">
        <v>231</v>
      </c>
      <c r="AZ836" t="s">
        <v>231</v>
      </c>
      <c r="BA836" t="s">
        <v>231</v>
      </c>
      <c r="BB836" t="s">
        <v>231</v>
      </c>
      <c r="BC836" t="s">
        <v>231</v>
      </c>
      <c r="BD836" t="s">
        <v>231</v>
      </c>
      <c r="BE836" t="s">
        <v>231</v>
      </c>
      <c r="BF836" t="s">
        <v>231</v>
      </c>
      <c r="BG836" t="s">
        <v>231</v>
      </c>
      <c r="BH836" t="s">
        <v>231</v>
      </c>
      <c r="BI836" t="s">
        <v>231</v>
      </c>
      <c r="BJ836" t="s">
        <v>231</v>
      </c>
      <c r="BK836" t="s">
        <v>231</v>
      </c>
      <c r="BL836" t="s">
        <v>231</v>
      </c>
      <c r="BM836" t="s">
        <v>231</v>
      </c>
      <c r="BN836" t="s">
        <v>231</v>
      </c>
      <c r="BO836" t="s">
        <v>231</v>
      </c>
      <c r="BP836" t="s">
        <v>231</v>
      </c>
      <c r="BQ836" t="s">
        <v>231</v>
      </c>
      <c r="BR836" t="s">
        <v>231</v>
      </c>
      <c r="BS836" t="s">
        <v>231</v>
      </c>
      <c r="BT836" t="s">
        <v>231</v>
      </c>
      <c r="CS836" t="s">
        <v>231</v>
      </c>
      <c r="CT836" t="s">
        <v>3534</v>
      </c>
      <c r="CU836" t="s">
        <v>5095</v>
      </c>
      <c r="CV836" t="s">
        <v>3997</v>
      </c>
      <c r="CW836" t="s">
        <v>5096</v>
      </c>
      <c r="CX836" t="s">
        <v>3570</v>
      </c>
      <c r="CY836" t="s">
        <v>3997</v>
      </c>
      <c r="CZ836" t="s">
        <v>5097</v>
      </c>
      <c r="DA836" t="s">
        <v>5098</v>
      </c>
      <c r="DB836" t="s">
        <v>5096</v>
      </c>
      <c r="DC836" t="s">
        <v>363</v>
      </c>
      <c r="DD836" t="s">
        <v>5099</v>
      </c>
      <c r="DE836" t="s">
        <v>5115</v>
      </c>
    </row>
    <row r="837" spans="1:109" ht="11.25" customHeight="1">
      <c r="A837" s="1314" t="s">
        <v>231</v>
      </c>
      <c r="B837" t="s">
        <v>231</v>
      </c>
      <c r="C837" t="s">
        <v>231</v>
      </c>
      <c r="D837" t="s">
        <v>231</v>
      </c>
      <c r="E837" t="s">
        <v>231</v>
      </c>
      <c r="F837" t="s">
        <v>231</v>
      </c>
      <c r="G837" t="s">
        <v>231</v>
      </c>
      <c r="H837" t="s">
        <v>231</v>
      </c>
      <c r="I837" t="s">
        <v>5086</v>
      </c>
      <c r="J837" t="s">
        <v>231</v>
      </c>
      <c r="K837" t="s">
        <v>231</v>
      </c>
      <c r="L837" t="s">
        <v>231</v>
      </c>
      <c r="M837" t="s">
        <v>231</v>
      </c>
      <c r="N837" t="s">
        <v>231</v>
      </c>
      <c r="O837" t="s">
        <v>231</v>
      </c>
      <c r="P837" t="s">
        <v>231</v>
      </c>
      <c r="Q837" t="s">
        <v>231</v>
      </c>
      <c r="R837" t="s">
        <v>5534</v>
      </c>
      <c r="S837" t="s">
        <v>231</v>
      </c>
      <c r="T837" t="s">
        <v>231</v>
      </c>
      <c r="U837" t="s">
        <v>101</v>
      </c>
      <c r="V837" t="s">
        <v>231</v>
      </c>
      <c r="W837" t="s">
        <v>231</v>
      </c>
      <c r="X837" t="s">
        <v>5088</v>
      </c>
      <c r="Y837" t="s">
        <v>231</v>
      </c>
      <c r="Z837" t="s">
        <v>160</v>
      </c>
      <c r="AA837" t="s">
        <v>151</v>
      </c>
      <c r="AB837" t="s">
        <v>151</v>
      </c>
      <c r="AC837" t="s">
        <v>2262</v>
      </c>
      <c r="AD837" t="s">
        <v>2262</v>
      </c>
      <c r="AE837" t="s">
        <v>2264</v>
      </c>
      <c r="AF837" t="s">
        <v>3524</v>
      </c>
      <c r="AG837" t="s">
        <v>3525</v>
      </c>
      <c r="AH837" t="s">
        <v>5535</v>
      </c>
      <c r="AI837" t="s">
        <v>3545</v>
      </c>
      <c r="AJ837" t="s">
        <v>5248</v>
      </c>
      <c r="AK837" t="s">
        <v>5536</v>
      </c>
      <c r="AL837" t="s">
        <v>5092</v>
      </c>
      <c r="AN837" t="s">
        <v>4260</v>
      </c>
      <c r="AO837" t="s">
        <v>5235</v>
      </c>
      <c r="AP837" t="s">
        <v>231</v>
      </c>
      <c r="AQ837" t="s">
        <v>231</v>
      </c>
      <c r="AR837" t="s">
        <v>231</v>
      </c>
      <c r="AS837" t="s">
        <v>231</v>
      </c>
      <c r="AT837" t="s">
        <v>231</v>
      </c>
      <c r="AU837" t="s">
        <v>231</v>
      </c>
      <c r="AV837" t="s">
        <v>231</v>
      </c>
      <c r="AW837" t="s">
        <v>231</v>
      </c>
      <c r="AX837" t="s">
        <v>231</v>
      </c>
      <c r="AY837" t="s">
        <v>231</v>
      </c>
      <c r="AZ837" t="s">
        <v>231</v>
      </c>
      <c r="BA837" t="s">
        <v>231</v>
      </c>
      <c r="BB837" t="s">
        <v>231</v>
      </c>
      <c r="BC837" t="s">
        <v>231</v>
      </c>
      <c r="BD837" t="s">
        <v>231</v>
      </c>
      <c r="BE837" t="s">
        <v>231</v>
      </c>
      <c r="BF837" t="s">
        <v>231</v>
      </c>
      <c r="BG837" t="s">
        <v>231</v>
      </c>
      <c r="BH837" t="s">
        <v>231</v>
      </c>
      <c r="BI837" t="s">
        <v>231</v>
      </c>
      <c r="BJ837" t="s">
        <v>231</v>
      </c>
      <c r="BK837" t="s">
        <v>231</v>
      </c>
      <c r="BL837" t="s">
        <v>231</v>
      </c>
      <c r="BM837" t="s">
        <v>231</v>
      </c>
      <c r="BN837" t="s">
        <v>231</v>
      </c>
      <c r="BO837" t="s">
        <v>231</v>
      </c>
      <c r="BP837" t="s">
        <v>231</v>
      </c>
      <c r="BQ837" t="s">
        <v>231</v>
      </c>
      <c r="BR837" t="s">
        <v>231</v>
      </c>
      <c r="BS837" t="s">
        <v>231</v>
      </c>
      <c r="BT837" t="s">
        <v>231</v>
      </c>
      <c r="CS837" t="s">
        <v>231</v>
      </c>
      <c r="CT837" t="s">
        <v>3534</v>
      </c>
      <c r="CU837" t="s">
        <v>3535</v>
      </c>
      <c r="CV837" t="s">
        <v>3536</v>
      </c>
      <c r="CW837" t="s">
        <v>3537</v>
      </c>
      <c r="CX837" t="s">
        <v>223</v>
      </c>
      <c r="CY837" t="s">
        <v>3536</v>
      </c>
      <c r="CZ837" t="s">
        <v>3538</v>
      </c>
      <c r="DA837" t="s">
        <v>3539</v>
      </c>
      <c r="DB837" t="s">
        <v>3537</v>
      </c>
      <c r="DC837" t="s">
        <v>363</v>
      </c>
      <c r="DD837" t="s">
        <v>5099</v>
      </c>
      <c r="DE837" t="s">
        <v>5537</v>
      </c>
    </row>
    <row r="838" spans="1:109" ht="11.25" customHeight="1">
      <c r="A838" s="1314" t="s">
        <v>231</v>
      </c>
      <c r="B838" t="s">
        <v>231</v>
      </c>
      <c r="C838" t="s">
        <v>231</v>
      </c>
      <c r="D838" t="s">
        <v>231</v>
      </c>
      <c r="E838" t="s">
        <v>231</v>
      </c>
      <c r="F838" t="s">
        <v>231</v>
      </c>
      <c r="G838" t="s">
        <v>231</v>
      </c>
      <c r="H838" t="s">
        <v>231</v>
      </c>
      <c r="I838" t="s">
        <v>5086</v>
      </c>
      <c r="J838" t="s">
        <v>231</v>
      </c>
      <c r="K838" t="s">
        <v>231</v>
      </c>
      <c r="L838" t="s">
        <v>231</v>
      </c>
      <c r="M838" t="s">
        <v>231</v>
      </c>
      <c r="N838" t="s">
        <v>231</v>
      </c>
      <c r="O838" t="s">
        <v>231</v>
      </c>
      <c r="P838" t="s">
        <v>231</v>
      </c>
      <c r="Q838" t="s">
        <v>231</v>
      </c>
      <c r="R838" t="s">
        <v>5527</v>
      </c>
      <c r="S838" t="s">
        <v>231</v>
      </c>
      <c r="T838" t="s">
        <v>231</v>
      </c>
      <c r="U838" t="s">
        <v>101</v>
      </c>
      <c r="V838" t="s">
        <v>231</v>
      </c>
      <c r="W838" t="s">
        <v>231</v>
      </c>
      <c r="X838" t="s">
        <v>5088</v>
      </c>
      <c r="Y838" t="s">
        <v>231</v>
      </c>
      <c r="Z838" t="s">
        <v>160</v>
      </c>
      <c r="AA838" t="s">
        <v>151</v>
      </c>
      <c r="AB838" t="s">
        <v>151</v>
      </c>
      <c r="AC838" t="s">
        <v>2262</v>
      </c>
      <c r="AD838" t="s">
        <v>2262</v>
      </c>
      <c r="AE838" t="s">
        <v>2264</v>
      </c>
      <c r="AF838" t="s">
        <v>3524</v>
      </c>
      <c r="AG838" t="s">
        <v>3525</v>
      </c>
      <c r="AH838" t="s">
        <v>5528</v>
      </c>
      <c r="AI838" t="s">
        <v>1666</v>
      </c>
      <c r="AJ838" t="s">
        <v>3866</v>
      </c>
      <c r="AK838" t="s">
        <v>3586</v>
      </c>
      <c r="AL838" t="s">
        <v>5092</v>
      </c>
      <c r="AN838" t="s">
        <v>3800</v>
      </c>
      <c r="AO838" t="s">
        <v>4541</v>
      </c>
      <c r="AP838" t="s">
        <v>231</v>
      </c>
      <c r="AQ838" t="s">
        <v>231</v>
      </c>
      <c r="AR838" t="s">
        <v>231</v>
      </c>
      <c r="AS838" t="s">
        <v>231</v>
      </c>
      <c r="AT838" t="s">
        <v>231</v>
      </c>
      <c r="AU838" t="s">
        <v>231</v>
      </c>
      <c r="AV838" t="s">
        <v>231</v>
      </c>
      <c r="AW838" t="s">
        <v>231</v>
      </c>
      <c r="AX838" t="s">
        <v>231</v>
      </c>
      <c r="AY838" t="s">
        <v>231</v>
      </c>
      <c r="AZ838" t="s">
        <v>231</v>
      </c>
      <c r="BA838" t="s">
        <v>231</v>
      </c>
      <c r="BB838" t="s">
        <v>231</v>
      </c>
      <c r="BC838" t="s">
        <v>231</v>
      </c>
      <c r="BD838" t="s">
        <v>231</v>
      </c>
      <c r="BE838" t="s">
        <v>231</v>
      </c>
      <c r="BF838" t="s">
        <v>231</v>
      </c>
      <c r="BG838" t="s">
        <v>231</v>
      </c>
      <c r="BH838" t="s">
        <v>231</v>
      </c>
      <c r="BI838" t="s">
        <v>231</v>
      </c>
      <c r="BJ838" t="s">
        <v>231</v>
      </c>
      <c r="BK838" t="s">
        <v>231</v>
      </c>
      <c r="BL838" t="s">
        <v>231</v>
      </c>
      <c r="BM838" t="s">
        <v>231</v>
      </c>
      <c r="BN838" t="s">
        <v>231</v>
      </c>
      <c r="BO838" t="s">
        <v>231</v>
      </c>
      <c r="BP838" t="s">
        <v>231</v>
      </c>
      <c r="BQ838" t="s">
        <v>231</v>
      </c>
      <c r="BR838" t="s">
        <v>231</v>
      </c>
      <c r="BS838" t="s">
        <v>231</v>
      </c>
      <c r="BT838" t="s">
        <v>231</v>
      </c>
      <c r="CS838" t="s">
        <v>231</v>
      </c>
      <c r="CT838" t="s">
        <v>3534</v>
      </c>
      <c r="CU838" t="s">
        <v>3535</v>
      </c>
      <c r="CV838" t="s">
        <v>3536</v>
      </c>
      <c r="CW838" t="s">
        <v>3537</v>
      </c>
      <c r="CX838" t="s">
        <v>223</v>
      </c>
      <c r="CY838" t="s">
        <v>3536</v>
      </c>
      <c r="CZ838" t="s">
        <v>3538</v>
      </c>
      <c r="DA838" t="s">
        <v>3539</v>
      </c>
      <c r="DB838" t="s">
        <v>3537</v>
      </c>
      <c r="DC838" t="s">
        <v>363</v>
      </c>
      <c r="DD838" t="s">
        <v>5099</v>
      </c>
      <c r="DE838" t="s">
        <v>5529</v>
      </c>
    </row>
    <row r="839" spans="1:109" ht="11.25" customHeight="1">
      <c r="A839" s="1314" t="s">
        <v>231</v>
      </c>
      <c r="B839" t="s">
        <v>231</v>
      </c>
      <c r="C839" t="s">
        <v>231</v>
      </c>
      <c r="D839" t="s">
        <v>231</v>
      </c>
      <c r="E839" t="s">
        <v>231</v>
      </c>
      <c r="F839" t="s">
        <v>231</v>
      </c>
      <c r="G839" t="s">
        <v>231</v>
      </c>
      <c r="H839" t="s">
        <v>231</v>
      </c>
      <c r="I839" t="s">
        <v>5086</v>
      </c>
      <c r="J839" t="s">
        <v>231</v>
      </c>
      <c r="K839" t="s">
        <v>231</v>
      </c>
      <c r="L839" t="s">
        <v>231</v>
      </c>
      <c r="M839" t="s">
        <v>231</v>
      </c>
      <c r="N839" t="s">
        <v>231</v>
      </c>
      <c r="O839" t="s">
        <v>231</v>
      </c>
      <c r="P839" t="s">
        <v>231</v>
      </c>
      <c r="Q839" t="s">
        <v>231</v>
      </c>
      <c r="R839" t="s">
        <v>5437</v>
      </c>
      <c r="S839" t="s">
        <v>231</v>
      </c>
      <c r="T839" t="s">
        <v>231</v>
      </c>
      <c r="U839" t="s">
        <v>101</v>
      </c>
      <c r="V839" t="s">
        <v>231</v>
      </c>
      <c r="W839" t="s">
        <v>231</v>
      </c>
      <c r="X839" t="s">
        <v>5088</v>
      </c>
      <c r="Y839" t="s">
        <v>231</v>
      </c>
      <c r="Z839" t="s">
        <v>160</v>
      </c>
      <c r="AA839" t="s">
        <v>151</v>
      </c>
      <c r="AB839" t="s">
        <v>151</v>
      </c>
      <c r="AC839" t="s">
        <v>343</v>
      </c>
      <c r="AD839" t="s">
        <v>343</v>
      </c>
      <c r="AE839" t="s">
        <v>344</v>
      </c>
      <c r="AF839" t="s">
        <v>3561</v>
      </c>
      <c r="AG839" t="s">
        <v>3562</v>
      </c>
      <c r="AH839" t="s">
        <v>5438</v>
      </c>
      <c r="AI839" t="s">
        <v>3575</v>
      </c>
      <c r="AJ839" t="s">
        <v>5439</v>
      </c>
      <c r="AK839" t="s">
        <v>5440</v>
      </c>
      <c r="AL839" t="s">
        <v>5092</v>
      </c>
      <c r="AN839" t="s">
        <v>5441</v>
      </c>
      <c r="AO839" t="s">
        <v>5442</v>
      </c>
      <c r="AP839" t="s">
        <v>231</v>
      </c>
      <c r="AQ839" t="s">
        <v>231</v>
      </c>
      <c r="AR839" t="s">
        <v>231</v>
      </c>
      <c r="AS839" t="s">
        <v>231</v>
      </c>
      <c r="AT839" t="s">
        <v>231</v>
      </c>
      <c r="AU839" t="s">
        <v>231</v>
      </c>
      <c r="AV839" t="s">
        <v>231</v>
      </c>
      <c r="AW839" t="s">
        <v>231</v>
      </c>
      <c r="AX839" t="s">
        <v>231</v>
      </c>
      <c r="AY839" t="s">
        <v>231</v>
      </c>
      <c r="AZ839" t="s">
        <v>231</v>
      </c>
      <c r="BA839" t="s">
        <v>231</v>
      </c>
      <c r="BB839" t="s">
        <v>231</v>
      </c>
      <c r="BC839" t="s">
        <v>231</v>
      </c>
      <c r="BD839" t="s">
        <v>231</v>
      </c>
      <c r="BE839" t="s">
        <v>231</v>
      </c>
      <c r="BF839" t="s">
        <v>231</v>
      </c>
      <c r="BG839" t="s">
        <v>231</v>
      </c>
      <c r="BH839" t="s">
        <v>231</v>
      </c>
      <c r="BI839" t="s">
        <v>231</v>
      </c>
      <c r="BJ839" t="s">
        <v>231</v>
      </c>
      <c r="BK839" t="s">
        <v>231</v>
      </c>
      <c r="BL839" t="s">
        <v>231</v>
      </c>
      <c r="BM839" t="s">
        <v>231</v>
      </c>
      <c r="BN839" t="s">
        <v>231</v>
      </c>
      <c r="BO839" t="s">
        <v>231</v>
      </c>
      <c r="BP839" t="s">
        <v>231</v>
      </c>
      <c r="BQ839" t="s">
        <v>231</v>
      </c>
      <c r="BR839" t="s">
        <v>231</v>
      </c>
      <c r="BS839" t="s">
        <v>231</v>
      </c>
      <c r="BT839" t="s">
        <v>231</v>
      </c>
      <c r="CS839" t="s">
        <v>231</v>
      </c>
      <c r="CT839" t="s">
        <v>3534</v>
      </c>
      <c r="CU839" t="s">
        <v>3535</v>
      </c>
      <c r="CV839" t="s">
        <v>3536</v>
      </c>
      <c r="CW839" t="s">
        <v>3569</v>
      </c>
      <c r="CX839" t="s">
        <v>3570</v>
      </c>
      <c r="CY839" t="s">
        <v>3536</v>
      </c>
      <c r="CZ839" t="s">
        <v>224</v>
      </c>
      <c r="DA839" t="s">
        <v>3571</v>
      </c>
      <c r="DB839" t="s">
        <v>3569</v>
      </c>
      <c r="DC839" t="s">
        <v>363</v>
      </c>
      <c r="DD839" t="s">
        <v>5099</v>
      </c>
      <c r="DE839" t="s">
        <v>5443</v>
      </c>
    </row>
    <row r="840" spans="1:109" ht="11.25" customHeight="1">
      <c r="A840" s="1314" t="s">
        <v>231</v>
      </c>
      <c r="B840" t="s">
        <v>231</v>
      </c>
      <c r="C840" t="s">
        <v>231</v>
      </c>
      <c r="D840" t="s">
        <v>231</v>
      </c>
      <c r="E840" t="s">
        <v>231</v>
      </c>
      <c r="F840" t="s">
        <v>231</v>
      </c>
      <c r="G840" t="s">
        <v>231</v>
      </c>
      <c r="H840" t="s">
        <v>231</v>
      </c>
      <c r="I840" t="s">
        <v>5086</v>
      </c>
      <c r="J840" t="s">
        <v>231</v>
      </c>
      <c r="K840" t="s">
        <v>231</v>
      </c>
      <c r="L840" t="s">
        <v>231</v>
      </c>
      <c r="M840" t="s">
        <v>231</v>
      </c>
      <c r="N840" t="s">
        <v>231</v>
      </c>
      <c r="O840" t="s">
        <v>231</v>
      </c>
      <c r="P840" t="s">
        <v>231</v>
      </c>
      <c r="Q840" t="s">
        <v>231</v>
      </c>
      <c r="R840" t="s">
        <v>5464</v>
      </c>
      <c r="S840" t="s">
        <v>231</v>
      </c>
      <c r="T840" t="s">
        <v>231</v>
      </c>
      <c r="U840" t="s">
        <v>101</v>
      </c>
      <c r="V840" t="s">
        <v>231</v>
      </c>
      <c r="W840" t="s">
        <v>231</v>
      </c>
      <c r="X840" t="s">
        <v>5088</v>
      </c>
      <c r="Y840" t="s">
        <v>231</v>
      </c>
      <c r="Z840" t="s">
        <v>160</v>
      </c>
      <c r="AA840" t="s">
        <v>151</v>
      </c>
      <c r="AB840" t="s">
        <v>151</v>
      </c>
      <c r="AC840" t="s">
        <v>343</v>
      </c>
      <c r="AD840" t="s">
        <v>343</v>
      </c>
      <c r="AE840" t="s">
        <v>344</v>
      </c>
      <c r="AF840" t="s">
        <v>3561</v>
      </c>
      <c r="AG840" t="s">
        <v>3562</v>
      </c>
      <c r="AH840" t="s">
        <v>5465</v>
      </c>
      <c r="AI840" t="s">
        <v>3575</v>
      </c>
      <c r="AJ840" t="s">
        <v>5466</v>
      </c>
      <c r="AK840" t="s">
        <v>3641</v>
      </c>
      <c r="AL840" t="s">
        <v>5092</v>
      </c>
      <c r="AN840" t="s">
        <v>5441</v>
      </c>
      <c r="AO840" t="s">
        <v>5442</v>
      </c>
      <c r="AP840" t="s">
        <v>231</v>
      </c>
      <c r="AQ840" t="s">
        <v>231</v>
      </c>
      <c r="AR840" t="s">
        <v>231</v>
      </c>
      <c r="AS840" t="s">
        <v>231</v>
      </c>
      <c r="AT840" t="s">
        <v>231</v>
      </c>
      <c r="AU840" t="s">
        <v>231</v>
      </c>
      <c r="AV840" t="s">
        <v>231</v>
      </c>
      <c r="AW840" t="s">
        <v>231</v>
      </c>
      <c r="AX840" t="s">
        <v>231</v>
      </c>
      <c r="AY840" t="s">
        <v>231</v>
      </c>
      <c r="AZ840" t="s">
        <v>231</v>
      </c>
      <c r="BA840" t="s">
        <v>231</v>
      </c>
      <c r="BB840" t="s">
        <v>231</v>
      </c>
      <c r="BC840" t="s">
        <v>231</v>
      </c>
      <c r="BD840" t="s">
        <v>231</v>
      </c>
      <c r="BE840" t="s">
        <v>231</v>
      </c>
      <c r="BF840" t="s">
        <v>231</v>
      </c>
      <c r="BG840" t="s">
        <v>231</v>
      </c>
      <c r="BH840" t="s">
        <v>231</v>
      </c>
      <c r="BI840" t="s">
        <v>231</v>
      </c>
      <c r="BJ840" t="s">
        <v>231</v>
      </c>
      <c r="BK840" t="s">
        <v>231</v>
      </c>
      <c r="BL840" t="s">
        <v>231</v>
      </c>
      <c r="BM840" t="s">
        <v>231</v>
      </c>
      <c r="BN840" t="s">
        <v>231</v>
      </c>
      <c r="BO840" t="s">
        <v>231</v>
      </c>
      <c r="BP840" t="s">
        <v>231</v>
      </c>
      <c r="BQ840" t="s">
        <v>231</v>
      </c>
      <c r="BR840" t="s">
        <v>231</v>
      </c>
      <c r="BS840" t="s">
        <v>231</v>
      </c>
      <c r="BT840" t="s">
        <v>231</v>
      </c>
      <c r="CS840" t="s">
        <v>231</v>
      </c>
      <c r="CT840" t="s">
        <v>3534</v>
      </c>
      <c r="CU840" t="s">
        <v>3535</v>
      </c>
      <c r="CV840" t="s">
        <v>3536</v>
      </c>
      <c r="CW840" t="s">
        <v>3569</v>
      </c>
      <c r="CX840" t="s">
        <v>3570</v>
      </c>
      <c r="CY840" t="s">
        <v>3536</v>
      </c>
      <c r="CZ840" t="s">
        <v>224</v>
      </c>
      <c r="DA840" t="s">
        <v>3571</v>
      </c>
      <c r="DB840" t="s">
        <v>3569</v>
      </c>
      <c r="DC840" t="s">
        <v>363</v>
      </c>
      <c r="DD840" t="s">
        <v>5099</v>
      </c>
      <c r="DE840" t="s">
        <v>5467</v>
      </c>
    </row>
    <row r="841" spans="1:109" ht="11.25" customHeight="1">
      <c r="A841" s="1314" t="s">
        <v>231</v>
      </c>
      <c r="B841" t="s">
        <v>231</v>
      </c>
      <c r="C841" t="s">
        <v>231</v>
      </c>
      <c r="D841" t="s">
        <v>231</v>
      </c>
      <c r="E841" t="s">
        <v>231</v>
      </c>
      <c r="F841" t="s">
        <v>231</v>
      </c>
      <c r="G841" t="s">
        <v>231</v>
      </c>
      <c r="H841" t="s">
        <v>231</v>
      </c>
      <c r="I841" t="s">
        <v>5086</v>
      </c>
      <c r="J841" t="s">
        <v>231</v>
      </c>
      <c r="K841" t="s">
        <v>231</v>
      </c>
      <c r="L841" t="s">
        <v>231</v>
      </c>
      <c r="M841" t="s">
        <v>231</v>
      </c>
      <c r="N841" t="s">
        <v>231</v>
      </c>
      <c r="O841" t="s">
        <v>231</v>
      </c>
      <c r="P841" t="s">
        <v>231</v>
      </c>
      <c r="Q841" t="s">
        <v>231</v>
      </c>
      <c r="R841" t="s">
        <v>5425</v>
      </c>
      <c r="S841" t="s">
        <v>231</v>
      </c>
      <c r="T841" t="s">
        <v>231</v>
      </c>
      <c r="U841" t="s">
        <v>101</v>
      </c>
      <c r="V841" t="s">
        <v>231</v>
      </c>
      <c r="W841" t="s">
        <v>231</v>
      </c>
      <c r="X841" t="s">
        <v>5088</v>
      </c>
      <c r="Y841" t="s">
        <v>231</v>
      </c>
      <c r="Z841" t="s">
        <v>160</v>
      </c>
      <c r="AA841" t="s">
        <v>151</v>
      </c>
      <c r="AB841" t="s">
        <v>151</v>
      </c>
      <c r="AC841" t="s">
        <v>2262</v>
      </c>
      <c r="AD841" t="s">
        <v>2262</v>
      </c>
      <c r="AE841" t="s">
        <v>2264</v>
      </c>
      <c r="AF841" t="s">
        <v>3524</v>
      </c>
      <c r="AG841" t="s">
        <v>3525</v>
      </c>
      <c r="AH841" t="s">
        <v>5426</v>
      </c>
      <c r="AI841" t="s">
        <v>3575</v>
      </c>
      <c r="AJ841" t="s">
        <v>4254</v>
      </c>
      <c r="AK841" t="s">
        <v>5427</v>
      </c>
      <c r="AL841" t="s">
        <v>5092</v>
      </c>
      <c r="AN841" t="s">
        <v>3800</v>
      </c>
      <c r="AO841" t="s">
        <v>4541</v>
      </c>
      <c r="AP841" t="s">
        <v>231</v>
      </c>
      <c r="AQ841" t="s">
        <v>231</v>
      </c>
      <c r="AR841" t="s">
        <v>231</v>
      </c>
      <c r="AS841" t="s">
        <v>231</v>
      </c>
      <c r="AT841" t="s">
        <v>231</v>
      </c>
      <c r="AU841" t="s">
        <v>231</v>
      </c>
      <c r="AV841" t="s">
        <v>231</v>
      </c>
      <c r="AW841" t="s">
        <v>231</v>
      </c>
      <c r="AX841" t="s">
        <v>231</v>
      </c>
      <c r="AY841" t="s">
        <v>231</v>
      </c>
      <c r="AZ841" t="s">
        <v>231</v>
      </c>
      <c r="BA841" t="s">
        <v>231</v>
      </c>
      <c r="BB841" t="s">
        <v>231</v>
      </c>
      <c r="BC841" t="s">
        <v>231</v>
      </c>
      <c r="BD841" t="s">
        <v>231</v>
      </c>
      <c r="BE841" t="s">
        <v>231</v>
      </c>
      <c r="BF841" t="s">
        <v>231</v>
      </c>
      <c r="BG841" t="s">
        <v>231</v>
      </c>
      <c r="BH841" t="s">
        <v>231</v>
      </c>
      <c r="BI841" t="s">
        <v>231</v>
      </c>
      <c r="BJ841" t="s">
        <v>231</v>
      </c>
      <c r="BK841" t="s">
        <v>231</v>
      </c>
      <c r="BL841" t="s">
        <v>231</v>
      </c>
      <c r="BM841" t="s">
        <v>231</v>
      </c>
      <c r="BN841" t="s">
        <v>231</v>
      </c>
      <c r="BO841" t="s">
        <v>231</v>
      </c>
      <c r="BP841" t="s">
        <v>231</v>
      </c>
      <c r="BQ841" t="s">
        <v>231</v>
      </c>
      <c r="BR841" t="s">
        <v>231</v>
      </c>
      <c r="BS841" t="s">
        <v>231</v>
      </c>
      <c r="BT841" t="s">
        <v>231</v>
      </c>
      <c r="CS841" t="s">
        <v>231</v>
      </c>
      <c r="CT841" t="s">
        <v>3534</v>
      </c>
      <c r="CU841" t="s">
        <v>3535</v>
      </c>
      <c r="CV841" t="s">
        <v>3536</v>
      </c>
      <c r="CW841" t="s">
        <v>3537</v>
      </c>
      <c r="CX841" t="s">
        <v>223</v>
      </c>
      <c r="CY841" t="s">
        <v>3536</v>
      </c>
      <c r="CZ841" t="s">
        <v>3538</v>
      </c>
      <c r="DA841" t="s">
        <v>3539</v>
      </c>
      <c r="DB841" t="s">
        <v>3537</v>
      </c>
      <c r="DC841" t="s">
        <v>363</v>
      </c>
      <c r="DD841" t="s">
        <v>5099</v>
      </c>
      <c r="DE841" t="s">
        <v>5428</v>
      </c>
    </row>
    <row r="842" spans="1:109" ht="11.25" customHeight="1">
      <c r="A842" s="1314" t="s">
        <v>231</v>
      </c>
      <c r="B842" t="s">
        <v>231</v>
      </c>
      <c r="C842" t="s">
        <v>231</v>
      </c>
      <c r="D842" t="s">
        <v>231</v>
      </c>
      <c r="E842" t="s">
        <v>231</v>
      </c>
      <c r="F842" t="s">
        <v>231</v>
      </c>
      <c r="G842" t="s">
        <v>231</v>
      </c>
      <c r="H842" t="s">
        <v>231</v>
      </c>
      <c r="I842" t="s">
        <v>5086</v>
      </c>
      <c r="J842" t="s">
        <v>231</v>
      </c>
      <c r="K842" t="s">
        <v>231</v>
      </c>
      <c r="L842" t="s">
        <v>231</v>
      </c>
      <c r="M842" t="s">
        <v>231</v>
      </c>
      <c r="N842" t="s">
        <v>231</v>
      </c>
      <c r="O842" t="s">
        <v>231</v>
      </c>
      <c r="P842" t="s">
        <v>231</v>
      </c>
      <c r="Q842" t="s">
        <v>231</v>
      </c>
      <c r="R842" t="s">
        <v>5431</v>
      </c>
      <c r="S842" t="s">
        <v>231</v>
      </c>
      <c r="T842" t="s">
        <v>231</v>
      </c>
      <c r="U842" t="s">
        <v>101</v>
      </c>
      <c r="V842" t="s">
        <v>231</v>
      </c>
      <c r="W842" t="s">
        <v>231</v>
      </c>
      <c r="X842" t="s">
        <v>5088</v>
      </c>
      <c r="Y842" t="s">
        <v>231</v>
      </c>
      <c r="Z842" t="s">
        <v>160</v>
      </c>
      <c r="AA842" t="s">
        <v>151</v>
      </c>
      <c r="AB842" t="s">
        <v>151</v>
      </c>
      <c r="AC842" t="s">
        <v>2262</v>
      </c>
      <c r="AD842" t="s">
        <v>2262</v>
      </c>
      <c r="AE842" t="s">
        <v>2264</v>
      </c>
      <c r="AF842" t="s">
        <v>3524</v>
      </c>
      <c r="AG842" t="s">
        <v>3525</v>
      </c>
      <c r="AH842" t="s">
        <v>5432</v>
      </c>
      <c r="AI842" t="s">
        <v>5433</v>
      </c>
      <c r="AJ842" t="s">
        <v>5140</v>
      </c>
      <c r="AK842" t="s">
        <v>5434</v>
      </c>
      <c r="AL842" t="s">
        <v>5112</v>
      </c>
      <c r="AN842" t="s">
        <v>5435</v>
      </c>
      <c r="AO842" t="s">
        <v>3790</v>
      </c>
      <c r="AP842" t="s">
        <v>231</v>
      </c>
      <c r="AQ842" t="s">
        <v>231</v>
      </c>
      <c r="AR842" t="s">
        <v>231</v>
      </c>
      <c r="AS842" t="s">
        <v>231</v>
      </c>
      <c r="AT842" t="s">
        <v>231</v>
      </c>
      <c r="AU842" t="s">
        <v>231</v>
      </c>
      <c r="AV842" t="s">
        <v>231</v>
      </c>
      <c r="AW842" t="s">
        <v>231</v>
      </c>
      <c r="AX842" t="s">
        <v>231</v>
      </c>
      <c r="AY842" t="s">
        <v>231</v>
      </c>
      <c r="AZ842" t="s">
        <v>231</v>
      </c>
      <c r="BA842" t="s">
        <v>231</v>
      </c>
      <c r="BB842" t="s">
        <v>231</v>
      </c>
      <c r="BC842" t="s">
        <v>231</v>
      </c>
      <c r="BD842" t="s">
        <v>231</v>
      </c>
      <c r="BE842" t="s">
        <v>231</v>
      </c>
      <c r="BF842" t="s">
        <v>231</v>
      </c>
      <c r="BG842" t="s">
        <v>231</v>
      </c>
      <c r="BH842" t="s">
        <v>231</v>
      </c>
      <c r="BI842" t="s">
        <v>231</v>
      </c>
      <c r="BJ842" t="s">
        <v>231</v>
      </c>
      <c r="BK842" t="s">
        <v>231</v>
      </c>
      <c r="BL842" t="s">
        <v>231</v>
      </c>
      <c r="BM842" t="s">
        <v>231</v>
      </c>
      <c r="BN842" t="s">
        <v>231</v>
      </c>
      <c r="BO842" t="s">
        <v>231</v>
      </c>
      <c r="BP842" t="s">
        <v>231</v>
      </c>
      <c r="BQ842" t="s">
        <v>231</v>
      </c>
      <c r="BR842" t="s">
        <v>231</v>
      </c>
      <c r="BS842" t="s">
        <v>231</v>
      </c>
      <c r="BT842" t="s">
        <v>231</v>
      </c>
      <c r="CS842" t="s">
        <v>231</v>
      </c>
      <c r="CT842" t="s">
        <v>3534</v>
      </c>
      <c r="CU842" t="s">
        <v>3535</v>
      </c>
      <c r="CV842" t="s">
        <v>3536</v>
      </c>
      <c r="CW842" t="s">
        <v>3537</v>
      </c>
      <c r="CX842" t="s">
        <v>223</v>
      </c>
      <c r="CY842" t="s">
        <v>3536</v>
      </c>
      <c r="CZ842" t="s">
        <v>3538</v>
      </c>
      <c r="DA842" t="s">
        <v>3539</v>
      </c>
      <c r="DB842" t="s">
        <v>3537</v>
      </c>
      <c r="DC842" t="s">
        <v>363</v>
      </c>
      <c r="DD842" t="s">
        <v>5099</v>
      </c>
      <c r="DE842" t="s">
        <v>5436</v>
      </c>
    </row>
    <row r="843" spans="1:109" ht="11.25" customHeight="1">
      <c r="A843" s="1314" t="s">
        <v>231</v>
      </c>
      <c r="B843" t="s">
        <v>231</v>
      </c>
      <c r="C843" t="s">
        <v>231</v>
      </c>
      <c r="D843" t="s">
        <v>231</v>
      </c>
      <c r="E843" t="s">
        <v>231</v>
      </c>
      <c r="F843" t="s">
        <v>231</v>
      </c>
      <c r="G843" t="s">
        <v>231</v>
      </c>
      <c r="H843" t="s">
        <v>231</v>
      </c>
      <c r="I843" t="s">
        <v>5086</v>
      </c>
      <c r="J843" t="s">
        <v>231</v>
      </c>
      <c r="K843" t="s">
        <v>231</v>
      </c>
      <c r="L843" t="s">
        <v>231</v>
      </c>
      <c r="M843" t="s">
        <v>231</v>
      </c>
      <c r="N843" t="s">
        <v>231</v>
      </c>
      <c r="O843" t="s">
        <v>231</v>
      </c>
      <c r="P843" t="s">
        <v>231</v>
      </c>
      <c r="Q843" t="s">
        <v>231</v>
      </c>
      <c r="R843" t="s">
        <v>5444</v>
      </c>
      <c r="S843" t="s">
        <v>231</v>
      </c>
      <c r="T843" t="s">
        <v>231</v>
      </c>
      <c r="U843" t="s">
        <v>101</v>
      </c>
      <c r="V843" t="s">
        <v>231</v>
      </c>
      <c r="W843" t="s">
        <v>231</v>
      </c>
      <c r="X843" t="s">
        <v>5088</v>
      </c>
      <c r="Y843" t="s">
        <v>231</v>
      </c>
      <c r="Z843" t="s">
        <v>160</v>
      </c>
      <c r="AA843" t="s">
        <v>151</v>
      </c>
      <c r="AB843" t="s">
        <v>151</v>
      </c>
      <c r="AC843" t="s">
        <v>2262</v>
      </c>
      <c r="AD843" t="s">
        <v>2262</v>
      </c>
      <c r="AE843" t="s">
        <v>2264</v>
      </c>
      <c r="AF843" t="s">
        <v>3524</v>
      </c>
      <c r="AG843" t="s">
        <v>3525</v>
      </c>
      <c r="AH843" t="s">
        <v>5445</v>
      </c>
      <c r="AI843" t="s">
        <v>5446</v>
      </c>
      <c r="AJ843" t="s">
        <v>4254</v>
      </c>
      <c r="AK843" t="s">
        <v>3546</v>
      </c>
      <c r="AL843" t="s">
        <v>5092</v>
      </c>
      <c r="AN843" t="s">
        <v>3800</v>
      </c>
      <c r="AO843" t="s">
        <v>5220</v>
      </c>
      <c r="AP843" t="s">
        <v>231</v>
      </c>
      <c r="AQ843" t="s">
        <v>231</v>
      </c>
      <c r="AR843" t="s">
        <v>231</v>
      </c>
      <c r="AS843" t="s">
        <v>231</v>
      </c>
      <c r="AT843" t="s">
        <v>231</v>
      </c>
      <c r="AU843" t="s">
        <v>231</v>
      </c>
      <c r="AV843" t="s">
        <v>231</v>
      </c>
      <c r="AW843" t="s">
        <v>231</v>
      </c>
      <c r="AX843" t="s">
        <v>231</v>
      </c>
      <c r="AY843" t="s">
        <v>231</v>
      </c>
      <c r="AZ843" t="s">
        <v>231</v>
      </c>
      <c r="BA843" t="s">
        <v>231</v>
      </c>
      <c r="BB843" t="s">
        <v>231</v>
      </c>
      <c r="BC843" t="s">
        <v>231</v>
      </c>
      <c r="BD843" t="s">
        <v>231</v>
      </c>
      <c r="BE843" t="s">
        <v>231</v>
      </c>
      <c r="BF843" t="s">
        <v>231</v>
      </c>
      <c r="BG843" t="s">
        <v>231</v>
      </c>
      <c r="BH843" t="s">
        <v>231</v>
      </c>
      <c r="BI843" t="s">
        <v>231</v>
      </c>
      <c r="BJ843" t="s">
        <v>231</v>
      </c>
      <c r="BK843" t="s">
        <v>231</v>
      </c>
      <c r="BL843" t="s">
        <v>231</v>
      </c>
      <c r="BM843" t="s">
        <v>231</v>
      </c>
      <c r="BN843" t="s">
        <v>231</v>
      </c>
      <c r="BO843" t="s">
        <v>231</v>
      </c>
      <c r="BP843" t="s">
        <v>231</v>
      </c>
      <c r="BQ843" t="s">
        <v>231</v>
      </c>
      <c r="BR843" t="s">
        <v>231</v>
      </c>
      <c r="BS843" t="s">
        <v>231</v>
      </c>
      <c r="BT843" t="s">
        <v>231</v>
      </c>
      <c r="CS843" t="s">
        <v>231</v>
      </c>
      <c r="CT843" t="s">
        <v>3534</v>
      </c>
      <c r="CU843" t="s">
        <v>3535</v>
      </c>
      <c r="CV843" t="s">
        <v>3536</v>
      </c>
      <c r="CW843" t="s">
        <v>3537</v>
      </c>
      <c r="CX843" t="s">
        <v>223</v>
      </c>
      <c r="CY843" t="s">
        <v>3536</v>
      </c>
      <c r="CZ843" t="s">
        <v>3538</v>
      </c>
      <c r="DA843" t="s">
        <v>3539</v>
      </c>
      <c r="DB843" t="s">
        <v>3537</v>
      </c>
      <c r="DC843" t="s">
        <v>363</v>
      </c>
      <c r="DD843" t="s">
        <v>5099</v>
      </c>
      <c r="DE843" t="s">
        <v>5447</v>
      </c>
    </row>
    <row r="844" spans="1:109" ht="11.25" customHeight="1">
      <c r="A844" s="1314" t="s">
        <v>231</v>
      </c>
      <c r="B844" t="s">
        <v>231</v>
      </c>
      <c r="C844" t="s">
        <v>231</v>
      </c>
      <c r="D844" t="s">
        <v>231</v>
      </c>
      <c r="E844" t="s">
        <v>231</v>
      </c>
      <c r="F844" t="s">
        <v>231</v>
      </c>
      <c r="G844" t="s">
        <v>231</v>
      </c>
      <c r="H844" t="s">
        <v>231</v>
      </c>
      <c r="I844" t="s">
        <v>5086</v>
      </c>
      <c r="J844" t="s">
        <v>231</v>
      </c>
      <c r="K844" t="s">
        <v>231</v>
      </c>
      <c r="L844" t="s">
        <v>231</v>
      </c>
      <c r="M844" t="s">
        <v>231</v>
      </c>
      <c r="N844" t="s">
        <v>231</v>
      </c>
      <c r="O844" t="s">
        <v>231</v>
      </c>
      <c r="P844" t="s">
        <v>231</v>
      </c>
      <c r="Q844" t="s">
        <v>231</v>
      </c>
      <c r="R844" t="s">
        <v>5468</v>
      </c>
      <c r="S844" t="s">
        <v>231</v>
      </c>
      <c r="T844" t="s">
        <v>231</v>
      </c>
      <c r="U844" t="s">
        <v>101</v>
      </c>
      <c r="V844" t="s">
        <v>231</v>
      </c>
      <c r="W844" t="s">
        <v>231</v>
      </c>
      <c r="X844" t="s">
        <v>5088</v>
      </c>
      <c r="Y844" t="s">
        <v>231</v>
      </c>
      <c r="Z844" t="s">
        <v>160</v>
      </c>
      <c r="AA844" t="s">
        <v>151</v>
      </c>
      <c r="AB844" t="s">
        <v>151</v>
      </c>
      <c r="AC844" t="s">
        <v>343</v>
      </c>
      <c r="AD844" t="s">
        <v>343</v>
      </c>
      <c r="AE844" t="s">
        <v>344</v>
      </c>
      <c r="AF844" t="s">
        <v>3561</v>
      </c>
      <c r="AG844" t="s">
        <v>3562</v>
      </c>
      <c r="AH844" t="s">
        <v>5469</v>
      </c>
      <c r="AI844" t="s">
        <v>5470</v>
      </c>
      <c r="AJ844" t="s">
        <v>5471</v>
      </c>
      <c r="AK844" t="s">
        <v>5472</v>
      </c>
      <c r="AL844" t="s">
        <v>5092</v>
      </c>
      <c r="AN844" t="s">
        <v>3642</v>
      </c>
      <c r="AO844" t="s">
        <v>5473</v>
      </c>
      <c r="AP844" t="s">
        <v>231</v>
      </c>
      <c r="AQ844" t="s">
        <v>231</v>
      </c>
      <c r="AR844" t="s">
        <v>231</v>
      </c>
      <c r="AS844" t="s">
        <v>231</v>
      </c>
      <c r="AT844" t="s">
        <v>231</v>
      </c>
      <c r="AU844" t="s">
        <v>231</v>
      </c>
      <c r="AV844" t="s">
        <v>231</v>
      </c>
      <c r="AW844" t="s">
        <v>231</v>
      </c>
      <c r="AX844" t="s">
        <v>231</v>
      </c>
      <c r="AY844" t="s">
        <v>231</v>
      </c>
      <c r="AZ844" t="s">
        <v>231</v>
      </c>
      <c r="BA844" t="s">
        <v>231</v>
      </c>
      <c r="BB844" t="s">
        <v>231</v>
      </c>
      <c r="BC844" t="s">
        <v>231</v>
      </c>
      <c r="BD844" t="s">
        <v>231</v>
      </c>
      <c r="BE844" t="s">
        <v>231</v>
      </c>
      <c r="BF844" t="s">
        <v>231</v>
      </c>
      <c r="BG844" t="s">
        <v>231</v>
      </c>
      <c r="BH844" t="s">
        <v>231</v>
      </c>
      <c r="BI844" t="s">
        <v>231</v>
      </c>
      <c r="BJ844" t="s">
        <v>231</v>
      </c>
      <c r="BK844" t="s">
        <v>231</v>
      </c>
      <c r="BL844" t="s">
        <v>231</v>
      </c>
      <c r="BM844" t="s">
        <v>231</v>
      </c>
      <c r="BN844" t="s">
        <v>231</v>
      </c>
      <c r="BO844" t="s">
        <v>231</v>
      </c>
      <c r="BP844" t="s">
        <v>231</v>
      </c>
      <c r="BQ844" t="s">
        <v>231</v>
      </c>
      <c r="BR844" t="s">
        <v>231</v>
      </c>
      <c r="BS844" t="s">
        <v>231</v>
      </c>
      <c r="BT844" t="s">
        <v>231</v>
      </c>
      <c r="CS844" t="s">
        <v>231</v>
      </c>
      <c r="CT844" t="s">
        <v>3534</v>
      </c>
      <c r="CU844" t="s">
        <v>3535</v>
      </c>
      <c r="CV844" t="s">
        <v>3536</v>
      </c>
      <c r="CW844" t="s">
        <v>3569</v>
      </c>
      <c r="CX844" t="s">
        <v>3570</v>
      </c>
      <c r="CY844" t="s">
        <v>3536</v>
      </c>
      <c r="CZ844" t="s">
        <v>224</v>
      </c>
      <c r="DA844" t="s">
        <v>3571</v>
      </c>
      <c r="DB844" t="s">
        <v>3569</v>
      </c>
      <c r="DC844" t="s">
        <v>363</v>
      </c>
      <c r="DD844" t="s">
        <v>5099</v>
      </c>
      <c r="DE844" t="s">
        <v>5474</v>
      </c>
    </row>
    <row r="845" spans="1:109" ht="11.25" customHeight="1">
      <c r="A845" s="1314" t="s">
        <v>231</v>
      </c>
      <c r="B845" t="s">
        <v>231</v>
      </c>
      <c r="C845" t="s">
        <v>231</v>
      </c>
      <c r="D845" t="s">
        <v>231</v>
      </c>
      <c r="E845" t="s">
        <v>231</v>
      </c>
      <c r="F845" t="s">
        <v>231</v>
      </c>
      <c r="G845" t="s">
        <v>231</v>
      </c>
      <c r="H845" t="s">
        <v>231</v>
      </c>
      <c r="I845" t="s">
        <v>5086</v>
      </c>
      <c r="J845" t="s">
        <v>231</v>
      </c>
      <c r="K845" t="s">
        <v>231</v>
      </c>
      <c r="L845" t="s">
        <v>231</v>
      </c>
      <c r="M845" t="s">
        <v>231</v>
      </c>
      <c r="N845" t="s">
        <v>231</v>
      </c>
      <c r="O845" t="s">
        <v>231</v>
      </c>
      <c r="P845" t="s">
        <v>231</v>
      </c>
      <c r="Q845" t="s">
        <v>231</v>
      </c>
      <c r="R845" t="s">
        <v>5487</v>
      </c>
      <c r="S845" t="s">
        <v>231</v>
      </c>
      <c r="T845" t="s">
        <v>231</v>
      </c>
      <c r="U845" t="s">
        <v>101</v>
      </c>
      <c r="V845" t="s">
        <v>231</v>
      </c>
      <c r="W845" t="s">
        <v>231</v>
      </c>
      <c r="X845" t="s">
        <v>5088</v>
      </c>
      <c r="Y845" t="s">
        <v>231</v>
      </c>
      <c r="Z845" t="s">
        <v>160</v>
      </c>
      <c r="AA845" t="s">
        <v>151</v>
      </c>
      <c r="AB845" t="s">
        <v>151</v>
      </c>
      <c r="AC845" t="s">
        <v>343</v>
      </c>
      <c r="AD845" t="s">
        <v>343</v>
      </c>
      <c r="AE845" t="s">
        <v>344</v>
      </c>
      <c r="AF845" t="s">
        <v>3561</v>
      </c>
      <c r="AG845" t="s">
        <v>3562</v>
      </c>
      <c r="AH845" t="s">
        <v>5125</v>
      </c>
      <c r="AI845" t="s">
        <v>3575</v>
      </c>
      <c r="AJ845" t="s">
        <v>5136</v>
      </c>
      <c r="AK845" t="s">
        <v>5488</v>
      </c>
      <c r="AL845" t="s">
        <v>5112</v>
      </c>
      <c r="AN845" t="s">
        <v>4530</v>
      </c>
      <c r="AO845" t="s">
        <v>5138</v>
      </c>
      <c r="AP845" t="s">
        <v>231</v>
      </c>
      <c r="AQ845" t="s">
        <v>231</v>
      </c>
      <c r="AR845" t="s">
        <v>231</v>
      </c>
      <c r="AS845" t="s">
        <v>231</v>
      </c>
      <c r="AT845" t="s">
        <v>231</v>
      </c>
      <c r="AU845" t="s">
        <v>231</v>
      </c>
      <c r="AV845" t="s">
        <v>231</v>
      </c>
      <c r="AW845" t="s">
        <v>231</v>
      </c>
      <c r="AX845" t="s">
        <v>231</v>
      </c>
      <c r="AY845" t="s">
        <v>231</v>
      </c>
      <c r="AZ845" t="s">
        <v>231</v>
      </c>
      <c r="BA845" t="s">
        <v>231</v>
      </c>
      <c r="BB845" t="s">
        <v>231</v>
      </c>
      <c r="BC845" t="s">
        <v>231</v>
      </c>
      <c r="BD845" t="s">
        <v>231</v>
      </c>
      <c r="BE845" t="s">
        <v>231</v>
      </c>
      <c r="BF845" t="s">
        <v>231</v>
      </c>
      <c r="BG845" t="s">
        <v>231</v>
      </c>
      <c r="BH845" t="s">
        <v>231</v>
      </c>
      <c r="BI845" t="s">
        <v>231</v>
      </c>
      <c r="BJ845" t="s">
        <v>231</v>
      </c>
      <c r="BK845" t="s">
        <v>231</v>
      </c>
      <c r="BL845" t="s">
        <v>231</v>
      </c>
      <c r="BM845" t="s">
        <v>231</v>
      </c>
      <c r="BN845" t="s">
        <v>231</v>
      </c>
      <c r="BO845" t="s">
        <v>231</v>
      </c>
      <c r="BP845" t="s">
        <v>231</v>
      </c>
      <c r="BQ845" t="s">
        <v>231</v>
      </c>
      <c r="BR845" t="s">
        <v>231</v>
      </c>
      <c r="BS845" t="s">
        <v>231</v>
      </c>
      <c r="BT845" t="s">
        <v>231</v>
      </c>
      <c r="CS845" t="s">
        <v>231</v>
      </c>
      <c r="CT845" t="s">
        <v>3534</v>
      </c>
      <c r="CU845" t="s">
        <v>3535</v>
      </c>
      <c r="CV845" t="s">
        <v>3536</v>
      </c>
      <c r="CW845" t="s">
        <v>3569</v>
      </c>
      <c r="CX845" t="s">
        <v>223</v>
      </c>
      <c r="CY845" t="s">
        <v>3536</v>
      </c>
      <c r="CZ845" t="s">
        <v>224</v>
      </c>
      <c r="DA845" t="s">
        <v>3571</v>
      </c>
      <c r="DB845" t="s">
        <v>3569</v>
      </c>
      <c r="DC845" t="s">
        <v>363</v>
      </c>
      <c r="DD845" t="s">
        <v>5099</v>
      </c>
      <c r="DE845" t="s">
        <v>5129</v>
      </c>
    </row>
    <row r="846" spans="1:109" ht="11.25" customHeight="1">
      <c r="A846" s="1314" t="s">
        <v>231</v>
      </c>
      <c r="B846" t="s">
        <v>231</v>
      </c>
      <c r="C846" t="s">
        <v>231</v>
      </c>
      <c r="D846" t="s">
        <v>231</v>
      </c>
      <c r="E846" t="s">
        <v>231</v>
      </c>
      <c r="F846" t="s">
        <v>231</v>
      </c>
      <c r="G846" t="s">
        <v>231</v>
      </c>
      <c r="H846" t="s">
        <v>231</v>
      </c>
      <c r="I846" t="s">
        <v>5086</v>
      </c>
      <c r="J846" t="s">
        <v>231</v>
      </c>
      <c r="K846" t="s">
        <v>231</v>
      </c>
      <c r="L846" t="s">
        <v>231</v>
      </c>
      <c r="M846" t="s">
        <v>231</v>
      </c>
      <c r="N846" t="s">
        <v>231</v>
      </c>
      <c r="O846" t="s">
        <v>231</v>
      </c>
      <c r="P846" t="s">
        <v>231</v>
      </c>
      <c r="Q846" t="s">
        <v>231</v>
      </c>
      <c r="R846" t="s">
        <v>5130</v>
      </c>
      <c r="S846" t="s">
        <v>231</v>
      </c>
      <c r="T846" t="s">
        <v>231</v>
      </c>
      <c r="U846" t="s">
        <v>101</v>
      </c>
      <c r="V846" t="s">
        <v>231</v>
      </c>
      <c r="W846" t="s">
        <v>231</v>
      </c>
      <c r="X846" t="s">
        <v>3955</v>
      </c>
      <c r="Y846" t="s">
        <v>231</v>
      </c>
      <c r="Z846" t="s">
        <v>151</v>
      </c>
      <c r="AA846" t="s">
        <v>160</v>
      </c>
      <c r="AB846" t="s">
        <v>151</v>
      </c>
      <c r="AC846" t="s">
        <v>343</v>
      </c>
      <c r="AD846" t="s">
        <v>343</v>
      </c>
      <c r="AE846" t="s">
        <v>344</v>
      </c>
      <c r="AF846" t="s">
        <v>3561</v>
      </c>
      <c r="AG846" t="s">
        <v>3562</v>
      </c>
      <c r="AH846" t="s">
        <v>5131</v>
      </c>
      <c r="AI846" t="s">
        <v>3575</v>
      </c>
      <c r="AJ846" t="s">
        <v>231</v>
      </c>
      <c r="AK846" t="s">
        <v>231</v>
      </c>
      <c r="AL846" t="s">
        <v>231</v>
      </c>
      <c r="AN846" t="s">
        <v>231</v>
      </c>
      <c r="AO846" t="s">
        <v>231</v>
      </c>
      <c r="AP846" t="s">
        <v>5132</v>
      </c>
      <c r="AQ846" t="s">
        <v>5133</v>
      </c>
      <c r="AR846" t="s">
        <v>111</v>
      </c>
      <c r="AS846" t="s">
        <v>3632</v>
      </c>
      <c r="AT846" t="s">
        <v>122</v>
      </c>
      <c r="AU846" t="s">
        <v>231</v>
      </c>
      <c r="AV846" t="s">
        <v>5130</v>
      </c>
      <c r="AW846" t="s">
        <v>343</v>
      </c>
      <c r="AX846" t="s">
        <v>343</v>
      </c>
      <c r="AY846" t="s">
        <v>3634</v>
      </c>
      <c r="AZ846" t="s">
        <v>3561</v>
      </c>
      <c r="BA846" t="s">
        <v>3635</v>
      </c>
      <c r="BB846" t="s">
        <v>5131</v>
      </c>
      <c r="BC846" t="s">
        <v>3575</v>
      </c>
      <c r="BD846" t="s">
        <v>3529</v>
      </c>
      <c r="BE846" t="s">
        <v>231</v>
      </c>
      <c r="BF846" t="s">
        <v>231</v>
      </c>
      <c r="BG846" t="s">
        <v>231</v>
      </c>
      <c r="BH846" t="s">
        <v>231</v>
      </c>
      <c r="BI846" t="s">
        <v>231</v>
      </c>
      <c r="BJ846" t="s">
        <v>231</v>
      </c>
      <c r="BK846" t="s">
        <v>231</v>
      </c>
      <c r="BL846" t="s">
        <v>231</v>
      </c>
      <c r="BM846" t="s">
        <v>231</v>
      </c>
      <c r="BN846" t="s">
        <v>231</v>
      </c>
      <c r="BO846" t="s">
        <v>231</v>
      </c>
      <c r="BP846" t="s">
        <v>231</v>
      </c>
      <c r="BQ846" t="s">
        <v>231</v>
      </c>
      <c r="BR846" t="s">
        <v>231</v>
      </c>
      <c r="BS846" t="s">
        <v>231</v>
      </c>
      <c r="BT846" t="s">
        <v>231</v>
      </c>
      <c r="CS846" t="s">
        <v>231</v>
      </c>
      <c r="CT846" t="s">
        <v>3534</v>
      </c>
      <c r="CU846" t="s">
        <v>3535</v>
      </c>
      <c r="CV846" t="s">
        <v>3536</v>
      </c>
      <c r="CW846" t="s">
        <v>3569</v>
      </c>
      <c r="CX846" t="s">
        <v>3570</v>
      </c>
      <c r="CY846" t="s">
        <v>3536</v>
      </c>
      <c r="CZ846" t="s">
        <v>224</v>
      </c>
      <c r="DA846" t="s">
        <v>3571</v>
      </c>
      <c r="DB846" t="s">
        <v>3569</v>
      </c>
      <c r="DC846" t="s">
        <v>363</v>
      </c>
      <c r="DD846" t="s">
        <v>5099</v>
      </c>
      <c r="DE846" t="s">
        <v>5134</v>
      </c>
    </row>
    <row r="847" spans="1:109" ht="11.25" customHeight="1">
      <c r="A847" s="1314" t="s">
        <v>231</v>
      </c>
      <c r="B847" t="s">
        <v>231</v>
      </c>
      <c r="C847" t="s">
        <v>231</v>
      </c>
      <c r="D847" t="s">
        <v>231</v>
      </c>
      <c r="E847" t="s">
        <v>231</v>
      </c>
      <c r="F847" t="s">
        <v>231</v>
      </c>
      <c r="G847" t="s">
        <v>231</v>
      </c>
      <c r="H847" t="s">
        <v>231</v>
      </c>
      <c r="I847" t="s">
        <v>5086</v>
      </c>
      <c r="J847" t="s">
        <v>231</v>
      </c>
      <c r="K847" t="s">
        <v>231</v>
      </c>
      <c r="L847" t="s">
        <v>231</v>
      </c>
      <c r="M847" t="s">
        <v>231</v>
      </c>
      <c r="N847" t="s">
        <v>231</v>
      </c>
      <c r="O847" t="s">
        <v>231</v>
      </c>
      <c r="P847" t="s">
        <v>231</v>
      </c>
      <c r="Q847" t="s">
        <v>231</v>
      </c>
      <c r="R847" t="s">
        <v>5135</v>
      </c>
      <c r="S847" t="s">
        <v>231</v>
      </c>
      <c r="T847" t="s">
        <v>231</v>
      </c>
      <c r="U847" t="s">
        <v>101</v>
      </c>
      <c r="V847" t="s">
        <v>231</v>
      </c>
      <c r="W847" t="s">
        <v>231</v>
      </c>
      <c r="X847" t="s">
        <v>5088</v>
      </c>
      <c r="Y847" t="s">
        <v>231</v>
      </c>
      <c r="Z847" t="s">
        <v>160</v>
      </c>
      <c r="AA847" t="s">
        <v>151</v>
      </c>
      <c r="AB847" t="s">
        <v>151</v>
      </c>
      <c r="AC847" t="s">
        <v>343</v>
      </c>
      <c r="AD847" t="s">
        <v>343</v>
      </c>
      <c r="AE847" t="s">
        <v>344</v>
      </c>
      <c r="AF847" t="s">
        <v>3561</v>
      </c>
      <c r="AG847" t="s">
        <v>3562</v>
      </c>
      <c r="AH847" t="s">
        <v>5125</v>
      </c>
      <c r="AI847" t="s">
        <v>3575</v>
      </c>
      <c r="AJ847" t="s">
        <v>5136</v>
      </c>
      <c r="AK847" t="s">
        <v>5137</v>
      </c>
      <c r="AL847" t="s">
        <v>5112</v>
      </c>
      <c r="AN847" t="s">
        <v>4530</v>
      </c>
      <c r="AO847" t="s">
        <v>5138</v>
      </c>
      <c r="AP847" t="s">
        <v>231</v>
      </c>
      <c r="AQ847" t="s">
        <v>231</v>
      </c>
      <c r="AR847" t="s">
        <v>231</v>
      </c>
      <c r="AS847" t="s">
        <v>231</v>
      </c>
      <c r="AT847" t="s">
        <v>231</v>
      </c>
      <c r="AU847" t="s">
        <v>231</v>
      </c>
      <c r="AV847" t="s">
        <v>231</v>
      </c>
      <c r="AW847" t="s">
        <v>231</v>
      </c>
      <c r="AX847" t="s">
        <v>231</v>
      </c>
      <c r="AY847" t="s">
        <v>231</v>
      </c>
      <c r="AZ847" t="s">
        <v>231</v>
      </c>
      <c r="BA847" t="s">
        <v>231</v>
      </c>
      <c r="BB847" t="s">
        <v>231</v>
      </c>
      <c r="BC847" t="s">
        <v>231</v>
      </c>
      <c r="BD847" t="s">
        <v>231</v>
      </c>
      <c r="BE847" t="s">
        <v>231</v>
      </c>
      <c r="BF847" t="s">
        <v>231</v>
      </c>
      <c r="BG847" t="s">
        <v>231</v>
      </c>
      <c r="BH847" t="s">
        <v>231</v>
      </c>
      <c r="BI847" t="s">
        <v>231</v>
      </c>
      <c r="BJ847" t="s">
        <v>231</v>
      </c>
      <c r="BK847" t="s">
        <v>231</v>
      </c>
      <c r="BL847" t="s">
        <v>231</v>
      </c>
      <c r="BM847" t="s">
        <v>231</v>
      </c>
      <c r="BN847" t="s">
        <v>231</v>
      </c>
      <c r="BO847" t="s">
        <v>231</v>
      </c>
      <c r="BP847" t="s">
        <v>231</v>
      </c>
      <c r="BQ847" t="s">
        <v>231</v>
      </c>
      <c r="BR847" t="s">
        <v>231</v>
      </c>
      <c r="BS847" t="s">
        <v>231</v>
      </c>
      <c r="BT847" t="s">
        <v>231</v>
      </c>
      <c r="CS847" t="s">
        <v>231</v>
      </c>
      <c r="CT847" t="s">
        <v>3534</v>
      </c>
      <c r="CU847" t="s">
        <v>3535</v>
      </c>
      <c r="CV847" t="s">
        <v>3536</v>
      </c>
      <c r="CW847" t="s">
        <v>3569</v>
      </c>
      <c r="CX847" t="s">
        <v>223</v>
      </c>
      <c r="CY847" t="s">
        <v>3536</v>
      </c>
      <c r="CZ847" t="s">
        <v>224</v>
      </c>
      <c r="DA847" t="s">
        <v>3571</v>
      </c>
      <c r="DB847" t="s">
        <v>3569</v>
      </c>
      <c r="DC847" t="s">
        <v>363</v>
      </c>
      <c r="DD847" t="s">
        <v>5099</v>
      </c>
      <c r="DE847" t="s">
        <v>5129</v>
      </c>
    </row>
    <row r="848" spans="1:109" ht="11.25" customHeight="1">
      <c r="A848" s="1314" t="s">
        <v>231</v>
      </c>
      <c r="B848" t="s">
        <v>231</v>
      </c>
      <c r="C848" t="s">
        <v>231</v>
      </c>
      <c r="D848" t="s">
        <v>231</v>
      </c>
      <c r="E848" t="s">
        <v>231</v>
      </c>
      <c r="F848" t="s">
        <v>231</v>
      </c>
      <c r="G848" t="s">
        <v>231</v>
      </c>
      <c r="H848" t="s">
        <v>231</v>
      </c>
      <c r="I848" t="s">
        <v>5086</v>
      </c>
      <c r="J848" t="s">
        <v>231</v>
      </c>
      <c r="K848" t="s">
        <v>231</v>
      </c>
      <c r="L848" t="s">
        <v>231</v>
      </c>
      <c r="M848" t="s">
        <v>231</v>
      </c>
      <c r="N848" t="s">
        <v>231</v>
      </c>
      <c r="O848" t="s">
        <v>231</v>
      </c>
      <c r="P848" t="s">
        <v>231</v>
      </c>
      <c r="Q848" t="s">
        <v>231</v>
      </c>
      <c r="R848" t="s">
        <v>5124</v>
      </c>
      <c r="S848" t="s">
        <v>231</v>
      </c>
      <c r="T848" t="s">
        <v>231</v>
      </c>
      <c r="U848" t="s">
        <v>101</v>
      </c>
      <c r="V848" t="s">
        <v>231</v>
      </c>
      <c r="W848" t="s">
        <v>231</v>
      </c>
      <c r="X848" t="s">
        <v>5088</v>
      </c>
      <c r="Y848" t="s">
        <v>231</v>
      </c>
      <c r="Z848" t="s">
        <v>160</v>
      </c>
      <c r="AA848" t="s">
        <v>151</v>
      </c>
      <c r="AB848" t="s">
        <v>151</v>
      </c>
      <c r="AC848" t="s">
        <v>343</v>
      </c>
      <c r="AD848" t="s">
        <v>343</v>
      </c>
      <c r="AE848" t="s">
        <v>344</v>
      </c>
      <c r="AF848" t="s">
        <v>3561</v>
      </c>
      <c r="AG848" t="s">
        <v>3562</v>
      </c>
      <c r="AH848" t="s">
        <v>5125</v>
      </c>
      <c r="AI848" t="s">
        <v>3575</v>
      </c>
      <c r="AJ848" t="s">
        <v>3825</v>
      </c>
      <c r="AK848" t="s">
        <v>5126</v>
      </c>
      <c r="AL848" t="s">
        <v>5112</v>
      </c>
      <c r="AN848" t="s">
        <v>5127</v>
      </c>
      <c r="AO848" t="s">
        <v>5128</v>
      </c>
      <c r="AP848" t="s">
        <v>231</v>
      </c>
      <c r="AQ848" t="s">
        <v>231</v>
      </c>
      <c r="AR848" t="s">
        <v>231</v>
      </c>
      <c r="AS848" t="s">
        <v>231</v>
      </c>
      <c r="AT848" t="s">
        <v>231</v>
      </c>
      <c r="AU848" t="s">
        <v>231</v>
      </c>
      <c r="AV848" t="s">
        <v>231</v>
      </c>
      <c r="AW848" t="s">
        <v>231</v>
      </c>
      <c r="AX848" t="s">
        <v>231</v>
      </c>
      <c r="AY848" t="s">
        <v>231</v>
      </c>
      <c r="AZ848" t="s">
        <v>231</v>
      </c>
      <c r="BA848" t="s">
        <v>231</v>
      </c>
      <c r="BB848" t="s">
        <v>231</v>
      </c>
      <c r="BC848" t="s">
        <v>231</v>
      </c>
      <c r="BD848" t="s">
        <v>231</v>
      </c>
      <c r="BE848" t="s">
        <v>231</v>
      </c>
      <c r="BF848" t="s">
        <v>231</v>
      </c>
      <c r="BG848" t="s">
        <v>231</v>
      </c>
      <c r="BH848" t="s">
        <v>231</v>
      </c>
      <c r="BI848" t="s">
        <v>231</v>
      </c>
      <c r="BJ848" t="s">
        <v>231</v>
      </c>
      <c r="BK848" t="s">
        <v>231</v>
      </c>
      <c r="BL848" t="s">
        <v>231</v>
      </c>
      <c r="BM848" t="s">
        <v>231</v>
      </c>
      <c r="BN848" t="s">
        <v>231</v>
      </c>
      <c r="BO848" t="s">
        <v>231</v>
      </c>
      <c r="BP848" t="s">
        <v>231</v>
      </c>
      <c r="BQ848" t="s">
        <v>231</v>
      </c>
      <c r="BR848" t="s">
        <v>231</v>
      </c>
      <c r="BS848" t="s">
        <v>231</v>
      </c>
      <c r="BT848" t="s">
        <v>231</v>
      </c>
      <c r="CS848" t="s">
        <v>231</v>
      </c>
      <c r="CT848" t="s">
        <v>3534</v>
      </c>
      <c r="CU848" t="s">
        <v>3535</v>
      </c>
      <c r="CV848" t="s">
        <v>3536</v>
      </c>
      <c r="CW848" t="s">
        <v>3569</v>
      </c>
      <c r="CX848" t="s">
        <v>223</v>
      </c>
      <c r="CY848" t="s">
        <v>3536</v>
      </c>
      <c r="CZ848" t="s">
        <v>224</v>
      </c>
      <c r="DA848" t="s">
        <v>3571</v>
      </c>
      <c r="DB848" t="s">
        <v>3569</v>
      </c>
      <c r="DC848" t="s">
        <v>363</v>
      </c>
      <c r="DD848" t="s">
        <v>5099</v>
      </c>
      <c r="DE848" t="s">
        <v>5129</v>
      </c>
    </row>
    <row r="849" spans="1:109" ht="11.25" customHeight="1">
      <c r="A849" s="1314" t="s">
        <v>231</v>
      </c>
      <c r="B849" t="s">
        <v>231</v>
      </c>
      <c r="C849" t="s">
        <v>231</v>
      </c>
      <c r="D849" t="s">
        <v>231</v>
      </c>
      <c r="E849" t="s">
        <v>231</v>
      </c>
      <c r="F849" t="s">
        <v>231</v>
      </c>
      <c r="G849" t="s">
        <v>231</v>
      </c>
      <c r="H849" t="s">
        <v>231</v>
      </c>
      <c r="I849" t="s">
        <v>5086</v>
      </c>
      <c r="J849" t="s">
        <v>231</v>
      </c>
      <c r="K849" t="s">
        <v>231</v>
      </c>
      <c r="L849" t="s">
        <v>231</v>
      </c>
      <c r="M849" t="s">
        <v>231</v>
      </c>
      <c r="N849" t="s">
        <v>231</v>
      </c>
      <c r="O849" t="s">
        <v>231</v>
      </c>
      <c r="P849" t="s">
        <v>231</v>
      </c>
      <c r="Q849" t="s">
        <v>231</v>
      </c>
      <c r="R849" t="s">
        <v>5108</v>
      </c>
      <c r="S849" t="s">
        <v>231</v>
      </c>
      <c r="T849" t="s">
        <v>231</v>
      </c>
      <c r="U849" t="s">
        <v>101</v>
      </c>
      <c r="V849" t="s">
        <v>231</v>
      </c>
      <c r="W849" t="s">
        <v>231</v>
      </c>
      <c r="X849" t="s">
        <v>5088</v>
      </c>
      <c r="Y849" t="s">
        <v>231</v>
      </c>
      <c r="Z849" t="s">
        <v>160</v>
      </c>
      <c r="AA849" t="s">
        <v>151</v>
      </c>
      <c r="AB849" t="s">
        <v>151</v>
      </c>
      <c r="AC849" t="s">
        <v>2262</v>
      </c>
      <c r="AD849" t="s">
        <v>2262</v>
      </c>
      <c r="AE849" t="s">
        <v>2264</v>
      </c>
      <c r="AF849" t="s">
        <v>3524</v>
      </c>
      <c r="AG849" t="s">
        <v>3525</v>
      </c>
      <c r="AH849" t="s">
        <v>5448</v>
      </c>
      <c r="AI849" t="s">
        <v>5449</v>
      </c>
      <c r="AJ849" t="s">
        <v>5140</v>
      </c>
      <c r="AK849" t="s">
        <v>5141</v>
      </c>
      <c r="AL849" t="s">
        <v>5092</v>
      </c>
      <c r="AN849" t="s">
        <v>5435</v>
      </c>
      <c r="AO849" t="s">
        <v>5114</v>
      </c>
      <c r="AP849" t="s">
        <v>231</v>
      </c>
      <c r="AQ849" t="s">
        <v>231</v>
      </c>
      <c r="AR849" t="s">
        <v>231</v>
      </c>
      <c r="AS849" t="s">
        <v>231</v>
      </c>
      <c r="AT849" t="s">
        <v>231</v>
      </c>
      <c r="AU849" t="s">
        <v>231</v>
      </c>
      <c r="AV849" t="s">
        <v>231</v>
      </c>
      <c r="AW849" t="s">
        <v>231</v>
      </c>
      <c r="AX849" t="s">
        <v>231</v>
      </c>
      <c r="AY849" t="s">
        <v>231</v>
      </c>
      <c r="AZ849" t="s">
        <v>231</v>
      </c>
      <c r="BA849" t="s">
        <v>231</v>
      </c>
      <c r="BB849" t="s">
        <v>231</v>
      </c>
      <c r="BC849" t="s">
        <v>231</v>
      </c>
      <c r="BD849" t="s">
        <v>231</v>
      </c>
      <c r="BE849" t="s">
        <v>231</v>
      </c>
      <c r="BF849" t="s">
        <v>231</v>
      </c>
      <c r="BG849" t="s">
        <v>231</v>
      </c>
      <c r="BH849" t="s">
        <v>231</v>
      </c>
      <c r="BI849" t="s">
        <v>231</v>
      </c>
      <c r="BJ849" t="s">
        <v>231</v>
      </c>
      <c r="BK849" t="s">
        <v>231</v>
      </c>
      <c r="BL849" t="s">
        <v>231</v>
      </c>
      <c r="BM849" t="s">
        <v>231</v>
      </c>
      <c r="BN849" t="s">
        <v>231</v>
      </c>
      <c r="BO849" t="s">
        <v>231</v>
      </c>
      <c r="BP849" t="s">
        <v>231</v>
      </c>
      <c r="BQ849" t="s">
        <v>231</v>
      </c>
      <c r="BR849" t="s">
        <v>231</v>
      </c>
      <c r="BS849" t="s">
        <v>231</v>
      </c>
      <c r="BT849" t="s">
        <v>231</v>
      </c>
      <c r="CS849" t="s">
        <v>231</v>
      </c>
      <c r="CT849" t="s">
        <v>3534</v>
      </c>
      <c r="CU849" t="s">
        <v>3535</v>
      </c>
      <c r="CV849" t="s">
        <v>3536</v>
      </c>
      <c r="CW849" t="s">
        <v>3537</v>
      </c>
      <c r="CX849" t="s">
        <v>223</v>
      </c>
      <c r="CY849" t="s">
        <v>3536</v>
      </c>
      <c r="CZ849" t="s">
        <v>3538</v>
      </c>
      <c r="DA849" t="s">
        <v>3539</v>
      </c>
      <c r="DB849" t="s">
        <v>3537</v>
      </c>
      <c r="DC849" t="s">
        <v>363</v>
      </c>
      <c r="DD849" t="s">
        <v>5099</v>
      </c>
      <c r="DE849" t="s">
        <v>5450</v>
      </c>
    </row>
    <row r="850" spans="1:109" ht="11.25" customHeight="1">
      <c r="A850" s="1314" t="s">
        <v>231</v>
      </c>
      <c r="B850" t="s">
        <v>231</v>
      </c>
      <c r="C850" t="s">
        <v>231</v>
      </c>
      <c r="D850" t="s">
        <v>231</v>
      </c>
      <c r="E850" t="s">
        <v>231</v>
      </c>
      <c r="F850" t="s">
        <v>231</v>
      </c>
      <c r="G850" t="s">
        <v>231</v>
      </c>
      <c r="H850" t="s">
        <v>231</v>
      </c>
      <c r="I850" t="s">
        <v>5086</v>
      </c>
      <c r="J850" t="s">
        <v>231</v>
      </c>
      <c r="K850" t="s">
        <v>231</v>
      </c>
      <c r="L850" t="s">
        <v>231</v>
      </c>
      <c r="M850" t="s">
        <v>231</v>
      </c>
      <c r="N850" t="s">
        <v>231</v>
      </c>
      <c r="O850" t="s">
        <v>231</v>
      </c>
      <c r="P850" t="s">
        <v>231</v>
      </c>
      <c r="Q850" t="s">
        <v>231</v>
      </c>
      <c r="R850" t="s">
        <v>5475</v>
      </c>
      <c r="S850" t="s">
        <v>231</v>
      </c>
      <c r="T850" t="s">
        <v>231</v>
      </c>
      <c r="U850" t="s">
        <v>101</v>
      </c>
      <c r="V850" t="s">
        <v>231</v>
      </c>
      <c r="W850" t="s">
        <v>231</v>
      </c>
      <c r="X850" t="s">
        <v>3955</v>
      </c>
      <c r="Y850" t="s">
        <v>231</v>
      </c>
      <c r="Z850" t="s">
        <v>151</v>
      </c>
      <c r="AA850" t="s">
        <v>160</v>
      </c>
      <c r="AB850" t="s">
        <v>151</v>
      </c>
      <c r="AC850" t="s">
        <v>2262</v>
      </c>
      <c r="AD850" t="s">
        <v>2262</v>
      </c>
      <c r="AE850" t="s">
        <v>2264</v>
      </c>
      <c r="AF850" t="s">
        <v>3524</v>
      </c>
      <c r="AG850" t="s">
        <v>3525</v>
      </c>
      <c r="AH850" t="s">
        <v>5448</v>
      </c>
      <c r="AI850" t="s">
        <v>5476</v>
      </c>
      <c r="AJ850" t="s">
        <v>231</v>
      </c>
      <c r="AK850" t="s">
        <v>231</v>
      </c>
      <c r="AL850" t="s">
        <v>231</v>
      </c>
      <c r="AN850" t="s">
        <v>231</v>
      </c>
      <c r="AO850" t="s">
        <v>231</v>
      </c>
      <c r="AP850" t="s">
        <v>5477</v>
      </c>
      <c r="AQ850" t="s">
        <v>5141</v>
      </c>
      <c r="AR850" t="s">
        <v>111</v>
      </c>
      <c r="AS850" t="s">
        <v>3632</v>
      </c>
      <c r="AT850" t="s">
        <v>122</v>
      </c>
      <c r="AU850" t="s">
        <v>231</v>
      </c>
      <c r="AV850" t="s">
        <v>5408</v>
      </c>
      <c r="AW850" t="s">
        <v>2262</v>
      </c>
      <c r="AX850" t="s">
        <v>2262</v>
      </c>
      <c r="AY850" t="s">
        <v>4884</v>
      </c>
      <c r="AZ850" t="s">
        <v>3524</v>
      </c>
      <c r="BA850" t="s">
        <v>5143</v>
      </c>
      <c r="BB850" t="s">
        <v>5448</v>
      </c>
      <c r="BC850" t="s">
        <v>5476</v>
      </c>
      <c r="BD850" t="s">
        <v>3532</v>
      </c>
      <c r="BE850" t="s">
        <v>231</v>
      </c>
      <c r="BF850" t="s">
        <v>231</v>
      </c>
      <c r="BG850" t="s">
        <v>231</v>
      </c>
      <c r="BH850" t="s">
        <v>231</v>
      </c>
      <c r="BI850" t="s">
        <v>231</v>
      </c>
      <c r="BJ850" t="s">
        <v>231</v>
      </c>
      <c r="BK850" t="s">
        <v>231</v>
      </c>
      <c r="BL850" t="s">
        <v>231</v>
      </c>
      <c r="BM850" t="s">
        <v>231</v>
      </c>
      <c r="BN850" t="s">
        <v>231</v>
      </c>
      <c r="BO850" t="s">
        <v>231</v>
      </c>
      <c r="BP850" t="s">
        <v>231</v>
      </c>
      <c r="BQ850" t="s">
        <v>231</v>
      </c>
      <c r="BR850" t="s">
        <v>231</v>
      </c>
      <c r="BS850" t="s">
        <v>231</v>
      </c>
      <c r="BT850" t="s">
        <v>231</v>
      </c>
      <c r="CS850" t="s">
        <v>231</v>
      </c>
      <c r="CT850" t="s">
        <v>3534</v>
      </c>
      <c r="CU850" t="s">
        <v>3535</v>
      </c>
      <c r="CV850" t="s">
        <v>3536</v>
      </c>
      <c r="CW850" t="s">
        <v>3537</v>
      </c>
      <c r="CX850" t="s">
        <v>223</v>
      </c>
      <c r="CY850" t="s">
        <v>3536</v>
      </c>
      <c r="CZ850" t="s">
        <v>3538</v>
      </c>
      <c r="DA850" t="s">
        <v>3539</v>
      </c>
      <c r="DB850" t="s">
        <v>3537</v>
      </c>
      <c r="DC850" t="s">
        <v>363</v>
      </c>
      <c r="DD850" t="s">
        <v>5099</v>
      </c>
      <c r="DE850" t="s">
        <v>5478</v>
      </c>
    </row>
    <row r="851" spans="1:109" ht="11.25" customHeight="1">
      <c r="A851" s="1314" t="s">
        <v>231</v>
      </c>
      <c r="B851" t="s">
        <v>231</v>
      </c>
      <c r="C851" t="s">
        <v>231</v>
      </c>
      <c r="D851" t="s">
        <v>231</v>
      </c>
      <c r="E851" t="s">
        <v>231</v>
      </c>
      <c r="F851" t="s">
        <v>231</v>
      </c>
      <c r="G851" t="s">
        <v>231</v>
      </c>
      <c r="H851" t="s">
        <v>231</v>
      </c>
      <c r="I851" t="s">
        <v>5086</v>
      </c>
      <c r="J851" t="s">
        <v>231</v>
      </c>
      <c r="K851" t="s">
        <v>231</v>
      </c>
      <c r="L851" t="s">
        <v>231</v>
      </c>
      <c r="M851" t="s">
        <v>231</v>
      </c>
      <c r="N851" t="s">
        <v>231</v>
      </c>
      <c r="O851" t="s">
        <v>231</v>
      </c>
      <c r="P851" t="s">
        <v>231</v>
      </c>
      <c r="Q851" t="s">
        <v>231</v>
      </c>
      <c r="R851" t="s">
        <v>5186</v>
      </c>
      <c r="S851" t="s">
        <v>231</v>
      </c>
      <c r="T851" t="s">
        <v>231</v>
      </c>
      <c r="U851" t="s">
        <v>101</v>
      </c>
      <c r="V851" t="s">
        <v>231</v>
      </c>
      <c r="W851" t="s">
        <v>231</v>
      </c>
      <c r="X851" t="s">
        <v>5088</v>
      </c>
      <c r="Y851" t="s">
        <v>231</v>
      </c>
      <c r="Z851" t="s">
        <v>160</v>
      </c>
      <c r="AA851" t="s">
        <v>151</v>
      </c>
      <c r="AB851" t="s">
        <v>151</v>
      </c>
      <c r="AC851" t="s">
        <v>2262</v>
      </c>
      <c r="AD851" t="s">
        <v>2262</v>
      </c>
      <c r="AE851" t="s">
        <v>2264</v>
      </c>
      <c r="AF851" t="s">
        <v>4879</v>
      </c>
      <c r="AG851" t="s">
        <v>4880</v>
      </c>
      <c r="AH851" t="s">
        <v>5187</v>
      </c>
      <c r="AI851" t="s">
        <v>3575</v>
      </c>
      <c r="AJ851" t="s">
        <v>3529</v>
      </c>
      <c r="AK851" t="s">
        <v>5188</v>
      </c>
      <c r="AL851" t="s">
        <v>5092</v>
      </c>
      <c r="AN851" t="s">
        <v>3621</v>
      </c>
      <c r="AO851" t="s">
        <v>4545</v>
      </c>
      <c r="AP851" t="s">
        <v>231</v>
      </c>
      <c r="AQ851" t="s">
        <v>231</v>
      </c>
      <c r="AR851" t="s">
        <v>231</v>
      </c>
      <c r="AS851" t="s">
        <v>231</v>
      </c>
      <c r="AT851" t="s">
        <v>231</v>
      </c>
      <c r="AU851" t="s">
        <v>231</v>
      </c>
      <c r="AV851" t="s">
        <v>231</v>
      </c>
      <c r="AW851" t="s">
        <v>231</v>
      </c>
      <c r="AX851" t="s">
        <v>231</v>
      </c>
      <c r="AY851" t="s">
        <v>231</v>
      </c>
      <c r="AZ851" t="s">
        <v>231</v>
      </c>
      <c r="BA851" t="s">
        <v>231</v>
      </c>
      <c r="BB851" t="s">
        <v>231</v>
      </c>
      <c r="BC851" t="s">
        <v>231</v>
      </c>
      <c r="BD851" t="s">
        <v>231</v>
      </c>
      <c r="BE851" t="s">
        <v>231</v>
      </c>
      <c r="BF851" t="s">
        <v>231</v>
      </c>
      <c r="BG851" t="s">
        <v>231</v>
      </c>
      <c r="BH851" t="s">
        <v>231</v>
      </c>
      <c r="BI851" t="s">
        <v>231</v>
      </c>
      <c r="BJ851" t="s">
        <v>231</v>
      </c>
      <c r="BK851" t="s">
        <v>231</v>
      </c>
      <c r="BL851" t="s">
        <v>231</v>
      </c>
      <c r="BM851" t="s">
        <v>231</v>
      </c>
      <c r="BN851" t="s">
        <v>231</v>
      </c>
      <c r="BO851" t="s">
        <v>231</v>
      </c>
      <c r="BP851" t="s">
        <v>231</v>
      </c>
      <c r="BQ851" t="s">
        <v>231</v>
      </c>
      <c r="BR851" t="s">
        <v>231</v>
      </c>
      <c r="BS851" t="s">
        <v>231</v>
      </c>
      <c r="BT851" t="s">
        <v>231</v>
      </c>
      <c r="CS851" t="s">
        <v>231</v>
      </c>
      <c r="CT851" t="s">
        <v>3534</v>
      </c>
      <c r="CU851" t="s">
        <v>3535</v>
      </c>
      <c r="CV851" t="s">
        <v>3536</v>
      </c>
      <c r="CW851" t="s">
        <v>4891</v>
      </c>
      <c r="CX851" t="s">
        <v>223</v>
      </c>
      <c r="CY851" t="s">
        <v>3536</v>
      </c>
      <c r="CZ851" t="s">
        <v>321</v>
      </c>
      <c r="DA851" t="s">
        <v>3539</v>
      </c>
      <c r="DB851" t="s">
        <v>4891</v>
      </c>
      <c r="DC851" t="s">
        <v>363</v>
      </c>
      <c r="DD851" t="s">
        <v>5099</v>
      </c>
      <c r="DE851" t="s">
        <v>5189</v>
      </c>
    </row>
    <row r="852" spans="1:109" ht="11.25" customHeight="1">
      <c r="A852" s="1314" t="s">
        <v>231</v>
      </c>
      <c r="B852" t="s">
        <v>231</v>
      </c>
      <c r="C852" t="s">
        <v>231</v>
      </c>
      <c r="D852" t="s">
        <v>231</v>
      </c>
      <c r="E852" t="s">
        <v>231</v>
      </c>
      <c r="F852" t="s">
        <v>231</v>
      </c>
      <c r="G852" t="s">
        <v>231</v>
      </c>
      <c r="H852" t="s">
        <v>231</v>
      </c>
      <c r="I852" t="s">
        <v>5086</v>
      </c>
      <c r="J852" t="s">
        <v>231</v>
      </c>
      <c r="K852" t="s">
        <v>231</v>
      </c>
      <c r="L852" t="s">
        <v>231</v>
      </c>
      <c r="M852" t="s">
        <v>231</v>
      </c>
      <c r="N852" t="s">
        <v>231</v>
      </c>
      <c r="O852" t="s">
        <v>231</v>
      </c>
      <c r="P852" t="s">
        <v>231</v>
      </c>
      <c r="Q852" t="s">
        <v>231</v>
      </c>
      <c r="R852" t="s">
        <v>5479</v>
      </c>
      <c r="S852" t="s">
        <v>231</v>
      </c>
      <c r="T852" t="s">
        <v>231</v>
      </c>
      <c r="U852" t="s">
        <v>101</v>
      </c>
      <c r="V852" t="s">
        <v>231</v>
      </c>
      <c r="W852" t="s">
        <v>231</v>
      </c>
      <c r="X852" t="s">
        <v>3955</v>
      </c>
      <c r="Y852" t="s">
        <v>231</v>
      </c>
      <c r="Z852" t="s">
        <v>151</v>
      </c>
      <c r="AA852" t="s">
        <v>160</v>
      </c>
      <c r="AB852" t="s">
        <v>151</v>
      </c>
      <c r="AC852" t="s">
        <v>2262</v>
      </c>
      <c r="AD852" t="s">
        <v>2262</v>
      </c>
      <c r="AE852" t="s">
        <v>2264</v>
      </c>
      <c r="AF852" t="s">
        <v>4420</v>
      </c>
      <c r="AG852" t="s">
        <v>4421</v>
      </c>
      <c r="AH852" t="s">
        <v>5480</v>
      </c>
      <c r="AI852" t="s">
        <v>5481</v>
      </c>
      <c r="AJ852" t="s">
        <v>231</v>
      </c>
      <c r="AK852" t="s">
        <v>231</v>
      </c>
      <c r="AL852" t="s">
        <v>231</v>
      </c>
      <c r="AN852" t="s">
        <v>231</v>
      </c>
      <c r="AO852" t="s">
        <v>231</v>
      </c>
      <c r="AP852" t="s">
        <v>4960</v>
      </c>
      <c r="AQ852" t="s">
        <v>5482</v>
      </c>
      <c r="AR852" t="s">
        <v>111</v>
      </c>
      <c r="AS852" t="s">
        <v>3632</v>
      </c>
      <c r="AT852" t="s">
        <v>122</v>
      </c>
      <c r="AU852" t="s">
        <v>231</v>
      </c>
      <c r="AV852" t="s">
        <v>5408</v>
      </c>
      <c r="AW852" t="s">
        <v>2262</v>
      </c>
      <c r="AX852" t="s">
        <v>2262</v>
      </c>
      <c r="AY852" t="s">
        <v>4884</v>
      </c>
      <c r="AZ852" t="s">
        <v>4420</v>
      </c>
      <c r="BA852" t="s">
        <v>5483</v>
      </c>
      <c r="BB852" t="s">
        <v>4422</v>
      </c>
      <c r="BC852" t="s">
        <v>3575</v>
      </c>
      <c r="BD852" t="s">
        <v>3532</v>
      </c>
      <c r="BE852" t="s">
        <v>231</v>
      </c>
      <c r="BF852" t="s">
        <v>231</v>
      </c>
      <c r="BG852" t="s">
        <v>231</v>
      </c>
      <c r="BH852" t="s">
        <v>231</v>
      </c>
      <c r="BI852" t="s">
        <v>231</v>
      </c>
      <c r="BJ852" t="s">
        <v>231</v>
      </c>
      <c r="BK852" t="s">
        <v>231</v>
      </c>
      <c r="BL852" t="s">
        <v>231</v>
      </c>
      <c r="BM852" t="s">
        <v>231</v>
      </c>
      <c r="BN852" t="s">
        <v>231</v>
      </c>
      <c r="BO852" t="s">
        <v>231</v>
      </c>
      <c r="BP852" t="s">
        <v>231</v>
      </c>
      <c r="BQ852" t="s">
        <v>231</v>
      </c>
      <c r="BR852" t="s">
        <v>231</v>
      </c>
      <c r="BS852" t="s">
        <v>231</v>
      </c>
      <c r="BT852" t="s">
        <v>231</v>
      </c>
      <c r="CS852" t="s">
        <v>231</v>
      </c>
      <c r="CT852" t="s">
        <v>3534</v>
      </c>
      <c r="CU852" t="s">
        <v>3535</v>
      </c>
      <c r="CV852" t="s">
        <v>3536</v>
      </c>
      <c r="CW852" t="s">
        <v>3537</v>
      </c>
      <c r="CX852" t="s">
        <v>223</v>
      </c>
      <c r="CY852" t="s">
        <v>3536</v>
      </c>
      <c r="CZ852" t="s">
        <v>3538</v>
      </c>
      <c r="DA852" t="s">
        <v>3539</v>
      </c>
      <c r="DB852" t="s">
        <v>3537</v>
      </c>
      <c r="DC852" t="s">
        <v>363</v>
      </c>
      <c r="DD852" t="s">
        <v>5099</v>
      </c>
      <c r="DE852" t="s">
        <v>5546</v>
      </c>
    </row>
    <row r="853" spans="1:109" ht="11.25" customHeight="1">
      <c r="A853" s="1314" t="s">
        <v>231</v>
      </c>
      <c r="B853" t="s">
        <v>231</v>
      </c>
      <c r="C853" t="s">
        <v>231</v>
      </c>
      <c r="D853" t="s">
        <v>231</v>
      </c>
      <c r="E853" t="s">
        <v>231</v>
      </c>
      <c r="F853" t="s">
        <v>231</v>
      </c>
      <c r="G853" t="s">
        <v>231</v>
      </c>
      <c r="H853" t="s">
        <v>231</v>
      </c>
      <c r="I853" t="s">
        <v>5086</v>
      </c>
      <c r="J853" t="s">
        <v>231</v>
      </c>
      <c r="K853" t="s">
        <v>231</v>
      </c>
      <c r="L853" t="s">
        <v>231</v>
      </c>
      <c r="M853" t="s">
        <v>231</v>
      </c>
      <c r="N853" t="s">
        <v>231</v>
      </c>
      <c r="O853" t="s">
        <v>231</v>
      </c>
      <c r="P853" t="s">
        <v>231</v>
      </c>
      <c r="Q853" t="s">
        <v>231</v>
      </c>
      <c r="R853" t="s">
        <v>5150</v>
      </c>
      <c r="S853" t="s">
        <v>231</v>
      </c>
      <c r="T853" t="s">
        <v>231</v>
      </c>
      <c r="U853" t="s">
        <v>101</v>
      </c>
      <c r="V853" t="s">
        <v>231</v>
      </c>
      <c r="W853" t="s">
        <v>231</v>
      </c>
      <c r="X853" t="s">
        <v>5088</v>
      </c>
      <c r="Y853" t="s">
        <v>231</v>
      </c>
      <c r="Z853" t="s">
        <v>160</v>
      </c>
      <c r="AA853" t="s">
        <v>151</v>
      </c>
      <c r="AB853" t="s">
        <v>151</v>
      </c>
      <c r="AC853" t="s">
        <v>343</v>
      </c>
      <c r="AD853" t="s">
        <v>343</v>
      </c>
      <c r="AE853" t="s">
        <v>344</v>
      </c>
      <c r="AF853" t="s">
        <v>3561</v>
      </c>
      <c r="AG853" t="s">
        <v>3562</v>
      </c>
      <c r="AH853" t="s">
        <v>5151</v>
      </c>
      <c r="AI853" t="s">
        <v>5152</v>
      </c>
      <c r="AJ853" t="s">
        <v>5153</v>
      </c>
      <c r="AK853" t="s">
        <v>4365</v>
      </c>
      <c r="AL853" t="s">
        <v>5092</v>
      </c>
      <c r="AN853" t="s">
        <v>5154</v>
      </c>
      <c r="AO853" t="s">
        <v>5155</v>
      </c>
      <c r="AP853" t="s">
        <v>231</v>
      </c>
      <c r="AQ853" t="s">
        <v>231</v>
      </c>
      <c r="AR853" t="s">
        <v>231</v>
      </c>
      <c r="AS853" t="s">
        <v>231</v>
      </c>
      <c r="AT853" t="s">
        <v>231</v>
      </c>
      <c r="AU853" t="s">
        <v>231</v>
      </c>
      <c r="AV853" t="s">
        <v>231</v>
      </c>
      <c r="AW853" t="s">
        <v>231</v>
      </c>
      <c r="AX853" t="s">
        <v>231</v>
      </c>
      <c r="AY853" t="s">
        <v>231</v>
      </c>
      <c r="AZ853" t="s">
        <v>231</v>
      </c>
      <c r="BA853" t="s">
        <v>231</v>
      </c>
      <c r="BB853" t="s">
        <v>231</v>
      </c>
      <c r="BC853" t="s">
        <v>231</v>
      </c>
      <c r="BD853" t="s">
        <v>231</v>
      </c>
      <c r="BE853" t="s">
        <v>231</v>
      </c>
      <c r="BF853" t="s">
        <v>231</v>
      </c>
      <c r="BG853" t="s">
        <v>231</v>
      </c>
      <c r="BH853" t="s">
        <v>231</v>
      </c>
      <c r="BI853" t="s">
        <v>231</v>
      </c>
      <c r="BJ853" t="s">
        <v>231</v>
      </c>
      <c r="BK853" t="s">
        <v>231</v>
      </c>
      <c r="BL853" t="s">
        <v>231</v>
      </c>
      <c r="BM853" t="s">
        <v>231</v>
      </c>
      <c r="BN853" t="s">
        <v>231</v>
      </c>
      <c r="BO853" t="s">
        <v>231</v>
      </c>
      <c r="BP853" t="s">
        <v>231</v>
      </c>
      <c r="BQ853" t="s">
        <v>231</v>
      </c>
      <c r="BR853" t="s">
        <v>231</v>
      </c>
      <c r="BS853" t="s">
        <v>231</v>
      </c>
      <c r="BT853" t="s">
        <v>231</v>
      </c>
      <c r="CS853" t="s">
        <v>231</v>
      </c>
      <c r="CT853" t="s">
        <v>3534</v>
      </c>
      <c r="CU853" t="s">
        <v>3535</v>
      </c>
      <c r="CV853" t="s">
        <v>3997</v>
      </c>
      <c r="CW853" t="s">
        <v>5156</v>
      </c>
      <c r="CX853" t="s">
        <v>3570</v>
      </c>
      <c r="CY853" t="s">
        <v>5157</v>
      </c>
      <c r="CZ853" t="s">
        <v>3575</v>
      </c>
      <c r="DA853" t="s">
        <v>5158</v>
      </c>
      <c r="DB853" t="s">
        <v>5096</v>
      </c>
      <c r="DC853" t="s">
        <v>363</v>
      </c>
      <c r="DD853" t="s">
        <v>5099</v>
      </c>
      <c r="DE853" t="s">
        <v>5159</v>
      </c>
    </row>
    <row r="854" spans="1:109" ht="11.25" customHeight="1">
      <c r="A854" s="1314" t="s">
        <v>231</v>
      </c>
      <c r="B854" t="s">
        <v>231</v>
      </c>
      <c r="C854" t="s">
        <v>231</v>
      </c>
      <c r="D854" t="s">
        <v>231</v>
      </c>
      <c r="E854" t="s">
        <v>231</v>
      </c>
      <c r="F854" t="s">
        <v>231</v>
      </c>
      <c r="G854" t="s">
        <v>231</v>
      </c>
      <c r="H854" t="s">
        <v>231</v>
      </c>
      <c r="I854" t="s">
        <v>5086</v>
      </c>
      <c r="J854" t="s">
        <v>231</v>
      </c>
      <c r="K854" t="s">
        <v>231</v>
      </c>
      <c r="L854" t="s">
        <v>231</v>
      </c>
      <c r="M854" t="s">
        <v>231</v>
      </c>
      <c r="N854" t="s">
        <v>231</v>
      </c>
      <c r="O854" t="s">
        <v>231</v>
      </c>
      <c r="P854" t="s">
        <v>231</v>
      </c>
      <c r="Q854" t="s">
        <v>231</v>
      </c>
      <c r="R854" t="s">
        <v>5160</v>
      </c>
      <c r="S854" t="s">
        <v>231</v>
      </c>
      <c r="T854" t="s">
        <v>231</v>
      </c>
      <c r="U854" t="s">
        <v>101</v>
      </c>
      <c r="V854" t="s">
        <v>231</v>
      </c>
      <c r="W854" t="s">
        <v>231</v>
      </c>
      <c r="X854" t="s">
        <v>5088</v>
      </c>
      <c r="Y854" t="s">
        <v>231</v>
      </c>
      <c r="Z854" t="s">
        <v>160</v>
      </c>
      <c r="AA854" t="s">
        <v>151</v>
      </c>
      <c r="AB854" t="s">
        <v>151</v>
      </c>
      <c r="AC854" t="s">
        <v>343</v>
      </c>
      <c r="AD854" t="s">
        <v>343</v>
      </c>
      <c r="AE854" t="s">
        <v>344</v>
      </c>
      <c r="AF854" t="s">
        <v>3561</v>
      </c>
      <c r="AG854" t="s">
        <v>3562</v>
      </c>
      <c r="AH854" t="s">
        <v>5161</v>
      </c>
      <c r="AI854" t="s">
        <v>3575</v>
      </c>
      <c r="AJ854" t="s">
        <v>3825</v>
      </c>
      <c r="AK854" t="s">
        <v>5162</v>
      </c>
      <c r="AL854" t="s">
        <v>5092</v>
      </c>
      <c r="AN854" t="s">
        <v>5163</v>
      </c>
      <c r="AO854" t="s">
        <v>5164</v>
      </c>
      <c r="AP854" t="s">
        <v>231</v>
      </c>
      <c r="AQ854" t="s">
        <v>231</v>
      </c>
      <c r="AR854" t="s">
        <v>231</v>
      </c>
      <c r="AS854" t="s">
        <v>231</v>
      </c>
      <c r="AT854" t="s">
        <v>231</v>
      </c>
      <c r="AU854" t="s">
        <v>231</v>
      </c>
      <c r="AV854" t="s">
        <v>231</v>
      </c>
      <c r="AW854" t="s">
        <v>231</v>
      </c>
      <c r="AX854" t="s">
        <v>231</v>
      </c>
      <c r="AY854" t="s">
        <v>231</v>
      </c>
      <c r="AZ854" t="s">
        <v>231</v>
      </c>
      <c r="BA854" t="s">
        <v>231</v>
      </c>
      <c r="BB854" t="s">
        <v>231</v>
      </c>
      <c r="BC854" t="s">
        <v>231</v>
      </c>
      <c r="BD854" t="s">
        <v>231</v>
      </c>
      <c r="BE854" t="s">
        <v>231</v>
      </c>
      <c r="BF854" t="s">
        <v>231</v>
      </c>
      <c r="BG854" t="s">
        <v>231</v>
      </c>
      <c r="BH854" t="s">
        <v>231</v>
      </c>
      <c r="BI854" t="s">
        <v>231</v>
      </c>
      <c r="BJ854" t="s">
        <v>231</v>
      </c>
      <c r="BK854" t="s">
        <v>231</v>
      </c>
      <c r="BL854" t="s">
        <v>231</v>
      </c>
      <c r="BM854" t="s">
        <v>231</v>
      </c>
      <c r="BN854" t="s">
        <v>231</v>
      </c>
      <c r="BO854" t="s">
        <v>231</v>
      </c>
      <c r="BP854" t="s">
        <v>231</v>
      </c>
      <c r="BQ854" t="s">
        <v>231</v>
      </c>
      <c r="BR854" t="s">
        <v>231</v>
      </c>
      <c r="BS854" t="s">
        <v>231</v>
      </c>
      <c r="BT854" t="s">
        <v>231</v>
      </c>
      <c r="CS854" t="s">
        <v>231</v>
      </c>
      <c r="CT854" t="s">
        <v>3534</v>
      </c>
      <c r="CU854" t="s">
        <v>3535</v>
      </c>
      <c r="CV854" t="s">
        <v>3536</v>
      </c>
      <c r="CW854" t="s">
        <v>3569</v>
      </c>
      <c r="CX854" t="s">
        <v>223</v>
      </c>
      <c r="CY854" t="s">
        <v>3536</v>
      </c>
      <c r="CZ854" t="s">
        <v>224</v>
      </c>
      <c r="DA854" t="s">
        <v>3571</v>
      </c>
      <c r="DB854" t="s">
        <v>3569</v>
      </c>
      <c r="DC854" t="s">
        <v>363</v>
      </c>
      <c r="DD854" t="s">
        <v>5099</v>
      </c>
      <c r="DE854" t="s">
        <v>5165</v>
      </c>
    </row>
    <row r="855" spans="1:109" ht="11.25" customHeight="1">
      <c r="A855" s="1314" t="s">
        <v>231</v>
      </c>
      <c r="B855" t="s">
        <v>231</v>
      </c>
      <c r="C855" t="s">
        <v>231</v>
      </c>
      <c r="D855" t="s">
        <v>231</v>
      </c>
      <c r="E855" t="s">
        <v>231</v>
      </c>
      <c r="F855" t="s">
        <v>231</v>
      </c>
      <c r="G855" t="s">
        <v>231</v>
      </c>
      <c r="H855" t="s">
        <v>231</v>
      </c>
      <c r="I855" t="s">
        <v>5086</v>
      </c>
      <c r="J855" t="s">
        <v>231</v>
      </c>
      <c r="K855" t="s">
        <v>231</v>
      </c>
      <c r="L855" t="s">
        <v>231</v>
      </c>
      <c r="M855" t="s">
        <v>231</v>
      </c>
      <c r="N855" t="s">
        <v>231</v>
      </c>
      <c r="O855" t="s">
        <v>231</v>
      </c>
      <c r="P855" t="s">
        <v>231</v>
      </c>
      <c r="Q855" t="s">
        <v>231</v>
      </c>
      <c r="R855" t="s">
        <v>5166</v>
      </c>
      <c r="S855" t="s">
        <v>231</v>
      </c>
      <c r="T855" t="s">
        <v>231</v>
      </c>
      <c r="U855" t="s">
        <v>101</v>
      </c>
      <c r="V855" t="s">
        <v>231</v>
      </c>
      <c r="W855" t="s">
        <v>231</v>
      </c>
      <c r="X855" t="s">
        <v>5088</v>
      </c>
      <c r="Y855" t="s">
        <v>231</v>
      </c>
      <c r="Z855" t="s">
        <v>160</v>
      </c>
      <c r="AA855" t="s">
        <v>151</v>
      </c>
      <c r="AB855" t="s">
        <v>151</v>
      </c>
      <c r="AC855" t="s">
        <v>343</v>
      </c>
      <c r="AD855" t="s">
        <v>343</v>
      </c>
      <c r="AE855" t="s">
        <v>344</v>
      </c>
      <c r="AF855" t="s">
        <v>3561</v>
      </c>
      <c r="AG855" t="s">
        <v>3562</v>
      </c>
      <c r="AH855" t="s">
        <v>5167</v>
      </c>
      <c r="AI855" t="s">
        <v>3575</v>
      </c>
      <c r="AJ855" t="s">
        <v>3825</v>
      </c>
      <c r="AK855" t="s">
        <v>5168</v>
      </c>
      <c r="AL855" t="s">
        <v>5092</v>
      </c>
      <c r="AN855" t="s">
        <v>5163</v>
      </c>
      <c r="AO855" t="s">
        <v>5164</v>
      </c>
      <c r="AP855" t="s">
        <v>231</v>
      </c>
      <c r="AQ855" t="s">
        <v>231</v>
      </c>
      <c r="AR855" t="s">
        <v>231</v>
      </c>
      <c r="AS855" t="s">
        <v>231</v>
      </c>
      <c r="AT855" t="s">
        <v>231</v>
      </c>
      <c r="AU855" t="s">
        <v>231</v>
      </c>
      <c r="AV855" t="s">
        <v>231</v>
      </c>
      <c r="AW855" t="s">
        <v>231</v>
      </c>
      <c r="AX855" t="s">
        <v>231</v>
      </c>
      <c r="AY855" t="s">
        <v>231</v>
      </c>
      <c r="AZ855" t="s">
        <v>231</v>
      </c>
      <c r="BA855" t="s">
        <v>231</v>
      </c>
      <c r="BB855" t="s">
        <v>231</v>
      </c>
      <c r="BC855" t="s">
        <v>231</v>
      </c>
      <c r="BD855" t="s">
        <v>231</v>
      </c>
      <c r="BE855" t="s">
        <v>231</v>
      </c>
      <c r="BF855" t="s">
        <v>231</v>
      </c>
      <c r="BG855" t="s">
        <v>231</v>
      </c>
      <c r="BH855" t="s">
        <v>231</v>
      </c>
      <c r="BI855" t="s">
        <v>231</v>
      </c>
      <c r="BJ855" t="s">
        <v>231</v>
      </c>
      <c r="BK855" t="s">
        <v>231</v>
      </c>
      <c r="BL855" t="s">
        <v>231</v>
      </c>
      <c r="BM855" t="s">
        <v>231</v>
      </c>
      <c r="BN855" t="s">
        <v>231</v>
      </c>
      <c r="BO855" t="s">
        <v>231</v>
      </c>
      <c r="BP855" t="s">
        <v>231</v>
      </c>
      <c r="BQ855" t="s">
        <v>231</v>
      </c>
      <c r="BR855" t="s">
        <v>231</v>
      </c>
      <c r="BS855" t="s">
        <v>231</v>
      </c>
      <c r="BT855" t="s">
        <v>231</v>
      </c>
      <c r="CS855" t="s">
        <v>231</v>
      </c>
      <c r="CT855" t="s">
        <v>3534</v>
      </c>
      <c r="CU855" t="s">
        <v>3535</v>
      </c>
      <c r="CV855" t="s">
        <v>3536</v>
      </c>
      <c r="CW855" t="s">
        <v>3569</v>
      </c>
      <c r="CX855" t="s">
        <v>223</v>
      </c>
      <c r="CY855" t="s">
        <v>3536</v>
      </c>
      <c r="CZ855" t="s">
        <v>224</v>
      </c>
      <c r="DA855" t="s">
        <v>3571</v>
      </c>
      <c r="DB855" t="s">
        <v>3569</v>
      </c>
      <c r="DC855" t="s">
        <v>363</v>
      </c>
      <c r="DD855" t="s">
        <v>5099</v>
      </c>
      <c r="DE855" t="s">
        <v>5169</v>
      </c>
    </row>
    <row r="856" spans="1:109" ht="11.25" customHeight="1">
      <c r="A856" s="1314" t="s">
        <v>231</v>
      </c>
      <c r="B856" t="s">
        <v>231</v>
      </c>
      <c r="C856" t="s">
        <v>231</v>
      </c>
      <c r="D856" t="s">
        <v>231</v>
      </c>
      <c r="E856" t="s">
        <v>231</v>
      </c>
      <c r="F856" t="s">
        <v>231</v>
      </c>
      <c r="G856" t="s">
        <v>231</v>
      </c>
      <c r="H856" t="s">
        <v>231</v>
      </c>
      <c r="I856" t="s">
        <v>5086</v>
      </c>
      <c r="J856" t="s">
        <v>231</v>
      </c>
      <c r="K856" t="s">
        <v>231</v>
      </c>
      <c r="L856" t="s">
        <v>231</v>
      </c>
      <c r="M856" t="s">
        <v>231</v>
      </c>
      <c r="N856" t="s">
        <v>231</v>
      </c>
      <c r="O856" t="s">
        <v>231</v>
      </c>
      <c r="P856" t="s">
        <v>231</v>
      </c>
      <c r="Q856" t="s">
        <v>231</v>
      </c>
      <c r="R856" t="s">
        <v>5139</v>
      </c>
      <c r="S856" t="s">
        <v>231</v>
      </c>
      <c r="T856" t="s">
        <v>231</v>
      </c>
      <c r="U856" t="s">
        <v>101</v>
      </c>
      <c r="V856" t="s">
        <v>231</v>
      </c>
      <c r="W856" t="s">
        <v>231</v>
      </c>
      <c r="X856" t="s">
        <v>3628</v>
      </c>
      <c r="Y856" t="s">
        <v>231</v>
      </c>
      <c r="Z856" t="s">
        <v>151</v>
      </c>
      <c r="AA856" t="s">
        <v>151</v>
      </c>
      <c r="AB856" t="s">
        <v>160</v>
      </c>
      <c r="AC856" t="s">
        <v>2262</v>
      </c>
      <c r="AD856" t="s">
        <v>2262</v>
      </c>
      <c r="AE856" t="s">
        <v>2264</v>
      </c>
      <c r="AF856" t="s">
        <v>3524</v>
      </c>
      <c r="AG856" t="s">
        <v>3525</v>
      </c>
      <c r="AH856" t="s">
        <v>4686</v>
      </c>
      <c r="AI856" t="s">
        <v>3575</v>
      </c>
      <c r="AJ856" t="s">
        <v>231</v>
      </c>
      <c r="AK856" t="s">
        <v>231</v>
      </c>
      <c r="AL856" t="s">
        <v>231</v>
      </c>
      <c r="AN856" t="s">
        <v>231</v>
      </c>
      <c r="AO856" t="s">
        <v>231</v>
      </c>
      <c r="AP856" t="s">
        <v>231</v>
      </c>
      <c r="AQ856" t="s">
        <v>231</v>
      </c>
      <c r="AR856" t="s">
        <v>231</v>
      </c>
      <c r="AS856" t="s">
        <v>231</v>
      </c>
      <c r="AT856" t="s">
        <v>231</v>
      </c>
      <c r="AU856" t="s">
        <v>231</v>
      </c>
      <c r="AV856" t="s">
        <v>231</v>
      </c>
      <c r="AW856" t="s">
        <v>231</v>
      </c>
      <c r="AX856" t="s">
        <v>231</v>
      </c>
      <c r="AY856" t="s">
        <v>231</v>
      </c>
      <c r="AZ856" t="s">
        <v>231</v>
      </c>
      <c r="BA856" t="s">
        <v>231</v>
      </c>
      <c r="BB856" t="s">
        <v>231</v>
      </c>
      <c r="BC856" t="s">
        <v>231</v>
      </c>
      <c r="BD856" t="s">
        <v>231</v>
      </c>
      <c r="BE856" t="s">
        <v>5140</v>
      </c>
      <c r="BF856" t="s">
        <v>5141</v>
      </c>
      <c r="BG856" t="s">
        <v>111</v>
      </c>
      <c r="BH856" t="s">
        <v>3632</v>
      </c>
      <c r="BI856" t="s">
        <v>122</v>
      </c>
      <c r="BJ856" t="s">
        <v>231</v>
      </c>
      <c r="BK856" t="s">
        <v>5142</v>
      </c>
      <c r="BL856" t="s">
        <v>2262</v>
      </c>
      <c r="BM856" t="s">
        <v>2262</v>
      </c>
      <c r="BN856" t="s">
        <v>4884</v>
      </c>
      <c r="BO856" t="s">
        <v>3524</v>
      </c>
      <c r="BP856" t="s">
        <v>5143</v>
      </c>
      <c r="BQ856" t="s">
        <v>4686</v>
      </c>
      <c r="BR856" t="s">
        <v>3575</v>
      </c>
      <c r="BS856" t="s">
        <v>231</v>
      </c>
      <c r="BT856" t="s">
        <v>3694</v>
      </c>
      <c r="CS856" t="s">
        <v>5144</v>
      </c>
      <c r="CT856" t="s">
        <v>3534</v>
      </c>
      <c r="CU856" t="s">
        <v>3535</v>
      </c>
      <c r="CV856" t="s">
        <v>3536</v>
      </c>
      <c r="CW856" t="s">
        <v>3537</v>
      </c>
      <c r="CX856" t="s">
        <v>223</v>
      </c>
      <c r="CY856" t="s">
        <v>3536</v>
      </c>
      <c r="CZ856" t="s">
        <v>3538</v>
      </c>
      <c r="DA856" t="s">
        <v>3539</v>
      </c>
      <c r="DB856" t="s">
        <v>3537</v>
      </c>
      <c r="DC856" t="s">
        <v>363</v>
      </c>
      <c r="DD856" t="s">
        <v>5099</v>
      </c>
      <c r="DE856" t="s">
        <v>5145</v>
      </c>
    </row>
    <row r="857" spans="1:109" ht="11.25" customHeight="1">
      <c r="A857" s="1314" t="s">
        <v>231</v>
      </c>
      <c r="B857" t="s">
        <v>231</v>
      </c>
      <c r="C857" t="s">
        <v>231</v>
      </c>
      <c r="D857" t="s">
        <v>231</v>
      </c>
      <c r="E857" t="s">
        <v>231</v>
      </c>
      <c r="F857" t="s">
        <v>231</v>
      </c>
      <c r="G857" t="s">
        <v>231</v>
      </c>
      <c r="H857" t="s">
        <v>231</v>
      </c>
      <c r="I857" t="s">
        <v>5086</v>
      </c>
      <c r="J857" t="s">
        <v>231</v>
      </c>
      <c r="K857" t="s">
        <v>231</v>
      </c>
      <c r="L857" t="s">
        <v>231</v>
      </c>
      <c r="M857" t="s">
        <v>231</v>
      </c>
      <c r="N857" t="s">
        <v>231</v>
      </c>
      <c r="O857" t="s">
        <v>231</v>
      </c>
      <c r="P857" t="s">
        <v>231</v>
      </c>
      <c r="Q857" t="s">
        <v>231</v>
      </c>
      <c r="R857" t="s">
        <v>5190</v>
      </c>
      <c r="S857" t="s">
        <v>231</v>
      </c>
      <c r="T857" t="s">
        <v>231</v>
      </c>
      <c r="U857" t="s">
        <v>101</v>
      </c>
      <c r="V857" t="s">
        <v>231</v>
      </c>
      <c r="W857" t="s">
        <v>231</v>
      </c>
      <c r="X857" t="s">
        <v>5088</v>
      </c>
      <c r="Y857" t="s">
        <v>231</v>
      </c>
      <c r="Z857" t="s">
        <v>160</v>
      </c>
      <c r="AA857" t="s">
        <v>151</v>
      </c>
      <c r="AB857" t="s">
        <v>151</v>
      </c>
      <c r="AC857" t="s">
        <v>343</v>
      </c>
      <c r="AD857" t="s">
        <v>343</v>
      </c>
      <c r="AE857" t="s">
        <v>344</v>
      </c>
      <c r="AF857" t="s">
        <v>3561</v>
      </c>
      <c r="AG857" t="s">
        <v>3562</v>
      </c>
      <c r="AH857" t="s">
        <v>5191</v>
      </c>
      <c r="AI857" t="s">
        <v>5192</v>
      </c>
      <c r="AJ857" t="s">
        <v>5193</v>
      </c>
      <c r="AK857" t="s">
        <v>5194</v>
      </c>
      <c r="AL857" t="s">
        <v>5112</v>
      </c>
      <c r="AN857" t="s">
        <v>5195</v>
      </c>
      <c r="AO857" t="s">
        <v>5196</v>
      </c>
      <c r="AP857" t="s">
        <v>231</v>
      </c>
      <c r="AQ857" t="s">
        <v>231</v>
      </c>
      <c r="AR857" t="s">
        <v>231</v>
      </c>
      <c r="AS857" t="s">
        <v>231</v>
      </c>
      <c r="AT857" t="s">
        <v>231</v>
      </c>
      <c r="AU857" t="s">
        <v>231</v>
      </c>
      <c r="AV857" t="s">
        <v>231</v>
      </c>
      <c r="AW857" t="s">
        <v>231</v>
      </c>
      <c r="AX857" t="s">
        <v>231</v>
      </c>
      <c r="AY857" t="s">
        <v>231</v>
      </c>
      <c r="AZ857" t="s">
        <v>231</v>
      </c>
      <c r="BA857" t="s">
        <v>231</v>
      </c>
      <c r="BB857" t="s">
        <v>231</v>
      </c>
      <c r="BC857" t="s">
        <v>231</v>
      </c>
      <c r="BD857" t="s">
        <v>231</v>
      </c>
      <c r="BE857" t="s">
        <v>231</v>
      </c>
      <c r="BF857" t="s">
        <v>231</v>
      </c>
      <c r="BG857" t="s">
        <v>231</v>
      </c>
      <c r="BH857" t="s">
        <v>231</v>
      </c>
      <c r="BI857" t="s">
        <v>231</v>
      </c>
      <c r="BJ857" t="s">
        <v>231</v>
      </c>
      <c r="BK857" t="s">
        <v>231</v>
      </c>
      <c r="BL857" t="s">
        <v>231</v>
      </c>
      <c r="BM857" t="s">
        <v>231</v>
      </c>
      <c r="BN857" t="s">
        <v>231</v>
      </c>
      <c r="BO857" t="s">
        <v>231</v>
      </c>
      <c r="BP857" t="s">
        <v>231</v>
      </c>
      <c r="BQ857" t="s">
        <v>231</v>
      </c>
      <c r="BR857" t="s">
        <v>231</v>
      </c>
      <c r="BS857" t="s">
        <v>231</v>
      </c>
      <c r="BT857" t="s">
        <v>231</v>
      </c>
      <c r="CS857" t="s">
        <v>231</v>
      </c>
      <c r="CT857" t="s">
        <v>3534</v>
      </c>
      <c r="CU857" t="s">
        <v>5095</v>
      </c>
      <c r="CV857" t="s">
        <v>3997</v>
      </c>
      <c r="CW857" t="s">
        <v>5096</v>
      </c>
      <c r="CX857" t="s">
        <v>3570</v>
      </c>
      <c r="CY857" t="s">
        <v>3997</v>
      </c>
      <c r="CZ857" t="s">
        <v>5097</v>
      </c>
      <c r="DA857" t="s">
        <v>5098</v>
      </c>
      <c r="DB857" t="s">
        <v>5096</v>
      </c>
      <c r="DC857" t="s">
        <v>363</v>
      </c>
      <c r="DD857" t="s">
        <v>5099</v>
      </c>
      <c r="DE857" t="s">
        <v>5197</v>
      </c>
    </row>
    <row r="858" spans="1:109" ht="11.25" customHeight="1">
      <c r="A858" s="1314" t="s">
        <v>231</v>
      </c>
      <c r="B858" t="s">
        <v>231</v>
      </c>
      <c r="C858" t="s">
        <v>231</v>
      </c>
      <c r="D858" t="s">
        <v>231</v>
      </c>
      <c r="E858" t="s">
        <v>231</v>
      </c>
      <c r="F858" t="s">
        <v>231</v>
      </c>
      <c r="G858" t="s">
        <v>231</v>
      </c>
      <c r="H858" t="s">
        <v>231</v>
      </c>
      <c r="I858" t="s">
        <v>5086</v>
      </c>
      <c r="J858" t="s">
        <v>231</v>
      </c>
      <c r="K858" t="s">
        <v>231</v>
      </c>
      <c r="L858" t="s">
        <v>231</v>
      </c>
      <c r="M858" t="s">
        <v>231</v>
      </c>
      <c r="N858" t="s">
        <v>231</v>
      </c>
      <c r="O858" t="s">
        <v>231</v>
      </c>
      <c r="P858" t="s">
        <v>231</v>
      </c>
      <c r="Q858" t="s">
        <v>231</v>
      </c>
      <c r="R858" t="s">
        <v>5139</v>
      </c>
      <c r="S858" t="s">
        <v>231</v>
      </c>
      <c r="T858" t="s">
        <v>231</v>
      </c>
      <c r="U858" t="s">
        <v>101</v>
      </c>
      <c r="V858" t="s">
        <v>231</v>
      </c>
      <c r="W858" t="s">
        <v>231</v>
      </c>
      <c r="X858" t="s">
        <v>3628</v>
      </c>
      <c r="Y858" t="s">
        <v>231</v>
      </c>
      <c r="Z858" t="s">
        <v>151</v>
      </c>
      <c r="AA858" t="s">
        <v>151</v>
      </c>
      <c r="AB858" t="s">
        <v>160</v>
      </c>
      <c r="AC858" t="s">
        <v>2262</v>
      </c>
      <c r="AD858" t="s">
        <v>2262</v>
      </c>
      <c r="AE858" t="s">
        <v>2264</v>
      </c>
      <c r="AF858" t="s">
        <v>4879</v>
      </c>
      <c r="AG858" t="s">
        <v>4880</v>
      </c>
      <c r="AH858" t="s">
        <v>4881</v>
      </c>
      <c r="AI858" t="s">
        <v>3575</v>
      </c>
      <c r="AJ858" t="s">
        <v>231</v>
      </c>
      <c r="AK858" t="s">
        <v>231</v>
      </c>
      <c r="AL858" t="s">
        <v>231</v>
      </c>
      <c r="AN858" t="s">
        <v>231</v>
      </c>
      <c r="AO858" t="s">
        <v>231</v>
      </c>
      <c r="AP858" t="s">
        <v>231</v>
      </c>
      <c r="AQ858" t="s">
        <v>231</v>
      </c>
      <c r="AR858" t="s">
        <v>231</v>
      </c>
      <c r="AS858" t="s">
        <v>231</v>
      </c>
      <c r="AT858" t="s">
        <v>231</v>
      </c>
      <c r="AU858" t="s">
        <v>231</v>
      </c>
      <c r="AV858" t="s">
        <v>231</v>
      </c>
      <c r="AW858" t="s">
        <v>231</v>
      </c>
      <c r="AX858" t="s">
        <v>231</v>
      </c>
      <c r="AY858" t="s">
        <v>231</v>
      </c>
      <c r="AZ858" t="s">
        <v>231</v>
      </c>
      <c r="BA858" t="s">
        <v>231</v>
      </c>
      <c r="BB858" t="s">
        <v>231</v>
      </c>
      <c r="BC858" t="s">
        <v>231</v>
      </c>
      <c r="BD858" t="s">
        <v>231</v>
      </c>
      <c r="BE858" t="s">
        <v>4996</v>
      </c>
      <c r="BF858" t="s">
        <v>5146</v>
      </c>
      <c r="BG858" t="s">
        <v>111</v>
      </c>
      <c r="BH858" t="s">
        <v>3632</v>
      </c>
      <c r="BI858" t="s">
        <v>122</v>
      </c>
      <c r="BJ858" t="s">
        <v>231</v>
      </c>
      <c r="BK858" t="s">
        <v>5088</v>
      </c>
      <c r="BL858" t="s">
        <v>2262</v>
      </c>
      <c r="BM858" t="s">
        <v>2262</v>
      </c>
      <c r="BN858" t="s">
        <v>4884</v>
      </c>
      <c r="BO858" t="s">
        <v>4879</v>
      </c>
      <c r="BP858" t="s">
        <v>4885</v>
      </c>
      <c r="BQ858" t="s">
        <v>5147</v>
      </c>
      <c r="BR858" t="s">
        <v>5148</v>
      </c>
      <c r="BS858" t="s">
        <v>231</v>
      </c>
      <c r="BT858" t="s">
        <v>3694</v>
      </c>
      <c r="CS858" t="s">
        <v>3546</v>
      </c>
      <c r="CT858" t="s">
        <v>3534</v>
      </c>
      <c r="CU858" t="s">
        <v>3535</v>
      </c>
      <c r="CV858" t="s">
        <v>3536</v>
      </c>
      <c r="CW858" t="s">
        <v>4891</v>
      </c>
      <c r="CX858" t="s">
        <v>223</v>
      </c>
      <c r="CY858" t="s">
        <v>3536</v>
      </c>
      <c r="CZ858" t="s">
        <v>321</v>
      </c>
      <c r="DA858" t="s">
        <v>3539</v>
      </c>
      <c r="DB858" t="s">
        <v>4891</v>
      </c>
      <c r="DC858" t="s">
        <v>363</v>
      </c>
      <c r="DD858" t="s">
        <v>5099</v>
      </c>
      <c r="DE858" t="s">
        <v>5149</v>
      </c>
    </row>
    <row r="859" spans="1:109" ht="11.25" customHeight="1">
      <c r="A859" s="1314" t="s">
        <v>231</v>
      </c>
      <c r="B859" t="s">
        <v>231</v>
      </c>
      <c r="C859" t="s">
        <v>231</v>
      </c>
      <c r="D859" t="s">
        <v>231</v>
      </c>
      <c r="E859" t="s">
        <v>231</v>
      </c>
      <c r="F859" t="s">
        <v>231</v>
      </c>
      <c r="G859" t="s">
        <v>231</v>
      </c>
      <c r="H859" t="s">
        <v>231</v>
      </c>
      <c r="I859" t="s">
        <v>5086</v>
      </c>
      <c r="J859" t="s">
        <v>231</v>
      </c>
      <c r="K859" t="s">
        <v>231</v>
      </c>
      <c r="L859" t="s">
        <v>231</v>
      </c>
      <c r="M859" t="s">
        <v>231</v>
      </c>
      <c r="N859" t="s">
        <v>231</v>
      </c>
      <c r="O859" t="s">
        <v>231</v>
      </c>
      <c r="P859" t="s">
        <v>231</v>
      </c>
      <c r="Q859" t="s">
        <v>231</v>
      </c>
      <c r="R859" t="s">
        <v>5170</v>
      </c>
      <c r="S859" t="s">
        <v>231</v>
      </c>
      <c r="T859" t="s">
        <v>231</v>
      </c>
      <c r="U859" t="s">
        <v>101</v>
      </c>
      <c r="V859" t="s">
        <v>231</v>
      </c>
      <c r="W859" t="s">
        <v>231</v>
      </c>
      <c r="X859" t="s">
        <v>5088</v>
      </c>
      <c r="Y859" t="s">
        <v>231</v>
      </c>
      <c r="Z859" t="s">
        <v>160</v>
      </c>
      <c r="AA859" t="s">
        <v>151</v>
      </c>
      <c r="AB859" t="s">
        <v>151</v>
      </c>
      <c r="AC859" t="s">
        <v>343</v>
      </c>
      <c r="AD859" t="s">
        <v>343</v>
      </c>
      <c r="AE859" t="s">
        <v>344</v>
      </c>
      <c r="AF859" t="s">
        <v>3561</v>
      </c>
      <c r="AG859" t="s">
        <v>3562</v>
      </c>
      <c r="AH859" t="s">
        <v>4177</v>
      </c>
      <c r="AI859" t="s">
        <v>5171</v>
      </c>
      <c r="AJ859" t="s">
        <v>5172</v>
      </c>
      <c r="AK859" t="s">
        <v>5173</v>
      </c>
      <c r="AL859" t="s">
        <v>5092</v>
      </c>
      <c r="AN859" t="s">
        <v>5174</v>
      </c>
      <c r="AO859" t="s">
        <v>5175</v>
      </c>
      <c r="AP859" t="s">
        <v>231</v>
      </c>
      <c r="AQ859" t="s">
        <v>231</v>
      </c>
      <c r="AR859" t="s">
        <v>231</v>
      </c>
      <c r="AS859" t="s">
        <v>231</v>
      </c>
      <c r="AT859" t="s">
        <v>231</v>
      </c>
      <c r="AU859" t="s">
        <v>231</v>
      </c>
      <c r="AV859" t="s">
        <v>231</v>
      </c>
      <c r="AW859" t="s">
        <v>231</v>
      </c>
      <c r="AX859" t="s">
        <v>231</v>
      </c>
      <c r="AY859" t="s">
        <v>231</v>
      </c>
      <c r="AZ859" t="s">
        <v>231</v>
      </c>
      <c r="BA859" t="s">
        <v>231</v>
      </c>
      <c r="BB859" t="s">
        <v>231</v>
      </c>
      <c r="BC859" t="s">
        <v>231</v>
      </c>
      <c r="BD859" t="s">
        <v>231</v>
      </c>
      <c r="BE859" t="s">
        <v>231</v>
      </c>
      <c r="BF859" t="s">
        <v>231</v>
      </c>
      <c r="BG859" t="s">
        <v>231</v>
      </c>
      <c r="BH859" t="s">
        <v>231</v>
      </c>
      <c r="BI859" t="s">
        <v>231</v>
      </c>
      <c r="BJ859" t="s">
        <v>231</v>
      </c>
      <c r="BK859" t="s">
        <v>231</v>
      </c>
      <c r="BL859" t="s">
        <v>231</v>
      </c>
      <c r="BM859" t="s">
        <v>231</v>
      </c>
      <c r="BN859" t="s">
        <v>231</v>
      </c>
      <c r="BO859" t="s">
        <v>231</v>
      </c>
      <c r="BP859" t="s">
        <v>231</v>
      </c>
      <c r="BQ859" t="s">
        <v>231</v>
      </c>
      <c r="BR859" t="s">
        <v>231</v>
      </c>
      <c r="BS859" t="s">
        <v>231</v>
      </c>
      <c r="BT859" t="s">
        <v>231</v>
      </c>
      <c r="CS859" t="s">
        <v>231</v>
      </c>
      <c r="CT859" t="s">
        <v>3534</v>
      </c>
      <c r="CU859" t="s">
        <v>3535</v>
      </c>
      <c r="CV859" t="s">
        <v>3536</v>
      </c>
      <c r="CW859" t="s">
        <v>3569</v>
      </c>
      <c r="CX859" t="s">
        <v>223</v>
      </c>
      <c r="CY859" t="s">
        <v>3536</v>
      </c>
      <c r="CZ859" t="s">
        <v>224</v>
      </c>
      <c r="DA859" t="s">
        <v>3571</v>
      </c>
      <c r="DB859" t="s">
        <v>3569</v>
      </c>
      <c r="DC859" t="s">
        <v>363</v>
      </c>
      <c r="DD859" t="s">
        <v>5099</v>
      </c>
      <c r="DE859" t="s">
        <v>5176</v>
      </c>
    </row>
    <row r="860" spans="1:109" ht="11.25" customHeight="1">
      <c r="A860" s="1314" t="s">
        <v>231</v>
      </c>
      <c r="B860" t="s">
        <v>231</v>
      </c>
      <c r="C860" t="s">
        <v>231</v>
      </c>
      <c r="D860" t="s">
        <v>231</v>
      </c>
      <c r="E860" t="s">
        <v>231</v>
      </c>
      <c r="F860" t="s">
        <v>231</v>
      </c>
      <c r="G860" t="s">
        <v>231</v>
      </c>
      <c r="H860" t="s">
        <v>231</v>
      </c>
      <c r="I860" t="s">
        <v>5086</v>
      </c>
      <c r="J860" t="s">
        <v>231</v>
      </c>
      <c r="K860" t="s">
        <v>231</v>
      </c>
      <c r="L860" t="s">
        <v>231</v>
      </c>
      <c r="M860" t="s">
        <v>231</v>
      </c>
      <c r="N860" t="s">
        <v>231</v>
      </c>
      <c r="O860" t="s">
        <v>231</v>
      </c>
      <c r="P860" t="s">
        <v>231</v>
      </c>
      <c r="Q860" t="s">
        <v>231</v>
      </c>
      <c r="R860" t="s">
        <v>5177</v>
      </c>
      <c r="S860" t="s">
        <v>231</v>
      </c>
      <c r="T860" t="s">
        <v>231</v>
      </c>
      <c r="U860" t="s">
        <v>101</v>
      </c>
      <c r="V860" t="s">
        <v>231</v>
      </c>
      <c r="W860" t="s">
        <v>231</v>
      </c>
      <c r="X860" t="s">
        <v>5088</v>
      </c>
      <c r="Y860" t="s">
        <v>231</v>
      </c>
      <c r="Z860" t="s">
        <v>160</v>
      </c>
      <c r="AA860" t="s">
        <v>151</v>
      </c>
      <c r="AB860" t="s">
        <v>151</v>
      </c>
      <c r="AC860" t="s">
        <v>343</v>
      </c>
      <c r="AD860" t="s">
        <v>343</v>
      </c>
      <c r="AE860" t="s">
        <v>344</v>
      </c>
      <c r="AF860" t="s">
        <v>3561</v>
      </c>
      <c r="AG860" t="s">
        <v>3562</v>
      </c>
      <c r="AH860" t="s">
        <v>5178</v>
      </c>
      <c r="AI860" t="s">
        <v>3575</v>
      </c>
      <c r="AJ860" t="s">
        <v>3952</v>
      </c>
      <c r="AK860" t="s">
        <v>5179</v>
      </c>
      <c r="AL860" t="s">
        <v>5092</v>
      </c>
      <c r="AN860" t="s">
        <v>5180</v>
      </c>
      <c r="AO860" t="s">
        <v>4179</v>
      </c>
      <c r="AP860" t="s">
        <v>231</v>
      </c>
      <c r="AQ860" t="s">
        <v>231</v>
      </c>
      <c r="AR860" t="s">
        <v>231</v>
      </c>
      <c r="AS860" t="s">
        <v>231</v>
      </c>
      <c r="AT860" t="s">
        <v>231</v>
      </c>
      <c r="AU860" t="s">
        <v>231</v>
      </c>
      <c r="AV860" t="s">
        <v>231</v>
      </c>
      <c r="AW860" t="s">
        <v>231</v>
      </c>
      <c r="AX860" t="s">
        <v>231</v>
      </c>
      <c r="AY860" t="s">
        <v>231</v>
      </c>
      <c r="AZ860" t="s">
        <v>231</v>
      </c>
      <c r="BA860" t="s">
        <v>231</v>
      </c>
      <c r="BB860" t="s">
        <v>231</v>
      </c>
      <c r="BC860" t="s">
        <v>231</v>
      </c>
      <c r="BD860" t="s">
        <v>231</v>
      </c>
      <c r="BE860" t="s">
        <v>231</v>
      </c>
      <c r="BF860" t="s">
        <v>231</v>
      </c>
      <c r="BG860" t="s">
        <v>231</v>
      </c>
      <c r="BH860" t="s">
        <v>231</v>
      </c>
      <c r="BI860" t="s">
        <v>231</v>
      </c>
      <c r="BJ860" t="s">
        <v>231</v>
      </c>
      <c r="BK860" t="s">
        <v>231</v>
      </c>
      <c r="BL860" t="s">
        <v>231</v>
      </c>
      <c r="BM860" t="s">
        <v>231</v>
      </c>
      <c r="BN860" t="s">
        <v>231</v>
      </c>
      <c r="BO860" t="s">
        <v>231</v>
      </c>
      <c r="BP860" t="s">
        <v>231</v>
      </c>
      <c r="BQ860" t="s">
        <v>231</v>
      </c>
      <c r="BR860" t="s">
        <v>231</v>
      </c>
      <c r="BS860" t="s">
        <v>231</v>
      </c>
      <c r="BT860" t="s">
        <v>231</v>
      </c>
      <c r="CS860" t="s">
        <v>231</v>
      </c>
      <c r="CT860" t="s">
        <v>3534</v>
      </c>
      <c r="CU860" t="s">
        <v>3535</v>
      </c>
      <c r="CV860" t="s">
        <v>3536</v>
      </c>
      <c r="CW860" t="s">
        <v>3569</v>
      </c>
      <c r="CX860" t="s">
        <v>223</v>
      </c>
      <c r="CY860" t="s">
        <v>3536</v>
      </c>
      <c r="CZ860" t="s">
        <v>224</v>
      </c>
      <c r="DA860" t="s">
        <v>3571</v>
      </c>
      <c r="DB860" t="s">
        <v>3569</v>
      </c>
      <c r="DC860" t="s">
        <v>363</v>
      </c>
      <c r="DD860" t="s">
        <v>5099</v>
      </c>
      <c r="DE860" t="s">
        <v>5181</v>
      </c>
    </row>
    <row r="861" spans="1:109" ht="11.25" customHeight="1">
      <c r="A861" s="1314" t="s">
        <v>231</v>
      </c>
      <c r="B861" t="s">
        <v>231</v>
      </c>
      <c r="C861" t="s">
        <v>231</v>
      </c>
      <c r="D861" t="s">
        <v>231</v>
      </c>
      <c r="E861" t="s">
        <v>231</v>
      </c>
      <c r="F861" t="s">
        <v>231</v>
      </c>
      <c r="G861" t="s">
        <v>231</v>
      </c>
      <c r="H861" t="s">
        <v>231</v>
      </c>
      <c r="I861" t="s">
        <v>5086</v>
      </c>
      <c r="J861" t="s">
        <v>231</v>
      </c>
      <c r="K861" t="s">
        <v>231</v>
      </c>
      <c r="L861" t="s">
        <v>231</v>
      </c>
      <c r="M861" t="s">
        <v>231</v>
      </c>
      <c r="N861" t="s">
        <v>231</v>
      </c>
      <c r="O861" t="s">
        <v>231</v>
      </c>
      <c r="P861" t="s">
        <v>231</v>
      </c>
      <c r="Q861" t="s">
        <v>231</v>
      </c>
      <c r="R861" t="s">
        <v>5360</v>
      </c>
      <c r="S861" t="s">
        <v>231</v>
      </c>
      <c r="T861" t="s">
        <v>231</v>
      </c>
      <c r="U861" t="s">
        <v>101</v>
      </c>
      <c r="V861" t="s">
        <v>231</v>
      </c>
      <c r="W861" t="s">
        <v>231</v>
      </c>
      <c r="X861" t="s">
        <v>3628</v>
      </c>
      <c r="Y861" t="s">
        <v>231</v>
      </c>
      <c r="Z861" t="s">
        <v>151</v>
      </c>
      <c r="AA861" t="s">
        <v>151</v>
      </c>
      <c r="AB861" t="s">
        <v>160</v>
      </c>
      <c r="AC861" t="s">
        <v>343</v>
      </c>
      <c r="AD861" t="s">
        <v>343</v>
      </c>
      <c r="AE861" t="s">
        <v>344</v>
      </c>
      <c r="AF861" t="s">
        <v>3561</v>
      </c>
      <c r="AG861" t="s">
        <v>3562</v>
      </c>
      <c r="AH861" t="s">
        <v>5361</v>
      </c>
      <c r="AI861" t="s">
        <v>3575</v>
      </c>
      <c r="AJ861" t="s">
        <v>231</v>
      </c>
      <c r="AK861" t="s">
        <v>231</v>
      </c>
      <c r="AL861" t="s">
        <v>231</v>
      </c>
      <c r="AN861" t="s">
        <v>231</v>
      </c>
      <c r="AO861" t="s">
        <v>231</v>
      </c>
      <c r="AP861" t="s">
        <v>231</v>
      </c>
      <c r="AQ861" t="s">
        <v>231</v>
      </c>
      <c r="AR861" t="s">
        <v>231</v>
      </c>
      <c r="AS861" t="s">
        <v>231</v>
      </c>
      <c r="AT861" t="s">
        <v>231</v>
      </c>
      <c r="AU861" t="s">
        <v>231</v>
      </c>
      <c r="AV861" t="s">
        <v>231</v>
      </c>
      <c r="AW861" t="s">
        <v>231</v>
      </c>
      <c r="AX861" t="s">
        <v>231</v>
      </c>
      <c r="AY861" t="s">
        <v>231</v>
      </c>
      <c r="AZ861" t="s">
        <v>231</v>
      </c>
      <c r="BA861" t="s">
        <v>231</v>
      </c>
      <c r="BB861" t="s">
        <v>231</v>
      </c>
      <c r="BC861" t="s">
        <v>231</v>
      </c>
      <c r="BD861" t="s">
        <v>231</v>
      </c>
      <c r="BE861" t="s">
        <v>5362</v>
      </c>
      <c r="BF861" t="s">
        <v>5363</v>
      </c>
      <c r="BG861" t="s">
        <v>111</v>
      </c>
      <c r="BH861" t="s">
        <v>3632</v>
      </c>
      <c r="BI861" t="s">
        <v>122</v>
      </c>
      <c r="BJ861" t="s">
        <v>231</v>
      </c>
      <c r="BK861" t="s">
        <v>5364</v>
      </c>
      <c r="BL861" t="s">
        <v>343</v>
      </c>
      <c r="BM861" t="s">
        <v>343</v>
      </c>
      <c r="BN861" t="s">
        <v>3634</v>
      </c>
      <c r="BO861" t="s">
        <v>3561</v>
      </c>
      <c r="BP861" t="s">
        <v>3635</v>
      </c>
      <c r="BQ861" t="s">
        <v>3636</v>
      </c>
      <c r="BR861" t="s">
        <v>3575</v>
      </c>
      <c r="BS861" t="s">
        <v>231</v>
      </c>
      <c r="BT861" t="s">
        <v>3637</v>
      </c>
      <c r="CS861" t="s">
        <v>5365</v>
      </c>
      <c r="CT861" t="s">
        <v>3534</v>
      </c>
      <c r="CU861" t="s">
        <v>3535</v>
      </c>
      <c r="CV861" t="s">
        <v>3536</v>
      </c>
      <c r="CW861" t="s">
        <v>3569</v>
      </c>
      <c r="CX861" t="s">
        <v>223</v>
      </c>
      <c r="CY861" t="s">
        <v>3536</v>
      </c>
      <c r="CZ861" t="s">
        <v>224</v>
      </c>
      <c r="DA861" t="s">
        <v>3571</v>
      </c>
      <c r="DB861" t="s">
        <v>3569</v>
      </c>
      <c r="DC861" t="s">
        <v>363</v>
      </c>
      <c r="DD861" t="s">
        <v>5099</v>
      </c>
      <c r="DE861" t="s">
        <v>5366</v>
      </c>
    </row>
    <row r="862" spans="1:109" ht="11.25" customHeight="1">
      <c r="A862" s="1314" t="s">
        <v>231</v>
      </c>
      <c r="B862" t="s">
        <v>231</v>
      </c>
      <c r="C862" t="s">
        <v>231</v>
      </c>
      <c r="D862" t="s">
        <v>231</v>
      </c>
      <c r="E862" t="s">
        <v>231</v>
      </c>
      <c r="F862" t="s">
        <v>231</v>
      </c>
      <c r="G862" t="s">
        <v>231</v>
      </c>
      <c r="H862" t="s">
        <v>231</v>
      </c>
      <c r="I862" t="s">
        <v>5086</v>
      </c>
      <c r="J862" t="s">
        <v>231</v>
      </c>
      <c r="K862" t="s">
        <v>231</v>
      </c>
      <c r="L862" t="s">
        <v>231</v>
      </c>
      <c r="M862" t="s">
        <v>231</v>
      </c>
      <c r="N862" t="s">
        <v>231</v>
      </c>
      <c r="O862" t="s">
        <v>231</v>
      </c>
      <c r="P862" t="s">
        <v>231</v>
      </c>
      <c r="Q862" t="s">
        <v>231</v>
      </c>
      <c r="R862" t="s">
        <v>5507</v>
      </c>
      <c r="S862" t="s">
        <v>231</v>
      </c>
      <c r="T862" t="s">
        <v>231</v>
      </c>
      <c r="U862" t="s">
        <v>101</v>
      </c>
      <c r="V862" t="s">
        <v>231</v>
      </c>
      <c r="W862" t="s">
        <v>231</v>
      </c>
      <c r="X862" t="s">
        <v>3628</v>
      </c>
      <c r="Y862" t="s">
        <v>231</v>
      </c>
      <c r="Z862" t="s">
        <v>151</v>
      </c>
      <c r="AA862" t="s">
        <v>151</v>
      </c>
      <c r="AB862" t="s">
        <v>160</v>
      </c>
      <c r="AC862" t="s">
        <v>2262</v>
      </c>
      <c r="AD862" t="s">
        <v>2262</v>
      </c>
      <c r="AE862" t="s">
        <v>2264</v>
      </c>
      <c r="AF862" t="s">
        <v>4879</v>
      </c>
      <c r="AG862" t="s">
        <v>4880</v>
      </c>
      <c r="AH862" t="s">
        <v>4881</v>
      </c>
      <c r="AI862" t="s">
        <v>3575</v>
      </c>
      <c r="AJ862" t="s">
        <v>231</v>
      </c>
      <c r="AK862" t="s">
        <v>231</v>
      </c>
      <c r="AL862" t="s">
        <v>231</v>
      </c>
      <c r="AN862" t="s">
        <v>231</v>
      </c>
      <c r="AO862" t="s">
        <v>231</v>
      </c>
      <c r="AP862" t="s">
        <v>231</v>
      </c>
      <c r="AQ862" t="s">
        <v>231</v>
      </c>
      <c r="AR862" t="s">
        <v>231</v>
      </c>
      <c r="AS862" t="s">
        <v>231</v>
      </c>
      <c r="AT862" t="s">
        <v>231</v>
      </c>
      <c r="AU862" t="s">
        <v>231</v>
      </c>
      <c r="AV862" t="s">
        <v>231</v>
      </c>
      <c r="AW862" t="s">
        <v>231</v>
      </c>
      <c r="AX862" t="s">
        <v>231</v>
      </c>
      <c r="AY862" t="s">
        <v>231</v>
      </c>
      <c r="AZ862" t="s">
        <v>231</v>
      </c>
      <c r="BA862" t="s">
        <v>231</v>
      </c>
      <c r="BB862" t="s">
        <v>231</v>
      </c>
      <c r="BC862" t="s">
        <v>231</v>
      </c>
      <c r="BD862" t="s">
        <v>231</v>
      </c>
      <c r="BE862" t="s">
        <v>4996</v>
      </c>
      <c r="BF862" t="s">
        <v>5146</v>
      </c>
      <c r="BG862" t="s">
        <v>111</v>
      </c>
      <c r="BH862" t="s">
        <v>3632</v>
      </c>
      <c r="BI862" t="s">
        <v>122</v>
      </c>
      <c r="BJ862" t="s">
        <v>231</v>
      </c>
      <c r="BK862" t="s">
        <v>5108</v>
      </c>
      <c r="BL862" t="s">
        <v>2262</v>
      </c>
      <c r="BM862" t="s">
        <v>2262</v>
      </c>
      <c r="BN862" t="s">
        <v>4884</v>
      </c>
      <c r="BO862" t="s">
        <v>4879</v>
      </c>
      <c r="BP862" t="s">
        <v>4885</v>
      </c>
      <c r="BQ862" t="s">
        <v>5499</v>
      </c>
      <c r="BR862" t="s">
        <v>3893</v>
      </c>
      <c r="BS862" t="s">
        <v>231</v>
      </c>
      <c r="BT862" t="s">
        <v>3694</v>
      </c>
      <c r="CS862" t="s">
        <v>3546</v>
      </c>
      <c r="CT862" t="s">
        <v>3534</v>
      </c>
      <c r="CU862" t="s">
        <v>3535</v>
      </c>
      <c r="CV862" t="s">
        <v>3536</v>
      </c>
      <c r="CW862" t="s">
        <v>4891</v>
      </c>
      <c r="CX862" t="s">
        <v>223</v>
      </c>
      <c r="CY862" t="s">
        <v>3536</v>
      </c>
      <c r="CZ862" t="s">
        <v>321</v>
      </c>
      <c r="DA862" t="s">
        <v>3539</v>
      </c>
      <c r="DB862" t="s">
        <v>4891</v>
      </c>
      <c r="DC862" t="s">
        <v>363</v>
      </c>
      <c r="DD862" t="s">
        <v>5099</v>
      </c>
      <c r="DE862" t="s">
        <v>5149</v>
      </c>
    </row>
    <row r="863" spans="1:109" ht="11.25" customHeight="1">
      <c r="A863" s="1314" t="s">
        <v>231</v>
      </c>
      <c r="B863" t="s">
        <v>231</v>
      </c>
      <c r="C863" t="s">
        <v>231</v>
      </c>
      <c r="D863" t="s">
        <v>231</v>
      </c>
      <c r="E863" t="s">
        <v>231</v>
      </c>
      <c r="F863" t="s">
        <v>231</v>
      </c>
      <c r="G863" t="s">
        <v>231</v>
      </c>
      <c r="H863" t="s">
        <v>231</v>
      </c>
      <c r="I863" t="s">
        <v>5086</v>
      </c>
      <c r="J863" t="s">
        <v>231</v>
      </c>
      <c r="K863" t="s">
        <v>231</v>
      </c>
      <c r="L863" t="s">
        <v>231</v>
      </c>
      <c r="M863" t="s">
        <v>231</v>
      </c>
      <c r="N863" t="s">
        <v>231</v>
      </c>
      <c r="O863" t="s">
        <v>231</v>
      </c>
      <c r="P863" t="s">
        <v>231</v>
      </c>
      <c r="Q863" t="s">
        <v>231</v>
      </c>
      <c r="R863" t="s">
        <v>5130</v>
      </c>
      <c r="S863" t="s">
        <v>231</v>
      </c>
      <c r="T863" t="s">
        <v>231</v>
      </c>
      <c r="U863" t="s">
        <v>101</v>
      </c>
      <c r="V863" t="s">
        <v>231</v>
      </c>
      <c r="W863" t="s">
        <v>231</v>
      </c>
      <c r="X863" t="s">
        <v>3628</v>
      </c>
      <c r="Y863" t="s">
        <v>231</v>
      </c>
      <c r="Z863" t="s">
        <v>151</v>
      </c>
      <c r="AA863" t="s">
        <v>151</v>
      </c>
      <c r="AB863" t="s">
        <v>160</v>
      </c>
      <c r="AC863" t="s">
        <v>343</v>
      </c>
      <c r="AD863" t="s">
        <v>343</v>
      </c>
      <c r="AE863" t="s">
        <v>344</v>
      </c>
      <c r="AF863" t="s">
        <v>3561</v>
      </c>
      <c r="AG863" t="s">
        <v>3562</v>
      </c>
      <c r="AH863" t="s">
        <v>5131</v>
      </c>
      <c r="AI863" t="s">
        <v>3575</v>
      </c>
      <c r="AJ863" t="s">
        <v>231</v>
      </c>
      <c r="AK863" t="s">
        <v>231</v>
      </c>
      <c r="AL863" t="s">
        <v>231</v>
      </c>
      <c r="AN863" t="s">
        <v>231</v>
      </c>
      <c r="AO863" t="s">
        <v>231</v>
      </c>
      <c r="AP863" t="s">
        <v>231</v>
      </c>
      <c r="AQ863" t="s">
        <v>231</v>
      </c>
      <c r="AR863" t="s">
        <v>231</v>
      </c>
      <c r="AS863" t="s">
        <v>231</v>
      </c>
      <c r="AT863" t="s">
        <v>231</v>
      </c>
      <c r="AU863" t="s">
        <v>231</v>
      </c>
      <c r="AV863" t="s">
        <v>231</v>
      </c>
      <c r="AW863" t="s">
        <v>231</v>
      </c>
      <c r="AX863" t="s">
        <v>231</v>
      </c>
      <c r="AY863" t="s">
        <v>231</v>
      </c>
      <c r="AZ863" t="s">
        <v>231</v>
      </c>
      <c r="BA863" t="s">
        <v>231</v>
      </c>
      <c r="BB863" t="s">
        <v>231</v>
      </c>
      <c r="BC863" t="s">
        <v>231</v>
      </c>
      <c r="BD863" t="s">
        <v>231</v>
      </c>
      <c r="BE863" t="s">
        <v>5367</v>
      </c>
      <c r="BF863" t="s">
        <v>5133</v>
      </c>
      <c r="BG863" t="s">
        <v>111</v>
      </c>
      <c r="BH863" t="s">
        <v>3632</v>
      </c>
      <c r="BI863" t="s">
        <v>122</v>
      </c>
      <c r="BJ863" t="s">
        <v>231</v>
      </c>
      <c r="BK863" t="s">
        <v>5368</v>
      </c>
      <c r="BL863" t="s">
        <v>343</v>
      </c>
      <c r="BM863" t="s">
        <v>343</v>
      </c>
      <c r="BN863" t="s">
        <v>3634</v>
      </c>
      <c r="BO863" t="s">
        <v>3561</v>
      </c>
      <c r="BP863" t="s">
        <v>3635</v>
      </c>
      <c r="BQ863" t="s">
        <v>5369</v>
      </c>
      <c r="BR863" t="s">
        <v>3575</v>
      </c>
      <c r="BS863" t="s">
        <v>231</v>
      </c>
      <c r="BT863" t="s">
        <v>3637</v>
      </c>
      <c r="CS863" t="s">
        <v>5365</v>
      </c>
      <c r="CT863" t="s">
        <v>3534</v>
      </c>
      <c r="CU863" t="s">
        <v>3535</v>
      </c>
      <c r="CV863" t="s">
        <v>3536</v>
      </c>
      <c r="CW863" t="s">
        <v>3569</v>
      </c>
      <c r="CX863" t="s">
        <v>223</v>
      </c>
      <c r="CY863" t="s">
        <v>3536</v>
      </c>
      <c r="CZ863" t="s">
        <v>224</v>
      </c>
      <c r="DA863" t="s">
        <v>3571</v>
      </c>
      <c r="DB863" t="s">
        <v>3569</v>
      </c>
      <c r="DC863" t="s">
        <v>363</v>
      </c>
      <c r="DD863" t="s">
        <v>5099</v>
      </c>
      <c r="DE863" t="s">
        <v>5134</v>
      </c>
    </row>
    <row r="864" spans="1:109" ht="11.25" customHeight="1">
      <c r="A864" s="1314" t="s">
        <v>231</v>
      </c>
      <c r="B864" t="s">
        <v>231</v>
      </c>
      <c r="C864" t="s">
        <v>231</v>
      </c>
      <c r="D864" t="s">
        <v>231</v>
      </c>
      <c r="E864" t="s">
        <v>231</v>
      </c>
      <c r="F864" t="s">
        <v>231</v>
      </c>
      <c r="G864" t="s">
        <v>231</v>
      </c>
      <c r="H864" t="s">
        <v>231</v>
      </c>
      <c r="I864" t="s">
        <v>5086</v>
      </c>
      <c r="J864" t="s">
        <v>231</v>
      </c>
      <c r="K864" t="s">
        <v>231</v>
      </c>
      <c r="L864" t="s">
        <v>231</v>
      </c>
      <c r="M864" t="s">
        <v>231</v>
      </c>
      <c r="N864" t="s">
        <v>231</v>
      </c>
      <c r="O864" t="s">
        <v>231</v>
      </c>
      <c r="P864" t="s">
        <v>231</v>
      </c>
      <c r="Q864" t="s">
        <v>231</v>
      </c>
      <c r="R864" t="s">
        <v>5408</v>
      </c>
      <c r="S864" t="s">
        <v>231</v>
      </c>
      <c r="T864" t="s">
        <v>231</v>
      </c>
      <c r="U864" t="s">
        <v>101</v>
      </c>
      <c r="V864" t="s">
        <v>231</v>
      </c>
      <c r="W864" t="s">
        <v>231</v>
      </c>
      <c r="X864" t="s">
        <v>3955</v>
      </c>
      <c r="Y864" t="s">
        <v>231</v>
      </c>
      <c r="Z864" t="s">
        <v>151</v>
      </c>
      <c r="AA864" t="s">
        <v>160</v>
      </c>
      <c r="AB864" t="s">
        <v>151</v>
      </c>
      <c r="AC864" t="s">
        <v>2262</v>
      </c>
      <c r="AD864" t="s">
        <v>2262</v>
      </c>
      <c r="AE864" t="s">
        <v>2264</v>
      </c>
      <c r="AF864" t="s">
        <v>4879</v>
      </c>
      <c r="AG864" t="s">
        <v>4880</v>
      </c>
      <c r="AH864" t="s">
        <v>4986</v>
      </c>
      <c r="AI864" t="s">
        <v>281</v>
      </c>
      <c r="AJ864" t="s">
        <v>231</v>
      </c>
      <c r="AK864" t="s">
        <v>231</v>
      </c>
      <c r="AL864" t="s">
        <v>231</v>
      </c>
      <c r="AN864" t="s">
        <v>231</v>
      </c>
      <c r="AO864" t="s">
        <v>231</v>
      </c>
      <c r="AP864" t="s">
        <v>5274</v>
      </c>
      <c r="AQ864" t="s">
        <v>5146</v>
      </c>
      <c r="AR864" t="s">
        <v>111</v>
      </c>
      <c r="AS864" t="s">
        <v>3632</v>
      </c>
      <c r="AT864" t="s">
        <v>122</v>
      </c>
      <c r="AU864" t="s">
        <v>231</v>
      </c>
      <c r="AV864" t="s">
        <v>5408</v>
      </c>
      <c r="AW864" t="s">
        <v>2262</v>
      </c>
      <c r="AX864" t="s">
        <v>2262</v>
      </c>
      <c r="AY864" t="s">
        <v>4884</v>
      </c>
      <c r="AZ864" t="s">
        <v>4879</v>
      </c>
      <c r="BA864" t="s">
        <v>4885</v>
      </c>
      <c r="BB864" t="s">
        <v>4986</v>
      </c>
      <c r="BC864" t="s">
        <v>281</v>
      </c>
      <c r="BD864" t="s">
        <v>3621</v>
      </c>
      <c r="BE864" t="s">
        <v>231</v>
      </c>
      <c r="BF864" t="s">
        <v>231</v>
      </c>
      <c r="BG864" t="s">
        <v>231</v>
      </c>
      <c r="BH864" t="s">
        <v>231</v>
      </c>
      <c r="BI864" t="s">
        <v>231</v>
      </c>
      <c r="BJ864" t="s">
        <v>231</v>
      </c>
      <c r="BK864" t="s">
        <v>231</v>
      </c>
      <c r="BL864" t="s">
        <v>231</v>
      </c>
      <c r="BM864" t="s">
        <v>231</v>
      </c>
      <c r="BN864" t="s">
        <v>231</v>
      </c>
      <c r="BO864" t="s">
        <v>231</v>
      </c>
      <c r="BP864" t="s">
        <v>231</v>
      </c>
      <c r="BQ864" t="s">
        <v>231</v>
      </c>
      <c r="BR864" t="s">
        <v>231</v>
      </c>
      <c r="BS864" t="s">
        <v>231</v>
      </c>
      <c r="BT864" t="s">
        <v>231</v>
      </c>
      <c r="CS864" t="s">
        <v>231</v>
      </c>
      <c r="CT864" t="s">
        <v>3534</v>
      </c>
      <c r="CU864" t="s">
        <v>3535</v>
      </c>
      <c r="CV864" t="s">
        <v>3536</v>
      </c>
      <c r="CW864" t="s">
        <v>4891</v>
      </c>
      <c r="CX864" t="s">
        <v>223</v>
      </c>
      <c r="CY864" t="s">
        <v>3536</v>
      </c>
      <c r="CZ864" t="s">
        <v>321</v>
      </c>
      <c r="DA864" t="s">
        <v>3539</v>
      </c>
      <c r="DB864" t="s">
        <v>4891</v>
      </c>
      <c r="DC864" t="s">
        <v>363</v>
      </c>
      <c r="DD864" t="s">
        <v>5099</v>
      </c>
      <c r="DE864" t="s">
        <v>5410</v>
      </c>
    </row>
    <row r="865" spans="1:109" ht="11.25" customHeight="1">
      <c r="A865" s="1314" t="s">
        <v>231</v>
      </c>
      <c r="B865" t="s">
        <v>231</v>
      </c>
      <c r="C865" t="s">
        <v>231</v>
      </c>
      <c r="D865" t="s">
        <v>231</v>
      </c>
      <c r="E865" t="s">
        <v>231</v>
      </c>
      <c r="F865" t="s">
        <v>231</v>
      </c>
      <c r="G865" t="s">
        <v>231</v>
      </c>
      <c r="H865" t="s">
        <v>231</v>
      </c>
      <c r="I865" t="s">
        <v>5086</v>
      </c>
      <c r="J865" t="s">
        <v>231</v>
      </c>
      <c r="K865" t="s">
        <v>231</v>
      </c>
      <c r="L865" t="s">
        <v>231</v>
      </c>
      <c r="M865" t="s">
        <v>231</v>
      </c>
      <c r="N865" t="s">
        <v>231</v>
      </c>
      <c r="O865" t="s">
        <v>231</v>
      </c>
      <c r="P865" t="s">
        <v>231</v>
      </c>
      <c r="Q865" t="s">
        <v>231</v>
      </c>
      <c r="R865" t="s">
        <v>5088</v>
      </c>
      <c r="S865" t="s">
        <v>231</v>
      </c>
      <c r="T865" t="s">
        <v>231</v>
      </c>
      <c r="U865" t="s">
        <v>101</v>
      </c>
      <c r="V865" t="s">
        <v>231</v>
      </c>
      <c r="W865" t="s">
        <v>231</v>
      </c>
      <c r="X865" t="s">
        <v>5088</v>
      </c>
      <c r="Y865" t="s">
        <v>231</v>
      </c>
      <c r="Z865" t="s">
        <v>160</v>
      </c>
      <c r="AA865" t="s">
        <v>151</v>
      </c>
      <c r="AB865" t="s">
        <v>151</v>
      </c>
      <c r="AC865" t="s">
        <v>2262</v>
      </c>
      <c r="AD865" t="s">
        <v>2262</v>
      </c>
      <c r="AE865" t="s">
        <v>2264</v>
      </c>
      <c r="AF865" t="s">
        <v>4879</v>
      </c>
      <c r="AG865" t="s">
        <v>4880</v>
      </c>
      <c r="AH865" t="s">
        <v>5147</v>
      </c>
      <c r="AI865" t="s">
        <v>5411</v>
      </c>
      <c r="AJ865" t="s">
        <v>5412</v>
      </c>
      <c r="AK865" t="s">
        <v>5413</v>
      </c>
      <c r="AL865" t="s">
        <v>5092</v>
      </c>
      <c r="AN865" t="s">
        <v>3621</v>
      </c>
      <c r="AO865" t="s">
        <v>3662</v>
      </c>
      <c r="AP865" t="s">
        <v>231</v>
      </c>
      <c r="AQ865" t="s">
        <v>231</v>
      </c>
      <c r="AR865" t="s">
        <v>231</v>
      </c>
      <c r="AS865" t="s">
        <v>231</v>
      </c>
      <c r="AT865" t="s">
        <v>231</v>
      </c>
      <c r="AU865" t="s">
        <v>231</v>
      </c>
      <c r="AV865" t="s">
        <v>231</v>
      </c>
      <c r="AW865" t="s">
        <v>231</v>
      </c>
      <c r="AX865" t="s">
        <v>231</v>
      </c>
      <c r="AY865" t="s">
        <v>231</v>
      </c>
      <c r="AZ865" t="s">
        <v>231</v>
      </c>
      <c r="BA865" t="s">
        <v>231</v>
      </c>
      <c r="BB865" t="s">
        <v>231</v>
      </c>
      <c r="BC865" t="s">
        <v>231</v>
      </c>
      <c r="BD865" t="s">
        <v>231</v>
      </c>
      <c r="BE865" t="s">
        <v>231</v>
      </c>
      <c r="BF865" t="s">
        <v>231</v>
      </c>
      <c r="BG865" t="s">
        <v>231</v>
      </c>
      <c r="BH865" t="s">
        <v>231</v>
      </c>
      <c r="BI865" t="s">
        <v>231</v>
      </c>
      <c r="BJ865" t="s">
        <v>231</v>
      </c>
      <c r="BK865" t="s">
        <v>231</v>
      </c>
      <c r="BL865" t="s">
        <v>231</v>
      </c>
      <c r="BM865" t="s">
        <v>231</v>
      </c>
      <c r="BN865" t="s">
        <v>231</v>
      </c>
      <c r="BO865" t="s">
        <v>231</v>
      </c>
      <c r="BP865" t="s">
        <v>231</v>
      </c>
      <c r="BQ865" t="s">
        <v>231</v>
      </c>
      <c r="BR865" t="s">
        <v>231</v>
      </c>
      <c r="BS865" t="s">
        <v>231</v>
      </c>
      <c r="BT865" t="s">
        <v>231</v>
      </c>
      <c r="CS865" t="s">
        <v>231</v>
      </c>
      <c r="CT865" t="s">
        <v>3534</v>
      </c>
      <c r="CU865" t="s">
        <v>3535</v>
      </c>
      <c r="CV865" t="s">
        <v>3536</v>
      </c>
      <c r="CW865" t="s">
        <v>4891</v>
      </c>
      <c r="CX865" t="s">
        <v>223</v>
      </c>
      <c r="CY865" t="s">
        <v>3536</v>
      </c>
      <c r="CZ865" t="s">
        <v>321</v>
      </c>
      <c r="DA865" t="s">
        <v>3539</v>
      </c>
      <c r="DB865" t="s">
        <v>4891</v>
      </c>
      <c r="DC865" t="s">
        <v>363</v>
      </c>
      <c r="DD865" t="s">
        <v>5099</v>
      </c>
      <c r="DE865" t="s">
        <v>5414</v>
      </c>
    </row>
    <row r="866" spans="1:109" ht="11.25" customHeight="1">
      <c r="A866" s="1314" t="s">
        <v>231</v>
      </c>
      <c r="B866" t="s">
        <v>231</v>
      </c>
      <c r="C866" t="s">
        <v>231</v>
      </c>
      <c r="D866" t="s">
        <v>231</v>
      </c>
      <c r="E866" t="s">
        <v>231</v>
      </c>
      <c r="F866" t="s">
        <v>231</v>
      </c>
      <c r="G866" t="s">
        <v>231</v>
      </c>
      <c r="H866" t="s">
        <v>231</v>
      </c>
      <c r="I866" t="s">
        <v>5086</v>
      </c>
      <c r="J866" t="s">
        <v>231</v>
      </c>
      <c r="K866" t="s">
        <v>231</v>
      </c>
      <c r="L866" t="s">
        <v>231</v>
      </c>
      <c r="M866" t="s">
        <v>231</v>
      </c>
      <c r="N866" t="s">
        <v>231</v>
      </c>
      <c r="O866" t="s">
        <v>231</v>
      </c>
      <c r="P866" t="s">
        <v>231</v>
      </c>
      <c r="Q866" t="s">
        <v>231</v>
      </c>
      <c r="R866" t="s">
        <v>5415</v>
      </c>
      <c r="S866" t="s">
        <v>231</v>
      </c>
      <c r="T866" t="s">
        <v>231</v>
      </c>
      <c r="U866" t="s">
        <v>101</v>
      </c>
      <c r="V866" t="s">
        <v>231</v>
      </c>
      <c r="W866" t="s">
        <v>231</v>
      </c>
      <c r="X866" t="s">
        <v>5088</v>
      </c>
      <c r="Y866" t="s">
        <v>231</v>
      </c>
      <c r="Z866" t="s">
        <v>160</v>
      </c>
      <c r="AA866" t="s">
        <v>151</v>
      </c>
      <c r="AB866" t="s">
        <v>151</v>
      </c>
      <c r="AC866" t="s">
        <v>2262</v>
      </c>
      <c r="AD866" t="s">
        <v>2262</v>
      </c>
      <c r="AE866" t="s">
        <v>2264</v>
      </c>
      <c r="AF866" t="s">
        <v>4879</v>
      </c>
      <c r="AG866" t="s">
        <v>4880</v>
      </c>
      <c r="AH866" t="s">
        <v>5416</v>
      </c>
      <c r="AI866" t="s">
        <v>3575</v>
      </c>
      <c r="AJ866" t="s">
        <v>3549</v>
      </c>
      <c r="AK866" t="s">
        <v>5417</v>
      </c>
      <c r="AL866" t="s">
        <v>5092</v>
      </c>
      <c r="AN866" t="s">
        <v>5297</v>
      </c>
      <c r="AO866" t="s">
        <v>5098</v>
      </c>
      <c r="AP866" t="s">
        <v>231</v>
      </c>
      <c r="AQ866" t="s">
        <v>231</v>
      </c>
      <c r="AR866" t="s">
        <v>231</v>
      </c>
      <c r="AS866" t="s">
        <v>231</v>
      </c>
      <c r="AT866" t="s">
        <v>231</v>
      </c>
      <c r="AU866" t="s">
        <v>231</v>
      </c>
      <c r="AV866" t="s">
        <v>231</v>
      </c>
      <c r="AW866" t="s">
        <v>231</v>
      </c>
      <c r="AX866" t="s">
        <v>231</v>
      </c>
      <c r="AY866" t="s">
        <v>231</v>
      </c>
      <c r="AZ866" t="s">
        <v>231</v>
      </c>
      <c r="BA866" t="s">
        <v>231</v>
      </c>
      <c r="BB866" t="s">
        <v>231</v>
      </c>
      <c r="BC866" t="s">
        <v>231</v>
      </c>
      <c r="BD866" t="s">
        <v>231</v>
      </c>
      <c r="BE866" t="s">
        <v>231</v>
      </c>
      <c r="BF866" t="s">
        <v>231</v>
      </c>
      <c r="BG866" t="s">
        <v>231</v>
      </c>
      <c r="BH866" t="s">
        <v>231</v>
      </c>
      <c r="BI866" t="s">
        <v>231</v>
      </c>
      <c r="BJ866" t="s">
        <v>231</v>
      </c>
      <c r="BK866" t="s">
        <v>231</v>
      </c>
      <c r="BL866" t="s">
        <v>231</v>
      </c>
      <c r="BM866" t="s">
        <v>231</v>
      </c>
      <c r="BN866" t="s">
        <v>231</v>
      </c>
      <c r="BO866" t="s">
        <v>231</v>
      </c>
      <c r="BP866" t="s">
        <v>231</v>
      </c>
      <c r="BQ866" t="s">
        <v>231</v>
      </c>
      <c r="BR866" t="s">
        <v>231</v>
      </c>
      <c r="BS866" t="s">
        <v>231</v>
      </c>
      <c r="BT866" t="s">
        <v>231</v>
      </c>
      <c r="CS866" t="s">
        <v>231</v>
      </c>
      <c r="CT866" t="s">
        <v>3534</v>
      </c>
      <c r="CU866" t="s">
        <v>3535</v>
      </c>
      <c r="CV866" t="s">
        <v>3536</v>
      </c>
      <c r="CW866" t="s">
        <v>4891</v>
      </c>
      <c r="CX866" t="s">
        <v>223</v>
      </c>
      <c r="CY866" t="s">
        <v>3536</v>
      </c>
      <c r="CZ866" t="s">
        <v>321</v>
      </c>
      <c r="DA866" t="s">
        <v>3539</v>
      </c>
      <c r="DB866" t="s">
        <v>4891</v>
      </c>
      <c r="DC866" t="s">
        <v>363</v>
      </c>
      <c r="DD866" t="s">
        <v>5099</v>
      </c>
      <c r="DE866" t="s">
        <v>5418</v>
      </c>
    </row>
    <row r="867" spans="1:109" ht="11.25" customHeight="1">
      <c r="A867" s="1314" t="s">
        <v>231</v>
      </c>
      <c r="B867" t="s">
        <v>231</v>
      </c>
      <c r="C867" t="s">
        <v>231</v>
      </c>
      <c r="D867" t="s">
        <v>231</v>
      </c>
      <c r="E867" t="s">
        <v>231</v>
      </c>
      <c r="F867" t="s">
        <v>231</v>
      </c>
      <c r="G867" t="s">
        <v>231</v>
      </c>
      <c r="H867" t="s">
        <v>231</v>
      </c>
      <c r="I867" t="s">
        <v>5086</v>
      </c>
      <c r="J867" t="s">
        <v>231</v>
      </c>
      <c r="K867" t="s">
        <v>231</v>
      </c>
      <c r="L867" t="s">
        <v>231</v>
      </c>
      <c r="M867" t="s">
        <v>231</v>
      </c>
      <c r="N867" t="s">
        <v>231</v>
      </c>
      <c r="O867" t="s">
        <v>231</v>
      </c>
      <c r="P867" t="s">
        <v>231</v>
      </c>
      <c r="Q867" t="s">
        <v>231</v>
      </c>
      <c r="R867" t="s">
        <v>5370</v>
      </c>
      <c r="S867" t="s">
        <v>231</v>
      </c>
      <c r="T867" t="s">
        <v>231</v>
      </c>
      <c r="U867" t="s">
        <v>101</v>
      </c>
      <c r="V867" t="s">
        <v>231</v>
      </c>
      <c r="W867" t="s">
        <v>231</v>
      </c>
      <c r="X867" t="s">
        <v>3628</v>
      </c>
      <c r="Y867" t="s">
        <v>231</v>
      </c>
      <c r="Z867" t="s">
        <v>151</v>
      </c>
      <c r="AA867" t="s">
        <v>151</v>
      </c>
      <c r="AB867" t="s">
        <v>160</v>
      </c>
      <c r="AC867" t="s">
        <v>343</v>
      </c>
      <c r="AD867" t="s">
        <v>343</v>
      </c>
      <c r="AE867" t="s">
        <v>344</v>
      </c>
      <c r="AF867" t="s">
        <v>3561</v>
      </c>
      <c r="AG867" t="s">
        <v>3562</v>
      </c>
      <c r="AH867" t="s">
        <v>5371</v>
      </c>
      <c r="AI867" t="s">
        <v>3575</v>
      </c>
      <c r="AJ867" t="s">
        <v>231</v>
      </c>
      <c r="AK867" t="s">
        <v>231</v>
      </c>
      <c r="AL867" t="s">
        <v>231</v>
      </c>
      <c r="AN867" t="s">
        <v>231</v>
      </c>
      <c r="AO867" t="s">
        <v>231</v>
      </c>
      <c r="AP867" t="s">
        <v>231</v>
      </c>
      <c r="AQ867" t="s">
        <v>231</v>
      </c>
      <c r="AR867" t="s">
        <v>231</v>
      </c>
      <c r="AS867" t="s">
        <v>231</v>
      </c>
      <c r="AT867" t="s">
        <v>231</v>
      </c>
      <c r="AU867" t="s">
        <v>231</v>
      </c>
      <c r="AV867" t="s">
        <v>231</v>
      </c>
      <c r="AW867" t="s">
        <v>231</v>
      </c>
      <c r="AX867" t="s">
        <v>231</v>
      </c>
      <c r="AY867" t="s">
        <v>231</v>
      </c>
      <c r="AZ867" t="s">
        <v>231</v>
      </c>
      <c r="BA867" t="s">
        <v>231</v>
      </c>
      <c r="BB867" t="s">
        <v>231</v>
      </c>
      <c r="BC867" t="s">
        <v>231</v>
      </c>
      <c r="BD867" t="s">
        <v>231</v>
      </c>
      <c r="BE867" t="s">
        <v>3760</v>
      </c>
      <c r="BF867" t="s">
        <v>5372</v>
      </c>
      <c r="BG867" t="s">
        <v>111</v>
      </c>
      <c r="BH867" t="s">
        <v>3632</v>
      </c>
      <c r="BI867" t="s">
        <v>122</v>
      </c>
      <c r="BJ867" t="s">
        <v>231</v>
      </c>
      <c r="BK867" t="s">
        <v>5373</v>
      </c>
      <c r="BL867" t="s">
        <v>343</v>
      </c>
      <c r="BM867" t="s">
        <v>343</v>
      </c>
      <c r="BN867" t="s">
        <v>3634</v>
      </c>
      <c r="BO867" t="s">
        <v>3561</v>
      </c>
      <c r="BP867" t="s">
        <v>3635</v>
      </c>
      <c r="BQ867" t="s">
        <v>5371</v>
      </c>
      <c r="BR867" t="s">
        <v>3575</v>
      </c>
      <c r="BS867" t="s">
        <v>231</v>
      </c>
      <c r="BT867" t="s">
        <v>3637</v>
      </c>
      <c r="CS867" t="s">
        <v>5365</v>
      </c>
      <c r="CT867" t="s">
        <v>3534</v>
      </c>
      <c r="CU867" t="s">
        <v>3535</v>
      </c>
      <c r="CV867" t="s">
        <v>3536</v>
      </c>
      <c r="CW867" t="s">
        <v>3569</v>
      </c>
      <c r="CX867" t="s">
        <v>223</v>
      </c>
      <c r="CY867" t="s">
        <v>3536</v>
      </c>
      <c r="CZ867" t="s">
        <v>224</v>
      </c>
      <c r="DA867" t="s">
        <v>3571</v>
      </c>
      <c r="DB867" t="s">
        <v>3569</v>
      </c>
      <c r="DC867" t="s">
        <v>363</v>
      </c>
      <c r="DD867" t="s">
        <v>5099</v>
      </c>
      <c r="DE867" t="s">
        <v>5374</v>
      </c>
    </row>
    <row r="868" spans="1:109" ht="11.25" customHeight="1">
      <c r="A868" s="1314" t="s">
        <v>231</v>
      </c>
      <c r="B868" t="s">
        <v>231</v>
      </c>
      <c r="C868" t="s">
        <v>231</v>
      </c>
      <c r="D868" t="s">
        <v>231</v>
      </c>
      <c r="E868" t="s">
        <v>231</v>
      </c>
      <c r="F868" t="s">
        <v>231</v>
      </c>
      <c r="G868" t="s">
        <v>231</v>
      </c>
      <c r="H868" t="s">
        <v>231</v>
      </c>
      <c r="I868" t="s">
        <v>5086</v>
      </c>
      <c r="J868" t="s">
        <v>231</v>
      </c>
      <c r="K868" t="s">
        <v>231</v>
      </c>
      <c r="L868" t="s">
        <v>231</v>
      </c>
      <c r="M868" t="s">
        <v>231</v>
      </c>
      <c r="N868" t="s">
        <v>231</v>
      </c>
      <c r="O868" t="s">
        <v>231</v>
      </c>
      <c r="P868" t="s">
        <v>231</v>
      </c>
      <c r="Q868" t="s">
        <v>231</v>
      </c>
      <c r="R868" t="s">
        <v>5198</v>
      </c>
      <c r="S868" t="s">
        <v>231</v>
      </c>
      <c r="T868" t="s">
        <v>231</v>
      </c>
      <c r="U868" t="s">
        <v>101</v>
      </c>
      <c r="V868" t="s">
        <v>231</v>
      </c>
      <c r="W868" t="s">
        <v>231</v>
      </c>
      <c r="X868" t="s">
        <v>5088</v>
      </c>
      <c r="Y868" t="s">
        <v>231</v>
      </c>
      <c r="Z868" t="s">
        <v>160</v>
      </c>
      <c r="AA868" t="s">
        <v>151</v>
      </c>
      <c r="AB868" t="s">
        <v>151</v>
      </c>
      <c r="AC868" t="s">
        <v>2262</v>
      </c>
      <c r="AD868" t="s">
        <v>2262</v>
      </c>
      <c r="AE868" t="s">
        <v>2264</v>
      </c>
      <c r="AF868" t="s">
        <v>4879</v>
      </c>
      <c r="AG868" t="s">
        <v>4880</v>
      </c>
      <c r="AH868" t="s">
        <v>5199</v>
      </c>
      <c r="AI868" t="s">
        <v>3575</v>
      </c>
      <c r="AJ868" t="s">
        <v>5200</v>
      </c>
      <c r="AK868" t="s">
        <v>5201</v>
      </c>
      <c r="AL868" t="s">
        <v>5092</v>
      </c>
      <c r="AN868" t="s">
        <v>3549</v>
      </c>
      <c r="AO868" t="s">
        <v>5202</v>
      </c>
      <c r="AP868" t="s">
        <v>231</v>
      </c>
      <c r="AQ868" t="s">
        <v>231</v>
      </c>
      <c r="AR868" t="s">
        <v>231</v>
      </c>
      <c r="AS868" t="s">
        <v>231</v>
      </c>
      <c r="AT868" t="s">
        <v>231</v>
      </c>
      <c r="AU868" t="s">
        <v>231</v>
      </c>
      <c r="AV868" t="s">
        <v>231</v>
      </c>
      <c r="AW868" t="s">
        <v>231</v>
      </c>
      <c r="AX868" t="s">
        <v>231</v>
      </c>
      <c r="AY868" t="s">
        <v>231</v>
      </c>
      <c r="AZ868" t="s">
        <v>231</v>
      </c>
      <c r="BA868" t="s">
        <v>231</v>
      </c>
      <c r="BB868" t="s">
        <v>231</v>
      </c>
      <c r="BC868" t="s">
        <v>231</v>
      </c>
      <c r="BD868" t="s">
        <v>231</v>
      </c>
      <c r="BE868" t="s">
        <v>231</v>
      </c>
      <c r="BF868" t="s">
        <v>231</v>
      </c>
      <c r="BG868" t="s">
        <v>231</v>
      </c>
      <c r="BH868" t="s">
        <v>231</v>
      </c>
      <c r="BI868" t="s">
        <v>231</v>
      </c>
      <c r="BJ868" t="s">
        <v>231</v>
      </c>
      <c r="BK868" t="s">
        <v>231</v>
      </c>
      <c r="BL868" t="s">
        <v>231</v>
      </c>
      <c r="BM868" t="s">
        <v>231</v>
      </c>
      <c r="BN868" t="s">
        <v>231</v>
      </c>
      <c r="BO868" t="s">
        <v>231</v>
      </c>
      <c r="BP868" t="s">
        <v>231</v>
      </c>
      <c r="BQ868" t="s">
        <v>231</v>
      </c>
      <c r="BR868" t="s">
        <v>231</v>
      </c>
      <c r="BS868" t="s">
        <v>231</v>
      </c>
      <c r="BT868" t="s">
        <v>231</v>
      </c>
      <c r="CS868" t="s">
        <v>231</v>
      </c>
      <c r="CT868" t="s">
        <v>3534</v>
      </c>
      <c r="CU868" t="s">
        <v>3535</v>
      </c>
      <c r="CV868" t="s">
        <v>3536</v>
      </c>
      <c r="CW868" t="s">
        <v>4891</v>
      </c>
      <c r="CX868" t="s">
        <v>223</v>
      </c>
      <c r="CY868" t="s">
        <v>3536</v>
      </c>
      <c r="CZ868" t="s">
        <v>321</v>
      </c>
      <c r="DA868" t="s">
        <v>3539</v>
      </c>
      <c r="DB868" t="s">
        <v>4891</v>
      </c>
      <c r="DC868" t="s">
        <v>363</v>
      </c>
      <c r="DD868" t="s">
        <v>5099</v>
      </c>
      <c r="DE868" t="s">
        <v>5203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cols>
    <col min="1" max="1" width="89.7109375" style="131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54"/>
  <sheetViews>
    <sheetView showGridLines="0" topLeftCell="AA30" workbookViewId="0">
      <selection activeCell="AB42" sqref="AB42"/>
    </sheetView>
  </sheetViews>
  <sheetFormatPr defaultColWidth="9.140625" defaultRowHeight="12.75" customHeight="1"/>
  <cols>
    <col min="1" max="1" width="8" style="233" hidden="1" customWidth="1"/>
    <col min="2" max="2" width="14.28515625" style="361" hidden="1" customWidth="1"/>
    <col min="3" max="4" width="3.5703125" style="233" hidden="1" customWidth="1"/>
    <col min="5" max="5" width="4.7109375" style="537" hidden="1" customWidth="1"/>
    <col min="6" max="26" width="3.5703125" style="233" hidden="1" customWidth="1"/>
    <col min="27" max="27" width="3.7109375" style="233" customWidth="1"/>
    <col min="28" max="28" width="11.7109375" style="233" customWidth="1"/>
    <col min="29" max="29" width="32.85546875" style="233" customWidth="1"/>
    <col min="30" max="30" width="133.5703125" style="233" customWidth="1"/>
    <col min="31" max="31" width="9.140625" style="233"/>
  </cols>
  <sheetData>
    <row r="1" spans="1:5" ht="11.25" hidden="1" customHeight="1">
      <c r="E1" s="233"/>
    </row>
    <row r="2" spans="1:5" s="361" customFormat="1" ht="11.25" hidden="1" customHeight="1">
      <c r="B2" s="363" t="s">
        <v>18</v>
      </c>
    </row>
    <row r="3" spans="1:5" ht="11.25" hidden="1" customHeight="1">
      <c r="E3" s="233"/>
    </row>
    <row r="4" spans="1:5" ht="11.25" hidden="1" customHeight="1">
      <c r="E4" s="233"/>
    </row>
    <row r="5" spans="1:5" s="537" customFormat="1" ht="11.25" hidden="1" customHeight="1">
      <c r="A5" s="233"/>
      <c r="B5" s="361"/>
      <c r="C5" s="233"/>
      <c r="D5" s="233"/>
      <c r="E5" s="536"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1:31" ht="11.25" hidden="1" customHeight="1"/>
    <row r="18" spans="1:31" ht="11.25" hidden="1" customHeight="1"/>
    <row r="19" spans="1:31" ht="11.25" hidden="1" customHeight="1"/>
    <row r="20" spans="1:31" ht="11.25" hidden="1" customHeight="1"/>
    <row r="21" spans="1:31" ht="12.75" customHeight="1">
      <c r="AA21" s="342"/>
    </row>
    <row r="22" spans="1:31" ht="24.75" customHeight="1">
      <c r="AB22" s="234" t="s">
        <v>28</v>
      </c>
      <c r="AC22" s="235"/>
      <c r="AD22" s="235"/>
    </row>
    <row r="23" spans="1:31" ht="16.5" customHeight="1">
      <c r="AB23" s="239" t="s">
        <v>29</v>
      </c>
    </row>
    <row r="24" spans="1:31" ht="27" customHeight="1">
      <c r="B24" s="363" t="b">
        <v>1</v>
      </c>
      <c r="E24" s="537">
        <v>27.75</v>
      </c>
      <c r="AB24" s="236" t="s">
        <v>30</v>
      </c>
      <c r="AC24" s="237" t="s">
        <v>31</v>
      </c>
      <c r="AD24" s="238" t="s">
        <v>32</v>
      </c>
    </row>
    <row r="25" spans="1:31" ht="27" customHeight="1">
      <c r="B25" s="363" t="b">
        <v>1</v>
      </c>
      <c r="E25" s="537">
        <v>27.75</v>
      </c>
      <c r="AB25" s="236" t="s">
        <v>30</v>
      </c>
      <c r="AC25" s="237" t="s">
        <v>33</v>
      </c>
      <c r="AD25" s="238" t="s">
        <v>34</v>
      </c>
    </row>
    <row r="26" spans="1:31" ht="27" customHeight="1">
      <c r="B26" s="363" t="b">
        <v>1</v>
      </c>
      <c r="E26" s="537">
        <v>27.75</v>
      </c>
      <c r="AB26" s="236" t="s">
        <v>30</v>
      </c>
      <c r="AC26" s="237" t="s">
        <v>35</v>
      </c>
      <c r="AD26" s="238" t="s">
        <v>36</v>
      </c>
    </row>
    <row r="27" spans="1:31" ht="27" customHeight="1">
      <c r="B27" s="363" t="b">
        <v>1</v>
      </c>
      <c r="E27" s="537">
        <v>27.75</v>
      </c>
      <c r="AB27" s="236" t="s">
        <v>30</v>
      </c>
      <c r="AC27" s="237" t="s">
        <v>37</v>
      </c>
      <c r="AD27" s="238" t="s">
        <v>38</v>
      </c>
    </row>
    <row r="28" spans="1:31" ht="27" customHeight="1">
      <c r="B28" s="363" t="b">
        <f>NOT(method_reg="Метод сравнения аналогов")</f>
        <v>1</v>
      </c>
      <c r="E28" s="537">
        <v>27.75</v>
      </c>
      <c r="AB28" s="236" t="s">
        <v>30</v>
      </c>
      <c r="AC28" s="237" t="s">
        <v>39</v>
      </c>
      <c r="AD28" s="238" t="s">
        <v>40</v>
      </c>
    </row>
    <row r="29" spans="1:31" s="1314" customFormat="1" ht="27" hidden="1" customHeight="1">
      <c r="A29" s="233"/>
      <c r="B29" s="364" t="b">
        <f>method_reg="Метод индексации"</f>
        <v>0</v>
      </c>
      <c r="C29" s="233"/>
      <c r="D29" s="233"/>
      <c r="E29" s="537">
        <v>27.75</v>
      </c>
      <c r="F29" s="233"/>
      <c r="G29" s="233"/>
      <c r="H29" s="233"/>
      <c r="I29" s="233"/>
      <c r="J29" s="233"/>
      <c r="K29" s="233"/>
      <c r="L29" s="233"/>
      <c r="M29" s="233"/>
      <c r="N29" s="233"/>
      <c r="O29" s="233"/>
      <c r="P29" s="233"/>
      <c r="Q29" s="233"/>
      <c r="R29" s="233"/>
      <c r="S29" s="233"/>
      <c r="T29" s="233"/>
      <c r="U29" s="233"/>
      <c r="V29" s="233"/>
      <c r="W29" s="233"/>
      <c r="X29" s="233"/>
      <c r="Y29" s="233"/>
      <c r="Z29" s="233"/>
      <c r="AA29" s="233"/>
      <c r="AB29" s="236" t="s">
        <v>41</v>
      </c>
      <c r="AC29" s="237" t="s">
        <v>42</v>
      </c>
      <c r="AD29" s="238" t="s">
        <v>43</v>
      </c>
      <c r="AE29" s="233"/>
    </row>
    <row r="30" spans="1:31" ht="27" customHeight="1">
      <c r="B30" s="363" t="b">
        <v>1</v>
      </c>
      <c r="E30" s="537">
        <v>27.75</v>
      </c>
      <c r="AB30" s="236" t="s">
        <v>30</v>
      </c>
      <c r="AC30" s="237" t="s">
        <v>44</v>
      </c>
      <c r="AD30" s="238" t="s">
        <v>45</v>
      </c>
    </row>
    <row r="31" spans="1:31" ht="27" hidden="1" customHeight="1">
      <c r="B31" s="363" t="b">
        <f>OR(method_reg="Метод индексации",method_reg="Метод сравнения аналогов")</f>
        <v>0</v>
      </c>
      <c r="E31" s="537">
        <v>27.75</v>
      </c>
      <c r="AB31" s="377" t="s">
        <v>41</v>
      </c>
      <c r="AC31" s="378" t="s">
        <v>46</v>
      </c>
      <c r="AD31" s="379" t="s">
        <v>47</v>
      </c>
      <c r="AE31" s="343"/>
    </row>
    <row r="32" spans="1:31" ht="27" customHeight="1">
      <c r="B32" s="363" t="b">
        <f>NOT(method_reg="Метод сравнения аналогов")</f>
        <v>1</v>
      </c>
      <c r="E32" s="537">
        <v>27.75</v>
      </c>
      <c r="AB32" s="236" t="s">
        <v>41</v>
      </c>
      <c r="AC32" s="237" t="s">
        <v>48</v>
      </c>
      <c r="AD32" s="238" t="s">
        <v>49</v>
      </c>
    </row>
    <row r="33" spans="2:30" ht="27" customHeight="1">
      <c r="B33" s="363" t="b">
        <f>NOT(method_reg="Метод сравнения аналогов")</f>
        <v>1</v>
      </c>
      <c r="E33" s="537">
        <v>27.75</v>
      </c>
      <c r="AB33" s="236" t="s">
        <v>41</v>
      </c>
      <c r="AC33" s="237" t="s">
        <v>50</v>
      </c>
      <c r="AD33" s="238" t="s">
        <v>51</v>
      </c>
    </row>
    <row r="34" spans="2:30" ht="27" customHeight="1">
      <c r="B34" s="363" t="b">
        <f>NOT(method_reg="Метод сравнения аналогов")</f>
        <v>1</v>
      </c>
      <c r="E34" s="537">
        <v>27.75</v>
      </c>
      <c r="AB34" s="236" t="s">
        <v>41</v>
      </c>
      <c r="AC34" s="237" t="s">
        <v>52</v>
      </c>
      <c r="AD34" s="238" t="s">
        <v>53</v>
      </c>
    </row>
    <row r="35" spans="2:30" ht="27" hidden="1" customHeight="1">
      <c r="B35" s="363" t="b">
        <f>method_reg="Метод сравнения аналогов"</f>
        <v>0</v>
      </c>
      <c r="E35" s="537">
        <v>27.75</v>
      </c>
      <c r="AB35" s="377" t="s">
        <v>41</v>
      </c>
      <c r="AC35" s="378" t="s">
        <v>54</v>
      </c>
      <c r="AD35" s="379" t="s">
        <v>55</v>
      </c>
    </row>
    <row r="36" spans="2:30" ht="27" customHeight="1">
      <c r="B36" s="363" t="b">
        <f>NOT(method_reg="Метод сравнения аналогов")</f>
        <v>1</v>
      </c>
      <c r="E36" s="537">
        <v>27.75</v>
      </c>
      <c r="AB36" s="236" t="s">
        <v>41</v>
      </c>
      <c r="AC36" s="237" t="s">
        <v>56</v>
      </c>
      <c r="AD36" s="238" t="s">
        <v>57</v>
      </c>
    </row>
    <row r="37" spans="2:30" ht="27" customHeight="1">
      <c r="B37" s="363" t="b">
        <f>NOT(method_reg="Метод сравнения аналогов")</f>
        <v>1</v>
      </c>
      <c r="E37" s="537">
        <v>27.75</v>
      </c>
      <c r="AB37" s="236" t="s">
        <v>30</v>
      </c>
      <c r="AC37" s="237" t="s">
        <v>58</v>
      </c>
      <c r="AD37" s="238" t="s">
        <v>59</v>
      </c>
    </row>
    <row r="38" spans="2:30" ht="27" customHeight="1">
      <c r="B38" s="363" t="b">
        <f>AND(OR(god=first_year,method_reg="Метод обеспечения доходности инвестированного капитала"),NOT(method_reg="Метод сравнения аналогов"))</f>
        <v>1</v>
      </c>
      <c r="E38" s="537">
        <v>27.75</v>
      </c>
      <c r="AB38" s="236" t="s">
        <v>41</v>
      </c>
      <c r="AC38" s="237" t="s">
        <v>60</v>
      </c>
      <c r="AD38" s="269" t="s">
        <v>61</v>
      </c>
    </row>
    <row r="39" spans="2:30" ht="27" customHeight="1">
      <c r="B39" s="363" t="b">
        <f>AND(OR(god=first_year,method_reg="Метод обеспечения доходности инвестированного капитала"),NOT(method_reg="Метод сравнения аналогов"))</f>
        <v>1</v>
      </c>
      <c r="E39" s="537">
        <v>27.75</v>
      </c>
      <c r="AB39" s="236" t="s">
        <v>41</v>
      </c>
      <c r="AC39" s="237" t="s">
        <v>62</v>
      </c>
      <c r="AD39" s="269" t="s">
        <v>63</v>
      </c>
    </row>
    <row r="40" spans="2:30" ht="27" customHeight="1">
      <c r="B40" s="363" t="b">
        <f>AND(OR(god=first_year,method_reg="Метод обеспечения доходности инвестированного капитала"),NOT(method_reg="Метод сравнения аналогов"),STATUS_GO="да")</f>
        <v>1</v>
      </c>
      <c r="E40" s="537">
        <v>27.75</v>
      </c>
      <c r="AB40" s="236" t="s">
        <v>41</v>
      </c>
      <c r="AC40" s="237" t="s">
        <v>64</v>
      </c>
      <c r="AD40" s="269" t="s">
        <v>65</v>
      </c>
    </row>
    <row r="41" spans="2:30" ht="27" customHeight="1">
      <c r="B41" s="363" t="b">
        <f>NOT(method_reg="Метод сравнения аналогов")</f>
        <v>1</v>
      </c>
      <c r="E41" s="537">
        <v>27.75</v>
      </c>
      <c r="AB41" s="236" t="s">
        <v>41</v>
      </c>
      <c r="AC41" s="237" t="s">
        <v>66</v>
      </c>
      <c r="AD41" s="238" t="s">
        <v>67</v>
      </c>
    </row>
    <row r="42" spans="2:30" ht="27" customHeight="1">
      <c r="B42" s="363" t="b">
        <f>AND(NOT(method_reg="Метод сравнения аналогов"),NOT(HAS_DOC5="нет"),NOT(HAS_DOC6="нет"))</f>
        <v>1</v>
      </c>
      <c r="E42" s="537">
        <v>27.75</v>
      </c>
      <c r="AB42" s="236" t="s">
        <v>41</v>
      </c>
      <c r="AC42" s="237" t="s">
        <v>68</v>
      </c>
      <c r="AD42" s="238" t="s">
        <v>69</v>
      </c>
    </row>
    <row r="43" spans="2:30" ht="27" hidden="1" customHeight="1">
      <c r="B43" s="363" t="b">
        <f>AND(NOT(method_reg="Метод экономически обоснованных расходов"),NOT(method_reg="Метод сравнения аналогов"))</f>
        <v>0</v>
      </c>
      <c r="E43" s="537">
        <v>27.75</v>
      </c>
      <c r="AB43" s="236" t="s">
        <v>41</v>
      </c>
      <c r="AC43" s="237" t="s">
        <v>70</v>
      </c>
      <c r="AD43" s="238" t="s">
        <v>71</v>
      </c>
    </row>
    <row r="44" spans="2:30" ht="27" hidden="1" customHeight="1">
      <c r="B44" s="363" t="b">
        <f>AND(NOT(method_reg="Метод сравнения аналогов"),hasVO)</f>
        <v>0</v>
      </c>
      <c r="E44" s="537">
        <v>27.75</v>
      </c>
      <c r="AB44" s="236" t="s">
        <v>41</v>
      </c>
      <c r="AC44" s="237" t="s">
        <v>72</v>
      </c>
      <c r="AD44" s="238" t="s">
        <v>73</v>
      </c>
    </row>
    <row r="45" spans="2:30" ht="27" hidden="1" customHeight="1">
      <c r="B45" s="363" t="b">
        <f>AND(NOT(method_reg="Метод экономически обоснованных расходов"),NOT(method_reg="Метод сравнения аналогов"))</f>
        <v>0</v>
      </c>
      <c r="E45" s="537">
        <v>27.75</v>
      </c>
      <c r="AB45" s="236" t="s">
        <v>41</v>
      </c>
      <c r="AC45" s="237" t="s">
        <v>74</v>
      </c>
      <c r="AD45" s="238" t="s">
        <v>75</v>
      </c>
    </row>
    <row r="46" spans="2:30" ht="27" customHeight="1">
      <c r="B46" s="363" t="b">
        <f>method_reg="Метод экономически обоснованных расходов"</f>
        <v>1</v>
      </c>
      <c r="E46" s="537">
        <v>27.75</v>
      </c>
      <c r="AB46" s="236" t="s">
        <v>30</v>
      </c>
      <c r="AC46" s="237" t="s">
        <v>76</v>
      </c>
      <c r="AD46" s="238" t="s">
        <v>77</v>
      </c>
    </row>
    <row r="47" spans="2:30" ht="27" hidden="1" customHeight="1">
      <c r="B47" s="363" t="b">
        <f>AND(first_year=god,OR(method_reg="Метод обеспечения доходности инвестированного капитала",method_reg="Метод индексации"))</f>
        <v>0</v>
      </c>
      <c r="E47" s="537">
        <v>27.75</v>
      </c>
      <c r="AB47" s="236" t="s">
        <v>41</v>
      </c>
      <c r="AC47" s="237" t="s">
        <v>78</v>
      </c>
      <c r="AD47" s="238" t="s">
        <v>79</v>
      </c>
    </row>
    <row r="48" spans="2:30" ht="27.2" hidden="1" customHeight="1">
      <c r="B48" s="416" t="b">
        <f>AND(OR(method_reg="Метод индексации",method_reg="Метод обеспечения доходности инвестированного капитала"),first_year&lt;&gt;god)</f>
        <v>0</v>
      </c>
      <c r="E48" s="537">
        <v>27.8</v>
      </c>
      <c r="AB48" s="236" t="s">
        <v>41</v>
      </c>
      <c r="AC48" s="237" t="s">
        <v>80</v>
      </c>
      <c r="AD48" s="238" t="s">
        <v>79</v>
      </c>
    </row>
    <row r="49" spans="2:31" ht="27" customHeight="1">
      <c r="B49" s="363" t="b">
        <f>NOT(method_reg="Метод сравнения аналогов")</f>
        <v>1</v>
      </c>
      <c r="E49" s="537">
        <v>27.75</v>
      </c>
      <c r="AB49" s="236" t="s">
        <v>30</v>
      </c>
      <c r="AC49" s="237" t="s">
        <v>81</v>
      </c>
      <c r="AD49" s="238" t="s">
        <v>82</v>
      </c>
    </row>
    <row r="50" spans="2:31" ht="27" hidden="1" customHeight="1">
      <c r="B50" s="363" t="b">
        <f>OR(method_reg="Метод индексации",method_reg="Метод обеспечения доходности инвестированного капитала")</f>
        <v>0</v>
      </c>
      <c r="E50" s="537">
        <v>27.75</v>
      </c>
      <c r="AB50" s="236" t="s">
        <v>41</v>
      </c>
      <c r="AC50" s="237" t="s">
        <v>83</v>
      </c>
      <c r="AD50" s="238" t="s">
        <v>84</v>
      </c>
    </row>
    <row r="51" spans="2:31" ht="27" hidden="1" customHeight="1">
      <c r="B51" s="363" t="b">
        <f>OR(method_reg="Метод индексации",method_reg="Метод обеспечения доходности инвестированного капитала")</f>
        <v>0</v>
      </c>
      <c r="E51" s="537">
        <v>27.75</v>
      </c>
      <c r="AB51" s="236" t="s">
        <v>41</v>
      </c>
      <c r="AC51" s="237" t="s">
        <v>85</v>
      </c>
      <c r="AD51" s="238" t="s">
        <v>86</v>
      </c>
    </row>
    <row r="52" spans="2:31" ht="27" hidden="1" customHeight="1">
      <c r="B52" s="363" t="b">
        <f>OR(method_reg="Метод сравнения аналогов",AND(method_reg="Метод индексации",STATUS_GO="да"))</f>
        <v>0</v>
      </c>
      <c r="E52" s="537">
        <v>27.75</v>
      </c>
      <c r="AB52" s="377" t="s">
        <v>41</v>
      </c>
      <c r="AC52" s="378" t="s">
        <v>87</v>
      </c>
      <c r="AD52" s="379" t="s">
        <v>88</v>
      </c>
    </row>
    <row r="53" spans="2:31" ht="27" hidden="1" customHeight="1">
      <c r="B53" s="363" t="b">
        <f>method_reg="Метод сравнения аналогов"</f>
        <v>0</v>
      </c>
      <c r="E53" s="537">
        <v>27.75</v>
      </c>
      <c r="AB53" s="377" t="s">
        <v>41</v>
      </c>
      <c r="AC53" s="378" t="s">
        <v>89</v>
      </c>
      <c r="AD53" s="380" t="s">
        <v>90</v>
      </c>
    </row>
    <row r="54" spans="2:31" ht="12.75" customHeight="1">
      <c r="AE54" s="343"/>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W33"/>
  <sheetViews>
    <sheetView showGridLines="0" workbookViewId="0"/>
  </sheetViews>
  <sheetFormatPr defaultRowHeight="11.25" customHeight="1"/>
  <sheetData>
    <row r="1" spans="1:23" ht="11.25" customHeight="1">
      <c r="A1" t="s">
        <v>5547</v>
      </c>
      <c r="B1" t="s">
        <v>3437</v>
      </c>
      <c r="C1" t="s">
        <v>5548</v>
      </c>
      <c r="D1" t="s">
        <v>5549</v>
      </c>
      <c r="E1" t="s">
        <v>5550</v>
      </c>
      <c r="F1" t="s">
        <v>5551</v>
      </c>
      <c r="G1" t="s">
        <v>5552</v>
      </c>
      <c r="H1" t="s">
        <v>5553</v>
      </c>
      <c r="I1" t="s">
        <v>5554</v>
      </c>
      <c r="J1" t="s">
        <v>5555</v>
      </c>
      <c r="K1" t="s">
        <v>5556</v>
      </c>
      <c r="L1" t="s">
        <v>5557</v>
      </c>
      <c r="M1" t="s">
        <v>5558</v>
      </c>
      <c r="N1" t="s">
        <v>5559</v>
      </c>
      <c r="O1" t="s">
        <v>5560</v>
      </c>
      <c r="P1" t="s">
        <v>5561</v>
      </c>
      <c r="Q1" t="s">
        <v>5562</v>
      </c>
      <c r="R1" t="s">
        <v>5563</v>
      </c>
      <c r="S1" t="s">
        <v>5564</v>
      </c>
      <c r="T1" t="s">
        <v>5565</v>
      </c>
      <c r="U1" t="s">
        <v>5566</v>
      </c>
      <c r="V1" t="s">
        <v>5567</v>
      </c>
      <c r="W1" t="s">
        <v>5568</v>
      </c>
    </row>
    <row r="2" spans="1:23" ht="11.25" customHeight="1">
      <c r="A2" t="s">
        <v>5569</v>
      </c>
      <c r="B2">
        <v>8741427401</v>
      </c>
      <c r="C2" t="s">
        <v>5570</v>
      </c>
      <c r="D2" t="s">
        <v>284</v>
      </c>
      <c r="E2" t="s">
        <v>285</v>
      </c>
      <c r="F2" t="s">
        <v>286</v>
      </c>
      <c r="G2" t="s">
        <v>287</v>
      </c>
      <c r="I2" t="s">
        <v>5571</v>
      </c>
      <c r="J2" t="s">
        <v>5572</v>
      </c>
      <c r="K2" t="s">
        <v>5573</v>
      </c>
      <c r="L2" t="s">
        <v>103</v>
      </c>
      <c r="M2" t="s">
        <v>5574</v>
      </c>
      <c r="O2">
        <v>588.13</v>
      </c>
      <c r="P2">
        <v>634.74976083000001</v>
      </c>
      <c r="U2" t="s">
        <v>5575</v>
      </c>
      <c r="V2" t="s">
        <v>5576</v>
      </c>
      <c r="W2" t="s">
        <v>5577</v>
      </c>
    </row>
    <row r="3" spans="1:23" ht="11.25" customHeight="1">
      <c r="A3" t="s">
        <v>5578</v>
      </c>
      <c r="B3">
        <v>8741439337</v>
      </c>
      <c r="C3" t="s">
        <v>5579</v>
      </c>
      <c r="D3" t="s">
        <v>284</v>
      </c>
      <c r="E3" t="s">
        <v>285</v>
      </c>
      <c r="F3" t="s">
        <v>286</v>
      </c>
      <c r="G3" t="s">
        <v>287</v>
      </c>
      <c r="I3" t="s">
        <v>5571</v>
      </c>
      <c r="J3" t="s">
        <v>5572</v>
      </c>
      <c r="K3" t="s">
        <v>5573</v>
      </c>
      <c r="L3" t="s">
        <v>103</v>
      </c>
      <c r="M3" t="s">
        <v>5580</v>
      </c>
      <c r="O3">
        <v>588.13</v>
      </c>
      <c r="P3">
        <v>588.13</v>
      </c>
      <c r="U3" t="s">
        <v>5575</v>
      </c>
      <c r="V3" t="s">
        <v>5576</v>
      </c>
      <c r="W3" t="s">
        <v>5576</v>
      </c>
    </row>
    <row r="4" spans="1:23" ht="11.25" customHeight="1">
      <c r="A4" t="s">
        <v>5581</v>
      </c>
      <c r="B4">
        <v>8283781529</v>
      </c>
      <c r="C4" t="s">
        <v>5579</v>
      </c>
      <c r="D4" t="s">
        <v>5582</v>
      </c>
      <c r="E4" t="s">
        <v>285</v>
      </c>
      <c r="F4" t="s">
        <v>5583</v>
      </c>
      <c r="G4" t="s">
        <v>5584</v>
      </c>
      <c r="I4" t="s">
        <v>5585</v>
      </c>
      <c r="J4" t="s">
        <v>5586</v>
      </c>
      <c r="K4" t="s">
        <v>5587</v>
      </c>
      <c r="L4" t="s">
        <v>5588</v>
      </c>
      <c r="M4" t="s">
        <v>5589</v>
      </c>
      <c r="N4" t="s">
        <v>5590</v>
      </c>
      <c r="O4">
        <v>20.77</v>
      </c>
      <c r="P4">
        <v>20.77</v>
      </c>
      <c r="U4" t="s">
        <v>5575</v>
      </c>
      <c r="V4" t="s">
        <v>5591</v>
      </c>
      <c r="W4" t="s">
        <v>5591</v>
      </c>
    </row>
    <row r="5" spans="1:23" ht="11.25" customHeight="1">
      <c r="A5" t="s">
        <v>5592</v>
      </c>
      <c r="B5">
        <v>8283781529</v>
      </c>
      <c r="C5" t="s">
        <v>5579</v>
      </c>
      <c r="D5" t="s">
        <v>284</v>
      </c>
      <c r="E5" t="s">
        <v>285</v>
      </c>
      <c r="F5" t="s">
        <v>5593</v>
      </c>
      <c r="G5" t="s">
        <v>287</v>
      </c>
      <c r="I5" t="s">
        <v>5585</v>
      </c>
      <c r="J5" t="s">
        <v>5586</v>
      </c>
      <c r="K5" t="s">
        <v>5587</v>
      </c>
      <c r="L5" t="s">
        <v>5588</v>
      </c>
      <c r="M5" t="s">
        <v>5589</v>
      </c>
      <c r="N5" t="s">
        <v>5590</v>
      </c>
      <c r="O5">
        <v>68.92</v>
      </c>
      <c r="P5">
        <v>75.812000267499997</v>
      </c>
      <c r="U5" t="s">
        <v>5575</v>
      </c>
      <c r="V5" t="s">
        <v>5594</v>
      </c>
      <c r="W5" t="s">
        <v>5595</v>
      </c>
    </row>
    <row r="6" spans="1:23" ht="11.25" customHeight="1">
      <c r="A6" t="s">
        <v>5596</v>
      </c>
      <c r="B6">
        <v>8281093491</v>
      </c>
      <c r="C6" t="s">
        <v>5579</v>
      </c>
      <c r="D6" t="s">
        <v>5582</v>
      </c>
      <c r="E6" t="s">
        <v>285</v>
      </c>
      <c r="F6" t="s">
        <v>5583</v>
      </c>
      <c r="G6" t="s">
        <v>5584</v>
      </c>
      <c r="I6" t="s">
        <v>5597</v>
      </c>
      <c r="J6" t="s">
        <v>5586</v>
      </c>
      <c r="K6" t="s">
        <v>5598</v>
      </c>
      <c r="L6" t="s">
        <v>5588</v>
      </c>
      <c r="M6" t="s">
        <v>5589</v>
      </c>
      <c r="N6" t="s">
        <v>5590</v>
      </c>
      <c r="O6">
        <v>9.9700000000000006</v>
      </c>
      <c r="P6">
        <v>11.170826140100001</v>
      </c>
      <c r="U6" t="s">
        <v>5575</v>
      </c>
      <c r="V6" t="s">
        <v>5599</v>
      </c>
      <c r="W6" t="s">
        <v>5600</v>
      </c>
    </row>
    <row r="7" spans="1:23" ht="11.25" customHeight="1">
      <c r="A7" t="s">
        <v>5601</v>
      </c>
      <c r="B7">
        <v>8281093491</v>
      </c>
      <c r="C7" t="s">
        <v>5579</v>
      </c>
      <c r="D7" t="s">
        <v>284</v>
      </c>
      <c r="E7" t="s">
        <v>285</v>
      </c>
      <c r="F7" t="s">
        <v>5593</v>
      </c>
      <c r="G7" t="s">
        <v>287</v>
      </c>
      <c r="I7" t="s">
        <v>5597</v>
      </c>
      <c r="J7" t="s">
        <v>5586</v>
      </c>
      <c r="K7" t="s">
        <v>5598</v>
      </c>
      <c r="L7" t="s">
        <v>5588</v>
      </c>
      <c r="M7" t="s">
        <v>5589</v>
      </c>
      <c r="N7" t="s">
        <v>5590</v>
      </c>
      <c r="O7">
        <v>68.319999999999993</v>
      </c>
      <c r="P7">
        <v>76.520001430999997</v>
      </c>
      <c r="U7" t="s">
        <v>5575</v>
      </c>
      <c r="V7" t="s">
        <v>5602</v>
      </c>
      <c r="W7" t="s">
        <v>5603</v>
      </c>
    </row>
    <row r="8" spans="1:23" ht="11.25" customHeight="1">
      <c r="A8" t="s">
        <v>5604</v>
      </c>
      <c r="B8">
        <v>8281100189</v>
      </c>
      <c r="C8" t="s">
        <v>5579</v>
      </c>
      <c r="D8" t="s">
        <v>284</v>
      </c>
      <c r="E8" t="s">
        <v>285</v>
      </c>
      <c r="F8" t="s">
        <v>5593</v>
      </c>
      <c r="G8" t="s">
        <v>287</v>
      </c>
      <c r="I8" t="s">
        <v>5605</v>
      </c>
      <c r="J8" t="s">
        <v>5606</v>
      </c>
      <c r="K8" t="s">
        <v>5607</v>
      </c>
      <c r="L8" t="s">
        <v>5588</v>
      </c>
      <c r="M8" t="s">
        <v>5608</v>
      </c>
      <c r="N8" t="s">
        <v>5609</v>
      </c>
      <c r="O8">
        <v>76.790000000000006</v>
      </c>
      <c r="P8">
        <v>85.999990393100006</v>
      </c>
      <c r="U8" t="s">
        <v>5575</v>
      </c>
      <c r="V8" t="s">
        <v>5610</v>
      </c>
      <c r="W8" t="s">
        <v>5611</v>
      </c>
    </row>
    <row r="9" spans="1:23" ht="11.25" customHeight="1">
      <c r="A9" t="s">
        <v>5612</v>
      </c>
      <c r="B9">
        <v>8283786466</v>
      </c>
      <c r="C9" t="s">
        <v>5579</v>
      </c>
      <c r="D9" t="s">
        <v>284</v>
      </c>
      <c r="E9" t="s">
        <v>285</v>
      </c>
      <c r="F9" t="s">
        <v>5593</v>
      </c>
      <c r="G9" t="s">
        <v>287</v>
      </c>
      <c r="I9" t="s">
        <v>5613</v>
      </c>
      <c r="J9" t="s">
        <v>5606</v>
      </c>
      <c r="K9" t="s">
        <v>5614</v>
      </c>
      <c r="L9" t="s">
        <v>5588</v>
      </c>
      <c r="M9" t="s">
        <v>5615</v>
      </c>
      <c r="N9" t="s">
        <v>5616</v>
      </c>
      <c r="O9">
        <v>53.23</v>
      </c>
      <c r="P9">
        <v>58.556049181699997</v>
      </c>
      <c r="U9" t="s">
        <v>5575</v>
      </c>
      <c r="V9" t="s">
        <v>5617</v>
      </c>
      <c r="W9" t="s">
        <v>5618</v>
      </c>
    </row>
    <row r="10" spans="1:23" ht="11.25" customHeight="1">
      <c r="A10" t="s">
        <v>283</v>
      </c>
      <c r="B10">
        <v>7621683766</v>
      </c>
      <c r="C10" t="s">
        <v>5589</v>
      </c>
      <c r="D10" t="s">
        <v>284</v>
      </c>
      <c r="E10" t="s">
        <v>285</v>
      </c>
      <c r="F10" t="s">
        <v>286</v>
      </c>
      <c r="G10" t="s">
        <v>287</v>
      </c>
      <c r="O10">
        <v>459.34</v>
      </c>
      <c r="P10">
        <v>523.14</v>
      </c>
      <c r="U10" t="s">
        <v>5575</v>
      </c>
      <c r="V10" t="s">
        <v>5619</v>
      </c>
      <c r="W10" t="s">
        <v>5620</v>
      </c>
    </row>
    <row r="11" spans="1:23" ht="11.25" customHeight="1">
      <c r="A11" t="s">
        <v>5621</v>
      </c>
      <c r="B11">
        <v>7616419566</v>
      </c>
      <c r="C11" t="s">
        <v>5589</v>
      </c>
      <c r="D11" t="s">
        <v>284</v>
      </c>
      <c r="E11" t="s">
        <v>285</v>
      </c>
      <c r="F11" t="s">
        <v>286</v>
      </c>
      <c r="G11" t="s">
        <v>287</v>
      </c>
      <c r="O11">
        <v>467.26</v>
      </c>
      <c r="P11">
        <v>565.7169230769</v>
      </c>
      <c r="U11" t="s">
        <v>5575</v>
      </c>
      <c r="V11" t="s">
        <v>5622</v>
      </c>
      <c r="W11" t="s">
        <v>5623</v>
      </c>
    </row>
    <row r="12" spans="1:23" ht="11.25" customHeight="1">
      <c r="A12" t="s">
        <v>5624</v>
      </c>
      <c r="B12">
        <v>7616175878</v>
      </c>
      <c r="C12" t="s">
        <v>5589</v>
      </c>
      <c r="D12" t="s">
        <v>5582</v>
      </c>
      <c r="E12" t="s">
        <v>285</v>
      </c>
      <c r="F12" t="s">
        <v>5583</v>
      </c>
      <c r="G12" t="s">
        <v>5584</v>
      </c>
      <c r="L12" t="s">
        <v>5588</v>
      </c>
      <c r="M12" t="s">
        <v>5589</v>
      </c>
      <c r="N12" t="s">
        <v>5590</v>
      </c>
      <c r="O12">
        <v>5.74</v>
      </c>
      <c r="P12">
        <v>22.070926949</v>
      </c>
      <c r="U12" t="s">
        <v>5575</v>
      </c>
      <c r="V12" t="s">
        <v>5625</v>
      </c>
      <c r="W12" t="s">
        <v>5626</v>
      </c>
    </row>
    <row r="13" spans="1:23" ht="11.25" customHeight="1">
      <c r="A13" t="s">
        <v>5627</v>
      </c>
      <c r="B13">
        <v>7616175878</v>
      </c>
      <c r="C13" t="s">
        <v>5589</v>
      </c>
      <c r="D13" t="s">
        <v>284</v>
      </c>
      <c r="E13" t="s">
        <v>285</v>
      </c>
      <c r="F13" t="s">
        <v>5593</v>
      </c>
      <c r="G13" t="s">
        <v>287</v>
      </c>
      <c r="L13" t="s">
        <v>5588</v>
      </c>
      <c r="M13" t="s">
        <v>5589</v>
      </c>
      <c r="N13" t="s">
        <v>5590</v>
      </c>
      <c r="O13">
        <v>62.88</v>
      </c>
      <c r="P13">
        <v>68.920091783800004</v>
      </c>
      <c r="U13" t="s">
        <v>5575</v>
      </c>
      <c r="V13" t="s">
        <v>5628</v>
      </c>
      <c r="W13" t="s">
        <v>5594</v>
      </c>
    </row>
    <row r="14" spans="1:23" ht="11.25" customHeight="1">
      <c r="A14" t="s">
        <v>5629</v>
      </c>
      <c r="B14">
        <v>8362886418</v>
      </c>
      <c r="C14" t="s">
        <v>5579</v>
      </c>
      <c r="D14" t="s">
        <v>284</v>
      </c>
      <c r="E14" t="s">
        <v>285</v>
      </c>
      <c r="F14" t="s">
        <v>5593</v>
      </c>
      <c r="G14" t="s">
        <v>287</v>
      </c>
      <c r="H14" t="s">
        <v>5630</v>
      </c>
      <c r="I14" t="s">
        <v>5631</v>
      </c>
      <c r="J14" t="s">
        <v>5606</v>
      </c>
      <c r="L14" t="s">
        <v>5588</v>
      </c>
      <c r="M14" t="s">
        <v>5589</v>
      </c>
      <c r="N14" t="s">
        <v>5590</v>
      </c>
      <c r="O14">
        <v>47.8</v>
      </c>
      <c r="P14">
        <v>53.5276145857</v>
      </c>
      <c r="U14" t="s">
        <v>5575</v>
      </c>
      <c r="V14" t="s">
        <v>5632</v>
      </c>
      <c r="W14" t="s">
        <v>5633</v>
      </c>
    </row>
    <row r="15" spans="1:23" ht="11.25" customHeight="1">
      <c r="A15" t="s">
        <v>5634</v>
      </c>
      <c r="B15">
        <v>8295929637</v>
      </c>
      <c r="C15" t="s">
        <v>5589</v>
      </c>
      <c r="D15" t="s">
        <v>284</v>
      </c>
      <c r="E15" t="s">
        <v>285</v>
      </c>
      <c r="F15" t="s">
        <v>5593</v>
      </c>
      <c r="G15" t="s">
        <v>287</v>
      </c>
      <c r="I15" t="s">
        <v>5635</v>
      </c>
      <c r="J15" t="s">
        <v>5636</v>
      </c>
      <c r="K15" t="s">
        <v>5637</v>
      </c>
      <c r="L15" t="s">
        <v>5588</v>
      </c>
      <c r="M15" t="s">
        <v>5589</v>
      </c>
      <c r="N15" t="s">
        <v>5609</v>
      </c>
      <c r="O15">
        <v>53.91</v>
      </c>
      <c r="P15">
        <v>74.943126613499999</v>
      </c>
      <c r="U15" t="s">
        <v>5575</v>
      </c>
      <c r="V15" t="s">
        <v>5638</v>
      </c>
      <c r="W15" t="s">
        <v>5639</v>
      </c>
    </row>
    <row r="16" spans="1:23" ht="11.25" customHeight="1">
      <c r="A16" t="s">
        <v>5640</v>
      </c>
      <c r="B16">
        <v>7616361167</v>
      </c>
      <c r="C16" t="s">
        <v>5589</v>
      </c>
      <c r="D16" t="s">
        <v>284</v>
      </c>
      <c r="E16" t="s">
        <v>285</v>
      </c>
      <c r="F16" t="s">
        <v>5593</v>
      </c>
      <c r="G16" t="s">
        <v>287</v>
      </c>
      <c r="I16" t="s">
        <v>5641</v>
      </c>
      <c r="J16" t="s">
        <v>5642</v>
      </c>
      <c r="L16" t="s">
        <v>5588</v>
      </c>
      <c r="M16" t="s">
        <v>5589</v>
      </c>
      <c r="N16" t="s">
        <v>5590</v>
      </c>
      <c r="O16">
        <v>48.57</v>
      </c>
      <c r="P16">
        <v>53.232720435200001</v>
      </c>
      <c r="U16" t="s">
        <v>5575</v>
      </c>
      <c r="V16" t="s">
        <v>5643</v>
      </c>
      <c r="W16" t="s">
        <v>5617</v>
      </c>
    </row>
    <row r="17" spans="1:23" ht="11.25" customHeight="1">
      <c r="A17" t="s">
        <v>5644</v>
      </c>
      <c r="B17">
        <v>7616406782</v>
      </c>
      <c r="C17" t="s">
        <v>5589</v>
      </c>
      <c r="D17" t="s">
        <v>5582</v>
      </c>
      <c r="E17" t="s">
        <v>285</v>
      </c>
      <c r="F17" t="s">
        <v>5583</v>
      </c>
      <c r="G17" t="s">
        <v>5584</v>
      </c>
      <c r="I17" t="s">
        <v>5645</v>
      </c>
      <c r="J17" t="s">
        <v>5646</v>
      </c>
      <c r="K17" t="s">
        <v>5647</v>
      </c>
      <c r="L17" t="s">
        <v>5588</v>
      </c>
      <c r="M17" t="s">
        <v>5589</v>
      </c>
      <c r="N17" t="s">
        <v>5590</v>
      </c>
      <c r="O17">
        <v>9.2899999999999991</v>
      </c>
      <c r="P17">
        <v>9.9704121311999998</v>
      </c>
      <c r="U17" t="s">
        <v>5575</v>
      </c>
      <c r="V17" t="s">
        <v>5648</v>
      </c>
      <c r="W17" t="s">
        <v>5599</v>
      </c>
    </row>
    <row r="18" spans="1:23" ht="11.25" customHeight="1">
      <c r="A18" t="s">
        <v>5649</v>
      </c>
      <c r="B18">
        <v>7616406782</v>
      </c>
      <c r="C18" t="s">
        <v>5589</v>
      </c>
      <c r="D18" t="s">
        <v>284</v>
      </c>
      <c r="E18" t="s">
        <v>285</v>
      </c>
      <c r="F18" t="s">
        <v>5593</v>
      </c>
      <c r="G18" t="s">
        <v>287</v>
      </c>
      <c r="I18" t="s">
        <v>5645</v>
      </c>
      <c r="J18" t="s">
        <v>5646</v>
      </c>
      <c r="K18" t="s">
        <v>5647</v>
      </c>
      <c r="L18" t="s">
        <v>5588</v>
      </c>
      <c r="M18" t="s">
        <v>5589</v>
      </c>
      <c r="N18" t="s">
        <v>5590</v>
      </c>
      <c r="O18">
        <v>62.22</v>
      </c>
      <c r="P18">
        <v>68.319992603900005</v>
      </c>
      <c r="U18" t="s">
        <v>5575</v>
      </c>
      <c r="V18" t="s">
        <v>5650</v>
      </c>
      <c r="W18" t="s">
        <v>5602</v>
      </c>
    </row>
    <row r="19" spans="1:23" ht="11.25" customHeight="1">
      <c r="A19" t="s">
        <v>5651</v>
      </c>
      <c r="B19">
        <v>7616400173</v>
      </c>
      <c r="C19" t="s">
        <v>5589</v>
      </c>
      <c r="D19" t="s">
        <v>284</v>
      </c>
      <c r="E19" t="s">
        <v>285</v>
      </c>
      <c r="F19" t="s">
        <v>5593</v>
      </c>
      <c r="G19" t="s">
        <v>287</v>
      </c>
      <c r="L19" t="s">
        <v>5588</v>
      </c>
      <c r="M19" t="s">
        <v>5608</v>
      </c>
      <c r="N19" t="s">
        <v>5590</v>
      </c>
      <c r="O19">
        <v>66.77</v>
      </c>
      <c r="P19">
        <v>76.790002849999993</v>
      </c>
      <c r="U19" t="s">
        <v>5575</v>
      </c>
      <c r="V19" t="s">
        <v>5652</v>
      </c>
      <c r="W19" t="s">
        <v>5610</v>
      </c>
    </row>
    <row r="20" spans="1:23" ht="11.25" customHeight="1">
      <c r="A20" t="s">
        <v>5653</v>
      </c>
      <c r="B20">
        <v>8283781529</v>
      </c>
      <c r="C20" t="s">
        <v>5579</v>
      </c>
      <c r="D20" t="s">
        <v>5654</v>
      </c>
      <c r="E20" t="s">
        <v>285</v>
      </c>
      <c r="F20" t="s">
        <v>5655</v>
      </c>
      <c r="G20" t="s">
        <v>5656</v>
      </c>
      <c r="I20" t="s">
        <v>5585</v>
      </c>
      <c r="J20" t="s">
        <v>5586</v>
      </c>
      <c r="K20" t="s">
        <v>5587</v>
      </c>
      <c r="L20" t="s">
        <v>5588</v>
      </c>
      <c r="M20" t="s">
        <v>5589</v>
      </c>
      <c r="N20" t="s">
        <v>5590</v>
      </c>
      <c r="O20">
        <v>43.27</v>
      </c>
      <c r="P20">
        <v>47.597012177700002</v>
      </c>
      <c r="U20" t="s">
        <v>5575</v>
      </c>
      <c r="V20" t="s">
        <v>5657</v>
      </c>
      <c r="W20" t="s">
        <v>5658</v>
      </c>
    </row>
    <row r="21" spans="1:23" ht="11.25" customHeight="1">
      <c r="A21" t="s">
        <v>5659</v>
      </c>
      <c r="B21">
        <v>8281093491</v>
      </c>
      <c r="C21" t="s">
        <v>5579</v>
      </c>
      <c r="D21" t="s">
        <v>5654</v>
      </c>
      <c r="E21" t="s">
        <v>285</v>
      </c>
      <c r="F21" t="s">
        <v>5655</v>
      </c>
      <c r="G21" t="s">
        <v>5656</v>
      </c>
      <c r="I21" t="s">
        <v>5597</v>
      </c>
      <c r="J21" t="s">
        <v>5586</v>
      </c>
      <c r="K21" t="s">
        <v>5598</v>
      </c>
      <c r="L21" t="s">
        <v>5588</v>
      </c>
      <c r="M21" t="s">
        <v>5589</v>
      </c>
      <c r="N21" t="s">
        <v>5590</v>
      </c>
      <c r="O21">
        <v>85.47</v>
      </c>
      <c r="P21">
        <v>95.729861557800007</v>
      </c>
      <c r="U21" t="s">
        <v>5575</v>
      </c>
      <c r="V21" t="s">
        <v>5660</v>
      </c>
      <c r="W21" t="s">
        <v>5661</v>
      </c>
    </row>
    <row r="22" spans="1:23" ht="11.25" customHeight="1">
      <c r="A22" t="s">
        <v>5662</v>
      </c>
      <c r="B22">
        <v>8281100189</v>
      </c>
      <c r="C22" t="s">
        <v>5579</v>
      </c>
      <c r="D22" t="s">
        <v>5654</v>
      </c>
      <c r="E22" t="s">
        <v>285</v>
      </c>
      <c r="F22" t="s">
        <v>5655</v>
      </c>
      <c r="G22" t="s">
        <v>5656</v>
      </c>
      <c r="I22" t="s">
        <v>5605</v>
      </c>
      <c r="J22" t="s">
        <v>5606</v>
      </c>
      <c r="K22" t="s">
        <v>5607</v>
      </c>
      <c r="L22" t="s">
        <v>5588</v>
      </c>
      <c r="M22" t="s">
        <v>5608</v>
      </c>
      <c r="N22" t="s">
        <v>5609</v>
      </c>
      <c r="O22">
        <v>35.5</v>
      </c>
      <c r="P22">
        <v>35.500000206999999</v>
      </c>
      <c r="U22" t="s">
        <v>5575</v>
      </c>
      <c r="V22" t="s">
        <v>5663</v>
      </c>
      <c r="W22" t="s">
        <v>5663</v>
      </c>
    </row>
    <row r="23" spans="1:23" ht="11.25" customHeight="1">
      <c r="A23" t="s">
        <v>5664</v>
      </c>
      <c r="B23">
        <v>8283786466</v>
      </c>
      <c r="C23" t="s">
        <v>5579</v>
      </c>
      <c r="D23" t="s">
        <v>5654</v>
      </c>
      <c r="E23" t="s">
        <v>285</v>
      </c>
      <c r="F23" t="s">
        <v>5655</v>
      </c>
      <c r="G23" t="s">
        <v>5656</v>
      </c>
      <c r="H23" t="s">
        <v>5665</v>
      </c>
      <c r="I23" t="s">
        <v>5613</v>
      </c>
      <c r="J23" t="s">
        <v>5606</v>
      </c>
      <c r="K23" t="s">
        <v>5614</v>
      </c>
      <c r="L23" t="s">
        <v>5588</v>
      </c>
      <c r="M23" t="s">
        <v>5615</v>
      </c>
      <c r="N23" t="s">
        <v>5616</v>
      </c>
      <c r="O23">
        <v>62</v>
      </c>
      <c r="P23">
        <v>74.400009900399994</v>
      </c>
      <c r="U23" t="s">
        <v>5575</v>
      </c>
      <c r="V23" t="s">
        <v>5666</v>
      </c>
      <c r="W23" t="s">
        <v>5667</v>
      </c>
    </row>
    <row r="24" spans="1:23" ht="11.25" customHeight="1">
      <c r="A24" t="s">
        <v>5668</v>
      </c>
      <c r="B24">
        <v>8283786466</v>
      </c>
      <c r="C24" t="s">
        <v>5579</v>
      </c>
      <c r="D24" t="s">
        <v>5654</v>
      </c>
      <c r="E24" t="s">
        <v>285</v>
      </c>
      <c r="F24" t="s">
        <v>5655</v>
      </c>
      <c r="G24" t="s">
        <v>5656</v>
      </c>
      <c r="H24" t="s">
        <v>5669</v>
      </c>
      <c r="I24" t="s">
        <v>5613</v>
      </c>
      <c r="J24" t="s">
        <v>5606</v>
      </c>
      <c r="K24" t="s">
        <v>5614</v>
      </c>
      <c r="L24" t="s">
        <v>5588</v>
      </c>
      <c r="M24" t="s">
        <v>5615</v>
      </c>
      <c r="N24" t="s">
        <v>5616</v>
      </c>
      <c r="O24">
        <v>35.840000000000003</v>
      </c>
      <c r="P24">
        <v>39.42</v>
      </c>
      <c r="U24" t="s">
        <v>5575</v>
      </c>
      <c r="V24" t="s">
        <v>5670</v>
      </c>
      <c r="W24" t="s">
        <v>5671</v>
      </c>
    </row>
    <row r="25" spans="1:23" ht="11.25" customHeight="1">
      <c r="A25" t="s">
        <v>5672</v>
      </c>
      <c r="B25">
        <v>7616175878</v>
      </c>
      <c r="C25" t="s">
        <v>5589</v>
      </c>
      <c r="D25" t="s">
        <v>5654</v>
      </c>
      <c r="E25" t="s">
        <v>285</v>
      </c>
      <c r="F25" t="s">
        <v>5655</v>
      </c>
      <c r="G25" t="s">
        <v>5656</v>
      </c>
      <c r="L25" t="s">
        <v>5588</v>
      </c>
      <c r="M25" t="s">
        <v>5589</v>
      </c>
      <c r="N25" t="s">
        <v>5590</v>
      </c>
      <c r="O25">
        <v>39.479999999999997</v>
      </c>
      <c r="P25">
        <v>43.269985750499998</v>
      </c>
      <c r="U25" t="s">
        <v>5575</v>
      </c>
      <c r="V25" t="s">
        <v>5673</v>
      </c>
      <c r="W25" t="s">
        <v>5657</v>
      </c>
    </row>
    <row r="26" spans="1:23" ht="11.25" customHeight="1">
      <c r="A26" t="s">
        <v>5674</v>
      </c>
      <c r="B26">
        <v>8362886418</v>
      </c>
      <c r="C26" t="s">
        <v>5579</v>
      </c>
      <c r="D26" t="s">
        <v>5654</v>
      </c>
      <c r="E26" t="s">
        <v>285</v>
      </c>
      <c r="F26" t="s">
        <v>5655</v>
      </c>
      <c r="G26" t="s">
        <v>5656</v>
      </c>
      <c r="H26" t="s">
        <v>5675</v>
      </c>
      <c r="I26" t="s">
        <v>5631</v>
      </c>
      <c r="J26" t="s">
        <v>5606</v>
      </c>
      <c r="L26" t="s">
        <v>5588</v>
      </c>
      <c r="M26" t="s">
        <v>5589</v>
      </c>
      <c r="N26" t="s">
        <v>5590</v>
      </c>
      <c r="O26">
        <v>48.52</v>
      </c>
      <c r="P26">
        <v>54.339993838700003</v>
      </c>
      <c r="U26" t="s">
        <v>5575</v>
      </c>
      <c r="V26" t="s">
        <v>5676</v>
      </c>
      <c r="W26" t="s">
        <v>5677</v>
      </c>
    </row>
    <row r="27" spans="1:23" ht="11.25" customHeight="1">
      <c r="A27" t="s">
        <v>5678</v>
      </c>
      <c r="B27">
        <v>8362886418</v>
      </c>
      <c r="C27" t="s">
        <v>5579</v>
      </c>
      <c r="D27" t="s">
        <v>5654</v>
      </c>
      <c r="E27" t="s">
        <v>285</v>
      </c>
      <c r="F27" t="s">
        <v>5655</v>
      </c>
      <c r="G27" t="s">
        <v>5656</v>
      </c>
      <c r="H27" t="s">
        <v>5679</v>
      </c>
      <c r="I27" t="s">
        <v>5631</v>
      </c>
      <c r="J27" t="s">
        <v>5606</v>
      </c>
      <c r="L27" t="s">
        <v>5588</v>
      </c>
      <c r="M27" t="s">
        <v>5589</v>
      </c>
      <c r="N27" t="s">
        <v>5590</v>
      </c>
      <c r="O27">
        <v>40.56</v>
      </c>
      <c r="P27">
        <v>45.4299971278</v>
      </c>
      <c r="U27" t="s">
        <v>5575</v>
      </c>
      <c r="V27" t="s">
        <v>5680</v>
      </c>
      <c r="W27" t="s">
        <v>5681</v>
      </c>
    </row>
    <row r="28" spans="1:23" ht="11.25" customHeight="1">
      <c r="A28" t="s">
        <v>5682</v>
      </c>
      <c r="B28">
        <v>8295929637</v>
      </c>
      <c r="C28" t="s">
        <v>5589</v>
      </c>
      <c r="D28" t="s">
        <v>5654</v>
      </c>
      <c r="E28" t="s">
        <v>285</v>
      </c>
      <c r="F28" t="s">
        <v>5655</v>
      </c>
      <c r="G28" t="s">
        <v>5656</v>
      </c>
      <c r="I28" t="s">
        <v>5635</v>
      </c>
      <c r="J28" t="s">
        <v>5636</v>
      </c>
      <c r="K28" t="s">
        <v>5637</v>
      </c>
      <c r="L28" t="s">
        <v>5588</v>
      </c>
      <c r="M28" t="s">
        <v>5589</v>
      </c>
      <c r="N28" t="s">
        <v>5609</v>
      </c>
      <c r="O28">
        <v>37.06</v>
      </c>
      <c r="P28">
        <v>56.447788688400003</v>
      </c>
      <c r="U28" t="s">
        <v>5575</v>
      </c>
      <c r="V28" t="s">
        <v>5683</v>
      </c>
      <c r="W28" t="s">
        <v>5684</v>
      </c>
    </row>
    <row r="29" spans="1:23" ht="11.25" customHeight="1">
      <c r="A29" t="s">
        <v>5685</v>
      </c>
      <c r="B29">
        <v>8218476367</v>
      </c>
      <c r="C29" t="s">
        <v>5579</v>
      </c>
      <c r="D29" t="s">
        <v>5686</v>
      </c>
      <c r="E29" t="s">
        <v>285</v>
      </c>
      <c r="F29" t="s">
        <v>5687</v>
      </c>
      <c r="G29" t="s">
        <v>5656</v>
      </c>
      <c r="I29" t="s">
        <v>5688</v>
      </c>
      <c r="J29" t="s">
        <v>5606</v>
      </c>
      <c r="L29" t="s">
        <v>5689</v>
      </c>
      <c r="U29" t="s">
        <v>5575</v>
      </c>
    </row>
    <row r="30" spans="1:23" ht="11.25" customHeight="1">
      <c r="A30" t="s">
        <v>5690</v>
      </c>
      <c r="B30">
        <v>7616361167</v>
      </c>
      <c r="C30" t="s">
        <v>5589</v>
      </c>
      <c r="D30" t="s">
        <v>5654</v>
      </c>
      <c r="E30" t="s">
        <v>285</v>
      </c>
      <c r="F30" t="s">
        <v>5655</v>
      </c>
      <c r="G30" t="s">
        <v>5656</v>
      </c>
      <c r="H30" t="s">
        <v>5691</v>
      </c>
      <c r="I30" t="s">
        <v>5641</v>
      </c>
      <c r="J30" t="s">
        <v>5642</v>
      </c>
      <c r="L30" t="s">
        <v>5588</v>
      </c>
      <c r="M30" t="s">
        <v>5589</v>
      </c>
      <c r="N30" t="s">
        <v>5590</v>
      </c>
      <c r="O30">
        <v>56.57</v>
      </c>
      <c r="P30">
        <v>62.000692668299997</v>
      </c>
      <c r="U30" t="s">
        <v>5575</v>
      </c>
      <c r="V30" t="s">
        <v>5692</v>
      </c>
      <c r="W30" t="s">
        <v>5666</v>
      </c>
    </row>
    <row r="31" spans="1:23" ht="11.25" customHeight="1">
      <c r="A31" t="s">
        <v>5693</v>
      </c>
      <c r="B31">
        <v>7616361167</v>
      </c>
      <c r="C31" t="s">
        <v>5589</v>
      </c>
      <c r="D31" t="s">
        <v>5654</v>
      </c>
      <c r="E31" t="s">
        <v>285</v>
      </c>
      <c r="F31" t="s">
        <v>5655</v>
      </c>
      <c r="G31" t="s">
        <v>5656</v>
      </c>
      <c r="H31" t="s">
        <v>5694</v>
      </c>
      <c r="I31" t="s">
        <v>5641</v>
      </c>
      <c r="J31" t="s">
        <v>5642</v>
      </c>
      <c r="L31" t="s">
        <v>5588</v>
      </c>
      <c r="M31" t="s">
        <v>5589</v>
      </c>
      <c r="N31" t="s">
        <v>5590</v>
      </c>
      <c r="O31">
        <v>32.700000000000003</v>
      </c>
      <c r="P31">
        <v>35.839199740799998</v>
      </c>
      <c r="U31" t="s">
        <v>5575</v>
      </c>
      <c r="V31" t="s">
        <v>5695</v>
      </c>
      <c r="W31" t="s">
        <v>5670</v>
      </c>
    </row>
    <row r="32" spans="1:23" ht="11.25" customHeight="1">
      <c r="A32" t="s">
        <v>5696</v>
      </c>
      <c r="B32">
        <v>7616406782</v>
      </c>
      <c r="C32" t="s">
        <v>5589</v>
      </c>
      <c r="D32" t="s">
        <v>5654</v>
      </c>
      <c r="E32" t="s">
        <v>285</v>
      </c>
      <c r="F32" t="s">
        <v>5655</v>
      </c>
      <c r="G32" t="s">
        <v>5656</v>
      </c>
      <c r="I32" t="s">
        <v>5645</v>
      </c>
      <c r="J32" t="s">
        <v>5646</v>
      </c>
      <c r="K32" t="s">
        <v>5647</v>
      </c>
      <c r="L32" t="s">
        <v>5588</v>
      </c>
      <c r="M32" t="s">
        <v>5589</v>
      </c>
      <c r="N32" t="s">
        <v>5590</v>
      </c>
      <c r="O32">
        <v>77.84</v>
      </c>
      <c r="P32">
        <v>85.470038521399999</v>
      </c>
      <c r="U32" t="s">
        <v>5575</v>
      </c>
      <c r="V32" t="s">
        <v>5697</v>
      </c>
      <c r="W32" t="s">
        <v>5660</v>
      </c>
    </row>
    <row r="33" spans="1:23" ht="11.25" customHeight="1">
      <c r="A33" t="s">
        <v>5698</v>
      </c>
      <c r="B33">
        <v>7616400173</v>
      </c>
      <c r="C33" t="s">
        <v>5589</v>
      </c>
      <c r="D33" t="s">
        <v>5654</v>
      </c>
      <c r="E33" t="s">
        <v>285</v>
      </c>
      <c r="F33" t="s">
        <v>5655</v>
      </c>
      <c r="G33" t="s">
        <v>5656</v>
      </c>
      <c r="L33" t="s">
        <v>5588</v>
      </c>
      <c r="M33" t="s">
        <v>5608</v>
      </c>
      <c r="N33" t="s">
        <v>5590</v>
      </c>
      <c r="O33">
        <v>31.55</v>
      </c>
      <c r="P33">
        <v>36.279989380300002</v>
      </c>
      <c r="U33" t="s">
        <v>5575</v>
      </c>
      <c r="V33" t="s">
        <v>5699</v>
      </c>
      <c r="W33" t="s">
        <v>5700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97"/>
  <sheetViews>
    <sheetView showGridLines="0" workbookViewId="0"/>
  </sheetViews>
  <sheetFormatPr defaultRowHeight="11.25" customHeight="1"/>
  <cols>
    <col min="1" max="1" width="88.85546875" style="1314" customWidth="1"/>
    <col min="2" max="2" width="24.7109375" style="1314" customWidth="1"/>
  </cols>
  <sheetData>
    <row r="1" spans="1:3" ht="11.25" customHeight="1">
      <c r="A1" s="4" t="s">
        <v>5701</v>
      </c>
      <c r="C1" s="4" t="s">
        <v>5702</v>
      </c>
    </row>
    <row r="2" spans="1:3" ht="11.25" customHeight="1">
      <c r="A2" s="4" t="s">
        <v>5703</v>
      </c>
    </row>
    <row r="3" spans="1:3" ht="11.25" customHeight="1">
      <c r="A3" s="4" t="s">
        <v>5704</v>
      </c>
      <c r="C3" t="s">
        <v>5705</v>
      </c>
    </row>
    <row r="4" spans="1:3" ht="11.25" customHeight="1">
      <c r="A4" s="4" t="s">
        <v>127</v>
      </c>
      <c r="C4" t="s">
        <v>5706</v>
      </c>
    </row>
    <row r="5" spans="1:3" ht="11.25" customHeight="1">
      <c r="A5" s="4" t="s">
        <v>2742</v>
      </c>
      <c r="C5" t="s">
        <v>5707</v>
      </c>
    </row>
    <row r="6" spans="1:3" ht="11.25" customHeight="1">
      <c r="A6" s="4" t="s">
        <v>3038</v>
      </c>
      <c r="C6" t="s">
        <v>5708</v>
      </c>
    </row>
    <row r="7" spans="1:3" ht="11.25" customHeight="1">
      <c r="A7" s="4" t="s">
        <v>5709</v>
      </c>
      <c r="C7" t="s">
        <v>5710</v>
      </c>
    </row>
    <row r="8" spans="1:3" ht="11.25" customHeight="1">
      <c r="A8" s="4" t="s">
        <v>5711</v>
      </c>
      <c r="C8" t="s">
        <v>5712</v>
      </c>
    </row>
    <row r="9" spans="1:3" ht="11.25" customHeight="1">
      <c r="A9" s="4" t="s">
        <v>5713</v>
      </c>
      <c r="C9" t="s">
        <v>5714</v>
      </c>
    </row>
    <row r="10" spans="1:3" ht="11.25" customHeight="1">
      <c r="A10" s="4" t="s">
        <v>5715</v>
      </c>
      <c r="C10" t="s">
        <v>5716</v>
      </c>
    </row>
    <row r="11" spans="1:3" ht="11.25" customHeight="1">
      <c r="A11" s="4" t="s">
        <v>5717</v>
      </c>
      <c r="C11" t="s">
        <v>5718</v>
      </c>
    </row>
    <row r="12" spans="1:3" ht="11.25" customHeight="1">
      <c r="A12" s="4" t="s">
        <v>5719</v>
      </c>
      <c r="C12" t="s">
        <v>5720</v>
      </c>
    </row>
    <row r="13" spans="1:3" ht="11.25" customHeight="1">
      <c r="A13" s="4" t="s">
        <v>5721</v>
      </c>
      <c r="C13" t="s">
        <v>5722</v>
      </c>
    </row>
    <row r="14" spans="1:3" ht="11.25" customHeight="1">
      <c r="A14" s="4" t="s">
        <v>5723</v>
      </c>
      <c r="C14" t="s">
        <v>5724</v>
      </c>
    </row>
    <row r="15" spans="1:3" ht="11.25" customHeight="1">
      <c r="A15" s="4" t="s">
        <v>5725</v>
      </c>
      <c r="C15" t="s">
        <v>5726</v>
      </c>
    </row>
    <row r="16" spans="1:3" ht="11.25" customHeight="1">
      <c r="A16" s="4" t="s">
        <v>5727</v>
      </c>
      <c r="C16" t="s">
        <v>5728</v>
      </c>
    </row>
    <row r="17" spans="1:3" ht="11.25" customHeight="1">
      <c r="A17" s="4" t="s">
        <v>5729</v>
      </c>
      <c r="C17" t="s">
        <v>5730</v>
      </c>
    </row>
    <row r="18" spans="1:3" ht="11.25" customHeight="1">
      <c r="A18" s="4" t="s">
        <v>5731</v>
      </c>
      <c r="C18" t="s">
        <v>5732</v>
      </c>
    </row>
    <row r="19" spans="1:3" ht="11.25" customHeight="1">
      <c r="A19" s="4" t="s">
        <v>5733</v>
      </c>
      <c r="C19" t="s">
        <v>5734</v>
      </c>
    </row>
    <row r="20" spans="1:3" ht="11.25" customHeight="1">
      <c r="A20" s="4" t="s">
        <v>5735</v>
      </c>
      <c r="C20" t="s">
        <v>5736</v>
      </c>
    </row>
    <row r="21" spans="1:3" ht="11.25" customHeight="1">
      <c r="A21" s="4" t="s">
        <v>5737</v>
      </c>
      <c r="C21" t="s">
        <v>5738</v>
      </c>
    </row>
    <row r="22" spans="1:3" ht="11.25" customHeight="1">
      <c r="A22" s="4" t="s">
        <v>5739</v>
      </c>
      <c r="C22" t="s">
        <v>5740</v>
      </c>
    </row>
    <row r="23" spans="1:3" ht="11.25" customHeight="1">
      <c r="A23" s="4" t="s">
        <v>5741</v>
      </c>
      <c r="C23" t="s">
        <v>5742</v>
      </c>
    </row>
    <row r="24" spans="1:3" ht="11.25" customHeight="1">
      <c r="A24" s="4" t="s">
        <v>5743</v>
      </c>
      <c r="C24" t="s">
        <v>5744</v>
      </c>
    </row>
    <row r="25" spans="1:3" ht="11.25" customHeight="1">
      <c r="A25" s="4" t="s">
        <v>5745</v>
      </c>
      <c r="C25" t="s">
        <v>5746</v>
      </c>
    </row>
    <row r="26" spans="1:3" ht="11.25" customHeight="1">
      <c r="A26" s="4" t="s">
        <v>5747</v>
      </c>
      <c r="C26" t="s">
        <v>5748</v>
      </c>
    </row>
    <row r="27" spans="1:3" ht="11.25" customHeight="1">
      <c r="A27" s="4" t="s">
        <v>5749</v>
      </c>
      <c r="C27" t="s">
        <v>5750</v>
      </c>
    </row>
    <row r="28" spans="1:3" ht="11.25" customHeight="1">
      <c r="A28" s="4" t="s">
        <v>5751</v>
      </c>
      <c r="C28" t="s">
        <v>5752</v>
      </c>
    </row>
    <row r="29" spans="1:3" ht="11.25" customHeight="1">
      <c r="A29" s="4" t="s">
        <v>5753</v>
      </c>
      <c r="C29" t="s">
        <v>5754</v>
      </c>
    </row>
    <row r="30" spans="1:3" ht="11.25" customHeight="1">
      <c r="A30" s="4" t="s">
        <v>5755</v>
      </c>
      <c r="C30" t="s">
        <v>5756</v>
      </c>
    </row>
    <row r="31" spans="1:3" ht="11.25" customHeight="1">
      <c r="A31" s="4" t="s">
        <v>5757</v>
      </c>
      <c r="C31" t="s">
        <v>5758</v>
      </c>
    </row>
    <row r="32" spans="1:3" ht="11.25" customHeight="1">
      <c r="A32" s="4" t="s">
        <v>5759</v>
      </c>
      <c r="C32" t="s">
        <v>5760</v>
      </c>
    </row>
    <row r="33" spans="1:3" ht="11.25" customHeight="1">
      <c r="A33" s="4" t="s">
        <v>5761</v>
      </c>
      <c r="C33" t="s">
        <v>5762</v>
      </c>
    </row>
    <row r="34" spans="1:3" ht="11.25" customHeight="1">
      <c r="A34" s="4" t="s">
        <v>5763</v>
      </c>
      <c r="C34" t="s">
        <v>5764</v>
      </c>
    </row>
    <row r="35" spans="1:3" ht="11.25" customHeight="1">
      <c r="A35" s="4" t="s">
        <v>5765</v>
      </c>
      <c r="C35" t="s">
        <v>5766</v>
      </c>
    </row>
    <row r="36" spans="1:3" ht="11.25" customHeight="1">
      <c r="A36" s="4" t="s">
        <v>5767</v>
      </c>
      <c r="C36" t="s">
        <v>5768</v>
      </c>
    </row>
    <row r="37" spans="1:3" ht="11.25" customHeight="1">
      <c r="A37" s="4" t="s">
        <v>5769</v>
      </c>
      <c r="C37" t="s">
        <v>5770</v>
      </c>
    </row>
    <row r="38" spans="1:3" ht="11.25" customHeight="1">
      <c r="A38" s="4" t="s">
        <v>5771</v>
      </c>
      <c r="C38" t="s">
        <v>5772</v>
      </c>
    </row>
    <row r="39" spans="1:3" ht="11.25" customHeight="1">
      <c r="A39" s="4" t="s">
        <v>5773</v>
      </c>
      <c r="C39" t="s">
        <v>5774</v>
      </c>
    </row>
    <row r="40" spans="1:3" ht="11.25" customHeight="1">
      <c r="A40" s="4" t="s">
        <v>5775</v>
      </c>
      <c r="C40" t="s">
        <v>5776</v>
      </c>
    </row>
    <row r="41" spans="1:3" ht="11.25" customHeight="1">
      <c r="A41" s="4" t="s">
        <v>5777</v>
      </c>
      <c r="C41" t="s">
        <v>5778</v>
      </c>
    </row>
    <row r="42" spans="1:3" ht="11.25" customHeight="1">
      <c r="A42" s="4" t="s">
        <v>5779</v>
      </c>
      <c r="C42" t="s">
        <v>5780</v>
      </c>
    </row>
    <row r="43" spans="1:3" ht="11.25" customHeight="1">
      <c r="A43" s="4" t="s">
        <v>5781</v>
      </c>
      <c r="C43" t="s">
        <v>5782</v>
      </c>
    </row>
    <row r="44" spans="1:3" ht="11.25" customHeight="1">
      <c r="A44" s="4" t="s">
        <v>5783</v>
      </c>
    </row>
    <row r="45" spans="1:3" ht="11.25" customHeight="1">
      <c r="A45" s="4" t="s">
        <v>5784</v>
      </c>
    </row>
    <row r="46" spans="1:3" ht="11.25" customHeight="1">
      <c r="A46" s="4" t="s">
        <v>5785</v>
      </c>
    </row>
    <row r="47" spans="1:3" ht="11.25" customHeight="1">
      <c r="A47" s="4" t="s">
        <v>5786</v>
      </c>
    </row>
    <row r="48" spans="1:3" ht="11.25" customHeight="1">
      <c r="A48" s="4" t="s">
        <v>5787</v>
      </c>
    </row>
    <row r="49" spans="1:1" ht="11.25" customHeight="1">
      <c r="A49" s="4" t="s">
        <v>5788</v>
      </c>
    </row>
    <row r="50" spans="1:1" ht="11.25" customHeight="1">
      <c r="A50" s="4" t="s">
        <v>5789</v>
      </c>
    </row>
    <row r="51" spans="1:1" ht="11.25" customHeight="1">
      <c r="A51" s="4" t="s">
        <v>5790</v>
      </c>
    </row>
    <row r="52" spans="1:1" ht="11.25" customHeight="1">
      <c r="A52" s="4" t="s">
        <v>5791</v>
      </c>
    </row>
    <row r="53" spans="1:1" ht="11.25" customHeight="1">
      <c r="A53" s="4" t="s">
        <v>5792</v>
      </c>
    </row>
    <row r="54" spans="1:1" ht="11.25" customHeight="1">
      <c r="A54" s="4" t="s">
        <v>5793</v>
      </c>
    </row>
    <row r="55" spans="1:1" ht="11.25" customHeight="1">
      <c r="A55" s="4" t="s">
        <v>5794</v>
      </c>
    </row>
    <row r="56" spans="1:1" ht="11.25" customHeight="1">
      <c r="A56" s="4" t="s">
        <v>5795</v>
      </c>
    </row>
    <row r="57" spans="1:1" ht="11.25" customHeight="1">
      <c r="A57" s="4" t="s">
        <v>3246</v>
      </c>
    </row>
    <row r="58" spans="1:1" ht="11.25" customHeight="1">
      <c r="A58" s="4" t="s">
        <v>5796</v>
      </c>
    </row>
    <row r="59" spans="1:1" ht="11.25" customHeight="1">
      <c r="A59" s="4" t="s">
        <v>5797</v>
      </c>
    </row>
    <row r="60" spans="1:1" ht="11.25" customHeight="1">
      <c r="A60" s="4" t="s">
        <v>5798</v>
      </c>
    </row>
    <row r="61" spans="1:1" ht="11.25" customHeight="1">
      <c r="A61" s="4" t="s">
        <v>5799</v>
      </c>
    </row>
    <row r="62" spans="1:1" ht="11.25" customHeight="1">
      <c r="A62" s="4" t="s">
        <v>5800</v>
      </c>
    </row>
    <row r="63" spans="1:1" ht="11.25" customHeight="1">
      <c r="A63" s="4" t="s">
        <v>5801</v>
      </c>
    </row>
    <row r="64" spans="1:1" ht="11.25" customHeight="1">
      <c r="A64" s="4" t="s">
        <v>5802</v>
      </c>
    </row>
    <row r="65" spans="1:1" ht="11.25" customHeight="1">
      <c r="A65" s="4" t="s">
        <v>5803</v>
      </c>
    </row>
    <row r="66" spans="1:1" ht="11.25" customHeight="1">
      <c r="A66" s="4" t="s">
        <v>5804</v>
      </c>
    </row>
    <row r="67" spans="1:1" ht="11.25" customHeight="1">
      <c r="A67" s="4" t="s">
        <v>5805</v>
      </c>
    </row>
    <row r="68" spans="1:1" ht="11.25" customHeight="1">
      <c r="A68" s="4" t="s">
        <v>5806</v>
      </c>
    </row>
    <row r="69" spans="1:1" ht="11.25" customHeight="1">
      <c r="A69" s="4" t="s">
        <v>5807</v>
      </c>
    </row>
    <row r="70" spans="1:1" ht="11.25" customHeight="1">
      <c r="A70" s="4" t="s">
        <v>5808</v>
      </c>
    </row>
    <row r="71" spans="1:1" ht="11.25" customHeight="1">
      <c r="A71" s="4" t="s">
        <v>2880</v>
      </c>
    </row>
    <row r="72" spans="1:1" ht="11.25" customHeight="1">
      <c r="A72" s="4" t="s">
        <v>5809</v>
      </c>
    </row>
    <row r="73" spans="1:1" ht="11.25" customHeight="1">
      <c r="A73" s="4" t="s">
        <v>5810</v>
      </c>
    </row>
    <row r="74" spans="1:1" ht="11.25" customHeight="1">
      <c r="A74" s="4" t="s">
        <v>2892</v>
      </c>
    </row>
    <row r="75" spans="1:1" ht="11.25" customHeight="1">
      <c r="A75" s="4" t="s">
        <v>5811</v>
      </c>
    </row>
    <row r="76" spans="1:1" ht="11.25" customHeight="1">
      <c r="A76" s="4" t="s">
        <v>5812</v>
      </c>
    </row>
    <row r="77" spans="1:1" ht="11.25" customHeight="1">
      <c r="A77" s="4" t="s">
        <v>5813</v>
      </c>
    </row>
    <row r="78" spans="1:1" ht="11.25" customHeight="1">
      <c r="A78" s="4" t="s">
        <v>5814</v>
      </c>
    </row>
    <row r="79" spans="1:1" ht="11.25" customHeight="1">
      <c r="A79" s="4" t="s">
        <v>5815</v>
      </c>
    </row>
    <row r="80" spans="1:1" ht="11.25" customHeight="1">
      <c r="A80" s="4" t="s">
        <v>5816</v>
      </c>
    </row>
    <row r="81" spans="1:1" ht="11.25" customHeight="1">
      <c r="A81" s="4" t="s">
        <v>5817</v>
      </c>
    </row>
    <row r="82" spans="1:1" ht="11.25" customHeight="1">
      <c r="A82" s="4" t="s">
        <v>5818</v>
      </c>
    </row>
    <row r="83" spans="1:1" ht="11.25" customHeight="1">
      <c r="A83" s="4" t="s">
        <v>5819</v>
      </c>
    </row>
    <row r="84" spans="1:1" ht="11.25" customHeight="1">
      <c r="A84" s="4" t="s">
        <v>5820</v>
      </c>
    </row>
    <row r="85" spans="1:1" ht="11.25" customHeight="1">
      <c r="A85" s="4" t="s">
        <v>5821</v>
      </c>
    </row>
    <row r="86" spans="1:1" ht="11.25" customHeight="1">
      <c r="A86" s="4" t="s">
        <v>3271</v>
      </c>
    </row>
    <row r="87" spans="1:1" ht="11.25" customHeight="1">
      <c r="A87" s="4" t="s">
        <v>5822</v>
      </c>
    </row>
    <row r="88" spans="1:1" ht="11.25" customHeight="1">
      <c r="A88" s="4" t="s">
        <v>5823</v>
      </c>
    </row>
    <row r="89" spans="1:1" ht="11.25" customHeight="1">
      <c r="A89" s="4" t="s">
        <v>5824</v>
      </c>
    </row>
    <row r="90" spans="1:1" ht="11.25" customHeight="1">
      <c r="A90" s="4" t="s">
        <v>5825</v>
      </c>
    </row>
    <row r="91" spans="1:1" ht="11.25" customHeight="1">
      <c r="A91" s="4" t="s">
        <v>5826</v>
      </c>
    </row>
    <row r="92" spans="1:1" ht="11.25" customHeight="1">
      <c r="A92" s="4" t="s">
        <v>5827</v>
      </c>
    </row>
    <row r="93" spans="1:1" ht="11.25" customHeight="1">
      <c r="A93" s="4" t="s">
        <v>3316</v>
      </c>
    </row>
    <row r="94" spans="1:1" ht="11.25" customHeight="1">
      <c r="A94" s="4" t="s">
        <v>5828</v>
      </c>
    </row>
    <row r="95" spans="1:1" ht="11.25" customHeight="1">
      <c r="A95" s="4" t="s">
        <v>5829</v>
      </c>
    </row>
    <row r="96" spans="1:1" ht="11.25" customHeight="1">
      <c r="A96" s="4" t="s">
        <v>5830</v>
      </c>
    </row>
    <row r="97" spans="1:1" ht="11.25" customHeight="1">
      <c r="A97" s="4" t="s">
        <v>5831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G183"/>
  <sheetViews>
    <sheetView showGridLines="0" workbookViewId="0"/>
  </sheetViews>
  <sheetFormatPr defaultColWidth="9.140625" defaultRowHeight="12" customHeight="1"/>
  <cols>
    <col min="1" max="1" width="42.7109375" style="646" customWidth="1"/>
    <col min="2" max="2" width="6.7109375" style="646" customWidth="1"/>
    <col min="3" max="3" width="40.7109375" style="646" customWidth="1"/>
    <col min="4" max="4" width="15.5703125" style="646" customWidth="1"/>
    <col min="5" max="6" width="3.7109375" style="646" customWidth="1"/>
    <col min="7" max="7" width="32.7109375" style="646" customWidth="1"/>
    <col min="8" max="9" width="3.7109375" style="646" customWidth="1"/>
    <col min="10" max="10" width="4.7109375" style="646" customWidth="1"/>
    <col min="11" max="11" width="40.7109375" style="646" customWidth="1"/>
    <col min="12" max="12" width="4.7109375" style="646" customWidth="1"/>
    <col min="13" max="13" width="18.5703125" style="646" customWidth="1"/>
    <col min="14" max="15" width="4.7109375" style="646" customWidth="1"/>
    <col min="16" max="16" width="5.7109375" style="646" customWidth="1"/>
    <col min="17" max="18" width="12.5703125" style="646" customWidth="1"/>
    <col min="19" max="19" width="14.5703125" style="646" customWidth="1"/>
    <col min="20" max="20" width="18.85546875" style="646" customWidth="1"/>
    <col min="21" max="21" width="19.28515625" style="646" customWidth="1"/>
    <col min="22" max="22" width="39.140625" style="646" customWidth="1"/>
    <col min="23" max="23" width="41.7109375" style="646" customWidth="1"/>
    <col min="24" max="24" width="54.85546875" style="646" customWidth="1"/>
    <col min="25" max="26" width="22.85546875" style="646" customWidth="1"/>
    <col min="27" max="31" width="9.140625" style="646"/>
  </cols>
  <sheetData>
    <row r="1" spans="1:33" ht="12" customHeight="1">
      <c r="A1" s="27" t="s">
        <v>5832</v>
      </c>
      <c r="B1" s="26" t="s">
        <v>5833</v>
      </c>
      <c r="C1" s="27" t="s">
        <v>5832</v>
      </c>
      <c r="D1" s="341" t="s">
        <v>5834</v>
      </c>
      <c r="E1" s="82"/>
      <c r="F1" s="82"/>
      <c r="G1" s="83" t="s">
        <v>5835</v>
      </c>
      <c r="H1" s="82"/>
      <c r="I1" s="82"/>
      <c r="J1" s="82"/>
      <c r="K1" s="330" t="s">
        <v>5836</v>
      </c>
      <c r="L1" s="27"/>
      <c r="M1" s="83" t="s">
        <v>5837</v>
      </c>
      <c r="N1" s="82"/>
      <c r="O1" s="27"/>
      <c r="P1" s="82"/>
      <c r="Q1" s="83" t="s">
        <v>5838</v>
      </c>
      <c r="R1" s="83" t="s">
        <v>5839</v>
      </c>
      <c r="S1" s="83" t="s">
        <v>5840</v>
      </c>
      <c r="T1" s="83" t="s">
        <v>5841</v>
      </c>
      <c r="U1" s="83" t="s">
        <v>5842</v>
      </c>
      <c r="V1" s="90" t="s">
        <v>5843</v>
      </c>
      <c r="W1" s="90" t="s">
        <v>5844</v>
      </c>
      <c r="X1" s="90" t="s">
        <v>5845</v>
      </c>
      <c r="Y1" s="90" t="s">
        <v>5846</v>
      </c>
      <c r="Z1" s="90" t="s">
        <v>5847</v>
      </c>
      <c r="AA1" s="83" t="s">
        <v>5848</v>
      </c>
      <c r="AB1" s="83" t="s">
        <v>5849</v>
      </c>
      <c r="AC1" s="83" t="s">
        <v>5850</v>
      </c>
      <c r="AD1" s="83" t="s">
        <v>5851</v>
      </c>
      <c r="AE1" s="83" t="s">
        <v>5852</v>
      </c>
      <c r="AF1" s="1" t="s">
        <v>5853</v>
      </c>
      <c r="AG1" s="1" t="s">
        <v>5854</v>
      </c>
    </row>
    <row r="2" spans="1:33" ht="12" customHeight="1">
      <c r="A2" s="27" t="s">
        <v>5855</v>
      </c>
      <c r="B2" s="26" t="s">
        <v>5856</v>
      </c>
      <c r="C2" s="27" t="s">
        <v>5855</v>
      </c>
      <c r="D2" s="340" t="s">
        <v>5857</v>
      </c>
      <c r="E2" s="82"/>
      <c r="F2" s="82"/>
      <c r="G2" s="84" t="s">
        <v>160</v>
      </c>
      <c r="H2" s="82"/>
      <c r="I2" s="82"/>
      <c r="J2" s="82"/>
      <c r="K2" s="331" t="s">
        <v>5858</v>
      </c>
      <c r="L2" s="82"/>
      <c r="M2" s="85" t="s">
        <v>5859</v>
      </c>
      <c r="N2" s="82"/>
      <c r="O2" s="82"/>
      <c r="P2" s="82"/>
      <c r="Q2" s="84">
        <v>2012</v>
      </c>
      <c r="R2" s="84" t="s">
        <v>5860</v>
      </c>
      <c r="S2" s="84">
        <v>3</v>
      </c>
      <c r="T2" s="89" t="s">
        <v>282</v>
      </c>
      <c r="U2" s="89" t="s">
        <v>285</v>
      </c>
      <c r="V2" s="100" t="s">
        <v>287</v>
      </c>
      <c r="W2" s="100" t="s">
        <v>284</v>
      </c>
      <c r="X2" s="100" t="s">
        <v>3997</v>
      </c>
      <c r="Y2" s="100" t="s">
        <v>5861</v>
      </c>
      <c r="Z2" s="100" t="s">
        <v>5861</v>
      </c>
      <c r="AA2" s="89" t="s">
        <v>5862</v>
      </c>
      <c r="AB2" s="89" t="s">
        <v>5863</v>
      </c>
      <c r="AC2" s="89" t="s">
        <v>5864</v>
      </c>
      <c r="AD2" s="89" t="s">
        <v>5865</v>
      </c>
      <c r="AE2" s="89" t="s">
        <v>281</v>
      </c>
      <c r="AF2" s="1" t="s">
        <v>5866</v>
      </c>
      <c r="AG2" s="1" t="s">
        <v>5867</v>
      </c>
    </row>
    <row r="3" spans="1:33" ht="12" customHeight="1">
      <c r="A3" s="27" t="s">
        <v>5868</v>
      </c>
      <c r="B3" s="26" t="s">
        <v>5869</v>
      </c>
      <c r="C3" s="27" t="s">
        <v>5868</v>
      </c>
      <c r="D3" s="82"/>
      <c r="E3" s="82"/>
      <c r="F3" s="82"/>
      <c r="G3" s="84" t="s">
        <v>151</v>
      </c>
      <c r="H3" s="82"/>
      <c r="I3" s="82"/>
      <c r="J3" s="82"/>
      <c r="L3" s="82"/>
      <c r="M3" s="82"/>
      <c r="N3" s="82"/>
      <c r="O3" s="82"/>
      <c r="P3" s="82"/>
      <c r="Q3" s="84">
        <v>2013</v>
      </c>
      <c r="R3" s="84" t="s">
        <v>5870</v>
      </c>
      <c r="S3" s="84">
        <v>4</v>
      </c>
      <c r="T3" s="89" t="s">
        <v>5099</v>
      </c>
      <c r="U3" s="89" t="s">
        <v>5871</v>
      </c>
      <c r="V3" s="100" t="s">
        <v>5584</v>
      </c>
      <c r="W3" s="100" t="s">
        <v>5582</v>
      </c>
      <c r="X3" s="100" t="s">
        <v>5157</v>
      </c>
      <c r="Y3" s="100" t="s">
        <v>5872</v>
      </c>
      <c r="Z3" s="100" t="s">
        <v>5872</v>
      </c>
      <c r="AA3" s="89" t="s">
        <v>5873</v>
      </c>
      <c r="AB3" s="89" t="s">
        <v>5874</v>
      </c>
      <c r="AC3" s="89" t="s">
        <v>5875</v>
      </c>
      <c r="AD3" s="89" t="s">
        <v>5876</v>
      </c>
      <c r="AE3" s="89" t="s">
        <v>224</v>
      </c>
      <c r="AF3" s="1" t="s">
        <v>5877</v>
      </c>
      <c r="AG3" s="1" t="s">
        <v>5878</v>
      </c>
    </row>
    <row r="4" spans="1:33" ht="12" customHeight="1">
      <c r="A4" s="27" t="s">
        <v>5879</v>
      </c>
      <c r="B4" s="26" t="s">
        <v>5880</v>
      </c>
      <c r="C4" s="27" t="s">
        <v>5879</v>
      </c>
      <c r="D4" s="82"/>
      <c r="E4" s="82"/>
      <c r="F4" s="82"/>
      <c r="G4" s="82"/>
      <c r="H4" s="82"/>
      <c r="I4" s="82"/>
      <c r="J4" s="82"/>
      <c r="K4" s="330" t="s">
        <v>5881</v>
      </c>
      <c r="L4" s="82"/>
      <c r="M4" s="83" t="s">
        <v>5882</v>
      </c>
      <c r="N4" s="82"/>
      <c r="O4" s="82"/>
      <c r="P4" s="82"/>
      <c r="Q4" s="84">
        <v>2014</v>
      </c>
      <c r="R4" s="84" t="s">
        <v>5883</v>
      </c>
      <c r="S4" s="84">
        <v>5</v>
      </c>
      <c r="V4" s="100" t="s">
        <v>5884</v>
      </c>
      <c r="X4" s="100" t="s">
        <v>3536</v>
      </c>
      <c r="Y4" s="100" t="s">
        <v>5885</v>
      </c>
      <c r="Z4" s="100" t="s">
        <v>5885</v>
      </c>
      <c r="AB4" s="89" t="s">
        <v>4088</v>
      </c>
      <c r="AC4" s="89" t="s">
        <v>5886</v>
      </c>
      <c r="AD4" s="88"/>
      <c r="AE4" s="89" t="s">
        <v>321</v>
      </c>
      <c r="AF4" s="1" t="s">
        <v>5887</v>
      </c>
      <c r="AG4" s="1" t="s">
        <v>5888</v>
      </c>
    </row>
    <row r="5" spans="1:33" ht="12" customHeight="1">
      <c r="A5" s="27" t="s">
        <v>5889</v>
      </c>
      <c r="B5" s="26" t="s">
        <v>5890</v>
      </c>
      <c r="C5" s="27" t="s">
        <v>5889</v>
      </c>
      <c r="D5" s="82"/>
      <c r="E5" s="82"/>
      <c r="F5" s="82"/>
      <c r="G5" s="83" t="s">
        <v>5891</v>
      </c>
      <c r="H5" s="82"/>
      <c r="I5" s="82"/>
      <c r="J5" s="82"/>
      <c r="K5" s="84" t="s">
        <v>5892</v>
      </c>
      <c r="L5" s="82"/>
      <c r="M5" s="85">
        <v>1.2</v>
      </c>
      <c r="N5" s="82"/>
      <c r="O5" s="82"/>
      <c r="P5" s="82"/>
      <c r="Q5" s="84">
        <v>2015</v>
      </c>
      <c r="R5" s="84" t="s">
        <v>5893</v>
      </c>
      <c r="S5" s="84">
        <v>6</v>
      </c>
      <c r="V5" s="90" t="s">
        <v>5894</v>
      </c>
      <c r="W5" s="90" t="s">
        <v>5895</v>
      </c>
      <c r="X5" s="100" t="s">
        <v>5896</v>
      </c>
      <c r="Y5" s="100" t="s">
        <v>5897</v>
      </c>
      <c r="Z5" s="100" t="s">
        <v>5897</v>
      </c>
      <c r="AB5" s="89" t="s">
        <v>5898</v>
      </c>
      <c r="AC5" s="89" t="s">
        <v>5899</v>
      </c>
      <c r="AD5" s="88"/>
      <c r="AE5" s="89" t="s">
        <v>523</v>
      </c>
      <c r="AF5" s="1" t="s">
        <v>5900</v>
      </c>
      <c r="AG5" s="1" t="s">
        <v>5901</v>
      </c>
    </row>
    <row r="6" spans="1:33" ht="12" customHeight="1">
      <c r="A6" s="27" t="s">
        <v>5902</v>
      </c>
      <c r="B6" s="26" t="s">
        <v>5903</v>
      </c>
      <c r="C6" s="27" t="s">
        <v>5902</v>
      </c>
      <c r="D6" s="82"/>
      <c r="E6" s="82"/>
      <c r="F6" s="82"/>
      <c r="G6" s="83" t="s">
        <v>5904</v>
      </c>
      <c r="H6" s="82"/>
      <c r="I6" s="82"/>
      <c r="J6" s="82"/>
      <c r="K6" s="84" t="s">
        <v>5905</v>
      </c>
      <c r="L6" s="82"/>
      <c r="M6" s="82"/>
      <c r="N6" s="82"/>
      <c r="O6" s="82"/>
      <c r="P6" s="82"/>
      <c r="Q6" s="84">
        <v>2016</v>
      </c>
      <c r="R6" s="84" t="s">
        <v>5906</v>
      </c>
      <c r="S6" s="84">
        <v>7</v>
      </c>
      <c r="V6" s="100" t="s">
        <v>5656</v>
      </c>
      <c r="W6" s="177" t="s">
        <v>5654</v>
      </c>
      <c r="X6" s="100" t="s">
        <v>5291</v>
      </c>
      <c r="Y6" s="100" t="s">
        <v>5907</v>
      </c>
      <c r="Z6" s="100" t="s">
        <v>5907</v>
      </c>
      <c r="AB6" s="89" t="s">
        <v>5908</v>
      </c>
      <c r="AC6" s="88"/>
      <c r="AD6" s="88"/>
      <c r="AE6" s="89" t="s">
        <v>478</v>
      </c>
      <c r="AF6" s="1" t="s">
        <v>5909</v>
      </c>
      <c r="AG6" s="1" t="s">
        <v>5910</v>
      </c>
    </row>
    <row r="7" spans="1:33" ht="12" customHeight="1">
      <c r="A7" s="27" t="s">
        <v>5911</v>
      </c>
      <c r="B7" s="26" t="s">
        <v>5912</v>
      </c>
      <c r="C7" s="27" t="s">
        <v>5911</v>
      </c>
      <c r="D7" s="82"/>
      <c r="E7" s="82"/>
      <c r="F7" s="82"/>
      <c r="G7" s="86" t="s">
        <v>5913</v>
      </c>
      <c r="H7" s="82"/>
      <c r="I7" s="82"/>
      <c r="J7" s="82"/>
      <c r="K7" s="84" t="s">
        <v>5914</v>
      </c>
      <c r="L7" s="82"/>
      <c r="M7" s="83" t="s">
        <v>5915</v>
      </c>
      <c r="N7" s="82"/>
      <c r="O7" s="82"/>
      <c r="P7" s="82"/>
      <c r="Q7" s="84">
        <v>2017</v>
      </c>
      <c r="R7" s="84" t="s">
        <v>5916</v>
      </c>
      <c r="S7" s="84">
        <v>8</v>
      </c>
      <c r="V7" s="100" t="s">
        <v>5917</v>
      </c>
      <c r="X7" s="100" t="s">
        <v>5539</v>
      </c>
      <c r="Y7" s="100" t="s">
        <v>5918</v>
      </c>
      <c r="Z7" s="100" t="s">
        <v>5918</v>
      </c>
      <c r="AB7" s="89" t="s">
        <v>5919</v>
      </c>
      <c r="AC7" s="88"/>
      <c r="AD7" s="88"/>
      <c r="AE7" s="88"/>
      <c r="AF7" s="1" t="s">
        <v>5878</v>
      </c>
      <c r="AG7" s="1" t="s">
        <v>5920</v>
      </c>
    </row>
    <row r="8" spans="1:33" ht="12" customHeight="1">
      <c r="A8" s="27" t="s">
        <v>5921</v>
      </c>
      <c r="B8" s="26" t="s">
        <v>5922</v>
      </c>
      <c r="C8" s="27" t="s">
        <v>5921</v>
      </c>
      <c r="D8" s="82"/>
      <c r="E8" s="82"/>
      <c r="F8" s="82"/>
      <c r="G8" s="86" t="s">
        <v>5923</v>
      </c>
      <c r="H8" s="82"/>
      <c r="I8" s="82"/>
      <c r="J8" s="82"/>
      <c r="K8" s="84" t="s">
        <v>5924</v>
      </c>
      <c r="L8" s="82"/>
      <c r="M8" s="85" cm="1">
        <f t="array" aca="1" ref="M8" ca="1">IF(god="",YEAR(TODAY()),god)</f>
        <v>2026</v>
      </c>
      <c r="N8" s="82"/>
      <c r="O8" s="82"/>
      <c r="P8" s="82"/>
      <c r="Q8" s="84">
        <v>2018</v>
      </c>
      <c r="R8" s="84" t="s">
        <v>5925</v>
      </c>
      <c r="S8" s="84">
        <v>9</v>
      </c>
      <c r="V8" s="100" t="s">
        <v>5926</v>
      </c>
      <c r="X8" s="100" t="s">
        <v>5927</v>
      </c>
      <c r="Z8" s="100" t="s">
        <v>5928</v>
      </c>
      <c r="AB8" s="89" t="s">
        <v>5929</v>
      </c>
      <c r="AC8" s="88"/>
      <c r="AD8" s="88"/>
      <c r="AE8" s="88"/>
      <c r="AF8" s="1" t="s">
        <v>5888</v>
      </c>
      <c r="AG8" s="1" t="s">
        <v>5930</v>
      </c>
    </row>
    <row r="9" spans="1:33" ht="12" customHeight="1">
      <c r="A9" s="27" t="s">
        <v>5931</v>
      </c>
      <c r="B9" s="26" t="s">
        <v>5932</v>
      </c>
      <c r="C9" s="27" t="s">
        <v>5931</v>
      </c>
      <c r="D9" s="82"/>
      <c r="E9" s="82"/>
      <c r="F9" s="82"/>
      <c r="G9" s="86" t="s">
        <v>5933</v>
      </c>
      <c r="H9" s="82"/>
      <c r="I9" s="82"/>
      <c r="J9" s="82"/>
      <c r="K9" s="84" t="s">
        <v>5934</v>
      </c>
      <c r="L9" s="82"/>
      <c r="M9" s="82"/>
      <c r="N9" s="82"/>
      <c r="O9" s="82"/>
      <c r="P9" s="82"/>
      <c r="Q9" s="84">
        <v>2019</v>
      </c>
      <c r="R9" s="84" t="s">
        <v>5935</v>
      </c>
      <c r="S9" s="84">
        <v>10</v>
      </c>
      <c r="V9" s="100" t="s">
        <v>5936</v>
      </c>
      <c r="X9" s="100" t="s">
        <v>5937</v>
      </c>
      <c r="AB9" s="89" t="s">
        <v>5938</v>
      </c>
      <c r="AC9" s="88"/>
      <c r="AD9" s="88"/>
      <c r="AE9" s="88"/>
      <c r="AF9" s="1" t="s">
        <v>5901</v>
      </c>
      <c r="AG9" s="1" t="s">
        <v>5939</v>
      </c>
    </row>
    <row r="10" spans="1:33" ht="12" customHeight="1">
      <c r="A10" s="27" t="s">
        <v>5940</v>
      </c>
      <c r="B10" s="26" t="s">
        <v>5941</v>
      </c>
      <c r="C10" s="27" t="s">
        <v>5940</v>
      </c>
      <c r="D10" s="82"/>
      <c r="E10" s="82"/>
      <c r="F10" s="82"/>
      <c r="G10" s="87"/>
      <c r="H10" s="82"/>
      <c r="I10" s="82"/>
      <c r="J10" s="82"/>
      <c r="K10" s="84" t="s">
        <v>5942</v>
      </c>
      <c r="L10" s="82"/>
      <c r="M10" s="83" t="s">
        <v>5943</v>
      </c>
      <c r="N10" s="82"/>
      <c r="O10" s="82"/>
      <c r="P10" s="82"/>
      <c r="Q10" s="84">
        <v>2020</v>
      </c>
      <c r="R10" s="84" t="s">
        <v>5944</v>
      </c>
      <c r="S10" s="84">
        <v>11</v>
      </c>
      <c r="V10" s="100" t="s">
        <v>5945</v>
      </c>
      <c r="X10" s="100" t="s">
        <v>5946</v>
      </c>
      <c r="AB10" s="89" t="s">
        <v>5947</v>
      </c>
      <c r="AC10" s="88"/>
      <c r="AD10" s="88"/>
      <c r="AE10" s="88"/>
      <c r="AF10" s="1" t="s">
        <v>5910</v>
      </c>
      <c r="AG10" s="1" t="s">
        <v>5948</v>
      </c>
    </row>
    <row r="11" spans="1:33" ht="12" customHeight="1">
      <c r="A11" s="325" t="s">
        <v>5949</v>
      </c>
      <c r="B11" s="26" t="s">
        <v>5950</v>
      </c>
      <c r="C11" s="27" t="s">
        <v>5951</v>
      </c>
      <c r="D11" s="82"/>
      <c r="E11" s="82"/>
      <c r="F11" s="82"/>
      <c r="G11" s="83" t="s">
        <v>5952</v>
      </c>
      <c r="H11" s="82"/>
      <c r="I11" s="82"/>
      <c r="J11" s="82"/>
      <c r="K11" s="84" t="s">
        <v>5953</v>
      </c>
      <c r="L11" s="82"/>
      <c r="M11" s="85" t="str">
        <f ca="1">"01.01."&amp;PERIOD</f>
        <v>01.01.2026</v>
      </c>
      <c r="N11" s="82"/>
      <c r="O11" s="82"/>
      <c r="P11" s="82"/>
      <c r="Q11" s="84">
        <v>2021</v>
      </c>
      <c r="R11" s="84" t="s">
        <v>5954</v>
      </c>
      <c r="S11" s="84">
        <v>12</v>
      </c>
      <c r="V11" s="100" t="s">
        <v>5955</v>
      </c>
      <c r="X11" s="100" t="s">
        <v>4618</v>
      </c>
      <c r="AB11" s="89" t="s">
        <v>5956</v>
      </c>
      <c r="AC11" s="88"/>
      <c r="AD11" s="88"/>
      <c r="AE11" s="88"/>
      <c r="AF11" s="1" t="s">
        <v>5920</v>
      </c>
      <c r="AG11" s="1" t="s">
        <v>5957</v>
      </c>
    </row>
    <row r="12" spans="1:33" ht="12" customHeight="1">
      <c r="A12" s="325" t="s">
        <v>5958</v>
      </c>
      <c r="B12" s="26" t="s">
        <v>5959</v>
      </c>
      <c r="C12" s="27"/>
      <c r="D12" s="82"/>
      <c r="E12" s="82"/>
      <c r="F12" s="82"/>
      <c r="G12" s="83" t="s">
        <v>5960</v>
      </c>
      <c r="H12" s="82"/>
      <c r="I12" s="82"/>
      <c r="J12" s="82"/>
      <c r="K12" s="82"/>
      <c r="L12" s="82"/>
      <c r="M12" s="85" t="str">
        <f ca="1">"31.12."&amp;PERIOD</f>
        <v>31.12.2026</v>
      </c>
      <c r="N12" s="82"/>
      <c r="O12" s="82"/>
      <c r="P12" s="82"/>
      <c r="Q12" s="84">
        <v>2022</v>
      </c>
      <c r="R12" s="84" t="s">
        <v>5961</v>
      </c>
      <c r="S12" s="84">
        <v>13</v>
      </c>
      <c r="X12" s="100" t="s">
        <v>5962</v>
      </c>
      <c r="AB12" s="89" t="s">
        <v>5963</v>
      </c>
      <c r="AC12" s="88"/>
      <c r="AD12" s="88"/>
      <c r="AE12" s="88"/>
      <c r="AF12" s="1" t="s">
        <v>5930</v>
      </c>
      <c r="AG12" s="1" t="s">
        <v>5964</v>
      </c>
    </row>
    <row r="13" spans="1:33" ht="12" customHeight="1">
      <c r="A13" s="325" t="s">
        <v>5965</v>
      </c>
      <c r="B13" s="26" t="s">
        <v>5966</v>
      </c>
      <c r="C13" s="27" t="s">
        <v>5967</v>
      </c>
      <c r="D13" s="82"/>
      <c r="E13" s="82"/>
      <c r="F13" s="82"/>
      <c r="G13" s="86" t="s">
        <v>5968</v>
      </c>
      <c r="H13" s="82"/>
      <c r="I13" s="82"/>
      <c r="J13" s="82"/>
      <c r="K13" s="375" t="s">
        <v>5969</v>
      </c>
      <c r="L13" s="82"/>
      <c r="M13" s="82"/>
      <c r="N13" s="82"/>
      <c r="O13" s="82"/>
      <c r="P13" s="82"/>
      <c r="Q13" s="84">
        <v>2023</v>
      </c>
      <c r="R13" s="84" t="s">
        <v>5970</v>
      </c>
      <c r="S13" s="84">
        <v>14</v>
      </c>
      <c r="X13" s="100" t="s">
        <v>5971</v>
      </c>
      <c r="AB13" s="89" t="s">
        <v>5972</v>
      </c>
      <c r="AC13" s="88"/>
      <c r="AD13" s="88"/>
      <c r="AE13" s="88"/>
      <c r="AF13" s="1" t="s">
        <v>5939</v>
      </c>
      <c r="AG13" s="1" t="s">
        <v>5973</v>
      </c>
    </row>
    <row r="14" spans="1:33" ht="12" customHeight="1">
      <c r="A14" s="325" t="s">
        <v>5974</v>
      </c>
      <c r="B14" s="26" t="s">
        <v>5975</v>
      </c>
      <c r="C14" s="27" t="s">
        <v>5976</v>
      </c>
      <c r="D14" s="82"/>
      <c r="E14" s="82"/>
      <c r="F14" s="82"/>
      <c r="G14" s="86" t="s">
        <v>5977</v>
      </c>
      <c r="H14" s="82"/>
      <c r="I14" s="82"/>
      <c r="J14" s="82"/>
      <c r="K14" s="376" t="s">
        <v>5588</v>
      </c>
      <c r="L14" s="82"/>
      <c r="M14" s="83" t="s">
        <v>5978</v>
      </c>
      <c r="N14" s="82"/>
      <c r="O14" s="82"/>
      <c r="P14" s="82"/>
      <c r="Q14" s="84">
        <v>2024</v>
      </c>
      <c r="R14" s="82"/>
      <c r="S14" s="84">
        <v>15</v>
      </c>
      <c r="X14" s="100" t="s">
        <v>5979</v>
      </c>
      <c r="AB14" s="89" t="s">
        <v>5980</v>
      </c>
      <c r="AC14" s="88"/>
      <c r="AD14" s="88"/>
      <c r="AE14" s="88"/>
      <c r="AF14" s="1" t="s">
        <v>5948</v>
      </c>
      <c r="AG14" s="1" t="s">
        <v>5981</v>
      </c>
    </row>
    <row r="15" spans="1:33" ht="12" customHeight="1">
      <c r="A15" s="326" t="s">
        <v>5982</v>
      </c>
      <c r="B15" s="327"/>
      <c r="C15" s="326"/>
      <c r="D15" s="82"/>
      <c r="E15" s="82"/>
      <c r="F15" s="82"/>
      <c r="G15" s="86" t="s">
        <v>5983</v>
      </c>
      <c r="H15" s="82"/>
      <c r="I15" s="82"/>
      <c r="J15" s="82"/>
      <c r="K15" s="376" t="s">
        <v>103</v>
      </c>
      <c r="L15" s="82"/>
      <c r="M15" s="85" t="str">
        <f ca="1">"01.01."&amp;PERIOD</f>
        <v>01.01.2026</v>
      </c>
      <c r="N15" s="82"/>
      <c r="O15" s="82"/>
      <c r="P15" s="82"/>
      <c r="Q15" s="84">
        <v>2025</v>
      </c>
      <c r="R15" s="82"/>
      <c r="S15" s="84">
        <v>16</v>
      </c>
      <c r="AB15" s="89" t="s">
        <v>5984</v>
      </c>
      <c r="AC15" s="88"/>
      <c r="AD15" s="88"/>
      <c r="AE15" s="88"/>
      <c r="AF15" s="1" t="s">
        <v>5957</v>
      </c>
      <c r="AG15" s="1" t="s">
        <v>5985</v>
      </c>
    </row>
    <row r="16" spans="1:33" ht="12" customHeight="1">
      <c r="A16" s="27" t="s">
        <v>5986</v>
      </c>
      <c r="B16" s="26" t="s">
        <v>5987</v>
      </c>
      <c r="C16" s="27" t="s">
        <v>5986</v>
      </c>
      <c r="D16" s="82"/>
      <c r="E16" s="82"/>
      <c r="F16" s="82"/>
      <c r="G16" s="86" t="s">
        <v>157</v>
      </c>
      <c r="H16" s="82"/>
      <c r="I16" s="82"/>
      <c r="J16" s="82"/>
      <c r="K16" s="376" t="s">
        <v>5689</v>
      </c>
      <c r="L16" s="82"/>
      <c r="M16" s="85" t="str">
        <f ca="1">"31.12."&amp;PERIOD</f>
        <v>31.12.2026</v>
      </c>
      <c r="N16" s="82"/>
      <c r="O16" s="82"/>
      <c r="P16" s="82"/>
      <c r="Q16" s="84">
        <v>2026</v>
      </c>
      <c r="R16" s="82"/>
      <c r="S16" s="84">
        <v>17</v>
      </c>
      <c r="X16" s="90" t="s">
        <v>5988</v>
      </c>
      <c r="AB16" s="89" t="s">
        <v>5989</v>
      </c>
      <c r="AC16" s="88"/>
      <c r="AD16" s="88"/>
      <c r="AE16" s="88"/>
      <c r="AF16" s="1" t="s">
        <v>5964</v>
      </c>
      <c r="AG16" s="1" t="s">
        <v>5990</v>
      </c>
    </row>
    <row r="17" spans="1:33" ht="23.25" customHeight="1">
      <c r="A17" s="27" t="s">
        <v>5991</v>
      </c>
      <c r="B17" s="26" t="s">
        <v>5992</v>
      </c>
      <c r="C17" s="27" t="s">
        <v>5991</v>
      </c>
      <c r="D17" s="82"/>
      <c r="E17" s="82"/>
      <c r="F17" s="82"/>
      <c r="G17" s="82"/>
      <c r="H17" s="82"/>
      <c r="I17" s="82"/>
      <c r="J17" s="82"/>
      <c r="K17" s="376" t="s">
        <v>5993</v>
      </c>
      <c r="L17" s="82"/>
      <c r="M17" s="71"/>
      <c r="N17" s="82"/>
      <c r="O17" s="82"/>
      <c r="P17" s="82"/>
      <c r="Q17" s="84">
        <v>2027</v>
      </c>
      <c r="R17" s="82"/>
      <c r="S17" s="84">
        <v>18</v>
      </c>
      <c r="X17" s="100" t="s">
        <v>3570</v>
      </c>
      <c r="AB17" s="89" t="s">
        <v>5994</v>
      </c>
      <c r="AC17" s="88"/>
      <c r="AD17" s="88"/>
      <c r="AE17" s="88"/>
      <c r="AF17" s="1" t="s">
        <v>5973</v>
      </c>
      <c r="AG17" s="1" t="s">
        <v>5995</v>
      </c>
    </row>
    <row r="18" spans="1:33" ht="12" customHeight="1">
      <c r="A18" s="326" t="s">
        <v>5996</v>
      </c>
      <c r="B18" s="327"/>
      <c r="C18" s="326"/>
      <c r="D18" s="82"/>
      <c r="E18" s="82"/>
      <c r="F18" s="489"/>
      <c r="G18" s="83" t="s">
        <v>5997</v>
      </c>
      <c r="H18" s="82"/>
      <c r="I18" s="82"/>
      <c r="J18" s="82"/>
      <c r="K18" s="82"/>
      <c r="L18" s="82"/>
      <c r="M18" s="83" t="s">
        <v>5998</v>
      </c>
      <c r="N18" s="82"/>
      <c r="O18" s="82"/>
      <c r="P18" s="82"/>
      <c r="Q18" s="84">
        <v>2028</v>
      </c>
      <c r="R18" s="82"/>
      <c r="S18" s="84">
        <v>19</v>
      </c>
      <c r="X18" s="100" t="s">
        <v>5999</v>
      </c>
      <c r="AB18" s="89" t="s">
        <v>6000</v>
      </c>
      <c r="AC18" s="88"/>
      <c r="AD18" s="88"/>
      <c r="AE18" s="88"/>
      <c r="AF18" s="1" t="s">
        <v>5981</v>
      </c>
      <c r="AG18" s="1" t="s">
        <v>6001</v>
      </c>
    </row>
    <row r="19" spans="1:33" ht="12" customHeight="1">
      <c r="A19" s="27" t="s">
        <v>6002</v>
      </c>
      <c r="B19" s="26" t="s">
        <v>6003</v>
      </c>
      <c r="C19" s="27" t="s">
        <v>6002</v>
      </c>
      <c r="D19" s="82"/>
      <c r="E19" s="82"/>
      <c r="F19" s="489"/>
      <c r="G19" s="488" t="s">
        <v>163</v>
      </c>
      <c r="H19" s="82"/>
      <c r="I19" s="82"/>
      <c r="J19" s="82"/>
      <c r="K19" s="375" t="s">
        <v>6004</v>
      </c>
      <c r="L19" s="82"/>
      <c r="M19" s="85" t="str">
        <f ca="1">"01.01."&amp;PERIOD</f>
        <v>01.01.2026</v>
      </c>
      <c r="N19" s="82"/>
      <c r="O19" s="82"/>
      <c r="P19" s="82"/>
      <c r="Q19" s="84">
        <v>2029</v>
      </c>
      <c r="R19" s="82"/>
      <c r="S19" s="84">
        <v>20</v>
      </c>
      <c r="X19" s="100" t="s">
        <v>223</v>
      </c>
      <c r="AB19" s="89" t="s">
        <v>6005</v>
      </c>
      <c r="AC19" s="88"/>
      <c r="AD19" s="88"/>
      <c r="AE19" s="88"/>
      <c r="AF19" s="1" t="s">
        <v>5985</v>
      </c>
      <c r="AG19" s="1" t="s">
        <v>6006</v>
      </c>
    </row>
    <row r="20" spans="1:33" ht="12" customHeight="1">
      <c r="A20" s="27" t="s">
        <v>6007</v>
      </c>
      <c r="B20" s="26" t="s">
        <v>6008</v>
      </c>
      <c r="C20" s="27" t="s">
        <v>6007</v>
      </c>
      <c r="D20" s="82"/>
      <c r="E20" s="82"/>
      <c r="F20" s="489"/>
      <c r="G20" s="488" t="s">
        <v>6009</v>
      </c>
      <c r="H20" s="82"/>
      <c r="I20" s="82"/>
      <c r="J20" s="82"/>
      <c r="K20" s="376" t="s">
        <v>6010</v>
      </c>
      <c r="L20" s="82"/>
      <c r="M20" s="85" t="str">
        <f ca="1">"31.12."&amp;PERIOD</f>
        <v>31.12.2026</v>
      </c>
      <c r="N20" s="82"/>
      <c r="O20" s="82"/>
      <c r="P20" s="82"/>
      <c r="Q20" s="84">
        <v>2030</v>
      </c>
      <c r="R20" s="82"/>
      <c r="S20" s="84">
        <v>21</v>
      </c>
      <c r="X20" s="100" t="s">
        <v>203</v>
      </c>
      <c r="AB20" s="89" t="s">
        <v>6011</v>
      </c>
      <c r="AC20" s="88"/>
      <c r="AD20" s="88"/>
      <c r="AE20" s="88"/>
      <c r="AF20" s="1" t="s">
        <v>5990</v>
      </c>
      <c r="AG20" s="1" t="s">
        <v>6012</v>
      </c>
    </row>
    <row r="21" spans="1:33" ht="12" customHeight="1">
      <c r="A21" s="27" t="s">
        <v>6013</v>
      </c>
      <c r="B21" s="26" t="s">
        <v>6014</v>
      </c>
      <c r="C21" s="27" t="s">
        <v>6015</v>
      </c>
      <c r="D21" s="82"/>
      <c r="E21" s="82"/>
      <c r="F21" s="82"/>
      <c r="G21" s="82"/>
      <c r="H21" s="82"/>
      <c r="I21" s="82"/>
      <c r="J21" s="82"/>
      <c r="K21" s="376" t="s">
        <v>6016</v>
      </c>
      <c r="L21" s="82"/>
      <c r="M21" s="82"/>
      <c r="N21" s="82"/>
      <c r="O21" s="82"/>
      <c r="P21" s="82"/>
      <c r="Q21" s="82"/>
      <c r="R21" s="82"/>
      <c r="S21" s="84">
        <v>22</v>
      </c>
      <c r="X21" s="100" t="s">
        <v>6017</v>
      </c>
      <c r="AB21" s="89" t="s">
        <v>6018</v>
      </c>
      <c r="AC21" s="88"/>
      <c r="AD21" s="88"/>
      <c r="AE21" s="88"/>
      <c r="AF21" s="1" t="s">
        <v>5995</v>
      </c>
      <c r="AG21" s="1" t="s">
        <v>6019</v>
      </c>
    </row>
    <row r="22" spans="1:33" ht="12" customHeight="1">
      <c r="A22" s="27" t="s">
        <v>6020</v>
      </c>
      <c r="B22" s="26" t="s">
        <v>6021</v>
      </c>
      <c r="C22" s="27" t="s">
        <v>6020</v>
      </c>
      <c r="D22" s="82"/>
      <c r="E22" s="82"/>
      <c r="F22" s="82"/>
      <c r="G22" s="82"/>
      <c r="H22" s="82"/>
      <c r="I22" s="82"/>
      <c r="J22" s="82"/>
      <c r="K22" s="376" t="s">
        <v>6022</v>
      </c>
      <c r="L22" s="82"/>
      <c r="M22" s="82"/>
      <c r="N22" s="82"/>
      <c r="O22" s="82"/>
      <c r="P22" s="82"/>
      <c r="Q22" s="82"/>
      <c r="R22" s="82"/>
      <c r="S22" s="84">
        <v>23</v>
      </c>
      <c r="X22" s="100" t="s">
        <v>6023</v>
      </c>
      <c r="AB22" s="89" t="s">
        <v>6024</v>
      </c>
      <c r="AC22" s="88"/>
      <c r="AD22" s="88"/>
      <c r="AE22" s="88"/>
      <c r="AF22" s="1" t="s">
        <v>6001</v>
      </c>
      <c r="AG22" s="1" t="s">
        <v>6025</v>
      </c>
    </row>
    <row r="23" spans="1:33" ht="12" customHeight="1">
      <c r="A23" s="27" t="s">
        <v>6026</v>
      </c>
      <c r="B23" s="26" t="s">
        <v>6027</v>
      </c>
      <c r="C23" s="27" t="s">
        <v>6026</v>
      </c>
      <c r="D23" s="82"/>
      <c r="E23" s="82"/>
      <c r="F23" s="82"/>
      <c r="G23" s="82"/>
      <c r="H23" s="82"/>
      <c r="I23" s="82"/>
      <c r="J23" s="82"/>
      <c r="K23" s="376" t="s">
        <v>6028</v>
      </c>
      <c r="L23" s="82"/>
      <c r="M23" s="82"/>
      <c r="N23" s="82"/>
      <c r="O23" s="82"/>
      <c r="P23" s="82"/>
      <c r="Q23" s="82"/>
      <c r="R23" s="82"/>
      <c r="S23" s="84">
        <v>24</v>
      </c>
      <c r="X23" s="100" t="s">
        <v>6029</v>
      </c>
      <c r="AF23" s="1" t="s">
        <v>6006</v>
      </c>
      <c r="AG23" s="1" t="s">
        <v>6030</v>
      </c>
    </row>
    <row r="24" spans="1:33" ht="12" customHeight="1">
      <c r="A24" s="27" t="s">
        <v>6031</v>
      </c>
      <c r="B24" s="26" t="s">
        <v>6032</v>
      </c>
      <c r="C24" s="27" t="s">
        <v>6031</v>
      </c>
      <c r="D24" s="82"/>
      <c r="E24" s="82"/>
      <c r="F24" s="82"/>
      <c r="G24" s="82"/>
      <c r="H24" s="82"/>
      <c r="I24" s="82"/>
      <c r="J24" s="82"/>
      <c r="K24" s="376" t="s">
        <v>286</v>
      </c>
      <c r="L24" s="82"/>
      <c r="M24" s="82"/>
      <c r="N24" s="82"/>
      <c r="O24" s="82"/>
      <c r="P24" s="82"/>
      <c r="Q24" s="82"/>
      <c r="R24" s="82"/>
      <c r="S24" s="84">
        <v>25</v>
      </c>
      <c r="X24" s="100" t="s">
        <v>6033</v>
      </c>
      <c r="AF24" s="1" t="s">
        <v>6012</v>
      </c>
      <c r="AG24" s="1" t="s">
        <v>6034</v>
      </c>
    </row>
    <row r="25" spans="1:33" ht="12" customHeight="1">
      <c r="A25" s="27" t="s">
        <v>6035</v>
      </c>
      <c r="B25" s="26" t="s">
        <v>6036</v>
      </c>
      <c r="C25" s="27" t="s">
        <v>6037</v>
      </c>
      <c r="D25" s="82"/>
      <c r="E25" s="82"/>
      <c r="F25" s="82"/>
      <c r="G25" s="82"/>
      <c r="H25" s="82"/>
      <c r="I25" s="82"/>
      <c r="J25" s="82"/>
      <c r="K25" s="82"/>
      <c r="L25" s="82"/>
      <c r="M25" s="82"/>
      <c r="N25" s="82"/>
      <c r="O25" s="82"/>
      <c r="P25" s="82"/>
      <c r="Q25" s="82"/>
      <c r="R25" s="82"/>
      <c r="S25" s="84">
        <v>26</v>
      </c>
      <c r="X25" s="100" t="s">
        <v>5311</v>
      </c>
      <c r="AF25" s="1" t="s">
        <v>6019</v>
      </c>
      <c r="AG25" s="1" t="s">
        <v>6038</v>
      </c>
    </row>
    <row r="26" spans="1:33" ht="12" customHeight="1">
      <c r="A26" s="27" t="s">
        <v>101</v>
      </c>
      <c r="B26" s="26" t="s">
        <v>6039</v>
      </c>
      <c r="C26" s="27" t="s">
        <v>101</v>
      </c>
      <c r="D26" s="82"/>
      <c r="E26" s="82"/>
      <c r="F26" s="82"/>
      <c r="G26" s="82"/>
      <c r="H26" s="82"/>
      <c r="I26" s="82"/>
      <c r="J26" s="82"/>
      <c r="K26" s="375" t="s">
        <v>6040</v>
      </c>
      <c r="L26" s="82"/>
      <c r="M26" s="82"/>
      <c r="N26" s="82"/>
      <c r="O26" s="82"/>
      <c r="P26" s="82"/>
      <c r="Q26" s="82"/>
      <c r="R26" s="82"/>
      <c r="S26" s="84">
        <v>27</v>
      </c>
      <c r="X26" s="100" t="s">
        <v>6041</v>
      </c>
      <c r="AF26" s="1" t="s">
        <v>6025</v>
      </c>
      <c r="AG26" s="1" t="s">
        <v>6042</v>
      </c>
    </row>
    <row r="27" spans="1:33" ht="12" customHeight="1">
      <c r="A27" s="27" t="s">
        <v>6043</v>
      </c>
      <c r="B27" s="26" t="s">
        <v>6044</v>
      </c>
      <c r="C27" s="27" t="s">
        <v>6043</v>
      </c>
      <c r="D27" s="82"/>
      <c r="E27" s="82"/>
      <c r="F27" s="82"/>
      <c r="G27" s="82"/>
      <c r="H27" s="82"/>
      <c r="I27" s="82"/>
      <c r="J27" s="82"/>
      <c r="K27" s="376" t="s">
        <v>6045</v>
      </c>
      <c r="L27" s="82"/>
      <c r="M27" s="82"/>
      <c r="N27" s="82"/>
      <c r="O27" s="82"/>
      <c r="P27" s="82"/>
      <c r="Q27" s="82"/>
      <c r="R27" s="82"/>
      <c r="S27" s="84">
        <v>28</v>
      </c>
      <c r="X27" s="100" t="s">
        <v>6046</v>
      </c>
      <c r="AF27" s="1" t="s">
        <v>6030</v>
      </c>
      <c r="AG27" s="1" t="s">
        <v>6047</v>
      </c>
    </row>
    <row r="28" spans="1:33" ht="12" customHeight="1">
      <c r="A28" s="27" t="s">
        <v>6048</v>
      </c>
      <c r="B28" s="26" t="s">
        <v>6049</v>
      </c>
      <c r="C28" s="27" t="s">
        <v>6048</v>
      </c>
      <c r="D28" s="82"/>
      <c r="E28" s="82"/>
      <c r="F28" s="82"/>
      <c r="G28" s="82"/>
      <c r="H28" s="82"/>
      <c r="I28" s="82"/>
      <c r="J28" s="82"/>
      <c r="K28" s="376" t="s">
        <v>6050</v>
      </c>
      <c r="L28" s="82"/>
      <c r="M28" s="82"/>
      <c r="N28" s="82"/>
      <c r="O28" s="82"/>
      <c r="P28" s="82"/>
      <c r="Q28" s="82"/>
      <c r="R28" s="82"/>
      <c r="S28" s="84">
        <v>29</v>
      </c>
      <c r="X28" s="100" t="s">
        <v>6051</v>
      </c>
      <c r="AF28" s="1" t="s">
        <v>6034</v>
      </c>
      <c r="AG28" s="1" t="s">
        <v>6052</v>
      </c>
    </row>
    <row r="29" spans="1:33" ht="12" customHeight="1">
      <c r="A29" s="27" t="s">
        <v>6053</v>
      </c>
      <c r="B29" s="26" t="s">
        <v>6054</v>
      </c>
      <c r="C29" s="27" t="s">
        <v>6053</v>
      </c>
      <c r="D29" s="82"/>
      <c r="E29" s="82"/>
      <c r="F29" s="82"/>
      <c r="G29" s="82"/>
      <c r="H29" s="82"/>
      <c r="I29" s="82"/>
      <c r="J29" s="82"/>
      <c r="K29" s="376" t="s">
        <v>5687</v>
      </c>
      <c r="L29" s="82"/>
      <c r="M29" s="82"/>
      <c r="N29" s="82"/>
      <c r="O29" s="82"/>
      <c r="P29" s="82"/>
      <c r="Q29" s="82"/>
      <c r="R29" s="82"/>
      <c r="S29" s="84">
        <v>30</v>
      </c>
      <c r="X29" s="100" t="s">
        <v>6055</v>
      </c>
      <c r="AF29" s="1" t="s">
        <v>6038</v>
      </c>
      <c r="AG29" s="1" t="s">
        <v>6056</v>
      </c>
    </row>
    <row r="30" spans="1:33" ht="12" customHeight="1">
      <c r="A30" s="27" t="s">
        <v>6057</v>
      </c>
      <c r="B30" s="26" t="s">
        <v>6058</v>
      </c>
      <c r="C30" s="27" t="s">
        <v>6057</v>
      </c>
      <c r="D30" s="82"/>
      <c r="E30" s="82"/>
      <c r="F30" s="82"/>
      <c r="G30" s="82"/>
      <c r="H30" s="82"/>
      <c r="I30" s="82"/>
      <c r="J30" s="82"/>
      <c r="K30" s="82"/>
      <c r="L30" s="82"/>
      <c r="M30" s="82"/>
      <c r="N30" s="82"/>
      <c r="O30" s="82"/>
      <c r="P30" s="82"/>
      <c r="Q30" s="82"/>
      <c r="R30" s="82"/>
      <c r="S30" s="84">
        <v>31</v>
      </c>
      <c r="X30" s="100" t="s">
        <v>6059</v>
      </c>
      <c r="AF30" s="1" t="s">
        <v>6042</v>
      </c>
      <c r="AG30" s="1" t="s">
        <v>6060</v>
      </c>
    </row>
    <row r="31" spans="1:33" ht="12" customHeight="1">
      <c r="A31" s="27" t="s">
        <v>6061</v>
      </c>
      <c r="B31" s="26" t="s">
        <v>6062</v>
      </c>
      <c r="C31" s="27" t="s">
        <v>6061</v>
      </c>
      <c r="D31" s="82"/>
      <c r="E31" s="82"/>
      <c r="F31" s="82"/>
      <c r="G31" s="82"/>
      <c r="H31" s="82"/>
      <c r="I31" s="82"/>
      <c r="J31" s="82"/>
      <c r="K31" s="82"/>
      <c r="L31" s="82"/>
      <c r="M31" s="82"/>
      <c r="N31" s="82"/>
      <c r="O31" s="82"/>
      <c r="P31" s="82"/>
      <c r="Q31" s="82"/>
      <c r="R31" s="82"/>
      <c r="S31" s="84">
        <v>32</v>
      </c>
      <c r="X31" s="100" t="s">
        <v>6063</v>
      </c>
      <c r="AF31" s="1" t="s">
        <v>6064</v>
      </c>
      <c r="AG31" s="1" t="s">
        <v>6065</v>
      </c>
    </row>
    <row r="32" spans="1:33" ht="12" customHeight="1">
      <c r="A32" s="27" t="s">
        <v>6066</v>
      </c>
      <c r="B32" s="26" t="s">
        <v>6067</v>
      </c>
      <c r="C32" s="27" t="s">
        <v>6066</v>
      </c>
      <c r="D32" s="82"/>
      <c r="E32" s="82"/>
      <c r="F32" s="82"/>
      <c r="G32" s="82"/>
      <c r="H32" s="82"/>
      <c r="I32" s="82"/>
      <c r="J32" s="82"/>
      <c r="K32" s="82"/>
      <c r="L32" s="82"/>
      <c r="M32" s="82"/>
      <c r="N32" s="82"/>
      <c r="O32" s="82"/>
      <c r="P32" s="82"/>
      <c r="Q32" s="82"/>
      <c r="R32" s="82"/>
      <c r="S32" s="84">
        <v>33</v>
      </c>
      <c r="X32" s="100" t="s">
        <v>6068</v>
      </c>
      <c r="AF32" t="s">
        <v>6069</v>
      </c>
      <c r="AG32" t="s">
        <v>6070</v>
      </c>
    </row>
    <row r="33" spans="1:33" ht="12" customHeight="1">
      <c r="A33" s="27" t="s">
        <v>6071</v>
      </c>
      <c r="B33" s="26" t="s">
        <v>6072</v>
      </c>
      <c r="C33" s="27" t="s">
        <v>6071</v>
      </c>
      <c r="D33" s="82"/>
      <c r="E33" s="82"/>
      <c r="F33" s="82"/>
      <c r="G33" s="82"/>
      <c r="H33" s="82"/>
      <c r="I33" s="82"/>
      <c r="J33" s="82"/>
      <c r="K33" s="82"/>
      <c r="L33" s="82"/>
      <c r="M33" s="82"/>
      <c r="N33" s="82"/>
      <c r="O33" s="82"/>
      <c r="P33" s="82"/>
      <c r="Q33" s="82"/>
      <c r="R33" s="82"/>
      <c r="S33" s="84">
        <v>34</v>
      </c>
      <c r="X33" s="100" t="s">
        <v>6073</v>
      </c>
      <c r="AF33" t="s">
        <v>6074</v>
      </c>
      <c r="AG33" t="s">
        <v>6075</v>
      </c>
    </row>
    <row r="34" spans="1:33" ht="12" customHeight="1">
      <c r="A34" s="27" t="s">
        <v>6076</v>
      </c>
      <c r="B34" s="26" t="s">
        <v>6077</v>
      </c>
      <c r="C34" s="27" t="s">
        <v>6076</v>
      </c>
      <c r="D34" s="82"/>
      <c r="E34" s="82"/>
      <c r="F34" s="82"/>
      <c r="G34" s="82"/>
      <c r="H34" s="82"/>
      <c r="I34" s="82"/>
      <c r="J34" s="82"/>
      <c r="K34" s="82"/>
      <c r="L34" s="82"/>
      <c r="M34" s="82"/>
      <c r="N34" s="82"/>
      <c r="O34" s="82"/>
      <c r="P34" s="82"/>
      <c r="Q34" s="82"/>
      <c r="R34" s="82"/>
      <c r="S34" s="84">
        <v>35</v>
      </c>
      <c r="X34" s="100" t="s">
        <v>6078</v>
      </c>
      <c r="AF34" t="s">
        <v>6079</v>
      </c>
      <c r="AG34" t="s">
        <v>6080</v>
      </c>
    </row>
    <row r="35" spans="1:33" ht="12" customHeight="1">
      <c r="A35" s="326" t="s">
        <v>6081</v>
      </c>
      <c r="B35" s="327"/>
      <c r="C35" s="326"/>
      <c r="D35" s="82"/>
      <c r="E35" s="82"/>
      <c r="F35" s="82"/>
      <c r="G35" s="82"/>
      <c r="H35" s="82"/>
      <c r="I35" s="82"/>
      <c r="J35" s="82"/>
      <c r="K35" s="82"/>
      <c r="L35" s="82"/>
      <c r="M35" s="82"/>
      <c r="N35" s="82"/>
      <c r="O35" s="82"/>
      <c r="P35" s="82"/>
      <c r="Q35" s="82"/>
      <c r="R35" s="82"/>
      <c r="S35" s="84">
        <v>36</v>
      </c>
      <c r="X35" s="100" t="s">
        <v>6082</v>
      </c>
      <c r="AF35" t="s">
        <v>6083</v>
      </c>
      <c r="AG35" t="s">
        <v>6084</v>
      </c>
    </row>
    <row r="36" spans="1:33" ht="12" customHeight="1">
      <c r="A36" s="27" t="s">
        <v>6085</v>
      </c>
      <c r="B36" s="26" t="s">
        <v>6086</v>
      </c>
      <c r="C36" s="27" t="s">
        <v>6085</v>
      </c>
      <c r="D36" s="82"/>
      <c r="E36" s="82"/>
      <c r="F36" s="82"/>
      <c r="G36" s="82"/>
      <c r="H36" s="82"/>
      <c r="I36" s="82"/>
      <c r="J36" s="82"/>
      <c r="K36" s="82"/>
      <c r="L36" s="82"/>
      <c r="M36" s="82"/>
      <c r="N36" s="82"/>
      <c r="O36" s="82"/>
      <c r="P36" s="82"/>
      <c r="Q36" s="82"/>
      <c r="R36" s="82"/>
      <c r="S36" s="84">
        <v>37</v>
      </c>
      <c r="X36" s="100" t="s">
        <v>6087</v>
      </c>
      <c r="AF36" t="s">
        <v>6088</v>
      </c>
      <c r="AG36" t="s">
        <v>6089</v>
      </c>
    </row>
    <row r="37" spans="1:33" ht="12" customHeight="1">
      <c r="A37" s="27" t="s">
        <v>6090</v>
      </c>
      <c r="B37" s="26" t="s">
        <v>6091</v>
      </c>
      <c r="C37" s="27" t="s">
        <v>6090</v>
      </c>
      <c r="D37" s="82"/>
      <c r="E37" s="82"/>
      <c r="F37" s="82"/>
      <c r="G37" s="82"/>
      <c r="H37" s="82"/>
      <c r="I37" s="82"/>
      <c r="J37" s="82"/>
      <c r="K37" s="82"/>
      <c r="L37" s="82"/>
      <c r="M37" s="82"/>
      <c r="N37" s="82"/>
      <c r="O37" s="82"/>
      <c r="P37" s="82"/>
      <c r="Q37" s="82"/>
      <c r="R37" s="82"/>
      <c r="S37" s="84">
        <v>38</v>
      </c>
      <c r="AF37" t="s">
        <v>6092</v>
      </c>
      <c r="AG37" t="s">
        <v>6093</v>
      </c>
    </row>
    <row r="38" spans="1:33" ht="12" customHeight="1">
      <c r="A38" s="27" t="s">
        <v>6094</v>
      </c>
      <c r="B38" s="26" t="s">
        <v>6095</v>
      </c>
      <c r="C38" s="27" t="s">
        <v>6094</v>
      </c>
      <c r="D38" s="82"/>
      <c r="E38" s="82"/>
      <c r="F38" s="82"/>
      <c r="G38" s="82"/>
      <c r="H38" s="82"/>
      <c r="I38" s="82"/>
      <c r="J38" s="82"/>
      <c r="K38" s="83" t="s">
        <v>6096</v>
      </c>
      <c r="L38" s="82"/>
      <c r="M38" s="82"/>
      <c r="N38" s="82"/>
      <c r="O38" s="82"/>
      <c r="P38" s="82"/>
      <c r="Q38" s="82"/>
      <c r="R38" s="82"/>
      <c r="S38" s="84">
        <v>39</v>
      </c>
      <c r="AF38" t="s">
        <v>6097</v>
      </c>
      <c r="AG38" t="s">
        <v>6098</v>
      </c>
    </row>
    <row r="39" spans="1:33" ht="12" customHeight="1">
      <c r="A39" s="27" t="s">
        <v>6099</v>
      </c>
      <c r="B39" s="26" t="s">
        <v>6100</v>
      </c>
      <c r="C39" s="27" t="s">
        <v>6099</v>
      </c>
      <c r="D39" s="82"/>
      <c r="E39" s="82"/>
      <c r="F39" s="82"/>
      <c r="G39" s="82"/>
      <c r="H39" s="82"/>
      <c r="I39" s="82"/>
      <c r="J39" s="82"/>
      <c r="K39" s="376" t="s">
        <v>5588</v>
      </c>
      <c r="L39" s="82"/>
      <c r="M39" s="82"/>
      <c r="N39" s="82"/>
      <c r="O39" s="82"/>
      <c r="P39" s="82"/>
      <c r="Q39" s="82"/>
      <c r="R39" s="82"/>
      <c r="S39" s="84">
        <v>40</v>
      </c>
      <c r="AF39" t="s">
        <v>6101</v>
      </c>
      <c r="AG39" t="s">
        <v>6102</v>
      </c>
    </row>
    <row r="40" spans="1:33" ht="12" customHeight="1">
      <c r="A40" s="27" t="s">
        <v>6103</v>
      </c>
      <c r="B40" s="26" t="s">
        <v>6104</v>
      </c>
      <c r="C40" s="27" t="s">
        <v>6103</v>
      </c>
      <c r="D40" s="82"/>
      <c r="E40" s="82"/>
      <c r="F40" s="82"/>
      <c r="G40" s="82"/>
      <c r="H40" s="82"/>
      <c r="I40" s="82"/>
      <c r="J40" s="82"/>
      <c r="K40" s="376" t="s">
        <v>103</v>
      </c>
      <c r="L40" s="82"/>
      <c r="M40" s="82"/>
      <c r="N40" s="82"/>
      <c r="O40" s="82"/>
      <c r="P40" s="82"/>
      <c r="Q40" s="82"/>
      <c r="R40" s="82"/>
      <c r="S40" s="84">
        <v>41</v>
      </c>
      <c r="AF40" t="s">
        <v>6105</v>
      </c>
      <c r="AG40" t="s">
        <v>6106</v>
      </c>
    </row>
    <row r="41" spans="1:33" ht="12" customHeight="1">
      <c r="A41" s="27" t="s">
        <v>6107</v>
      </c>
      <c r="B41" s="26" t="s">
        <v>6108</v>
      </c>
      <c r="C41" s="27" t="s">
        <v>6107</v>
      </c>
      <c r="D41" s="82"/>
      <c r="E41" s="82"/>
      <c r="F41" s="82"/>
      <c r="G41" s="82"/>
      <c r="H41" s="82"/>
      <c r="I41" s="82"/>
      <c r="J41" s="82"/>
      <c r="K41" s="376" t="s">
        <v>5689</v>
      </c>
      <c r="L41" s="82"/>
      <c r="M41" s="82"/>
      <c r="N41" s="82"/>
      <c r="O41" s="82"/>
      <c r="P41" s="82"/>
      <c r="Q41" s="82"/>
      <c r="R41" s="82"/>
      <c r="S41" s="84">
        <v>42</v>
      </c>
      <c r="AF41" t="s">
        <v>6109</v>
      </c>
      <c r="AG41" t="s">
        <v>6110</v>
      </c>
    </row>
    <row r="42" spans="1:33" ht="27.75" customHeight="1">
      <c r="A42" s="27" t="s">
        <v>6111</v>
      </c>
      <c r="B42" s="26" t="s">
        <v>6112</v>
      </c>
      <c r="C42" s="27" t="s">
        <v>6111</v>
      </c>
      <c r="D42" s="82"/>
      <c r="E42" s="82"/>
      <c r="F42" s="82"/>
      <c r="G42" s="82"/>
      <c r="H42" s="82"/>
      <c r="I42" s="82"/>
      <c r="J42" s="82"/>
      <c r="K42" s="376" t="s">
        <v>5993</v>
      </c>
      <c r="L42" s="82"/>
      <c r="M42" s="82"/>
      <c r="N42" s="82"/>
      <c r="O42" s="82"/>
      <c r="P42" s="82"/>
      <c r="Q42" s="82"/>
      <c r="R42" s="82"/>
      <c r="S42" s="84">
        <v>43</v>
      </c>
      <c r="AF42" t="s">
        <v>6113</v>
      </c>
      <c r="AG42" t="s">
        <v>6114</v>
      </c>
    </row>
    <row r="43" spans="1:33" ht="12" customHeight="1">
      <c r="A43" s="27" t="s">
        <v>6115</v>
      </c>
      <c r="B43" s="26" t="s">
        <v>6116</v>
      </c>
      <c r="C43" s="27" t="s">
        <v>6115</v>
      </c>
      <c r="D43" s="82"/>
      <c r="E43" s="82"/>
      <c r="F43" s="82"/>
      <c r="G43" s="82"/>
      <c r="H43" s="82"/>
      <c r="I43" s="82"/>
      <c r="J43" s="82"/>
      <c r="K43" s="82"/>
      <c r="L43" s="82"/>
      <c r="M43" s="82"/>
      <c r="N43" s="82"/>
      <c r="O43" s="82"/>
      <c r="P43" s="82"/>
      <c r="Q43" s="82"/>
      <c r="R43" s="82"/>
      <c r="S43" s="84">
        <v>44</v>
      </c>
      <c r="AF43" t="s">
        <v>6117</v>
      </c>
      <c r="AG43" t="s">
        <v>6118</v>
      </c>
    </row>
    <row r="44" spans="1:33" ht="12" customHeight="1">
      <c r="A44" s="27" t="s">
        <v>6119</v>
      </c>
      <c r="B44" s="26" t="s">
        <v>6120</v>
      </c>
      <c r="C44" s="27" t="s">
        <v>6119</v>
      </c>
      <c r="D44" s="82"/>
      <c r="E44" s="82"/>
      <c r="F44" s="82"/>
      <c r="G44" s="82"/>
      <c r="H44" s="82"/>
      <c r="I44" s="82"/>
      <c r="J44" s="82"/>
      <c r="K44" s="82"/>
      <c r="L44" s="82"/>
      <c r="M44" s="82"/>
      <c r="N44" s="82"/>
      <c r="O44" s="82"/>
      <c r="P44" s="82"/>
      <c r="Q44" s="82"/>
      <c r="R44" s="82"/>
      <c r="S44" s="84">
        <v>45</v>
      </c>
      <c r="AF44" t="s">
        <v>6121</v>
      </c>
      <c r="AG44" t="s">
        <v>6122</v>
      </c>
    </row>
    <row r="45" spans="1:33" ht="12" customHeight="1">
      <c r="A45" s="27" t="s">
        <v>6123</v>
      </c>
      <c r="B45" s="26" t="s">
        <v>6124</v>
      </c>
      <c r="C45" s="27" t="s">
        <v>6123</v>
      </c>
      <c r="D45" s="82"/>
      <c r="E45" s="82"/>
      <c r="F45" s="82"/>
      <c r="G45" s="82"/>
      <c r="H45" s="82"/>
      <c r="I45" s="82"/>
      <c r="J45" s="82"/>
      <c r="K45" s="83" t="s">
        <v>6125</v>
      </c>
      <c r="L45" s="82"/>
      <c r="M45" s="82"/>
      <c r="N45" s="82"/>
      <c r="O45" s="82"/>
      <c r="P45" s="82"/>
      <c r="Q45" s="82"/>
      <c r="R45" s="82"/>
      <c r="S45" s="84">
        <v>46</v>
      </c>
      <c r="AF45" t="s">
        <v>6126</v>
      </c>
      <c r="AG45" t="s">
        <v>6127</v>
      </c>
    </row>
    <row r="46" spans="1:33" ht="12" customHeight="1">
      <c r="A46" s="27" t="s">
        <v>6128</v>
      </c>
      <c r="B46" s="26" t="s">
        <v>6129</v>
      </c>
      <c r="C46" s="27" t="s">
        <v>6128</v>
      </c>
      <c r="D46" s="82"/>
      <c r="E46" s="82"/>
      <c r="F46" s="82"/>
      <c r="G46" s="82"/>
      <c r="H46" s="82"/>
      <c r="I46" s="82"/>
      <c r="J46" s="82"/>
      <c r="K46" s="86" t="s">
        <v>203</v>
      </c>
      <c r="L46" s="82"/>
      <c r="M46" s="82"/>
      <c r="N46" s="82"/>
      <c r="O46" s="82"/>
      <c r="P46" s="82"/>
      <c r="Q46" s="82"/>
      <c r="R46" s="82"/>
      <c r="S46" s="84">
        <v>47</v>
      </c>
      <c r="AF46" t="s">
        <v>6130</v>
      </c>
      <c r="AG46" t="s">
        <v>6131</v>
      </c>
    </row>
    <row r="47" spans="1:33" ht="12" customHeight="1">
      <c r="A47" s="27" t="s">
        <v>6132</v>
      </c>
      <c r="B47" s="26" t="s">
        <v>6133</v>
      </c>
      <c r="C47" s="27" t="s">
        <v>6132</v>
      </c>
      <c r="D47" s="82"/>
      <c r="E47" s="82"/>
      <c r="F47" s="82"/>
      <c r="G47" s="82"/>
      <c r="H47" s="82"/>
      <c r="I47" s="82"/>
      <c r="J47" s="82"/>
      <c r="K47" s="86" t="s">
        <v>6017</v>
      </c>
      <c r="L47" s="82"/>
      <c r="M47" s="82"/>
      <c r="N47" s="82"/>
      <c r="O47" s="82"/>
      <c r="P47" s="82"/>
      <c r="Q47" s="82"/>
      <c r="R47" s="82"/>
      <c r="S47" s="84">
        <v>48</v>
      </c>
      <c r="AF47" t="s">
        <v>6134</v>
      </c>
      <c r="AG47" t="s">
        <v>6135</v>
      </c>
    </row>
    <row r="48" spans="1:33" ht="12" customHeight="1">
      <c r="A48" s="27" t="s">
        <v>6136</v>
      </c>
      <c r="B48" s="26" t="s">
        <v>6137</v>
      </c>
      <c r="C48" s="27" t="s">
        <v>6136</v>
      </c>
      <c r="D48" s="82"/>
      <c r="E48" s="82"/>
      <c r="F48" s="82"/>
      <c r="G48" s="82"/>
      <c r="H48" s="82"/>
      <c r="I48" s="82"/>
      <c r="J48" s="82"/>
      <c r="K48" s="86" t="s">
        <v>6023</v>
      </c>
      <c r="L48" s="82"/>
      <c r="M48" s="82"/>
      <c r="N48" s="82"/>
      <c r="O48" s="82"/>
      <c r="P48" s="82"/>
      <c r="Q48" s="82"/>
      <c r="R48" s="82"/>
      <c r="S48" s="84">
        <v>49</v>
      </c>
      <c r="AF48" t="s">
        <v>6138</v>
      </c>
      <c r="AG48" t="s">
        <v>6139</v>
      </c>
    </row>
    <row r="49" spans="1:33" ht="12" customHeight="1">
      <c r="A49" s="27" t="s">
        <v>6140</v>
      </c>
      <c r="B49" s="26" t="s">
        <v>6141</v>
      </c>
      <c r="C49" s="27" t="s">
        <v>6140</v>
      </c>
      <c r="D49" s="82"/>
      <c r="E49" s="82"/>
      <c r="F49" s="82"/>
      <c r="G49" s="82"/>
      <c r="H49" s="82"/>
      <c r="I49" s="82"/>
      <c r="J49" s="82"/>
      <c r="K49" s="86" t="s">
        <v>6029</v>
      </c>
      <c r="L49" s="82"/>
      <c r="M49" s="82"/>
      <c r="N49" s="82"/>
      <c r="O49" s="82"/>
      <c r="P49" s="82"/>
      <c r="Q49" s="82"/>
      <c r="R49" s="82"/>
      <c r="S49" s="84">
        <v>50</v>
      </c>
      <c r="AF49" t="s">
        <v>6142</v>
      </c>
      <c r="AG49" t="s">
        <v>6143</v>
      </c>
    </row>
    <row r="50" spans="1:33" ht="12" customHeight="1">
      <c r="A50" s="27" t="s">
        <v>6144</v>
      </c>
      <c r="B50" s="26" t="s">
        <v>6145</v>
      </c>
      <c r="C50" s="27" t="s">
        <v>6144</v>
      </c>
      <c r="D50" s="82"/>
      <c r="E50" s="82"/>
      <c r="F50" s="82"/>
      <c r="G50" s="82"/>
      <c r="H50" s="82"/>
      <c r="I50" s="82"/>
      <c r="J50" s="82"/>
      <c r="K50" s="86" t="s">
        <v>209</v>
      </c>
      <c r="L50" s="82"/>
      <c r="M50" s="82"/>
      <c r="N50" s="82"/>
      <c r="O50" s="82"/>
      <c r="P50" s="82"/>
      <c r="Q50" s="82"/>
      <c r="R50" s="82"/>
      <c r="AF50" t="s">
        <v>6146</v>
      </c>
      <c r="AG50" t="s">
        <v>6147</v>
      </c>
    </row>
    <row r="51" spans="1:33" ht="12" customHeight="1">
      <c r="A51" s="27" t="s">
        <v>6148</v>
      </c>
      <c r="B51" s="26" t="s">
        <v>6149</v>
      </c>
      <c r="C51" s="27" t="s">
        <v>6148</v>
      </c>
      <c r="D51" s="82"/>
      <c r="E51" s="82"/>
      <c r="F51" s="82"/>
      <c r="G51" s="82"/>
      <c r="H51" s="82"/>
      <c r="I51" s="82"/>
      <c r="J51" s="82"/>
      <c r="K51" s="86" t="s">
        <v>223</v>
      </c>
      <c r="L51" s="82"/>
      <c r="M51" s="82"/>
      <c r="N51" s="82"/>
      <c r="O51" s="82"/>
      <c r="P51" s="82"/>
      <c r="Q51" s="82"/>
      <c r="R51" s="82"/>
      <c r="AF51" t="s">
        <v>6150</v>
      </c>
      <c r="AG51" t="s">
        <v>6151</v>
      </c>
    </row>
    <row r="52" spans="1:33" ht="12" customHeight="1">
      <c r="A52" s="27" t="s">
        <v>6152</v>
      </c>
      <c r="B52" s="26" t="s">
        <v>6153</v>
      </c>
      <c r="C52" s="27" t="s">
        <v>6152</v>
      </c>
      <c r="D52" s="82"/>
      <c r="E52" s="82"/>
      <c r="F52" s="82"/>
      <c r="G52" s="82"/>
      <c r="H52" s="82"/>
      <c r="I52" s="82"/>
      <c r="J52" s="82"/>
      <c r="K52" s="86" t="s">
        <v>6154</v>
      </c>
      <c r="L52" s="82"/>
      <c r="M52" s="82"/>
      <c r="N52" s="82"/>
      <c r="O52" s="82"/>
      <c r="P52" s="82"/>
      <c r="Q52" s="82"/>
      <c r="R52" s="82"/>
      <c r="AF52" t="s">
        <v>6155</v>
      </c>
      <c r="AG52" t="s">
        <v>6156</v>
      </c>
    </row>
    <row r="53" spans="1:33" ht="12" customHeight="1">
      <c r="A53" s="27" t="s">
        <v>6157</v>
      </c>
      <c r="B53" s="26" t="s">
        <v>6158</v>
      </c>
      <c r="C53" s="27" t="s">
        <v>6157</v>
      </c>
      <c r="D53" s="82"/>
      <c r="E53" s="82"/>
      <c r="F53" s="82"/>
      <c r="G53" s="82"/>
      <c r="H53" s="82"/>
      <c r="I53" s="82"/>
      <c r="J53" s="82"/>
      <c r="K53" s="82"/>
      <c r="L53" s="82"/>
      <c r="M53" s="82"/>
      <c r="N53" s="82"/>
      <c r="O53" s="82"/>
      <c r="P53" s="82"/>
      <c r="Q53" s="82"/>
      <c r="R53" s="82"/>
      <c r="AF53" t="s">
        <v>6159</v>
      </c>
      <c r="AG53" t="s">
        <v>6160</v>
      </c>
    </row>
    <row r="54" spans="1:33" ht="12" customHeight="1">
      <c r="A54" s="27" t="s">
        <v>6161</v>
      </c>
      <c r="B54" s="26" t="s">
        <v>6162</v>
      </c>
      <c r="C54" s="27" t="s">
        <v>6161</v>
      </c>
      <c r="D54" s="82"/>
      <c r="E54" s="82"/>
      <c r="F54" s="82"/>
      <c r="G54" s="82"/>
      <c r="H54" s="82"/>
      <c r="I54" s="82"/>
      <c r="J54" s="82"/>
      <c r="K54" s="82"/>
      <c r="L54" s="82"/>
      <c r="M54" s="82"/>
      <c r="N54" s="82"/>
      <c r="O54" s="82"/>
      <c r="P54" s="82"/>
      <c r="Q54" s="82"/>
      <c r="R54" s="82"/>
      <c r="AF54" t="s">
        <v>6163</v>
      </c>
      <c r="AG54" t="s">
        <v>6164</v>
      </c>
    </row>
    <row r="55" spans="1:33" ht="10.5" customHeight="1">
      <c r="A55" s="27" t="s">
        <v>6165</v>
      </c>
      <c r="B55" s="26" t="s">
        <v>6166</v>
      </c>
      <c r="C55" s="27" t="s">
        <v>6165</v>
      </c>
      <c r="D55" s="82"/>
      <c r="E55" s="82"/>
      <c r="F55" s="82"/>
      <c r="G55" s="82"/>
      <c r="H55" s="82"/>
      <c r="I55" s="82"/>
      <c r="J55" s="82"/>
      <c r="K55" s="82"/>
      <c r="L55" s="82"/>
      <c r="M55" s="82"/>
      <c r="N55" s="82"/>
      <c r="O55" s="82"/>
      <c r="P55" s="82"/>
      <c r="Q55" s="82"/>
      <c r="R55" s="82"/>
      <c r="AF55" t="s">
        <v>6167</v>
      </c>
      <c r="AG55" t="s">
        <v>6168</v>
      </c>
    </row>
    <row r="56" spans="1:33" ht="12" customHeight="1">
      <c r="A56" s="27" t="s">
        <v>6169</v>
      </c>
      <c r="B56" s="26" t="s">
        <v>6170</v>
      </c>
      <c r="C56" s="27" t="s">
        <v>6169</v>
      </c>
      <c r="D56" s="82"/>
      <c r="E56" s="82"/>
      <c r="F56" s="82"/>
      <c r="G56" s="82"/>
      <c r="H56" s="82"/>
      <c r="I56" s="82"/>
      <c r="J56" s="82"/>
      <c r="K56" s="82"/>
      <c r="L56" s="82"/>
      <c r="M56" s="82"/>
      <c r="N56" s="82"/>
      <c r="O56" s="82"/>
      <c r="P56" s="82"/>
      <c r="Q56" s="82"/>
      <c r="R56" s="82"/>
      <c r="AG56" t="s">
        <v>6171</v>
      </c>
    </row>
    <row r="57" spans="1:33" ht="12" customHeight="1">
      <c r="A57" s="27" t="s">
        <v>6172</v>
      </c>
      <c r="B57" s="26" t="s">
        <v>6173</v>
      </c>
      <c r="C57" s="27" t="s">
        <v>6172</v>
      </c>
      <c r="D57" s="82"/>
      <c r="E57" s="82"/>
      <c r="F57" s="82"/>
      <c r="G57" s="82"/>
      <c r="H57" s="82"/>
      <c r="I57" s="82"/>
      <c r="J57" s="82"/>
      <c r="K57" s="82"/>
      <c r="L57" s="82"/>
      <c r="M57" s="82"/>
      <c r="N57" s="82"/>
      <c r="O57" s="82"/>
      <c r="P57" s="82"/>
      <c r="Q57" s="82"/>
      <c r="R57" s="82"/>
      <c r="AG57" t="s">
        <v>6174</v>
      </c>
    </row>
    <row r="58" spans="1:33" ht="12" customHeight="1">
      <c r="A58" s="27" t="s">
        <v>6175</v>
      </c>
      <c r="B58" s="26" t="s">
        <v>6176</v>
      </c>
      <c r="C58" s="27" t="s">
        <v>6175</v>
      </c>
      <c r="D58" s="82"/>
      <c r="E58" s="82"/>
      <c r="F58" s="82"/>
      <c r="G58" s="82"/>
      <c r="H58" s="82"/>
      <c r="I58" s="82"/>
      <c r="J58" s="82"/>
      <c r="K58" s="82"/>
      <c r="L58" s="82"/>
      <c r="M58" s="82"/>
      <c r="N58" s="82"/>
      <c r="O58" s="82"/>
      <c r="P58" s="82"/>
      <c r="Q58" s="82"/>
      <c r="R58" s="82"/>
      <c r="AG58" t="s">
        <v>6177</v>
      </c>
    </row>
    <row r="59" spans="1:33" ht="12" customHeight="1">
      <c r="A59" s="27" t="s">
        <v>6178</v>
      </c>
      <c r="B59" s="26" t="s">
        <v>6179</v>
      </c>
      <c r="C59" s="27" t="s">
        <v>6180</v>
      </c>
      <c r="D59" s="82"/>
      <c r="E59" s="82"/>
      <c r="F59" s="82"/>
      <c r="G59" s="82"/>
      <c r="H59" s="82"/>
      <c r="I59" s="82"/>
      <c r="J59" s="82"/>
      <c r="K59" s="82"/>
      <c r="L59" s="82"/>
      <c r="M59" s="82"/>
      <c r="N59" s="82"/>
      <c r="O59" s="82"/>
      <c r="P59" s="82"/>
      <c r="Q59" s="82"/>
      <c r="R59" s="82"/>
      <c r="AG59" t="s">
        <v>6181</v>
      </c>
    </row>
    <row r="60" spans="1:33" ht="12" customHeight="1">
      <c r="A60" s="27" t="s">
        <v>6182</v>
      </c>
      <c r="B60" s="26" t="s">
        <v>6183</v>
      </c>
      <c r="C60" s="27" t="s">
        <v>6182</v>
      </c>
      <c r="D60" s="82"/>
      <c r="E60" s="82"/>
      <c r="F60" s="82"/>
      <c r="G60" s="82"/>
      <c r="H60" s="82"/>
      <c r="I60" s="82"/>
      <c r="J60" s="82"/>
      <c r="K60" s="82"/>
      <c r="L60" s="82"/>
      <c r="M60" s="82"/>
      <c r="N60" s="82"/>
      <c r="O60" s="82"/>
      <c r="P60" s="82"/>
      <c r="Q60" s="82"/>
      <c r="R60" s="82"/>
      <c r="AG60" t="s">
        <v>6184</v>
      </c>
    </row>
    <row r="61" spans="1:33" ht="12" customHeight="1">
      <c r="A61" s="27" t="s">
        <v>6185</v>
      </c>
      <c r="B61" s="26" t="s">
        <v>6186</v>
      </c>
      <c r="C61" s="27" t="s">
        <v>6185</v>
      </c>
      <c r="D61" s="82"/>
      <c r="E61" s="82"/>
      <c r="F61" s="82"/>
      <c r="G61" s="82"/>
      <c r="H61" s="82"/>
      <c r="I61" s="82"/>
      <c r="J61" s="82"/>
      <c r="K61" s="82"/>
      <c r="L61" s="82"/>
      <c r="M61" s="82"/>
      <c r="N61" s="82"/>
      <c r="O61" s="82"/>
      <c r="P61" s="82"/>
      <c r="Q61" s="82"/>
      <c r="R61" s="82"/>
      <c r="AG61" t="s">
        <v>6187</v>
      </c>
    </row>
    <row r="62" spans="1:33" ht="12" customHeight="1">
      <c r="A62" s="27" t="s">
        <v>6188</v>
      </c>
      <c r="B62" s="26" t="s">
        <v>6189</v>
      </c>
      <c r="C62" s="27" t="s">
        <v>6188</v>
      </c>
      <c r="D62" s="82"/>
      <c r="E62" s="82"/>
      <c r="F62" s="82"/>
      <c r="G62" s="82"/>
      <c r="H62" s="82"/>
      <c r="I62" s="82"/>
      <c r="J62" s="82"/>
      <c r="K62" s="82"/>
      <c r="L62" s="82"/>
      <c r="M62" s="82"/>
      <c r="N62" s="82"/>
      <c r="O62" s="82"/>
      <c r="P62" s="82"/>
      <c r="Q62" s="82"/>
      <c r="R62" s="82"/>
      <c r="AG62" t="s">
        <v>6190</v>
      </c>
    </row>
    <row r="63" spans="1:33" ht="12" customHeight="1">
      <c r="A63" s="27" t="s">
        <v>6191</v>
      </c>
      <c r="B63" s="26" t="s">
        <v>6192</v>
      </c>
      <c r="C63" s="27" t="s">
        <v>6193</v>
      </c>
      <c r="D63" s="82"/>
      <c r="E63" s="82"/>
      <c r="F63" s="82"/>
      <c r="G63" s="82"/>
      <c r="H63" s="82"/>
      <c r="I63" s="82"/>
      <c r="J63" s="82"/>
      <c r="K63" s="82"/>
      <c r="L63" s="82"/>
      <c r="M63" s="82"/>
      <c r="N63" s="82"/>
      <c r="O63" s="82"/>
      <c r="P63" s="82"/>
      <c r="Q63" s="82"/>
      <c r="R63" s="82"/>
      <c r="AG63" t="s">
        <v>6194</v>
      </c>
    </row>
    <row r="64" spans="1:33" ht="12" customHeight="1">
      <c r="A64" s="27" t="s">
        <v>6195</v>
      </c>
      <c r="B64" s="26" t="s">
        <v>6196</v>
      </c>
      <c r="C64" s="27" t="s">
        <v>6195</v>
      </c>
      <c r="D64" s="82"/>
      <c r="E64" s="82"/>
      <c r="F64" s="82"/>
      <c r="G64" s="82"/>
      <c r="H64" s="82"/>
      <c r="I64" s="82"/>
      <c r="J64" s="82"/>
      <c r="K64" s="82"/>
      <c r="L64" s="82"/>
      <c r="M64" s="82"/>
      <c r="N64" s="82"/>
      <c r="O64" s="82"/>
      <c r="P64" s="82"/>
      <c r="Q64" s="82"/>
      <c r="R64" s="82"/>
      <c r="AG64" t="s">
        <v>6197</v>
      </c>
    </row>
    <row r="65" spans="1:33" ht="12" customHeight="1">
      <c r="A65" s="27" t="s">
        <v>6198</v>
      </c>
      <c r="B65" s="26" t="s">
        <v>6199</v>
      </c>
      <c r="C65" s="27" t="s">
        <v>6200</v>
      </c>
      <c r="D65" s="82"/>
      <c r="E65" s="82"/>
      <c r="F65" s="82"/>
      <c r="G65" s="82"/>
      <c r="H65" s="82"/>
      <c r="I65" s="82"/>
      <c r="J65" s="82"/>
      <c r="K65" s="82"/>
      <c r="L65" s="82"/>
      <c r="M65" s="82"/>
      <c r="N65" s="82"/>
      <c r="O65" s="82"/>
      <c r="P65" s="82"/>
      <c r="Q65" s="82"/>
      <c r="R65" s="82"/>
      <c r="AG65" t="s">
        <v>6201</v>
      </c>
    </row>
    <row r="66" spans="1:33" ht="12" customHeight="1">
      <c r="A66" s="27" t="s">
        <v>6202</v>
      </c>
      <c r="B66" s="26" t="s">
        <v>6203</v>
      </c>
      <c r="C66" s="27" t="s">
        <v>6202</v>
      </c>
      <c r="D66" s="82"/>
      <c r="E66" s="82"/>
      <c r="F66" s="82"/>
      <c r="G66" s="82"/>
      <c r="H66" s="82"/>
      <c r="I66" s="82"/>
      <c r="J66" s="82"/>
      <c r="K66" s="82"/>
      <c r="L66" s="82"/>
      <c r="M66" s="82"/>
      <c r="N66" s="82"/>
      <c r="O66" s="82"/>
      <c r="P66" s="82"/>
      <c r="Q66" s="82"/>
      <c r="R66" s="82"/>
      <c r="AG66" t="s">
        <v>6204</v>
      </c>
    </row>
    <row r="67" spans="1:33" ht="12" customHeight="1">
      <c r="A67" s="27" t="s">
        <v>6205</v>
      </c>
      <c r="B67" s="26" t="s">
        <v>6206</v>
      </c>
      <c r="C67" s="27" t="s">
        <v>6205</v>
      </c>
      <c r="D67" s="82"/>
      <c r="E67" s="82"/>
      <c r="F67" s="82"/>
      <c r="G67" s="82"/>
      <c r="H67" s="82"/>
      <c r="I67" s="82"/>
      <c r="J67" s="82"/>
      <c r="K67" s="82"/>
      <c r="L67" s="82"/>
      <c r="M67" s="82"/>
      <c r="N67" s="82"/>
      <c r="O67" s="82"/>
      <c r="P67" s="82"/>
      <c r="Q67" s="82"/>
      <c r="R67" s="82"/>
      <c r="AG67" t="s">
        <v>6207</v>
      </c>
    </row>
    <row r="68" spans="1:33" ht="12" customHeight="1">
      <c r="A68" s="27" t="s">
        <v>6208</v>
      </c>
      <c r="B68" s="26" t="s">
        <v>6209</v>
      </c>
      <c r="C68" s="27" t="s">
        <v>6208</v>
      </c>
      <c r="D68" s="82"/>
      <c r="E68" s="82"/>
      <c r="F68" s="82"/>
      <c r="G68" s="82"/>
      <c r="H68" s="82"/>
      <c r="I68" s="82"/>
      <c r="J68" s="82"/>
      <c r="K68" s="82"/>
      <c r="L68" s="82"/>
      <c r="M68" s="82"/>
      <c r="N68" s="82"/>
      <c r="O68" s="82"/>
      <c r="P68" s="82"/>
      <c r="Q68" s="82"/>
      <c r="R68" s="82"/>
      <c r="AG68" t="s">
        <v>6210</v>
      </c>
    </row>
    <row r="69" spans="1:33" ht="12" customHeight="1">
      <c r="A69" s="27" t="s">
        <v>6211</v>
      </c>
      <c r="B69" s="26" t="s">
        <v>6212</v>
      </c>
      <c r="C69" s="27" t="s">
        <v>6211</v>
      </c>
      <c r="D69" s="82"/>
      <c r="E69" s="82"/>
      <c r="F69" s="82"/>
      <c r="G69" s="82"/>
      <c r="H69" s="82"/>
      <c r="I69" s="82"/>
      <c r="J69" s="82"/>
      <c r="K69" s="82"/>
      <c r="L69" s="82"/>
      <c r="M69" s="82"/>
      <c r="N69" s="82"/>
      <c r="O69" s="82"/>
      <c r="P69" s="82"/>
      <c r="Q69" s="82"/>
      <c r="R69" s="82"/>
      <c r="AG69" t="s">
        <v>6213</v>
      </c>
    </row>
    <row r="70" spans="1:33" ht="12" customHeight="1">
      <c r="A70" s="27" t="s">
        <v>6214</v>
      </c>
      <c r="B70" s="26" t="s">
        <v>6215</v>
      </c>
      <c r="C70" s="27" t="s">
        <v>6214</v>
      </c>
      <c r="D70" s="82"/>
      <c r="E70" s="82"/>
      <c r="F70" s="82"/>
      <c r="G70" s="82"/>
      <c r="H70" s="82"/>
      <c r="I70" s="82"/>
      <c r="J70" s="82"/>
      <c r="K70" s="82"/>
      <c r="L70" s="82"/>
      <c r="M70" s="82"/>
      <c r="N70" s="82"/>
      <c r="O70" s="82"/>
      <c r="P70" s="82"/>
      <c r="Q70" s="82"/>
      <c r="R70" s="82"/>
      <c r="AG70" t="s">
        <v>6216</v>
      </c>
    </row>
    <row r="71" spans="1:33" ht="12" customHeight="1">
      <c r="A71" s="27" t="s">
        <v>6217</v>
      </c>
      <c r="B71" s="26" t="s">
        <v>6218</v>
      </c>
      <c r="C71" s="27" t="s">
        <v>6217</v>
      </c>
      <c r="D71" s="82"/>
      <c r="E71" s="82"/>
      <c r="F71" s="82"/>
      <c r="G71" s="82"/>
      <c r="H71" s="82"/>
      <c r="I71" s="82"/>
      <c r="J71" s="82"/>
      <c r="K71" s="82"/>
      <c r="L71" s="82"/>
      <c r="M71" s="82"/>
      <c r="N71" s="82"/>
      <c r="O71" s="82"/>
      <c r="P71" s="82"/>
      <c r="Q71" s="82"/>
      <c r="R71" s="82"/>
      <c r="AG71" t="s">
        <v>6219</v>
      </c>
    </row>
    <row r="72" spans="1:33" ht="12" customHeight="1">
      <c r="A72" s="27" t="s">
        <v>6220</v>
      </c>
      <c r="B72" s="26" t="s">
        <v>6221</v>
      </c>
      <c r="C72" s="27" t="s">
        <v>6220</v>
      </c>
      <c r="D72" s="82"/>
      <c r="E72" s="82"/>
      <c r="F72" s="82"/>
      <c r="G72" s="82"/>
      <c r="H72" s="82"/>
      <c r="I72" s="82"/>
      <c r="J72" s="82"/>
      <c r="K72" s="82"/>
      <c r="L72" s="82"/>
      <c r="M72" s="82"/>
      <c r="N72" s="82"/>
      <c r="O72" s="82"/>
      <c r="P72" s="82"/>
      <c r="Q72" s="82"/>
      <c r="R72" s="82"/>
      <c r="AG72" t="s">
        <v>6222</v>
      </c>
    </row>
    <row r="73" spans="1:33" ht="12" customHeight="1">
      <c r="A73" s="27" t="s">
        <v>6223</v>
      </c>
      <c r="B73" s="26" t="s">
        <v>6224</v>
      </c>
      <c r="C73" s="27" t="s">
        <v>6223</v>
      </c>
      <c r="D73" s="82"/>
      <c r="E73" s="82"/>
      <c r="F73" s="82"/>
      <c r="G73" s="82"/>
      <c r="H73" s="82"/>
      <c r="I73" s="82"/>
      <c r="J73" s="82"/>
      <c r="K73" s="82"/>
      <c r="L73" s="82"/>
      <c r="M73" s="82"/>
      <c r="N73" s="82"/>
      <c r="O73" s="82"/>
      <c r="P73" s="82"/>
      <c r="Q73" s="82"/>
      <c r="R73" s="82"/>
      <c r="AG73" t="s">
        <v>6225</v>
      </c>
    </row>
    <row r="74" spans="1:33" ht="12" customHeight="1">
      <c r="A74" s="27" t="s">
        <v>6226</v>
      </c>
      <c r="B74" s="26" t="s">
        <v>6227</v>
      </c>
      <c r="C74" s="27" t="s">
        <v>6226</v>
      </c>
      <c r="D74" s="82"/>
      <c r="E74" s="82"/>
      <c r="F74" s="82"/>
      <c r="G74" s="82"/>
      <c r="H74" s="82"/>
      <c r="I74" s="82"/>
      <c r="J74" s="82"/>
      <c r="K74" s="82"/>
      <c r="L74" s="82"/>
      <c r="M74" s="82"/>
      <c r="N74" s="82"/>
      <c r="O74" s="82"/>
      <c r="P74" s="82"/>
      <c r="Q74" s="82"/>
      <c r="R74" s="82"/>
      <c r="AG74" t="s">
        <v>6228</v>
      </c>
    </row>
    <row r="75" spans="1:33" ht="12" customHeight="1">
      <c r="A75" s="27" t="s">
        <v>6229</v>
      </c>
      <c r="B75" s="26" t="s">
        <v>6230</v>
      </c>
      <c r="C75" s="27" t="s">
        <v>6229</v>
      </c>
      <c r="D75" s="82"/>
      <c r="E75" s="82"/>
      <c r="F75" s="82"/>
      <c r="G75" s="82"/>
      <c r="H75" s="82"/>
      <c r="I75" s="82"/>
      <c r="J75" s="82"/>
      <c r="K75" s="82"/>
      <c r="L75" s="82"/>
      <c r="M75" s="82"/>
      <c r="N75" s="82"/>
      <c r="O75" s="82"/>
      <c r="P75" s="82"/>
      <c r="Q75" s="82"/>
      <c r="R75" s="82"/>
      <c r="AG75" t="s">
        <v>6231</v>
      </c>
    </row>
    <row r="76" spans="1:33" ht="12" customHeight="1">
      <c r="A76" s="27" t="s">
        <v>6232</v>
      </c>
      <c r="B76" s="26" t="s">
        <v>6233</v>
      </c>
      <c r="C76" s="27" t="s">
        <v>6232</v>
      </c>
      <c r="D76" s="82"/>
      <c r="E76" s="82"/>
      <c r="F76" s="82"/>
      <c r="G76" s="82"/>
      <c r="H76" s="82"/>
      <c r="I76" s="82"/>
      <c r="J76" s="82"/>
      <c r="K76" s="82"/>
      <c r="L76" s="82"/>
      <c r="M76" s="82"/>
      <c r="N76" s="82"/>
      <c r="O76" s="82"/>
      <c r="P76" s="82"/>
      <c r="Q76" s="82"/>
      <c r="R76" s="82"/>
      <c r="AG76" t="s">
        <v>6234</v>
      </c>
    </row>
    <row r="77" spans="1:33" ht="12" customHeight="1">
      <c r="A77" s="27" t="s">
        <v>6235</v>
      </c>
      <c r="B77" s="26" t="s">
        <v>6236</v>
      </c>
      <c r="C77" s="27" t="s">
        <v>6235</v>
      </c>
      <c r="D77" s="82"/>
      <c r="E77" s="82"/>
      <c r="F77" s="82"/>
      <c r="G77" s="82"/>
      <c r="H77" s="82"/>
      <c r="I77" s="82"/>
      <c r="J77" s="82"/>
      <c r="K77" s="82"/>
      <c r="L77" s="82"/>
      <c r="M77" s="82"/>
      <c r="N77" s="82"/>
      <c r="O77" s="82"/>
      <c r="P77" s="82"/>
      <c r="Q77" s="82"/>
      <c r="R77" s="82"/>
      <c r="AG77" t="s">
        <v>6237</v>
      </c>
    </row>
    <row r="78" spans="1:33" ht="12" customHeight="1">
      <c r="A78" s="27" t="s">
        <v>6238</v>
      </c>
      <c r="B78" s="26" t="s">
        <v>6239</v>
      </c>
      <c r="C78" s="27" t="s">
        <v>6238</v>
      </c>
      <c r="D78" s="82"/>
      <c r="E78" s="82"/>
      <c r="F78" s="82"/>
      <c r="G78" s="82"/>
      <c r="H78" s="82"/>
      <c r="I78" s="82"/>
      <c r="J78" s="82"/>
      <c r="K78" s="82"/>
      <c r="L78" s="82"/>
      <c r="M78" s="82"/>
      <c r="N78" s="82"/>
      <c r="O78" s="82"/>
      <c r="P78" s="82"/>
      <c r="Q78" s="82"/>
      <c r="R78" s="82"/>
      <c r="AG78" t="s">
        <v>6113</v>
      </c>
    </row>
    <row r="79" spans="1:33" ht="12" customHeight="1">
      <c r="A79" s="27" t="s">
        <v>6240</v>
      </c>
      <c r="B79" s="26" t="s">
        <v>6241</v>
      </c>
      <c r="C79" s="27" t="s">
        <v>6240</v>
      </c>
      <c r="D79" s="82"/>
      <c r="E79" s="82"/>
      <c r="F79" s="82"/>
      <c r="G79" s="82"/>
      <c r="H79" s="82"/>
      <c r="I79" s="82"/>
      <c r="J79" s="82"/>
      <c r="K79" s="82"/>
      <c r="L79" s="82"/>
      <c r="M79" s="82"/>
      <c r="N79" s="82"/>
      <c r="O79" s="82"/>
      <c r="P79" s="82"/>
      <c r="Q79" s="82"/>
      <c r="R79" s="82"/>
      <c r="AG79" t="s">
        <v>6117</v>
      </c>
    </row>
    <row r="80" spans="1:33" ht="12" customHeight="1">
      <c r="A80" s="27" t="s">
        <v>6242</v>
      </c>
      <c r="B80" s="26" t="s">
        <v>6243</v>
      </c>
      <c r="C80" s="27" t="s">
        <v>6244</v>
      </c>
      <c r="D80" s="82"/>
      <c r="E80" s="82"/>
      <c r="F80" s="82"/>
      <c r="G80" s="82"/>
      <c r="H80" s="82"/>
      <c r="I80" s="82"/>
      <c r="J80" s="82"/>
      <c r="K80" s="82"/>
      <c r="L80" s="82"/>
      <c r="M80" s="82"/>
      <c r="N80" s="82"/>
      <c r="O80" s="82"/>
      <c r="P80" s="82"/>
      <c r="Q80" s="82"/>
      <c r="R80" s="82"/>
      <c r="AG80" t="s">
        <v>6121</v>
      </c>
    </row>
    <row r="81" spans="1:33" ht="12" customHeight="1">
      <c r="A81" s="27" t="s">
        <v>6245</v>
      </c>
      <c r="B81" s="26" t="s">
        <v>6246</v>
      </c>
      <c r="C81" s="27" t="s">
        <v>6245</v>
      </c>
      <c r="D81" s="82"/>
      <c r="E81" s="82"/>
      <c r="F81" s="82"/>
      <c r="G81" s="82"/>
      <c r="H81" s="82"/>
      <c r="I81" s="82"/>
      <c r="J81" s="82"/>
      <c r="K81" s="82"/>
      <c r="L81" s="82"/>
      <c r="M81" s="82"/>
      <c r="N81" s="82"/>
      <c r="O81" s="82"/>
      <c r="P81" s="82"/>
      <c r="Q81" s="82"/>
      <c r="R81" s="82"/>
      <c r="AG81" t="s">
        <v>6247</v>
      </c>
    </row>
    <row r="82" spans="1:33" ht="12" customHeight="1">
      <c r="A82" s="27" t="s">
        <v>6248</v>
      </c>
      <c r="B82" s="26" t="s">
        <v>6249</v>
      </c>
      <c r="C82" s="27" t="s">
        <v>6248</v>
      </c>
      <c r="D82" s="82"/>
      <c r="E82" s="82"/>
      <c r="F82" s="82"/>
      <c r="G82" s="82"/>
      <c r="H82" s="82"/>
      <c r="I82" s="82"/>
      <c r="J82" s="82"/>
      <c r="K82" s="82"/>
      <c r="L82" s="82"/>
      <c r="M82" s="82"/>
      <c r="N82" s="82"/>
      <c r="O82" s="82"/>
      <c r="P82" s="82"/>
      <c r="Q82" s="82"/>
      <c r="R82" s="82"/>
      <c r="AG82" t="s">
        <v>6250</v>
      </c>
    </row>
    <row r="83" spans="1:33" ht="12" customHeight="1">
      <c r="A83" s="27" t="s">
        <v>6251</v>
      </c>
      <c r="B83" s="26" t="s">
        <v>6252</v>
      </c>
      <c r="C83" s="27" t="s">
        <v>6251</v>
      </c>
      <c r="D83" s="82"/>
      <c r="E83" s="82"/>
      <c r="F83" s="82"/>
      <c r="G83" s="82"/>
      <c r="H83" s="82"/>
      <c r="I83" s="82"/>
      <c r="J83" s="82"/>
      <c r="K83" s="82"/>
      <c r="L83" s="82"/>
      <c r="M83" s="82"/>
      <c r="N83" s="82"/>
      <c r="O83" s="82"/>
      <c r="P83" s="82"/>
      <c r="Q83" s="82"/>
      <c r="R83" s="82"/>
      <c r="AG83" t="s">
        <v>6253</v>
      </c>
    </row>
    <row r="84" spans="1:33" ht="12" customHeight="1">
      <c r="A84" s="326" t="s">
        <v>6254</v>
      </c>
      <c r="B84" s="327"/>
      <c r="C84" s="326"/>
      <c r="D84" s="82"/>
      <c r="E84" s="82"/>
      <c r="F84" s="82"/>
      <c r="G84" s="82"/>
      <c r="H84" s="82"/>
      <c r="I84" s="82"/>
      <c r="J84" s="82"/>
      <c r="K84" s="82"/>
      <c r="L84" s="82"/>
      <c r="M84" s="82"/>
      <c r="N84" s="82"/>
      <c r="O84" s="82"/>
      <c r="P84" s="82"/>
      <c r="Q84" s="82"/>
      <c r="R84" s="82"/>
      <c r="AG84" t="s">
        <v>6255</v>
      </c>
    </row>
    <row r="85" spans="1:33" ht="12" customHeight="1">
      <c r="A85" s="27" t="s">
        <v>6256</v>
      </c>
      <c r="B85" s="26" t="s">
        <v>6257</v>
      </c>
      <c r="C85" s="27" t="s">
        <v>6256</v>
      </c>
      <c r="D85" s="82"/>
      <c r="E85" s="82"/>
      <c r="F85" s="82"/>
      <c r="G85" s="82"/>
      <c r="H85" s="82"/>
      <c r="I85" s="82"/>
      <c r="J85" s="82"/>
      <c r="K85" s="82"/>
      <c r="L85" s="82"/>
      <c r="M85" s="82"/>
      <c r="N85" s="82"/>
      <c r="O85" s="82"/>
      <c r="P85" s="82"/>
      <c r="Q85" s="82"/>
      <c r="R85" s="82"/>
      <c r="AG85" t="s">
        <v>6258</v>
      </c>
    </row>
    <row r="86" spans="1:33" ht="12" customHeight="1">
      <c r="A86" s="27" t="s">
        <v>6259</v>
      </c>
      <c r="B86" s="26" t="s">
        <v>6260</v>
      </c>
      <c r="C86" s="27" t="s">
        <v>6261</v>
      </c>
      <c r="D86" s="82"/>
      <c r="E86" s="82"/>
      <c r="F86" s="82"/>
      <c r="G86" s="82"/>
      <c r="H86" s="82"/>
      <c r="I86" s="82"/>
      <c r="J86" s="82"/>
      <c r="K86" s="82"/>
      <c r="L86" s="82"/>
      <c r="M86" s="82"/>
      <c r="N86" s="82"/>
      <c r="O86" s="82"/>
      <c r="P86" s="82"/>
      <c r="Q86" s="82"/>
      <c r="R86" s="82"/>
      <c r="AG86" t="s">
        <v>6262</v>
      </c>
    </row>
    <row r="87" spans="1:33" ht="12" customHeight="1">
      <c r="A87" s="27" t="s">
        <v>6263</v>
      </c>
      <c r="B87" s="26" t="s">
        <v>6264</v>
      </c>
      <c r="C87" s="27" t="s">
        <v>6265</v>
      </c>
      <c r="D87" s="82"/>
      <c r="E87" s="82"/>
      <c r="F87" s="82"/>
      <c r="G87" s="82"/>
      <c r="H87" s="82"/>
      <c r="I87" s="82"/>
      <c r="J87" s="82"/>
      <c r="K87" s="82"/>
      <c r="L87" s="82"/>
      <c r="M87" s="82"/>
      <c r="N87" s="82"/>
      <c r="O87" s="82"/>
      <c r="P87" s="82"/>
      <c r="Q87" s="82"/>
      <c r="R87" s="82"/>
      <c r="AG87" t="s">
        <v>6266</v>
      </c>
    </row>
    <row r="88" spans="1:33" ht="12" customHeight="1">
      <c r="A88" s="27" t="s">
        <v>6267</v>
      </c>
      <c r="B88" s="26" t="s">
        <v>6268</v>
      </c>
      <c r="C88" s="27" t="s">
        <v>6267</v>
      </c>
      <c r="D88" s="82"/>
      <c r="E88" s="82"/>
      <c r="F88" s="82"/>
      <c r="G88" s="82"/>
      <c r="H88" s="82"/>
      <c r="I88" s="82"/>
      <c r="J88" s="82"/>
      <c r="K88" s="82"/>
      <c r="L88" s="82"/>
      <c r="M88" s="82"/>
      <c r="N88" s="82"/>
      <c r="O88" s="82"/>
      <c r="P88" s="82"/>
      <c r="Q88" s="82"/>
      <c r="R88" s="82"/>
      <c r="AG88" t="s">
        <v>6269</v>
      </c>
    </row>
    <row r="89" spans="1:33" ht="12" customHeight="1">
      <c r="A89" s="27" t="s">
        <v>6270</v>
      </c>
      <c r="B89" s="26" t="s">
        <v>6271</v>
      </c>
      <c r="C89" s="27" t="s">
        <v>6270</v>
      </c>
      <c r="D89" s="82"/>
      <c r="E89" s="82"/>
      <c r="F89" s="82"/>
      <c r="G89" s="82"/>
      <c r="H89" s="82"/>
      <c r="I89" s="82"/>
      <c r="J89" s="82"/>
      <c r="K89" s="82"/>
      <c r="L89" s="82"/>
      <c r="M89" s="82"/>
      <c r="N89" s="82"/>
      <c r="O89" s="82"/>
      <c r="P89" s="82"/>
      <c r="Q89" s="82"/>
      <c r="R89" s="82"/>
      <c r="AG89" t="s">
        <v>6272</v>
      </c>
    </row>
    <row r="90" spans="1:33" ht="12" customHeight="1">
      <c r="A90" s="27" t="s">
        <v>6273</v>
      </c>
      <c r="B90" s="26" t="s">
        <v>6274</v>
      </c>
      <c r="C90" s="27" t="s">
        <v>6273</v>
      </c>
      <c r="D90" s="82"/>
      <c r="E90" s="82"/>
      <c r="F90" s="82"/>
      <c r="G90" s="82"/>
      <c r="H90" s="82"/>
      <c r="I90" s="82"/>
      <c r="J90" s="82"/>
      <c r="K90" s="82"/>
      <c r="L90" s="82"/>
      <c r="M90" s="82"/>
      <c r="N90" s="82"/>
      <c r="O90" s="82"/>
      <c r="P90" s="82"/>
      <c r="Q90" s="82"/>
      <c r="R90" s="82"/>
      <c r="AG90" t="s">
        <v>6275</v>
      </c>
    </row>
    <row r="91" spans="1:33" ht="12" customHeight="1">
      <c r="A91" s="71"/>
      <c r="B91" s="71"/>
      <c r="C91" s="328"/>
      <c r="D91" s="82"/>
      <c r="E91" s="82"/>
      <c r="F91" s="82"/>
      <c r="G91" s="82"/>
      <c r="H91" s="82"/>
      <c r="I91" s="82"/>
      <c r="J91" s="82"/>
      <c r="K91" s="82"/>
      <c r="L91" s="82"/>
      <c r="M91" s="82"/>
      <c r="N91" s="82"/>
      <c r="O91" s="82"/>
      <c r="P91" s="82"/>
      <c r="Q91" s="82"/>
      <c r="R91" s="82"/>
      <c r="AG91" t="s">
        <v>6276</v>
      </c>
    </row>
    <row r="92" spans="1:33" ht="12" customHeight="1">
      <c r="A92" s="82"/>
      <c r="B92" s="82"/>
      <c r="C92" s="82"/>
      <c r="D92" s="82"/>
      <c r="E92" s="82"/>
      <c r="F92" s="82"/>
      <c r="G92" s="82"/>
      <c r="H92" s="82"/>
      <c r="I92" s="82"/>
      <c r="J92" s="82"/>
      <c r="K92" s="82"/>
      <c r="L92" s="82"/>
      <c r="M92" s="82"/>
      <c r="N92" s="82"/>
      <c r="O92" s="82"/>
      <c r="P92" s="82"/>
      <c r="Q92" s="82"/>
      <c r="R92" s="82"/>
      <c r="AG92" t="s">
        <v>6277</v>
      </c>
    </row>
    <row r="93" spans="1:33" ht="12" customHeight="1">
      <c r="A93" s="82"/>
      <c r="B93" s="82"/>
      <c r="C93" s="82"/>
      <c r="D93" s="82"/>
      <c r="E93" s="82"/>
      <c r="F93" s="82"/>
      <c r="G93" s="82"/>
      <c r="H93" s="82"/>
      <c r="I93" s="82"/>
      <c r="J93" s="82"/>
      <c r="K93" s="82"/>
      <c r="L93" s="82"/>
      <c r="M93" s="82"/>
      <c r="N93" s="82"/>
      <c r="O93" s="82"/>
      <c r="P93" s="82"/>
      <c r="Q93" s="82"/>
      <c r="R93" s="82"/>
      <c r="AG93" t="s">
        <v>6278</v>
      </c>
    </row>
    <row r="94" spans="1:33" ht="12" customHeight="1">
      <c r="A94" s="71" t="s">
        <v>5832</v>
      </c>
      <c r="B94" s="329" t="s">
        <v>6279</v>
      </c>
      <c r="C94" s="71"/>
      <c r="D94" s="82"/>
      <c r="E94" s="82"/>
      <c r="F94" s="82"/>
      <c r="G94" s="82"/>
      <c r="H94" s="82"/>
      <c r="I94" s="82"/>
      <c r="J94" s="82"/>
      <c r="K94" s="82"/>
      <c r="L94" s="82"/>
      <c r="M94" s="82"/>
      <c r="N94" s="82"/>
      <c r="O94" s="82"/>
      <c r="P94" s="82"/>
      <c r="Q94" s="82"/>
      <c r="R94" s="82"/>
      <c r="AG94" t="s">
        <v>6280</v>
      </c>
    </row>
    <row r="95" spans="1:33" ht="12" customHeight="1">
      <c r="A95" s="71" t="s">
        <v>5855</v>
      </c>
      <c r="B95" s="329" t="s">
        <v>6281</v>
      </c>
      <c r="C95" s="71"/>
      <c r="D95" s="82"/>
      <c r="E95" s="82"/>
      <c r="F95" s="82"/>
      <c r="G95" s="82"/>
      <c r="H95" s="82"/>
      <c r="I95" s="82"/>
      <c r="J95" s="82"/>
      <c r="K95" s="82"/>
      <c r="L95" s="82"/>
      <c r="M95" s="82"/>
      <c r="N95" s="82"/>
      <c r="O95" s="82"/>
      <c r="P95" s="82"/>
      <c r="Q95" s="82"/>
      <c r="R95" s="82"/>
      <c r="AG95" t="s">
        <v>6282</v>
      </c>
    </row>
    <row r="96" spans="1:33" ht="12" customHeight="1">
      <c r="A96" s="71" t="s">
        <v>5868</v>
      </c>
      <c r="B96" s="329" t="s">
        <v>6283</v>
      </c>
      <c r="C96" s="71"/>
      <c r="D96" s="82"/>
      <c r="E96" s="82"/>
      <c r="F96" s="82"/>
      <c r="G96" s="82"/>
      <c r="H96" s="82"/>
      <c r="I96" s="82"/>
      <c r="J96" s="82"/>
      <c r="K96" s="82"/>
      <c r="L96" s="82"/>
      <c r="M96" s="82"/>
      <c r="N96" s="82"/>
      <c r="O96" s="82"/>
      <c r="P96" s="82"/>
      <c r="Q96" s="82"/>
      <c r="R96" s="82"/>
      <c r="AG96" t="s">
        <v>6284</v>
      </c>
    </row>
    <row r="97" spans="1:33" ht="12" customHeight="1">
      <c r="A97" s="71" t="s">
        <v>5879</v>
      </c>
      <c r="B97" s="329" t="s">
        <v>6285</v>
      </c>
      <c r="C97" s="71"/>
      <c r="D97" s="82"/>
      <c r="E97" s="82"/>
      <c r="F97" s="82"/>
      <c r="G97" s="82"/>
      <c r="H97" s="82"/>
      <c r="I97" s="82"/>
      <c r="J97" s="82"/>
      <c r="K97" s="82"/>
      <c r="L97" s="82"/>
      <c r="M97" s="82"/>
      <c r="N97" s="82"/>
      <c r="O97" s="82"/>
      <c r="P97" s="82"/>
      <c r="Q97" s="82"/>
      <c r="R97" s="82"/>
      <c r="AG97" t="s">
        <v>6286</v>
      </c>
    </row>
    <row r="98" spans="1:33" ht="12" customHeight="1">
      <c r="A98" s="71" t="s">
        <v>5889</v>
      </c>
      <c r="B98" s="329" t="s">
        <v>6287</v>
      </c>
      <c r="C98" s="71"/>
      <c r="D98" s="82"/>
      <c r="E98" s="82"/>
      <c r="F98" s="82"/>
      <c r="G98" s="82"/>
      <c r="H98" s="82"/>
      <c r="I98" s="82"/>
      <c r="J98" s="82"/>
      <c r="K98" s="82"/>
      <c r="L98" s="82"/>
      <c r="M98" s="82"/>
      <c r="N98" s="82"/>
      <c r="O98" s="82"/>
      <c r="P98" s="82"/>
      <c r="Q98" s="82"/>
      <c r="R98" s="82"/>
      <c r="AG98" t="s">
        <v>6288</v>
      </c>
    </row>
    <row r="99" spans="1:33" ht="12" customHeight="1">
      <c r="A99" s="71" t="s">
        <v>5902</v>
      </c>
      <c r="B99" s="329" t="s">
        <v>6289</v>
      </c>
      <c r="C99" s="71"/>
      <c r="D99" s="82"/>
      <c r="E99" s="82"/>
      <c r="F99" s="82"/>
      <c r="G99" s="82"/>
      <c r="H99" s="82"/>
      <c r="I99" s="82"/>
      <c r="J99" s="82"/>
      <c r="K99" s="82"/>
      <c r="L99" s="82"/>
      <c r="M99" s="82"/>
      <c r="N99" s="82"/>
      <c r="O99" s="82"/>
      <c r="P99" s="82"/>
      <c r="Q99" s="82"/>
      <c r="R99" s="82"/>
      <c r="AG99" t="s">
        <v>6290</v>
      </c>
    </row>
    <row r="100" spans="1:33" ht="12" customHeight="1">
      <c r="A100" s="71" t="s">
        <v>5911</v>
      </c>
      <c r="B100" s="329" t="s">
        <v>6291</v>
      </c>
      <c r="C100" s="71"/>
      <c r="D100" s="82"/>
      <c r="E100" s="82"/>
      <c r="F100" s="82"/>
      <c r="G100" s="82"/>
      <c r="H100" s="82"/>
      <c r="I100" s="82"/>
      <c r="J100" s="82"/>
      <c r="K100" s="82"/>
      <c r="L100" s="82"/>
      <c r="M100" s="82"/>
      <c r="N100" s="82"/>
      <c r="O100" s="88"/>
      <c r="P100" s="82"/>
      <c r="Q100" s="82"/>
      <c r="R100" s="82"/>
      <c r="AG100" t="s">
        <v>6292</v>
      </c>
    </row>
    <row r="101" spans="1:33" ht="12" customHeight="1">
      <c r="A101" s="71" t="s">
        <v>5921</v>
      </c>
      <c r="B101" s="329" t="s">
        <v>6293</v>
      </c>
      <c r="C101" s="71"/>
      <c r="D101" s="82"/>
      <c r="E101" s="82"/>
      <c r="F101" s="82"/>
      <c r="G101" s="82"/>
      <c r="H101" s="82"/>
      <c r="I101" s="82"/>
      <c r="J101" s="82"/>
      <c r="K101" s="82"/>
      <c r="L101" s="82"/>
      <c r="M101" s="82"/>
      <c r="N101" s="82"/>
      <c r="O101" s="88"/>
      <c r="P101" s="82"/>
      <c r="Q101" s="82"/>
      <c r="R101" s="82"/>
      <c r="AG101" t="s">
        <v>6294</v>
      </c>
    </row>
    <row r="102" spans="1:33" ht="12" customHeight="1">
      <c r="A102" s="71" t="s">
        <v>5931</v>
      </c>
      <c r="B102" s="329" t="s">
        <v>6295</v>
      </c>
      <c r="C102" s="71"/>
      <c r="D102" s="82"/>
      <c r="E102" s="82"/>
      <c r="F102" s="82"/>
      <c r="G102" s="82"/>
      <c r="H102" s="82"/>
      <c r="I102" s="82"/>
      <c r="J102" s="82"/>
      <c r="K102" s="82"/>
      <c r="L102" s="82"/>
      <c r="M102" s="82"/>
      <c r="N102" s="82"/>
      <c r="O102" s="88"/>
      <c r="P102" s="82"/>
      <c r="Q102" s="82"/>
      <c r="R102" s="82"/>
      <c r="AG102" t="s">
        <v>6296</v>
      </c>
    </row>
    <row r="103" spans="1:33" ht="12" customHeight="1">
      <c r="A103" s="71" t="s">
        <v>5940</v>
      </c>
      <c r="B103" s="329" t="s">
        <v>6297</v>
      </c>
      <c r="C103" s="71"/>
      <c r="D103" s="82"/>
      <c r="E103" s="82"/>
      <c r="F103" s="82"/>
      <c r="G103" s="82"/>
      <c r="H103" s="82"/>
      <c r="I103" s="82"/>
      <c r="J103" s="82"/>
      <c r="K103" s="82"/>
      <c r="L103" s="82"/>
      <c r="M103" s="82"/>
      <c r="N103" s="82"/>
      <c r="O103" s="88"/>
      <c r="P103" s="82"/>
      <c r="Q103" s="82"/>
      <c r="R103" s="82"/>
      <c r="AG103" t="s">
        <v>6298</v>
      </c>
    </row>
    <row r="104" spans="1:33" ht="12" customHeight="1">
      <c r="A104" s="71" t="s">
        <v>5949</v>
      </c>
      <c r="B104" s="329" t="s">
        <v>6299</v>
      </c>
      <c r="C104" s="71"/>
      <c r="D104" s="82"/>
      <c r="E104" s="82"/>
      <c r="F104" s="82"/>
      <c r="G104" s="82"/>
      <c r="H104" s="82"/>
      <c r="I104" s="82"/>
      <c r="J104" s="82"/>
      <c r="K104" s="82"/>
      <c r="L104" s="82"/>
      <c r="M104" s="82"/>
      <c r="N104" s="82"/>
      <c r="O104" s="88"/>
      <c r="P104" s="82"/>
      <c r="Q104" s="82"/>
      <c r="R104" s="82"/>
      <c r="AG104" t="s">
        <v>6300</v>
      </c>
    </row>
    <row r="105" spans="1:33" ht="12" customHeight="1">
      <c r="A105" s="71" t="s">
        <v>6301</v>
      </c>
      <c r="B105" s="329" t="s">
        <v>6302</v>
      </c>
      <c r="C105" s="71"/>
      <c r="D105" s="82"/>
      <c r="E105" s="82"/>
      <c r="F105" s="82"/>
      <c r="G105" s="82"/>
      <c r="H105" s="82"/>
      <c r="I105" s="82"/>
      <c r="J105" s="82"/>
      <c r="K105" s="82"/>
      <c r="L105" s="82"/>
      <c r="M105" s="82"/>
      <c r="N105" s="82"/>
      <c r="O105" s="88"/>
      <c r="P105" s="82"/>
      <c r="Q105" s="82"/>
      <c r="R105" s="82"/>
      <c r="AG105" t="s">
        <v>6303</v>
      </c>
    </row>
    <row r="106" spans="1:33" ht="12" customHeight="1">
      <c r="A106" s="71" t="s">
        <v>6304</v>
      </c>
      <c r="B106" s="329" t="s">
        <v>6305</v>
      </c>
      <c r="C106" s="71"/>
      <c r="D106" s="82"/>
      <c r="E106" s="82"/>
      <c r="F106" s="82"/>
      <c r="G106" s="82"/>
      <c r="H106" s="82"/>
      <c r="I106" s="82"/>
      <c r="J106" s="82"/>
      <c r="K106" s="82"/>
      <c r="L106" s="82"/>
      <c r="M106" s="82"/>
      <c r="N106" s="82"/>
      <c r="O106" s="88"/>
      <c r="P106" s="82"/>
      <c r="Q106" s="82"/>
      <c r="R106" s="82"/>
      <c r="AG106" t="s">
        <v>6306</v>
      </c>
    </row>
    <row r="107" spans="1:33" ht="12" customHeight="1">
      <c r="A107" s="71" t="s">
        <v>6307</v>
      </c>
      <c r="B107" s="329" t="s">
        <v>6308</v>
      </c>
      <c r="C107" s="71"/>
      <c r="D107" s="82"/>
      <c r="E107" s="82"/>
      <c r="F107" s="82"/>
      <c r="G107" s="82"/>
      <c r="H107" s="82"/>
      <c r="I107" s="82"/>
      <c r="J107" s="82"/>
      <c r="K107" s="82"/>
      <c r="L107" s="82"/>
      <c r="M107" s="82"/>
      <c r="N107" s="82"/>
      <c r="O107" s="88"/>
      <c r="P107" s="82"/>
      <c r="Q107" s="82"/>
      <c r="R107" s="82"/>
      <c r="AG107" t="s">
        <v>6309</v>
      </c>
    </row>
    <row r="108" spans="1:33" ht="12" customHeight="1">
      <c r="A108" s="71" t="s">
        <v>5982</v>
      </c>
      <c r="B108" s="329" t="s">
        <v>6310</v>
      </c>
      <c r="C108" s="71"/>
      <c r="D108" s="82"/>
      <c r="E108" s="82"/>
      <c r="F108" s="82"/>
      <c r="G108" s="82"/>
      <c r="H108" s="82"/>
      <c r="I108" s="82"/>
      <c r="J108" s="82"/>
      <c r="K108" s="82"/>
      <c r="L108" s="82"/>
      <c r="M108" s="88"/>
      <c r="N108" s="82"/>
      <c r="O108" s="88"/>
      <c r="P108" s="82"/>
      <c r="Q108" s="82"/>
      <c r="R108" s="82"/>
      <c r="AG108" t="s">
        <v>6311</v>
      </c>
    </row>
    <row r="109" spans="1:33" ht="12" customHeight="1">
      <c r="A109" s="71" t="s">
        <v>5986</v>
      </c>
      <c r="B109" s="329" t="s">
        <v>6312</v>
      </c>
      <c r="C109" s="71"/>
      <c r="D109" s="82"/>
      <c r="E109" s="82"/>
      <c r="F109" s="82"/>
      <c r="G109" s="82"/>
      <c r="H109" s="82"/>
      <c r="I109" s="82"/>
      <c r="J109" s="82"/>
      <c r="K109" s="82"/>
      <c r="L109" s="82"/>
      <c r="M109" s="88"/>
      <c r="N109" s="82"/>
      <c r="O109" s="88"/>
      <c r="P109" s="82"/>
      <c r="Q109" s="82"/>
      <c r="R109" s="82"/>
      <c r="AG109" t="s">
        <v>6313</v>
      </c>
    </row>
    <row r="110" spans="1:33" ht="12" customHeight="1">
      <c r="A110" s="71" t="s">
        <v>5991</v>
      </c>
      <c r="B110" s="329" t="s">
        <v>6314</v>
      </c>
      <c r="C110" s="71"/>
      <c r="D110" s="82"/>
      <c r="E110" s="82"/>
      <c r="F110" s="82"/>
      <c r="G110" s="82"/>
      <c r="H110" s="82"/>
      <c r="I110" s="82"/>
      <c r="J110" s="82"/>
      <c r="K110" s="82"/>
      <c r="L110" s="82"/>
      <c r="M110" s="88"/>
      <c r="N110" s="82"/>
      <c r="O110" s="88"/>
      <c r="P110" s="82"/>
      <c r="Q110" s="82"/>
      <c r="R110" s="82"/>
      <c r="AG110" t="s">
        <v>6315</v>
      </c>
    </row>
    <row r="111" spans="1:33" ht="12" customHeight="1">
      <c r="A111" s="71" t="s">
        <v>5996</v>
      </c>
      <c r="B111" s="329" t="s">
        <v>6316</v>
      </c>
      <c r="C111" s="71"/>
      <c r="D111" s="82"/>
      <c r="E111" s="82"/>
      <c r="F111" s="82"/>
      <c r="G111" s="82"/>
      <c r="H111" s="82"/>
      <c r="I111" s="82"/>
      <c r="J111" s="82"/>
      <c r="K111" s="82"/>
      <c r="L111" s="82"/>
      <c r="M111" s="88"/>
      <c r="N111" s="82"/>
      <c r="O111" s="88"/>
      <c r="P111" s="82"/>
      <c r="Q111" s="82"/>
      <c r="R111" s="82"/>
      <c r="AG111" t="s">
        <v>6317</v>
      </c>
    </row>
    <row r="112" spans="1:33" ht="12" customHeight="1">
      <c r="A112" s="71" t="s">
        <v>6002</v>
      </c>
      <c r="B112" s="329" t="s">
        <v>6318</v>
      </c>
      <c r="C112" s="71"/>
      <c r="D112" s="82"/>
      <c r="E112" s="82"/>
      <c r="F112" s="82"/>
      <c r="G112" s="82"/>
      <c r="H112" s="82"/>
      <c r="I112" s="82"/>
      <c r="J112" s="82"/>
      <c r="K112" s="82"/>
      <c r="L112" s="82"/>
      <c r="M112" s="88"/>
      <c r="N112" s="82"/>
      <c r="O112" s="88"/>
      <c r="P112" s="82"/>
      <c r="Q112" s="82"/>
      <c r="R112" s="82"/>
      <c r="AG112" t="s">
        <v>6319</v>
      </c>
    </row>
    <row r="113" spans="1:33" ht="12" customHeight="1">
      <c r="A113" s="71" t="s">
        <v>6007</v>
      </c>
      <c r="B113" s="329" t="s">
        <v>6320</v>
      </c>
      <c r="C113" s="71"/>
      <c r="D113" s="82"/>
      <c r="E113" s="82"/>
      <c r="F113" s="82"/>
      <c r="G113" s="82"/>
      <c r="H113" s="82"/>
      <c r="I113" s="82"/>
      <c r="J113" s="82"/>
      <c r="K113" s="82"/>
      <c r="L113" s="82"/>
      <c r="M113" s="88"/>
      <c r="N113" s="82"/>
      <c r="O113" s="88"/>
      <c r="P113" s="82"/>
      <c r="Q113" s="82"/>
      <c r="R113" s="82"/>
      <c r="AG113" t="s">
        <v>6321</v>
      </c>
    </row>
    <row r="114" spans="1:33" ht="12" customHeight="1">
      <c r="A114" s="71" t="s">
        <v>6013</v>
      </c>
      <c r="B114" s="329" t="s">
        <v>6322</v>
      </c>
      <c r="C114" s="71"/>
      <c r="D114" s="82"/>
      <c r="E114" s="82"/>
      <c r="F114" s="82"/>
      <c r="G114" s="82"/>
      <c r="H114" s="82"/>
      <c r="I114" s="82"/>
      <c r="J114" s="82"/>
      <c r="K114" s="82"/>
      <c r="L114" s="82"/>
      <c r="M114" s="88"/>
      <c r="N114" s="82"/>
      <c r="O114" s="88"/>
      <c r="P114" s="82"/>
      <c r="Q114" s="82"/>
      <c r="R114" s="82"/>
      <c r="AG114" t="s">
        <v>6323</v>
      </c>
    </row>
    <row r="115" spans="1:33" ht="12" customHeight="1">
      <c r="A115" s="71" t="s">
        <v>6020</v>
      </c>
      <c r="B115" s="329" t="s">
        <v>6324</v>
      </c>
      <c r="C115" s="71"/>
      <c r="D115" s="82"/>
      <c r="E115" s="82"/>
      <c r="F115" s="82"/>
      <c r="G115" s="82"/>
      <c r="H115" s="82"/>
      <c r="I115" s="82"/>
      <c r="J115" s="82"/>
      <c r="K115" s="82"/>
      <c r="L115" s="82"/>
      <c r="M115" s="88"/>
      <c r="N115" s="82"/>
      <c r="O115" s="88"/>
      <c r="P115" s="82"/>
      <c r="Q115" s="82"/>
      <c r="R115" s="82"/>
      <c r="AG115" t="s">
        <v>6325</v>
      </c>
    </row>
    <row r="116" spans="1:33" ht="12" customHeight="1">
      <c r="A116" s="71" t="s">
        <v>6026</v>
      </c>
      <c r="B116" s="329" t="s">
        <v>6326</v>
      </c>
      <c r="C116" s="71"/>
      <c r="D116" s="82"/>
      <c r="E116" s="82"/>
      <c r="F116" s="82"/>
      <c r="G116" s="82"/>
      <c r="H116" s="82"/>
      <c r="I116" s="82"/>
      <c r="J116" s="82"/>
      <c r="K116" s="82"/>
      <c r="L116" s="82"/>
      <c r="M116" s="88"/>
      <c r="N116" s="82"/>
      <c r="O116" s="88"/>
      <c r="P116" s="82"/>
      <c r="Q116" s="82"/>
      <c r="R116" s="82"/>
      <c r="AG116" t="s">
        <v>6327</v>
      </c>
    </row>
    <row r="117" spans="1:33" ht="12" customHeight="1">
      <c r="A117" s="71" t="s">
        <v>6031</v>
      </c>
      <c r="B117" s="329" t="s">
        <v>6328</v>
      </c>
      <c r="C117" s="71"/>
      <c r="D117" s="82"/>
      <c r="E117" s="82"/>
      <c r="F117" s="82"/>
      <c r="G117" s="82"/>
      <c r="H117" s="82"/>
      <c r="I117" s="82"/>
      <c r="J117" s="82"/>
      <c r="K117" s="82"/>
      <c r="L117" s="82"/>
      <c r="M117" s="88"/>
      <c r="N117" s="82"/>
      <c r="O117" s="88"/>
      <c r="P117" s="82"/>
      <c r="Q117" s="82"/>
      <c r="R117" s="82"/>
      <c r="AG117" t="s">
        <v>6329</v>
      </c>
    </row>
    <row r="118" spans="1:33" ht="12" customHeight="1">
      <c r="A118" s="71" t="s">
        <v>6035</v>
      </c>
      <c r="B118" s="329" t="s">
        <v>6330</v>
      </c>
      <c r="C118" s="71"/>
      <c r="D118" s="82"/>
      <c r="E118" s="82"/>
      <c r="F118" s="82"/>
      <c r="G118" s="82"/>
      <c r="H118" s="82"/>
      <c r="I118" s="82"/>
      <c r="J118" s="82"/>
      <c r="K118" s="82"/>
      <c r="L118" s="82"/>
      <c r="M118" s="88"/>
      <c r="N118" s="82"/>
      <c r="O118" s="88"/>
      <c r="P118" s="82"/>
      <c r="Q118" s="82"/>
      <c r="R118" s="82"/>
      <c r="AG118" t="s">
        <v>6331</v>
      </c>
    </row>
    <row r="119" spans="1:33" ht="12" customHeight="1">
      <c r="A119" s="71" t="s">
        <v>101</v>
      </c>
      <c r="B119" s="329" t="s">
        <v>109</v>
      </c>
      <c r="C119" s="71"/>
      <c r="D119" s="82"/>
      <c r="E119" s="82"/>
      <c r="F119" s="82"/>
      <c r="G119" s="82"/>
      <c r="H119" s="82"/>
      <c r="I119" s="82"/>
      <c r="J119" s="82"/>
      <c r="K119" s="82"/>
      <c r="L119" s="82"/>
      <c r="M119" s="88"/>
      <c r="N119" s="82"/>
      <c r="O119" s="88"/>
      <c r="P119" s="82"/>
      <c r="Q119" s="82"/>
      <c r="R119" s="82"/>
      <c r="AG119" t="s">
        <v>6332</v>
      </c>
    </row>
    <row r="120" spans="1:33" ht="12" customHeight="1">
      <c r="A120" s="71" t="s">
        <v>6043</v>
      </c>
      <c r="B120" s="329" t="s">
        <v>6333</v>
      </c>
      <c r="C120" s="71"/>
      <c r="D120" s="82"/>
      <c r="E120" s="82"/>
      <c r="F120" s="82"/>
      <c r="G120" s="82"/>
      <c r="H120" s="82"/>
      <c r="I120" s="82"/>
      <c r="J120" s="82"/>
      <c r="K120" s="82"/>
      <c r="L120" s="82"/>
      <c r="M120" s="88"/>
      <c r="N120" s="82"/>
      <c r="O120" s="88"/>
      <c r="P120" s="82"/>
      <c r="Q120" s="82"/>
      <c r="R120" s="82"/>
      <c r="AG120" t="s">
        <v>6334</v>
      </c>
    </row>
    <row r="121" spans="1:33" ht="12" customHeight="1">
      <c r="A121" s="71" t="s">
        <v>6048</v>
      </c>
      <c r="B121" s="329" t="s">
        <v>6335</v>
      </c>
      <c r="C121" s="71"/>
      <c r="D121" s="82"/>
      <c r="E121" s="82"/>
      <c r="F121" s="82"/>
      <c r="G121" s="82"/>
      <c r="H121" s="82"/>
      <c r="I121" s="82"/>
      <c r="J121" s="82"/>
      <c r="K121" s="82"/>
      <c r="L121" s="82"/>
      <c r="M121" s="88"/>
      <c r="N121" s="82"/>
      <c r="O121" s="88"/>
      <c r="P121" s="82"/>
      <c r="Q121" s="82"/>
      <c r="R121" s="82"/>
      <c r="AG121" t="s">
        <v>6336</v>
      </c>
    </row>
    <row r="122" spans="1:33" ht="12" customHeight="1">
      <c r="A122" s="71" t="s">
        <v>6053</v>
      </c>
      <c r="B122" s="329" t="s">
        <v>6337</v>
      </c>
      <c r="C122" s="71"/>
      <c r="D122" s="82"/>
      <c r="E122" s="82"/>
      <c r="F122" s="82"/>
      <c r="G122" s="82"/>
      <c r="H122" s="82"/>
      <c r="I122" s="82"/>
      <c r="J122" s="82"/>
      <c r="K122" s="82"/>
      <c r="L122" s="82"/>
      <c r="M122" s="88"/>
      <c r="N122" s="82"/>
      <c r="O122" s="88"/>
      <c r="P122" s="82"/>
      <c r="Q122" s="82"/>
      <c r="R122" s="82"/>
      <c r="AG122" t="s">
        <v>6338</v>
      </c>
    </row>
    <row r="123" spans="1:33" ht="12" customHeight="1">
      <c r="A123" s="71" t="s">
        <v>6057</v>
      </c>
      <c r="B123" s="329" t="s">
        <v>6339</v>
      </c>
      <c r="C123" s="71"/>
      <c r="D123" s="82"/>
      <c r="E123" s="82"/>
      <c r="F123" s="82"/>
      <c r="G123" s="82"/>
      <c r="H123" s="82"/>
      <c r="I123" s="82"/>
      <c r="J123" s="82"/>
      <c r="K123" s="82"/>
      <c r="L123" s="82"/>
      <c r="M123" s="88"/>
      <c r="N123" s="82"/>
      <c r="O123" s="88"/>
      <c r="P123" s="82"/>
      <c r="Q123" s="82"/>
      <c r="R123" s="82"/>
      <c r="AG123" t="s">
        <v>6340</v>
      </c>
    </row>
    <row r="124" spans="1:33" ht="12" customHeight="1">
      <c r="A124" s="71" t="s">
        <v>6061</v>
      </c>
      <c r="B124" s="329" t="s">
        <v>6341</v>
      </c>
      <c r="C124" s="71"/>
      <c r="D124" s="82"/>
      <c r="E124" s="82"/>
      <c r="F124" s="82"/>
      <c r="G124" s="82"/>
      <c r="H124" s="82"/>
      <c r="I124" s="82"/>
      <c r="J124" s="82"/>
      <c r="K124" s="82"/>
      <c r="L124" s="82"/>
      <c r="M124" s="88"/>
      <c r="N124" s="82"/>
      <c r="O124" s="88"/>
      <c r="P124" s="82"/>
      <c r="Q124" s="82"/>
      <c r="R124" s="82"/>
      <c r="AG124" t="s">
        <v>6342</v>
      </c>
    </row>
    <row r="125" spans="1:33" ht="12" customHeight="1">
      <c r="A125" s="71" t="s">
        <v>6066</v>
      </c>
      <c r="B125" s="329" t="s">
        <v>6343</v>
      </c>
      <c r="C125" s="71"/>
      <c r="D125" s="82"/>
      <c r="E125" s="82"/>
      <c r="F125" s="82"/>
      <c r="G125" s="82"/>
      <c r="H125" s="82"/>
      <c r="I125" s="82"/>
      <c r="J125" s="82"/>
      <c r="K125" s="82"/>
      <c r="L125" s="82"/>
      <c r="M125" s="88"/>
      <c r="N125" s="82"/>
      <c r="O125" s="88"/>
      <c r="P125" s="82"/>
      <c r="Q125" s="82"/>
      <c r="R125" s="82"/>
      <c r="AG125" t="s">
        <v>6344</v>
      </c>
    </row>
    <row r="126" spans="1:33" ht="12" customHeight="1">
      <c r="A126" s="71" t="s">
        <v>6071</v>
      </c>
      <c r="B126" s="329" t="s">
        <v>6345</v>
      </c>
      <c r="C126" s="71"/>
      <c r="D126" s="82"/>
      <c r="E126" s="82"/>
      <c r="F126" s="82"/>
      <c r="G126" s="82"/>
      <c r="H126" s="82"/>
      <c r="I126" s="82"/>
      <c r="J126" s="82"/>
      <c r="K126" s="82"/>
      <c r="L126" s="82"/>
      <c r="M126" s="88"/>
      <c r="N126" s="82"/>
      <c r="O126" s="88"/>
      <c r="P126" s="82"/>
      <c r="Q126" s="82"/>
      <c r="R126" s="82"/>
      <c r="AG126" t="s">
        <v>6346</v>
      </c>
    </row>
    <row r="127" spans="1:33" ht="12" customHeight="1">
      <c r="A127" s="71" t="s">
        <v>6076</v>
      </c>
      <c r="B127" s="329" t="s">
        <v>6347</v>
      </c>
      <c r="C127" s="71"/>
      <c r="D127" s="82"/>
      <c r="E127" s="82"/>
      <c r="F127" s="82"/>
      <c r="G127" s="82"/>
      <c r="H127" s="82"/>
      <c r="I127" s="82"/>
      <c r="J127" s="82"/>
      <c r="K127" s="82"/>
      <c r="L127" s="82"/>
      <c r="M127" s="88"/>
      <c r="N127" s="82"/>
      <c r="O127" s="88"/>
      <c r="P127" s="82"/>
      <c r="Q127" s="82"/>
      <c r="R127" s="82"/>
      <c r="AG127" t="s">
        <v>6348</v>
      </c>
    </row>
    <row r="128" spans="1:33" ht="12" customHeight="1">
      <c r="A128" s="71" t="s">
        <v>6081</v>
      </c>
      <c r="B128" s="329" t="s">
        <v>6349</v>
      </c>
      <c r="C128" s="71"/>
      <c r="D128" s="82"/>
      <c r="E128" s="82"/>
      <c r="F128" s="82"/>
      <c r="G128" s="82"/>
      <c r="H128" s="82"/>
      <c r="I128" s="82"/>
      <c r="J128" s="82"/>
      <c r="K128" s="82"/>
      <c r="L128" s="82"/>
      <c r="M128" s="88"/>
      <c r="N128" s="82"/>
      <c r="O128" s="88"/>
      <c r="P128" s="82"/>
      <c r="Q128" s="82"/>
      <c r="R128" s="82"/>
      <c r="AG128" t="s">
        <v>6350</v>
      </c>
    </row>
    <row r="129" spans="1:33" ht="12" customHeight="1">
      <c r="A129" s="71" t="s">
        <v>6085</v>
      </c>
      <c r="B129" s="329" t="s">
        <v>6351</v>
      </c>
      <c r="C129" s="71"/>
      <c r="D129" s="82"/>
      <c r="E129" s="82"/>
      <c r="F129" s="82"/>
      <c r="G129" s="82"/>
      <c r="H129" s="82"/>
      <c r="I129" s="82"/>
      <c r="J129" s="82"/>
      <c r="K129" s="82"/>
      <c r="L129" s="82"/>
      <c r="M129" s="88"/>
      <c r="N129" s="82"/>
      <c r="O129" s="88"/>
      <c r="P129" s="82"/>
      <c r="Q129" s="82"/>
      <c r="R129" s="82"/>
      <c r="AG129" t="s">
        <v>6352</v>
      </c>
    </row>
    <row r="130" spans="1:33" ht="12" customHeight="1">
      <c r="A130" s="71" t="s">
        <v>6090</v>
      </c>
      <c r="B130" s="329" t="s">
        <v>6353</v>
      </c>
      <c r="C130" s="71"/>
      <c r="D130" s="82"/>
      <c r="E130" s="82"/>
      <c r="F130" s="82"/>
      <c r="G130" s="82"/>
      <c r="H130" s="82"/>
      <c r="I130" s="82"/>
      <c r="J130" s="82"/>
      <c r="K130" s="82"/>
      <c r="L130" s="88"/>
      <c r="M130" s="88"/>
      <c r="N130" s="82"/>
      <c r="O130" s="82"/>
      <c r="P130" s="82"/>
      <c r="Q130" s="82"/>
      <c r="R130" s="82"/>
      <c r="AG130" t="s">
        <v>6354</v>
      </c>
    </row>
    <row r="131" spans="1:33" ht="12" customHeight="1">
      <c r="A131" s="71" t="s">
        <v>6094</v>
      </c>
      <c r="B131" s="329" t="s">
        <v>6355</v>
      </c>
      <c r="C131" s="71"/>
      <c r="D131" s="82"/>
      <c r="E131" s="82"/>
      <c r="F131" s="82"/>
      <c r="G131" s="82"/>
      <c r="H131" s="82"/>
      <c r="I131" s="82"/>
      <c r="J131" s="82"/>
      <c r="K131" s="82"/>
      <c r="L131" s="88"/>
      <c r="M131" s="88"/>
      <c r="N131" s="82"/>
      <c r="O131" s="82"/>
      <c r="P131" s="82"/>
      <c r="Q131" s="82"/>
      <c r="R131" s="82"/>
      <c r="AG131" t="s">
        <v>6356</v>
      </c>
    </row>
    <row r="132" spans="1:33" ht="12" customHeight="1">
      <c r="A132" s="71" t="s">
        <v>6099</v>
      </c>
      <c r="B132" s="329" t="s">
        <v>6357</v>
      </c>
      <c r="C132" s="71"/>
      <c r="D132" s="82"/>
      <c r="E132" s="82"/>
      <c r="F132" s="82"/>
      <c r="G132" s="82"/>
      <c r="H132" s="82"/>
      <c r="I132" s="82"/>
      <c r="J132" s="82"/>
      <c r="K132" s="82"/>
      <c r="L132" s="88"/>
      <c r="M132" s="88"/>
      <c r="N132" s="82"/>
      <c r="O132" s="82"/>
      <c r="P132" s="82"/>
      <c r="Q132" s="82"/>
      <c r="R132" s="82"/>
      <c r="AG132" t="s">
        <v>6358</v>
      </c>
    </row>
    <row r="133" spans="1:33" ht="12" customHeight="1">
      <c r="A133" s="71" t="s">
        <v>6103</v>
      </c>
      <c r="B133" s="329" t="s">
        <v>6359</v>
      </c>
      <c r="C133" s="71"/>
      <c r="D133" s="82"/>
      <c r="E133" s="82"/>
      <c r="F133" s="82"/>
      <c r="G133" s="82"/>
      <c r="H133" s="82"/>
      <c r="I133" s="82"/>
      <c r="J133" s="82"/>
      <c r="K133" s="82"/>
      <c r="L133" s="88"/>
      <c r="M133" s="88"/>
      <c r="N133" s="82"/>
      <c r="O133" s="82"/>
      <c r="P133" s="82"/>
      <c r="Q133" s="82"/>
      <c r="R133" s="82"/>
      <c r="AG133" t="s">
        <v>6360</v>
      </c>
    </row>
    <row r="134" spans="1:33" ht="12" customHeight="1">
      <c r="A134" s="71" t="s">
        <v>6107</v>
      </c>
      <c r="B134" s="329" t="s">
        <v>6361</v>
      </c>
      <c r="C134" s="71"/>
      <c r="D134" s="82"/>
      <c r="E134" s="82"/>
      <c r="F134" s="82"/>
      <c r="G134" s="82"/>
      <c r="H134" s="82"/>
      <c r="I134" s="82"/>
      <c r="J134" s="82"/>
      <c r="K134" s="82"/>
      <c r="L134" s="88"/>
      <c r="M134" s="88"/>
      <c r="N134" s="82"/>
      <c r="O134" s="82"/>
      <c r="P134" s="82"/>
      <c r="Q134" s="82"/>
      <c r="R134" s="82"/>
      <c r="AG134" t="s">
        <v>6362</v>
      </c>
    </row>
    <row r="135" spans="1:33" ht="12" customHeight="1">
      <c r="A135" s="71" t="s">
        <v>6111</v>
      </c>
      <c r="B135" s="329" t="s">
        <v>6363</v>
      </c>
      <c r="C135" s="71"/>
      <c r="D135" s="82"/>
      <c r="E135" s="82"/>
      <c r="F135" s="82"/>
      <c r="G135" s="82"/>
      <c r="H135" s="82"/>
      <c r="I135" s="82"/>
      <c r="J135" s="82"/>
      <c r="K135" s="88"/>
      <c r="L135" s="88"/>
      <c r="M135" s="88"/>
      <c r="N135" s="82"/>
      <c r="O135" s="82"/>
      <c r="P135" s="82"/>
      <c r="Q135" s="82"/>
      <c r="R135" s="82"/>
      <c r="AG135" t="s">
        <v>6364</v>
      </c>
    </row>
    <row r="136" spans="1:33" ht="12" customHeight="1">
      <c r="A136" s="71" t="s">
        <v>6115</v>
      </c>
      <c r="B136" s="329" t="s">
        <v>6365</v>
      </c>
      <c r="C136" s="71"/>
      <c r="D136" s="82"/>
      <c r="E136" s="82"/>
      <c r="F136" s="82"/>
      <c r="G136" s="82"/>
      <c r="H136" s="82"/>
      <c r="I136" s="82"/>
      <c r="J136" s="82"/>
      <c r="K136" s="88"/>
      <c r="L136" s="88"/>
      <c r="M136" s="88"/>
      <c r="N136" s="82"/>
      <c r="O136" s="82"/>
      <c r="P136" s="82"/>
      <c r="Q136" s="82"/>
      <c r="R136" s="82"/>
      <c r="AG136" t="s">
        <v>6366</v>
      </c>
    </row>
    <row r="137" spans="1:33" ht="12" customHeight="1">
      <c r="A137" s="71" t="s">
        <v>6119</v>
      </c>
      <c r="B137" s="329" t="s">
        <v>6367</v>
      </c>
      <c r="C137" s="71"/>
      <c r="D137" s="82"/>
      <c r="E137" s="82"/>
      <c r="F137" s="82"/>
      <c r="G137" s="82"/>
      <c r="H137" s="82"/>
      <c r="I137" s="82"/>
      <c r="J137" s="82"/>
      <c r="K137" s="88"/>
      <c r="L137" s="88"/>
      <c r="M137" s="88"/>
      <c r="N137" s="82"/>
      <c r="O137" s="82"/>
      <c r="P137" s="82"/>
      <c r="Q137" s="82"/>
      <c r="R137" s="82"/>
      <c r="AG137" t="s">
        <v>6368</v>
      </c>
    </row>
    <row r="138" spans="1:33" ht="12" customHeight="1">
      <c r="A138" s="71" t="s">
        <v>6123</v>
      </c>
      <c r="B138" s="329" t="s">
        <v>6369</v>
      </c>
      <c r="C138" s="71"/>
      <c r="D138" s="82"/>
      <c r="E138" s="82"/>
      <c r="F138" s="82"/>
      <c r="G138" s="82"/>
      <c r="H138" s="82"/>
      <c r="I138" s="82"/>
      <c r="J138" s="82"/>
      <c r="K138" s="88"/>
      <c r="L138" s="88"/>
      <c r="M138" s="88"/>
      <c r="N138" s="82"/>
      <c r="O138" s="82"/>
      <c r="P138" s="82"/>
      <c r="Q138" s="82"/>
      <c r="R138" s="82"/>
      <c r="AG138" t="s">
        <v>6370</v>
      </c>
    </row>
    <row r="139" spans="1:33" ht="12" customHeight="1">
      <c r="A139" s="71" t="s">
        <v>6128</v>
      </c>
      <c r="B139" s="329" t="s">
        <v>6371</v>
      </c>
      <c r="C139" s="71"/>
      <c r="D139" s="82"/>
      <c r="E139" s="82"/>
      <c r="F139" s="82"/>
      <c r="G139" s="82"/>
      <c r="H139" s="82"/>
      <c r="I139" s="82"/>
      <c r="J139" s="82"/>
      <c r="K139" s="88"/>
      <c r="L139" s="88"/>
      <c r="M139" s="88"/>
      <c r="N139" s="82"/>
      <c r="O139" s="82"/>
      <c r="P139" s="82"/>
      <c r="Q139" s="82"/>
      <c r="R139" s="82"/>
      <c r="AG139" t="s">
        <v>6372</v>
      </c>
    </row>
    <row r="140" spans="1:33" ht="12" customHeight="1">
      <c r="A140" s="71" t="s">
        <v>6132</v>
      </c>
      <c r="B140" s="329" t="s">
        <v>6373</v>
      </c>
      <c r="C140" s="71"/>
      <c r="D140" s="82"/>
      <c r="E140" s="82"/>
      <c r="F140" s="82"/>
      <c r="G140" s="82"/>
      <c r="H140" s="82"/>
      <c r="I140" s="82"/>
      <c r="J140" s="82"/>
      <c r="K140" s="88"/>
      <c r="L140" s="88"/>
      <c r="M140" s="88"/>
      <c r="N140" s="82"/>
      <c r="O140" s="82"/>
      <c r="P140" s="82"/>
      <c r="Q140" s="82"/>
      <c r="R140" s="82"/>
      <c r="AG140" t="s">
        <v>6374</v>
      </c>
    </row>
    <row r="141" spans="1:33" ht="12" customHeight="1">
      <c r="A141" s="71" t="s">
        <v>6136</v>
      </c>
      <c r="B141" s="329" t="s">
        <v>6375</v>
      </c>
      <c r="C141" s="71"/>
      <c r="D141" s="82"/>
      <c r="E141" s="82"/>
      <c r="F141" s="82"/>
      <c r="G141" s="82"/>
      <c r="H141" s="82"/>
      <c r="I141" s="82"/>
      <c r="J141" s="82"/>
      <c r="K141" s="88"/>
      <c r="L141" s="88"/>
      <c r="M141" s="88"/>
      <c r="N141" s="82"/>
      <c r="O141" s="82"/>
      <c r="P141" s="82"/>
      <c r="Q141" s="82"/>
      <c r="R141" s="82"/>
    </row>
    <row r="142" spans="1:33" ht="12" customHeight="1">
      <c r="A142" s="71" t="s">
        <v>6140</v>
      </c>
      <c r="B142" s="329" t="s">
        <v>6376</v>
      </c>
      <c r="C142" s="71"/>
      <c r="D142" s="82"/>
      <c r="E142" s="82"/>
      <c r="F142" s="82"/>
      <c r="G142" s="82"/>
      <c r="H142" s="82"/>
      <c r="I142" s="82"/>
      <c r="J142" s="82"/>
      <c r="K142" s="88"/>
      <c r="L142" s="88"/>
      <c r="M142" s="88"/>
      <c r="N142" s="82"/>
      <c r="O142" s="82"/>
      <c r="P142" s="82"/>
      <c r="Q142" s="82"/>
      <c r="R142" s="82"/>
    </row>
    <row r="143" spans="1:33" ht="12" customHeight="1">
      <c r="A143" s="71" t="s">
        <v>6144</v>
      </c>
      <c r="B143" s="329" t="s">
        <v>6377</v>
      </c>
      <c r="C143" s="71"/>
      <c r="D143" s="82"/>
      <c r="E143" s="82"/>
      <c r="F143" s="82"/>
      <c r="G143" s="82"/>
      <c r="H143" s="82"/>
      <c r="I143" s="82"/>
      <c r="J143" s="82"/>
      <c r="K143" s="88"/>
      <c r="L143" s="88"/>
      <c r="M143" s="88"/>
      <c r="N143" s="82"/>
      <c r="O143" s="82"/>
      <c r="P143" s="82"/>
      <c r="Q143" s="82"/>
      <c r="R143" s="82"/>
    </row>
    <row r="144" spans="1:33" ht="12" customHeight="1">
      <c r="A144" s="71" t="s">
        <v>6148</v>
      </c>
      <c r="B144" s="329" t="s">
        <v>6378</v>
      </c>
      <c r="C144" s="71"/>
      <c r="D144" s="82"/>
      <c r="E144" s="82"/>
      <c r="F144" s="82"/>
      <c r="G144" s="82"/>
      <c r="H144" s="82"/>
      <c r="I144" s="82"/>
      <c r="J144" s="82"/>
      <c r="K144" s="88"/>
      <c r="L144" s="88"/>
      <c r="M144" s="88"/>
      <c r="N144" s="82"/>
      <c r="O144" s="82"/>
      <c r="P144" s="82"/>
      <c r="Q144" s="82"/>
      <c r="R144" s="82"/>
    </row>
    <row r="145" spans="1:18" ht="12" customHeight="1">
      <c r="A145" s="71" t="s">
        <v>6152</v>
      </c>
      <c r="B145" s="329" t="s">
        <v>6379</v>
      </c>
      <c r="C145" s="71"/>
      <c r="D145" s="82"/>
      <c r="E145" s="82"/>
      <c r="F145" s="82"/>
      <c r="G145" s="82"/>
      <c r="H145" s="82"/>
      <c r="I145" s="82"/>
      <c r="J145" s="82"/>
      <c r="K145" s="88"/>
      <c r="L145" s="88"/>
      <c r="M145" s="88"/>
      <c r="N145" s="82"/>
      <c r="O145" s="82"/>
      <c r="P145" s="82"/>
      <c r="R145" s="82"/>
    </row>
    <row r="146" spans="1:18" ht="12" customHeight="1">
      <c r="A146" s="71" t="s">
        <v>6157</v>
      </c>
      <c r="B146" s="329" t="s">
        <v>6380</v>
      </c>
      <c r="C146" s="71"/>
      <c r="D146" s="82"/>
      <c r="E146" s="82"/>
      <c r="F146" s="82"/>
      <c r="G146" s="82"/>
      <c r="H146" s="82"/>
      <c r="I146" s="82"/>
      <c r="J146" s="82"/>
      <c r="K146" s="88"/>
      <c r="L146" s="88"/>
      <c r="M146" s="88"/>
      <c r="N146" s="82"/>
      <c r="O146" s="82"/>
      <c r="P146" s="82"/>
      <c r="R146" s="82"/>
    </row>
    <row r="147" spans="1:18" ht="12" customHeight="1">
      <c r="A147" s="71" t="s">
        <v>6161</v>
      </c>
      <c r="B147" s="329" t="s">
        <v>6381</v>
      </c>
      <c r="C147" s="71"/>
      <c r="D147" s="82"/>
      <c r="E147" s="82"/>
      <c r="F147" s="82"/>
      <c r="G147" s="82"/>
      <c r="H147" s="82"/>
      <c r="I147" s="82"/>
      <c r="J147" s="82"/>
      <c r="K147" s="88"/>
      <c r="L147" s="88"/>
      <c r="M147" s="88"/>
      <c r="N147" s="82"/>
      <c r="O147" s="82"/>
      <c r="P147" s="82"/>
      <c r="R147" s="82"/>
    </row>
    <row r="148" spans="1:18" ht="12" customHeight="1">
      <c r="A148" s="71" t="s">
        <v>6165</v>
      </c>
      <c r="B148" s="329" t="s">
        <v>6382</v>
      </c>
      <c r="C148" s="71"/>
      <c r="D148" s="82"/>
      <c r="E148" s="82"/>
      <c r="F148" s="82"/>
      <c r="G148" s="82"/>
      <c r="H148" s="82"/>
      <c r="I148" s="82"/>
      <c r="J148" s="82"/>
      <c r="K148" s="88"/>
      <c r="L148" s="88"/>
      <c r="M148" s="88"/>
      <c r="N148" s="82"/>
      <c r="O148" s="82"/>
      <c r="P148" s="82"/>
      <c r="R148" s="82"/>
    </row>
    <row r="149" spans="1:18" ht="12" customHeight="1">
      <c r="A149" s="71" t="s">
        <v>6169</v>
      </c>
      <c r="B149" s="329" t="s">
        <v>6383</v>
      </c>
      <c r="C149" s="71"/>
      <c r="D149" s="82"/>
      <c r="E149" s="82"/>
      <c r="F149" s="82"/>
      <c r="G149" s="82"/>
      <c r="H149" s="82"/>
      <c r="I149" s="82"/>
      <c r="J149" s="82"/>
      <c r="K149" s="88"/>
      <c r="L149" s="88"/>
      <c r="M149" s="88"/>
      <c r="N149" s="82"/>
      <c r="O149" s="82"/>
      <c r="P149" s="82"/>
      <c r="R149" s="82"/>
    </row>
    <row r="150" spans="1:18" ht="12" customHeight="1">
      <c r="A150" s="71" t="s">
        <v>6172</v>
      </c>
      <c r="B150" s="329" t="s">
        <v>6384</v>
      </c>
      <c r="C150" s="71"/>
      <c r="D150" s="82"/>
      <c r="E150" s="82"/>
      <c r="F150" s="82"/>
      <c r="G150" s="82"/>
      <c r="H150" s="82"/>
      <c r="I150" s="82"/>
      <c r="J150" s="82"/>
      <c r="K150" s="88"/>
      <c r="L150" s="88"/>
      <c r="M150" s="88"/>
      <c r="N150" s="82"/>
      <c r="O150" s="82"/>
      <c r="P150" s="82"/>
      <c r="R150" s="82"/>
    </row>
    <row r="151" spans="1:18" ht="12" customHeight="1">
      <c r="A151" s="71" t="s">
        <v>6175</v>
      </c>
      <c r="B151" s="329" t="s">
        <v>6385</v>
      </c>
      <c r="C151" s="71"/>
      <c r="D151" s="82"/>
      <c r="E151" s="82"/>
      <c r="F151" s="82"/>
      <c r="G151" s="82"/>
      <c r="H151" s="82"/>
      <c r="I151" s="82"/>
      <c r="J151" s="82"/>
      <c r="K151" s="88"/>
      <c r="L151" s="88"/>
      <c r="M151" s="88"/>
      <c r="N151" s="82"/>
      <c r="O151" s="82"/>
      <c r="P151" s="82"/>
      <c r="R151" s="82"/>
    </row>
    <row r="152" spans="1:18" ht="12" customHeight="1">
      <c r="A152" s="71" t="s">
        <v>6178</v>
      </c>
      <c r="B152" s="329" t="s">
        <v>6386</v>
      </c>
      <c r="C152" s="71"/>
      <c r="D152" s="82"/>
      <c r="E152" s="82"/>
      <c r="F152" s="82"/>
      <c r="G152" s="82"/>
      <c r="H152" s="82"/>
      <c r="I152" s="82"/>
      <c r="J152" s="82"/>
      <c r="K152" s="88"/>
      <c r="L152" s="88"/>
      <c r="M152" s="88"/>
      <c r="N152" s="82"/>
      <c r="O152" s="82"/>
      <c r="P152" s="82"/>
      <c r="R152" s="82"/>
    </row>
    <row r="153" spans="1:18" ht="12" customHeight="1">
      <c r="A153" s="71" t="s">
        <v>6182</v>
      </c>
      <c r="B153" s="329" t="s">
        <v>6387</v>
      </c>
      <c r="C153" s="71"/>
      <c r="D153" s="82"/>
      <c r="E153" s="82"/>
      <c r="F153" s="82"/>
      <c r="G153" s="82"/>
      <c r="H153" s="82"/>
      <c r="I153" s="82"/>
      <c r="J153" s="82"/>
      <c r="K153" s="88"/>
      <c r="L153" s="88"/>
      <c r="M153" s="88"/>
      <c r="N153" s="82"/>
      <c r="O153" s="82"/>
      <c r="P153" s="82"/>
      <c r="R153" s="82"/>
    </row>
    <row r="154" spans="1:18" ht="12" customHeight="1">
      <c r="A154" s="71" t="s">
        <v>6185</v>
      </c>
      <c r="B154" s="329" t="s">
        <v>6388</v>
      </c>
      <c r="C154" s="71"/>
      <c r="D154" s="82"/>
      <c r="E154" s="82"/>
      <c r="F154" s="82"/>
      <c r="G154" s="82"/>
      <c r="H154" s="82"/>
      <c r="I154" s="82"/>
      <c r="J154" s="82"/>
      <c r="K154" s="88"/>
      <c r="L154" s="88"/>
      <c r="M154" s="88"/>
      <c r="N154" s="82"/>
      <c r="O154" s="82"/>
      <c r="P154" s="82"/>
      <c r="R154" s="82"/>
    </row>
    <row r="155" spans="1:18" ht="12" customHeight="1">
      <c r="A155" s="71" t="s">
        <v>6188</v>
      </c>
      <c r="B155" s="329" t="s">
        <v>6389</v>
      </c>
      <c r="C155" s="71"/>
      <c r="D155" s="82"/>
      <c r="E155" s="82"/>
      <c r="F155" s="82"/>
      <c r="G155" s="82"/>
      <c r="H155" s="82"/>
      <c r="I155" s="82"/>
      <c r="J155" s="82"/>
      <c r="K155" s="88"/>
      <c r="L155" s="88"/>
      <c r="M155" s="88"/>
      <c r="N155" s="82"/>
      <c r="O155" s="82"/>
      <c r="P155" s="82"/>
      <c r="R155" s="82"/>
    </row>
    <row r="156" spans="1:18" ht="12" customHeight="1">
      <c r="A156" s="71" t="s">
        <v>6191</v>
      </c>
      <c r="B156" s="329" t="s">
        <v>6390</v>
      </c>
      <c r="C156" s="71"/>
      <c r="D156" s="82"/>
      <c r="E156" s="82"/>
      <c r="F156" s="82"/>
      <c r="G156" s="82"/>
      <c r="H156" s="82"/>
      <c r="I156" s="82"/>
      <c r="J156" s="82"/>
      <c r="K156" s="88"/>
      <c r="L156" s="88"/>
      <c r="M156" s="88"/>
      <c r="N156" s="82"/>
      <c r="O156" s="82"/>
      <c r="P156" s="82"/>
      <c r="R156" s="82"/>
    </row>
    <row r="157" spans="1:18" ht="12" customHeight="1">
      <c r="A157" s="71" t="s">
        <v>6195</v>
      </c>
      <c r="B157" s="329" t="s">
        <v>6391</v>
      </c>
      <c r="C157" s="71"/>
      <c r="D157" s="82"/>
      <c r="E157" s="82"/>
      <c r="F157" s="82"/>
      <c r="G157" s="82"/>
      <c r="H157" s="82"/>
      <c r="I157" s="82"/>
      <c r="J157" s="82"/>
      <c r="K157" s="88"/>
      <c r="L157" s="88"/>
      <c r="M157" s="88"/>
      <c r="N157" s="82"/>
      <c r="O157" s="82"/>
      <c r="P157" s="82"/>
      <c r="R157" s="82"/>
    </row>
    <row r="158" spans="1:18" ht="12" customHeight="1">
      <c r="A158" s="71" t="s">
        <v>6198</v>
      </c>
      <c r="B158" s="329" t="s">
        <v>6392</v>
      </c>
      <c r="C158" s="71"/>
      <c r="D158" s="82"/>
      <c r="E158" s="82"/>
      <c r="F158" s="82"/>
      <c r="G158" s="82"/>
      <c r="H158" s="82"/>
      <c r="I158" s="82"/>
      <c r="J158" s="82"/>
      <c r="K158" s="88"/>
      <c r="L158" s="88"/>
      <c r="M158" s="88"/>
      <c r="N158" s="82"/>
      <c r="O158" s="82"/>
      <c r="P158" s="82"/>
      <c r="R158" s="82"/>
    </row>
    <row r="159" spans="1:18" ht="12" customHeight="1">
      <c r="A159" s="71" t="s">
        <v>6202</v>
      </c>
      <c r="B159" s="329" t="s">
        <v>6393</v>
      </c>
      <c r="C159" s="71"/>
      <c r="D159" s="82"/>
      <c r="E159" s="82"/>
      <c r="F159" s="82"/>
      <c r="G159" s="82"/>
      <c r="H159" s="82"/>
      <c r="I159" s="82"/>
      <c r="J159" s="82"/>
      <c r="K159" s="88"/>
      <c r="L159" s="88"/>
      <c r="M159" s="88"/>
      <c r="N159" s="82"/>
      <c r="O159" s="82"/>
      <c r="P159" s="82"/>
      <c r="R159" s="82"/>
    </row>
    <row r="160" spans="1:18" ht="12" customHeight="1">
      <c r="A160" s="71" t="s">
        <v>6205</v>
      </c>
      <c r="B160" s="329" t="s">
        <v>6394</v>
      </c>
      <c r="C160" s="71"/>
      <c r="D160" s="82"/>
      <c r="E160" s="82"/>
      <c r="F160" s="82"/>
      <c r="G160" s="82"/>
      <c r="H160" s="82"/>
      <c r="I160" s="82"/>
      <c r="J160" s="82"/>
      <c r="K160" s="88"/>
      <c r="L160" s="88"/>
      <c r="M160" s="88"/>
      <c r="N160" s="82"/>
      <c r="O160" s="82"/>
      <c r="P160" s="82"/>
      <c r="R160" s="82"/>
    </row>
    <row r="161" spans="1:18" ht="12" customHeight="1">
      <c r="A161" s="71" t="s">
        <v>6208</v>
      </c>
      <c r="B161" s="329" t="s">
        <v>6395</v>
      </c>
      <c r="C161" s="71"/>
      <c r="D161" s="82"/>
      <c r="E161" s="82"/>
      <c r="F161" s="82"/>
      <c r="G161" s="82"/>
      <c r="H161" s="82"/>
      <c r="I161" s="82"/>
      <c r="J161" s="82"/>
      <c r="K161" s="88"/>
      <c r="L161" s="88"/>
      <c r="M161" s="88"/>
      <c r="N161" s="82"/>
      <c r="O161" s="82"/>
      <c r="P161" s="82"/>
      <c r="R161" s="82"/>
    </row>
    <row r="162" spans="1:18" ht="12" customHeight="1">
      <c r="A162" s="71" t="s">
        <v>6211</v>
      </c>
      <c r="B162" s="329" t="s">
        <v>6396</v>
      </c>
      <c r="C162" s="71"/>
      <c r="D162" s="82"/>
      <c r="E162" s="82"/>
      <c r="F162" s="82"/>
      <c r="G162" s="82"/>
      <c r="H162" s="82"/>
      <c r="I162" s="82"/>
      <c r="J162" s="82"/>
      <c r="K162" s="88"/>
      <c r="L162" s="88"/>
      <c r="M162" s="88"/>
      <c r="N162" s="82"/>
      <c r="O162" s="82"/>
      <c r="P162" s="82"/>
      <c r="R162" s="82"/>
    </row>
    <row r="163" spans="1:18" ht="12" customHeight="1">
      <c r="A163" s="71" t="s">
        <v>6214</v>
      </c>
      <c r="B163" s="329" t="s">
        <v>6397</v>
      </c>
      <c r="C163" s="71"/>
      <c r="D163" s="82"/>
      <c r="E163" s="82"/>
      <c r="F163" s="82"/>
      <c r="G163" s="82"/>
      <c r="H163" s="82"/>
      <c r="I163" s="82"/>
      <c r="J163" s="82"/>
      <c r="K163" s="88"/>
      <c r="L163" s="88"/>
      <c r="M163" s="88"/>
      <c r="N163" s="82"/>
      <c r="O163" s="82"/>
      <c r="P163" s="82"/>
      <c r="R163" s="82"/>
    </row>
    <row r="164" spans="1:18" ht="12" customHeight="1">
      <c r="A164" s="71" t="s">
        <v>6217</v>
      </c>
      <c r="B164" s="329" t="s">
        <v>6398</v>
      </c>
      <c r="C164" s="71"/>
      <c r="D164" s="82"/>
      <c r="E164" s="82"/>
      <c r="F164" s="82"/>
      <c r="G164" s="82"/>
      <c r="H164" s="82"/>
      <c r="I164" s="82"/>
      <c r="J164" s="82"/>
      <c r="L164" s="88"/>
      <c r="M164" s="88"/>
      <c r="N164" s="82"/>
      <c r="O164" s="82"/>
      <c r="P164" s="82"/>
      <c r="R164" s="82"/>
    </row>
    <row r="165" spans="1:18" ht="12" customHeight="1">
      <c r="A165" s="71" t="s">
        <v>6220</v>
      </c>
      <c r="B165" s="329" t="s">
        <v>6399</v>
      </c>
      <c r="C165" s="71"/>
      <c r="D165" s="82"/>
      <c r="E165" s="82"/>
      <c r="F165" s="82"/>
      <c r="G165" s="82"/>
      <c r="H165" s="82"/>
      <c r="I165" s="82"/>
      <c r="J165" s="82"/>
      <c r="L165" s="88"/>
      <c r="M165" s="88"/>
      <c r="N165" s="82"/>
      <c r="O165" s="82"/>
      <c r="P165" s="82"/>
      <c r="R165" s="82"/>
    </row>
    <row r="166" spans="1:18" ht="12" customHeight="1">
      <c r="A166" s="71" t="s">
        <v>6223</v>
      </c>
      <c r="B166" s="329" t="s">
        <v>6400</v>
      </c>
      <c r="C166" s="71"/>
      <c r="D166" s="82"/>
      <c r="E166" s="82"/>
      <c r="F166" s="82"/>
      <c r="G166" s="82"/>
      <c r="H166" s="82"/>
      <c r="I166" s="82"/>
      <c r="J166" s="82"/>
      <c r="L166" s="88"/>
      <c r="M166" s="88"/>
      <c r="N166" s="82"/>
      <c r="O166" s="82"/>
      <c r="P166" s="82"/>
      <c r="R166" s="82"/>
    </row>
    <row r="167" spans="1:18" ht="12" customHeight="1">
      <c r="A167" s="71" t="s">
        <v>6226</v>
      </c>
      <c r="B167" s="329" t="s">
        <v>6401</v>
      </c>
      <c r="C167" s="71"/>
      <c r="D167" s="82"/>
      <c r="E167" s="82"/>
      <c r="F167" s="82"/>
      <c r="G167" s="82"/>
      <c r="H167" s="82"/>
      <c r="I167" s="82"/>
      <c r="J167" s="82"/>
      <c r="L167" s="88"/>
      <c r="M167" s="88"/>
      <c r="N167" s="82"/>
      <c r="O167" s="82"/>
      <c r="P167" s="82"/>
      <c r="R167" s="82"/>
    </row>
    <row r="168" spans="1:18" ht="12" customHeight="1">
      <c r="A168" s="71" t="s">
        <v>6229</v>
      </c>
      <c r="B168" s="329" t="s">
        <v>6402</v>
      </c>
      <c r="C168" s="71"/>
      <c r="D168" s="82"/>
      <c r="E168" s="82"/>
      <c r="F168" s="82"/>
      <c r="G168" s="82"/>
      <c r="H168" s="82"/>
      <c r="I168" s="82"/>
      <c r="J168" s="82"/>
      <c r="L168" s="88"/>
      <c r="M168" s="88"/>
      <c r="N168" s="82"/>
      <c r="O168" s="82"/>
      <c r="P168" s="82"/>
      <c r="R168" s="82"/>
    </row>
    <row r="169" spans="1:18" ht="12" customHeight="1">
      <c r="A169" s="71" t="s">
        <v>6232</v>
      </c>
      <c r="B169" s="329" t="s">
        <v>6403</v>
      </c>
      <c r="C169" s="71"/>
      <c r="D169" s="82"/>
      <c r="E169" s="82"/>
      <c r="F169" s="82"/>
      <c r="H169" s="82"/>
      <c r="I169" s="82"/>
      <c r="J169" s="82"/>
      <c r="L169" s="88"/>
      <c r="M169" s="88"/>
      <c r="N169" s="82"/>
      <c r="O169" s="82"/>
      <c r="P169" s="82"/>
      <c r="R169" s="82"/>
    </row>
    <row r="170" spans="1:18" ht="12" customHeight="1">
      <c r="A170" s="71" t="s">
        <v>6235</v>
      </c>
      <c r="B170" s="329" t="s">
        <v>6404</v>
      </c>
      <c r="C170" s="71"/>
      <c r="D170" s="82"/>
      <c r="E170" s="82"/>
      <c r="F170" s="82"/>
      <c r="H170" s="82"/>
      <c r="I170" s="82"/>
      <c r="J170" s="82"/>
      <c r="L170" s="88"/>
      <c r="M170" s="88"/>
      <c r="N170" s="82"/>
      <c r="O170" s="82"/>
      <c r="P170" s="82"/>
      <c r="R170" s="82"/>
    </row>
    <row r="171" spans="1:18" ht="12" customHeight="1">
      <c r="A171" s="71" t="s">
        <v>6238</v>
      </c>
      <c r="B171" s="329" t="s">
        <v>6405</v>
      </c>
      <c r="C171" s="71"/>
      <c r="D171" s="82"/>
      <c r="E171" s="82"/>
      <c r="F171" s="82"/>
      <c r="H171" s="82"/>
      <c r="I171" s="82"/>
      <c r="J171" s="82"/>
      <c r="L171" s="88"/>
      <c r="M171" s="88"/>
      <c r="N171" s="82"/>
      <c r="O171" s="82"/>
      <c r="P171" s="82"/>
      <c r="R171" s="82"/>
    </row>
    <row r="172" spans="1:18" ht="12" customHeight="1">
      <c r="A172" s="71" t="s">
        <v>6240</v>
      </c>
      <c r="B172" s="329" t="s">
        <v>6406</v>
      </c>
      <c r="C172" s="71"/>
      <c r="D172" s="82"/>
      <c r="E172" s="82"/>
      <c r="F172" s="82"/>
      <c r="H172" s="82"/>
      <c r="I172" s="82"/>
      <c r="J172" s="82"/>
      <c r="L172" s="88"/>
      <c r="M172" s="88"/>
      <c r="N172" s="82"/>
      <c r="O172" s="82"/>
      <c r="P172" s="82"/>
      <c r="R172" s="82"/>
    </row>
    <row r="173" spans="1:18" ht="12" customHeight="1">
      <c r="A173" s="71" t="s">
        <v>6242</v>
      </c>
      <c r="B173" s="329" t="s">
        <v>6407</v>
      </c>
      <c r="C173" s="71"/>
      <c r="D173" s="82"/>
      <c r="E173" s="82"/>
      <c r="F173" s="82"/>
      <c r="H173" s="82"/>
      <c r="I173" s="82"/>
      <c r="J173" s="82"/>
      <c r="L173" s="88"/>
      <c r="M173" s="88"/>
      <c r="N173" s="82"/>
      <c r="O173" s="82"/>
      <c r="P173" s="82"/>
      <c r="R173" s="82"/>
    </row>
    <row r="174" spans="1:18" ht="12" customHeight="1">
      <c r="A174" s="71" t="s">
        <v>6245</v>
      </c>
      <c r="B174" s="329" t="s">
        <v>6408</v>
      </c>
      <c r="C174" s="71"/>
      <c r="D174" s="82"/>
      <c r="E174" s="82"/>
      <c r="F174" s="82"/>
      <c r="H174" s="82"/>
      <c r="I174" s="82"/>
      <c r="J174" s="82"/>
      <c r="L174" s="88"/>
      <c r="M174" s="88"/>
      <c r="N174" s="82"/>
      <c r="O174" s="82"/>
      <c r="P174" s="82"/>
      <c r="R174" s="82"/>
    </row>
    <row r="175" spans="1:18" ht="12" customHeight="1">
      <c r="A175" s="71" t="s">
        <v>6248</v>
      </c>
      <c r="B175" s="329" t="s">
        <v>6409</v>
      </c>
      <c r="C175" s="71"/>
      <c r="D175" s="82"/>
      <c r="E175" s="82"/>
      <c r="F175" s="82"/>
      <c r="H175" s="82"/>
      <c r="I175" s="82"/>
      <c r="J175" s="82"/>
      <c r="L175" s="88"/>
      <c r="M175" s="88"/>
      <c r="N175" s="82"/>
      <c r="O175" s="82"/>
      <c r="P175" s="82"/>
      <c r="R175" s="82"/>
    </row>
    <row r="176" spans="1:18" ht="12" customHeight="1">
      <c r="A176" s="71" t="s">
        <v>6251</v>
      </c>
      <c r="B176" s="329" t="s">
        <v>6410</v>
      </c>
      <c r="C176" s="71"/>
    </row>
    <row r="177" spans="1:3" ht="12" customHeight="1">
      <c r="A177" s="71" t="s">
        <v>6254</v>
      </c>
      <c r="B177" s="329" t="s">
        <v>6411</v>
      </c>
      <c r="C177" s="71"/>
    </row>
    <row r="178" spans="1:3" ht="12" customHeight="1">
      <c r="A178" s="71" t="s">
        <v>6256</v>
      </c>
      <c r="B178" s="329" t="s">
        <v>6412</v>
      </c>
      <c r="C178" s="71"/>
    </row>
    <row r="179" spans="1:3" ht="12" customHeight="1">
      <c r="A179" s="71" t="s">
        <v>6259</v>
      </c>
      <c r="B179" s="329" t="s">
        <v>6413</v>
      </c>
      <c r="C179" s="71"/>
    </row>
    <row r="180" spans="1:3" ht="12" customHeight="1">
      <c r="A180" s="71" t="s">
        <v>6263</v>
      </c>
      <c r="B180" s="329" t="s">
        <v>6414</v>
      </c>
      <c r="C180" s="71"/>
    </row>
    <row r="181" spans="1:3" ht="12" customHeight="1">
      <c r="A181" s="71" t="s">
        <v>6267</v>
      </c>
      <c r="B181" s="329" t="s">
        <v>6415</v>
      </c>
      <c r="C181" s="71"/>
    </row>
    <row r="182" spans="1:3" ht="12" customHeight="1">
      <c r="A182" s="71" t="s">
        <v>6270</v>
      </c>
      <c r="B182" s="329" t="s">
        <v>6416</v>
      </c>
      <c r="C182" s="71"/>
    </row>
    <row r="183" spans="1:3" ht="12" customHeight="1">
      <c r="A183" s="71" t="s">
        <v>6273</v>
      </c>
      <c r="B183" s="329" t="s">
        <v>6417</v>
      </c>
      <c r="C183" s="71"/>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5"/>
  <sheetViews>
    <sheetView workbookViewId="0"/>
  </sheetViews>
  <sheetFormatPr defaultColWidth="8.85546875" defaultRowHeight="15" customHeight="1"/>
  <sheetData>
    <row r="1" spans="1:1" ht="15" customHeight="1">
      <c r="A1" t="s">
        <v>6418</v>
      </c>
    </row>
    <row r="2" spans="1:1" ht="15" customHeight="1">
      <c r="A2" t="s">
        <v>6419</v>
      </c>
    </row>
    <row r="3" spans="1:1" ht="15" customHeight="1">
      <c r="A3" t="s">
        <v>6420</v>
      </c>
    </row>
    <row r="4" spans="1:1" ht="15" customHeight="1">
      <c r="A4" t="s">
        <v>6421</v>
      </c>
    </row>
    <row r="5" spans="1:1" ht="15" customHeight="1">
      <c r="A5" t="s">
        <v>6422</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16"/>
  <sheetViews>
    <sheetView workbookViewId="0"/>
  </sheetViews>
  <sheetFormatPr defaultColWidth="8.85546875" defaultRowHeight="15" customHeight="1"/>
  <sheetData>
    <row r="1" spans="1:1" ht="15" customHeight="1">
      <c r="A1" t="s">
        <v>6423</v>
      </c>
    </row>
    <row r="2" spans="1:1" ht="15" customHeight="1">
      <c r="A2" t="s">
        <v>354</v>
      </c>
    </row>
    <row r="3" spans="1:1" ht="15" customHeight="1">
      <c r="A3" t="s">
        <v>5665</v>
      </c>
    </row>
    <row r="4" spans="1:1" ht="15" customHeight="1">
      <c r="A4" t="s">
        <v>5669</v>
      </c>
    </row>
    <row r="5" spans="1:1" ht="15" customHeight="1">
      <c r="A5" t="s">
        <v>6424</v>
      </c>
    </row>
    <row r="6" spans="1:1" ht="15" customHeight="1">
      <c r="A6" t="s">
        <v>5679</v>
      </c>
    </row>
    <row r="7" spans="1:1" ht="15" customHeight="1">
      <c r="A7" t="s">
        <v>5630</v>
      </c>
    </row>
    <row r="8" spans="1:1" ht="15" customHeight="1">
      <c r="A8" t="s">
        <v>6425</v>
      </c>
    </row>
    <row r="9" spans="1:1" ht="15" customHeight="1">
      <c r="A9" t="s">
        <v>5675</v>
      </c>
    </row>
    <row r="10" spans="1:1" ht="15" customHeight="1">
      <c r="A10" t="s">
        <v>6426</v>
      </c>
    </row>
    <row r="11" spans="1:1" ht="15" customHeight="1">
      <c r="A11" t="s">
        <v>6427</v>
      </c>
    </row>
    <row r="12" spans="1:1" ht="15" customHeight="1">
      <c r="A12" t="s">
        <v>6428</v>
      </c>
    </row>
    <row r="13" spans="1:1" ht="15" customHeight="1">
      <c r="A13" t="s">
        <v>6429</v>
      </c>
    </row>
    <row r="14" spans="1:1" ht="15" customHeight="1">
      <c r="A14" t="s">
        <v>6430</v>
      </c>
    </row>
    <row r="15" spans="1:1" ht="15" customHeight="1">
      <c r="A15" t="s">
        <v>6431</v>
      </c>
    </row>
    <row r="16" spans="1:1" ht="15" customHeight="1">
      <c r="A16" t="s">
        <v>6432</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A223"/>
  <sheetViews>
    <sheetView showGridLines="0" topLeftCell="AA170" workbookViewId="0">
      <selection activeCell="AE203" sqref="AE203"/>
    </sheetView>
  </sheetViews>
  <sheetFormatPr defaultColWidth="9.140625" defaultRowHeight="19.5" customHeight="1"/>
  <cols>
    <col min="1" max="1" width="13.7109375" style="1198" hidden="1" customWidth="1"/>
    <col min="2" max="2" width="14.28515625" style="880" hidden="1" customWidth="1"/>
    <col min="3" max="4" width="3.5703125" style="1198" hidden="1" customWidth="1"/>
    <col min="5" max="5" width="4.7109375" style="538" hidden="1" customWidth="1"/>
    <col min="6" max="21" width="3.5703125" style="1198" hidden="1" customWidth="1"/>
    <col min="22" max="22" width="5.85546875" style="1198" hidden="1" customWidth="1"/>
    <col min="23" max="23" width="12.140625" style="1198" hidden="1" customWidth="1"/>
    <col min="24" max="25" width="6.140625" style="1198" hidden="1" customWidth="1"/>
    <col min="26" max="26" width="12.5703125" style="1327" hidden="1" customWidth="1"/>
    <col min="27" max="27" width="3.42578125" style="1198" customWidth="1"/>
    <col min="28" max="28" width="12" style="1242" customWidth="1"/>
    <col min="29" max="29" width="18" style="1242" customWidth="1"/>
    <col min="30" max="30" width="56.85546875" style="1242" customWidth="1"/>
    <col min="31" max="31" width="65" style="1242" customWidth="1"/>
    <col min="32" max="32" width="3" style="299" customWidth="1"/>
    <col min="33" max="33" width="29.85546875" style="1198" hidden="1" customWidth="1"/>
    <col min="34" max="34" width="18.5703125" style="1198" hidden="1" customWidth="1"/>
    <col min="35" max="53" width="12" style="1198" hidden="1" customWidth="1"/>
  </cols>
  <sheetData>
    <row r="1" spans="1:53" ht="11.25" hidden="1" customHeight="1">
      <c r="E1" s="26"/>
      <c r="V1" s="26" t="s">
        <v>91</v>
      </c>
      <c r="W1" s="417" t="s">
        <v>92</v>
      </c>
      <c r="X1" s="382" t="s">
        <v>93</v>
      </c>
      <c r="Y1" s="382" t="s">
        <v>94</v>
      </c>
      <c r="Z1" s="419" t="s">
        <v>95</v>
      </c>
      <c r="AA1" s="419" t="s">
        <v>96</v>
      </c>
      <c r="AB1" s="420"/>
      <c r="AC1" s="420"/>
      <c r="AD1" s="418" t="s">
        <v>97</v>
      </c>
      <c r="AE1" s="418" t="s">
        <v>98</v>
      </c>
      <c r="AF1" s="417" t="s">
        <v>99</v>
      </c>
    </row>
    <row r="2" spans="1:53" s="880" customFormat="1" ht="11.25" hidden="1" customHeight="1">
      <c r="B2" s="362" t="s">
        <v>18</v>
      </c>
      <c r="W2" s="15"/>
      <c r="X2" s="15"/>
      <c r="Y2" s="15"/>
      <c r="Z2" s="480"/>
      <c r="AA2" s="15"/>
      <c r="AB2" s="344"/>
      <c r="AC2" s="344"/>
      <c r="AD2" s="344"/>
      <c r="AE2" s="344"/>
      <c r="AF2" s="391"/>
      <c r="AG2" s="15"/>
      <c r="AH2" s="15"/>
      <c r="AI2" s="15"/>
      <c r="AJ2" s="15"/>
      <c r="AK2" s="15"/>
      <c r="AL2" s="15"/>
      <c r="AM2" s="15"/>
      <c r="AN2" s="15"/>
      <c r="AO2" s="15"/>
      <c r="AP2" s="15"/>
      <c r="AQ2" s="15"/>
      <c r="AR2" s="15"/>
      <c r="AS2" s="15"/>
      <c r="AT2" s="15"/>
      <c r="AU2" s="15"/>
      <c r="AV2" s="15"/>
      <c r="AW2" s="15"/>
      <c r="AX2" s="15"/>
      <c r="AY2" s="15"/>
      <c r="AZ2" s="15"/>
      <c r="BA2" s="15"/>
    </row>
    <row r="3" spans="1:53" s="880" customFormat="1" ht="11.25" hidden="1" customHeight="1">
      <c r="B3" s="344"/>
      <c r="W3" s="15"/>
      <c r="X3" s="15"/>
      <c r="Y3" s="15"/>
      <c r="Z3" s="480"/>
      <c r="AA3" s="15"/>
      <c r="AB3" s="344"/>
      <c r="AC3" s="344"/>
      <c r="AD3" s="344"/>
      <c r="AE3" s="344"/>
      <c r="AF3" s="391"/>
      <c r="AG3" s="15"/>
      <c r="AH3" s="15"/>
      <c r="AI3" s="15"/>
      <c r="AJ3" s="15"/>
      <c r="AK3" s="15"/>
      <c r="AL3" s="15"/>
      <c r="AM3" s="15"/>
      <c r="AN3" s="15"/>
      <c r="AO3" s="15"/>
      <c r="AP3" s="15"/>
      <c r="AQ3" s="15"/>
      <c r="AR3" s="15"/>
      <c r="AS3" s="15"/>
      <c r="AT3" s="15"/>
      <c r="AU3" s="15"/>
      <c r="AV3" s="15"/>
      <c r="AW3" s="15"/>
      <c r="AX3" s="15"/>
      <c r="AY3" s="15"/>
      <c r="AZ3" s="15"/>
      <c r="BA3" s="15"/>
    </row>
    <row r="4" spans="1:53" s="880" customFormat="1" ht="11.25" hidden="1" customHeight="1">
      <c r="B4" s="344"/>
      <c r="W4" s="15"/>
      <c r="X4" s="15"/>
      <c r="Y4" s="15"/>
      <c r="Z4" s="480"/>
      <c r="AA4" s="15"/>
      <c r="AB4" s="344"/>
      <c r="AC4" s="344"/>
      <c r="AD4" s="344"/>
      <c r="AE4" s="344"/>
      <c r="AF4" s="391"/>
      <c r="AG4" s="15"/>
      <c r="AH4" s="15"/>
      <c r="AI4" s="15"/>
      <c r="AJ4" s="15"/>
      <c r="AK4" s="15"/>
      <c r="AL4" s="15"/>
      <c r="AM4" s="15"/>
      <c r="AN4" s="15"/>
      <c r="AO4" s="15"/>
      <c r="AP4" s="15"/>
      <c r="AQ4" s="15"/>
      <c r="AR4" s="15"/>
      <c r="AS4" s="15"/>
      <c r="AT4" s="15"/>
      <c r="AU4" s="15"/>
      <c r="AV4" s="15"/>
      <c r="AW4" s="15"/>
      <c r="AX4" s="15"/>
      <c r="AY4" s="15"/>
      <c r="AZ4" s="15"/>
      <c r="BA4" s="15"/>
    </row>
    <row r="5" spans="1:53" s="539" customFormat="1" ht="11.25" hidden="1" customHeight="1">
      <c r="A5" s="349"/>
      <c r="B5" s="344"/>
      <c r="C5" s="349"/>
      <c r="D5" s="349"/>
      <c r="E5" s="540" t="s">
        <v>19</v>
      </c>
      <c r="V5" s="349"/>
      <c r="W5" s="542"/>
      <c r="X5" s="542"/>
      <c r="Y5" s="542"/>
      <c r="Z5" s="543"/>
      <c r="AA5" s="542">
        <v>3.43</v>
      </c>
      <c r="AB5" s="542">
        <v>12</v>
      </c>
      <c r="AC5" s="542">
        <v>18</v>
      </c>
      <c r="AD5" s="542">
        <v>56.86</v>
      </c>
      <c r="AE5" s="542">
        <v>65</v>
      </c>
      <c r="AF5" s="542">
        <v>3</v>
      </c>
      <c r="AG5" s="542"/>
      <c r="AH5" s="542"/>
      <c r="AI5" s="542"/>
      <c r="AJ5" s="542"/>
      <c r="AK5" s="542"/>
      <c r="AL5" s="542"/>
      <c r="AM5" s="542"/>
      <c r="AN5" s="542"/>
      <c r="AO5" s="542"/>
      <c r="AP5" s="542"/>
      <c r="AQ5" s="542"/>
      <c r="AR5" s="542"/>
      <c r="AS5" s="542"/>
      <c r="AT5" s="542"/>
      <c r="AU5" s="542"/>
      <c r="AV5" s="542"/>
      <c r="AW5" s="542"/>
      <c r="AX5" s="542"/>
      <c r="AY5" s="542"/>
      <c r="AZ5" s="542"/>
      <c r="BA5" s="542"/>
    </row>
    <row r="6" spans="1:53" s="880" customFormat="1" ht="11.25" hidden="1" customHeight="1">
      <c r="B6" s="344"/>
      <c r="E6" s="539"/>
      <c r="W6" s="15"/>
      <c r="X6" s="15"/>
      <c r="Y6" s="15"/>
      <c r="Z6" s="480"/>
      <c r="AA6" s="15"/>
      <c r="AB6" s="344"/>
      <c r="AC6" s="344"/>
      <c r="AD6" s="344"/>
      <c r="AE6" s="344"/>
      <c r="AF6" s="391"/>
      <c r="AG6" s="15"/>
      <c r="AH6" s="15"/>
      <c r="AI6" s="15"/>
      <c r="AJ6" s="15"/>
      <c r="AK6" s="15"/>
      <c r="AL6" s="15"/>
      <c r="AM6" s="15"/>
      <c r="AN6" s="15"/>
      <c r="AO6" s="15"/>
      <c r="AP6" s="15"/>
      <c r="AQ6" s="15"/>
      <c r="AR6" s="15"/>
      <c r="AS6" s="15"/>
      <c r="AT6" s="15"/>
      <c r="AU6" s="15"/>
      <c r="AV6" s="15"/>
      <c r="AW6" s="15"/>
      <c r="AX6" s="15"/>
      <c r="AY6" s="15"/>
      <c r="AZ6" s="15"/>
      <c r="BA6" s="15"/>
    </row>
    <row r="7" spans="1:53" s="880" customFormat="1" ht="11.25" hidden="1" customHeight="1">
      <c r="B7" s="344"/>
      <c r="E7" s="539"/>
      <c r="W7" s="15"/>
      <c r="X7" s="15"/>
      <c r="Y7" s="15"/>
      <c r="Z7" s="480"/>
      <c r="AA7" s="15"/>
      <c r="AB7" s="344"/>
      <c r="AC7" s="344"/>
      <c r="AD7" s="344"/>
      <c r="AE7" s="344"/>
      <c r="AF7" s="391"/>
      <c r="AG7" s="15"/>
      <c r="AH7" s="15"/>
      <c r="AI7" s="15"/>
      <c r="AJ7" s="15"/>
      <c r="AK7" s="15"/>
      <c r="AL7" s="15"/>
      <c r="AM7" s="15"/>
      <c r="AN7" s="15"/>
      <c r="AO7" s="15"/>
      <c r="AP7" s="15"/>
      <c r="AQ7" s="15"/>
      <c r="AR7" s="15"/>
      <c r="AS7" s="15"/>
      <c r="AT7" s="15"/>
      <c r="AU7" s="15"/>
      <c r="AV7" s="15"/>
      <c r="AW7" s="15"/>
      <c r="AX7" s="15"/>
      <c r="AY7" s="15"/>
      <c r="AZ7" s="15"/>
      <c r="BA7" s="15"/>
    </row>
    <row r="8" spans="1:53" s="880" customFormat="1" ht="11.25" hidden="1" customHeight="1">
      <c r="B8" s="344"/>
      <c r="E8" s="539"/>
      <c r="W8" s="15"/>
      <c r="X8" s="15"/>
      <c r="Y8" s="15"/>
      <c r="Z8" s="480"/>
      <c r="AA8" s="15"/>
      <c r="AB8" s="344"/>
      <c r="AC8" s="344"/>
      <c r="AD8" s="344"/>
      <c r="AE8" s="344"/>
      <c r="AF8" s="391"/>
      <c r="AG8" s="15"/>
      <c r="AH8" s="15"/>
      <c r="AI8" s="15"/>
      <c r="AJ8" s="15"/>
      <c r="AK8" s="15"/>
      <c r="AL8" s="15"/>
      <c r="AM8" s="15"/>
      <c r="AN8" s="15"/>
      <c r="AO8" s="15"/>
      <c r="AP8" s="15"/>
      <c r="AQ8" s="15"/>
      <c r="AR8" s="15"/>
      <c r="AS8" s="15"/>
      <c r="AT8" s="15"/>
      <c r="AU8" s="15"/>
      <c r="AV8" s="15"/>
      <c r="AW8" s="15"/>
      <c r="AX8" s="15"/>
      <c r="AY8" s="15"/>
      <c r="AZ8" s="15"/>
      <c r="BA8" s="15"/>
    </row>
    <row r="9" spans="1:53" s="880" customFormat="1" ht="11.25" hidden="1" customHeight="1">
      <c r="B9" s="344"/>
      <c r="E9" s="539"/>
      <c r="W9" s="15"/>
      <c r="X9" s="15"/>
      <c r="Y9" s="15"/>
      <c r="Z9" s="480"/>
      <c r="AA9" s="15"/>
      <c r="AB9" s="344"/>
      <c r="AC9" s="344"/>
      <c r="AD9" s="344"/>
      <c r="AE9" s="344"/>
      <c r="AF9" s="391"/>
      <c r="AG9" s="15"/>
      <c r="AH9" s="15"/>
      <c r="AI9" s="15"/>
      <c r="AJ9" s="15"/>
      <c r="AK9" s="15"/>
      <c r="AL9" s="15"/>
      <c r="AM9" s="15"/>
      <c r="AN9" s="15"/>
      <c r="AO9" s="15"/>
      <c r="AP9" s="15"/>
      <c r="AQ9" s="15"/>
      <c r="AR9" s="15"/>
      <c r="AS9" s="15"/>
      <c r="AT9" s="15"/>
      <c r="AU9" s="15"/>
      <c r="AV9" s="15"/>
      <c r="AW9" s="15"/>
      <c r="AX9" s="15"/>
      <c r="AY9" s="15"/>
      <c r="AZ9" s="15"/>
      <c r="BA9" s="15"/>
    </row>
    <row r="10" spans="1:53" s="880" customFormat="1" ht="11.25" hidden="1" customHeight="1">
      <c r="B10" s="344"/>
      <c r="E10" s="539"/>
      <c r="W10" s="15"/>
      <c r="X10" s="15"/>
      <c r="Y10" s="15"/>
      <c r="Z10" s="480"/>
      <c r="AA10" s="15"/>
      <c r="AB10" s="344"/>
      <c r="AC10" s="344"/>
      <c r="AD10" s="344"/>
      <c r="AE10" s="344"/>
      <c r="AF10" s="391"/>
      <c r="AG10" s="15"/>
      <c r="AH10" s="15"/>
      <c r="AI10" s="15"/>
      <c r="AJ10" s="15"/>
      <c r="AK10" s="15"/>
      <c r="AL10" s="15"/>
      <c r="AM10" s="15"/>
      <c r="AN10" s="15"/>
      <c r="AO10" s="15"/>
      <c r="AP10" s="15"/>
      <c r="AQ10" s="15"/>
      <c r="AR10" s="15"/>
      <c r="AS10" s="15"/>
      <c r="AT10" s="15"/>
      <c r="AU10" s="15"/>
      <c r="AV10" s="15"/>
      <c r="AW10" s="15"/>
      <c r="AX10" s="15"/>
      <c r="AY10" s="15"/>
      <c r="AZ10" s="15"/>
      <c r="BA10" s="15"/>
    </row>
    <row r="11" spans="1:53" s="880" customFormat="1" ht="11.25" hidden="1" customHeight="1">
      <c r="B11" s="344"/>
      <c r="E11" s="539"/>
      <c r="W11" s="15"/>
      <c r="X11" s="15"/>
      <c r="Y11" s="15"/>
      <c r="Z11" s="480"/>
      <c r="AA11" s="15"/>
      <c r="AB11" s="344"/>
      <c r="AC11" s="344"/>
      <c r="AD11" s="344"/>
      <c r="AE11" s="344"/>
      <c r="AF11" s="391"/>
      <c r="AG11" s="15"/>
      <c r="AH11" s="15"/>
      <c r="AI11" s="15"/>
      <c r="AJ11" s="15"/>
      <c r="AK11" s="15"/>
      <c r="AL11" s="15"/>
      <c r="AM11" s="15"/>
      <c r="AN11" s="15"/>
      <c r="AO11" s="15"/>
      <c r="AP11" s="15"/>
      <c r="AQ11" s="15"/>
      <c r="AR11" s="15"/>
      <c r="AS11" s="15"/>
      <c r="AT11" s="15"/>
      <c r="AU11" s="15"/>
      <c r="AV11" s="15"/>
      <c r="AW11" s="15"/>
      <c r="AX11" s="15"/>
      <c r="AY11" s="15"/>
      <c r="AZ11" s="15"/>
      <c r="BA11" s="15"/>
    </row>
    <row r="12" spans="1:53" s="880" customFormat="1" ht="11.25" hidden="1" customHeight="1">
      <c r="B12" s="344"/>
      <c r="E12" s="539"/>
      <c r="W12" s="15"/>
      <c r="X12" s="15"/>
      <c r="Y12" s="15"/>
      <c r="Z12" s="480"/>
      <c r="AA12" s="15"/>
      <c r="AB12" s="344"/>
      <c r="AC12" s="344"/>
      <c r="AD12" s="344"/>
      <c r="AE12" s="344"/>
      <c r="AF12" s="391"/>
      <c r="AG12" s="15"/>
      <c r="AH12" s="15"/>
      <c r="AI12" s="15"/>
      <c r="AJ12" s="15"/>
      <c r="AK12" s="15"/>
      <c r="AL12" s="15"/>
      <c r="AM12" s="15"/>
      <c r="AN12" s="15"/>
      <c r="AO12" s="15"/>
      <c r="AP12" s="15"/>
      <c r="AQ12" s="15"/>
      <c r="AR12" s="15"/>
      <c r="AS12" s="15"/>
      <c r="AT12" s="15"/>
      <c r="AU12" s="15"/>
      <c r="AV12" s="15"/>
      <c r="AW12" s="15"/>
      <c r="AX12" s="15"/>
      <c r="AY12" s="15"/>
      <c r="AZ12" s="15"/>
      <c r="BA12" s="15"/>
    </row>
    <row r="13" spans="1:53" s="880" customFormat="1" ht="11.25" hidden="1" customHeight="1">
      <c r="B13" s="344"/>
      <c r="E13" s="539"/>
      <c r="W13" s="15"/>
      <c r="X13" s="15"/>
      <c r="Y13" s="15"/>
      <c r="Z13" s="480"/>
      <c r="AA13" s="15"/>
      <c r="AB13" s="344"/>
      <c r="AC13" s="344"/>
      <c r="AD13" s="344"/>
      <c r="AE13" s="344"/>
      <c r="AF13" s="391"/>
      <c r="AG13" s="15"/>
      <c r="AH13" s="15"/>
      <c r="AI13" s="15"/>
      <c r="AJ13" s="15"/>
      <c r="AK13" s="15"/>
      <c r="AL13" s="15"/>
      <c r="AM13" s="15"/>
      <c r="AN13" s="15"/>
      <c r="AO13" s="15"/>
      <c r="AP13" s="15"/>
      <c r="AQ13" s="15"/>
      <c r="AR13" s="15"/>
      <c r="AS13" s="15"/>
      <c r="AT13" s="15"/>
      <c r="AU13" s="15"/>
      <c r="AV13" s="15"/>
      <c r="AW13" s="15"/>
      <c r="AX13" s="15"/>
      <c r="AY13" s="15"/>
      <c r="AZ13" s="15"/>
      <c r="BA13" s="15"/>
    </row>
    <row r="14" spans="1:53" s="880" customFormat="1" ht="11.25" hidden="1" customHeight="1">
      <c r="B14" s="344"/>
      <c r="E14" s="539"/>
      <c r="W14" s="15"/>
      <c r="X14" s="15"/>
      <c r="Y14" s="15"/>
      <c r="Z14" s="480"/>
      <c r="AA14" s="15"/>
      <c r="AB14" s="344"/>
      <c r="AC14" s="344"/>
      <c r="AD14" s="344"/>
      <c r="AE14" s="344"/>
      <c r="AF14" s="391"/>
      <c r="AG14" s="15"/>
      <c r="AH14" s="15"/>
      <c r="AI14" s="15"/>
      <c r="AJ14" s="15"/>
      <c r="AK14" s="15"/>
      <c r="AL14" s="15"/>
      <c r="AM14" s="15"/>
      <c r="AN14" s="15"/>
      <c r="AO14" s="15"/>
      <c r="AP14" s="15"/>
      <c r="AQ14" s="15"/>
      <c r="AR14" s="15"/>
      <c r="AS14" s="15"/>
      <c r="AT14" s="15"/>
      <c r="AU14" s="15"/>
      <c r="AV14" s="15"/>
      <c r="AW14" s="15"/>
      <c r="AX14" s="15"/>
      <c r="AY14" s="15"/>
      <c r="AZ14" s="15"/>
      <c r="BA14" s="15"/>
    </row>
    <row r="15" spans="1:53" s="880" customFormat="1" ht="11.25" hidden="1" customHeight="1">
      <c r="B15" s="344"/>
      <c r="E15" s="539"/>
      <c r="W15" s="15"/>
      <c r="X15" s="15"/>
      <c r="Y15" s="15"/>
      <c r="Z15" s="480"/>
      <c r="AA15" s="15"/>
      <c r="AB15" s="344"/>
      <c r="AC15" s="344"/>
      <c r="AD15" s="344"/>
      <c r="AE15" s="344"/>
      <c r="AF15" s="391"/>
      <c r="AG15" s="15"/>
      <c r="AH15" s="15"/>
      <c r="AI15" s="15"/>
      <c r="AJ15" s="15"/>
      <c r="AK15" s="15"/>
      <c r="AL15" s="15"/>
      <c r="AM15" s="15"/>
      <c r="AN15" s="15"/>
      <c r="AO15" s="15"/>
      <c r="AP15" s="15"/>
      <c r="AQ15" s="15"/>
      <c r="AR15" s="15"/>
      <c r="AS15" s="15"/>
      <c r="AT15" s="15"/>
      <c r="AU15" s="15"/>
      <c r="AV15" s="15"/>
      <c r="AW15" s="15"/>
      <c r="AX15" s="15"/>
      <c r="AY15" s="15"/>
      <c r="AZ15" s="15"/>
      <c r="BA15" s="15"/>
    </row>
    <row r="16" spans="1:53" s="880" customFormat="1" ht="11.25" hidden="1" customHeight="1">
      <c r="B16" s="344"/>
      <c r="E16" s="539"/>
      <c r="W16" s="15"/>
      <c r="X16" s="15"/>
      <c r="Y16" s="15"/>
      <c r="Z16" s="480"/>
      <c r="AA16" s="15"/>
      <c r="AB16" s="344"/>
      <c r="AC16" s="344"/>
      <c r="AD16" s="344"/>
      <c r="AE16" s="344"/>
      <c r="AF16" s="391"/>
      <c r="AG16" s="15"/>
      <c r="AH16" s="15"/>
      <c r="AI16" s="15"/>
      <c r="AJ16" s="15"/>
      <c r="AK16" s="15"/>
      <c r="AL16" s="15"/>
      <c r="AM16" s="15"/>
      <c r="AN16" s="15"/>
      <c r="AO16" s="15"/>
      <c r="AP16" s="15"/>
      <c r="AQ16" s="15"/>
      <c r="AR16" s="15"/>
      <c r="AS16" s="15"/>
      <c r="AT16" s="15"/>
      <c r="AU16" s="15"/>
      <c r="AV16" s="15"/>
      <c r="AW16" s="15"/>
      <c r="AX16" s="15"/>
      <c r="AY16" s="15"/>
      <c r="AZ16" s="15"/>
      <c r="BA16" s="15"/>
    </row>
    <row r="17" spans="2:53" s="880" customFormat="1" ht="11.25" hidden="1" customHeight="1">
      <c r="B17" s="344"/>
      <c r="E17" s="539"/>
      <c r="W17" s="15"/>
      <c r="X17" s="15"/>
      <c r="Y17" s="15"/>
      <c r="Z17" s="480"/>
      <c r="AA17" s="15"/>
      <c r="AB17" s="344"/>
      <c r="AC17" s="344"/>
      <c r="AD17" s="344"/>
      <c r="AE17" s="344"/>
      <c r="AF17" s="391"/>
      <c r="AG17" s="15"/>
      <c r="AH17" s="15"/>
      <c r="AI17" s="15"/>
      <c r="AJ17" s="15"/>
      <c r="AK17" s="15"/>
      <c r="AL17" s="15"/>
      <c r="AM17" s="15"/>
      <c r="AN17" s="15"/>
      <c r="AO17" s="15"/>
      <c r="AP17" s="15"/>
      <c r="AQ17" s="15"/>
      <c r="AR17" s="15"/>
      <c r="AS17" s="15"/>
      <c r="AT17" s="15"/>
      <c r="AU17" s="15"/>
      <c r="AV17" s="15"/>
      <c r="AW17" s="15"/>
      <c r="AX17" s="15"/>
      <c r="AY17" s="15"/>
      <c r="AZ17" s="15"/>
      <c r="BA17" s="15"/>
    </row>
    <row r="18" spans="2:53" s="880" customFormat="1" ht="11.25" hidden="1" customHeight="1">
      <c r="B18" s="344"/>
      <c r="E18" s="539"/>
      <c r="W18" s="15"/>
      <c r="X18" s="15"/>
      <c r="Y18" s="15"/>
      <c r="Z18" s="480"/>
      <c r="AA18" s="15"/>
      <c r="AB18" s="344"/>
      <c r="AC18" s="344"/>
      <c r="AD18" s="344"/>
      <c r="AE18" s="344"/>
      <c r="AF18" s="391"/>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row r="20" spans="2:53" ht="11.25" hidden="1" customHeight="1"/>
    <row r="21" spans="2:53" ht="10.9" customHeight="1">
      <c r="E21" s="556">
        <v>11.25</v>
      </c>
      <c r="AA21" s="342"/>
      <c r="AF21" s="26"/>
    </row>
    <row r="22" spans="2:53" ht="18.95" customHeight="1">
      <c r="E22" s="556">
        <v>19.5</v>
      </c>
      <c r="AB22" s="1694" t="s">
        <v>100</v>
      </c>
      <c r="AC22" s="1695"/>
      <c r="AD22" s="1696"/>
      <c r="AE22" s="190" t="s">
        <v>101</v>
      </c>
      <c r="AF22" s="559" t="str" cm="1">
        <f t="array" ref="AF22">INDEX(TEHSHEET!B1:B90,MATCH(region_name,REGION,0))</f>
        <v>RU42</v>
      </c>
    </row>
    <row r="23" spans="2:53" ht="18.95" customHeight="1">
      <c r="E23" s="556">
        <v>19.5</v>
      </c>
      <c r="AB23" s="370"/>
      <c r="AC23" s="371"/>
      <c r="AD23" s="372" t="s">
        <v>102</v>
      </c>
      <c r="AE23" s="857" t="s">
        <v>103</v>
      </c>
      <c r="AH23" s="26"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I23" s="26" t="str">
        <f>IF(method_reg="Метод индексации","INDEX",IF(method_reg="Метод экономически обоснованных расходов","EOR",IF(method_reg="Метод сравнения аналогов","ANALOG","RAB")))</f>
        <v>EOR</v>
      </c>
    </row>
    <row r="24" spans="2:53" ht="18.95" customHeight="1">
      <c r="E24" s="556">
        <v>19.5</v>
      </c>
      <c r="AB24" s="1694" t="s">
        <v>104</v>
      </c>
      <c r="AC24" s="1695"/>
      <c r="AD24" s="1696"/>
      <c r="AE24" s="374">
        <v>2026</v>
      </c>
      <c r="AF24" s="300"/>
      <c r="AI24" s="26" t="str">
        <f>ORG_SHORT_NAME&amp;"_ИНН:"&amp;inn&amp;"_КПП:"&amp;kpp</f>
        <v>ОАО «СКЭК»_ИНН:4205153492_КПП:420501001</v>
      </c>
    </row>
    <row r="25" spans="2:53" ht="18.95" hidden="1" customHeight="1">
      <c r="B25" s="362" t="b">
        <f>AND(NOT(method_reg="Метод экономически обоснованных расходов"),NOT(method_reg="Метод сравнения аналогов"))</f>
        <v>0</v>
      </c>
      <c r="E25" s="556">
        <v>19.5</v>
      </c>
      <c r="AB25" s="1694" t="s">
        <v>105</v>
      </c>
      <c r="AC25" s="1695"/>
      <c r="AD25" s="1696"/>
      <c r="AE25" s="1328">
        <v>2026</v>
      </c>
      <c r="AF25" s="561">
        <f>first_year+PERIOD_LENGTH-1</f>
        <v>2026</v>
      </c>
      <c r="AG25" s="26" cm="1">
        <f t="array" ref="AG25">IF(AE222="да",god,last_year)</f>
        <v>2026</v>
      </c>
    </row>
    <row r="26" spans="2:53" ht="18.95" hidden="1" customHeight="1">
      <c r="B26" s="362" t="b">
        <f>AND(NOT(method_reg="Метод экономически обоснованных расходов"),NOT(method_reg="Метод сравнения аналогов"))</f>
        <v>0</v>
      </c>
      <c r="E26" s="556">
        <v>19.5</v>
      </c>
      <c r="AB26" s="1694" t="s">
        <v>106</v>
      </c>
      <c r="AC26" s="1695"/>
      <c r="AD26" s="1696"/>
      <c r="AE26" s="1328">
        <v>1</v>
      </c>
      <c r="AF26" s="300"/>
    </row>
    <row r="27" spans="2:53" ht="18.95" hidden="1" customHeight="1">
      <c r="B27" s="362" t="b">
        <f>AND(NOT(method_reg="Метод экономически обоснованных расходов"),NOT(method_reg="Метод сравнения аналогов"),NOT(god=first_year))</f>
        <v>0</v>
      </c>
      <c r="E27" s="556">
        <v>19.5</v>
      </c>
      <c r="AB27" s="1694" t="s">
        <v>107</v>
      </c>
      <c r="AC27" s="1695"/>
      <c r="AD27" s="1696"/>
      <c r="AE27" s="190">
        <f>IF(OR(PERIOD_LENGTH-god+first_year&lt;=0,PERIOD_LENGTH-god+first_year&gt;10),"",PERIOD_LENGTH-god+first_year)</f>
        <v>1</v>
      </c>
      <c r="AF27" s="300"/>
    </row>
    <row r="28" spans="2:53" ht="7.35" customHeight="1">
      <c r="E28" s="556">
        <v>7.5</v>
      </c>
    </row>
    <row r="29" spans="2:53" ht="7.35" customHeight="1">
      <c r="E29" s="556">
        <v>7.5</v>
      </c>
    </row>
    <row r="30" spans="2:53" ht="18.95" customHeight="1">
      <c r="E30" s="556">
        <v>19.5</v>
      </c>
      <c r="AB30" s="1697" t="s">
        <v>108</v>
      </c>
      <c r="AC30" s="1697"/>
      <c r="AD30" s="1697"/>
      <c r="AE30" s="1697"/>
      <c r="AF30" s="301"/>
      <c r="AG30" s="28"/>
      <c r="AH30" s="28"/>
      <c r="AI30" s="28"/>
      <c r="AJ30" s="28"/>
      <c r="AK30" s="28"/>
      <c r="AL30" s="28"/>
    </row>
    <row r="31" spans="2:53" ht="18.95" customHeight="1">
      <c r="E31" s="556">
        <v>19.5</v>
      </c>
      <c r="AB31" s="1698" t="s">
        <v>109</v>
      </c>
      <c r="AC31" s="1698"/>
      <c r="AD31" s="1698"/>
      <c r="AE31" s="1698"/>
      <c r="AF31" s="301"/>
      <c r="AG31" s="28"/>
      <c r="AH31" s="28"/>
      <c r="AI31" s="28"/>
      <c r="AJ31" s="28"/>
      <c r="AK31" s="28"/>
      <c r="AL31" s="28"/>
    </row>
    <row r="32" spans="2:53" ht="18.95" customHeight="1">
      <c r="E32" s="556">
        <v>19.5</v>
      </c>
      <c r="AB32" s="1699" t="s">
        <v>110</v>
      </c>
      <c r="AC32" s="1699"/>
      <c r="AD32" s="1699"/>
      <c r="AE32" s="1699"/>
      <c r="AF32" s="301"/>
      <c r="AG32" s="28"/>
      <c r="AH32" s="28"/>
      <c r="AI32" s="28"/>
      <c r="AJ32" s="28"/>
      <c r="AK32" s="28"/>
      <c r="AL32" s="28"/>
    </row>
    <row r="33" spans="5:38" ht="18.95" customHeight="1">
      <c r="E33" s="556">
        <v>19.5</v>
      </c>
      <c r="AA33" s="560">
        <v>26322895</v>
      </c>
      <c r="AB33" s="1700" t="s">
        <v>111</v>
      </c>
      <c r="AC33" s="1700"/>
      <c r="AD33" s="1700"/>
      <c r="AE33" s="1700"/>
      <c r="AG33" s="28"/>
      <c r="AH33" s="28"/>
      <c r="AI33" s="28"/>
      <c r="AJ33" s="28"/>
      <c r="AK33" s="28"/>
      <c r="AL33" s="26" t="str">
        <f>IFERROR(region_name&amp;" / "&amp;god&amp;" / "&amp;org&amp;" (ИНН:"&amp;inn&amp;", КПП:"&amp;kpp&amp;") / ДПР: "&amp;first_year&amp;"-"&amp;last_year,"")</f>
        <v>Кемеровская область / 2026 / ОАО «СКЭК» (ИНН:4205153492, КПП:420501001) / ДПР: 2026-2026</v>
      </c>
    </row>
    <row r="34" spans="5:38" ht="18.95" customHeight="1">
      <c r="E34" s="556">
        <v>19.5</v>
      </c>
      <c r="AB34" s="1701"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методом экономически обоснованных расходов (затрат)</v>
      </c>
      <c r="AC34" s="1701"/>
      <c r="AD34" s="1701"/>
      <c r="AE34" s="1701"/>
      <c r="AG34" s="28"/>
      <c r="AH34" s="28"/>
      <c r="AI34" s="28"/>
      <c r="AJ34" s="28"/>
      <c r="AK34" s="28"/>
      <c r="AL34" s="28"/>
    </row>
    <row r="35" spans="5:38" ht="18.95" customHeight="1">
      <c r="E35" s="556">
        <v>19.5</v>
      </c>
      <c r="AB35" s="1702"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на 2026 год</v>
      </c>
      <c r="AC35" s="1702"/>
      <c r="AD35" s="1702"/>
      <c r="AE35" s="1702"/>
      <c r="AF35" s="301"/>
      <c r="AG35" s="28"/>
      <c r="AH35" s="28"/>
      <c r="AI35" s="28"/>
      <c r="AJ35" s="28"/>
      <c r="AK35" s="28"/>
      <c r="AL35" s="28"/>
    </row>
    <row r="36" spans="5:38" ht="10.9" customHeight="1">
      <c r="E36" s="556">
        <v>11.25</v>
      </c>
      <c r="AB36" s="1703"/>
      <c r="AC36" s="1704"/>
      <c r="AD36" s="1704"/>
      <c r="AE36" s="1705"/>
      <c r="AF36" s="392"/>
      <c r="AG36" s="30"/>
      <c r="AH36" s="15"/>
      <c r="AI36" s="1706"/>
      <c r="AJ36" s="1706"/>
      <c r="AK36" s="15"/>
      <c r="AL36" s="30"/>
    </row>
    <row r="37" spans="5:38" ht="18.95" customHeight="1">
      <c r="E37" s="556">
        <v>19.5</v>
      </c>
      <c r="AB37" s="1707" t="s">
        <v>112</v>
      </c>
      <c r="AC37" s="1707"/>
      <c r="AD37" s="1707"/>
      <c r="AE37" s="1707"/>
      <c r="AF37" s="393"/>
      <c r="AG37" s="31"/>
      <c r="AH37" s="31"/>
      <c r="AI37" s="31"/>
      <c r="AJ37" s="31"/>
      <c r="AK37" s="31"/>
      <c r="AL37" s="27"/>
    </row>
    <row r="38" spans="5:38" ht="35.1" customHeight="1">
      <c r="E38" s="556">
        <v>36</v>
      </c>
      <c r="AB38" s="1680" t="s">
        <v>113</v>
      </c>
      <c r="AC38" s="1680"/>
      <c r="AD38" s="1680"/>
      <c r="AE38" s="669" t="s">
        <v>114</v>
      </c>
      <c r="AF38" s="394"/>
      <c r="AG38" s="27"/>
      <c r="AH38" s="27"/>
      <c r="AI38" s="27"/>
    </row>
    <row r="39" spans="5:38" ht="35.1" customHeight="1">
      <c r="E39" s="556">
        <v>36</v>
      </c>
      <c r="AB39" s="1680" t="s">
        <v>115</v>
      </c>
      <c r="AC39" s="1680"/>
      <c r="AD39" s="1680"/>
      <c r="AE39" s="669" t="s">
        <v>111</v>
      </c>
      <c r="AF39" s="394"/>
    </row>
    <row r="40" spans="5:38" ht="18.95" customHeight="1">
      <c r="E40" s="556">
        <v>19.5</v>
      </c>
      <c r="AB40" s="1680" t="s">
        <v>116</v>
      </c>
      <c r="AC40" s="1680"/>
      <c r="AD40" s="1680"/>
      <c r="AE40" s="1068"/>
      <c r="AF40" s="300"/>
    </row>
    <row r="41" spans="5:38" ht="18.95" customHeight="1">
      <c r="E41" s="556">
        <v>19.5</v>
      </c>
      <c r="AB41" s="1680" t="s">
        <v>117</v>
      </c>
      <c r="AC41" s="1680"/>
      <c r="AD41" s="1680"/>
      <c r="AE41" s="670" t="s">
        <v>118</v>
      </c>
      <c r="AF41" s="300"/>
    </row>
    <row r="42" spans="5:38" ht="18.95" customHeight="1">
      <c r="E42" s="556">
        <v>19.5</v>
      </c>
      <c r="AB42" s="1680" t="s">
        <v>119</v>
      </c>
      <c r="AC42" s="1680"/>
      <c r="AD42" s="1680"/>
      <c r="AE42" s="670" t="s">
        <v>120</v>
      </c>
      <c r="AF42" s="300"/>
    </row>
    <row r="43" spans="5:38" ht="18.95" customHeight="1">
      <c r="E43" s="556">
        <v>19.5</v>
      </c>
      <c r="AB43" s="1680" t="s">
        <v>121</v>
      </c>
      <c r="AC43" s="1680"/>
      <c r="AD43" s="1680"/>
      <c r="AE43" s="670" t="s">
        <v>122</v>
      </c>
      <c r="AF43" s="300"/>
    </row>
    <row r="44" spans="5:38" ht="18.95" customHeight="1">
      <c r="E44" s="556">
        <v>19.5</v>
      </c>
      <c r="AB44" s="1680" t="s">
        <v>123</v>
      </c>
      <c r="AC44" s="1680"/>
      <c r="AD44" s="1680"/>
      <c r="AE44" s="297" t="s">
        <v>124</v>
      </c>
      <c r="AF44" s="300"/>
      <c r="AG44" s="26" t="s">
        <v>125</v>
      </c>
    </row>
    <row r="45" spans="5:38" ht="18.95" customHeight="1">
      <c r="E45" s="556">
        <v>19.5</v>
      </c>
      <c r="AB45" s="1680" t="s">
        <v>126</v>
      </c>
      <c r="AC45" s="1680"/>
      <c r="AD45" s="1680"/>
      <c r="AE45" s="302" t="s">
        <v>127</v>
      </c>
      <c r="AF45" s="300"/>
      <c r="AG45" s="26" t="s">
        <v>128</v>
      </c>
    </row>
    <row r="46" spans="5:38" ht="18.95" customHeight="1">
      <c r="E46" s="556">
        <v>19.5</v>
      </c>
      <c r="AB46" s="1680" t="s">
        <v>129</v>
      </c>
      <c r="AC46" s="1680"/>
      <c r="AD46" s="1680"/>
      <c r="AE46" s="302" t="s">
        <v>130</v>
      </c>
      <c r="AG46" s="26" t="s">
        <v>131</v>
      </c>
    </row>
    <row r="47" spans="5:38" ht="18.95" customHeight="1">
      <c r="E47" s="556">
        <v>19.5</v>
      </c>
      <c r="AB47" s="1680" t="s">
        <v>132</v>
      </c>
      <c r="AC47" s="1680"/>
      <c r="AD47" s="1680"/>
      <c r="AE47" s="302" t="s">
        <v>130</v>
      </c>
      <c r="AG47" s="26" t="s">
        <v>133</v>
      </c>
    </row>
    <row r="48" spans="5:38" ht="18.95" customHeight="1">
      <c r="E48" s="556">
        <v>19.5</v>
      </c>
      <c r="AB48" s="1680" t="s">
        <v>134</v>
      </c>
      <c r="AC48" s="1680"/>
      <c r="AD48" s="1680"/>
      <c r="AE48" s="302" t="s">
        <v>135</v>
      </c>
      <c r="AG48" s="26" t="s">
        <v>136</v>
      </c>
    </row>
    <row r="49" spans="2:33" ht="18.95" customHeight="1">
      <c r="E49" s="556">
        <v>19.5</v>
      </c>
      <c r="AB49" s="1680" t="s">
        <v>137</v>
      </c>
      <c r="AC49" s="1680"/>
      <c r="AD49" s="1680"/>
      <c r="AE49" s="303" t="s">
        <v>138</v>
      </c>
      <c r="AG49" s="26" t="s">
        <v>139</v>
      </c>
    </row>
    <row r="50" spans="2:33" ht="18.95" customHeight="1">
      <c r="E50" s="556">
        <v>19.5</v>
      </c>
      <c r="AB50" s="1680" t="s">
        <v>140</v>
      </c>
      <c r="AC50" s="1680"/>
      <c r="AD50" s="1680"/>
      <c r="AE50" s="302" t="s">
        <v>141</v>
      </c>
      <c r="AG50" s="26" t="s">
        <v>142</v>
      </c>
    </row>
    <row r="51" spans="2:33" ht="18.95" customHeight="1">
      <c r="E51" s="556">
        <v>19.5</v>
      </c>
      <c r="AB51" s="1680" t="s">
        <v>143</v>
      </c>
      <c r="AC51" s="1680"/>
      <c r="AD51" s="1680"/>
      <c r="AE51" s="302" t="s">
        <v>144</v>
      </c>
      <c r="AG51" s="26" t="s">
        <v>145</v>
      </c>
    </row>
    <row r="52" spans="2:33" ht="18.95" customHeight="1">
      <c r="E52" s="556">
        <v>19.5</v>
      </c>
      <c r="AB52" s="1680" t="s">
        <v>146</v>
      </c>
      <c r="AC52" s="1680"/>
      <c r="AD52" s="1680"/>
      <c r="AE52" s="304" t="s">
        <v>147</v>
      </c>
      <c r="AG52" s="26" t="s">
        <v>148</v>
      </c>
    </row>
    <row r="53" spans="2:33" ht="18.95" customHeight="1">
      <c r="E53" s="556">
        <v>19.5</v>
      </c>
      <c r="AB53" s="1680" t="s">
        <v>149</v>
      </c>
      <c r="AC53" s="1680"/>
      <c r="AD53" s="16" t="s">
        <v>150</v>
      </c>
      <c r="AE53" s="305" t="s">
        <v>151</v>
      </c>
      <c r="AG53" s="26" t="s">
        <v>152</v>
      </c>
    </row>
    <row r="54" spans="2:33" ht="18.95" customHeight="1">
      <c r="E54" s="556">
        <v>19.5</v>
      </c>
      <c r="AB54" s="1680"/>
      <c r="AC54" s="1680"/>
      <c r="AD54" s="16" t="s">
        <v>153</v>
      </c>
      <c r="AE54" s="1329" t="s">
        <v>154</v>
      </c>
      <c r="AG54" s="26" t="s">
        <v>155</v>
      </c>
    </row>
    <row r="55" spans="2:33" ht="18.95" customHeight="1">
      <c r="E55" s="556">
        <v>19.5</v>
      </c>
      <c r="AB55" s="1680"/>
      <c r="AC55" s="1680"/>
      <c r="AD55" s="16" t="s">
        <v>156</v>
      </c>
      <c r="AE55" s="1329" t="s">
        <v>157</v>
      </c>
      <c r="AG55" s="26" t="s">
        <v>158</v>
      </c>
    </row>
    <row r="56" spans="2:33" ht="24.95" customHeight="1">
      <c r="E56" s="556">
        <v>25.5</v>
      </c>
      <c r="AB56" s="1680" t="s">
        <v>159</v>
      </c>
      <c r="AC56" s="1680"/>
      <c r="AD56" s="1680"/>
      <c r="AE56" s="305" t="s">
        <v>160</v>
      </c>
      <c r="AF56" s="395"/>
      <c r="AG56" s="26" t="s">
        <v>161</v>
      </c>
    </row>
    <row r="57" spans="2:33" ht="24.95" customHeight="1">
      <c r="E57" s="556">
        <v>25.5</v>
      </c>
      <c r="AB57" s="1680" t="s">
        <v>162</v>
      </c>
      <c r="AC57" s="1680"/>
      <c r="AD57" s="1680"/>
      <c r="AE57" s="305" t="s">
        <v>163</v>
      </c>
      <c r="AF57" s="562"/>
      <c r="AG57" s="487"/>
    </row>
    <row r="58" spans="2:33" ht="18.95" customHeight="1">
      <c r="E58" s="556">
        <v>19.5</v>
      </c>
      <c r="AB58" s="1680" t="s">
        <v>164</v>
      </c>
      <c r="AC58" s="1680"/>
      <c r="AD58" s="1680"/>
      <c r="AE58" s="305" t="s">
        <v>160</v>
      </c>
      <c r="AG58" s="26" t="s">
        <v>165</v>
      </c>
    </row>
    <row r="59" spans="2:33" ht="24.95" customHeight="1">
      <c r="E59" s="556">
        <v>25.5</v>
      </c>
      <c r="AB59" s="1680" t="s">
        <v>166</v>
      </c>
      <c r="AC59" s="1680"/>
      <c r="AD59" s="1680"/>
      <c r="AE59" s="305" t="s">
        <v>160</v>
      </c>
      <c r="AF59" s="395"/>
      <c r="AG59" s="26" t="s">
        <v>167</v>
      </c>
    </row>
    <row r="60" spans="2:33" ht="18.95" customHeight="1">
      <c r="B60" s="362" t="b">
        <f>NOT(method_reg="Метод сравнения аналогов")</f>
        <v>1</v>
      </c>
      <c r="E60" s="556">
        <v>19.5</v>
      </c>
      <c r="F60" s="26" t="s">
        <v>168</v>
      </c>
      <c r="AB60" s="1680" t="s">
        <v>169</v>
      </c>
      <c r="AC60" s="1680"/>
      <c r="AD60" s="1680"/>
      <c r="AE60" s="305" t="s">
        <v>160</v>
      </c>
      <c r="AG60" s="26" t="s">
        <v>170</v>
      </c>
    </row>
    <row r="61" spans="2:33" ht="32.65" customHeight="1">
      <c r="B61" s="362" t="b">
        <f>AND(NOT(method_reg="Метод сравнения аналогов"),STATUS_GO="да")</f>
        <v>1</v>
      </c>
      <c r="E61" s="556">
        <v>12</v>
      </c>
      <c r="AA61" s="555"/>
      <c r="AB61" s="1680" t="s">
        <v>171</v>
      </c>
      <c r="AC61" s="1680"/>
      <c r="AD61" s="1680"/>
      <c r="AE61" s="1330" t="s">
        <v>172</v>
      </c>
      <c r="AF61" s="555"/>
    </row>
    <row r="62" spans="2:33" ht="11.65" hidden="1" customHeight="1">
      <c r="B62" s="362" t="b">
        <f>AND(NOT(method_reg="Метод сравнения аналогов"),STATUS_GO="да")</f>
        <v>1</v>
      </c>
      <c r="E62" s="556">
        <v>12</v>
      </c>
      <c r="W62" s="417" t="b">
        <f>ROW(Y62)&gt;ROW(Y$62)</f>
        <v>0</v>
      </c>
      <c r="Y62" s="26" t="s">
        <v>173</v>
      </c>
      <c r="AA62" s="555" t="s">
        <v>174</v>
      </c>
      <c r="AB62" s="1680" t="s">
        <v>171</v>
      </c>
      <c r="AC62" s="1680"/>
      <c r="AD62" s="1680"/>
      <c r="AE62" s="333"/>
      <c r="AF62" s="555"/>
    </row>
    <row r="63" spans="2:33" ht="13.7" customHeight="1">
      <c r="B63" s="362" t="b">
        <f>AND(NOT(method_reg="Метод сравнения аналогов"),STATUS_GO="да")</f>
        <v>1</v>
      </c>
      <c r="E63" s="556">
        <v>14</v>
      </c>
      <c r="F63" s="26" t="s">
        <v>175</v>
      </c>
      <c r="Y63" s="27" t="s">
        <v>176</v>
      </c>
      <c r="AB63" s="181"/>
      <c r="AC63" s="180"/>
      <c r="AD63" s="180"/>
      <c r="AE63" s="280" t="s">
        <v>177</v>
      </c>
      <c r="AF63" s="990"/>
    </row>
    <row r="64" spans="2:33" ht="13.7" hidden="1" customHeight="1">
      <c r="B64" s="362" t="b">
        <f t="shared" ref="B64:B69" si="0">method_reg="Метод сравнения аналогов"</f>
        <v>0</v>
      </c>
      <c r="E64" s="556">
        <v>14</v>
      </c>
      <c r="AB64" s="481"/>
      <c r="AC64" s="482"/>
      <c r="AD64" s="482"/>
      <c r="AE64" s="483"/>
      <c r="AF64" s="990"/>
    </row>
    <row r="65" spans="2:33" ht="18.95" hidden="1" customHeight="1">
      <c r="B65" s="362" t="b">
        <f t="shared" si="0"/>
        <v>0</v>
      </c>
      <c r="E65" s="556">
        <v>19.5</v>
      </c>
      <c r="AB65" s="1693" t="s">
        <v>178</v>
      </c>
      <c r="AC65" s="1693"/>
      <c r="AD65" s="1693"/>
      <c r="AE65" s="669"/>
      <c r="AF65" s="990"/>
      <c r="AG65" s="858" t="s">
        <v>179</v>
      </c>
    </row>
    <row r="66" spans="2:33" ht="18.95" hidden="1" customHeight="1">
      <c r="B66" s="362" t="b">
        <f t="shared" si="0"/>
        <v>0</v>
      </c>
      <c r="E66" s="556">
        <v>19.5</v>
      </c>
      <c r="AB66" s="1693" t="s">
        <v>180</v>
      </c>
      <c r="AC66" s="1693"/>
      <c r="AD66" s="1693"/>
      <c r="AE66" s="669"/>
      <c r="AF66" s="990"/>
      <c r="AG66" s="858" t="s">
        <v>181</v>
      </c>
    </row>
    <row r="67" spans="2:33" ht="18.95" hidden="1" customHeight="1">
      <c r="B67" s="362" t="b">
        <f t="shared" si="0"/>
        <v>0</v>
      </c>
      <c r="E67" s="556">
        <v>19.5</v>
      </c>
      <c r="AB67" s="1693" t="s">
        <v>182</v>
      </c>
      <c r="AC67" s="1693"/>
      <c r="AD67" s="1693"/>
      <c r="AE67" s="669"/>
      <c r="AF67" s="990"/>
      <c r="AG67" s="858" t="s">
        <v>183</v>
      </c>
    </row>
    <row r="68" spans="2:33" ht="18.95" hidden="1" customHeight="1">
      <c r="B68" s="362" t="b">
        <f t="shared" si="0"/>
        <v>0</v>
      </c>
      <c r="E68" s="556">
        <v>19.5</v>
      </c>
      <c r="AB68" s="1680" t="s">
        <v>184</v>
      </c>
      <c r="AC68" s="1680"/>
      <c r="AD68" s="1680"/>
      <c r="AE68" s="1331"/>
      <c r="AF68" s="990"/>
      <c r="AG68" s="858" t="s">
        <v>185</v>
      </c>
    </row>
    <row r="69" spans="2:33" ht="18.95" hidden="1" customHeight="1">
      <c r="B69" s="362" t="b">
        <f t="shared" si="0"/>
        <v>0</v>
      </c>
      <c r="E69" s="556">
        <v>19.5</v>
      </c>
      <c r="AB69" s="1680" t="s">
        <v>186</v>
      </c>
      <c r="AC69" s="1680"/>
      <c r="AD69" s="1680"/>
      <c r="AE69" s="1332"/>
      <c r="AF69" s="990"/>
      <c r="AG69" s="858" t="s">
        <v>187</v>
      </c>
    </row>
    <row r="70" spans="2:33" ht="13.7" customHeight="1">
      <c r="B70" s="26"/>
      <c r="E70" s="556">
        <v>14</v>
      </c>
      <c r="AB70" s="481"/>
      <c r="AC70" s="482"/>
      <c r="AD70" s="482"/>
      <c r="AE70" s="483"/>
      <c r="AF70" s="990"/>
    </row>
    <row r="71" spans="2:33" ht="18.95" customHeight="1">
      <c r="B71" s="26"/>
      <c r="E71" s="556">
        <v>19.5</v>
      </c>
      <c r="AB71" s="1680" t="s">
        <v>188</v>
      </c>
      <c r="AC71" s="1680"/>
      <c r="AD71" s="1680"/>
      <c r="AE71" s="305" t="s">
        <v>160</v>
      </c>
      <c r="AF71" s="990"/>
      <c r="AG71" s="26" t="s">
        <v>189</v>
      </c>
    </row>
    <row r="72" spans="2:33" ht="18.95" customHeight="1">
      <c r="B72" s="26"/>
      <c r="E72" s="556">
        <v>19.5</v>
      </c>
      <c r="F72" s="26" t="s">
        <v>190</v>
      </c>
      <c r="AB72" s="1680" t="s">
        <v>191</v>
      </c>
      <c r="AC72" s="1680"/>
      <c r="AD72" s="1680"/>
      <c r="AE72" s="305" t="s">
        <v>151</v>
      </c>
      <c r="AF72" s="990"/>
      <c r="AG72" s="26" t="s">
        <v>192</v>
      </c>
    </row>
    <row r="73" spans="2:33" ht="18.95" hidden="1" customHeight="1">
      <c r="B73" s="362" t="b">
        <f t="shared" ref="B73:B83" si="1">HAS_DOC2="да"</f>
        <v>0</v>
      </c>
      <c r="E73" s="556">
        <v>19.5</v>
      </c>
      <c r="AB73" s="1682" t="s">
        <v>193</v>
      </c>
      <c r="AC73" s="1690" t="s">
        <v>194</v>
      </c>
      <c r="AD73" s="1692"/>
      <c r="AE73" s="1333"/>
      <c r="AF73" s="990"/>
    </row>
    <row r="74" spans="2:33" ht="18.95" hidden="1" customHeight="1">
      <c r="B74" s="362" t="b">
        <f t="shared" si="1"/>
        <v>0</v>
      </c>
      <c r="E74" s="556">
        <v>19.5</v>
      </c>
      <c r="AB74" s="1683"/>
      <c r="AC74" s="1690" t="s">
        <v>195</v>
      </c>
      <c r="AD74" s="1692"/>
      <c r="AE74" s="1334"/>
      <c r="AF74" s="990"/>
    </row>
    <row r="75" spans="2:33" ht="18.95" hidden="1" customHeight="1">
      <c r="B75" s="362" t="b">
        <f t="shared" si="1"/>
        <v>0</v>
      </c>
      <c r="E75" s="556">
        <v>19.5</v>
      </c>
      <c r="AB75" s="1683"/>
      <c r="AC75" s="1690" t="s">
        <v>196</v>
      </c>
      <c r="AD75" s="1692"/>
      <c r="AE75" s="1333"/>
      <c r="AF75" s="990"/>
    </row>
    <row r="76" spans="2:33" ht="18.95" hidden="1" customHeight="1">
      <c r="B76" s="362" t="b">
        <f t="shared" si="1"/>
        <v>0</v>
      </c>
      <c r="E76" s="556">
        <v>19.5</v>
      </c>
      <c r="AB76" s="1683"/>
      <c r="AC76" s="1690" t="s">
        <v>197</v>
      </c>
      <c r="AD76" s="1692"/>
      <c r="AE76" s="1335"/>
    </row>
    <row r="77" spans="2:33" ht="18.95" hidden="1" customHeight="1">
      <c r="B77" s="362" t="b">
        <f t="shared" si="1"/>
        <v>0</v>
      </c>
      <c r="E77" s="556">
        <v>19.5</v>
      </c>
      <c r="AB77" s="1684"/>
      <c r="AC77" s="1690" t="s">
        <v>198</v>
      </c>
      <c r="AD77" s="1692"/>
      <c r="AE77" s="1336"/>
    </row>
    <row r="78" spans="2:33" ht="18.95" hidden="1" customHeight="1">
      <c r="B78" s="362" t="b">
        <f t="shared" si="1"/>
        <v>0</v>
      </c>
      <c r="E78" s="556">
        <v>19.5</v>
      </c>
      <c r="W78" s="417" t="b">
        <f>ROW(Y78)&gt;ROW(Y$78)</f>
        <v>0</v>
      </c>
      <c r="Y78" s="26" t="s">
        <v>173</v>
      </c>
      <c r="AA78" s="1681" t="s">
        <v>174</v>
      </c>
      <c r="AB78" s="1682" t="s">
        <v>193</v>
      </c>
      <c r="AC78" s="1690" t="s">
        <v>194</v>
      </c>
      <c r="AD78" s="1692"/>
      <c r="AE78" s="1333"/>
    </row>
    <row r="79" spans="2:33" ht="18.95" hidden="1" customHeight="1">
      <c r="B79" s="362" t="b">
        <f t="shared" si="1"/>
        <v>0</v>
      </c>
      <c r="E79" s="556">
        <v>19.5</v>
      </c>
      <c r="W79" s="417" t="b" cm="1">
        <f t="array" ref="W79">W78</f>
        <v>0</v>
      </c>
      <c r="AA79" s="1681"/>
      <c r="AB79" s="1683"/>
      <c r="AC79" s="1690" t="s">
        <v>195</v>
      </c>
      <c r="AD79" s="1692"/>
      <c r="AE79" s="1334"/>
    </row>
    <row r="80" spans="2:33" ht="18.95" hidden="1" customHeight="1">
      <c r="B80" s="362" t="b">
        <f t="shared" si="1"/>
        <v>0</v>
      </c>
      <c r="E80" s="556">
        <v>19.5</v>
      </c>
      <c r="W80" s="417" t="b" cm="1">
        <f t="array" ref="W80">W79</f>
        <v>0</v>
      </c>
      <c r="AA80" s="1681"/>
      <c r="AB80" s="1683"/>
      <c r="AC80" s="1690" t="s">
        <v>196</v>
      </c>
      <c r="AD80" s="1692"/>
      <c r="AE80" s="1333"/>
    </row>
    <row r="81" spans="2:33" ht="18.95" hidden="1" customHeight="1">
      <c r="B81" s="362" t="b">
        <f t="shared" si="1"/>
        <v>0</v>
      </c>
      <c r="E81" s="556">
        <v>19.5</v>
      </c>
      <c r="W81" s="417" t="b" cm="1">
        <f t="array" ref="W81">W80</f>
        <v>0</v>
      </c>
      <c r="AA81" s="1681"/>
      <c r="AB81" s="1683"/>
      <c r="AC81" s="1690" t="s">
        <v>197</v>
      </c>
      <c r="AD81" s="1692"/>
      <c r="AE81" s="1335"/>
    </row>
    <row r="82" spans="2:33" ht="18.95" hidden="1" customHeight="1">
      <c r="B82" s="362" t="b">
        <f t="shared" si="1"/>
        <v>0</v>
      </c>
      <c r="E82" s="556">
        <v>19.5</v>
      </c>
      <c r="W82" s="417" t="b" cm="1">
        <f t="array" ref="W82">W81</f>
        <v>0</v>
      </c>
      <c r="AA82" s="1681"/>
      <c r="AB82" s="1684"/>
      <c r="AC82" s="1690" t="s">
        <v>198</v>
      </c>
      <c r="AD82" s="1692"/>
      <c r="AE82" s="1336"/>
    </row>
    <row r="83" spans="2:33" ht="14.65" hidden="1" customHeight="1">
      <c r="B83" s="362" t="b">
        <f t="shared" si="1"/>
        <v>0</v>
      </c>
      <c r="E83" s="556">
        <v>15</v>
      </c>
      <c r="F83" s="26" t="s">
        <v>190</v>
      </c>
      <c r="Y83" s="27" t="s">
        <v>176</v>
      </c>
      <c r="AB83" s="181"/>
      <c r="AC83" s="180"/>
      <c r="AD83" s="180"/>
      <c r="AE83" s="280" t="s">
        <v>177</v>
      </c>
    </row>
    <row r="84" spans="2:33" ht="18.95" customHeight="1">
      <c r="B84" s="26"/>
      <c r="E84" s="556">
        <v>19.5</v>
      </c>
      <c r="F84" s="26" t="s">
        <v>199</v>
      </c>
      <c r="AB84" s="1680" t="s">
        <v>200</v>
      </c>
      <c r="AC84" s="1680"/>
      <c r="AD84" s="1680"/>
      <c r="AE84" s="305" t="s">
        <v>160</v>
      </c>
      <c r="AG84" s="26" t="s">
        <v>201</v>
      </c>
    </row>
    <row r="85" spans="2:33" ht="56.65" customHeight="1">
      <c r="B85" s="362" t="b">
        <f t="shared" ref="B85:B95" si="2">HAS_DOC3="да"</f>
        <v>1</v>
      </c>
      <c r="E85" s="556">
        <v>19.5</v>
      </c>
      <c r="AB85" s="1685" t="s">
        <v>193</v>
      </c>
      <c r="AC85" s="1680" t="s">
        <v>194</v>
      </c>
      <c r="AD85" s="1680"/>
      <c r="AE85" s="297" t="s">
        <v>202</v>
      </c>
    </row>
    <row r="86" spans="2:33" ht="18.95" customHeight="1">
      <c r="B86" s="362" t="b">
        <f t="shared" si="2"/>
        <v>1</v>
      </c>
      <c r="E86" s="556">
        <v>19.5</v>
      </c>
      <c r="AB86" s="1685"/>
      <c r="AC86" s="1680" t="s">
        <v>195</v>
      </c>
      <c r="AD86" s="1680"/>
      <c r="AE86" s="298" t="s">
        <v>203</v>
      </c>
    </row>
    <row r="87" spans="2:33" ht="18.95" customHeight="1">
      <c r="B87" s="362" t="b">
        <f t="shared" si="2"/>
        <v>1</v>
      </c>
      <c r="E87" s="556">
        <v>19.5</v>
      </c>
      <c r="AB87" s="1685"/>
      <c r="AC87" s="1680" t="s">
        <v>196</v>
      </c>
      <c r="AD87" s="1680"/>
      <c r="AE87" s="297" t="s">
        <v>204</v>
      </c>
    </row>
    <row r="88" spans="2:33" ht="18.95" customHeight="1">
      <c r="B88" s="362" t="b">
        <f t="shared" si="2"/>
        <v>1</v>
      </c>
      <c r="E88" s="556">
        <v>19.5</v>
      </c>
      <c r="AB88" s="1685"/>
      <c r="AC88" s="1680" t="s">
        <v>197</v>
      </c>
      <c r="AD88" s="1680"/>
      <c r="AE88" s="336">
        <v>42775</v>
      </c>
    </row>
    <row r="89" spans="2:33" ht="25.9" customHeight="1">
      <c r="B89" s="362" t="b">
        <f t="shared" si="2"/>
        <v>1</v>
      </c>
      <c r="E89" s="556">
        <v>19.5</v>
      </c>
      <c r="AB89" s="1685"/>
      <c r="AC89" s="1680" t="s">
        <v>198</v>
      </c>
      <c r="AD89" s="1680"/>
      <c r="AE89" s="318" t="s">
        <v>205</v>
      </c>
    </row>
    <row r="90" spans="2:33" ht="18.95" hidden="1" customHeight="1">
      <c r="B90" s="362" t="b">
        <f t="shared" si="2"/>
        <v>1</v>
      </c>
      <c r="E90" s="556">
        <v>19.5</v>
      </c>
      <c r="W90" s="417" t="b">
        <f>ROW(Y90)&gt;ROW(Y$90)</f>
        <v>0</v>
      </c>
      <c r="Y90" s="26" t="s">
        <v>173</v>
      </c>
      <c r="AA90" s="1681" t="s">
        <v>174</v>
      </c>
      <c r="AB90" s="1682" t="s">
        <v>193</v>
      </c>
      <c r="AC90" s="1690" t="s">
        <v>194</v>
      </c>
      <c r="AD90" s="1692"/>
      <c r="AE90" s="1333"/>
    </row>
    <row r="91" spans="2:33" ht="18.95" hidden="1" customHeight="1">
      <c r="B91" s="362" t="b">
        <f t="shared" si="2"/>
        <v>1</v>
      </c>
      <c r="E91" s="556">
        <v>19.5</v>
      </c>
      <c r="W91" s="417" t="b" cm="1">
        <f t="array" ref="W91">W90</f>
        <v>0</v>
      </c>
      <c r="AA91" s="1681"/>
      <c r="AB91" s="1683"/>
      <c r="AC91" s="1690" t="s">
        <v>195</v>
      </c>
      <c r="AD91" s="1692"/>
      <c r="AE91" s="1334"/>
    </row>
    <row r="92" spans="2:33" ht="18.95" hidden="1" customHeight="1">
      <c r="B92" s="362" t="b">
        <f t="shared" si="2"/>
        <v>1</v>
      </c>
      <c r="E92" s="556">
        <v>19.5</v>
      </c>
      <c r="W92" s="417" t="b" cm="1">
        <f t="array" ref="W92">W91</f>
        <v>0</v>
      </c>
      <c r="AA92" s="1681"/>
      <c r="AB92" s="1683"/>
      <c r="AC92" s="1690" t="s">
        <v>196</v>
      </c>
      <c r="AD92" s="1692"/>
      <c r="AE92" s="1333"/>
    </row>
    <row r="93" spans="2:33" ht="18.95" hidden="1" customHeight="1">
      <c r="B93" s="362" t="b">
        <f t="shared" si="2"/>
        <v>1</v>
      </c>
      <c r="E93" s="556">
        <v>19.5</v>
      </c>
      <c r="W93" s="417" t="b" cm="1">
        <f t="array" ref="W93">W92</f>
        <v>0</v>
      </c>
      <c r="AA93" s="1681"/>
      <c r="AB93" s="1683"/>
      <c r="AC93" s="1690" t="s">
        <v>197</v>
      </c>
      <c r="AD93" s="1692"/>
      <c r="AE93" s="1335"/>
    </row>
    <row r="94" spans="2:33" ht="18.95" hidden="1" customHeight="1">
      <c r="B94" s="362" t="b">
        <f t="shared" si="2"/>
        <v>1</v>
      </c>
      <c r="E94" s="556">
        <v>19.5</v>
      </c>
      <c r="W94" s="417" t="b" cm="1">
        <f t="array" ref="W94">W93</f>
        <v>0</v>
      </c>
      <c r="AA94" s="1681"/>
      <c r="AB94" s="1684"/>
      <c r="AC94" s="1690" t="s">
        <v>198</v>
      </c>
      <c r="AD94" s="1692"/>
      <c r="AE94" s="1336"/>
    </row>
    <row r="95" spans="2:33" ht="14.65" customHeight="1">
      <c r="B95" s="362" t="b">
        <f t="shared" si="2"/>
        <v>1</v>
      </c>
      <c r="E95" s="556">
        <v>15</v>
      </c>
      <c r="F95" s="26" t="s">
        <v>199</v>
      </c>
      <c r="Y95" s="27" t="s">
        <v>176</v>
      </c>
      <c r="AB95" s="181"/>
      <c r="AC95" s="180"/>
      <c r="AD95" s="180"/>
      <c r="AE95" s="280" t="s">
        <v>177</v>
      </c>
    </row>
    <row r="96" spans="2:33" ht="18.95" customHeight="1">
      <c r="B96" s="362" t="b">
        <f>NOT(method_reg="Метод сравнения аналогов")</f>
        <v>1</v>
      </c>
      <c r="E96" s="556">
        <v>19.5</v>
      </c>
      <c r="F96" s="26" t="s">
        <v>206</v>
      </c>
      <c r="AB96" s="1680" t="s">
        <v>207</v>
      </c>
      <c r="AC96" s="1680"/>
      <c r="AD96" s="1680"/>
      <c r="AE96" s="305" t="s">
        <v>160</v>
      </c>
      <c r="AG96" s="26" t="s">
        <v>208</v>
      </c>
    </row>
    <row r="97" spans="2:33" ht="18.95" customHeight="1">
      <c r="B97" s="362" t="b">
        <f t="shared" ref="B97:B107" si="3">AND(NOT(method_reg="Метод сравнения аналогов"),HAS_DOC4="да")</f>
        <v>1</v>
      </c>
      <c r="E97" s="556">
        <v>19.5</v>
      </c>
      <c r="AB97" s="1685" t="s">
        <v>193</v>
      </c>
      <c r="AC97" s="1680" t="s">
        <v>194</v>
      </c>
      <c r="AD97" s="1680"/>
      <c r="AE97" s="1337" t="s">
        <v>205</v>
      </c>
    </row>
    <row r="98" spans="2:33" ht="18.95" customHeight="1">
      <c r="B98" s="362" t="b">
        <f t="shared" si="3"/>
        <v>1</v>
      </c>
      <c r="E98" s="556">
        <v>19.5</v>
      </c>
      <c r="AB98" s="1685"/>
      <c r="AC98" s="1680" t="s">
        <v>195</v>
      </c>
      <c r="AD98" s="1680"/>
      <c r="AE98" s="298" t="s">
        <v>209</v>
      </c>
    </row>
    <row r="99" spans="2:33" ht="18.95" customHeight="1">
      <c r="B99" s="362" t="b">
        <f t="shared" si="3"/>
        <v>1</v>
      </c>
      <c r="E99" s="556">
        <v>19.5</v>
      </c>
      <c r="AB99" s="1685"/>
      <c r="AC99" s="1680" t="s">
        <v>196</v>
      </c>
      <c r="AD99" s="1680"/>
      <c r="AE99" s="297" t="s">
        <v>210</v>
      </c>
    </row>
    <row r="100" spans="2:33" ht="18.95" customHeight="1">
      <c r="B100" s="362" t="b">
        <f t="shared" si="3"/>
        <v>1</v>
      </c>
      <c r="E100" s="556">
        <v>19.5</v>
      </c>
      <c r="AB100" s="1685"/>
      <c r="AC100" s="1680" t="s">
        <v>197</v>
      </c>
      <c r="AD100" s="1680"/>
      <c r="AE100" s="336">
        <v>44015</v>
      </c>
    </row>
    <row r="101" spans="2:33" ht="18.95" customHeight="1">
      <c r="B101" s="362" t="b">
        <f t="shared" si="3"/>
        <v>1</v>
      </c>
      <c r="E101" s="556">
        <v>19.5</v>
      </c>
      <c r="AB101" s="1685"/>
      <c r="AC101" s="1680" t="s">
        <v>198</v>
      </c>
      <c r="AD101" s="1680"/>
      <c r="AE101" s="318" t="s">
        <v>211</v>
      </c>
    </row>
    <row r="102" spans="2:33" ht="18.95" hidden="1" customHeight="1">
      <c r="B102" s="362" t="b">
        <f t="shared" si="3"/>
        <v>1</v>
      </c>
      <c r="E102" s="556">
        <v>19.5</v>
      </c>
      <c r="W102" s="417" t="b">
        <f>ROW(Y102)&gt;ROW(Y$102)</f>
        <v>0</v>
      </c>
      <c r="Y102" s="26" t="s">
        <v>173</v>
      </c>
      <c r="AA102" s="1681" t="s">
        <v>174</v>
      </c>
      <c r="AB102" s="1682" t="s">
        <v>193</v>
      </c>
      <c r="AC102" s="1690" t="s">
        <v>194</v>
      </c>
      <c r="AD102" s="1692"/>
      <c r="AE102" s="1333"/>
    </row>
    <row r="103" spans="2:33" ht="18.95" hidden="1" customHeight="1">
      <c r="B103" s="362" t="b">
        <f t="shared" si="3"/>
        <v>1</v>
      </c>
      <c r="E103" s="556">
        <v>19.5</v>
      </c>
      <c r="W103" s="417" t="b" cm="1">
        <f t="array" ref="W103">W102</f>
        <v>0</v>
      </c>
      <c r="AA103" s="1681"/>
      <c r="AB103" s="1683"/>
      <c r="AC103" s="1690" t="s">
        <v>195</v>
      </c>
      <c r="AD103" s="1692"/>
      <c r="AE103" s="1334"/>
    </row>
    <row r="104" spans="2:33" ht="18.95" hidden="1" customHeight="1">
      <c r="B104" s="362" t="b">
        <f t="shared" si="3"/>
        <v>1</v>
      </c>
      <c r="E104" s="556">
        <v>19.5</v>
      </c>
      <c r="W104" s="417" t="b" cm="1">
        <f t="array" ref="W104">W103</f>
        <v>0</v>
      </c>
      <c r="AA104" s="1681"/>
      <c r="AB104" s="1683"/>
      <c r="AC104" s="1690" t="s">
        <v>196</v>
      </c>
      <c r="AD104" s="1692"/>
      <c r="AE104" s="1333"/>
    </row>
    <row r="105" spans="2:33" ht="18.95" hidden="1" customHeight="1">
      <c r="B105" s="362" t="b">
        <f t="shared" si="3"/>
        <v>1</v>
      </c>
      <c r="E105" s="556">
        <v>19.5</v>
      </c>
      <c r="W105" s="417" t="b" cm="1">
        <f t="array" ref="W105">W104</f>
        <v>0</v>
      </c>
      <c r="AA105" s="1681"/>
      <c r="AB105" s="1683"/>
      <c r="AC105" s="1690" t="s">
        <v>197</v>
      </c>
      <c r="AD105" s="1692"/>
      <c r="AE105" s="1335"/>
    </row>
    <row r="106" spans="2:33" ht="18.95" hidden="1" customHeight="1">
      <c r="B106" s="362" t="b">
        <f t="shared" si="3"/>
        <v>1</v>
      </c>
      <c r="E106" s="556">
        <v>19.5</v>
      </c>
      <c r="W106" s="417" t="b" cm="1">
        <f t="array" ref="W106">W105</f>
        <v>0</v>
      </c>
      <c r="AA106" s="1681"/>
      <c r="AB106" s="1684"/>
      <c r="AC106" s="1690" t="s">
        <v>198</v>
      </c>
      <c r="AD106" s="1692"/>
      <c r="AE106" s="1336"/>
    </row>
    <row r="107" spans="2:33" ht="14.65" customHeight="1">
      <c r="B107" s="362" t="b">
        <f t="shared" si="3"/>
        <v>1</v>
      </c>
      <c r="E107" s="556">
        <v>15</v>
      </c>
      <c r="F107" s="26" t="s">
        <v>206</v>
      </c>
      <c r="Y107" s="27" t="s">
        <v>176</v>
      </c>
      <c r="AB107" s="181"/>
      <c r="AC107" s="180"/>
      <c r="AD107" s="180"/>
      <c r="AE107" s="280" t="s">
        <v>177</v>
      </c>
    </row>
    <row r="108" spans="2:33" ht="24.95" customHeight="1">
      <c r="B108" s="362" t="b">
        <f>NOT(method_reg="Метод сравнения аналогов")</f>
        <v>1</v>
      </c>
      <c r="E108" s="556">
        <v>25.5</v>
      </c>
      <c r="F108" s="26" t="s">
        <v>212</v>
      </c>
      <c r="AB108" s="1680"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1680"/>
      <c r="AD108" s="1680"/>
      <c r="AE108" s="305" t="s">
        <v>160</v>
      </c>
      <c r="AF108" s="395"/>
      <c r="AG108" s="26" t="s">
        <v>213</v>
      </c>
    </row>
    <row r="109" spans="2:33" ht="43.15" customHeight="1">
      <c r="B109" s="362" t="b">
        <f t="shared" ref="B109:B121" si="4">AND(NOT(method_reg="Метод сравнения аналогов"),HAS_DOC5="да")</f>
        <v>1</v>
      </c>
      <c r="E109" s="556">
        <v>19.5</v>
      </c>
      <c r="AB109" s="1682" t="s">
        <v>193</v>
      </c>
      <c r="AC109" s="1680" t="s">
        <v>194</v>
      </c>
      <c r="AD109" s="1680"/>
      <c r="AE109" s="1338" t="s">
        <v>214</v>
      </c>
    </row>
    <row r="110" spans="2:33" ht="18.95" customHeight="1">
      <c r="B110" s="362" t="b">
        <f t="shared" si="4"/>
        <v>1</v>
      </c>
      <c r="E110" s="556">
        <v>19.5</v>
      </c>
      <c r="AB110" s="1683"/>
      <c r="AC110" s="1680" t="s">
        <v>195</v>
      </c>
      <c r="AD110" s="1680"/>
      <c r="AE110" s="1339" t="s">
        <v>203</v>
      </c>
    </row>
    <row r="111" spans="2:33" ht="18.95" customHeight="1">
      <c r="B111" s="362" t="b">
        <f t="shared" si="4"/>
        <v>1</v>
      </c>
      <c r="E111" s="556">
        <v>19.5</v>
      </c>
      <c r="AB111" s="1683"/>
      <c r="AC111" s="1680" t="s">
        <v>196</v>
      </c>
      <c r="AD111" s="1680"/>
      <c r="AE111" s="1338" t="s">
        <v>215</v>
      </c>
    </row>
    <row r="112" spans="2:33" ht="18.95" customHeight="1">
      <c r="B112" s="362" t="b">
        <f t="shared" si="4"/>
        <v>1</v>
      </c>
      <c r="E112" s="556">
        <v>19.5</v>
      </c>
      <c r="AB112" s="1683"/>
      <c r="AC112" s="1680" t="s">
        <v>197</v>
      </c>
      <c r="AD112" s="1680"/>
      <c r="AE112" s="336">
        <v>43465</v>
      </c>
    </row>
    <row r="113" spans="2:33" ht="18.95" customHeight="1">
      <c r="B113" s="362" t="b">
        <f t="shared" si="4"/>
        <v>1</v>
      </c>
      <c r="E113" s="556">
        <v>19.5</v>
      </c>
      <c r="AB113" s="1683"/>
      <c r="AC113" s="1680" t="s">
        <v>216</v>
      </c>
      <c r="AD113" s="1680"/>
      <c r="AE113" s="336">
        <v>43466</v>
      </c>
    </row>
    <row r="114" spans="2:33" ht="18.95" customHeight="1">
      <c r="B114" s="362" t="b">
        <f t="shared" si="4"/>
        <v>1</v>
      </c>
      <c r="E114" s="556">
        <v>19.5</v>
      </c>
      <c r="AB114" s="1684"/>
      <c r="AC114" s="1680" t="s">
        <v>217</v>
      </c>
      <c r="AD114" s="1680"/>
      <c r="AE114" s="336">
        <v>50770</v>
      </c>
    </row>
    <row r="115" spans="2:33" ht="18.95" hidden="1" customHeight="1">
      <c r="B115" s="362" t="b">
        <f t="shared" si="4"/>
        <v>1</v>
      </c>
      <c r="E115" s="556">
        <v>19.5</v>
      </c>
      <c r="W115" s="417" t="b">
        <f>ROW(Y115)&gt;ROW(Y$115)</f>
        <v>0</v>
      </c>
      <c r="Y115" s="26" t="s">
        <v>173</v>
      </c>
      <c r="AA115" s="1681" t="s">
        <v>174</v>
      </c>
      <c r="AB115" s="1682" t="s">
        <v>193</v>
      </c>
      <c r="AC115" s="1680" t="s">
        <v>194</v>
      </c>
      <c r="AD115" s="1680"/>
      <c r="AE115" s="334"/>
    </row>
    <row r="116" spans="2:33" ht="18.95" hidden="1" customHeight="1">
      <c r="B116" s="362" t="b">
        <f t="shared" si="4"/>
        <v>1</v>
      </c>
      <c r="E116" s="556">
        <v>19.5</v>
      </c>
      <c r="W116" s="417" t="b" cm="1">
        <f t="array" ref="W116">W115</f>
        <v>0</v>
      </c>
      <c r="AA116" s="1681"/>
      <c r="AB116" s="1683"/>
      <c r="AC116" s="1680" t="s">
        <v>195</v>
      </c>
      <c r="AD116" s="1680"/>
      <c r="AE116" s="335"/>
    </row>
    <row r="117" spans="2:33" ht="18.95" hidden="1" customHeight="1">
      <c r="B117" s="362" t="b">
        <f t="shared" si="4"/>
        <v>1</v>
      </c>
      <c r="E117" s="556">
        <v>19.5</v>
      </c>
      <c r="W117" s="417" t="b" cm="1">
        <f t="array" ref="W117">W116</f>
        <v>0</v>
      </c>
      <c r="AA117" s="1681"/>
      <c r="AB117" s="1683"/>
      <c r="AC117" s="1680" t="s">
        <v>196</v>
      </c>
      <c r="AD117" s="1680"/>
      <c r="AE117" s="334"/>
    </row>
    <row r="118" spans="2:33" ht="18.95" hidden="1" customHeight="1">
      <c r="B118" s="362" t="b">
        <f t="shared" si="4"/>
        <v>1</v>
      </c>
      <c r="E118" s="556">
        <v>19.5</v>
      </c>
      <c r="W118" s="417" t="b" cm="1">
        <f t="array" ref="W118">W117</f>
        <v>0</v>
      </c>
      <c r="AA118" s="1681"/>
      <c r="AB118" s="1683"/>
      <c r="AC118" s="1680" t="s">
        <v>197</v>
      </c>
      <c r="AD118" s="1680"/>
      <c r="AE118" s="1335"/>
    </row>
    <row r="119" spans="2:33" ht="18.95" hidden="1" customHeight="1">
      <c r="B119" s="362" t="b">
        <f t="shared" si="4"/>
        <v>1</v>
      </c>
      <c r="E119" s="556">
        <v>19.5</v>
      </c>
      <c r="W119" s="417" t="b" cm="1">
        <f t="array" ref="W119">W118</f>
        <v>0</v>
      </c>
      <c r="AA119" s="1681"/>
      <c r="AB119" s="1683"/>
      <c r="AC119" s="1680" t="s">
        <v>216</v>
      </c>
      <c r="AD119" s="1680"/>
      <c r="AE119" s="1335"/>
    </row>
    <row r="120" spans="2:33" ht="18.95" hidden="1" customHeight="1">
      <c r="B120" s="362" t="b">
        <f t="shared" si="4"/>
        <v>1</v>
      </c>
      <c r="E120" s="556">
        <v>19.5</v>
      </c>
      <c r="W120" s="417" t="b" cm="1">
        <f t="array" ref="W120">W119</f>
        <v>0</v>
      </c>
      <c r="AA120" s="1681"/>
      <c r="AB120" s="1684"/>
      <c r="AC120" s="1680" t="s">
        <v>217</v>
      </c>
      <c r="AD120" s="1680"/>
      <c r="AE120" s="1335"/>
    </row>
    <row r="121" spans="2:33" ht="14.65" customHeight="1">
      <c r="B121" s="362" t="b">
        <f t="shared" si="4"/>
        <v>1</v>
      </c>
      <c r="E121" s="556">
        <v>15</v>
      </c>
      <c r="F121" s="26" t="s">
        <v>212</v>
      </c>
      <c r="Y121" s="27" t="s">
        <v>176</v>
      </c>
      <c r="AB121" s="181"/>
      <c r="AC121" s="180"/>
      <c r="AD121" s="180"/>
      <c r="AE121" s="280" t="s">
        <v>177</v>
      </c>
    </row>
    <row r="122" spans="2:33" ht="24.95" customHeight="1">
      <c r="B122" s="362" t="b">
        <f>NOT(method_reg="Метод сравнения аналогов")</f>
        <v>1</v>
      </c>
      <c r="E122" s="556">
        <v>25.5</v>
      </c>
      <c r="F122" s="26" t="s">
        <v>218</v>
      </c>
      <c r="AB122" s="1680"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1680"/>
      <c r="AD122" s="1680"/>
      <c r="AE122" s="305" t="s">
        <v>160</v>
      </c>
      <c r="AF122" s="395"/>
      <c r="AG122" s="26" t="s">
        <v>219</v>
      </c>
    </row>
    <row r="123" spans="2:33" ht="33.4" customHeight="1">
      <c r="B123" s="362" t="b">
        <f t="shared" ref="B123:B135" si="5">AND(NOT(method_reg="Метод сравнения аналогов"),HAS_DOC6="да")</f>
        <v>1</v>
      </c>
      <c r="E123" s="556">
        <v>19.5</v>
      </c>
      <c r="AB123" s="1685" t="s">
        <v>193</v>
      </c>
      <c r="AC123" s="1680" t="s">
        <v>194</v>
      </c>
      <c r="AD123" s="1680"/>
      <c r="AE123" s="1338" t="s">
        <v>214</v>
      </c>
    </row>
    <row r="124" spans="2:33" ht="18.95" customHeight="1">
      <c r="B124" s="362" t="b">
        <f t="shared" si="5"/>
        <v>1</v>
      </c>
      <c r="E124" s="556">
        <v>19.5</v>
      </c>
      <c r="AB124" s="1685"/>
      <c r="AC124" s="1680" t="s">
        <v>195</v>
      </c>
      <c r="AD124" s="1680"/>
      <c r="AE124" s="1339" t="s">
        <v>203</v>
      </c>
    </row>
    <row r="125" spans="2:33" ht="18.95" customHeight="1">
      <c r="B125" s="362" t="b">
        <f t="shared" si="5"/>
        <v>1</v>
      </c>
      <c r="E125" s="556">
        <v>19.5</v>
      </c>
      <c r="AB125" s="1685"/>
      <c r="AC125" s="1680" t="s">
        <v>196</v>
      </c>
      <c r="AD125" s="1680"/>
      <c r="AE125" s="1338" t="s">
        <v>215</v>
      </c>
    </row>
    <row r="126" spans="2:33" ht="18.95" customHeight="1">
      <c r="B126" s="362" t="b">
        <f t="shared" si="5"/>
        <v>1</v>
      </c>
      <c r="E126" s="556">
        <v>19.5</v>
      </c>
      <c r="AB126" s="1685"/>
      <c r="AC126" s="1680" t="s">
        <v>197</v>
      </c>
      <c r="AD126" s="1680"/>
      <c r="AE126" s="336">
        <v>43465</v>
      </c>
    </row>
    <row r="127" spans="2:33" ht="18.95" customHeight="1">
      <c r="B127" s="362" t="b">
        <f t="shared" si="5"/>
        <v>1</v>
      </c>
      <c r="E127" s="556">
        <v>19.5</v>
      </c>
      <c r="AB127" s="1685"/>
      <c r="AC127" s="1680" t="s">
        <v>216</v>
      </c>
      <c r="AD127" s="1680"/>
      <c r="AE127" s="336">
        <v>43466</v>
      </c>
    </row>
    <row r="128" spans="2:33" ht="18.95" customHeight="1">
      <c r="B128" s="362" t="b">
        <f t="shared" si="5"/>
        <v>1</v>
      </c>
      <c r="E128" s="556">
        <v>19.5</v>
      </c>
      <c r="AB128" s="1685"/>
      <c r="AC128" s="1680" t="s">
        <v>217</v>
      </c>
      <c r="AD128" s="1680"/>
      <c r="AE128" s="336">
        <v>50770</v>
      </c>
    </row>
    <row r="129" spans="2:33" ht="18.95" hidden="1" customHeight="1">
      <c r="B129" s="362" t="b">
        <f t="shared" si="5"/>
        <v>1</v>
      </c>
      <c r="E129" s="556">
        <v>19.5</v>
      </c>
      <c r="W129" s="417" t="b">
        <f>ROW(Y129)&gt;ROW(Y$129)</f>
        <v>0</v>
      </c>
      <c r="Y129" s="26" t="s">
        <v>173</v>
      </c>
      <c r="AA129" s="1681" t="s">
        <v>174</v>
      </c>
      <c r="AB129" s="1685" t="s">
        <v>193</v>
      </c>
      <c r="AC129" s="1680" t="s">
        <v>194</v>
      </c>
      <c r="AD129" s="1680"/>
      <c r="AE129" s="334"/>
    </row>
    <row r="130" spans="2:33" ht="18.95" hidden="1" customHeight="1">
      <c r="B130" s="362" t="b">
        <f t="shared" si="5"/>
        <v>1</v>
      </c>
      <c r="E130" s="556">
        <v>19.5</v>
      </c>
      <c r="W130" s="417" t="b" cm="1">
        <f t="array" ref="W130">W129</f>
        <v>0</v>
      </c>
      <c r="AA130" s="1681"/>
      <c r="AB130" s="1685"/>
      <c r="AC130" s="1680" t="s">
        <v>195</v>
      </c>
      <c r="AD130" s="1680"/>
      <c r="AE130" s="335"/>
    </row>
    <row r="131" spans="2:33" ht="18.95" hidden="1" customHeight="1">
      <c r="B131" s="362" t="b">
        <f t="shared" si="5"/>
        <v>1</v>
      </c>
      <c r="E131" s="556">
        <v>19.5</v>
      </c>
      <c r="W131" s="417" t="b" cm="1">
        <f t="array" ref="W131">W130</f>
        <v>0</v>
      </c>
      <c r="AA131" s="1681"/>
      <c r="AB131" s="1685"/>
      <c r="AC131" s="1680" t="s">
        <v>196</v>
      </c>
      <c r="AD131" s="1680"/>
      <c r="AE131" s="334"/>
    </row>
    <row r="132" spans="2:33" ht="18.95" hidden="1" customHeight="1">
      <c r="B132" s="362" t="b">
        <f t="shared" si="5"/>
        <v>1</v>
      </c>
      <c r="E132" s="556">
        <v>19.5</v>
      </c>
      <c r="W132" s="417" t="b" cm="1">
        <f t="array" ref="W132">W131</f>
        <v>0</v>
      </c>
      <c r="AA132" s="1681"/>
      <c r="AB132" s="1685"/>
      <c r="AC132" s="1680" t="s">
        <v>197</v>
      </c>
      <c r="AD132" s="1680"/>
      <c r="AE132" s="1335"/>
    </row>
    <row r="133" spans="2:33" ht="18.95" hidden="1" customHeight="1">
      <c r="B133" s="362" t="b">
        <f t="shared" si="5"/>
        <v>1</v>
      </c>
      <c r="E133" s="556">
        <v>19.5</v>
      </c>
      <c r="W133" s="417" t="b" cm="1">
        <f t="array" ref="W133">W132</f>
        <v>0</v>
      </c>
      <c r="AA133" s="1681"/>
      <c r="AB133" s="1685"/>
      <c r="AC133" s="1680" t="s">
        <v>216</v>
      </c>
      <c r="AD133" s="1680"/>
      <c r="AE133" s="1335"/>
    </row>
    <row r="134" spans="2:33" ht="18.95" hidden="1" customHeight="1">
      <c r="B134" s="362" t="b">
        <f t="shared" si="5"/>
        <v>1</v>
      </c>
      <c r="E134" s="556">
        <v>19.5</v>
      </c>
      <c r="W134" s="417" t="b" cm="1">
        <f t="array" ref="W134">W133</f>
        <v>0</v>
      </c>
      <c r="AA134" s="1681"/>
      <c r="AB134" s="1685"/>
      <c r="AC134" s="1680" t="s">
        <v>217</v>
      </c>
      <c r="AD134" s="1680"/>
      <c r="AE134" s="1335"/>
    </row>
    <row r="135" spans="2:33" ht="14.65" customHeight="1">
      <c r="B135" s="362" t="b">
        <f t="shared" si="5"/>
        <v>1</v>
      </c>
      <c r="E135" s="556">
        <v>15</v>
      </c>
      <c r="F135" s="26" t="s">
        <v>218</v>
      </c>
      <c r="Y135" s="27" t="s">
        <v>176</v>
      </c>
      <c r="AB135" s="181"/>
      <c r="AC135" s="180"/>
      <c r="AD135" s="180"/>
      <c r="AE135" s="280" t="s">
        <v>177</v>
      </c>
    </row>
    <row r="136" spans="2:33" ht="24.95" customHeight="1">
      <c r="B136" s="362" t="b">
        <f>NOT(method_reg="Метод сравнения аналогов")</f>
        <v>1</v>
      </c>
      <c r="E136" s="556">
        <v>25.5</v>
      </c>
      <c r="F136" s="26" t="s">
        <v>220</v>
      </c>
      <c r="AB136" s="1680"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1680"/>
      <c r="AD136" s="1680"/>
      <c r="AE136" s="305" t="s">
        <v>160</v>
      </c>
      <c r="AF136" s="395"/>
      <c r="AG136" s="26" t="s">
        <v>221</v>
      </c>
    </row>
    <row r="137" spans="2:33" ht="18.95" customHeight="1">
      <c r="B137" s="362" t="b">
        <f t="shared" ref="B137:B149" si="6">AND(NOT(method_reg="Метод сравнения аналогов"),HAS_DOC7="да")</f>
        <v>1</v>
      </c>
      <c r="E137" s="556">
        <v>19.5</v>
      </c>
      <c r="AB137" s="1685" t="s">
        <v>193</v>
      </c>
      <c r="AC137" s="1680" t="s">
        <v>194</v>
      </c>
      <c r="AD137" s="1680"/>
      <c r="AE137" s="1338" t="s">
        <v>222</v>
      </c>
    </row>
    <row r="138" spans="2:33" ht="18.95" customHeight="1">
      <c r="B138" s="362" t="b">
        <f t="shared" si="6"/>
        <v>1</v>
      </c>
      <c r="E138" s="556">
        <v>19.5</v>
      </c>
      <c r="AB138" s="1685"/>
      <c r="AC138" s="1680" t="s">
        <v>195</v>
      </c>
      <c r="AD138" s="1680"/>
      <c r="AE138" s="1338" t="s">
        <v>223</v>
      </c>
    </row>
    <row r="139" spans="2:33" ht="18.95" customHeight="1">
      <c r="B139" s="362" t="b">
        <f t="shared" si="6"/>
        <v>1</v>
      </c>
      <c r="E139" s="556">
        <v>19.5</v>
      </c>
      <c r="AB139" s="1685"/>
      <c r="AC139" s="1680" t="s">
        <v>196</v>
      </c>
      <c r="AD139" s="1680"/>
      <c r="AE139" s="1338" t="s">
        <v>224</v>
      </c>
    </row>
    <row r="140" spans="2:33" ht="18.95" customHeight="1">
      <c r="B140" s="362" t="b">
        <f t="shared" si="6"/>
        <v>1</v>
      </c>
      <c r="E140" s="556">
        <v>19.5</v>
      </c>
      <c r="AB140" s="1685"/>
      <c r="AC140" s="1680" t="s">
        <v>197</v>
      </c>
      <c r="AD140" s="1680"/>
      <c r="AE140" s="336">
        <v>43462</v>
      </c>
    </row>
    <row r="141" spans="2:33" ht="18.95" customHeight="1">
      <c r="B141" s="362" t="b">
        <f t="shared" si="6"/>
        <v>1</v>
      </c>
      <c r="E141" s="556">
        <v>19.5</v>
      </c>
      <c r="AB141" s="1685"/>
      <c r="AC141" s="1680" t="s">
        <v>225</v>
      </c>
      <c r="AD141" s="1680"/>
      <c r="AE141" s="336">
        <v>43466</v>
      </c>
    </row>
    <row r="142" spans="2:33" ht="18.95" customHeight="1">
      <c r="B142" s="362" t="b">
        <f t="shared" si="6"/>
        <v>1</v>
      </c>
      <c r="E142" s="556">
        <v>19.5</v>
      </c>
      <c r="AB142" s="1685"/>
      <c r="AC142" s="1680" t="s">
        <v>226</v>
      </c>
      <c r="AD142" s="1680"/>
      <c r="AE142" s="336">
        <v>50770</v>
      </c>
    </row>
    <row r="143" spans="2:33" ht="18.95" hidden="1" customHeight="1">
      <c r="B143" s="362" t="b">
        <f t="shared" si="6"/>
        <v>1</v>
      </c>
      <c r="E143" s="556">
        <v>19.5</v>
      </c>
      <c r="W143" s="417" t="b">
        <f>ROW(Y143)&gt;ROW(Y$143)</f>
        <v>0</v>
      </c>
      <c r="Y143" s="26" t="s">
        <v>173</v>
      </c>
      <c r="AA143" s="1681" t="s">
        <v>174</v>
      </c>
      <c r="AB143" s="1685" t="s">
        <v>193</v>
      </c>
      <c r="AC143" s="1680" t="s">
        <v>194</v>
      </c>
      <c r="AD143" s="1680"/>
      <c r="AE143" s="334"/>
    </row>
    <row r="144" spans="2:33" ht="18.95" hidden="1" customHeight="1">
      <c r="B144" s="362" t="b">
        <f t="shared" si="6"/>
        <v>1</v>
      </c>
      <c r="E144" s="556">
        <v>19.5</v>
      </c>
      <c r="W144" s="417" t="b" cm="1">
        <f t="array" ref="W144">W143</f>
        <v>0</v>
      </c>
      <c r="AA144" s="1681"/>
      <c r="AB144" s="1685"/>
      <c r="AC144" s="1680" t="s">
        <v>195</v>
      </c>
      <c r="AD144" s="1680"/>
      <c r="AE144" s="1334"/>
    </row>
    <row r="145" spans="2:33" ht="18.95" hidden="1" customHeight="1">
      <c r="B145" s="362" t="b">
        <f t="shared" si="6"/>
        <v>1</v>
      </c>
      <c r="E145" s="556">
        <v>19.5</v>
      </c>
      <c r="W145" s="417" t="b" cm="1">
        <f t="array" ref="W145">W144</f>
        <v>0</v>
      </c>
      <c r="AA145" s="1681"/>
      <c r="AB145" s="1685"/>
      <c r="AC145" s="1680" t="s">
        <v>196</v>
      </c>
      <c r="AD145" s="1680"/>
      <c r="AE145" s="334"/>
    </row>
    <row r="146" spans="2:33" ht="18.95" hidden="1" customHeight="1">
      <c r="B146" s="362" t="b">
        <f t="shared" si="6"/>
        <v>1</v>
      </c>
      <c r="E146" s="556">
        <v>19.5</v>
      </c>
      <c r="W146" s="417" t="b" cm="1">
        <f t="array" ref="W146">W145</f>
        <v>0</v>
      </c>
      <c r="AA146" s="1681"/>
      <c r="AB146" s="1685"/>
      <c r="AC146" s="1680" t="s">
        <v>197</v>
      </c>
      <c r="AD146" s="1680"/>
      <c r="AE146" s="1335"/>
    </row>
    <row r="147" spans="2:33" ht="18.95" hidden="1" customHeight="1">
      <c r="B147" s="362" t="b">
        <f t="shared" si="6"/>
        <v>1</v>
      </c>
      <c r="E147" s="556">
        <v>19.5</v>
      </c>
      <c r="W147" s="417" t="b" cm="1">
        <f t="array" ref="W147">W146</f>
        <v>0</v>
      </c>
      <c r="AA147" s="1681"/>
      <c r="AB147" s="1685"/>
      <c r="AC147" s="1680" t="s">
        <v>225</v>
      </c>
      <c r="AD147" s="1680"/>
      <c r="AE147" s="1335"/>
    </row>
    <row r="148" spans="2:33" ht="18.95" hidden="1" customHeight="1">
      <c r="B148" s="362" t="b">
        <f t="shared" si="6"/>
        <v>1</v>
      </c>
      <c r="E148" s="556">
        <v>19.5</v>
      </c>
      <c r="W148" s="417" t="b" cm="1">
        <f t="array" ref="W148">W147</f>
        <v>0</v>
      </c>
      <c r="AA148" s="1681"/>
      <c r="AB148" s="1685"/>
      <c r="AC148" s="1680" t="s">
        <v>226</v>
      </c>
      <c r="AD148" s="1680"/>
      <c r="AE148" s="1335"/>
    </row>
    <row r="149" spans="2:33" ht="14.65" customHeight="1">
      <c r="B149" s="362" t="b">
        <f t="shared" si="6"/>
        <v>1</v>
      </c>
      <c r="E149" s="556">
        <v>15</v>
      </c>
      <c r="F149" s="26" t="s">
        <v>220</v>
      </c>
      <c r="Y149" s="27" t="s">
        <v>176</v>
      </c>
      <c r="AB149" s="181"/>
      <c r="AC149" s="180"/>
      <c r="AD149" s="180"/>
      <c r="AE149" s="280" t="s">
        <v>177</v>
      </c>
    </row>
    <row r="150" spans="2:33" ht="18.95" customHeight="1">
      <c r="B150" s="26"/>
      <c r="E150" s="556">
        <v>19.5</v>
      </c>
      <c r="AB150" s="1680" t="s">
        <v>227</v>
      </c>
      <c r="AC150" s="1680"/>
      <c r="AD150" s="1680"/>
      <c r="AE150" s="297"/>
      <c r="AG150" s="26" t="s">
        <v>228</v>
      </c>
    </row>
    <row r="151" spans="2:33" ht="24.95" customHeight="1">
      <c r="B151" s="26"/>
      <c r="E151" s="556">
        <v>25.5</v>
      </c>
      <c r="F151" s="26" t="s">
        <v>168</v>
      </c>
      <c r="AB151" s="1680" t="s">
        <v>229</v>
      </c>
      <c r="AC151" s="1680"/>
      <c r="AD151" s="1680"/>
      <c r="AE151" s="305" t="s">
        <v>160</v>
      </c>
      <c r="AF151" s="395"/>
      <c r="AG151" s="296" t="s">
        <v>230</v>
      </c>
    </row>
    <row r="152" spans="2:33" ht="10.9" customHeight="1">
      <c r="B152" s="26"/>
      <c r="E152" s="556">
        <v>11.25</v>
      </c>
      <c r="AE152" s="62" t="s">
        <v>231</v>
      </c>
    </row>
    <row r="153" spans="2:33" ht="18.95" customHeight="1">
      <c r="B153" s="26"/>
      <c r="E153" s="556">
        <v>19.5</v>
      </c>
      <c r="AB153" s="1680" t="s">
        <v>232</v>
      </c>
      <c r="AC153" s="1680"/>
      <c r="AD153" s="16" t="s">
        <v>233</v>
      </c>
      <c r="AE153" s="297" t="s">
        <v>234</v>
      </c>
      <c r="AG153" s="26" t="s">
        <v>235</v>
      </c>
    </row>
    <row r="154" spans="2:33" ht="18.95" customHeight="1">
      <c r="B154" s="26"/>
      <c r="E154" s="556">
        <v>19.5</v>
      </c>
      <c r="AB154" s="1680"/>
      <c r="AC154" s="1680"/>
      <c r="AD154" s="16" t="s">
        <v>236</v>
      </c>
      <c r="AE154" s="297" t="s">
        <v>237</v>
      </c>
      <c r="AG154" s="26" t="s">
        <v>238</v>
      </c>
    </row>
    <row r="155" spans="2:33" ht="18.95" customHeight="1">
      <c r="B155" s="26"/>
      <c r="E155" s="556">
        <v>19.5</v>
      </c>
      <c r="AB155" s="1680"/>
      <c r="AC155" s="1680"/>
      <c r="AD155" s="16" t="s">
        <v>239</v>
      </c>
      <c r="AE155" s="297" t="s">
        <v>240</v>
      </c>
      <c r="AG155" s="26" t="s">
        <v>241</v>
      </c>
    </row>
    <row r="156" spans="2:33" ht="18.95" customHeight="1">
      <c r="B156" s="26"/>
      <c r="E156" s="556">
        <v>19.5</v>
      </c>
      <c r="AB156" s="1680"/>
      <c r="AC156" s="1680"/>
      <c r="AD156" s="16" t="s">
        <v>242</v>
      </c>
      <c r="AE156" s="1340" t="s">
        <v>243</v>
      </c>
      <c r="AG156" s="26" t="s">
        <v>244</v>
      </c>
    </row>
    <row r="157" spans="2:33" ht="10.9" customHeight="1">
      <c r="B157" s="26"/>
      <c r="E157" s="556">
        <v>11.25</v>
      </c>
      <c r="AB157" s="122"/>
      <c r="AC157" s="122"/>
      <c r="AD157" s="122"/>
      <c r="AE157" s="213"/>
    </row>
    <row r="158" spans="2:33" ht="14.65" customHeight="1">
      <c r="B158" s="26"/>
      <c r="E158" s="556">
        <v>15</v>
      </c>
      <c r="AB158" s="1709" t="s">
        <v>245</v>
      </c>
      <c r="AC158" s="1709"/>
      <c r="AD158" s="1709"/>
      <c r="AE158" s="1709"/>
    </row>
    <row r="159" spans="2:33" ht="14.65" customHeight="1">
      <c r="B159" s="26"/>
      <c r="E159" s="556">
        <v>15</v>
      </c>
      <c r="AB159" s="1710" t="s">
        <v>246</v>
      </c>
      <c r="AC159" s="1710"/>
      <c r="AD159" s="1710"/>
      <c r="AE159" s="1710"/>
      <c r="AF159" s="396"/>
    </row>
    <row r="160" spans="2:33" ht="14.65" customHeight="1">
      <c r="B160" s="26"/>
      <c r="E160" s="556">
        <v>15</v>
      </c>
      <c r="AB160" s="1708" t="s">
        <v>247</v>
      </c>
      <c r="AC160" s="1708"/>
      <c r="AD160" s="1708"/>
      <c r="AE160" s="1708"/>
      <c r="AF160" s="396"/>
    </row>
    <row r="161" spans="2:38" ht="14.65" customHeight="1">
      <c r="B161" s="26"/>
      <c r="E161" s="556">
        <v>15</v>
      </c>
      <c r="AB161" s="1708" t="s">
        <v>248</v>
      </c>
      <c r="AC161" s="1708"/>
      <c r="AD161" s="1708"/>
      <c r="AE161" s="1708"/>
      <c r="AF161" s="396"/>
    </row>
    <row r="162" spans="2:38" ht="14.65" customHeight="1">
      <c r="B162" s="26"/>
      <c r="E162" s="556">
        <v>15</v>
      </c>
      <c r="AB162" s="1708" t="s">
        <v>249</v>
      </c>
      <c r="AC162" s="1708"/>
      <c r="AD162" s="1708"/>
      <c r="AE162" s="1708"/>
      <c r="AF162" s="396"/>
    </row>
    <row r="163" spans="2:38" ht="14.65" customHeight="1">
      <c r="B163" s="26"/>
      <c r="E163" s="556">
        <v>15</v>
      </c>
      <c r="AB163" s="1708" t="s">
        <v>250</v>
      </c>
      <c r="AC163" s="1708"/>
      <c r="AD163" s="1708"/>
      <c r="AE163" s="1708"/>
      <c r="AF163" s="396"/>
    </row>
    <row r="164" spans="2:38" ht="26.65" customHeight="1">
      <c r="B164" s="26"/>
      <c r="E164" s="556">
        <v>27.25</v>
      </c>
      <c r="AB164" s="1708" t="s">
        <v>251</v>
      </c>
      <c r="AC164" s="1708"/>
      <c r="AD164" s="1708"/>
      <c r="AE164" s="1708"/>
      <c r="AF164" s="397"/>
    </row>
    <row r="165" spans="2:38" ht="14.65" customHeight="1">
      <c r="B165" s="26"/>
      <c r="E165" s="556">
        <v>15</v>
      </c>
      <c r="AB165" s="1708" t="s">
        <v>252</v>
      </c>
      <c r="AC165" s="1708"/>
      <c r="AD165" s="1708"/>
      <c r="AE165" s="1708"/>
      <c r="AF165" s="396"/>
    </row>
    <row r="166" spans="2:38" ht="26.65" customHeight="1">
      <c r="B166" s="26"/>
      <c r="E166" s="556">
        <v>27.25</v>
      </c>
      <c r="AB166" s="1708" t="s">
        <v>253</v>
      </c>
      <c r="AC166" s="1708"/>
      <c r="AD166" s="1708"/>
      <c r="AE166" s="1708"/>
      <c r="AF166" s="397"/>
    </row>
    <row r="167" spans="2:38" ht="14.65" customHeight="1">
      <c r="B167" s="26"/>
      <c r="E167" s="556">
        <v>15</v>
      </c>
      <c r="AB167" s="1708" t="s">
        <v>254</v>
      </c>
      <c r="AC167" s="1708"/>
      <c r="AD167" s="1708"/>
      <c r="AE167" s="1708"/>
      <c r="AF167" s="396"/>
    </row>
    <row r="168" spans="2:38" ht="14.65" customHeight="1">
      <c r="B168" s="26"/>
      <c r="E168" s="556">
        <v>15</v>
      </c>
      <c r="AB168" s="1708" t="s">
        <v>255</v>
      </c>
      <c r="AC168" s="1708"/>
      <c r="AD168" s="1708"/>
      <c r="AE168" s="1708"/>
      <c r="AF168" s="396"/>
    </row>
    <row r="169" spans="2:38" ht="26.65" customHeight="1">
      <c r="B169" s="26"/>
      <c r="E169" s="556">
        <v>27.25</v>
      </c>
      <c r="AB169" s="1708" t="s">
        <v>256</v>
      </c>
      <c r="AC169" s="1708"/>
      <c r="AD169" s="1708"/>
      <c r="AE169" s="1708"/>
      <c r="AF169" s="397"/>
    </row>
    <row r="170" spans="2:38" ht="35.1" customHeight="1">
      <c r="B170" s="26"/>
      <c r="E170" s="556">
        <v>36</v>
      </c>
      <c r="AB170" s="1708" t="s">
        <v>257</v>
      </c>
      <c r="AC170" s="1708"/>
      <c r="AD170" s="1708"/>
      <c r="AE170" s="1708"/>
      <c r="AF170" s="397"/>
    </row>
    <row r="171" spans="2:38" ht="14.65" customHeight="1">
      <c r="B171" s="26"/>
      <c r="E171" s="556">
        <v>15</v>
      </c>
      <c r="W171" s="417" t="b">
        <f>NOT(method_reg="Метод сравнения аналогов")</f>
        <v>1</v>
      </c>
      <c r="AB171" s="1708" t="s">
        <v>258</v>
      </c>
      <c r="AC171" s="1708"/>
      <c r="AD171" s="1708"/>
      <c r="AE171" s="1708"/>
      <c r="AF171" s="396"/>
    </row>
    <row r="172" spans="2:38" ht="14.65" customHeight="1">
      <c r="B172" s="26"/>
      <c r="E172" s="556">
        <v>15</v>
      </c>
      <c r="AB172" s="1718" t="str">
        <f>IF(W171,"14","13")&amp;". Иные нормативные правовые акты Российской Федерации."</f>
        <v>14. Иные нормативные правовые акты Российской Федерации.</v>
      </c>
      <c r="AC172" s="1718"/>
      <c r="AD172" s="1718"/>
      <c r="AE172" s="1718"/>
      <c r="AF172" s="396"/>
    </row>
    <row r="173" spans="2:38" ht="11.65" customHeight="1">
      <c r="B173" s="26"/>
      <c r="E173" s="556">
        <v>12</v>
      </c>
      <c r="AB173" s="409"/>
      <c r="AC173" s="409"/>
      <c r="AD173" s="558" t="b">
        <f>COUNTIF(AE193:AE208,"Водоснабжение")&gt;0</f>
        <v>1</v>
      </c>
      <c r="AE173" s="558" t="b">
        <f>COUNTIF(AE193:AE208,"Водоотведение")&gt;0</f>
        <v>0</v>
      </c>
      <c r="AF173" s="559" t="b">
        <f>COUNTIF(AE193:AE208,"Транспортировка воды")&gt;0</f>
        <v>0</v>
      </c>
      <c r="AG173" s="560" t="b">
        <f>COUNTIF(AE193:AE208,"Транспортировка сточных вод")&gt;0</f>
        <v>0</v>
      </c>
    </row>
    <row r="174" spans="2:38" ht="18.95" customHeight="1">
      <c r="B174" s="26"/>
      <c r="E174" s="556">
        <v>19.5</v>
      </c>
      <c r="AB174" s="1719" t="s">
        <v>259</v>
      </c>
      <c r="AC174" s="1719"/>
      <c r="AD174" s="1719"/>
      <c r="AE174" s="1720"/>
      <c r="AF174" s="393"/>
      <c r="AG174" s="31"/>
      <c r="AH174" s="31"/>
      <c r="AI174" s="31"/>
      <c r="AJ174" s="31"/>
      <c r="AK174" s="31"/>
      <c r="AL174" s="27"/>
    </row>
    <row r="175" spans="2:38" ht="24.95" customHeight="1">
      <c r="B175" s="26"/>
      <c r="E175" s="556">
        <v>25.5</v>
      </c>
      <c r="AB175" s="1717" t="s">
        <v>260</v>
      </c>
      <c r="AC175" s="1717"/>
      <c r="AD175" s="1717"/>
      <c r="AE175" s="513" t="s">
        <v>151</v>
      </c>
      <c r="AF175" s="395"/>
      <c r="AG175" s="31" t="s">
        <v>261</v>
      </c>
      <c r="AH175" s="31"/>
      <c r="AI175" s="31"/>
      <c r="AJ175" s="31"/>
      <c r="AK175" s="31"/>
      <c r="AL175" s="27"/>
    </row>
    <row r="176" spans="2:38" ht="18.95" customHeight="1">
      <c r="B176" s="362" t="b">
        <f>FIRST_TIME_REG="нет"</f>
        <v>1</v>
      </c>
      <c r="E176" s="556">
        <v>19.5</v>
      </c>
      <c r="AB176" s="1713" t="s">
        <v>262</v>
      </c>
      <c r="AC176" s="1714"/>
      <c r="AD176" s="514" t="s">
        <v>195</v>
      </c>
      <c r="AE176" s="1339" t="s">
        <v>203</v>
      </c>
      <c r="AG176" s="31" t="s">
        <v>263</v>
      </c>
      <c r="AH176" s="31"/>
      <c r="AI176" s="31"/>
      <c r="AJ176" s="31"/>
      <c r="AK176" s="31"/>
      <c r="AL176" s="27"/>
    </row>
    <row r="177" spans="2:40" ht="18.95" customHeight="1">
      <c r="B177" s="362" t="b">
        <f>FIRST_TIME_REG="нет"</f>
        <v>1</v>
      </c>
      <c r="E177" s="556">
        <v>19.5</v>
      </c>
      <c r="AB177" s="1713"/>
      <c r="AC177" s="1714"/>
      <c r="AD177" s="307" t="s">
        <v>196</v>
      </c>
      <c r="AE177" s="1338" t="s">
        <v>264</v>
      </c>
      <c r="AG177" s="26" t="s">
        <v>265</v>
      </c>
    </row>
    <row r="178" spans="2:40" ht="18.95" customHeight="1">
      <c r="B178" s="362" t="b">
        <f>FIRST_TIME_REG="нет"</f>
        <v>1</v>
      </c>
      <c r="E178" s="556">
        <v>19.5</v>
      </c>
      <c r="AB178" s="1715"/>
      <c r="AC178" s="1716"/>
      <c r="AD178" s="307" t="s">
        <v>197</v>
      </c>
      <c r="AE178" s="1341">
        <v>45645</v>
      </c>
      <c r="AG178" s="26" t="s">
        <v>266</v>
      </c>
    </row>
    <row r="179" spans="2:40" ht="19.899999999999999" customHeight="1">
      <c r="B179" s="26"/>
      <c r="E179" s="556">
        <v>20.5</v>
      </c>
      <c r="F179" s="91" t="s">
        <v>267</v>
      </c>
      <c r="AB179" s="1721" t="s">
        <v>268</v>
      </c>
      <c r="AC179" s="1722"/>
      <c r="AD179" s="406"/>
      <c r="AE179" s="407"/>
      <c r="AF179" s="398"/>
      <c r="AG179" s="398"/>
      <c r="AN179" s="26" t="s">
        <v>269</v>
      </c>
    </row>
    <row r="180" spans="2:40" ht="18.2" hidden="1" customHeight="1">
      <c r="B180" s="26"/>
      <c r="E180" s="556">
        <v>18.75</v>
      </c>
      <c r="F180" s="26" cm="1">
        <f t="array" ref="F180">Z180</f>
        <v>0</v>
      </c>
      <c r="V180" s="170" cm="1">
        <f t="array" ref="V180">AE181</f>
        <v>0</v>
      </c>
      <c r="W180" s="417" t="b">
        <f>Z180&gt;0</f>
        <v>0</v>
      </c>
      <c r="X180" s="26" t="s">
        <v>270</v>
      </c>
      <c r="Z180" s="1711">
        <v>0</v>
      </c>
      <c r="AA180" s="1729"/>
      <c r="AB180" s="1723"/>
      <c r="AC180" s="1724"/>
      <c r="AD180" s="313" t="str">
        <f>"Тариф "&amp;Z180</f>
        <v>Тариф 0</v>
      </c>
      <c r="AE180" s="314"/>
      <c r="AF180" s="1712" t="s">
        <v>174</v>
      </c>
      <c r="AG180" s="26" t="str">
        <f>AD180&amp;" ("&amp;AE180&amp;") - "&amp;AE182&amp;IF(AE186="",""," ("&amp;AE186&amp;")")</f>
        <v xml:space="preserve">Тариф 0 () - </v>
      </c>
      <c r="AH180" s="26" cm="1">
        <f t="array" ref="AH180">AE185</f>
        <v>0</v>
      </c>
      <c r="AI180" s="170" cm="1">
        <f t="array" ref="AI180">AE182</f>
        <v>0</v>
      </c>
      <c r="AJ180" s="26" cm="1">
        <f t="array" ref="AJ180">AE186</f>
        <v>0</v>
      </c>
      <c r="AK180" s="26" cm="1">
        <f t="array" ref="AK180">AE183</f>
        <v>0</v>
      </c>
      <c r="AL180" s="815" t="str" cm="1">
        <f t="array" ref="AL180">AE190</f>
        <v/>
      </c>
      <c r="AM180" s="414" cm="1">
        <f t="array" ref="AM180">AE191</f>
        <v>0</v>
      </c>
      <c r="AN180" s="26" t="b">
        <f>IF(ISERR(SEARCH("трансп",AI180)),FALSE,TRUE)</f>
        <v>0</v>
      </c>
    </row>
    <row r="181" spans="2:40" ht="16.149999999999999" hidden="1" customHeight="1">
      <c r="B181" s="26"/>
      <c r="E181" s="556">
        <v>16.5</v>
      </c>
      <c r="F181" s="26" cm="1">
        <f t="array" ref="F181">F180</f>
        <v>0</v>
      </c>
      <c r="V181" s="170"/>
      <c r="W181" s="417" t="b" cm="1">
        <f t="array" ref="W181">W180</f>
        <v>0</v>
      </c>
      <c r="Z181" s="1711"/>
      <c r="AA181" s="1729"/>
      <c r="AB181" s="1723"/>
      <c r="AC181" s="1724"/>
      <c r="AD181" s="315" t="s">
        <v>271</v>
      </c>
      <c r="AE181" s="306"/>
      <c r="AF181" s="1712"/>
    </row>
    <row r="182" spans="2:40" ht="16.149999999999999" hidden="1" customHeight="1">
      <c r="B182" s="26"/>
      <c r="E182" s="556">
        <v>16.5</v>
      </c>
      <c r="F182" s="26" cm="1">
        <f t="array" ref="F182">F181</f>
        <v>0</v>
      </c>
      <c r="V182" s="170"/>
      <c r="W182" s="417" t="b" cm="1">
        <f t="array" ref="W182">W181</f>
        <v>0</v>
      </c>
      <c r="Z182" s="1711"/>
      <c r="AA182" s="1729"/>
      <c r="AB182" s="1723"/>
      <c r="AC182" s="1724"/>
      <c r="AD182" s="315" t="s">
        <v>272</v>
      </c>
      <c r="AE182" s="1342"/>
      <c r="AF182" s="1712"/>
    </row>
    <row r="183" spans="2:40" ht="16.149999999999999" hidden="1" customHeight="1">
      <c r="B183" s="26"/>
      <c r="E183" s="556">
        <v>16.5</v>
      </c>
      <c r="F183" s="26" cm="1">
        <f t="array" ref="F183">F182</f>
        <v>0</v>
      </c>
      <c r="V183" s="170"/>
      <c r="W183" s="417" t="b" cm="1">
        <f t="array" ref="W183">W182</f>
        <v>0</v>
      </c>
      <c r="Z183" s="1711"/>
      <c r="AA183" s="1729"/>
      <c r="AB183" s="1723"/>
      <c r="AC183" s="1724"/>
      <c r="AD183" s="315" t="s">
        <v>273</v>
      </c>
      <c r="AE183" s="1342"/>
      <c r="AF183" s="1712"/>
    </row>
    <row r="184" spans="2:40" ht="16.149999999999999" hidden="1" customHeight="1">
      <c r="B184" s="26"/>
      <c r="E184" s="556">
        <v>16.5</v>
      </c>
      <c r="F184" s="26" cm="1">
        <f t="array" ref="F184">F183</f>
        <v>0</v>
      </c>
      <c r="V184" s="170"/>
      <c r="W184" s="417" t="b" cm="1">
        <f t="array" ref="W184">W183</f>
        <v>0</v>
      </c>
      <c r="Z184" s="1711"/>
      <c r="AA184" s="1729"/>
      <c r="AB184" s="1723"/>
      <c r="AC184" s="1724"/>
      <c r="AD184" s="315" t="s">
        <v>274</v>
      </c>
      <c r="AE184" s="668"/>
      <c r="AF184" s="1712"/>
    </row>
    <row r="185" spans="2:40" ht="16.149999999999999" hidden="1" customHeight="1">
      <c r="B185" s="26"/>
      <c r="E185" s="556">
        <v>16.5</v>
      </c>
      <c r="F185" s="26" cm="1">
        <f t="array" ref="F185">F184</f>
        <v>0</v>
      </c>
      <c r="V185" s="170"/>
      <c r="W185" s="417" t="b" cm="1">
        <f t="array" ref="W185">W184</f>
        <v>0</v>
      </c>
      <c r="Z185" s="1711"/>
      <c r="AA185" s="1729"/>
      <c r="AB185" s="1723"/>
      <c r="AC185" s="1724"/>
      <c r="AD185" s="18" t="str">
        <f>IF(AE180="Водоотведение","Вид сточных вод","Вид воды")</f>
        <v>Вид воды</v>
      </c>
      <c r="AE185" s="1342"/>
      <c r="AF185" s="1712"/>
    </row>
    <row r="186" spans="2:40" ht="16.149999999999999" hidden="1" customHeight="1">
      <c r="B186" s="26"/>
      <c r="E186" s="556">
        <v>16.5</v>
      </c>
      <c r="F186" s="26" cm="1">
        <f t="array" ref="F186">F185</f>
        <v>0</v>
      </c>
      <c r="V186" s="170"/>
      <c r="W186" s="417" t="b" cm="1">
        <f t="array" ref="W186">W185</f>
        <v>0</v>
      </c>
      <c r="Z186" s="1711"/>
      <c r="AA186" s="1729"/>
      <c r="AB186" s="1723"/>
      <c r="AC186" s="1724"/>
      <c r="AD186" s="18" t="s">
        <v>275</v>
      </c>
      <c r="AE186" s="668"/>
      <c r="AF186" s="1712"/>
    </row>
    <row r="187" spans="2:40" ht="16.149999999999999" hidden="1" customHeight="1">
      <c r="B187" s="362" t="b">
        <f t="shared" ref="B187:B193" si="7">org_declaration="Заявление организации"</f>
        <v>1</v>
      </c>
      <c r="E187" s="556">
        <v>16.5</v>
      </c>
      <c r="F187" s="26" cm="1">
        <f t="array" ref="F187">F186</f>
        <v>0</v>
      </c>
      <c r="V187" s="170"/>
      <c r="W187" s="417" t="b" cm="1">
        <f t="array" ref="W187">W186</f>
        <v>0</v>
      </c>
      <c r="Z187" s="1711"/>
      <c r="AA187" s="1729"/>
      <c r="AB187" s="1723"/>
      <c r="AC187" s="1724"/>
      <c r="AD187" s="315" t="s">
        <v>276</v>
      </c>
      <c r="AE187" s="1343"/>
      <c r="AF187" s="1712"/>
    </row>
    <row r="188" spans="2:40" ht="16.149999999999999" hidden="1" customHeight="1">
      <c r="B188" s="362" t="b">
        <f t="shared" si="7"/>
        <v>1</v>
      </c>
      <c r="E188" s="556">
        <v>16.5</v>
      </c>
      <c r="F188" s="26" cm="1">
        <f t="array" ref="F188">F187</f>
        <v>0</v>
      </c>
      <c r="V188" s="170"/>
      <c r="W188" s="417" t="b" cm="1">
        <f t="array" ref="W188">W187</f>
        <v>0</v>
      </c>
      <c r="Z188" s="1711"/>
      <c r="AA188" s="1729"/>
      <c r="AB188" s="1723"/>
      <c r="AC188" s="1724"/>
      <c r="AD188" s="315" t="s">
        <v>277</v>
      </c>
      <c r="AE188" s="1344"/>
      <c r="AF188" s="1712"/>
    </row>
    <row r="189" spans="2:40" ht="16.149999999999999" hidden="1" customHeight="1">
      <c r="B189" s="362" t="b">
        <f t="shared" si="7"/>
        <v>1</v>
      </c>
      <c r="E189" s="556">
        <v>16.5</v>
      </c>
      <c r="F189" s="26" cm="1">
        <f t="array" ref="F189">F188</f>
        <v>0</v>
      </c>
      <c r="V189" s="170"/>
      <c r="W189" s="417" t="b" cm="1">
        <f t="array" ref="W189">W188</f>
        <v>0</v>
      </c>
      <c r="Z189" s="1711"/>
      <c r="AA189" s="1729"/>
      <c r="AB189" s="1723"/>
      <c r="AC189" s="1724"/>
      <c r="AD189" s="315" t="s">
        <v>278</v>
      </c>
      <c r="AE189" s="1345"/>
      <c r="AF189" s="1712"/>
    </row>
    <row r="190" spans="2:40" ht="16.149999999999999" hidden="1" customHeight="1">
      <c r="B190" s="362" t="b">
        <f t="shared" si="7"/>
        <v>1</v>
      </c>
      <c r="E190" s="556">
        <v>16.5</v>
      </c>
      <c r="F190" s="26" cm="1">
        <f t="array" ref="F190">F189</f>
        <v>0</v>
      </c>
      <c r="V190" s="170"/>
      <c r="W190" s="417" t="b" cm="1">
        <f t="array" ref="W190">W189</f>
        <v>0</v>
      </c>
      <c r="Z190" s="1711"/>
      <c r="AA190" s="1729"/>
      <c r="AB190" s="1723"/>
      <c r="AC190" s="1724"/>
      <c r="AD190" s="315" t="s">
        <v>279</v>
      </c>
      <c r="AE190" s="1346" t="str">
        <f>IF(ISBLANK(AE192),"",DATE(AE192,7,1))</f>
        <v/>
      </c>
      <c r="AF190" s="1712"/>
    </row>
    <row r="191" spans="2:40" ht="16.149999999999999" hidden="1" customHeight="1">
      <c r="B191" s="362" t="b">
        <f t="shared" si="7"/>
        <v>1</v>
      </c>
      <c r="E191" s="556">
        <v>16.5</v>
      </c>
      <c r="F191" s="26" cm="1">
        <f t="array" ref="F191">F190</f>
        <v>0</v>
      </c>
      <c r="V191" s="170"/>
      <c r="W191" s="417" t="b" cm="1">
        <f t="array" ref="W191">W190</f>
        <v>0</v>
      </c>
      <c r="Z191" s="1711"/>
      <c r="AA191" s="1729"/>
      <c r="AB191" s="1723"/>
      <c r="AC191" s="1724"/>
      <c r="AD191" s="315" t="s">
        <v>280</v>
      </c>
      <c r="AE191" s="1347"/>
      <c r="AF191" s="1712"/>
    </row>
    <row r="192" spans="2:40" ht="21.95" hidden="1" customHeight="1">
      <c r="B192" s="362" t="b">
        <f t="shared" si="7"/>
        <v>1</v>
      </c>
      <c r="E192" s="556">
        <v>22.5</v>
      </c>
      <c r="F192" s="26" cm="1">
        <f t="array" ref="F192">F191</f>
        <v>0</v>
      </c>
      <c r="V192" s="170"/>
      <c r="W192" s="417" t="b">
        <f>AND(W191,AE191&lt;&gt;"Метод экономически обоснованных расходов",AE191&lt;&gt;"Метод сравнения аналогов")</f>
        <v>0</v>
      </c>
      <c r="Z192" s="1711"/>
      <c r="AA192" s="1729"/>
      <c r="AB192" s="1723"/>
      <c r="AC192" s="1724"/>
      <c r="AD192" s="18"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1348"/>
      <c r="AF192" s="1712"/>
    </row>
    <row r="193" spans="1:53" ht="16.149999999999999" hidden="1" customHeight="1">
      <c r="B193" s="362" t="b">
        <f t="shared" si="7"/>
        <v>1</v>
      </c>
      <c r="E193" s="556">
        <v>16.5</v>
      </c>
      <c r="F193" s="26" cm="1">
        <f t="array" ref="F193">F192</f>
        <v>0</v>
      </c>
      <c r="V193" s="170"/>
      <c r="W193" s="417" t="b">
        <f>AND(W192,AE191&lt;&gt;"Метод экономически обоснованных расходов",AE191&lt;&gt;"Метод сравнения аналогов")</f>
        <v>0</v>
      </c>
      <c r="Z193" s="1711"/>
      <c r="AA193" s="1729"/>
      <c r="AB193" s="1723"/>
      <c r="AC193" s="1724"/>
      <c r="AD193" s="315" t="s">
        <v>106</v>
      </c>
      <c r="AE193" s="1348"/>
      <c r="AF193" s="1712"/>
    </row>
    <row r="194" spans="1:53" s="1327" customFormat="1" ht="18" customHeight="1">
      <c r="A194" s="1198"/>
      <c r="B194" s="26"/>
      <c r="C194" s="1198"/>
      <c r="D194" s="1198"/>
      <c r="E194" s="556">
        <v>18.75</v>
      </c>
      <c r="F194" s="26" t="str" cm="1">
        <f t="array" ref="F194">Z194</f>
        <v>1</v>
      </c>
      <c r="G194" s="1198"/>
      <c r="H194" s="1198"/>
      <c r="I194" s="1198"/>
      <c r="J194" s="1198"/>
      <c r="K194" s="1198"/>
      <c r="L194" s="1198"/>
      <c r="M194" s="1198"/>
      <c r="N194" s="1198"/>
      <c r="O194" s="1198"/>
      <c r="P194" s="1198"/>
      <c r="Q194" s="1198"/>
      <c r="R194" s="1198"/>
      <c r="S194" s="1198"/>
      <c r="T194" s="1198"/>
      <c r="U194" s="1198"/>
      <c r="V194" s="170" t="str" cm="1">
        <f t="array" ref="V194">AE195</f>
        <v>ХВС.42.26322895.0029</v>
      </c>
      <c r="W194" s="417" t="b">
        <f>Z194&gt;0</f>
        <v>1</v>
      </c>
      <c r="X194" s="26"/>
      <c r="Y194" s="1198"/>
      <c r="Z194" s="1711" t="s">
        <v>281</v>
      </c>
      <c r="AA194" s="1729"/>
      <c r="AB194" s="1725"/>
      <c r="AC194" s="1726"/>
      <c r="AD194" s="313" t="str">
        <f>"Тариф "&amp;Z194</f>
        <v>Тариф 1</v>
      </c>
      <c r="AE194" s="314" t="s">
        <v>282</v>
      </c>
      <c r="AF194" s="1712" t="s">
        <v>174</v>
      </c>
      <c r="AG194" s="26" t="str">
        <f>AD194&amp;" ("&amp;AE194&amp;") - "&amp;AE196&amp;IF(AE200="",""," ("&amp;AE200&amp;")")</f>
        <v>Тариф 1 (Водоснабжение) - тариф на питьевую воду</v>
      </c>
      <c r="AH194" s="26" t="str" cm="1">
        <f t="array" ref="AH194">AE199</f>
        <v>питьевая вода</v>
      </c>
      <c r="AI194" s="170" t="str" cm="1">
        <f t="array" ref="AI194">AE196</f>
        <v>тариф на питьевую воду</v>
      </c>
      <c r="AJ194" s="26" cm="1">
        <f t="array" ref="AJ194">AE200</f>
        <v>0</v>
      </c>
      <c r="AK194" s="26" t="str" cm="1">
        <f t="array" ref="AK194">AE197</f>
        <v>одноставочный</v>
      </c>
      <c r="AL194" s="815" cm="1">
        <f t="array" ref="AL194">AE204</f>
        <v>46023</v>
      </c>
      <c r="AM194" s="414" t="str" cm="1">
        <f t="array" ref="AM194">AE205</f>
        <v>Метод экономически обоснованных расходов</v>
      </c>
      <c r="AN194" s="26" t="b">
        <f>IF(ISERR(SEARCH("трансп",AI194)),FALSE,TRUE)</f>
        <v>0</v>
      </c>
      <c r="AO194" s="1198"/>
      <c r="AP194" s="1198"/>
      <c r="AQ194" s="1198"/>
      <c r="AR194" s="1198"/>
      <c r="AS194" s="1198"/>
      <c r="AT194" s="1198"/>
      <c r="AU194" s="1198"/>
      <c r="AV194" s="1198"/>
      <c r="AW194" s="1198"/>
      <c r="AX194" s="1198"/>
      <c r="AY194" s="1198"/>
      <c r="AZ194" s="1198"/>
      <c r="BA194" s="1198"/>
    </row>
    <row r="195" spans="1:53" s="1327" customFormat="1" ht="15.75" customHeight="1">
      <c r="A195" s="1198"/>
      <c r="B195" s="26"/>
      <c r="C195" s="1198"/>
      <c r="D195" s="1198"/>
      <c r="E195" s="556">
        <v>16.5</v>
      </c>
      <c r="F195" s="26" t="str" cm="1">
        <f t="array" ref="F195">F194</f>
        <v>1</v>
      </c>
      <c r="G195" s="1198"/>
      <c r="H195" s="1198"/>
      <c r="I195" s="1198"/>
      <c r="J195" s="1198"/>
      <c r="K195" s="1198"/>
      <c r="L195" s="1198"/>
      <c r="M195" s="1198"/>
      <c r="N195" s="1198"/>
      <c r="O195" s="1198"/>
      <c r="P195" s="1198"/>
      <c r="Q195" s="1198"/>
      <c r="R195" s="1198"/>
      <c r="S195" s="1198"/>
      <c r="T195" s="1198"/>
      <c r="U195" s="1198"/>
      <c r="V195" s="170"/>
      <c r="W195" s="417" t="b" cm="1">
        <f t="array" ref="W195">W194</f>
        <v>1</v>
      </c>
      <c r="X195" s="1198"/>
      <c r="Y195" s="1198"/>
      <c r="Z195" s="1711"/>
      <c r="AA195" s="1729"/>
      <c r="AB195" s="1725"/>
      <c r="AC195" s="1726"/>
      <c r="AD195" s="315" t="s">
        <v>271</v>
      </c>
      <c r="AE195" s="306" t="s">
        <v>283</v>
      </c>
      <c r="AF195" s="1712"/>
      <c r="AG195" s="1198"/>
      <c r="AH195" s="1198">
        <v>7621683766</v>
      </c>
      <c r="AI195" s="1198"/>
      <c r="AJ195" s="1198"/>
      <c r="AK195" s="1198"/>
      <c r="AL195" s="1198"/>
      <c r="AM195" s="1198"/>
      <c r="AN195" s="1198"/>
      <c r="AO195" s="1198"/>
      <c r="AP195" s="1198"/>
      <c r="AQ195" s="1198"/>
      <c r="AR195" s="1198"/>
      <c r="AS195" s="1198"/>
      <c r="AT195" s="1198"/>
      <c r="AU195" s="1198"/>
      <c r="AV195" s="1198"/>
      <c r="AW195" s="1198"/>
      <c r="AX195" s="1198"/>
      <c r="AY195" s="1198"/>
      <c r="AZ195" s="1198"/>
      <c r="BA195" s="1198"/>
    </row>
    <row r="196" spans="1:53" s="1327" customFormat="1" ht="15.75" customHeight="1">
      <c r="A196" s="1198"/>
      <c r="B196" s="26"/>
      <c r="C196" s="1198"/>
      <c r="D196" s="1198"/>
      <c r="E196" s="556">
        <v>16.5</v>
      </c>
      <c r="F196" s="26" t="str" cm="1">
        <f t="array" ref="F196">F195</f>
        <v>1</v>
      </c>
      <c r="G196" s="1198"/>
      <c r="H196" s="1198"/>
      <c r="I196" s="1198"/>
      <c r="J196" s="1198"/>
      <c r="K196" s="1198"/>
      <c r="L196" s="1198"/>
      <c r="M196" s="1198"/>
      <c r="N196" s="1198"/>
      <c r="O196" s="1198"/>
      <c r="P196" s="1198"/>
      <c r="Q196" s="1198"/>
      <c r="R196" s="1198"/>
      <c r="S196" s="1198"/>
      <c r="T196" s="1198"/>
      <c r="U196" s="1198"/>
      <c r="V196" s="170"/>
      <c r="W196" s="417" t="b" cm="1">
        <f t="array" ref="W196">W195</f>
        <v>1</v>
      </c>
      <c r="X196" s="1198"/>
      <c r="Y196" s="1198"/>
      <c r="Z196" s="1711"/>
      <c r="AA196" s="1729"/>
      <c r="AB196" s="1725"/>
      <c r="AC196" s="1726"/>
      <c r="AD196" s="315" t="s">
        <v>272</v>
      </c>
      <c r="AE196" s="308" t="s">
        <v>284</v>
      </c>
      <c r="AF196" s="1712"/>
      <c r="AG196" s="1198"/>
      <c r="AH196" s="1198"/>
      <c r="AI196" s="1198"/>
      <c r="AJ196" s="1198"/>
      <c r="AK196" s="1198"/>
      <c r="AL196" s="1198"/>
      <c r="AM196" s="1198"/>
      <c r="AN196" s="1198"/>
      <c r="AO196" s="1198"/>
      <c r="AP196" s="1198"/>
      <c r="AQ196" s="1198"/>
      <c r="AR196" s="1198"/>
      <c r="AS196" s="1198"/>
      <c r="AT196" s="1198"/>
      <c r="AU196" s="1198"/>
      <c r="AV196" s="1198"/>
      <c r="AW196" s="1198"/>
      <c r="AX196" s="1198"/>
      <c r="AY196" s="1198"/>
      <c r="AZ196" s="1198"/>
      <c r="BA196" s="1198"/>
    </row>
    <row r="197" spans="1:53" s="1327" customFormat="1" ht="15.75" customHeight="1">
      <c r="A197" s="1198"/>
      <c r="B197" s="26"/>
      <c r="C197" s="1198"/>
      <c r="D197" s="1198"/>
      <c r="E197" s="556">
        <v>16.5</v>
      </c>
      <c r="F197" s="26" t="str" cm="1">
        <f t="array" ref="F197">F196</f>
        <v>1</v>
      </c>
      <c r="G197" s="1198"/>
      <c r="H197" s="1198"/>
      <c r="I197" s="1198"/>
      <c r="J197" s="1198"/>
      <c r="K197" s="1198"/>
      <c r="L197" s="1198"/>
      <c r="M197" s="1198"/>
      <c r="N197" s="1198"/>
      <c r="O197" s="1198"/>
      <c r="P197" s="1198"/>
      <c r="Q197" s="1198"/>
      <c r="R197" s="1198"/>
      <c r="S197" s="1198"/>
      <c r="T197" s="1198"/>
      <c r="U197" s="1198"/>
      <c r="V197" s="170"/>
      <c r="W197" s="417" t="b" cm="1">
        <f t="array" ref="W197">W196</f>
        <v>1</v>
      </c>
      <c r="X197" s="1198"/>
      <c r="Y197" s="1198"/>
      <c r="Z197" s="1711"/>
      <c r="AA197" s="1729"/>
      <c r="AB197" s="1725"/>
      <c r="AC197" s="1726"/>
      <c r="AD197" s="315" t="s">
        <v>273</v>
      </c>
      <c r="AE197" s="308" t="s">
        <v>285</v>
      </c>
      <c r="AF197" s="1712"/>
      <c r="AG197" s="1198"/>
      <c r="AH197" s="1198"/>
      <c r="AI197" s="1198"/>
      <c r="AJ197" s="1198"/>
      <c r="AK197" s="1198"/>
      <c r="AL197" s="1198"/>
      <c r="AM197" s="1198"/>
      <c r="AN197" s="1198"/>
      <c r="AO197" s="1198"/>
      <c r="AP197" s="1198"/>
      <c r="AQ197" s="1198"/>
      <c r="AR197" s="1198"/>
      <c r="AS197" s="1198"/>
      <c r="AT197" s="1198"/>
      <c r="AU197" s="1198"/>
      <c r="AV197" s="1198"/>
      <c r="AW197" s="1198"/>
      <c r="AX197" s="1198"/>
      <c r="AY197" s="1198"/>
      <c r="AZ197" s="1198"/>
      <c r="BA197" s="1198"/>
    </row>
    <row r="198" spans="1:53" s="1327" customFormat="1" ht="12.75" customHeight="1">
      <c r="A198" s="1198"/>
      <c r="B198" s="26"/>
      <c r="C198" s="1198"/>
      <c r="D198" s="1198"/>
      <c r="E198" s="556">
        <v>16.5</v>
      </c>
      <c r="F198" s="26" t="str" cm="1">
        <f t="array" ref="F198">F197</f>
        <v>1</v>
      </c>
      <c r="G198" s="1198"/>
      <c r="H198" s="1198"/>
      <c r="I198" s="1198"/>
      <c r="J198" s="1198"/>
      <c r="K198" s="1198"/>
      <c r="L198" s="1198"/>
      <c r="M198" s="1198"/>
      <c r="N198" s="1198"/>
      <c r="O198" s="1198"/>
      <c r="P198" s="1198"/>
      <c r="Q198" s="1198"/>
      <c r="R198" s="1198"/>
      <c r="S198" s="1198"/>
      <c r="T198" s="1198"/>
      <c r="U198" s="1198"/>
      <c r="V198" s="170"/>
      <c r="W198" s="417" t="b" cm="1">
        <f t="array" ref="W198">W197</f>
        <v>1</v>
      </c>
      <c r="X198" s="1198"/>
      <c r="Y198" s="1198"/>
      <c r="Z198" s="1711"/>
      <c r="AA198" s="1729"/>
      <c r="AB198" s="1725"/>
      <c r="AC198" s="1726"/>
      <c r="AD198" s="315" t="s">
        <v>274</v>
      </c>
      <c r="AE198" s="668" t="s">
        <v>286</v>
      </c>
      <c r="AF198" s="1712"/>
      <c r="AG198" s="1198"/>
      <c r="AH198" s="1198"/>
      <c r="AI198" s="1198"/>
      <c r="AJ198" s="1198"/>
      <c r="AK198" s="1198"/>
      <c r="AL198" s="1198"/>
      <c r="AM198" s="1198"/>
      <c r="AN198" s="1198"/>
      <c r="AO198" s="1198"/>
      <c r="AP198" s="1198"/>
      <c r="AQ198" s="1198"/>
      <c r="AR198" s="1198"/>
      <c r="AS198" s="1198"/>
      <c r="AT198" s="1198"/>
      <c r="AU198" s="1198"/>
      <c r="AV198" s="1198"/>
      <c r="AW198" s="1198"/>
      <c r="AX198" s="1198"/>
      <c r="AY198" s="1198"/>
      <c r="AZ198" s="1198"/>
      <c r="BA198" s="1198"/>
    </row>
    <row r="199" spans="1:53" s="1327" customFormat="1" ht="15.75" customHeight="1">
      <c r="A199" s="1198"/>
      <c r="B199" s="26"/>
      <c r="C199" s="1198"/>
      <c r="D199" s="1198"/>
      <c r="E199" s="556">
        <v>16.5</v>
      </c>
      <c r="F199" s="26" t="str" cm="1">
        <f t="array" ref="F199">F198</f>
        <v>1</v>
      </c>
      <c r="G199" s="1198"/>
      <c r="H199" s="1198"/>
      <c r="I199" s="1198"/>
      <c r="J199" s="1198"/>
      <c r="K199" s="1198"/>
      <c r="L199" s="1198"/>
      <c r="M199" s="1198"/>
      <c r="N199" s="1198"/>
      <c r="O199" s="1198"/>
      <c r="P199" s="1198"/>
      <c r="Q199" s="1198"/>
      <c r="R199" s="1198"/>
      <c r="S199" s="1198"/>
      <c r="T199" s="1198"/>
      <c r="U199" s="1198"/>
      <c r="V199" s="170"/>
      <c r="W199" s="417" t="b" cm="1">
        <f t="array" ref="W199">W198</f>
        <v>1</v>
      </c>
      <c r="X199" s="1198"/>
      <c r="Y199" s="1198"/>
      <c r="Z199" s="1711"/>
      <c r="AA199" s="1729"/>
      <c r="AB199" s="1725"/>
      <c r="AC199" s="1726"/>
      <c r="AD199" s="18" t="str">
        <f>IF(AE194="Водоотведение","Вид сточных вод","Вид воды")</f>
        <v>Вид воды</v>
      </c>
      <c r="AE199" s="308" t="s">
        <v>287</v>
      </c>
      <c r="AF199" s="1712"/>
      <c r="AG199" s="1198"/>
      <c r="AH199" s="1198"/>
      <c r="AI199" s="1198"/>
      <c r="AJ199" s="1198"/>
      <c r="AK199" s="1198"/>
      <c r="AL199" s="1198"/>
      <c r="AM199" s="1198"/>
      <c r="AN199" s="1198"/>
      <c r="AO199" s="1198"/>
      <c r="AP199" s="1198"/>
      <c r="AQ199" s="1198"/>
      <c r="AR199" s="1198"/>
      <c r="AS199" s="1198"/>
      <c r="AT199" s="1198"/>
      <c r="AU199" s="1198"/>
      <c r="AV199" s="1198"/>
      <c r="AW199" s="1198"/>
      <c r="AX199" s="1198"/>
      <c r="AY199" s="1198"/>
      <c r="AZ199" s="1198"/>
      <c r="BA199" s="1198"/>
    </row>
    <row r="200" spans="1:53" s="1327" customFormat="1" ht="12.75" customHeight="1">
      <c r="A200" s="1198"/>
      <c r="B200" s="26"/>
      <c r="C200" s="1198"/>
      <c r="D200" s="1198"/>
      <c r="E200" s="556">
        <v>16.5</v>
      </c>
      <c r="F200" s="26" t="str" cm="1">
        <f t="array" ref="F200">F199</f>
        <v>1</v>
      </c>
      <c r="G200" s="1198"/>
      <c r="H200" s="1198"/>
      <c r="I200" s="1198"/>
      <c r="J200" s="1198"/>
      <c r="K200" s="1198"/>
      <c r="L200" s="1198"/>
      <c r="M200" s="1198"/>
      <c r="N200" s="1198"/>
      <c r="O200" s="1198"/>
      <c r="P200" s="1198"/>
      <c r="Q200" s="1198"/>
      <c r="R200" s="1198"/>
      <c r="S200" s="1198"/>
      <c r="T200" s="1198"/>
      <c r="U200" s="1198"/>
      <c r="V200" s="170"/>
      <c r="W200" s="417" t="b" cm="1">
        <f t="array" ref="W200">W199</f>
        <v>1</v>
      </c>
      <c r="X200" s="1198"/>
      <c r="Y200" s="1198"/>
      <c r="Z200" s="1711"/>
      <c r="AA200" s="1729"/>
      <c r="AB200" s="1725"/>
      <c r="AC200" s="1726"/>
      <c r="AD200" s="18" t="s">
        <v>275</v>
      </c>
      <c r="AE200" s="668"/>
      <c r="AF200" s="1712"/>
      <c r="AG200" s="1198"/>
      <c r="AH200" s="1198"/>
      <c r="AI200" s="1198"/>
      <c r="AJ200" s="1198"/>
      <c r="AK200" s="1198"/>
      <c r="AL200" s="1198"/>
      <c r="AM200" s="1198"/>
      <c r="AN200" s="1198"/>
      <c r="AO200" s="1198"/>
      <c r="AP200" s="1198"/>
      <c r="AQ200" s="1198"/>
      <c r="AR200" s="1198"/>
      <c r="AS200" s="1198"/>
      <c r="AT200" s="1198"/>
      <c r="AU200" s="1198"/>
      <c r="AV200" s="1198"/>
      <c r="AW200" s="1198"/>
      <c r="AX200" s="1198"/>
      <c r="AY200" s="1198"/>
      <c r="AZ200" s="1198"/>
      <c r="BA200" s="1198"/>
    </row>
    <row r="201" spans="1:53" s="1327" customFormat="1" ht="15.75" customHeight="1">
      <c r="A201" s="1198"/>
      <c r="B201" s="362" t="b">
        <f t="shared" ref="B201:B207" si="8">org_declaration="Заявление организации"</f>
        <v>1</v>
      </c>
      <c r="C201" s="1198"/>
      <c r="D201" s="1198"/>
      <c r="E201" s="556">
        <v>16.5</v>
      </c>
      <c r="F201" s="26" t="str" cm="1">
        <f t="array" ref="F201">F200</f>
        <v>1</v>
      </c>
      <c r="G201" s="1198"/>
      <c r="H201" s="1198"/>
      <c r="I201" s="1198"/>
      <c r="J201" s="1198"/>
      <c r="K201" s="1198"/>
      <c r="L201" s="1198"/>
      <c r="M201" s="1198"/>
      <c r="N201" s="1198"/>
      <c r="O201" s="1198"/>
      <c r="P201" s="1198"/>
      <c r="Q201" s="1198"/>
      <c r="R201" s="1198"/>
      <c r="S201" s="1198"/>
      <c r="T201" s="1198"/>
      <c r="U201" s="1198"/>
      <c r="V201" s="170"/>
      <c r="W201" s="417" t="b" cm="1">
        <f t="array" ref="W201">W200</f>
        <v>1</v>
      </c>
      <c r="X201" s="1198"/>
      <c r="Y201" s="1198"/>
      <c r="Z201" s="1711"/>
      <c r="AA201" s="1729"/>
      <c r="AB201" s="1725"/>
      <c r="AC201" s="1726"/>
      <c r="AD201" s="315" t="s">
        <v>276</v>
      </c>
      <c r="AE201" s="316" t="s">
        <v>288</v>
      </c>
      <c r="AF201" s="1712"/>
      <c r="AG201" s="1198"/>
      <c r="AH201" s="1198"/>
      <c r="AI201" s="1198"/>
      <c r="AJ201" s="1198"/>
      <c r="AK201" s="1198"/>
      <c r="AL201" s="1198"/>
      <c r="AM201" s="1198"/>
      <c r="AN201" s="1198"/>
      <c r="AO201" s="1198"/>
      <c r="AP201" s="1198"/>
      <c r="AQ201" s="1198"/>
      <c r="AR201" s="1198"/>
      <c r="AS201" s="1198"/>
      <c r="AT201" s="1198"/>
      <c r="AU201" s="1198"/>
      <c r="AV201" s="1198"/>
      <c r="AW201" s="1198"/>
      <c r="AX201" s="1198"/>
      <c r="AY201" s="1198"/>
      <c r="AZ201" s="1198"/>
      <c r="BA201" s="1198"/>
    </row>
    <row r="202" spans="1:53" s="1327" customFormat="1" ht="15.75" customHeight="1">
      <c r="A202" s="1198"/>
      <c r="B202" s="362" t="b">
        <f t="shared" si="8"/>
        <v>1</v>
      </c>
      <c r="C202" s="1198"/>
      <c r="D202" s="1198"/>
      <c r="E202" s="556">
        <v>16.5</v>
      </c>
      <c r="F202" s="26" t="str" cm="1">
        <f t="array" ref="F202">F201</f>
        <v>1</v>
      </c>
      <c r="G202" s="1198"/>
      <c r="H202" s="1198"/>
      <c r="I202" s="1198"/>
      <c r="J202" s="1198"/>
      <c r="K202" s="1198"/>
      <c r="L202" s="1198"/>
      <c r="M202" s="1198"/>
      <c r="N202" s="1198"/>
      <c r="O202" s="1198"/>
      <c r="P202" s="1198"/>
      <c r="Q202" s="1198"/>
      <c r="R202" s="1198"/>
      <c r="S202" s="1198"/>
      <c r="T202" s="1198"/>
      <c r="U202" s="1198"/>
      <c r="V202" s="170"/>
      <c r="W202" s="417" t="b" cm="1">
        <f t="array" ref="W202">W201</f>
        <v>1</v>
      </c>
      <c r="X202" s="1198"/>
      <c r="Y202" s="1198"/>
      <c r="Z202" s="1711"/>
      <c r="AA202" s="1729"/>
      <c r="AB202" s="1725"/>
      <c r="AC202" s="1726"/>
      <c r="AD202" s="315" t="s">
        <v>277</v>
      </c>
      <c r="AE202" s="980" t="s">
        <v>289</v>
      </c>
      <c r="AF202" s="1712"/>
      <c r="AG202" s="1198"/>
      <c r="AH202" s="1198"/>
      <c r="AI202" s="1198"/>
      <c r="AJ202" s="1198"/>
      <c r="AK202" s="1198"/>
      <c r="AL202" s="1198"/>
      <c r="AM202" s="1198"/>
      <c r="AN202" s="1198"/>
      <c r="AO202" s="1198"/>
      <c r="AP202" s="1198"/>
      <c r="AQ202" s="1198"/>
      <c r="AR202" s="1198"/>
      <c r="AS202" s="1198"/>
      <c r="AT202" s="1198"/>
      <c r="AU202" s="1198"/>
      <c r="AV202" s="1198"/>
      <c r="AW202" s="1198"/>
      <c r="AX202" s="1198"/>
      <c r="AY202" s="1198"/>
      <c r="AZ202" s="1198"/>
      <c r="BA202" s="1198"/>
    </row>
    <row r="203" spans="1:53" s="1327" customFormat="1" ht="12.75" customHeight="1">
      <c r="A203" s="1198"/>
      <c r="B203" s="362" t="b">
        <f t="shared" si="8"/>
        <v>1</v>
      </c>
      <c r="C203" s="1198"/>
      <c r="D203" s="1198"/>
      <c r="E203" s="556">
        <v>16.5</v>
      </c>
      <c r="F203" s="26" t="str" cm="1">
        <f t="array" ref="F203">F202</f>
        <v>1</v>
      </c>
      <c r="G203" s="1198"/>
      <c r="H203" s="1198"/>
      <c r="I203" s="1198"/>
      <c r="J203" s="1198"/>
      <c r="K203" s="1198"/>
      <c r="L203" s="1198"/>
      <c r="M203" s="1198"/>
      <c r="N203" s="1198"/>
      <c r="O203" s="1198"/>
      <c r="P203" s="1198"/>
      <c r="Q203" s="1198"/>
      <c r="R203" s="1198"/>
      <c r="S203" s="1198"/>
      <c r="T203" s="1198"/>
      <c r="U203" s="1198"/>
      <c r="V203" s="170"/>
      <c r="W203" s="417" t="b" cm="1">
        <f t="array" ref="W203">W202</f>
        <v>1</v>
      </c>
      <c r="X203" s="1198"/>
      <c r="Y203" s="1198"/>
      <c r="Z203" s="1711"/>
      <c r="AA203" s="1729"/>
      <c r="AB203" s="1725"/>
      <c r="AC203" s="1726"/>
      <c r="AD203" s="315" t="s">
        <v>278</v>
      </c>
      <c r="AE203" s="317" t="s">
        <v>290</v>
      </c>
      <c r="AF203" s="1712"/>
      <c r="AG203" s="1198"/>
      <c r="AH203" s="1198"/>
      <c r="AI203" s="1198"/>
      <c r="AJ203" s="1198"/>
      <c r="AK203" s="1198"/>
      <c r="AL203" s="1198"/>
      <c r="AM203" s="1198"/>
      <c r="AN203" s="1198"/>
      <c r="AO203" s="1198"/>
      <c r="AP203" s="1198"/>
      <c r="AQ203" s="1198"/>
      <c r="AR203" s="1198"/>
      <c r="AS203" s="1198"/>
      <c r="AT203" s="1198"/>
      <c r="AU203" s="1198"/>
      <c r="AV203" s="1198"/>
      <c r="AW203" s="1198"/>
      <c r="AX203" s="1198"/>
      <c r="AY203" s="1198"/>
      <c r="AZ203" s="1198"/>
      <c r="BA203" s="1198"/>
    </row>
    <row r="204" spans="1:53" s="1327" customFormat="1" ht="15.75" customHeight="1">
      <c r="A204" s="1198"/>
      <c r="B204" s="362" t="b">
        <f t="shared" si="8"/>
        <v>1</v>
      </c>
      <c r="C204" s="1198"/>
      <c r="D204" s="1198"/>
      <c r="E204" s="556">
        <v>16.5</v>
      </c>
      <c r="F204" s="26" t="str" cm="1">
        <f t="array" ref="F204">F203</f>
        <v>1</v>
      </c>
      <c r="G204" s="1198"/>
      <c r="H204" s="1198"/>
      <c r="I204" s="1198"/>
      <c r="J204" s="1198"/>
      <c r="K204" s="1198"/>
      <c r="L204" s="1198"/>
      <c r="M204" s="1198"/>
      <c r="N204" s="1198"/>
      <c r="O204" s="1198"/>
      <c r="P204" s="1198"/>
      <c r="Q204" s="1198"/>
      <c r="R204" s="1198"/>
      <c r="S204" s="1198"/>
      <c r="T204" s="1198"/>
      <c r="U204" s="1198"/>
      <c r="V204" s="170"/>
      <c r="W204" s="417" t="b" cm="1">
        <f t="array" ref="W204">W203</f>
        <v>1</v>
      </c>
      <c r="X204" s="1198"/>
      <c r="Y204" s="1198"/>
      <c r="Z204" s="1711"/>
      <c r="AA204" s="1729"/>
      <c r="AB204" s="1725"/>
      <c r="AC204" s="1726"/>
      <c r="AD204" s="315" t="s">
        <v>279</v>
      </c>
      <c r="AE204" s="845">
        <v>46023</v>
      </c>
      <c r="AF204" s="1712"/>
      <c r="AG204" s="1198"/>
      <c r="AH204" s="1198"/>
      <c r="AI204" s="1198"/>
      <c r="AJ204" s="1198"/>
      <c r="AK204" s="1198"/>
      <c r="AL204" s="1198"/>
      <c r="AM204" s="1198"/>
      <c r="AN204" s="1198"/>
      <c r="AO204" s="1198"/>
      <c r="AP204" s="1198"/>
      <c r="AQ204" s="1198"/>
      <c r="AR204" s="1198"/>
      <c r="AS204" s="1198"/>
      <c r="AT204" s="1198"/>
      <c r="AU204" s="1198"/>
      <c r="AV204" s="1198"/>
      <c r="AW204" s="1198"/>
      <c r="AX204" s="1198"/>
      <c r="AY204" s="1198"/>
      <c r="AZ204" s="1198"/>
      <c r="BA204" s="1198"/>
    </row>
    <row r="205" spans="1:53" s="1327" customFormat="1" ht="15.75" customHeight="1">
      <c r="A205" s="1198"/>
      <c r="B205" s="362" t="b">
        <f t="shared" si="8"/>
        <v>1</v>
      </c>
      <c r="C205" s="1198"/>
      <c r="D205" s="1198"/>
      <c r="E205" s="556">
        <v>16.5</v>
      </c>
      <c r="F205" s="26" t="str" cm="1">
        <f t="array" ref="F205">F204</f>
        <v>1</v>
      </c>
      <c r="G205" s="1198"/>
      <c r="H205" s="1198"/>
      <c r="I205" s="1198"/>
      <c r="J205" s="1198"/>
      <c r="K205" s="1198"/>
      <c r="L205" s="1198"/>
      <c r="M205" s="1198"/>
      <c r="N205" s="1198"/>
      <c r="O205" s="1198"/>
      <c r="P205" s="1198"/>
      <c r="Q205" s="1198"/>
      <c r="R205" s="1198"/>
      <c r="S205" s="1198"/>
      <c r="T205" s="1198"/>
      <c r="U205" s="1198"/>
      <c r="V205" s="170"/>
      <c r="W205" s="417" t="b" cm="1">
        <f t="array" ref="W205">W204</f>
        <v>1</v>
      </c>
      <c r="X205" s="1198"/>
      <c r="Y205" s="1198"/>
      <c r="Z205" s="1711"/>
      <c r="AA205" s="1729"/>
      <c r="AB205" s="1725"/>
      <c r="AC205" s="1726"/>
      <c r="AD205" s="315" t="s">
        <v>280</v>
      </c>
      <c r="AE205" s="373" t="s">
        <v>103</v>
      </c>
      <c r="AF205" s="1712"/>
      <c r="AG205" s="1198"/>
      <c r="AH205" s="1198"/>
      <c r="AI205" s="1198"/>
      <c r="AJ205" s="1198"/>
      <c r="AK205" s="1198"/>
      <c r="AL205" s="1198"/>
      <c r="AM205" s="1198"/>
      <c r="AN205" s="1198"/>
      <c r="AO205" s="1198"/>
      <c r="AP205" s="1198"/>
      <c r="AQ205" s="1198"/>
      <c r="AR205" s="1198"/>
      <c r="AS205" s="1198"/>
      <c r="AT205" s="1198"/>
      <c r="AU205" s="1198"/>
      <c r="AV205" s="1198"/>
      <c r="AW205" s="1198"/>
      <c r="AX205" s="1198"/>
      <c r="AY205" s="1198"/>
      <c r="AZ205" s="1198"/>
      <c r="BA205" s="1198"/>
    </row>
    <row r="206" spans="1:53" s="1327" customFormat="1" ht="21.75" hidden="1" customHeight="1">
      <c r="A206" s="1198"/>
      <c r="B206" s="362" t="b">
        <f t="shared" si="8"/>
        <v>1</v>
      </c>
      <c r="C206" s="1198"/>
      <c r="D206" s="1198"/>
      <c r="E206" s="556">
        <v>22.5</v>
      </c>
      <c r="F206" s="26" t="str" cm="1">
        <f t="array" ref="F206">F205</f>
        <v>1</v>
      </c>
      <c r="G206" s="1198"/>
      <c r="H206" s="1198"/>
      <c r="I206" s="1198"/>
      <c r="J206" s="1198"/>
      <c r="K206" s="1198"/>
      <c r="L206" s="1198"/>
      <c r="M206" s="1198"/>
      <c r="N206" s="1198"/>
      <c r="O206" s="1198"/>
      <c r="P206" s="1198"/>
      <c r="Q206" s="1198"/>
      <c r="R206" s="1198"/>
      <c r="S206" s="1198"/>
      <c r="T206" s="1198"/>
      <c r="U206" s="1198"/>
      <c r="V206" s="170"/>
      <c r="W206" s="417" t="b">
        <f>AND(W205,AE205&lt;&gt;"Метод экономически обоснованных расходов",AE205&lt;&gt;"Метод сравнения аналогов")</f>
        <v>0</v>
      </c>
      <c r="X206" s="1198"/>
      <c r="Y206" s="1198"/>
      <c r="Z206" s="1711"/>
      <c r="AA206" s="1729"/>
      <c r="AB206" s="1723"/>
      <c r="AC206" s="1724"/>
      <c r="AD206" s="18"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1328">
        <v>2026</v>
      </c>
      <c r="AF206" s="1712"/>
      <c r="AG206" s="1198"/>
      <c r="AH206" s="1198"/>
      <c r="AI206" s="1198"/>
      <c r="AJ206" s="1198"/>
      <c r="AK206" s="1198"/>
      <c r="AL206" s="1198"/>
      <c r="AM206" s="1198"/>
      <c r="AN206" s="1198"/>
      <c r="AO206" s="1198"/>
      <c r="AP206" s="1198"/>
      <c r="AQ206" s="1198"/>
      <c r="AR206" s="1198"/>
      <c r="AS206" s="1198"/>
      <c r="AT206" s="1198"/>
      <c r="AU206" s="1198"/>
      <c r="AV206" s="1198"/>
      <c r="AW206" s="1198"/>
      <c r="AX206" s="1198"/>
      <c r="AY206" s="1198"/>
      <c r="AZ206" s="1198"/>
      <c r="BA206" s="1198"/>
    </row>
    <row r="207" spans="1:53" s="1327" customFormat="1" ht="15.75" hidden="1" customHeight="1">
      <c r="A207" s="1198"/>
      <c r="B207" s="362" t="b">
        <f t="shared" si="8"/>
        <v>1</v>
      </c>
      <c r="C207" s="1198"/>
      <c r="D207" s="1198"/>
      <c r="E207" s="556">
        <v>16.5</v>
      </c>
      <c r="F207" s="26" t="str" cm="1">
        <f t="array" ref="F207">F206</f>
        <v>1</v>
      </c>
      <c r="G207" s="1198"/>
      <c r="H207" s="1198"/>
      <c r="I207" s="1198"/>
      <c r="J207" s="1198"/>
      <c r="K207" s="1198"/>
      <c r="L207" s="1198"/>
      <c r="M207" s="1198"/>
      <c r="N207" s="1198"/>
      <c r="O207" s="1198"/>
      <c r="P207" s="1198"/>
      <c r="Q207" s="1198"/>
      <c r="R207" s="1198"/>
      <c r="S207" s="1198"/>
      <c r="T207" s="1198"/>
      <c r="U207" s="1198"/>
      <c r="V207" s="170"/>
      <c r="W207" s="417" t="b">
        <f>AND(W206,AE205&lt;&gt;"Метод экономически обоснованных расходов",AE205&lt;&gt;"Метод сравнения аналогов")</f>
        <v>0</v>
      </c>
      <c r="X207" s="1198"/>
      <c r="Y207" s="1198"/>
      <c r="Z207" s="1711"/>
      <c r="AA207" s="1729"/>
      <c r="AB207" s="1723"/>
      <c r="AC207" s="1724"/>
      <c r="AD207" s="315" t="s">
        <v>106</v>
      </c>
      <c r="AE207" s="1328">
        <v>1</v>
      </c>
      <c r="AF207" s="1712"/>
      <c r="AG207" s="1198"/>
      <c r="AH207" s="1198"/>
      <c r="AI207" s="1198"/>
      <c r="AJ207" s="1198"/>
      <c r="AK207" s="1198"/>
      <c r="AL207" s="1198"/>
      <c r="AM207" s="1198"/>
      <c r="AN207" s="1198"/>
      <c r="AO207" s="1198"/>
      <c r="AP207" s="1198"/>
      <c r="AQ207" s="1198"/>
      <c r="AR207" s="1198"/>
      <c r="AS207" s="1198"/>
      <c r="AT207" s="1198"/>
      <c r="AU207" s="1198"/>
      <c r="AV207" s="1198"/>
      <c r="AW207" s="1198"/>
      <c r="AX207" s="1198"/>
      <c r="AY207" s="1198"/>
      <c r="AZ207" s="1198"/>
      <c r="BA207" s="1198"/>
    </row>
    <row r="208" spans="1:53" ht="18.95" customHeight="1">
      <c r="E208" s="556">
        <v>19.5</v>
      </c>
      <c r="F208" s="91" t="s">
        <v>291</v>
      </c>
      <c r="X208" s="213" t="s">
        <v>292</v>
      </c>
      <c r="Z208" s="26"/>
      <c r="AB208" s="1727"/>
      <c r="AC208" s="1728"/>
      <c r="AD208" s="408" t="s">
        <v>293</v>
      </c>
      <c r="AE208" s="179"/>
    </row>
    <row r="209" spans="2:53" ht="18.95" customHeight="1">
      <c r="E209" s="556">
        <v>19.5</v>
      </c>
      <c r="Z209" s="26"/>
      <c r="AB209" s="1686" t="s">
        <v>294</v>
      </c>
      <c r="AC209" s="1687"/>
      <c r="AD209" s="309" t="s">
        <v>295</v>
      </c>
      <c r="AE209" s="297" t="s">
        <v>296</v>
      </c>
      <c r="AG209" s="26" t="s">
        <v>297</v>
      </c>
    </row>
    <row r="210" spans="2:53" ht="18.95" customHeight="1">
      <c r="E210" s="556">
        <v>19.5</v>
      </c>
      <c r="Z210" s="26"/>
      <c r="AB210" s="1686"/>
      <c r="AC210" s="1687"/>
      <c r="AD210" s="309" t="s">
        <v>298</v>
      </c>
      <c r="AE210" s="297" t="s">
        <v>234</v>
      </c>
      <c r="AG210" s="26" t="s">
        <v>299</v>
      </c>
    </row>
    <row r="211" spans="2:53" ht="18.95" customHeight="1">
      <c r="E211" s="556">
        <v>19.5</v>
      </c>
      <c r="Z211" s="26"/>
      <c r="AB211" s="1686"/>
      <c r="AC211" s="1687"/>
      <c r="AD211" s="309" t="s">
        <v>300</v>
      </c>
      <c r="AE211" s="297" t="s">
        <v>237</v>
      </c>
      <c r="AG211" s="26" t="s">
        <v>301</v>
      </c>
    </row>
    <row r="212" spans="2:53" ht="18.95" customHeight="1">
      <c r="E212" s="556">
        <v>19.5</v>
      </c>
      <c r="Z212" s="26"/>
      <c r="AB212" s="1686"/>
      <c r="AC212" s="1687"/>
      <c r="AD212" s="309" t="s">
        <v>302</v>
      </c>
      <c r="AE212" s="297" t="s">
        <v>240</v>
      </c>
      <c r="AG212" s="26" t="s">
        <v>303</v>
      </c>
    </row>
    <row r="213" spans="2:53" ht="18.95" customHeight="1">
      <c r="E213" s="556">
        <v>19.5</v>
      </c>
      <c r="Z213" s="26"/>
      <c r="AB213" s="1686"/>
      <c r="AC213" s="1687"/>
      <c r="AD213" s="309" t="s">
        <v>304</v>
      </c>
      <c r="AE213" s="1340" t="s">
        <v>243</v>
      </c>
      <c r="AG213" s="26" t="s">
        <v>305</v>
      </c>
    </row>
    <row r="214" spans="2:53" ht="18.95" hidden="1" customHeight="1">
      <c r="E214" s="556">
        <v>19.5</v>
      </c>
      <c r="W214" s="417" t="b">
        <f>ROW(X214)&gt;ROW(X$214)</f>
        <v>0</v>
      </c>
      <c r="X214" s="26" t="s">
        <v>270</v>
      </c>
      <c r="Z214" s="26"/>
      <c r="AB214" s="1686"/>
      <c r="AC214" s="1687"/>
      <c r="AD214" s="1349"/>
      <c r="AE214" s="1334"/>
      <c r="AF214" s="555" t="s">
        <v>174</v>
      </c>
    </row>
    <row r="215" spans="2:53" ht="14.65" customHeight="1">
      <c r="E215" s="556">
        <v>15</v>
      </c>
      <c r="X215" s="213" t="s">
        <v>176</v>
      </c>
      <c r="Z215" s="26"/>
      <c r="AB215" s="1686"/>
      <c r="AC215" s="1687"/>
      <c r="AD215" s="310" t="s">
        <v>306</v>
      </c>
      <c r="AE215" s="280"/>
    </row>
    <row r="216" spans="2:53" ht="18.95" customHeight="1">
      <c r="E216" s="556">
        <v>19.5</v>
      </c>
      <c r="Z216" s="26"/>
      <c r="AB216" s="1686"/>
      <c r="AC216" s="1687"/>
      <c r="AD216" s="309" t="s">
        <v>307</v>
      </c>
      <c r="AE216" s="311" t="str" cm="1">
        <f t="array" ref="AE216">method_reg</f>
        <v>Метод экономически обоснованных расходов</v>
      </c>
    </row>
    <row r="217" spans="2:53" ht="18.95" customHeight="1">
      <c r="E217" s="556">
        <v>19.5</v>
      </c>
      <c r="Z217" s="26"/>
      <c r="AB217" s="1686"/>
      <c r="AC217" s="1687"/>
      <c r="AD217" s="309" t="s">
        <v>104</v>
      </c>
      <c r="AE217" s="312" cm="1">
        <f t="array" ref="AE217">god</f>
        <v>2026</v>
      </c>
    </row>
    <row r="218" spans="2:53" ht="18.95" hidden="1" customHeight="1">
      <c r="B218" s="362" t="b">
        <f>AND(NOT(method_reg="Метод экономически обоснованных расходов"),NOT(method_reg="Метод сравнения аналогов"))</f>
        <v>0</v>
      </c>
      <c r="E218" s="556">
        <v>19.5</v>
      </c>
      <c r="Z218" s="26"/>
      <c r="AB218" s="1686"/>
      <c r="AC218" s="1687"/>
      <c r="AD218" s="309" t="s">
        <v>105</v>
      </c>
      <c r="AE218" s="312" cm="1">
        <f t="array" ref="AE218">first_year</f>
        <v>2026</v>
      </c>
    </row>
    <row r="219" spans="2:53" ht="18.95" hidden="1" customHeight="1">
      <c r="B219" s="362" t="b">
        <f>AND(NOT(method_reg="Метод экономически обоснованных расходов"),NOT(method_reg="Метод сравнения аналогов"))</f>
        <v>0</v>
      </c>
      <c r="E219" s="556">
        <v>19.5</v>
      </c>
      <c r="Z219" s="26"/>
      <c r="AB219" s="1688"/>
      <c r="AC219" s="1689"/>
      <c r="AD219" s="309" t="s">
        <v>106</v>
      </c>
      <c r="AE219" s="312" cm="1">
        <f t="array" ref="AE219">PERIOD_LENGTH</f>
        <v>1</v>
      </c>
    </row>
    <row r="220" spans="2:53" ht="37.15" customHeight="1">
      <c r="E220" s="556">
        <v>38</v>
      </c>
      <c r="Z220" s="26"/>
      <c r="AB220" s="1690" t="s">
        <v>308</v>
      </c>
      <c r="AC220" s="1691"/>
      <c r="AD220" s="1692"/>
      <c r="AE220" s="305" t="s">
        <v>160</v>
      </c>
      <c r="AF220" s="395"/>
    </row>
    <row r="221" spans="2:53" ht="10.9" customHeight="1">
      <c r="E221" s="556">
        <v>11.25</v>
      </c>
      <c r="Z221" s="26"/>
      <c r="AF221" s="343"/>
    </row>
    <row r="222" spans="2:53" s="1327" customFormat="1" ht="18.95" hidden="1" customHeight="1">
      <c r="B222" s="362" t="b">
        <f>AND(NOT(god=first_year),(method_reg="Метод индексации"))</f>
        <v>0</v>
      </c>
      <c r="E222" s="557">
        <v>19.5</v>
      </c>
      <c r="X222" s="322"/>
      <c r="Z222" s="26"/>
      <c r="AB222" s="1690" t="s">
        <v>309</v>
      </c>
      <c r="AC222" s="1691"/>
      <c r="AD222" s="1692"/>
      <c r="AE222" s="1332"/>
      <c r="AF222" s="555"/>
      <c r="AG222" t="s">
        <v>310</v>
      </c>
      <c r="AH222"/>
      <c r="AI222"/>
      <c r="AJ222" s="398"/>
      <c r="AK222" s="398"/>
      <c r="AL222" s="398"/>
      <c r="AM222" s="398"/>
      <c r="AN222" s="398"/>
      <c r="AO222"/>
      <c r="AP222"/>
      <c r="AQ222"/>
      <c r="AR222"/>
      <c r="AS222"/>
      <c r="AT222"/>
      <c r="AU222"/>
      <c r="AV222"/>
      <c r="AW222"/>
      <c r="AX222"/>
      <c r="AY222"/>
      <c r="AZ222"/>
      <c r="BA222"/>
    </row>
    <row r="223" spans="2:53" ht="11.25" customHeight="1">
      <c r="Z223" s="26"/>
      <c r="AF223" s="343"/>
    </row>
  </sheetData>
  <sheetProtection formatColumns="0" formatRows="0" insertRows="0" deleteColumns="0" deleteRows="0" sort="0" autoFilter="0"/>
  <mergeCells count="164">
    <mergeCell ref="Z194:Z207"/>
    <mergeCell ref="AF194:AF207"/>
    <mergeCell ref="AA194:AA207"/>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08"/>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09:AC219"/>
    <mergeCell ref="AB220:AD220"/>
    <mergeCell ref="AB222:AD222"/>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s>
  <dataValidations count="26">
    <dataValidation type="list" allowBlank="1" showInputMessage="1" showErrorMessage="1" errorTitle="Внимание" error="Пожалуйста, выберите значение из списка!" sqref="AE53 AE108 AE84 AE96 AE122 AE136 AE69 AE71:AE72 AE220 AE175 AE151 AE56 AE58:AE60">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DropDown="1" sqref="Z24">
      <formula1>year_list2</formula1>
    </dataValidation>
    <dataValidation type="list" showDropDown="1" sqref="Z26">
      <formula1>period_list</formula1>
    </dataValidation>
    <dataValidation type="list" showDropDown="1" sqref="Z45">
      <formula1>okopf_list</formula1>
    </dataValidation>
    <dataValidation type="list" showDropDown="1" sqref="Z53 Z220 Z71:Z72 Z84 Z96 Z108 Z122 Z136 Z151 Z56:Z60">
      <formula1>YES_NO</formula1>
    </dataValidation>
    <dataValidation type="list" showDropDown="1" showInputMessage="1" showErrorMessage="1" sqref="Z55">
      <formula1>OWNERSHIP_TYPE</formula1>
    </dataValidation>
    <dataValidation type="date" operator="notEqual" allowBlank="1" showInputMessage="1" showErrorMessage="1" sqref="Z81 Z88 Z100 Z126:Z134 Z140:Z148 Z76 Z93 Z105 Z112:Z120 Z178:Z179 Z208">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formula1>DOCUMENT_TYPES</formula1>
    </dataValidation>
    <dataValidation type="list" showInputMessage="1" showErrorMessage="1" errorTitle="Внимание" error="Пожалуйста, выберите значение из списка!" sqref="AE26">
      <formula1>period_list</formula1>
    </dataValidation>
    <dataValidation type="list" showDropDown="1" showInputMessage="1" showErrorMessage="1" sqref="Z94 Z77 Z61:Z62 Z82 Z89 Z101 Z106">
      <formula1>"FAS_URL"</formula1>
    </dataValidation>
    <dataValidation type="list" showDropDown="1" sqref="Z40">
      <formula1>subsidiary_list</formula1>
    </dataValidation>
    <dataValidation type="list" showInputMessage="1" showErrorMessage="1" errorTitle="Внимание" error="Пожалуйста, выберите значение из списка!" sqref="AE25">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92 AE206">
      <formula1>YEAR_LIST</formula1>
    </dataValidation>
    <dataValidation type="list" allowBlank="1" showInputMessage="1" showErrorMessage="1" errorTitle="Ошибка" error="Выберите значение из списка" prompt="Выберите значение из списка" sqref="AE193 AE207">
      <formula1>period_list</formula1>
    </dataValidation>
    <dataValidation type="list" allowBlank="1" showInputMessage="1" showErrorMessage="1" errorTitle="Внимание" error="Пожалуйста, выберите значение из списка!" sqref="AE191 AE205">
      <formula1>TARIFF_CALC_METHOD</formula1>
    </dataValidation>
    <dataValidation type="list" allowBlank="1" showInputMessage="1" showErrorMessage="1" errorTitle="Ошибка" error="Выберите значение из списка" prompt="Выберите значение из списка" sqref="AE183 AE197">
      <formula1>tariff_type_list</formula1>
    </dataValidation>
    <dataValidation type="list" allowBlank="1" showInputMessage="1" showErrorMessage="1" sqref="AE23">
      <formula1>metod_list</formula1>
    </dataValidation>
    <dataValidation type="list" allowBlank="1" showInputMessage="1" showErrorMessage="1" sqref="AE222">
      <formula1>YES_NO</formula1>
    </dataValidation>
    <dataValidation type="list" allowBlank="1" showInputMessage="1" showErrorMessage="1" sqref="AB179">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2 AE196">
      <formula1>COLDVSNA_VTARIFF</formula1>
    </dataValidation>
    <dataValidation type="list" allowBlank="1" showInputMessage="1" showErrorMessage="1" errorTitle="Ошибка" error="Выберите значение из списка" prompt="Выберите значение из списка" sqref="AE185 AE199">
      <formula1>COLDVSNA_VTOV</formula1>
    </dataValidation>
    <dataValidation type="textLength" operator="lessThanOrEqual" allowBlank="1" showInputMessage="1" showErrorMessage="1" errorTitle="Ошибка" error="Допускается ввод не более 900 символов!" sqref="AE65:AE67">
      <formula1>900</formula1>
    </dataValidation>
    <dataValidation type="list" allowBlank="1" showInputMessage="1" showErrorMessage="1" errorTitle="Внимание" error="Пожалуйста, выберите значение из списка!" sqref="AE57">
      <formula1>NALOG_SYSTEM_LIST</formula1>
    </dataValidation>
  </dataValidations>
  <hyperlinks>
    <hyperlink ref="AE61" r:id="rId1" tooltip="https://portal.eias.ru/Portal/DownloadPage.aspx?type=12&amp;guid=4cc08830-9db4-4859-9b71-eac88398ac3d"/>
    <hyperlink ref="AE89" r:id="rId2" tooltip="https://portal.eias.ru/Portal/DownloadPage.aspx?type=12&amp;guid=62376591-dc1d-4c4a-9de2-d7af4aa7ede5"/>
    <hyperlink ref="AE97" r:id="rId3"/>
    <hyperlink ref="AE101" r:id="rId4" tooltip="https://portal.eias.ru/Portal/DownloadPage.aspx?type=12&amp;guid=4c962a83-8b92-4503-9ba5-a0180547bc71"/>
    <hyperlink ref="AE156" r:id="rId5"/>
    <hyperlink ref="AE213" r:id="rId6"/>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R34"/>
  <sheetViews>
    <sheetView showGridLines="0" workbookViewId="0">
      <pane xSplit="31" ySplit="24" topLeftCell="AF25" activePane="bottomRight" state="frozen"/>
      <selection pane="topRight" activeCell="AF1" sqref="AF1"/>
      <selection pane="bottomLeft" activeCell="A25" sqref="A25"/>
      <selection pane="bottomRight" activeCell="AF31" sqref="AF31"/>
    </sheetView>
  </sheetViews>
  <sheetFormatPr defaultColWidth="9.140625" defaultRowHeight="11.25" customHeight="1"/>
  <cols>
    <col min="1" max="1" width="3.5703125" style="485" hidden="1" customWidth="1"/>
    <col min="2" max="2" width="8.5703125" style="1081" hidden="1" customWidth="1"/>
    <col min="3" max="4" width="3.5703125" style="485" hidden="1" customWidth="1"/>
    <col min="5" max="5" width="3.5703125" style="867" hidden="1" customWidth="1"/>
    <col min="6" max="16" width="3.5703125" style="485" hidden="1" customWidth="1"/>
    <col min="17" max="17" width="3.5703125" style="863" hidden="1" customWidth="1"/>
    <col min="18" max="19" width="3.5703125" style="485" hidden="1" customWidth="1"/>
    <col min="20" max="20" width="3.5703125" style="1187" hidden="1" customWidth="1"/>
    <col min="21" max="21" width="8.5703125" style="485" hidden="1" customWidth="1"/>
    <col min="22" max="25" width="6" style="485" hidden="1" customWidth="1"/>
    <col min="26" max="26" width="5.140625" style="485" hidden="1" customWidth="1"/>
    <col min="27" max="27" width="3.7109375" style="485" customWidth="1"/>
    <col min="28" max="28" width="11" style="33" customWidth="1"/>
    <col min="29" max="30" width="45" style="33" customWidth="1"/>
    <col min="31" max="31" width="14" style="39" customWidth="1"/>
    <col min="32" max="32" width="23.28515625" style="39" customWidth="1"/>
    <col min="33" max="33" width="37" style="33" customWidth="1"/>
    <col min="34" max="34" width="9.140625" style="33"/>
    <col min="35" max="41" width="9.140625" style="485" hidden="1"/>
    <col min="42" max="44" width="9.140625" style="33" hidden="1"/>
  </cols>
  <sheetData>
    <row r="1" spans="1:41" ht="11.25" hidden="1" customHeight="1">
      <c r="E1" s="67"/>
      <c r="F1" s="67" t="s">
        <v>311</v>
      </c>
      <c r="G1" s="67" t="s">
        <v>312</v>
      </c>
      <c r="U1" s="383" t="s">
        <v>92</v>
      </c>
      <c r="V1" s="381" t="s">
        <v>97</v>
      </c>
      <c r="W1" s="381" t="s">
        <v>93</v>
      </c>
      <c r="X1" s="381" t="s">
        <v>94</v>
      </c>
      <c r="Y1" s="381" t="s">
        <v>95</v>
      </c>
      <c r="Z1" s="381" t="s">
        <v>99</v>
      </c>
      <c r="AA1" s="383" t="s">
        <v>96</v>
      </c>
      <c r="AB1" s="382" t="s">
        <v>313</v>
      </c>
      <c r="AC1" s="382" t="s">
        <v>98</v>
      </c>
      <c r="AI1" s="67" t="s">
        <v>314</v>
      </c>
      <c r="AJ1" s="67" t="s">
        <v>315</v>
      </c>
      <c r="AK1" s="67" t="s">
        <v>316</v>
      </c>
      <c r="AL1" s="67" t="s">
        <v>317</v>
      </c>
      <c r="AM1" s="67" t="s">
        <v>318</v>
      </c>
      <c r="AN1" s="67" t="s">
        <v>319</v>
      </c>
      <c r="AO1" s="67" t="s">
        <v>320</v>
      </c>
    </row>
    <row r="2" spans="1:41" s="356" customFormat="1" ht="11.25" hidden="1" customHeight="1">
      <c r="A2" s="346"/>
      <c r="B2" s="865" t="s">
        <v>18</v>
      </c>
      <c r="C2" s="346"/>
      <c r="D2" s="346"/>
      <c r="E2" s="346"/>
      <c r="F2" s="346"/>
      <c r="G2" s="346"/>
      <c r="H2" s="346"/>
      <c r="I2" s="346"/>
      <c r="J2" s="346"/>
      <c r="K2" s="346"/>
      <c r="L2" s="346"/>
      <c r="M2" s="346"/>
      <c r="N2" s="346"/>
      <c r="O2" s="346"/>
      <c r="P2" s="346"/>
      <c r="Q2" s="346"/>
      <c r="R2" s="346"/>
      <c r="S2" s="346"/>
      <c r="T2" s="572"/>
      <c r="U2" s="213"/>
      <c r="V2" s="346"/>
      <c r="W2" s="346"/>
      <c r="X2" s="346"/>
      <c r="Y2" s="346"/>
      <c r="Z2" s="346"/>
      <c r="AA2" s="346"/>
      <c r="AI2" s="346"/>
      <c r="AJ2" s="346"/>
      <c r="AK2" s="346"/>
      <c r="AL2" s="346"/>
      <c r="AM2" s="346"/>
      <c r="AN2" s="346"/>
      <c r="AO2" s="346"/>
    </row>
    <row r="3" spans="1:41" ht="11.25" hidden="1" customHeight="1">
      <c r="E3" s="67"/>
    </row>
    <row r="4" spans="1:41" ht="11.25" hidden="1" customHeight="1">
      <c r="E4" s="67"/>
    </row>
    <row r="5" spans="1:41" s="544" customFormat="1" ht="11.25" hidden="1" customHeight="1">
      <c r="A5" s="67"/>
      <c r="B5" s="346"/>
      <c r="C5" s="67"/>
      <c r="D5" s="67"/>
      <c r="E5" s="866" t="s">
        <v>19</v>
      </c>
      <c r="F5" s="867"/>
      <c r="G5" s="867"/>
      <c r="H5" s="867"/>
      <c r="I5" s="867"/>
      <c r="J5" s="867"/>
      <c r="K5" s="867"/>
      <c r="L5" s="867"/>
      <c r="M5" s="867"/>
      <c r="N5" s="867"/>
      <c r="O5" s="867"/>
      <c r="P5" s="867"/>
      <c r="Q5" s="868"/>
      <c r="R5" s="867"/>
      <c r="S5" s="867"/>
      <c r="T5" s="869"/>
      <c r="U5" s="867"/>
      <c r="V5" s="867"/>
      <c r="W5" s="867"/>
      <c r="X5" s="867"/>
      <c r="Y5" s="867"/>
      <c r="Z5" s="867"/>
      <c r="AA5" s="538" t="s">
        <v>321</v>
      </c>
      <c r="AB5" s="556">
        <v>11</v>
      </c>
      <c r="AC5" s="556">
        <v>45</v>
      </c>
      <c r="AD5" s="556">
        <v>45</v>
      </c>
      <c r="AE5" s="556">
        <v>14</v>
      </c>
      <c r="AF5" s="556">
        <v>35</v>
      </c>
      <c r="AG5" s="556">
        <v>35</v>
      </c>
      <c r="AH5" s="544" t="s">
        <v>321</v>
      </c>
      <c r="AI5" s="867"/>
      <c r="AJ5" s="867"/>
      <c r="AK5" s="867"/>
      <c r="AL5" s="867"/>
      <c r="AM5" s="867"/>
      <c r="AN5" s="867"/>
      <c r="AO5" s="867"/>
    </row>
    <row r="6" spans="1:41" ht="11.25" hidden="1" customHeight="1">
      <c r="A6" s="67" t="s">
        <v>322</v>
      </c>
      <c r="AC6" s="21" t="s">
        <v>323</v>
      </c>
      <c r="AD6" s="21" t="s">
        <v>324</v>
      </c>
      <c r="AE6" s="21" t="s">
        <v>325</v>
      </c>
      <c r="AF6" s="39" t="s">
        <v>326</v>
      </c>
      <c r="AG6" s="21" t="s">
        <v>327</v>
      </c>
    </row>
    <row r="7" spans="1:41" s="485" customFormat="1" ht="11.25" hidden="1" customHeight="1">
      <c r="B7" s="346"/>
      <c r="E7" s="867"/>
      <c r="Q7" s="863"/>
      <c r="T7" s="864"/>
      <c r="AE7" s="122"/>
      <c r="AF7" s="122"/>
    </row>
    <row r="8" spans="1:41" s="485" customFormat="1" ht="11.25" hidden="1" customHeight="1">
      <c r="B8" s="346"/>
      <c r="E8" s="867"/>
      <c r="Q8" s="863"/>
      <c r="T8" s="864"/>
      <c r="AE8" s="122"/>
      <c r="AF8" s="122"/>
    </row>
    <row r="9" spans="1:41" s="485" customFormat="1" ht="11.25" hidden="1" customHeight="1">
      <c r="A9" s="67" t="s">
        <v>328</v>
      </c>
      <c r="B9" s="346"/>
      <c r="E9" s="867"/>
      <c r="Q9" s="863"/>
      <c r="T9" s="864"/>
      <c r="AE9" s="122"/>
      <c r="AF9" s="122" t="str" cm="1">
        <f t="array" ref="AF9">AF24</f>
        <v xml:space="preserve">Тип муниципального образования </v>
      </c>
      <c r="AG9" s="122" t="str" cm="1">
        <f t="array" ref="AG9">AG24</f>
        <v>Дополнительные сведения</v>
      </c>
    </row>
    <row r="10" spans="1:41" s="485" customFormat="1" ht="11.25" hidden="1" customHeight="1">
      <c r="A10" s="67" t="s">
        <v>329</v>
      </c>
      <c r="B10" s="346"/>
      <c r="E10" s="867"/>
      <c r="Q10" s="863"/>
      <c r="T10" s="864"/>
      <c r="AC10" s="67" t="s">
        <v>316</v>
      </c>
      <c r="AD10" s="67" t="s">
        <v>317</v>
      </c>
      <c r="AE10" s="122" t="s">
        <v>318</v>
      </c>
      <c r="AF10" s="122"/>
    </row>
    <row r="11" spans="1:41" s="485" customFormat="1" ht="11.25" hidden="1" customHeight="1">
      <c r="B11" s="346"/>
      <c r="E11" s="867"/>
      <c r="Q11" s="870"/>
      <c r="T11" s="864"/>
      <c r="AE11" s="122"/>
    </row>
    <row r="12" spans="1:41" s="485" customFormat="1" ht="11.25" hidden="1" customHeight="1">
      <c r="B12" s="346"/>
      <c r="E12" s="867"/>
      <c r="Q12" s="870"/>
      <c r="T12" s="864"/>
    </row>
    <row r="13" spans="1:41" s="485" customFormat="1" ht="11.25" hidden="1" customHeight="1">
      <c r="B13" s="346"/>
      <c r="E13" s="867"/>
      <c r="Q13" s="870"/>
      <c r="T13" s="864"/>
    </row>
    <row r="14" spans="1:41" s="485" customFormat="1" ht="11.25" hidden="1" customHeight="1">
      <c r="B14" s="346"/>
      <c r="E14" s="867"/>
      <c r="Q14" s="870"/>
      <c r="T14" s="864"/>
    </row>
    <row r="15" spans="1:41" s="485" customFormat="1" ht="11.25" hidden="1" customHeight="1">
      <c r="B15" s="346"/>
      <c r="E15" s="867"/>
      <c r="Q15" s="870"/>
      <c r="T15" s="864"/>
    </row>
    <row r="16" spans="1:41" s="485" customFormat="1" ht="11.25" hidden="1" customHeight="1">
      <c r="B16" s="346"/>
      <c r="E16" s="867"/>
      <c r="Q16" s="870"/>
      <c r="T16" s="864"/>
    </row>
    <row r="17" spans="1:44" ht="11.25" hidden="1" customHeight="1">
      <c r="Q17" s="870"/>
      <c r="AE17" s="21"/>
      <c r="AF17" s="21"/>
    </row>
    <row r="18" spans="1:44" ht="11.25" hidden="1" customHeight="1">
      <c r="A18" s="67"/>
      <c r="Q18" s="870"/>
      <c r="AC18" s="21" t="s">
        <v>330</v>
      </c>
      <c r="AD18" s="21" t="s">
        <v>331</v>
      </c>
      <c r="AE18" s="21"/>
      <c r="AF18" s="21"/>
    </row>
    <row r="19" spans="1:44" ht="11.25" hidden="1" customHeight="1">
      <c r="Q19" s="870"/>
      <c r="AE19" s="21"/>
      <c r="AF19" s="21"/>
    </row>
    <row r="20" spans="1:44" ht="11.25" hidden="1" customHeight="1">
      <c r="Q20" s="870"/>
      <c r="AE20" s="21"/>
      <c r="AF20" s="21"/>
    </row>
    <row r="21" spans="1:44" ht="15" customHeight="1">
      <c r="E21" s="867" t="s">
        <v>332</v>
      </c>
      <c r="Q21" s="870"/>
      <c r="U21" s="864"/>
      <c r="V21" s="864"/>
      <c r="W21" s="864"/>
      <c r="X21" s="864"/>
      <c r="Y21" s="864"/>
      <c r="Z21" s="864"/>
      <c r="AA21" s="864"/>
      <c r="AB21" s="32"/>
      <c r="AC21" s="277" t="str" cm="1">
        <f t="array" ref="AC21">tpl_title</f>
        <v>Кемеровская область / 2026 / ОАО «СКЭК» (ИНН:4205153492, КПП:420501001) / ДПР: 2026-2026</v>
      </c>
      <c r="AD21" s="32"/>
      <c r="AE21" s="32"/>
      <c r="AF21" s="32"/>
    </row>
    <row r="22" spans="1:44" ht="30" customHeight="1">
      <c r="E22" s="867" t="s">
        <v>333</v>
      </c>
      <c r="Q22" s="870"/>
      <c r="S22" s="864"/>
      <c r="U22" s="864"/>
      <c r="V22" s="864"/>
      <c r="W22" s="864"/>
      <c r="X22" s="864"/>
      <c r="Y22" s="864"/>
      <c r="Z22" s="864"/>
      <c r="AA22" s="864"/>
      <c r="AB22" s="1730" t="s">
        <v>34</v>
      </c>
      <c r="AC22" s="1731"/>
      <c r="AD22" s="1731"/>
      <c r="AE22" s="1731"/>
      <c r="AF22" s="1731"/>
      <c r="AG22" s="1731"/>
    </row>
    <row r="23" spans="1:44" ht="11.25" customHeight="1">
      <c r="E23" s="550" t="s">
        <v>334</v>
      </c>
      <c r="Q23" s="870"/>
      <c r="U23" s="871"/>
      <c r="V23" s="871"/>
      <c r="W23" s="871"/>
      <c r="X23" s="871"/>
      <c r="Y23" s="871"/>
      <c r="Z23" s="871"/>
      <c r="AA23" s="871"/>
      <c r="AB23" s="34"/>
      <c r="AC23" s="34"/>
      <c r="AD23" s="34"/>
      <c r="AE23" s="35"/>
      <c r="AF23" s="35"/>
      <c r="AG23" s="35"/>
    </row>
    <row r="24" spans="1:44" ht="28.5" customHeight="1">
      <c r="E24" s="867" t="s">
        <v>335</v>
      </c>
      <c r="U24" s="871"/>
      <c r="V24" s="871"/>
      <c r="W24" s="871"/>
      <c r="X24" s="871"/>
      <c r="Y24" s="871"/>
      <c r="Z24" s="871"/>
      <c r="AA24" s="871"/>
      <c r="AB24" s="36" t="s">
        <v>21</v>
      </c>
      <c r="AC24" s="37" t="s">
        <v>330</v>
      </c>
      <c r="AD24" s="37" t="s">
        <v>331</v>
      </c>
      <c r="AE24" s="37" t="s">
        <v>336</v>
      </c>
      <c r="AF24" s="284" t="s">
        <v>337</v>
      </c>
      <c r="AG24" s="38" t="s">
        <v>278</v>
      </c>
    </row>
    <row r="25" spans="1:44" ht="11.25" hidden="1" customHeight="1">
      <c r="E25" s="867">
        <v>0</v>
      </c>
      <c r="U25" s="871"/>
      <c r="V25" s="871"/>
      <c r="W25" s="871"/>
      <c r="X25" s="871"/>
      <c r="Y25" s="871"/>
      <c r="Z25" s="871"/>
      <c r="AA25" s="871"/>
      <c r="AB25" s="639"/>
      <c r="AC25" s="639"/>
      <c r="AD25" s="639"/>
      <c r="AE25" s="639"/>
      <c r="AF25" s="639"/>
      <c r="AG25" s="639"/>
    </row>
    <row r="26" spans="1:44" ht="15" hidden="1" customHeight="1">
      <c r="E26" s="867" t="s">
        <v>332</v>
      </c>
      <c r="F26" s="62" cm="1">
        <f t="array" ref="F26">Y26</f>
        <v>0</v>
      </c>
      <c r="U26" s="383" t="b">
        <f>Y26&gt;0</f>
        <v>0</v>
      </c>
      <c r="V26" s="386"/>
      <c r="W26" s="387" t="s">
        <v>270</v>
      </c>
      <c r="X26" s="386"/>
      <c r="Y26" s="1732">
        <v>0</v>
      </c>
      <c r="Z26" s="1733"/>
      <c r="AA26" s="872"/>
      <c r="AB26" s="99" t="str" cm="1">
        <f t="array" ref="AB26">INDEX('Общие сведения'!$AG$179:$AG$208,MATCH($Y26,'Общие сведения'!$Z$179:$Z$208,0))</f>
        <v xml:space="preserve">Тариф 0 () - </v>
      </c>
      <c r="AC26" s="93"/>
      <c r="AD26" s="93"/>
      <c r="AE26" s="93"/>
      <c r="AF26" s="93"/>
      <c r="AG26" s="93"/>
    </row>
    <row r="27" spans="1:44" ht="15" hidden="1" customHeight="1">
      <c r="E27" s="867" t="s">
        <v>332</v>
      </c>
      <c r="F27" s="62" cm="1">
        <f t="array" aca="1" ref="F27" ca="1">OFFSET(E27,-1,1)</f>
        <v>0</v>
      </c>
      <c r="G27" s="67" cm="1">
        <f t="array" ref="G27">AB27</f>
        <v>0</v>
      </c>
      <c r="T27" s="873"/>
      <c r="U27" s="383" t="b">
        <f ca="1">AND(F27&gt;0,AB27&gt;0)</f>
        <v>0</v>
      </c>
      <c r="V27" s="388"/>
      <c r="W27" s="389"/>
      <c r="X27" s="671" t="s">
        <v>173</v>
      </c>
      <c r="Y27" s="1732"/>
      <c r="Z27" s="1733"/>
      <c r="AA27" s="579" t="s">
        <v>174</v>
      </c>
      <c r="AB27" s="563">
        <v>0</v>
      </c>
      <c r="AC27" s="672"/>
      <c r="AD27" s="98"/>
      <c r="AE27" s="98"/>
      <c r="AF27" s="1350"/>
      <c r="AG27" s="1351"/>
      <c r="AI27" s="67" t="s">
        <v>338</v>
      </c>
      <c r="AJ27" s="67" t="s">
        <v>339</v>
      </c>
      <c r="AK27" s="67" cm="1">
        <f t="array" ref="AK27">AC27</f>
        <v>0</v>
      </c>
      <c r="AL27" s="67" cm="1">
        <f t="array" ref="AL27">AD27</f>
        <v>0</v>
      </c>
      <c r="AM27" s="67" cm="1">
        <f t="array" ref="AM27">AE27</f>
        <v>0</v>
      </c>
      <c r="AO27" s="67" t="b">
        <v>1</v>
      </c>
    </row>
    <row r="28" spans="1:44" ht="15" hidden="1" customHeight="1">
      <c r="E28" s="867" t="s">
        <v>332</v>
      </c>
      <c r="F28" s="62" cm="1">
        <f t="array" aca="1" ref="F28" ca="1">OFFSET(E28,-1,1)</f>
        <v>0</v>
      </c>
      <c r="G28" s="67" t="s">
        <v>340</v>
      </c>
      <c r="P28" s="671"/>
      <c r="U28" s="383" t="b" cm="1">
        <f t="array" ref="U28">U26</f>
        <v>0</v>
      </c>
      <c r="X28" s="671" t="s">
        <v>341</v>
      </c>
      <c r="Y28" s="1732"/>
      <c r="Z28" s="1733"/>
      <c r="AA28" s="384"/>
      <c r="AB28" s="94"/>
      <c r="AC28" s="176" t="s">
        <v>342</v>
      </c>
      <c r="AD28" s="95"/>
      <c r="AE28" s="95"/>
      <c r="AF28" s="95"/>
      <c r="AG28" s="96"/>
      <c r="AN28" s="67" t="s">
        <v>339</v>
      </c>
    </row>
    <row r="29" spans="1:44" s="1327" customFormat="1" ht="15" customHeight="1">
      <c r="A29" s="485"/>
      <c r="B29" s="1081"/>
      <c r="C29" s="485"/>
      <c r="D29" s="485"/>
      <c r="E29" s="867" t="s">
        <v>332</v>
      </c>
      <c r="F29" s="62" t="str" cm="1">
        <f t="array" ref="F29">Y29</f>
        <v>1</v>
      </c>
      <c r="G29" s="485"/>
      <c r="H29" s="485"/>
      <c r="I29" s="485"/>
      <c r="J29" s="485"/>
      <c r="K29" s="485"/>
      <c r="L29" s="485"/>
      <c r="M29" s="485"/>
      <c r="N29" s="485"/>
      <c r="O29" s="485"/>
      <c r="P29" s="485"/>
      <c r="Q29" s="863"/>
      <c r="R29" s="485"/>
      <c r="S29" s="485"/>
      <c r="T29" s="1187"/>
      <c r="U29" s="383" t="b">
        <f>Y29&gt;0</f>
        <v>1</v>
      </c>
      <c r="V29" s="386"/>
      <c r="W29" s="387" t="str" cm="1">
        <f t="array" ref="W29">'Общие сведения'!$AG$194</f>
        <v>Тариф 1 (Водоснабжение) - тариф на питьевую воду</v>
      </c>
      <c r="X29" s="386"/>
      <c r="Y29" s="1732" t="s">
        <v>281</v>
      </c>
      <c r="Z29" s="1733"/>
      <c r="AA29" s="872"/>
      <c r="AB29" s="99" t="str" cm="1">
        <f t="array" ref="AB29">'Общие сведения'!$AG$194</f>
        <v>Тариф 1 (Водоснабжение) - тариф на питьевую воду</v>
      </c>
      <c r="AC29" s="93"/>
      <c r="AD29" s="93"/>
      <c r="AE29" s="93"/>
      <c r="AF29" s="93"/>
      <c r="AG29" s="93"/>
      <c r="AH29" s="33"/>
      <c r="AI29" s="485"/>
      <c r="AJ29" s="485"/>
      <c r="AK29" s="485"/>
      <c r="AL29" s="485"/>
      <c r="AM29" s="485"/>
      <c r="AN29" s="485"/>
      <c r="AO29" s="485"/>
      <c r="AP29" s="33"/>
      <c r="AQ29" s="33"/>
      <c r="AR29" s="33"/>
    </row>
    <row r="30" spans="1:44" s="1327" customFormat="1" ht="15" hidden="1" customHeight="1">
      <c r="A30" s="485"/>
      <c r="B30" s="1081"/>
      <c r="C30" s="485"/>
      <c r="D30" s="485"/>
      <c r="E30" s="867" t="s">
        <v>332</v>
      </c>
      <c r="F30" s="62" t="str" cm="1">
        <f t="array" aca="1" ref="F30" ca="1">OFFSET(E30,-1,1)</f>
        <v>1</v>
      </c>
      <c r="G30" s="67" cm="1">
        <f t="array" ref="G30">AB30</f>
        <v>0</v>
      </c>
      <c r="H30" s="485"/>
      <c r="I30" s="485"/>
      <c r="J30" s="485"/>
      <c r="K30" s="485"/>
      <c r="L30" s="485"/>
      <c r="M30" s="485"/>
      <c r="N30" s="485"/>
      <c r="O30" s="485"/>
      <c r="P30" s="485"/>
      <c r="Q30" s="863"/>
      <c r="R30" s="485"/>
      <c r="S30" s="485"/>
      <c r="T30" s="873"/>
      <c r="U30" s="383" t="b">
        <f ca="1">AND(F30&gt;0,AB30&gt;0)</f>
        <v>0</v>
      </c>
      <c r="V30" s="388"/>
      <c r="W30" s="389"/>
      <c r="X30" s="671" t="s">
        <v>173</v>
      </c>
      <c r="Y30" s="1732"/>
      <c r="Z30" s="1733"/>
      <c r="AA30" s="579" t="s">
        <v>174</v>
      </c>
      <c r="AB30" s="563">
        <v>0</v>
      </c>
      <c r="AC30" s="672"/>
      <c r="AD30" s="98"/>
      <c r="AE30" s="98"/>
      <c r="AF30" s="1350"/>
      <c r="AG30" s="1351"/>
      <c r="AH30" s="33"/>
      <c r="AI30" s="67" t="s">
        <v>338</v>
      </c>
      <c r="AJ30" s="67" t="s">
        <v>339</v>
      </c>
      <c r="AK30" s="67" cm="1">
        <f t="array" ref="AK30">AC30</f>
        <v>0</v>
      </c>
      <c r="AL30" s="67" cm="1">
        <f t="array" ref="AL30">AD30</f>
        <v>0</v>
      </c>
      <c r="AM30" s="67" cm="1">
        <f t="array" ref="AM30">AE30</f>
        <v>0</v>
      </c>
      <c r="AN30" s="485"/>
      <c r="AO30" s="67" t="b">
        <v>1</v>
      </c>
      <c r="AP30" s="33"/>
      <c r="AQ30" s="33"/>
      <c r="AR30" s="33"/>
    </row>
    <row r="31" spans="1:44" s="1327" customFormat="1" ht="75.75" customHeight="1">
      <c r="A31" s="485"/>
      <c r="B31" s="1081"/>
      <c r="C31" s="485"/>
      <c r="D31" s="485"/>
      <c r="E31" s="867" t="s">
        <v>332</v>
      </c>
      <c r="F31" s="62" t="str" cm="1">
        <f t="array" aca="1" ref="F31" ca="1">OFFSET(E31,-1,1)</f>
        <v>1</v>
      </c>
      <c r="G31" s="67" t="str" cm="1">
        <f t="array" ref="G31">AB31</f>
        <v>1</v>
      </c>
      <c r="H31" s="485"/>
      <c r="I31" s="485"/>
      <c r="J31" s="485"/>
      <c r="K31" s="485"/>
      <c r="L31" s="485"/>
      <c r="M31" s="485"/>
      <c r="N31" s="485"/>
      <c r="O31" s="485"/>
      <c r="P31" s="485"/>
      <c r="Q31" s="863"/>
      <c r="R31" s="485"/>
      <c r="S31" s="485"/>
      <c r="T31" s="873"/>
      <c r="U31" s="383" t="b">
        <f ca="1">AND(F31&gt;0,AB31&gt;0)</f>
        <v>1</v>
      </c>
      <c r="V31" s="388"/>
      <c r="W31" s="389"/>
      <c r="X31" s="671"/>
      <c r="Y31" s="1732"/>
      <c r="Z31" s="1733"/>
      <c r="AA31" s="579" t="s">
        <v>174</v>
      </c>
      <c r="AB31" s="563" t="s">
        <v>281</v>
      </c>
      <c r="AC31" s="672" t="s">
        <v>343</v>
      </c>
      <c r="AD31" s="98" t="s">
        <v>343</v>
      </c>
      <c r="AE31" s="98" t="s">
        <v>344</v>
      </c>
      <c r="AF31" s="844"/>
      <c r="AG31" s="115" t="s">
        <v>345</v>
      </c>
      <c r="AH31" s="33"/>
      <c r="AI31" s="67" t="s">
        <v>338</v>
      </c>
      <c r="AJ31" s="67" t="s">
        <v>339</v>
      </c>
      <c r="AK31" s="67" t="str" cm="1">
        <f t="array" ref="AK31">AC31</f>
        <v>город Кемерово</v>
      </c>
      <c r="AL31" s="67" t="str" cm="1">
        <f t="array" ref="AL31">AD31</f>
        <v>город Кемерово</v>
      </c>
      <c r="AM31" s="67" t="str" cm="1">
        <f t="array" ref="AM31">AE31</f>
        <v>32701000</v>
      </c>
      <c r="AN31" s="485"/>
      <c r="AO31" s="67" t="b">
        <v>1</v>
      </c>
      <c r="AP31" s="33"/>
      <c r="AQ31" s="33"/>
      <c r="AR31" s="33"/>
    </row>
    <row r="32" spans="1:44" s="1327" customFormat="1" ht="15" customHeight="1">
      <c r="A32" s="485"/>
      <c r="B32" s="1081"/>
      <c r="C32" s="485"/>
      <c r="D32" s="485"/>
      <c r="E32" s="867" t="s">
        <v>332</v>
      </c>
      <c r="F32" s="62" t="str" cm="1">
        <f t="array" aca="1" ref="F32" ca="1">OFFSET(E32,-1,1)</f>
        <v>1</v>
      </c>
      <c r="G32" s="67" t="s">
        <v>340</v>
      </c>
      <c r="H32" s="485"/>
      <c r="I32" s="485"/>
      <c r="J32" s="485"/>
      <c r="K32" s="485"/>
      <c r="L32" s="485"/>
      <c r="M32" s="485"/>
      <c r="N32" s="485"/>
      <c r="O32" s="485"/>
      <c r="P32" s="671"/>
      <c r="Q32" s="863"/>
      <c r="R32" s="485"/>
      <c r="S32" s="485"/>
      <c r="T32" s="1187"/>
      <c r="U32" s="383" t="b" cm="1">
        <f t="array" ref="U32">U29</f>
        <v>1</v>
      </c>
      <c r="V32" s="485"/>
      <c r="W32" s="485"/>
      <c r="X32" s="671" t="s">
        <v>341</v>
      </c>
      <c r="Y32" s="1732"/>
      <c r="Z32" s="1733"/>
      <c r="AA32" s="384"/>
      <c r="AB32" s="94"/>
      <c r="AC32" s="176" t="s">
        <v>342</v>
      </c>
      <c r="AD32" s="95"/>
      <c r="AE32" s="95"/>
      <c r="AF32" s="95"/>
      <c r="AG32" s="96"/>
      <c r="AH32" s="33"/>
      <c r="AI32" s="485"/>
      <c r="AJ32" s="485"/>
      <c r="AK32" s="485"/>
      <c r="AL32" s="485"/>
      <c r="AM32" s="485"/>
      <c r="AN32" s="67" t="s">
        <v>339</v>
      </c>
      <c r="AO32" s="485"/>
      <c r="AP32" s="33"/>
      <c r="AQ32" s="33"/>
      <c r="AR32" s="33"/>
    </row>
    <row r="33" spans="1:44" s="1327" customFormat="1" ht="14.25" customHeight="1">
      <c r="A33" s="415"/>
      <c r="B33" s="575"/>
      <c r="C33" s="415"/>
      <c r="D33" s="415"/>
      <c r="E33" s="780" t="s">
        <v>334</v>
      </c>
      <c r="F33" s="398"/>
      <c r="G33" s="415"/>
      <c r="H33" s="415"/>
      <c r="I33" s="415"/>
      <c r="J33" s="415"/>
      <c r="K33" s="415"/>
      <c r="L33" s="415"/>
      <c r="M33" s="415"/>
      <c r="N33" s="415"/>
      <c r="O33" s="415"/>
      <c r="P33" s="415"/>
      <c r="Q33" s="415"/>
      <c r="R33" s="415"/>
      <c r="S33" s="415"/>
      <c r="T33" s="415"/>
      <c r="U33" s="385"/>
      <c r="V33" s="390" t="s">
        <v>177</v>
      </c>
      <c r="W33" s="671" t="s">
        <v>346</v>
      </c>
      <c r="X33" s="415"/>
      <c r="Y33" s="415"/>
      <c r="Z33" s="415"/>
      <c r="AA33" s="415"/>
      <c r="AC33" s="19"/>
      <c r="AD33" s="19"/>
      <c r="AE33" s="19"/>
      <c r="AF33" s="19"/>
      <c r="AH33"/>
      <c r="AI33" s="415"/>
      <c r="AJ33" s="415"/>
      <c r="AK33" s="415"/>
      <c r="AL33" s="415"/>
      <c r="AM33" s="415"/>
      <c r="AN33" s="415"/>
      <c r="AO33" s="415"/>
      <c r="AQ33" s="20"/>
    </row>
    <row r="34" spans="1:44" s="1327" customFormat="1" ht="11.25" hidden="1" customHeight="1">
      <c r="A34" s="415"/>
      <c r="B34" s="575"/>
      <c r="C34" s="415"/>
      <c r="D34" s="415"/>
      <c r="E34" s="576"/>
      <c r="F34" s="874"/>
      <c r="G34" s="415"/>
      <c r="H34" s="415"/>
      <c r="I34" s="415"/>
      <c r="J34" s="415"/>
      <c r="K34" s="415"/>
      <c r="L34" s="415"/>
      <c r="M34" s="415"/>
      <c r="N34" s="415"/>
      <c r="O34" s="415"/>
      <c r="P34" s="415"/>
      <c r="Q34" s="415"/>
      <c r="R34" s="415"/>
      <c r="S34" s="415"/>
      <c r="T34" s="415"/>
      <c r="U34" s="385"/>
      <c r="V34" s="415"/>
      <c r="W34" s="415"/>
      <c r="X34" s="415"/>
      <c r="Y34" s="415"/>
      <c r="Z34" s="415"/>
      <c r="AA34" s="415"/>
      <c r="AC34" s="19"/>
      <c r="AD34" s="19"/>
      <c r="AE34" s="19"/>
      <c r="AF34" s="19"/>
      <c r="AG34" s="19"/>
      <c r="AI34" s="415"/>
      <c r="AJ34" s="415"/>
      <c r="AK34" s="415"/>
      <c r="AL34" s="415"/>
      <c r="AM34" s="415"/>
      <c r="AN34" s="415"/>
      <c r="AO34" s="415"/>
      <c r="AR34" s="20"/>
    </row>
  </sheetData>
  <sheetProtection formatColumns="0" formatRows="0" insertRows="0" deleteColumns="0" deleteRows="0" sort="0" autoFilter="0"/>
  <mergeCells count="5">
    <mergeCell ref="AB22:AG22"/>
    <mergeCell ref="Y26:Y28"/>
    <mergeCell ref="Z26:Z28"/>
    <mergeCell ref="Y29:Y32"/>
    <mergeCell ref="Z29:Z32"/>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57"/>
  <sheetViews>
    <sheetView showGridLines="0" workbookViewId="0">
      <pane xSplit="31" ySplit="25" topLeftCell="AF26" activePane="bottomRight" state="frozen"/>
      <selection pane="topRight" activeCell="AF1" sqref="AF1"/>
      <selection pane="bottomLeft" activeCell="A26" sqref="A26"/>
      <selection pane="bottomRight" activeCell="AF51" sqref="AF51"/>
    </sheetView>
  </sheetViews>
  <sheetFormatPr defaultColWidth="8.7109375" defaultRowHeight="11.25" customHeight="1"/>
  <cols>
    <col min="1" max="1" width="3.5703125" style="33" hidden="1" customWidth="1"/>
    <col min="2" max="2" width="8.5703125" style="1081" hidden="1" customWidth="1"/>
    <col min="3" max="4" width="3.5703125" style="33" hidden="1" customWidth="1"/>
    <col min="5" max="5" width="3.5703125" style="552" hidden="1" customWidth="1"/>
    <col min="6" max="7" width="4" style="33" hidden="1" customWidth="1"/>
    <col min="8" max="9" width="3.5703125" style="33" hidden="1" customWidth="1"/>
    <col min="10" max="10" width="12.42578125" style="33" hidden="1" customWidth="1"/>
    <col min="11" max="11" width="9.7109375" style="33" hidden="1" customWidth="1"/>
    <col min="12" max="16" width="3.5703125" style="33" hidden="1" customWidth="1"/>
    <col min="17" max="17" width="5.5703125" style="33" hidden="1" customWidth="1"/>
    <col min="18" max="19" width="3.5703125" style="33" hidden="1" customWidth="1"/>
    <col min="20" max="20" width="3.5703125" style="1327" hidden="1" customWidth="1"/>
    <col min="21" max="21" width="6.140625" style="1327" hidden="1" customWidth="1"/>
    <col min="22" max="22" width="10.140625" style="1327" hidden="1" customWidth="1"/>
    <col min="23" max="23" width="5.85546875" style="1327" hidden="1" customWidth="1"/>
    <col min="24" max="25" width="6.140625" style="1327" hidden="1" customWidth="1"/>
    <col min="26" max="26" width="5.5703125" style="1327" hidden="1" customWidth="1"/>
    <col min="27" max="27" width="5.28515625" style="1327" hidden="1" customWidth="1"/>
    <col min="28" max="28" width="3" style="33" customWidth="1"/>
    <col min="29" max="29" width="11" style="33" customWidth="1"/>
    <col min="30" max="30" width="70" style="33" customWidth="1"/>
    <col min="31" max="31" width="15" style="33" customWidth="1"/>
    <col min="32" max="32" width="20" style="33" customWidth="1"/>
    <col min="33" max="33" width="20" style="39" customWidth="1"/>
    <col min="34" max="35" width="20" style="33" customWidth="1"/>
    <col min="36" max="36" width="20" style="39" customWidth="1"/>
    <col min="37" max="37" width="3.7109375" style="33" customWidth="1"/>
    <col min="38" max="38" width="8.7109375" style="33" hidden="1"/>
    <col min="39" max="42" width="8.7109375" style="905" hidden="1"/>
    <col min="43" max="44" width="8.7109375" style="544" hidden="1"/>
    <col min="45" max="57" width="8.7109375" style="33" hidden="1"/>
  </cols>
  <sheetData>
    <row r="1" spans="1:44" s="485" customFormat="1" ht="11.25" hidden="1" customHeight="1">
      <c r="B1" s="346"/>
      <c r="E1" s="781"/>
      <c r="F1" s="67" t="s">
        <v>311</v>
      </c>
      <c r="H1" s="67" t="s">
        <v>322</v>
      </c>
      <c r="J1" s="67" t="s">
        <v>347</v>
      </c>
      <c r="P1" s="67" t="s">
        <v>348</v>
      </c>
      <c r="T1" s="864"/>
      <c r="U1" s="383" t="s">
        <v>313</v>
      </c>
      <c r="V1" s="381" t="s">
        <v>92</v>
      </c>
      <c r="W1" s="381" t="s">
        <v>97</v>
      </c>
      <c r="X1" s="381" t="s">
        <v>93</v>
      </c>
      <c r="Y1" s="381" t="s">
        <v>94</v>
      </c>
      <c r="Z1" s="381" t="s">
        <v>95</v>
      </c>
      <c r="AA1" s="381" t="s">
        <v>99</v>
      </c>
      <c r="AB1" s="383" t="s">
        <v>96</v>
      </c>
      <c r="AC1" s="383"/>
      <c r="AD1" s="383" t="s">
        <v>98</v>
      </c>
      <c r="AG1" s="122"/>
      <c r="AJ1" s="122"/>
      <c r="AM1" s="896" t="s">
        <v>314</v>
      </c>
      <c r="AN1" s="896" t="s">
        <v>315</v>
      </c>
      <c r="AO1" s="896" t="s">
        <v>316</v>
      </c>
      <c r="AP1" s="896" t="s">
        <v>349</v>
      </c>
      <c r="AQ1" s="867" t="s">
        <v>319</v>
      </c>
      <c r="AR1" s="867" t="s">
        <v>320</v>
      </c>
    </row>
    <row r="2" spans="1:44" s="1081" customFormat="1" ht="11.25" hidden="1" customHeight="1">
      <c r="B2" s="865" t="s">
        <v>18</v>
      </c>
      <c r="T2" s="572"/>
      <c r="U2" s="572"/>
      <c r="V2" s="572"/>
      <c r="W2" s="572"/>
      <c r="X2" s="572"/>
      <c r="Y2" s="572"/>
      <c r="Z2" s="572"/>
      <c r="AA2" s="572"/>
      <c r="AF2" s="865" t="b">
        <f>method_reg&lt;&gt;"Метод сравнения аналогов"</f>
        <v>1</v>
      </c>
      <c r="AG2" s="865" t="b">
        <f>method_reg&lt;&gt;"Метод сравнения аналогов"</f>
        <v>1</v>
      </c>
      <c r="AM2" s="895"/>
      <c r="AN2" s="895"/>
      <c r="AO2" s="895"/>
      <c r="AP2" s="895"/>
      <c r="AQ2" s="904"/>
      <c r="AR2" s="904"/>
    </row>
    <row r="3" spans="1:44" s="485" customFormat="1" ht="11.25" hidden="1" customHeight="1">
      <c r="B3" s="346"/>
      <c r="E3" s="781"/>
      <c r="T3" s="864"/>
      <c r="U3" s="864"/>
      <c r="V3" s="864"/>
      <c r="W3" s="864"/>
      <c r="X3" s="864"/>
      <c r="Y3" s="864"/>
      <c r="Z3" s="864"/>
      <c r="AA3" s="864"/>
      <c r="AG3" s="122"/>
      <c r="AJ3" s="122"/>
      <c r="AM3" s="896"/>
      <c r="AN3" s="896"/>
      <c r="AO3" s="896"/>
      <c r="AP3" s="896"/>
      <c r="AQ3" s="867"/>
      <c r="AR3" s="867"/>
    </row>
    <row r="4" spans="1:44" s="485" customFormat="1" ht="11.25" hidden="1" customHeight="1">
      <c r="B4" s="346"/>
      <c r="E4" s="781"/>
      <c r="T4" s="864"/>
      <c r="U4" s="864"/>
      <c r="V4" s="864"/>
      <c r="W4" s="864"/>
      <c r="X4" s="864"/>
      <c r="Y4" s="864"/>
      <c r="Z4" s="864"/>
      <c r="AA4" s="864"/>
      <c r="AG4" s="122"/>
      <c r="AJ4" s="122"/>
      <c r="AM4" s="896"/>
      <c r="AN4" s="896"/>
      <c r="AO4" s="896"/>
      <c r="AP4" s="896"/>
      <c r="AQ4" s="867"/>
      <c r="AR4" s="867"/>
    </row>
    <row r="5" spans="1:44" s="789" customFormat="1" ht="11.25" hidden="1" customHeight="1">
      <c r="A5" s="781"/>
      <c r="B5" s="346"/>
      <c r="C5" s="781"/>
      <c r="D5" s="781"/>
      <c r="E5" s="782" t="s">
        <v>19</v>
      </c>
      <c r="T5" s="892"/>
      <c r="U5" s="892"/>
      <c r="V5" s="892"/>
      <c r="W5" s="892"/>
      <c r="X5" s="892"/>
      <c r="Y5" s="892"/>
      <c r="Z5" s="892"/>
      <c r="AA5" s="892"/>
      <c r="AB5" s="538">
        <v>3</v>
      </c>
      <c r="AC5" s="538">
        <v>11</v>
      </c>
      <c r="AD5" s="538">
        <v>70</v>
      </c>
      <c r="AE5" s="538">
        <v>15</v>
      </c>
      <c r="AF5" s="538">
        <v>20</v>
      </c>
      <c r="AG5" s="538">
        <v>20</v>
      </c>
      <c r="AH5" s="538">
        <v>20</v>
      </c>
      <c r="AI5" s="538">
        <v>20</v>
      </c>
      <c r="AJ5" s="538">
        <v>20</v>
      </c>
      <c r="AK5" s="782" t="s">
        <v>321</v>
      </c>
      <c r="AM5" s="897"/>
      <c r="AN5" s="897"/>
      <c r="AO5" s="897"/>
      <c r="AP5" s="897"/>
    </row>
    <row r="6" spans="1:44" s="485" customFormat="1" ht="11.25" hidden="1" customHeight="1">
      <c r="A6" s="67" t="s">
        <v>350</v>
      </c>
      <c r="B6" s="346"/>
      <c r="E6" s="782"/>
      <c r="T6" s="864"/>
      <c r="U6" s="864"/>
      <c r="V6" s="864"/>
      <c r="W6" s="864"/>
      <c r="X6" s="864"/>
      <c r="Y6" s="864"/>
      <c r="Z6" s="864"/>
      <c r="AA6" s="864"/>
      <c r="AF6" s="67">
        <f>god-2</f>
        <v>2024</v>
      </c>
      <c r="AG6" s="67">
        <f>god-1</f>
        <v>2025</v>
      </c>
      <c r="AH6" s="67" cm="1">
        <f t="array" ref="AH6">god</f>
        <v>2026</v>
      </c>
      <c r="AI6" s="67" cm="1">
        <f t="array" ref="AI6">god</f>
        <v>2026</v>
      </c>
      <c r="AJ6" s="67" cm="1">
        <f t="array" ref="AJ6">god</f>
        <v>2026</v>
      </c>
      <c r="AM6" s="896"/>
      <c r="AN6" s="896"/>
      <c r="AO6" s="896"/>
      <c r="AP6" s="896"/>
      <c r="AQ6" s="867"/>
      <c r="AR6" s="867"/>
    </row>
    <row r="7" spans="1:44" s="485" customFormat="1" ht="11.25" hidden="1" customHeight="1">
      <c r="A7" s="67" t="s">
        <v>351</v>
      </c>
      <c r="B7" s="346"/>
      <c r="E7" s="782"/>
      <c r="T7" s="864"/>
      <c r="U7" s="864"/>
      <c r="V7" s="864"/>
      <c r="W7" s="864"/>
      <c r="X7" s="864"/>
      <c r="Y7" s="864"/>
      <c r="Z7" s="864"/>
      <c r="AA7" s="864"/>
      <c r="AF7" s="285" t="str" cm="1">
        <f t="array" ref="AF7">AF25</f>
        <v>Принято органом регулирования</v>
      </c>
      <c r="AG7" s="285" t="s">
        <v>352</v>
      </c>
      <c r="AH7" s="286" t="s">
        <v>353</v>
      </c>
      <c r="AI7" s="286" t="s">
        <v>352</v>
      </c>
      <c r="AJ7" s="285" t="s">
        <v>354</v>
      </c>
      <c r="AM7" s="896"/>
      <c r="AN7" s="896"/>
      <c r="AO7" s="896"/>
      <c r="AP7" s="896"/>
      <c r="AQ7" s="867"/>
      <c r="AR7" s="867"/>
    </row>
    <row r="8" spans="1:44" s="485" customFormat="1" ht="11.25" hidden="1" customHeight="1">
      <c r="B8" s="346"/>
      <c r="E8" s="782"/>
      <c r="T8" s="864"/>
      <c r="U8" s="864"/>
      <c r="V8" s="864"/>
      <c r="W8" s="864"/>
      <c r="X8" s="864"/>
      <c r="Y8" s="864"/>
      <c r="Z8" s="864"/>
      <c r="AA8" s="864"/>
      <c r="AG8" s="122"/>
      <c r="AJ8" s="122"/>
      <c r="AM8" s="896"/>
      <c r="AN8" s="896"/>
      <c r="AO8" s="896"/>
      <c r="AP8" s="896"/>
      <c r="AQ8" s="867"/>
      <c r="AR8" s="867"/>
    </row>
    <row r="9" spans="1:44" s="896" customFormat="1" ht="11.25" hidden="1" customHeight="1">
      <c r="A9" s="896" t="s">
        <v>355</v>
      </c>
      <c r="B9" s="895"/>
      <c r="E9" s="897"/>
      <c r="T9" s="898"/>
      <c r="U9" s="898"/>
      <c r="V9" s="898"/>
      <c r="W9" s="898"/>
      <c r="X9" s="898"/>
      <c r="Y9" s="898"/>
      <c r="Z9" s="898"/>
      <c r="AA9" s="898"/>
      <c r="AF9" s="896" cm="1">
        <f t="array" ref="AF9">AF6</f>
        <v>2024</v>
      </c>
      <c r="AG9" s="896" cm="1">
        <f t="array" ref="AG9">AG6</f>
        <v>2025</v>
      </c>
      <c r="AH9" s="896" cm="1">
        <f t="array" ref="AH9">AH6</f>
        <v>2026</v>
      </c>
      <c r="AI9" s="896" cm="1">
        <f t="array" ref="AI9">AI6</f>
        <v>2026</v>
      </c>
      <c r="AQ9" s="867"/>
      <c r="AR9" s="867"/>
    </row>
    <row r="10" spans="1:44" s="896" customFormat="1" ht="11.25" hidden="1" customHeight="1">
      <c r="A10" s="896" t="s">
        <v>356</v>
      </c>
      <c r="B10" s="895"/>
      <c r="E10" s="897"/>
      <c r="T10" s="898"/>
      <c r="U10" s="898"/>
      <c r="V10" s="898"/>
      <c r="W10" s="898"/>
      <c r="X10" s="898"/>
      <c r="Y10" s="898"/>
      <c r="Z10" s="898"/>
      <c r="AA10" s="898"/>
      <c r="AF10" s="896" t="str" cm="1">
        <f t="array" ref="AF10">AF25</f>
        <v>Принято органом регулирования</v>
      </c>
      <c r="AG10" s="896" t="str" cm="1">
        <f t="array" ref="AG10">AG25</f>
        <v>Принято органом регулирования</v>
      </c>
      <c r="AH10" s="896" t="str" cm="1">
        <f t="array" ref="AH10">AH25</f>
        <v>Предложение организации</v>
      </c>
      <c r="AI10" s="896" t="str" cm="1">
        <f t="array" ref="AI10">AI25</f>
        <v>Принято органом регулирования</v>
      </c>
      <c r="AQ10" s="867"/>
      <c r="AR10" s="867"/>
    </row>
    <row r="11" spans="1:44" s="896" customFormat="1" ht="11.25" hidden="1" customHeight="1">
      <c r="A11" s="896" t="s">
        <v>357</v>
      </c>
      <c r="B11" s="895"/>
      <c r="E11" s="897"/>
      <c r="T11" s="898"/>
      <c r="U11" s="898"/>
      <c r="V11" s="898"/>
      <c r="W11" s="898"/>
      <c r="X11" s="898"/>
      <c r="Y11" s="898"/>
      <c r="Z11" s="898"/>
      <c r="AA11" s="898"/>
      <c r="AG11" s="894"/>
      <c r="AJ11" s="894" t="str" cm="1">
        <f t="array" ref="AJ11">AJ24</f>
        <v>Комментарии</v>
      </c>
      <c r="AQ11" s="867"/>
      <c r="AR11" s="867"/>
    </row>
    <row r="12" spans="1:44" s="896" customFormat="1" ht="11.25" hidden="1" customHeight="1">
      <c r="A12" s="896" t="s">
        <v>329</v>
      </c>
      <c r="B12" s="895"/>
      <c r="E12" s="897"/>
      <c r="T12" s="898"/>
      <c r="U12" s="898"/>
      <c r="V12" s="898"/>
      <c r="W12" s="898"/>
      <c r="X12" s="898"/>
      <c r="Y12" s="898"/>
      <c r="Z12" s="898"/>
      <c r="AA12" s="898"/>
      <c r="AB12" s="898"/>
      <c r="AD12" s="896" t="s">
        <v>316</v>
      </c>
      <c r="AE12" s="896" t="s">
        <v>349</v>
      </c>
      <c r="AG12" s="894"/>
      <c r="AJ12" s="894"/>
      <c r="AQ12" s="867"/>
      <c r="AR12" s="867"/>
    </row>
    <row r="13" spans="1:44" s="485" customFormat="1" ht="11.25" hidden="1" customHeight="1">
      <c r="B13" s="346"/>
      <c r="E13" s="782"/>
      <c r="T13" s="864"/>
      <c r="U13" s="864"/>
      <c r="V13" s="864"/>
      <c r="W13" s="864"/>
      <c r="X13" s="864"/>
      <c r="Y13" s="864"/>
      <c r="Z13" s="864"/>
      <c r="AA13" s="864"/>
      <c r="AB13" s="864"/>
      <c r="AC13" s="864"/>
      <c r="AD13" s="893"/>
      <c r="AE13" s="893"/>
      <c r="AF13" s="893"/>
      <c r="AG13" s="893"/>
      <c r="AJ13" s="893"/>
      <c r="AM13" s="896"/>
      <c r="AN13" s="896"/>
      <c r="AO13" s="896"/>
      <c r="AP13" s="896"/>
      <c r="AQ13" s="867"/>
      <c r="AR13" s="867"/>
    </row>
    <row r="14" spans="1:44" s="485" customFormat="1" ht="11.25" hidden="1" customHeight="1">
      <c r="B14" s="346"/>
      <c r="E14" s="782"/>
      <c r="T14" s="864"/>
      <c r="U14" s="864"/>
      <c r="V14" s="864"/>
      <c r="W14" s="864"/>
      <c r="X14" s="864"/>
      <c r="Y14" s="864"/>
      <c r="Z14" s="864"/>
      <c r="AA14" s="864"/>
      <c r="AB14" s="864"/>
      <c r="AC14" s="864"/>
      <c r="AD14" s="893"/>
      <c r="AE14" s="893"/>
      <c r="AF14" s="893"/>
      <c r="AG14" s="893"/>
      <c r="AJ14" s="893"/>
      <c r="AM14" s="896"/>
      <c r="AN14" s="896"/>
      <c r="AO14" s="896"/>
      <c r="AP14" s="896"/>
      <c r="AQ14" s="867"/>
      <c r="AR14" s="867"/>
    </row>
    <row r="15" spans="1:44" s="485" customFormat="1" ht="11.25" hidden="1" customHeight="1">
      <c r="B15" s="346"/>
      <c r="E15" s="782"/>
      <c r="T15" s="864"/>
      <c r="U15" s="864"/>
      <c r="V15" s="864"/>
      <c r="W15" s="864"/>
      <c r="X15" s="864"/>
      <c r="Y15" s="864"/>
      <c r="Z15" s="864"/>
      <c r="AA15" s="864"/>
      <c r="AB15" s="864"/>
      <c r="AC15" s="864"/>
      <c r="AD15" s="893"/>
      <c r="AE15" s="893"/>
      <c r="AF15" s="893"/>
      <c r="AG15" s="893"/>
      <c r="AJ15" s="893"/>
      <c r="AM15" s="896"/>
      <c r="AN15" s="896"/>
      <c r="AO15" s="896"/>
      <c r="AP15" s="896"/>
      <c r="AQ15" s="867"/>
      <c r="AR15" s="867"/>
    </row>
    <row r="16" spans="1:44" s="485" customFormat="1" ht="11.25" hidden="1" customHeight="1">
      <c r="B16" s="346"/>
      <c r="E16" s="782"/>
      <c r="T16" s="864"/>
      <c r="U16" s="864"/>
      <c r="V16" s="864"/>
      <c r="W16" s="864"/>
      <c r="X16" s="864"/>
      <c r="Y16" s="864"/>
      <c r="Z16" s="864"/>
      <c r="AA16" s="864"/>
      <c r="AB16" s="864"/>
      <c r="AC16" s="864"/>
      <c r="AD16" s="893"/>
      <c r="AE16" s="893"/>
      <c r="AF16" s="893"/>
      <c r="AG16" s="893"/>
      <c r="AJ16" s="893"/>
      <c r="AM16" s="896"/>
      <c r="AN16" s="896"/>
      <c r="AO16" s="896"/>
      <c r="AP16" s="896"/>
      <c r="AQ16" s="867"/>
      <c r="AR16" s="867"/>
    </row>
    <row r="17" spans="1:44" s="485" customFormat="1" ht="11.25" hidden="1" customHeight="1">
      <c r="B17" s="346"/>
      <c r="E17" s="782"/>
      <c r="T17" s="864"/>
      <c r="U17" s="864"/>
      <c r="V17" s="864"/>
      <c r="W17" s="864"/>
      <c r="X17" s="864"/>
      <c r="Y17" s="864"/>
      <c r="Z17" s="864"/>
      <c r="AA17" s="864"/>
      <c r="AB17" s="864"/>
      <c r="AC17" s="864"/>
      <c r="AD17" s="893"/>
      <c r="AE17" s="893"/>
      <c r="AF17" s="893"/>
      <c r="AG17" s="893"/>
      <c r="AJ17" s="893"/>
      <c r="AM17" s="896"/>
      <c r="AN17" s="896"/>
      <c r="AO17" s="896"/>
      <c r="AP17" s="896"/>
      <c r="AQ17" s="867"/>
      <c r="AR17" s="867"/>
    </row>
    <row r="18" spans="1:44" s="485" customFormat="1" ht="11.25" hidden="1" customHeight="1">
      <c r="A18" s="67" t="s">
        <v>358</v>
      </c>
      <c r="B18" s="346"/>
      <c r="E18" s="782"/>
      <c r="T18" s="864"/>
      <c r="U18" s="864"/>
      <c r="V18" s="864"/>
      <c r="W18" s="864"/>
      <c r="X18" s="864"/>
      <c r="Y18" s="864"/>
      <c r="Z18" s="864"/>
      <c r="AA18" s="864"/>
      <c r="AB18" s="864"/>
      <c r="AC18" s="864"/>
      <c r="AD18" s="853" t="s">
        <v>194</v>
      </c>
      <c r="AE18" s="893"/>
      <c r="AF18" s="893"/>
      <c r="AG18" s="893"/>
      <c r="AJ18" s="893"/>
      <c r="AM18" s="896"/>
      <c r="AN18" s="896"/>
      <c r="AO18" s="896"/>
      <c r="AP18" s="896"/>
      <c r="AQ18" s="867"/>
      <c r="AR18" s="867"/>
    </row>
    <row r="19" spans="1:44" s="485" customFormat="1" ht="11.25" hidden="1" customHeight="1">
      <c r="B19" s="346"/>
      <c r="E19" s="782"/>
      <c r="T19" s="864"/>
      <c r="U19" s="864"/>
      <c r="V19" s="864"/>
      <c r="W19" s="864"/>
      <c r="X19" s="864"/>
      <c r="Y19" s="864"/>
      <c r="Z19" s="864"/>
      <c r="AA19" s="864"/>
      <c r="AB19" s="864"/>
      <c r="AC19" s="864"/>
      <c r="AD19" s="893"/>
      <c r="AE19" s="893"/>
      <c r="AF19" s="893"/>
      <c r="AG19" s="893"/>
      <c r="AJ19" s="893"/>
      <c r="AM19" s="896"/>
      <c r="AN19" s="896"/>
      <c r="AO19" s="896"/>
      <c r="AP19" s="896"/>
      <c r="AQ19" s="867"/>
      <c r="AR19" s="867"/>
    </row>
    <row r="20" spans="1:44" s="485" customFormat="1" ht="11.25" hidden="1" customHeight="1">
      <c r="B20" s="346"/>
      <c r="E20" s="782"/>
      <c r="T20" s="864"/>
      <c r="U20" s="864"/>
      <c r="V20" s="864"/>
      <c r="W20" s="864"/>
      <c r="X20" s="864"/>
      <c r="Y20" s="864"/>
      <c r="Z20" s="864"/>
      <c r="AA20" s="864"/>
      <c r="AB20" s="864"/>
      <c r="AC20" s="864"/>
      <c r="AD20" s="893"/>
      <c r="AE20" s="893"/>
      <c r="AF20" s="893"/>
      <c r="AG20" s="893"/>
      <c r="AJ20" s="893"/>
      <c r="AM20" s="896"/>
      <c r="AN20" s="896"/>
      <c r="AO20" s="896"/>
      <c r="AP20" s="896"/>
      <c r="AQ20" s="867"/>
      <c r="AR20" s="867"/>
    </row>
    <row r="21" spans="1:44" s="485" customFormat="1" ht="14.65" customHeight="1">
      <c r="B21" s="346"/>
      <c r="E21" s="782">
        <v>15</v>
      </c>
      <c r="T21" s="864"/>
      <c r="U21" s="864"/>
      <c r="V21" s="864"/>
      <c r="W21" s="864"/>
      <c r="X21" s="864"/>
      <c r="Y21" s="864"/>
      <c r="Z21" s="864"/>
      <c r="AA21" s="864"/>
      <c r="AB21" s="574"/>
      <c r="AC21" s="384"/>
      <c r="AD21" s="277" t="str" cm="1">
        <f t="array" ref="AD21">tpl_title</f>
        <v>Кемеровская область / 2026 / ОАО «СКЭК» (ИНН:4205153492, КПП:420501001) / ДПР: 2026-2026</v>
      </c>
      <c r="AE21" s="384"/>
      <c r="AF21" s="384"/>
      <c r="AG21" s="384"/>
      <c r="AJ21" s="384"/>
      <c r="AM21" s="896"/>
      <c r="AN21" s="896"/>
      <c r="AO21" s="896"/>
      <c r="AP21" s="896"/>
      <c r="AQ21" s="867"/>
      <c r="AR21" s="867"/>
    </row>
    <row r="22" spans="1:44" ht="20.45" customHeight="1">
      <c r="E22" s="552">
        <v>21</v>
      </c>
      <c r="S22"/>
      <c r="AB22"/>
      <c r="AC22" s="1730" t="s">
        <v>36</v>
      </c>
      <c r="AD22" s="1731"/>
      <c r="AE22" s="1731"/>
      <c r="AF22" s="1731"/>
      <c r="AG22" s="1731"/>
      <c r="AH22" s="1731"/>
      <c r="AI22" s="1731"/>
      <c r="AJ22" s="1731"/>
    </row>
    <row r="23" spans="1:44" ht="8.85" customHeight="1">
      <c r="E23" s="552">
        <v>9</v>
      </c>
      <c r="AB23" s="34"/>
      <c r="AC23" s="34"/>
      <c r="AD23" s="34"/>
      <c r="AE23" s="34"/>
      <c r="AF23" s="34"/>
      <c r="AG23" s="1748"/>
      <c r="AH23" s="1748"/>
      <c r="AI23" s="14"/>
      <c r="AJ23" s="14"/>
    </row>
    <row r="24" spans="1:44" ht="20.45" customHeight="1">
      <c r="E24" s="552">
        <v>21</v>
      </c>
      <c r="AB24" s="34"/>
      <c r="AC24" s="1749" t="s">
        <v>21</v>
      </c>
      <c r="AD24" s="1749" t="s">
        <v>359</v>
      </c>
      <c r="AE24" s="1749" t="s">
        <v>360</v>
      </c>
      <c r="AF24" s="270" t="str">
        <f>god-2&amp;" год"</f>
        <v>2024 год</v>
      </c>
      <c r="AG24" s="11" t="str">
        <f>god-1&amp;" год"</f>
        <v>2025 год</v>
      </c>
      <c r="AH24" s="1019" t="str">
        <f>god&amp;" год"</f>
        <v>2026 год</v>
      </c>
      <c r="AI24" s="11" t="str">
        <f>god&amp;" год"</f>
        <v>2026 год</v>
      </c>
      <c r="AJ24" s="1750" t="s">
        <v>361</v>
      </c>
    </row>
    <row r="25" spans="1:44" s="1210" customFormat="1" ht="35.1" customHeight="1">
      <c r="B25" s="345"/>
      <c r="E25" s="546">
        <v>36</v>
      </c>
      <c r="F25" s="41" t="s">
        <v>362</v>
      </c>
      <c r="AC25" s="1749"/>
      <c r="AD25" s="1749"/>
      <c r="AE25" s="1749"/>
      <c r="AF25" s="11" t="s">
        <v>352</v>
      </c>
      <c r="AG25" s="11" t="s">
        <v>352</v>
      </c>
      <c r="AH25" s="1019" t="s">
        <v>353</v>
      </c>
      <c r="AI25" s="11" t="s">
        <v>352</v>
      </c>
      <c r="AJ25" s="1751"/>
      <c r="AM25" s="899"/>
      <c r="AN25" s="899"/>
      <c r="AO25" s="899"/>
      <c r="AP25" s="899"/>
      <c r="AQ25" s="535"/>
      <c r="AR25" s="535"/>
    </row>
    <row r="26" spans="1:44" s="1327" customFormat="1" ht="11.25" customHeight="1">
      <c r="B26" s="575"/>
      <c r="E26" s="553" t="s">
        <v>363</v>
      </c>
      <c r="F26" s="91"/>
      <c r="G26" s="91"/>
      <c r="T26" t="s">
        <v>364</v>
      </c>
      <c r="AD26" s="19"/>
      <c r="AE26" s="19"/>
      <c r="AF26" s="19"/>
      <c r="AG26" s="19"/>
      <c r="AM26" s="906"/>
      <c r="AN26" s="906"/>
      <c r="AO26" s="906"/>
      <c r="AP26" s="906"/>
      <c r="AQ26" s="541"/>
      <c r="AR26" s="909"/>
    </row>
    <row r="27" spans="1:44" s="1210" customFormat="1" ht="14.65" hidden="1" customHeight="1">
      <c r="B27" s="345"/>
      <c r="E27" s="546">
        <v>15</v>
      </c>
      <c r="F27" s="41" cm="1">
        <f t="array" ref="F27">Z27</f>
        <v>0</v>
      </c>
      <c r="T27" s="983" cm="1">
        <f t="array" ref="T27">INDEX('Общие сведения'!$AE$179:$AE$208,MATCH($Z27,'Общие сведения'!$Z$179:$Z$208,0))</f>
        <v>0</v>
      </c>
      <c r="V27" s="381" t="b">
        <f>Z27&gt;0</f>
        <v>0</v>
      </c>
      <c r="X27" s="41" t="s">
        <v>270</v>
      </c>
      <c r="Z27" s="1734">
        <v>0</v>
      </c>
      <c r="AA27" s="1735"/>
      <c r="AC27" s="99" t="str" cm="1">
        <f t="array" ref="AC27">INDEX('Общие сведения'!$AG$179:$AG$208,MATCH($Z27,'Общие сведения'!$Z$179:$Z$208,0))</f>
        <v xml:space="preserve">Тариф 0 () - </v>
      </c>
      <c r="AD27" s="99"/>
      <c r="AE27" s="93"/>
      <c r="AF27" s="93"/>
      <c r="AG27" s="93"/>
      <c r="AH27" s="93"/>
      <c r="AI27" s="93"/>
      <c r="AJ27" s="93"/>
      <c r="AM27" s="899"/>
      <c r="AN27" s="899"/>
      <c r="AO27" s="899"/>
      <c r="AP27" s="899"/>
      <c r="AQ27" s="535"/>
      <c r="AR27" s="535"/>
    </row>
    <row r="28" spans="1:44" s="1210" customFormat="1" ht="14.65" hidden="1" customHeight="1">
      <c r="B28" s="865" t="b">
        <f>AND(T27="Водоснабжение",method_reg&lt;&gt;"Метод сравнения аналогов")</f>
        <v>0</v>
      </c>
      <c r="E28" s="546">
        <v>15</v>
      </c>
      <c r="F28" s="62" cm="1">
        <f t="array" aca="1" ref="F28" ca="1">OFFSET(E28,-1,1)</f>
        <v>0</v>
      </c>
      <c r="G28" s="400"/>
      <c r="H28" s="41" t="s">
        <v>323</v>
      </c>
      <c r="I28" s="41" t="s">
        <v>365</v>
      </c>
      <c r="J28" s="41" t="str">
        <f t="shared" ref="J28:J36" si="0">AD28&amp;"::"&amp;AE28</f>
        <v>Водонасосные станции (водозаборные узлы)::ед.</v>
      </c>
      <c r="K28" s="43"/>
      <c r="V28" s="381" t="b" cm="1">
        <f t="array" ref="V28">V27</f>
        <v>0</v>
      </c>
      <c r="Z28" s="1734"/>
      <c r="AA28" s="1735"/>
      <c r="AC28" s="103">
        <v>1</v>
      </c>
      <c r="AD28" s="101" t="s">
        <v>366</v>
      </c>
      <c r="AE28" s="42" t="s">
        <v>367</v>
      </c>
      <c r="AF28" s="1352"/>
      <c r="AG28" s="1352"/>
      <c r="AH28" s="1352"/>
      <c r="AI28" s="1352"/>
      <c r="AJ28" s="1353"/>
      <c r="AM28" s="899" t="s">
        <v>368</v>
      </c>
      <c r="AN28" s="899"/>
      <c r="AO28" s="899"/>
      <c r="AP28" s="899"/>
      <c r="AQ28" s="535"/>
      <c r="AR28" s="535"/>
    </row>
    <row r="29" spans="1:44" s="1210" customFormat="1" ht="14.65" hidden="1" customHeight="1">
      <c r="B29" s="865" t="b" cm="1">
        <f t="array" ref="B29">B28</f>
        <v>0</v>
      </c>
      <c r="E29" s="546">
        <v>15</v>
      </c>
      <c r="F29" s="62" cm="1">
        <f t="array" aca="1" ref="F29" ca="1">OFFSET(E29,-1,1)</f>
        <v>0</v>
      </c>
      <c r="G29" s="62"/>
      <c r="H29" s="41" t="s">
        <v>323</v>
      </c>
      <c r="I29" s="41" t="s">
        <v>365</v>
      </c>
      <c r="J29" s="41" t="str">
        <f t="shared" si="0"/>
        <v>Скважины::ед.</v>
      </c>
      <c r="V29" s="381" t="b" cm="1">
        <f t="array" ref="V29">V28</f>
        <v>0</v>
      </c>
      <c r="Z29" s="1734"/>
      <c r="AA29" s="1735"/>
      <c r="AC29" s="103">
        <v>2</v>
      </c>
      <c r="AD29" s="101" t="s">
        <v>369</v>
      </c>
      <c r="AE29" s="42" t="s">
        <v>367</v>
      </c>
      <c r="AF29" s="1352"/>
      <c r="AG29" s="1352"/>
      <c r="AH29" s="1352"/>
      <c r="AI29" s="1352"/>
      <c r="AJ29" s="1353"/>
      <c r="AM29" s="899" t="s">
        <v>370</v>
      </c>
      <c r="AN29" s="899"/>
      <c r="AO29" s="899"/>
      <c r="AP29" s="899"/>
      <c r="AQ29" s="535"/>
      <c r="AR29" s="535"/>
    </row>
    <row r="30" spans="1:44" s="1210" customFormat="1" ht="14.65" hidden="1" customHeight="1">
      <c r="B30" s="865" t="b">
        <f>T27="Водоснабжение"</f>
        <v>0</v>
      </c>
      <c r="E30" s="546">
        <v>15</v>
      </c>
      <c r="F30" s="62" cm="1">
        <f t="array" aca="1" ref="F30" ca="1">OFFSET(E30,-1,1)</f>
        <v>0</v>
      </c>
      <c r="G30" s="62" t="s">
        <v>50</v>
      </c>
      <c r="H30" s="41" t="s">
        <v>323</v>
      </c>
      <c r="I30" s="41" t="s">
        <v>365</v>
      </c>
      <c r="J30" s="41" t="str">
        <f t="shared" si="0"/>
        <v>Подкачивающие насосные станции::ед.</v>
      </c>
      <c r="L30" s="41" t="s">
        <v>50</v>
      </c>
      <c r="V30" s="381" t="b" cm="1">
        <f t="array" ref="V30">V29</f>
        <v>0</v>
      </c>
      <c r="Z30" s="1734"/>
      <c r="AA30" s="1735"/>
      <c r="AC30" s="103">
        <f>IF(B29,3,1)</f>
        <v>1</v>
      </c>
      <c r="AD30" s="101" t="s">
        <v>371</v>
      </c>
      <c r="AE30" s="42" t="s">
        <v>367</v>
      </c>
      <c r="AF30" s="1352"/>
      <c r="AG30" s="1352"/>
      <c r="AH30" s="1352"/>
      <c r="AI30" s="1352"/>
      <c r="AJ30" s="1353"/>
      <c r="AM30" s="899" t="s">
        <v>372</v>
      </c>
      <c r="AN30" s="899"/>
      <c r="AO30" s="899"/>
      <c r="AP30" s="899"/>
      <c r="AQ30" s="535"/>
      <c r="AR30" s="535"/>
    </row>
    <row r="31" spans="1:44" s="1210" customFormat="1" ht="14.65" hidden="1" customHeight="1">
      <c r="B31" s="865" t="b" cm="1">
        <f t="array" ref="B31">B29</f>
        <v>0</v>
      </c>
      <c r="E31" s="546">
        <v>15</v>
      </c>
      <c r="F31" s="62" cm="1">
        <f t="array" aca="1" ref="F31" ca="1">OFFSET(E31,-1,1)</f>
        <v>0</v>
      </c>
      <c r="G31" s="62"/>
      <c r="H31" s="41" t="s">
        <v>323</v>
      </c>
      <c r="I31" s="41" t="s">
        <v>365</v>
      </c>
      <c r="J31" s="41" t="str">
        <f t="shared" si="0"/>
        <v>Водонапорные башни::ед.</v>
      </c>
      <c r="V31" s="381" t="b" cm="1">
        <f t="array" ref="V31">V30</f>
        <v>0</v>
      </c>
      <c r="Z31" s="1734"/>
      <c r="AA31" s="1735"/>
      <c r="AC31" s="103">
        <v>4</v>
      </c>
      <c r="AD31" s="101" t="s">
        <v>373</v>
      </c>
      <c r="AE31" s="42" t="s">
        <v>367</v>
      </c>
      <c r="AF31" s="1352"/>
      <c r="AG31" s="1352"/>
      <c r="AH31" s="1352"/>
      <c r="AI31" s="1352"/>
      <c r="AJ31" s="1353"/>
      <c r="AM31" s="899" t="s">
        <v>374</v>
      </c>
      <c r="AN31" s="899"/>
      <c r="AO31" s="899"/>
      <c r="AP31" s="899"/>
      <c r="AQ31" s="535"/>
      <c r="AR31" s="535"/>
    </row>
    <row r="32" spans="1:44" s="1210" customFormat="1" ht="14.65" hidden="1" customHeight="1">
      <c r="B32" s="865" t="b">
        <f>T27="Водоснабжение"</f>
        <v>0</v>
      </c>
      <c r="E32" s="546">
        <v>15</v>
      </c>
      <c r="F32" s="62" cm="1">
        <f t="array" aca="1" ref="F32" ca="1">OFFSET(E32,-1,1)</f>
        <v>0</v>
      </c>
      <c r="G32" s="62"/>
      <c r="H32" s="41" t="s">
        <v>323</v>
      </c>
      <c r="I32" s="41" t="s">
        <v>365</v>
      </c>
      <c r="J32" s="41" t="str">
        <f t="shared" si="0"/>
        <v>Водопроводные сети::км</v>
      </c>
      <c r="P32" s="41" t="s">
        <v>375</v>
      </c>
      <c r="Q32" s="41" t="s">
        <v>376</v>
      </c>
      <c r="V32" s="381" t="b" cm="1">
        <f t="array" ref="V32">V31</f>
        <v>0</v>
      </c>
      <c r="Z32" s="1734"/>
      <c r="AA32" s="1735"/>
      <c r="AC32" s="103">
        <f>IF(B29,5,2)</f>
        <v>2</v>
      </c>
      <c r="AD32" s="101" t="s">
        <v>377</v>
      </c>
      <c r="AE32" s="42" t="s">
        <v>378</v>
      </c>
      <c r="AF32" s="1354"/>
      <c r="AG32" s="1354"/>
      <c r="AH32" s="60"/>
      <c r="AI32" s="60"/>
      <c r="AJ32" s="1353"/>
      <c r="AM32" s="899" t="s">
        <v>379</v>
      </c>
      <c r="AN32" s="899"/>
      <c r="AO32" s="899"/>
      <c r="AP32" s="899"/>
      <c r="AQ32" s="535"/>
      <c r="AR32" s="535"/>
    </row>
    <row r="33" spans="1:57" s="1210" customFormat="1" ht="14.65" hidden="1" customHeight="1">
      <c r="B33" s="865" t="b">
        <f>AND(T27="Водоотведение",method_reg&lt;&gt;"Метод сравнения аналогов")</f>
        <v>0</v>
      </c>
      <c r="E33" s="546">
        <v>15</v>
      </c>
      <c r="F33" s="62" cm="1">
        <f t="array" aca="1" ref="F33" ca="1">OFFSET(E33,-1,1)</f>
        <v>0</v>
      </c>
      <c r="G33" s="400"/>
      <c r="H33" s="41" t="s">
        <v>323</v>
      </c>
      <c r="I33" s="41" t="s">
        <v>365</v>
      </c>
      <c r="J33" s="41" t="str">
        <f t="shared" si="0"/>
        <v>Биологические очистные сооружения::ед.</v>
      </c>
      <c r="K33" s="43"/>
      <c r="V33" s="381" t="b" cm="1">
        <f t="array" ref="V33">V32</f>
        <v>0</v>
      </c>
      <c r="Z33" s="1734"/>
      <c r="AA33" s="1735"/>
      <c r="AC33" s="103">
        <v>1</v>
      </c>
      <c r="AD33" s="101" t="s">
        <v>380</v>
      </c>
      <c r="AE33" s="42" t="s">
        <v>367</v>
      </c>
      <c r="AF33" s="1352"/>
      <c r="AG33" s="1352"/>
      <c r="AH33" s="1352"/>
      <c r="AI33" s="1352"/>
      <c r="AJ33" s="1353"/>
      <c r="AM33" s="899" t="s">
        <v>381</v>
      </c>
      <c r="AN33" s="899"/>
      <c r="AO33" s="899"/>
      <c r="AP33" s="899"/>
      <c r="AQ33" s="535"/>
      <c r="AR33" s="535"/>
    </row>
    <row r="34" spans="1:57" s="1210" customFormat="1" ht="14.65" hidden="1" customHeight="1">
      <c r="B34" s="865" t="b">
        <f>T27="Водоотведение"</f>
        <v>0</v>
      </c>
      <c r="E34" s="546">
        <v>15</v>
      </c>
      <c r="F34" s="62" cm="1">
        <f t="array" aca="1" ref="F34" ca="1">OFFSET(E34,-1,1)</f>
        <v>0</v>
      </c>
      <c r="G34" s="62" t="s">
        <v>50</v>
      </c>
      <c r="H34" s="41" t="s">
        <v>323</v>
      </c>
      <c r="I34" s="41" t="s">
        <v>365</v>
      </c>
      <c r="J34" s="41" t="str">
        <f t="shared" si="0"/>
        <v>Канализационные насосные станции::ед.</v>
      </c>
      <c r="V34" s="381" t="b" cm="1">
        <f t="array" ref="V34">V33</f>
        <v>0</v>
      </c>
      <c r="Z34" s="1734"/>
      <c r="AA34" s="1735"/>
      <c r="AC34" s="103">
        <f>IF(B33,2,1)</f>
        <v>1</v>
      </c>
      <c r="AD34" s="101" t="s">
        <v>382</v>
      </c>
      <c r="AE34" s="42" t="s">
        <v>367</v>
      </c>
      <c r="AF34" s="1352"/>
      <c r="AG34" s="1352"/>
      <c r="AH34" s="1352"/>
      <c r="AI34" s="1352"/>
      <c r="AJ34" s="1353"/>
      <c r="AM34" s="899" t="s">
        <v>383</v>
      </c>
      <c r="AN34" s="899"/>
      <c r="AO34" s="899"/>
      <c r="AP34" s="899"/>
      <c r="AQ34" s="535"/>
      <c r="AR34" s="535"/>
    </row>
    <row r="35" spans="1:57" s="1210" customFormat="1" ht="14.65" hidden="1" customHeight="1">
      <c r="B35" s="865" t="b" cm="1">
        <f t="array" ref="B35">B34</f>
        <v>0</v>
      </c>
      <c r="E35" s="546">
        <v>15</v>
      </c>
      <c r="F35" s="62" cm="1">
        <f t="array" aca="1" ref="F35" ca="1">OFFSET(E35,-1,1)</f>
        <v>0</v>
      </c>
      <c r="G35" s="62"/>
      <c r="H35" s="41" t="s">
        <v>323</v>
      </c>
      <c r="I35" s="41" t="s">
        <v>365</v>
      </c>
      <c r="J35" s="41" t="str">
        <f t="shared" si="0"/>
        <v>Канализационные сети::км</v>
      </c>
      <c r="L35" s="41" t="s">
        <v>50</v>
      </c>
      <c r="P35" s="41" t="s">
        <v>375</v>
      </c>
      <c r="Q35" s="41" t="s">
        <v>376</v>
      </c>
      <c r="V35" s="381" t="b" cm="1">
        <f t="array" ref="V35">V34</f>
        <v>0</v>
      </c>
      <c r="Z35" s="1734"/>
      <c r="AA35" s="1735"/>
      <c r="AC35" s="103">
        <f>AC34+1</f>
        <v>2</v>
      </c>
      <c r="AD35" s="101" t="s">
        <v>384</v>
      </c>
      <c r="AE35" s="42" t="s">
        <v>378</v>
      </c>
      <c r="AF35" s="1354"/>
      <c r="AG35" s="1354"/>
      <c r="AH35" s="60"/>
      <c r="AI35" s="60"/>
      <c r="AJ35" s="1353"/>
      <c r="AM35" s="899" t="s">
        <v>385</v>
      </c>
      <c r="AN35" s="899"/>
      <c r="AO35" s="899"/>
      <c r="AP35" s="899"/>
      <c r="AQ35" s="535"/>
      <c r="AR35" s="535"/>
    </row>
    <row r="36" spans="1:57" s="923" customFormat="1" ht="14.65" hidden="1" customHeight="1">
      <c r="B36" s="345"/>
      <c r="E36" s="554">
        <v>15</v>
      </c>
      <c r="F36" s="62" cm="1">
        <f t="array" aca="1" ref="F36" ca="1">OFFSET(E36,-1,1)</f>
        <v>0</v>
      </c>
      <c r="G36" s="62"/>
      <c r="H36" s="43" t="s">
        <v>323</v>
      </c>
      <c r="I36" s="43" t="s">
        <v>365</v>
      </c>
      <c r="J36" s="43" t="str">
        <f t="shared" si="0"/>
        <v>::</v>
      </c>
      <c r="U36" s="41">
        <v>0</v>
      </c>
      <c r="V36" s="381" t="b">
        <f ca="1">AND(F36&gt;0,U36&gt;0)</f>
        <v>0</v>
      </c>
      <c r="Y36" s="671" t="s">
        <v>173</v>
      </c>
      <c r="Z36" s="1734"/>
      <c r="AA36" s="1735"/>
      <c r="AB36" s="337" t="s">
        <v>174</v>
      </c>
      <c r="AC36" s="103">
        <f ca="1">IF(OFFSET(C36,-8-U36,-1),5,IF(OFFSET(C36,-3-U36,-1),3,2))+U36</f>
        <v>2</v>
      </c>
      <c r="AD36" s="1355"/>
      <c r="AE36" s="1356"/>
      <c r="AF36" s="1357"/>
      <c r="AG36" s="1357"/>
      <c r="AH36" s="1357"/>
      <c r="AI36" s="1357"/>
      <c r="AJ36" s="1358"/>
      <c r="AM36" s="907" t="s">
        <v>386</v>
      </c>
      <c r="AN36" s="907" t="s">
        <v>387</v>
      </c>
      <c r="AO36" s="910" cm="1">
        <f t="array" ref="AO36">AD36</f>
        <v>0</v>
      </c>
      <c r="AP36" s="910" cm="1">
        <f t="array" ref="AP36">AE36</f>
        <v>0</v>
      </c>
      <c r="AQ36" s="609"/>
      <c r="AR36" s="609" t="b">
        <v>1</v>
      </c>
    </row>
    <row r="37" spans="1:57" s="1210" customFormat="1" ht="14.65" hidden="1" customHeight="1">
      <c r="B37" s="345"/>
      <c r="E37" s="546">
        <v>15</v>
      </c>
      <c r="F37" s="62" cm="1">
        <f t="array" aca="1" ref="F37" ca="1">OFFSET(E37,-1,1)</f>
        <v>0</v>
      </c>
      <c r="G37" s="62"/>
      <c r="J37" s="40" t="s">
        <v>388</v>
      </c>
      <c r="V37" s="381" t="b" cm="1">
        <f t="array" ref="V37">V35</f>
        <v>0</v>
      </c>
      <c r="Y37" s="671" t="s">
        <v>389</v>
      </c>
      <c r="Z37" s="1734"/>
      <c r="AA37" s="1735"/>
      <c r="AC37" s="94"/>
      <c r="AD37" s="222" t="s">
        <v>177</v>
      </c>
      <c r="AE37" s="95"/>
      <c r="AF37" s="95"/>
      <c r="AG37" s="95"/>
      <c r="AH37" s="95"/>
      <c r="AI37" s="95"/>
      <c r="AJ37" s="106"/>
      <c r="AM37" s="899"/>
      <c r="AN37" s="899"/>
      <c r="AO37" s="899"/>
      <c r="AP37" s="899"/>
      <c r="AQ37" s="535" t="s">
        <v>387</v>
      </c>
      <c r="AR37" s="535"/>
    </row>
    <row r="38" spans="1:57" s="1210" customFormat="1" ht="14.65" hidden="1" customHeight="1">
      <c r="B38" s="345"/>
      <c r="E38" s="546">
        <v>15</v>
      </c>
      <c r="F38" s="62" cm="1">
        <f t="array" aca="1" ref="F38" ca="1">OFFSET(E38,-1,1)</f>
        <v>0</v>
      </c>
      <c r="G38" s="62"/>
      <c r="H38" s="41" t="s">
        <v>324</v>
      </c>
      <c r="I38" s="41" t="s">
        <v>365</v>
      </c>
      <c r="J38" s="281" t="str" cm="1">
        <f t="array" ref="J38">AD38</f>
        <v>Краткое описание технологического процесса</v>
      </c>
      <c r="V38" s="381" t="b" cm="1">
        <f t="array" ref="V38">V37</f>
        <v>0</v>
      </c>
      <c r="Z38" s="1734"/>
      <c r="AA38" s="1735"/>
      <c r="AC38" s="103"/>
      <c r="AD38" s="101" t="s">
        <v>390</v>
      </c>
      <c r="AE38" s="42"/>
      <c r="AF38" s="1736"/>
      <c r="AG38" s="1737"/>
      <c r="AH38" s="1737"/>
      <c r="AI38" s="1737"/>
      <c r="AJ38" s="1738"/>
      <c r="AM38" s="899" t="s">
        <v>391</v>
      </c>
      <c r="AN38" s="899"/>
      <c r="AO38" s="899"/>
      <c r="AP38" s="899"/>
      <c r="AQ38" s="535"/>
      <c r="AR38" s="535"/>
    </row>
    <row r="39" spans="1:57" s="454" customFormat="1" ht="14.25" customHeight="1">
      <c r="A39" s="1210"/>
      <c r="B39" s="345"/>
      <c r="C39" s="1210"/>
      <c r="D39" s="1210"/>
      <c r="E39" s="546">
        <v>15</v>
      </c>
      <c r="F39" s="41" t="str" cm="1">
        <f t="array" ref="F39">Z39</f>
        <v>1</v>
      </c>
      <c r="G39" s="1210"/>
      <c r="H39" s="1210"/>
      <c r="I39" s="1210"/>
      <c r="J39" s="1210"/>
      <c r="K39" s="1210"/>
      <c r="L39" s="1210"/>
      <c r="M39" s="1210"/>
      <c r="N39" s="1210"/>
      <c r="O39" s="1210"/>
      <c r="P39" s="1210"/>
      <c r="Q39" s="1210"/>
      <c r="R39" s="1210"/>
      <c r="S39" s="1210"/>
      <c r="T39" s="983" t="str" cm="1">
        <f t="array" ref="T39">INDEX('Общие сведения'!$AE$179:$AE$208,MATCH($Z39,'Общие сведения'!$Z$179:$Z$208,0))</f>
        <v>Водоснабжение</v>
      </c>
      <c r="U39" s="1210"/>
      <c r="V39" s="381" t="b">
        <f>Z39&gt;0</f>
        <v>1</v>
      </c>
      <c r="W39" s="1210"/>
      <c r="X39" s="41" t="str" cm="1">
        <f t="array" ref="X39">'Список территорий'!$AB$29</f>
        <v>Тариф 1 (Водоснабжение) - тариф на питьевую воду</v>
      </c>
      <c r="Y39" s="1210"/>
      <c r="Z39" s="1734" t="s">
        <v>281</v>
      </c>
      <c r="AA39" s="1735"/>
      <c r="AB39" s="1210"/>
      <c r="AC39" s="99" t="str" cm="1">
        <f t="array" ref="AC39">'Список территорий'!$AB$29</f>
        <v>Тариф 1 (Водоснабжение) - тариф на питьевую воду</v>
      </c>
      <c r="AD39" s="99"/>
      <c r="AE39" s="93"/>
      <c r="AF39" s="93"/>
      <c r="AG39" s="93"/>
      <c r="AH39" s="93"/>
      <c r="AI39" s="93"/>
      <c r="AJ39" s="93"/>
      <c r="AK39" s="1210"/>
      <c r="AL39" s="1210"/>
      <c r="AM39" s="899"/>
      <c r="AN39" s="899"/>
      <c r="AO39" s="899"/>
      <c r="AP39" s="899"/>
      <c r="AQ39" s="535"/>
      <c r="AR39" s="535"/>
      <c r="AS39" s="1210"/>
      <c r="AT39" s="1210"/>
      <c r="AU39" s="1210"/>
      <c r="AV39" s="1210"/>
      <c r="AW39" s="1210"/>
      <c r="AX39" s="1210"/>
      <c r="AY39" s="1210"/>
      <c r="AZ39" s="1210"/>
      <c r="BA39" s="1210"/>
      <c r="BB39" s="1210"/>
      <c r="BC39" s="1210"/>
      <c r="BD39" s="1210"/>
      <c r="BE39" s="1210"/>
    </row>
    <row r="40" spans="1:57" s="454" customFormat="1" ht="14.25" customHeight="1">
      <c r="A40" s="1210"/>
      <c r="B40" s="865" t="b">
        <f>AND(T39="Водоснабжение",method_reg&lt;&gt;"Метод сравнения аналогов")</f>
        <v>1</v>
      </c>
      <c r="C40" s="1210"/>
      <c r="D40" s="1210"/>
      <c r="E40" s="546">
        <v>15</v>
      </c>
      <c r="F40" s="62" t="str" cm="1">
        <f t="array" aca="1" ref="F40" ca="1">OFFSET(E40,-1,1)</f>
        <v>1</v>
      </c>
      <c r="G40" s="400"/>
      <c r="H40" s="41" t="s">
        <v>323</v>
      </c>
      <c r="I40" s="41" t="s">
        <v>365</v>
      </c>
      <c r="J40" s="41" t="str">
        <f t="shared" ref="J40:J48" si="1">AD40&amp;"::"&amp;AE40</f>
        <v>Водонасосные станции (водозаборные узлы)::ед.</v>
      </c>
      <c r="K40" s="43"/>
      <c r="L40" s="1210"/>
      <c r="M40" s="1210"/>
      <c r="N40" s="1210"/>
      <c r="O40" s="1210"/>
      <c r="P40" s="1210"/>
      <c r="Q40" s="1210"/>
      <c r="R40" s="1210"/>
      <c r="S40" s="1210"/>
      <c r="T40" s="1210"/>
      <c r="U40" s="1210"/>
      <c r="V40" s="381" t="b" cm="1">
        <f t="array" ref="V40">V39</f>
        <v>1</v>
      </c>
      <c r="W40" s="1210"/>
      <c r="X40" s="1210"/>
      <c r="Y40" s="1210"/>
      <c r="Z40" s="1734"/>
      <c r="AA40" s="1735"/>
      <c r="AB40" s="1210"/>
      <c r="AC40" s="103">
        <v>1</v>
      </c>
      <c r="AD40" s="101" t="s">
        <v>366</v>
      </c>
      <c r="AE40" s="42" t="s">
        <v>367</v>
      </c>
      <c r="AF40" s="107"/>
      <c r="AG40" s="107"/>
      <c r="AH40" s="107"/>
      <c r="AI40" s="107"/>
      <c r="AJ40" s="108"/>
      <c r="AK40" s="1210"/>
      <c r="AL40" s="1210"/>
      <c r="AM40" s="899" t="s">
        <v>368</v>
      </c>
      <c r="AN40" s="899"/>
      <c r="AO40" s="899"/>
      <c r="AP40" s="899"/>
      <c r="AQ40" s="535"/>
      <c r="AR40" s="535"/>
      <c r="AS40" s="1210"/>
      <c r="AT40" s="1210"/>
      <c r="AU40" s="1210"/>
      <c r="AV40" s="1210"/>
      <c r="AW40" s="1210"/>
      <c r="AX40" s="1210"/>
      <c r="AY40" s="1210"/>
      <c r="AZ40" s="1210"/>
      <c r="BA40" s="1210"/>
      <c r="BB40" s="1210"/>
      <c r="BC40" s="1210"/>
      <c r="BD40" s="1210"/>
      <c r="BE40" s="1210"/>
    </row>
    <row r="41" spans="1:57" s="454" customFormat="1" ht="14.25" customHeight="1">
      <c r="A41" s="1210"/>
      <c r="B41" s="865" t="b" cm="1">
        <f t="array" ref="B41">B40</f>
        <v>1</v>
      </c>
      <c r="C41" s="1210"/>
      <c r="D41" s="1210"/>
      <c r="E41" s="546">
        <v>15</v>
      </c>
      <c r="F41" s="62" t="str" cm="1">
        <f t="array" aca="1" ref="F41" ca="1">OFFSET(E41,-1,1)</f>
        <v>1</v>
      </c>
      <c r="G41" s="62"/>
      <c r="H41" s="41" t="s">
        <v>323</v>
      </c>
      <c r="I41" s="41" t="s">
        <v>365</v>
      </c>
      <c r="J41" s="41" t="str">
        <f t="shared" si="1"/>
        <v>Скважины::ед.</v>
      </c>
      <c r="K41" s="1210"/>
      <c r="L41" s="1210"/>
      <c r="M41" s="1210"/>
      <c r="N41" s="1210"/>
      <c r="O41" s="1210"/>
      <c r="P41" s="1210"/>
      <c r="Q41" s="1210"/>
      <c r="R41" s="1210"/>
      <c r="S41" s="1210"/>
      <c r="T41" s="1210"/>
      <c r="U41" s="1210"/>
      <c r="V41" s="381" t="b" cm="1">
        <f t="array" ref="V41">V40</f>
        <v>1</v>
      </c>
      <c r="W41" s="1210"/>
      <c r="X41" s="1210"/>
      <c r="Y41" s="1210"/>
      <c r="Z41" s="1734"/>
      <c r="AA41" s="1735"/>
      <c r="AB41" s="1210"/>
      <c r="AC41" s="103">
        <v>2</v>
      </c>
      <c r="AD41" s="101" t="s">
        <v>369</v>
      </c>
      <c r="AE41" s="42" t="s">
        <v>367</v>
      </c>
      <c r="AF41" s="107"/>
      <c r="AG41" s="107"/>
      <c r="AH41" s="107"/>
      <c r="AI41" s="107"/>
      <c r="AJ41" s="108"/>
      <c r="AK41" s="1210"/>
      <c r="AL41" s="1210"/>
      <c r="AM41" s="899" t="s">
        <v>370</v>
      </c>
      <c r="AN41" s="899"/>
      <c r="AO41" s="899"/>
      <c r="AP41" s="899"/>
      <c r="AQ41" s="535"/>
      <c r="AR41" s="535"/>
      <c r="AS41" s="1210"/>
      <c r="AT41" s="1210"/>
      <c r="AU41" s="1210"/>
      <c r="AV41" s="1210"/>
      <c r="AW41" s="1210"/>
      <c r="AX41" s="1210"/>
      <c r="AY41" s="1210"/>
      <c r="AZ41" s="1210"/>
      <c r="BA41" s="1210"/>
      <c r="BB41" s="1210"/>
      <c r="BC41" s="1210"/>
      <c r="BD41" s="1210"/>
      <c r="BE41" s="1210"/>
    </row>
    <row r="42" spans="1:57" s="454" customFormat="1" ht="14.25" customHeight="1">
      <c r="A42" s="1210"/>
      <c r="B42" s="865" t="b">
        <f>T39="Водоснабжение"</f>
        <v>1</v>
      </c>
      <c r="C42" s="1210"/>
      <c r="D42" s="1210"/>
      <c r="E42" s="546">
        <v>15</v>
      </c>
      <c r="F42" s="62" t="str" cm="1">
        <f t="array" aca="1" ref="F42" ca="1">OFFSET(E42,-1,1)</f>
        <v>1</v>
      </c>
      <c r="G42" s="62" t="s">
        <v>50</v>
      </c>
      <c r="H42" s="41" t="s">
        <v>323</v>
      </c>
      <c r="I42" s="41" t="s">
        <v>365</v>
      </c>
      <c r="J42" s="41" t="str">
        <f t="shared" si="1"/>
        <v>Подкачивающие насосные станции::ед.</v>
      </c>
      <c r="K42" s="1210"/>
      <c r="L42" s="41" t="s">
        <v>50</v>
      </c>
      <c r="M42" s="1210"/>
      <c r="N42" s="1210"/>
      <c r="O42" s="1210"/>
      <c r="P42" s="1210"/>
      <c r="Q42" s="1210"/>
      <c r="R42" s="1210"/>
      <c r="S42" s="1210"/>
      <c r="T42" s="1210"/>
      <c r="U42" s="1210"/>
      <c r="V42" s="381" t="b" cm="1">
        <f t="array" ref="V42">V41</f>
        <v>1</v>
      </c>
      <c r="W42" s="1210"/>
      <c r="X42" s="1210"/>
      <c r="Y42" s="1210"/>
      <c r="Z42" s="1734"/>
      <c r="AA42" s="1735"/>
      <c r="AB42" s="1210"/>
      <c r="AC42" s="103">
        <f>IF(B41,3,1)</f>
        <v>3</v>
      </c>
      <c r="AD42" s="101" t="s">
        <v>371</v>
      </c>
      <c r="AE42" s="42" t="s">
        <v>367</v>
      </c>
      <c r="AF42" s="107"/>
      <c r="AG42" s="107"/>
      <c r="AH42" s="107"/>
      <c r="AI42" s="107"/>
      <c r="AJ42" s="108"/>
      <c r="AK42" s="1210"/>
      <c r="AL42" s="1210"/>
      <c r="AM42" s="899" t="s">
        <v>372</v>
      </c>
      <c r="AN42" s="899"/>
      <c r="AO42" s="899"/>
      <c r="AP42" s="899"/>
      <c r="AQ42" s="535"/>
      <c r="AR42" s="535"/>
      <c r="AS42" s="1210"/>
      <c r="AT42" s="1210"/>
      <c r="AU42" s="1210"/>
      <c r="AV42" s="1210"/>
      <c r="AW42" s="1210"/>
      <c r="AX42" s="1210"/>
      <c r="AY42" s="1210"/>
      <c r="AZ42" s="1210"/>
      <c r="BA42" s="1210"/>
      <c r="BB42" s="1210"/>
      <c r="BC42" s="1210"/>
      <c r="BD42" s="1210"/>
      <c r="BE42" s="1210"/>
    </row>
    <row r="43" spans="1:57" s="454" customFormat="1" ht="14.25" customHeight="1">
      <c r="A43" s="1210"/>
      <c r="B43" s="865" t="b" cm="1">
        <f t="array" ref="B43">B41</f>
        <v>1</v>
      </c>
      <c r="C43" s="1210"/>
      <c r="D43" s="1210"/>
      <c r="E43" s="546">
        <v>15</v>
      </c>
      <c r="F43" s="62" t="str" cm="1">
        <f t="array" aca="1" ref="F43" ca="1">OFFSET(E43,-1,1)</f>
        <v>1</v>
      </c>
      <c r="G43" s="62"/>
      <c r="H43" s="41" t="s">
        <v>323</v>
      </c>
      <c r="I43" s="41" t="s">
        <v>365</v>
      </c>
      <c r="J43" s="41" t="str">
        <f t="shared" si="1"/>
        <v>Водонапорные башни::ед.</v>
      </c>
      <c r="K43" s="1210"/>
      <c r="L43" s="1210"/>
      <c r="M43" s="1210"/>
      <c r="N43" s="1210"/>
      <c r="O43" s="1210"/>
      <c r="P43" s="1210"/>
      <c r="Q43" s="1210"/>
      <c r="R43" s="1210"/>
      <c r="S43" s="1210"/>
      <c r="T43" s="1210"/>
      <c r="U43" s="1210"/>
      <c r="V43" s="381" t="b" cm="1">
        <f t="array" ref="V43">V42</f>
        <v>1</v>
      </c>
      <c r="W43" s="1210"/>
      <c r="X43" s="1210"/>
      <c r="Y43" s="1210"/>
      <c r="Z43" s="1734"/>
      <c r="AA43" s="1735"/>
      <c r="AB43" s="1210"/>
      <c r="AC43" s="103">
        <v>4</v>
      </c>
      <c r="AD43" s="101" t="s">
        <v>373</v>
      </c>
      <c r="AE43" s="42" t="s">
        <v>367</v>
      </c>
      <c r="AF43" s="107"/>
      <c r="AG43" s="107"/>
      <c r="AH43" s="107"/>
      <c r="AI43" s="107"/>
      <c r="AJ43" s="108"/>
      <c r="AK43" s="1210"/>
      <c r="AL43" s="1210"/>
      <c r="AM43" s="899" t="s">
        <v>374</v>
      </c>
      <c r="AN43" s="899"/>
      <c r="AO43" s="899"/>
      <c r="AP43" s="899"/>
      <c r="AQ43" s="535"/>
      <c r="AR43" s="535"/>
      <c r="AS43" s="1210"/>
      <c r="AT43" s="1210"/>
      <c r="AU43" s="1210"/>
      <c r="AV43" s="1210"/>
      <c r="AW43" s="1210"/>
      <c r="AX43" s="1210"/>
      <c r="AY43" s="1210"/>
      <c r="AZ43" s="1210"/>
      <c r="BA43" s="1210"/>
      <c r="BB43" s="1210"/>
      <c r="BC43" s="1210"/>
      <c r="BD43" s="1210"/>
      <c r="BE43" s="1210"/>
    </row>
    <row r="44" spans="1:57" s="454" customFormat="1" ht="14.25" customHeight="1">
      <c r="A44" s="1210"/>
      <c r="B44" s="865" t="b">
        <f>T39="Водоснабжение"</f>
        <v>1</v>
      </c>
      <c r="C44" s="1210"/>
      <c r="D44" s="1210"/>
      <c r="E44" s="546">
        <v>15</v>
      </c>
      <c r="F44" s="62" t="str" cm="1">
        <f t="array" aca="1" ref="F44" ca="1">OFFSET(E44,-1,1)</f>
        <v>1</v>
      </c>
      <c r="G44" s="62"/>
      <c r="H44" s="41" t="s">
        <v>323</v>
      </c>
      <c r="I44" s="41" t="s">
        <v>365</v>
      </c>
      <c r="J44" s="41" t="str">
        <f t="shared" si="1"/>
        <v>Водопроводные сети::км</v>
      </c>
      <c r="K44" s="1210"/>
      <c r="L44" s="1210"/>
      <c r="M44" s="1210"/>
      <c r="N44" s="1210"/>
      <c r="O44" s="1210"/>
      <c r="P44" s="41" t="s">
        <v>375</v>
      </c>
      <c r="Q44" s="41" t="s">
        <v>376</v>
      </c>
      <c r="R44" s="1210"/>
      <c r="S44" s="1210"/>
      <c r="T44" s="1210"/>
      <c r="U44" s="1210"/>
      <c r="V44" s="381" t="b" cm="1">
        <f t="array" ref="V44">V43</f>
        <v>1</v>
      </c>
      <c r="W44" s="1210"/>
      <c r="X44" s="1210"/>
      <c r="Y44" s="1210"/>
      <c r="Z44" s="1734"/>
      <c r="AA44" s="1735"/>
      <c r="AB44" s="1210"/>
      <c r="AC44" s="103">
        <f>IF(B41,5,2)</f>
        <v>5</v>
      </c>
      <c r="AD44" s="101" t="s">
        <v>377</v>
      </c>
      <c r="AE44" s="42" t="s">
        <v>378</v>
      </c>
      <c r="AF44" s="60"/>
      <c r="AG44" s="60"/>
      <c r="AH44" s="60"/>
      <c r="AI44" s="60"/>
      <c r="AJ44" s="108"/>
      <c r="AK44" s="1210"/>
      <c r="AL44" s="1210"/>
      <c r="AM44" s="899" t="s">
        <v>379</v>
      </c>
      <c r="AN44" s="899"/>
      <c r="AO44" s="899"/>
      <c r="AP44" s="899"/>
      <c r="AQ44" s="535"/>
      <c r="AR44" s="535"/>
      <c r="AS44" s="1210"/>
      <c r="AT44" s="1210"/>
      <c r="AU44" s="1210"/>
      <c r="AV44" s="1210"/>
      <c r="AW44" s="1210"/>
      <c r="AX44" s="1210"/>
      <c r="AY44" s="1210"/>
      <c r="AZ44" s="1210"/>
      <c r="BA44" s="1210"/>
      <c r="BB44" s="1210"/>
      <c r="BC44" s="1210"/>
      <c r="BD44" s="1210"/>
      <c r="BE44" s="1210"/>
    </row>
    <row r="45" spans="1:57" s="454" customFormat="1" ht="14.25" hidden="1" customHeight="1">
      <c r="A45" s="1210"/>
      <c r="B45" s="865" t="b">
        <f>AND(T39="Водоотведение",method_reg&lt;&gt;"Метод сравнения аналогов")</f>
        <v>0</v>
      </c>
      <c r="C45" s="1210"/>
      <c r="D45" s="1210"/>
      <c r="E45" s="546">
        <v>15</v>
      </c>
      <c r="F45" s="62" t="str" cm="1">
        <f t="array" aca="1" ref="F45" ca="1">OFFSET(E45,-1,1)</f>
        <v>1</v>
      </c>
      <c r="G45" s="400"/>
      <c r="H45" s="41" t="s">
        <v>323</v>
      </c>
      <c r="I45" s="41" t="s">
        <v>365</v>
      </c>
      <c r="J45" s="41" t="str">
        <f t="shared" si="1"/>
        <v>Биологические очистные сооружения::ед.</v>
      </c>
      <c r="K45" s="43"/>
      <c r="L45" s="1210"/>
      <c r="M45" s="1210"/>
      <c r="N45" s="1210"/>
      <c r="O45" s="1210"/>
      <c r="P45" s="1210"/>
      <c r="Q45" s="1210"/>
      <c r="R45" s="1210"/>
      <c r="S45" s="1210"/>
      <c r="T45" s="1210"/>
      <c r="U45" s="1210"/>
      <c r="V45" s="381" t="b" cm="1">
        <f t="array" ref="V45">V44</f>
        <v>1</v>
      </c>
      <c r="W45" s="1210"/>
      <c r="X45" s="1210"/>
      <c r="Y45" s="1210"/>
      <c r="Z45" s="1734"/>
      <c r="AA45" s="1735"/>
      <c r="AB45" s="1210"/>
      <c r="AC45" s="103">
        <v>1</v>
      </c>
      <c r="AD45" s="101" t="s">
        <v>380</v>
      </c>
      <c r="AE45" s="42" t="s">
        <v>367</v>
      </c>
      <c r="AF45" s="1352"/>
      <c r="AG45" s="1352"/>
      <c r="AH45" s="1352"/>
      <c r="AI45" s="1352"/>
      <c r="AJ45" s="1353"/>
      <c r="AK45" s="1210"/>
      <c r="AL45" s="1210"/>
      <c r="AM45" s="899" t="s">
        <v>381</v>
      </c>
      <c r="AN45" s="899"/>
      <c r="AO45" s="899"/>
      <c r="AP45" s="899"/>
      <c r="AQ45" s="535"/>
      <c r="AR45" s="535"/>
      <c r="AS45" s="1210"/>
      <c r="AT45" s="1210"/>
      <c r="AU45" s="1210"/>
      <c r="AV45" s="1210"/>
      <c r="AW45" s="1210"/>
      <c r="AX45" s="1210"/>
      <c r="AY45" s="1210"/>
      <c r="AZ45" s="1210"/>
      <c r="BA45" s="1210"/>
      <c r="BB45" s="1210"/>
      <c r="BC45" s="1210"/>
      <c r="BD45" s="1210"/>
      <c r="BE45" s="1210"/>
    </row>
    <row r="46" spans="1:57" s="454" customFormat="1" ht="14.25" hidden="1" customHeight="1">
      <c r="A46" s="1210"/>
      <c r="B46" s="865" t="b">
        <f>T39="Водоотведение"</f>
        <v>0</v>
      </c>
      <c r="C46" s="1210"/>
      <c r="D46" s="1210"/>
      <c r="E46" s="546">
        <v>15</v>
      </c>
      <c r="F46" s="62" t="str" cm="1">
        <f t="array" aca="1" ref="F46" ca="1">OFFSET(E46,-1,1)</f>
        <v>1</v>
      </c>
      <c r="G46" s="62" t="s">
        <v>50</v>
      </c>
      <c r="H46" s="41" t="s">
        <v>323</v>
      </c>
      <c r="I46" s="41" t="s">
        <v>365</v>
      </c>
      <c r="J46" s="41" t="str">
        <f t="shared" si="1"/>
        <v>Канализационные насосные станции::ед.</v>
      </c>
      <c r="K46" s="1210"/>
      <c r="L46" s="1210"/>
      <c r="M46" s="1210"/>
      <c r="N46" s="1210"/>
      <c r="O46" s="1210"/>
      <c r="P46" s="1210"/>
      <c r="Q46" s="1210"/>
      <c r="R46" s="1210"/>
      <c r="S46" s="1210"/>
      <c r="T46" s="1210"/>
      <c r="U46" s="1210"/>
      <c r="V46" s="381" t="b" cm="1">
        <f t="array" ref="V46">V45</f>
        <v>1</v>
      </c>
      <c r="W46" s="1210"/>
      <c r="X46" s="1210"/>
      <c r="Y46" s="1210"/>
      <c r="Z46" s="1734"/>
      <c r="AA46" s="1735"/>
      <c r="AB46" s="1210"/>
      <c r="AC46" s="103">
        <f>IF(B45,2,1)</f>
        <v>1</v>
      </c>
      <c r="AD46" s="101" t="s">
        <v>382</v>
      </c>
      <c r="AE46" s="42" t="s">
        <v>367</v>
      </c>
      <c r="AF46" s="1352"/>
      <c r="AG46" s="1352"/>
      <c r="AH46" s="1352"/>
      <c r="AI46" s="1352"/>
      <c r="AJ46" s="1353"/>
      <c r="AK46" s="1210"/>
      <c r="AL46" s="1210"/>
      <c r="AM46" s="899" t="s">
        <v>383</v>
      </c>
      <c r="AN46" s="899"/>
      <c r="AO46" s="899"/>
      <c r="AP46" s="899"/>
      <c r="AQ46" s="535"/>
      <c r="AR46" s="535"/>
      <c r="AS46" s="1210"/>
      <c r="AT46" s="1210"/>
      <c r="AU46" s="1210"/>
      <c r="AV46" s="1210"/>
      <c r="AW46" s="1210"/>
      <c r="AX46" s="1210"/>
      <c r="AY46" s="1210"/>
      <c r="AZ46" s="1210"/>
      <c r="BA46" s="1210"/>
      <c r="BB46" s="1210"/>
      <c r="BC46" s="1210"/>
      <c r="BD46" s="1210"/>
      <c r="BE46" s="1210"/>
    </row>
    <row r="47" spans="1:57" s="454" customFormat="1" ht="14.25" hidden="1" customHeight="1">
      <c r="A47" s="1210"/>
      <c r="B47" s="865" t="b" cm="1">
        <f t="array" ref="B47">B46</f>
        <v>0</v>
      </c>
      <c r="C47" s="1210"/>
      <c r="D47" s="1210"/>
      <c r="E47" s="546">
        <v>15</v>
      </c>
      <c r="F47" s="62" t="str" cm="1">
        <f t="array" aca="1" ref="F47" ca="1">OFFSET(E47,-1,1)</f>
        <v>1</v>
      </c>
      <c r="G47" s="62"/>
      <c r="H47" s="41" t="s">
        <v>323</v>
      </c>
      <c r="I47" s="41" t="s">
        <v>365</v>
      </c>
      <c r="J47" s="41" t="str">
        <f t="shared" si="1"/>
        <v>Канализационные сети::км</v>
      </c>
      <c r="K47" s="1210"/>
      <c r="L47" s="41" t="s">
        <v>50</v>
      </c>
      <c r="M47" s="1210"/>
      <c r="N47" s="1210"/>
      <c r="O47" s="1210"/>
      <c r="P47" s="41" t="s">
        <v>375</v>
      </c>
      <c r="Q47" s="41" t="s">
        <v>376</v>
      </c>
      <c r="R47" s="1210"/>
      <c r="S47" s="1210"/>
      <c r="T47" s="1210"/>
      <c r="U47" s="1210"/>
      <c r="V47" s="381" t="b" cm="1">
        <f t="array" ref="V47">V46</f>
        <v>1</v>
      </c>
      <c r="W47" s="1210"/>
      <c r="X47" s="1210"/>
      <c r="Y47" s="1210"/>
      <c r="Z47" s="1734"/>
      <c r="AA47" s="1735"/>
      <c r="AB47" s="1210"/>
      <c r="AC47" s="103">
        <f>AC46+1</f>
        <v>2</v>
      </c>
      <c r="AD47" s="101" t="s">
        <v>384</v>
      </c>
      <c r="AE47" s="42" t="s">
        <v>378</v>
      </c>
      <c r="AF47" s="1354"/>
      <c r="AG47" s="1354"/>
      <c r="AH47" s="60"/>
      <c r="AI47" s="60"/>
      <c r="AJ47" s="1353"/>
      <c r="AK47" s="1210"/>
      <c r="AL47" s="1210"/>
      <c r="AM47" s="899" t="s">
        <v>385</v>
      </c>
      <c r="AN47" s="899"/>
      <c r="AO47" s="899"/>
      <c r="AP47" s="899"/>
      <c r="AQ47" s="535"/>
      <c r="AR47" s="535"/>
      <c r="AS47" s="1210"/>
      <c r="AT47" s="1210"/>
      <c r="AU47" s="1210"/>
      <c r="AV47" s="1210"/>
      <c r="AW47" s="1210"/>
      <c r="AX47" s="1210"/>
      <c r="AY47" s="1210"/>
      <c r="AZ47" s="1210"/>
      <c r="BA47" s="1210"/>
      <c r="BB47" s="1210"/>
      <c r="BC47" s="1210"/>
      <c r="BD47" s="1210"/>
      <c r="BE47" s="1210"/>
    </row>
    <row r="48" spans="1:57" s="923" customFormat="1" ht="14.25" hidden="1" customHeight="1">
      <c r="B48" s="345"/>
      <c r="E48" s="554">
        <v>15</v>
      </c>
      <c r="F48" s="62" t="str" cm="1">
        <f t="array" aca="1" ref="F48" ca="1">OFFSET(E48,-1,1)</f>
        <v>1</v>
      </c>
      <c r="G48" s="62"/>
      <c r="H48" s="43" t="s">
        <v>323</v>
      </c>
      <c r="I48" s="43" t="s">
        <v>365</v>
      </c>
      <c r="J48" s="43" t="str">
        <f t="shared" si="1"/>
        <v>::</v>
      </c>
      <c r="U48" s="41">
        <v>0</v>
      </c>
      <c r="V48" s="381" t="b">
        <f ca="1">AND(F48&gt;0,U48&gt;0)</f>
        <v>0</v>
      </c>
      <c r="Y48" s="671" t="s">
        <v>173</v>
      </c>
      <c r="Z48" s="1734"/>
      <c r="AA48" s="1735"/>
      <c r="AB48" s="337" t="s">
        <v>174</v>
      </c>
      <c r="AC48" s="103">
        <f ca="1">IF(OFFSET(C48,-8-U48,-1),5,IF(OFFSET(C48,-3-U48,-1),3,2))+U48</f>
        <v>5</v>
      </c>
      <c r="AD48" s="1355"/>
      <c r="AE48" s="1356"/>
      <c r="AF48" s="1357"/>
      <c r="AG48" s="1357"/>
      <c r="AH48" s="1357"/>
      <c r="AI48" s="1357"/>
      <c r="AJ48" s="1358"/>
      <c r="AM48" s="907" t="s">
        <v>386</v>
      </c>
      <c r="AN48" s="907" t="s">
        <v>387</v>
      </c>
      <c r="AO48" s="910" cm="1">
        <f t="array" ref="AO48">AD48</f>
        <v>0</v>
      </c>
      <c r="AP48" s="910" cm="1">
        <f t="array" ref="AP48">AE48</f>
        <v>0</v>
      </c>
      <c r="AQ48" s="609"/>
      <c r="AR48" s="609" t="b">
        <v>1</v>
      </c>
    </row>
    <row r="49" spans="1:57" s="454" customFormat="1" ht="14.25" customHeight="1">
      <c r="A49" s="1210"/>
      <c r="B49" s="345"/>
      <c r="C49" s="1210"/>
      <c r="D49" s="1210"/>
      <c r="E49" s="546">
        <v>15</v>
      </c>
      <c r="F49" s="62" t="str" cm="1">
        <f t="array" aca="1" ref="F49" ca="1">OFFSET(E49,-1,1)</f>
        <v>1</v>
      </c>
      <c r="G49" s="62"/>
      <c r="H49" s="1210"/>
      <c r="I49" s="1210"/>
      <c r="J49" s="40" t="s">
        <v>388</v>
      </c>
      <c r="K49" s="1210"/>
      <c r="L49" s="1210"/>
      <c r="M49" s="1210"/>
      <c r="N49" s="1210"/>
      <c r="O49" s="1210"/>
      <c r="P49" s="1210"/>
      <c r="Q49" s="1210"/>
      <c r="R49" s="1210"/>
      <c r="S49" s="1210"/>
      <c r="T49" s="1210"/>
      <c r="U49" s="1210"/>
      <c r="V49" s="381" t="b" cm="1">
        <f t="array" ref="V49">V47</f>
        <v>1</v>
      </c>
      <c r="W49" s="1210"/>
      <c r="X49" s="1210"/>
      <c r="Y49" s="671" t="s">
        <v>389</v>
      </c>
      <c r="Z49" s="1734"/>
      <c r="AA49" s="1735"/>
      <c r="AB49" s="1210"/>
      <c r="AC49" s="94"/>
      <c r="AD49" s="222" t="s">
        <v>177</v>
      </c>
      <c r="AE49" s="95"/>
      <c r="AF49" s="95"/>
      <c r="AG49" s="95"/>
      <c r="AH49" s="95"/>
      <c r="AI49" s="95"/>
      <c r="AJ49" s="106"/>
      <c r="AK49" s="1210"/>
      <c r="AL49" s="1210"/>
      <c r="AM49" s="899"/>
      <c r="AN49" s="899"/>
      <c r="AO49" s="899"/>
      <c r="AP49" s="899"/>
      <c r="AQ49" s="535" t="s">
        <v>387</v>
      </c>
      <c r="AR49" s="535"/>
      <c r="AS49" s="1210"/>
      <c r="AT49" s="1210"/>
      <c r="AU49" s="1210"/>
      <c r="AV49" s="1210"/>
      <c r="AW49" s="1210"/>
      <c r="AX49" s="1210"/>
      <c r="AY49" s="1210"/>
      <c r="AZ49" s="1210"/>
      <c r="BA49" s="1210"/>
      <c r="BB49" s="1210"/>
      <c r="BC49" s="1210"/>
      <c r="BD49" s="1210"/>
      <c r="BE49" s="1210"/>
    </row>
    <row r="50" spans="1:57" s="454" customFormat="1" ht="54.75" customHeight="1">
      <c r="A50" s="1210"/>
      <c r="B50" s="345"/>
      <c r="C50" s="1210"/>
      <c r="D50" s="1210"/>
      <c r="E50" s="546">
        <v>15</v>
      </c>
      <c r="F50" s="62" t="str" cm="1">
        <f t="array" aca="1" ref="F50" ca="1">OFFSET(E50,-1,1)</f>
        <v>1</v>
      </c>
      <c r="G50" s="62"/>
      <c r="H50" s="41" t="s">
        <v>324</v>
      </c>
      <c r="I50" s="41" t="s">
        <v>365</v>
      </c>
      <c r="J50" s="281" t="str" cm="1">
        <f t="array" ref="J50">AD50</f>
        <v>Краткое описание технологического процесса</v>
      </c>
      <c r="K50" s="1210"/>
      <c r="L50" s="1210"/>
      <c r="M50" s="1210"/>
      <c r="N50" s="1210"/>
      <c r="O50" s="1210"/>
      <c r="P50" s="1210"/>
      <c r="Q50" s="1210"/>
      <c r="R50" s="1210"/>
      <c r="S50" s="1210"/>
      <c r="T50" s="1210"/>
      <c r="U50" s="1210"/>
      <c r="V50" s="381" t="b" cm="1">
        <f t="array" ref="V50">V49</f>
        <v>1</v>
      </c>
      <c r="W50" s="1210"/>
      <c r="X50" s="1210"/>
      <c r="Y50" s="1210"/>
      <c r="Z50" s="1734"/>
      <c r="AA50" s="1735"/>
      <c r="AB50" s="1210"/>
      <c r="AC50" s="103"/>
      <c r="AD50" s="101" t="s">
        <v>390</v>
      </c>
      <c r="AE50" s="42"/>
      <c r="AF50" s="1752" t="s">
        <v>392</v>
      </c>
      <c r="AG50" s="1753"/>
      <c r="AH50" s="1753"/>
      <c r="AI50" s="1753"/>
      <c r="AJ50" s="1754"/>
      <c r="AK50" s="1210"/>
      <c r="AL50" s="1210"/>
      <c r="AM50" s="899" t="s">
        <v>391</v>
      </c>
      <c r="AN50" s="899"/>
      <c r="AO50" s="899"/>
      <c r="AP50" s="899"/>
      <c r="AQ50" s="535"/>
      <c r="AR50" s="535"/>
      <c r="AS50" s="1210"/>
      <c r="AT50" s="1210"/>
      <c r="AU50" s="1210"/>
      <c r="AV50" s="1210"/>
      <c r="AW50" s="1210"/>
      <c r="AX50" s="1210"/>
      <c r="AY50" s="1210"/>
      <c r="AZ50" s="1210"/>
      <c r="BA50" s="1210"/>
      <c r="BB50" s="1210"/>
      <c r="BC50" s="1210"/>
      <c r="BD50" s="1210"/>
      <c r="BE50" s="1210"/>
    </row>
    <row r="51" spans="1:57" s="1210" customFormat="1" ht="14.65" customHeight="1">
      <c r="B51" s="345"/>
      <c r="E51" s="546">
        <v>15</v>
      </c>
      <c r="F51" s="281"/>
      <c r="G51" s="281"/>
      <c r="J51" s="281"/>
      <c r="W51" s="41" t="s">
        <v>177</v>
      </c>
      <c r="X51" s="59" t="s">
        <v>393</v>
      </c>
      <c r="Z51" s="17"/>
      <c r="AC51" s="428"/>
      <c r="AD51" s="33"/>
      <c r="AE51" s="429"/>
      <c r="AF51" s="853"/>
      <c r="AG51" s="853"/>
      <c r="AH51" s="853"/>
      <c r="AI51" s="853"/>
      <c r="AJ51" s="853"/>
      <c r="AM51" s="899"/>
      <c r="AN51" s="899"/>
      <c r="AO51" s="899"/>
      <c r="AP51" s="899"/>
      <c r="AQ51" s="535"/>
      <c r="AR51" s="535"/>
    </row>
    <row r="52" spans="1:57" s="1207" customFormat="1" ht="11.65" customHeight="1">
      <c r="B52" s="427"/>
      <c r="E52" s="551">
        <v>12</v>
      </c>
      <c r="Q52" s="398"/>
      <c r="R52" s="398"/>
      <c r="S52" s="398"/>
      <c r="T52" s="398"/>
      <c r="U52" s="405"/>
      <c r="V52" s="405"/>
      <c r="W52" s="420"/>
      <c r="X52" s="405"/>
      <c r="Y52" s="405"/>
      <c r="Z52" s="405"/>
      <c r="AA52" s="405"/>
      <c r="AB52" s="405"/>
      <c r="AC52" s="1739" t="s">
        <v>394</v>
      </c>
      <c r="AD52" s="1740"/>
      <c r="AE52" s="1740"/>
      <c r="AF52" s="1740"/>
      <c r="AG52" s="1740"/>
      <c r="AH52" s="1740"/>
      <c r="AI52" s="1740"/>
      <c r="AJ52" s="1741"/>
      <c r="AK52" s="4"/>
      <c r="AL52" s="4"/>
      <c r="AM52" s="908"/>
      <c r="AN52" s="908"/>
      <c r="AO52" s="908"/>
      <c r="AP52" s="908"/>
      <c r="AQ52" s="592"/>
      <c r="AR52" s="592"/>
      <c r="AS52" s="4"/>
      <c r="AT52" s="4"/>
      <c r="AU52" s="4"/>
      <c r="AV52" s="4"/>
      <c r="AW52" s="4"/>
      <c r="AX52" s="4"/>
      <c r="AY52" s="4"/>
      <c r="AZ52" s="4"/>
      <c r="BA52" s="4"/>
      <c r="BB52" s="4"/>
      <c r="BC52" s="4"/>
      <c r="BD52" s="4"/>
      <c r="BE52" s="405"/>
    </row>
    <row r="53" spans="1:57" s="1207" customFormat="1" ht="14.65" customHeight="1">
      <c r="B53" s="344"/>
      <c r="E53" s="549">
        <v>15</v>
      </c>
      <c r="Q53" s="332"/>
      <c r="R53" s="332"/>
      <c r="S53" s="332"/>
      <c r="T53" s="332"/>
      <c r="U53" s="405"/>
      <c r="V53" s="405"/>
      <c r="W53" s="420"/>
      <c r="X53" s="405"/>
      <c r="Y53" s="405"/>
      <c r="Z53" s="405"/>
      <c r="AA53" s="405"/>
      <c r="AB53" s="578"/>
      <c r="AC53" s="1742"/>
      <c r="AD53" s="1743"/>
      <c r="AE53" s="1743"/>
      <c r="AF53" s="1743"/>
      <c r="AG53" s="1743"/>
      <c r="AH53" s="1743"/>
      <c r="AI53" s="1743"/>
      <c r="AJ53" s="1744"/>
      <c r="AK53" s="4"/>
      <c r="AL53" s="4"/>
      <c r="AM53" s="908"/>
      <c r="AN53" s="908"/>
      <c r="AO53" s="908"/>
      <c r="AP53" s="908"/>
      <c r="AQ53" s="592"/>
      <c r="AR53" s="592"/>
      <c r="AS53" s="4"/>
      <c r="AT53" s="4"/>
      <c r="AU53" s="4"/>
      <c r="AV53" s="4"/>
      <c r="AW53" s="4"/>
      <c r="AX53" s="4"/>
      <c r="AY53" s="4"/>
      <c r="AZ53" s="4"/>
      <c r="BA53" s="4"/>
      <c r="BB53" s="4"/>
      <c r="BC53" s="4"/>
      <c r="BD53" s="4"/>
      <c r="BE53" s="405"/>
    </row>
    <row r="54" spans="1:57" s="1207" customFormat="1" ht="14.65" hidden="1" customHeight="1">
      <c r="B54" s="344"/>
      <c r="E54" s="549">
        <v>15</v>
      </c>
      <c r="Q54" s="332"/>
      <c r="R54" s="332"/>
      <c r="S54" s="332"/>
      <c r="T54" s="332"/>
      <c r="V54" s="381" t="b">
        <f>ROW(Y54)&gt;ROW(X$54)</f>
        <v>0</v>
      </c>
      <c r="W54" s="420"/>
      <c r="Y54" s="671" t="s">
        <v>173</v>
      </c>
      <c r="Z54" s="405"/>
      <c r="AA54" s="405"/>
      <c r="AB54" s="579" t="s">
        <v>174</v>
      </c>
      <c r="AC54" s="1745"/>
      <c r="AD54" s="1746"/>
      <c r="AE54" s="1746"/>
      <c r="AF54" s="1746"/>
      <c r="AG54" s="1746"/>
      <c r="AH54" s="1746"/>
      <c r="AI54" s="1746"/>
      <c r="AJ54" s="1747"/>
      <c r="AK54" s="4"/>
      <c r="AL54" s="4"/>
      <c r="AM54" s="908"/>
      <c r="AN54" s="908"/>
      <c r="AO54" s="908"/>
      <c r="AP54" s="908"/>
      <c r="AQ54" s="592"/>
      <c r="AR54" s="592"/>
      <c r="AS54" s="4"/>
      <c r="AT54" s="4"/>
      <c r="AU54" s="4"/>
      <c r="AV54" s="4"/>
      <c r="AW54" s="4"/>
      <c r="AX54" s="4"/>
      <c r="AY54" s="4"/>
      <c r="AZ54" s="4"/>
      <c r="BA54" s="4"/>
      <c r="BB54" s="4"/>
      <c r="BC54" s="4"/>
      <c r="BD54" s="4"/>
      <c r="BE54" s="405"/>
    </row>
    <row r="55" spans="1:57" s="1207" customFormat="1" ht="14.65" customHeight="1">
      <c r="B55" s="344"/>
      <c r="E55" s="549">
        <v>15</v>
      </c>
      <c r="Q55" s="332"/>
      <c r="R55" s="332"/>
      <c r="S55" s="332"/>
      <c r="T55" s="332"/>
      <c r="U55" s="405"/>
      <c r="V55" s="405"/>
      <c r="W55" s="405"/>
      <c r="Y55" s="671" t="s">
        <v>395</v>
      </c>
      <c r="Z55" s="405"/>
      <c r="AA55" s="405"/>
      <c r="AB55" s="405"/>
      <c r="AC55" s="564"/>
      <c r="AD55" s="97" t="s">
        <v>396</v>
      </c>
      <c r="AE55" s="421"/>
      <c r="AF55" s="422"/>
      <c r="AG55" s="422"/>
      <c r="AH55" s="422"/>
      <c r="AI55" s="422"/>
      <c r="AJ55" s="581"/>
      <c r="AK55" s="4"/>
      <c r="AL55" s="4"/>
      <c r="AM55" s="908"/>
      <c r="AN55" s="908"/>
      <c r="AO55" s="908"/>
      <c r="AP55" s="908"/>
      <c r="AQ55" s="592"/>
      <c r="AR55" s="592"/>
      <c r="AS55" s="4"/>
      <c r="AT55" s="4"/>
      <c r="AU55" s="4"/>
      <c r="AV55" s="4"/>
      <c r="AW55" s="4"/>
      <c r="AX55" s="4"/>
      <c r="AY55" s="4"/>
      <c r="AZ55" s="4"/>
      <c r="BA55" s="4"/>
      <c r="BB55" s="4"/>
      <c r="BC55" s="4"/>
      <c r="BD55" s="4"/>
      <c r="BE55" s="405"/>
    </row>
    <row r="56" spans="1:57" s="1327" customFormat="1" ht="11.25" customHeight="1">
      <c r="B56" s="575"/>
      <c r="E56" s="553"/>
      <c r="F56" s="4"/>
      <c r="G56" s="4"/>
      <c r="H56" s="4"/>
      <c r="I56" s="4"/>
      <c r="J56" s="4"/>
      <c r="AD56" s="19"/>
      <c r="AE56" s="19"/>
      <c r="AF56" s="19"/>
      <c r="AG56" s="19"/>
      <c r="AK56"/>
      <c r="AM56" s="906"/>
      <c r="AN56" s="906"/>
      <c r="AO56" s="906"/>
      <c r="AP56" s="906"/>
      <c r="AQ56" s="541"/>
      <c r="AR56" s="909"/>
    </row>
    <row r="57" spans="1:57" s="1327" customFormat="1" ht="11.25" hidden="1" customHeight="1">
      <c r="B57" s="575"/>
      <c r="E57" s="553"/>
      <c r="F57" s="4"/>
      <c r="G57" s="4"/>
      <c r="H57" s="4"/>
      <c r="I57" s="4"/>
      <c r="J57" s="4"/>
      <c r="AD57" s="19"/>
      <c r="AE57" s="19"/>
      <c r="AF57" s="19"/>
      <c r="AG57" s="19"/>
      <c r="AM57" s="906"/>
      <c r="AN57" s="906"/>
      <c r="AO57" s="906"/>
      <c r="AP57" s="906"/>
      <c r="AQ57" s="541"/>
      <c r="AR57" s="909"/>
    </row>
  </sheetData>
  <sheetProtection formatColumns="0" formatRows="0" insertRows="0" deleteColumns="0" deleteRows="0" sort="0" autoFilter="0"/>
  <mergeCells count="15">
    <mergeCell ref="AC54:AJ54"/>
    <mergeCell ref="AC22:AJ22"/>
    <mergeCell ref="AG23:AH23"/>
    <mergeCell ref="AC24:AC25"/>
    <mergeCell ref="AD24:AD25"/>
    <mergeCell ref="AE24:AE25"/>
    <mergeCell ref="AJ24:AJ25"/>
    <mergeCell ref="AF50:AJ50"/>
    <mergeCell ref="Z27:Z38"/>
    <mergeCell ref="AA27:AA38"/>
    <mergeCell ref="AF38:AJ38"/>
    <mergeCell ref="AC52:AJ52"/>
    <mergeCell ref="AC53:AJ53"/>
    <mergeCell ref="Z39:Z50"/>
    <mergeCell ref="AA39:AA50"/>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47"/>
  <sheetViews>
    <sheetView showGridLines="0" workbookViewId="0">
      <pane xSplit="29" ySplit="24" topLeftCell="AD30" activePane="bottomRight" state="frozen"/>
      <selection pane="topRight" activeCell="AD1" sqref="AD1"/>
      <selection pane="bottomLeft" activeCell="A25" sqref="A25"/>
      <selection pane="bottomRight" activeCell="AA21" sqref="AA21"/>
    </sheetView>
  </sheetViews>
  <sheetFormatPr defaultColWidth="8.7109375" defaultRowHeight="11.25" customHeight="1"/>
  <cols>
    <col min="1" max="1" width="3.5703125" style="485" hidden="1" customWidth="1"/>
    <col min="2" max="2" width="8.5703125" style="1081" hidden="1" customWidth="1"/>
    <col min="3" max="4" width="3.5703125" style="485" hidden="1" customWidth="1"/>
    <col min="5" max="5" width="3.5703125" style="789" hidden="1" customWidth="1"/>
    <col min="6" max="6" width="4" style="485" hidden="1" customWidth="1"/>
    <col min="7" max="8" width="3.5703125" style="485" hidden="1" customWidth="1"/>
    <col min="9" max="9" width="12.42578125" style="485" hidden="1" customWidth="1"/>
    <col min="10" max="18" width="3.5703125" style="485" hidden="1" customWidth="1"/>
    <col min="19" max="19" width="3.5703125" style="1187" hidden="1" customWidth="1"/>
    <col min="20" max="20" width="6.140625" style="1187" hidden="1" customWidth="1"/>
    <col min="21" max="21" width="10.140625" style="1187" hidden="1" customWidth="1"/>
    <col min="22" max="22" width="5.85546875" style="1187" hidden="1" customWidth="1"/>
    <col min="23" max="24" width="6.140625" style="1187" hidden="1" customWidth="1"/>
    <col min="25" max="25" width="5.5703125" style="1187" hidden="1" customWidth="1"/>
    <col min="26" max="26" width="5.28515625" style="1187" hidden="1" customWidth="1"/>
    <col min="27" max="27" width="3" style="485" customWidth="1"/>
    <col min="28" max="28" width="11" style="33" customWidth="1"/>
    <col min="29" max="29" width="70" style="33" customWidth="1"/>
    <col min="30" max="30" width="15" style="33" customWidth="1"/>
    <col min="31" max="31" width="20" style="33" customWidth="1"/>
    <col min="32" max="32" width="20" style="39" customWidth="1"/>
    <col min="33" max="34" width="20" style="33" customWidth="1"/>
    <col min="35" max="35" width="3" style="485" customWidth="1"/>
    <col min="36" max="36" width="8.7109375" style="485" hidden="1"/>
    <col min="37" max="43" width="8.7109375" style="896" hidden="1"/>
    <col min="44" max="44" width="8.7109375" style="867" hidden="1"/>
    <col min="45" max="45" width="8.7109375" style="544" hidden="1"/>
  </cols>
  <sheetData>
    <row r="1" spans="1:45" s="485" customFormat="1" ht="11.25" hidden="1" customHeight="1">
      <c r="B1" s="346"/>
      <c r="E1" s="781"/>
      <c r="F1" s="67" t="s">
        <v>311</v>
      </c>
      <c r="S1" s="864"/>
      <c r="T1" s="864"/>
      <c r="U1" s="381" t="s">
        <v>92</v>
      </c>
      <c r="V1" s="381" t="s">
        <v>97</v>
      </c>
      <c r="W1" s="381" t="s">
        <v>93</v>
      </c>
      <c r="X1" s="381" t="s">
        <v>94</v>
      </c>
      <c r="Y1" s="381" t="s">
        <v>95</v>
      </c>
      <c r="Z1" s="381" t="s">
        <v>99</v>
      </c>
      <c r="AA1" s="383" t="s">
        <v>96</v>
      </c>
      <c r="AB1" s="383" t="s">
        <v>313</v>
      </c>
      <c r="AC1" s="383" t="s">
        <v>98</v>
      </c>
      <c r="AF1" s="122"/>
      <c r="AK1" s="890" t="s">
        <v>314</v>
      </c>
      <c r="AL1" s="894" t="s">
        <v>315</v>
      </c>
      <c r="AM1" s="894" t="s">
        <v>316</v>
      </c>
      <c r="AN1" s="894" t="s">
        <v>397</v>
      </c>
      <c r="AO1" s="894" t="s">
        <v>398</v>
      </c>
      <c r="AP1" s="894" t="s">
        <v>399</v>
      </c>
      <c r="AQ1" s="894" t="s">
        <v>400</v>
      </c>
      <c r="AR1" s="182" t="s">
        <v>319</v>
      </c>
      <c r="AS1" s="182" t="s">
        <v>320</v>
      </c>
    </row>
    <row r="2" spans="1:45" s="1081" customFormat="1" ht="11.25" hidden="1" customHeight="1">
      <c r="B2" s="865" t="s">
        <v>18</v>
      </c>
      <c r="S2" s="572"/>
      <c r="T2" s="572"/>
      <c r="U2" s="572"/>
      <c r="V2" s="572"/>
      <c r="W2" s="572"/>
      <c r="X2" s="572"/>
      <c r="Y2" s="572"/>
      <c r="Z2" s="572"/>
      <c r="AK2" s="895"/>
      <c r="AL2" s="895"/>
      <c r="AM2" s="895"/>
      <c r="AN2" s="895"/>
      <c r="AO2" s="895"/>
      <c r="AP2" s="895"/>
      <c r="AQ2" s="895"/>
      <c r="AR2" s="904"/>
      <c r="AS2" s="904"/>
    </row>
    <row r="3" spans="1:45" s="485" customFormat="1" ht="11.25" hidden="1" customHeight="1">
      <c r="B3" s="346"/>
      <c r="E3" s="781"/>
      <c r="S3" s="864"/>
      <c r="T3" s="864"/>
      <c r="U3" s="864"/>
      <c r="V3" s="864"/>
      <c r="W3" s="864"/>
      <c r="X3" s="864"/>
      <c r="Y3" s="864"/>
      <c r="Z3" s="864"/>
      <c r="AF3" s="122"/>
      <c r="AK3" s="896"/>
      <c r="AL3" s="896"/>
      <c r="AM3" s="896"/>
      <c r="AN3" s="896"/>
      <c r="AO3" s="896"/>
      <c r="AP3" s="896"/>
      <c r="AQ3" s="896"/>
      <c r="AR3" s="867"/>
      <c r="AS3" s="867"/>
    </row>
    <row r="4" spans="1:45" s="485" customFormat="1" ht="11.25" hidden="1" customHeight="1">
      <c r="B4" s="346"/>
      <c r="E4" s="781"/>
      <c r="S4" s="864"/>
      <c r="T4" s="864"/>
      <c r="U4" s="864"/>
      <c r="V4" s="864"/>
      <c r="W4" s="864"/>
      <c r="X4" s="864"/>
      <c r="Y4" s="864"/>
      <c r="Z4" s="864"/>
      <c r="AF4" s="122"/>
      <c r="AK4" s="896"/>
      <c r="AL4" s="896"/>
      <c r="AM4" s="896"/>
      <c r="AN4" s="896"/>
      <c r="AO4" s="896"/>
      <c r="AP4" s="896"/>
      <c r="AQ4" s="896"/>
      <c r="AR4" s="867"/>
      <c r="AS4" s="867"/>
    </row>
    <row r="5" spans="1:45" s="789" customFormat="1" ht="11.25" hidden="1" customHeight="1">
      <c r="A5" s="781"/>
      <c r="B5" s="346"/>
      <c r="C5" s="781"/>
      <c r="D5" s="781"/>
      <c r="E5" s="782" t="s">
        <v>19</v>
      </c>
      <c r="S5" s="892"/>
      <c r="T5" s="892"/>
      <c r="U5" s="892"/>
      <c r="V5" s="892"/>
      <c r="W5" s="892"/>
      <c r="X5" s="892"/>
      <c r="Y5" s="892"/>
      <c r="Z5" s="892"/>
      <c r="AA5" s="538">
        <v>3</v>
      </c>
      <c r="AB5" s="538">
        <v>11</v>
      </c>
      <c r="AC5" s="538">
        <v>70</v>
      </c>
      <c r="AD5" s="538">
        <v>15</v>
      </c>
      <c r="AE5" s="538">
        <v>20</v>
      </c>
      <c r="AF5" s="538">
        <v>20</v>
      </c>
      <c r="AG5" s="538">
        <v>20</v>
      </c>
      <c r="AH5" s="538">
        <v>20</v>
      </c>
      <c r="AI5" s="782">
        <v>3</v>
      </c>
      <c r="AK5" s="897"/>
      <c r="AL5" s="897"/>
      <c r="AM5" s="897"/>
      <c r="AN5" s="897"/>
      <c r="AO5" s="897"/>
      <c r="AP5" s="897"/>
      <c r="AQ5" s="897"/>
    </row>
    <row r="6" spans="1:45" s="485" customFormat="1" ht="11.25" hidden="1" customHeight="1">
      <c r="B6" s="346"/>
      <c r="E6" s="782"/>
      <c r="S6" s="864"/>
      <c r="T6" s="864"/>
      <c r="U6" s="864"/>
      <c r="V6" s="864"/>
      <c r="W6" s="864"/>
      <c r="X6" s="864"/>
      <c r="Y6" s="864"/>
      <c r="Z6" s="864"/>
      <c r="AK6" s="896"/>
      <c r="AL6" s="896"/>
      <c r="AM6" s="896"/>
      <c r="AN6" s="896"/>
      <c r="AO6" s="896"/>
      <c r="AP6" s="896"/>
      <c r="AQ6" s="896"/>
      <c r="AR6" s="867"/>
      <c r="AS6" s="867"/>
    </row>
    <row r="7" spans="1:45" s="485" customFormat="1" ht="11.25" hidden="1" customHeight="1">
      <c r="B7" s="346"/>
      <c r="E7" s="782"/>
      <c r="S7" s="864"/>
      <c r="T7" s="864"/>
      <c r="U7" s="864"/>
      <c r="V7" s="864"/>
      <c r="W7" s="864"/>
      <c r="X7" s="864"/>
      <c r="Y7" s="864"/>
      <c r="Z7" s="864"/>
      <c r="AE7" s="285"/>
      <c r="AF7" s="285"/>
      <c r="AG7" s="286"/>
      <c r="AH7" s="286"/>
      <c r="AK7" s="896"/>
      <c r="AL7" s="896"/>
      <c r="AM7" s="896"/>
      <c r="AN7" s="896"/>
      <c r="AO7" s="896"/>
      <c r="AP7" s="896"/>
      <c r="AQ7" s="896"/>
      <c r="AR7" s="867"/>
      <c r="AS7" s="867"/>
    </row>
    <row r="8" spans="1:45" s="485" customFormat="1" ht="11.25" hidden="1" customHeight="1">
      <c r="B8" s="346"/>
      <c r="E8" s="782"/>
      <c r="S8" s="864"/>
      <c r="T8" s="864"/>
      <c r="U8" s="864"/>
      <c r="V8" s="864"/>
      <c r="W8" s="864"/>
      <c r="X8" s="864"/>
      <c r="Y8" s="864"/>
      <c r="Z8" s="864"/>
      <c r="AF8" s="122"/>
      <c r="AK8" s="896"/>
      <c r="AL8" s="896"/>
      <c r="AM8" s="896"/>
      <c r="AN8" s="896"/>
      <c r="AO8" s="896"/>
      <c r="AP8" s="896"/>
      <c r="AQ8" s="896"/>
      <c r="AR8" s="867"/>
      <c r="AS8" s="867"/>
    </row>
    <row r="9" spans="1:45" s="896" customFormat="1" ht="11.25" hidden="1" customHeight="1">
      <c r="A9" s="890" t="s">
        <v>401</v>
      </c>
      <c r="B9" s="895"/>
      <c r="E9" s="897"/>
      <c r="S9" s="898"/>
      <c r="T9" s="898"/>
      <c r="U9" s="898"/>
      <c r="V9" s="898"/>
      <c r="W9" s="898"/>
      <c r="X9" s="898"/>
      <c r="Y9" s="898"/>
      <c r="Z9" s="898"/>
      <c r="AF9" s="894"/>
      <c r="AH9" s="896" t="str" cm="1">
        <f t="array" ref="AH9">AH24</f>
        <v>Срок действия</v>
      </c>
      <c r="AR9" s="867"/>
      <c r="AS9" s="867"/>
    </row>
    <row r="10" spans="1:45" s="896" customFormat="1" ht="11.25" hidden="1" customHeight="1">
      <c r="A10" s="890" t="s">
        <v>329</v>
      </c>
      <c r="B10" s="895"/>
      <c r="E10" s="897"/>
      <c r="S10" s="898"/>
      <c r="T10" s="898"/>
      <c r="U10" s="898"/>
      <c r="V10" s="898"/>
      <c r="W10" s="898"/>
      <c r="X10" s="898"/>
      <c r="Y10" s="898"/>
      <c r="Z10" s="898"/>
      <c r="AC10" s="891" t="s">
        <v>316</v>
      </c>
      <c r="AD10" s="891" t="s">
        <v>397</v>
      </c>
      <c r="AE10" s="891" t="s">
        <v>398</v>
      </c>
      <c r="AF10" s="891" t="s">
        <v>399</v>
      </c>
      <c r="AG10" s="891" t="s">
        <v>400</v>
      </c>
      <c r="AR10" s="867"/>
      <c r="AS10" s="867"/>
    </row>
    <row r="11" spans="1:45" s="485" customFormat="1" ht="11.25" hidden="1" customHeight="1">
      <c r="B11" s="346"/>
      <c r="E11" s="782"/>
      <c r="S11" s="864"/>
      <c r="T11" s="864"/>
      <c r="U11" s="864"/>
      <c r="V11" s="864"/>
      <c r="W11" s="864"/>
      <c r="X11" s="864"/>
      <c r="Y11" s="864"/>
      <c r="Z11" s="864"/>
      <c r="AF11" s="122"/>
      <c r="AK11" s="896"/>
      <c r="AL11" s="896"/>
      <c r="AM11" s="896"/>
      <c r="AN11" s="896"/>
      <c r="AO11" s="896"/>
      <c r="AP11" s="896"/>
      <c r="AQ11" s="896"/>
      <c r="AR11" s="867"/>
      <c r="AS11" s="867"/>
    </row>
    <row r="12" spans="1:45" s="485" customFormat="1" ht="11.25" hidden="1" customHeight="1">
      <c r="B12" s="346"/>
      <c r="E12" s="782"/>
      <c r="S12" s="864"/>
      <c r="T12" s="864"/>
      <c r="U12" s="864"/>
      <c r="V12" s="864"/>
      <c r="W12" s="864"/>
      <c r="X12" s="864"/>
      <c r="Y12" s="864"/>
      <c r="Z12" s="864"/>
      <c r="AA12" s="864"/>
      <c r="AB12" s="864"/>
      <c r="AC12" s="893"/>
      <c r="AD12" s="893"/>
      <c r="AF12" s="122"/>
      <c r="AK12" s="896"/>
      <c r="AL12" s="896"/>
      <c r="AM12" s="896"/>
      <c r="AN12" s="896"/>
      <c r="AO12" s="896"/>
      <c r="AP12" s="896"/>
      <c r="AQ12" s="896"/>
      <c r="AR12" s="867"/>
      <c r="AS12" s="867"/>
    </row>
    <row r="13" spans="1:45" s="485" customFormat="1" ht="11.25" hidden="1" customHeight="1">
      <c r="B13" s="346"/>
      <c r="E13" s="782"/>
      <c r="S13" s="864"/>
      <c r="T13" s="864"/>
      <c r="U13" s="864"/>
      <c r="V13" s="864"/>
      <c r="W13" s="864"/>
      <c r="X13" s="864"/>
      <c r="Y13" s="864"/>
      <c r="Z13" s="864"/>
      <c r="AA13" s="864"/>
      <c r="AB13" s="864"/>
      <c r="AC13" s="893"/>
      <c r="AD13" s="893"/>
      <c r="AE13" s="893"/>
      <c r="AF13" s="893"/>
      <c r="AK13" s="896"/>
      <c r="AL13" s="896"/>
      <c r="AM13" s="896"/>
      <c r="AN13" s="896"/>
      <c r="AO13" s="896"/>
      <c r="AP13" s="896"/>
      <c r="AQ13" s="896"/>
      <c r="AR13" s="867"/>
      <c r="AS13" s="867"/>
    </row>
    <row r="14" spans="1:45" s="485" customFormat="1" ht="11.25" hidden="1" customHeight="1">
      <c r="B14" s="346"/>
      <c r="E14" s="782"/>
      <c r="S14" s="864"/>
      <c r="T14" s="864"/>
      <c r="U14" s="864"/>
      <c r="V14" s="864"/>
      <c r="W14" s="864"/>
      <c r="X14" s="864"/>
      <c r="Y14" s="864"/>
      <c r="Z14" s="864"/>
      <c r="AA14" s="864"/>
      <c r="AB14" s="864"/>
      <c r="AC14" s="893"/>
      <c r="AD14" s="893"/>
      <c r="AE14" s="893"/>
      <c r="AF14" s="893"/>
      <c r="AK14" s="896"/>
      <c r="AL14" s="896"/>
      <c r="AM14" s="896"/>
      <c r="AN14" s="896"/>
      <c r="AO14" s="896"/>
      <c r="AP14" s="896"/>
      <c r="AQ14" s="896"/>
      <c r="AR14" s="867"/>
      <c r="AS14" s="867"/>
    </row>
    <row r="15" spans="1:45" s="485" customFormat="1" ht="11.25" hidden="1" customHeight="1">
      <c r="B15" s="346"/>
      <c r="E15" s="782"/>
      <c r="S15" s="864"/>
      <c r="T15" s="864"/>
      <c r="U15" s="864"/>
      <c r="V15" s="864"/>
      <c r="W15" s="864"/>
      <c r="X15" s="864"/>
      <c r="Y15" s="864"/>
      <c r="Z15" s="864"/>
      <c r="AA15" s="864"/>
      <c r="AB15" s="864"/>
      <c r="AC15" s="893"/>
      <c r="AD15" s="893"/>
      <c r="AE15" s="893"/>
      <c r="AF15" s="893"/>
      <c r="AK15" s="896"/>
      <c r="AL15" s="896"/>
      <c r="AM15" s="896"/>
      <c r="AN15" s="896"/>
      <c r="AO15" s="896"/>
      <c r="AP15" s="896"/>
      <c r="AQ15" s="896"/>
      <c r="AR15" s="867"/>
      <c r="AS15" s="867"/>
    </row>
    <row r="16" spans="1:45" s="485" customFormat="1" ht="11.25" hidden="1" customHeight="1">
      <c r="B16" s="346"/>
      <c r="E16" s="782"/>
      <c r="S16" s="864"/>
      <c r="T16" s="864"/>
      <c r="U16" s="864"/>
      <c r="V16" s="864"/>
      <c r="W16" s="864"/>
      <c r="X16" s="864"/>
      <c r="Y16" s="864"/>
      <c r="Z16" s="864"/>
      <c r="AA16" s="864"/>
      <c r="AB16" s="864"/>
      <c r="AC16" s="893"/>
      <c r="AD16" s="893"/>
      <c r="AE16" s="893"/>
      <c r="AF16" s="893"/>
      <c r="AK16" s="896"/>
      <c r="AL16" s="896"/>
      <c r="AM16" s="896"/>
      <c r="AN16" s="896"/>
      <c r="AO16" s="896"/>
      <c r="AP16" s="896"/>
      <c r="AQ16" s="896"/>
      <c r="AR16" s="867"/>
      <c r="AS16" s="867"/>
    </row>
    <row r="17" spans="1:45" s="485" customFormat="1" ht="11.25" hidden="1" customHeight="1">
      <c r="B17" s="346"/>
      <c r="E17" s="782"/>
      <c r="S17" s="864"/>
      <c r="T17" s="864"/>
      <c r="U17" s="864"/>
      <c r="V17" s="864"/>
      <c r="W17" s="864"/>
      <c r="X17" s="864"/>
      <c r="Y17" s="864"/>
      <c r="Z17" s="864"/>
      <c r="AA17" s="864"/>
      <c r="AB17" s="864"/>
      <c r="AC17" s="893"/>
      <c r="AD17" s="893"/>
      <c r="AE17" s="893"/>
      <c r="AF17" s="893"/>
      <c r="AK17" s="896"/>
      <c r="AL17" s="896"/>
      <c r="AM17" s="896"/>
      <c r="AN17" s="896"/>
      <c r="AO17" s="896"/>
      <c r="AP17" s="896"/>
      <c r="AQ17" s="896"/>
      <c r="AR17" s="867"/>
      <c r="AS17" s="867"/>
    </row>
    <row r="18" spans="1:45" s="485" customFormat="1" ht="11.25" hidden="1" customHeight="1">
      <c r="A18" s="67"/>
      <c r="B18" s="346"/>
      <c r="E18" s="782"/>
      <c r="S18" s="864"/>
      <c r="T18" s="864"/>
      <c r="U18" s="864"/>
      <c r="V18" s="864"/>
      <c r="W18" s="864"/>
      <c r="X18" s="864"/>
      <c r="Y18" s="864"/>
      <c r="Z18" s="864"/>
      <c r="AA18" s="864"/>
      <c r="AB18" s="864"/>
      <c r="AC18" s="853"/>
      <c r="AD18" s="893"/>
      <c r="AE18" s="893"/>
      <c r="AF18" s="893"/>
      <c r="AK18" s="896"/>
      <c r="AL18" s="896"/>
      <c r="AM18" s="896"/>
      <c r="AN18" s="896"/>
      <c r="AO18" s="896"/>
      <c r="AP18" s="896"/>
      <c r="AQ18" s="896"/>
      <c r="AR18" s="867"/>
      <c r="AS18" s="867"/>
    </row>
    <row r="19" spans="1:45" s="485" customFormat="1" ht="11.25" hidden="1" customHeight="1">
      <c r="B19" s="346"/>
      <c r="E19" s="782"/>
      <c r="S19" s="864"/>
      <c r="T19" s="864"/>
      <c r="U19" s="864"/>
      <c r="V19" s="864"/>
      <c r="W19" s="864"/>
      <c r="X19" s="864"/>
      <c r="Y19" s="864"/>
      <c r="Z19" s="864"/>
      <c r="AA19" s="864"/>
      <c r="AB19" s="864"/>
      <c r="AC19" s="893"/>
      <c r="AD19" s="893"/>
      <c r="AE19" s="893"/>
      <c r="AF19" s="893"/>
      <c r="AK19" s="896"/>
      <c r="AL19" s="896"/>
      <c r="AM19" s="896"/>
      <c r="AN19" s="896"/>
      <c r="AO19" s="896"/>
      <c r="AP19" s="896"/>
      <c r="AQ19" s="896"/>
      <c r="AR19" s="867"/>
      <c r="AS19" s="867"/>
    </row>
    <row r="20" spans="1:45" s="485" customFormat="1" ht="11.25" hidden="1" customHeight="1">
      <c r="B20" s="346"/>
      <c r="E20" s="782"/>
      <c r="S20" s="864"/>
      <c r="T20" s="864"/>
      <c r="U20" s="864"/>
      <c r="V20" s="864"/>
      <c r="W20" s="864"/>
      <c r="X20" s="864"/>
      <c r="Y20" s="864"/>
      <c r="Z20" s="864"/>
      <c r="AA20" s="864"/>
      <c r="AB20" s="864"/>
      <c r="AC20" s="893"/>
      <c r="AD20" s="893"/>
      <c r="AE20" s="893"/>
      <c r="AF20" s="893"/>
      <c r="AK20" s="896"/>
      <c r="AL20" s="896"/>
      <c r="AM20" s="896"/>
      <c r="AN20" s="896"/>
      <c r="AO20" s="896"/>
      <c r="AP20" s="896"/>
      <c r="AQ20" s="896"/>
      <c r="AR20" s="867"/>
      <c r="AS20" s="867"/>
    </row>
    <row r="21" spans="1:45" s="485" customFormat="1" ht="14.65" customHeight="1">
      <c r="B21" s="346"/>
      <c r="E21" s="782">
        <v>15</v>
      </c>
      <c r="S21" s="864"/>
      <c r="T21" s="864"/>
      <c r="U21" s="864"/>
      <c r="V21" s="864"/>
      <c r="W21" s="864"/>
      <c r="X21" s="864"/>
      <c r="Y21" s="864"/>
      <c r="Z21" s="864"/>
      <c r="AA21" s="574"/>
      <c r="AB21" s="384"/>
      <c r="AC21" s="277" t="str" cm="1">
        <f t="array" ref="AC21">tpl_title</f>
        <v>Кемеровская область / 2026 / ОАО «СКЭК» (ИНН:4205153492, КПП:420501001) / ДПР: 2026-2026</v>
      </c>
      <c r="AD21" s="384"/>
      <c r="AE21" s="384"/>
      <c r="AF21" s="384"/>
      <c r="AK21" s="896"/>
      <c r="AL21" s="896"/>
      <c r="AM21" s="896"/>
      <c r="AN21" s="896"/>
      <c r="AO21" s="896"/>
      <c r="AP21" s="896"/>
      <c r="AQ21" s="896"/>
      <c r="AR21" s="867"/>
      <c r="AS21" s="867"/>
    </row>
    <row r="22" spans="1:45" ht="20.45" customHeight="1">
      <c r="E22" s="552">
        <v>21</v>
      </c>
      <c r="R22" s="864"/>
      <c r="AA22" s="864"/>
      <c r="AB22" s="1730" t="s">
        <v>402</v>
      </c>
      <c r="AC22" s="1731"/>
      <c r="AD22" s="1731"/>
      <c r="AE22" s="1731"/>
      <c r="AF22" s="1731"/>
      <c r="AG22" s="1731"/>
      <c r="AH22" s="1731"/>
    </row>
    <row r="23" spans="1:45" ht="8.85" customHeight="1">
      <c r="E23" s="552">
        <v>9</v>
      </c>
      <c r="AA23" s="871"/>
      <c r="AB23" s="34"/>
      <c r="AC23" s="34"/>
      <c r="AD23" s="34"/>
      <c r="AE23" s="34"/>
      <c r="AF23" s="1748"/>
      <c r="AG23" s="1748"/>
      <c r="AH23" s="14"/>
    </row>
    <row r="24" spans="1:45" s="1210" customFormat="1" ht="20.45" customHeight="1">
      <c r="B24" s="345"/>
      <c r="E24" s="552">
        <v>21</v>
      </c>
      <c r="AB24" s="105" t="s">
        <v>21</v>
      </c>
      <c r="AC24" s="104" t="s">
        <v>403</v>
      </c>
      <c r="AD24" s="104" t="s">
        <v>404</v>
      </c>
      <c r="AE24" s="104" t="s">
        <v>405</v>
      </c>
      <c r="AF24" s="104" t="s">
        <v>406</v>
      </c>
      <c r="AG24" s="104" t="s">
        <v>407</v>
      </c>
      <c r="AH24" s="104" t="s">
        <v>408</v>
      </c>
      <c r="AK24" s="899"/>
      <c r="AL24" s="899"/>
      <c r="AM24" s="899"/>
      <c r="AN24" s="899"/>
      <c r="AO24" s="899"/>
      <c r="AP24" s="899"/>
      <c r="AQ24" s="899"/>
      <c r="AR24" s="535"/>
      <c r="AS24" s="535"/>
    </row>
    <row r="25" spans="1:45" s="1327" customFormat="1" ht="11.25" hidden="1" customHeight="1">
      <c r="A25" s="415"/>
      <c r="B25" s="575"/>
      <c r="C25" s="415"/>
      <c r="D25" s="415"/>
      <c r="E25" s="546">
        <v>0</v>
      </c>
      <c r="F25" s="571"/>
      <c r="G25" s="415"/>
      <c r="H25" s="415"/>
      <c r="I25" s="415"/>
      <c r="J25" s="415"/>
      <c r="K25" s="415"/>
      <c r="L25" s="415"/>
      <c r="M25" s="415"/>
      <c r="N25" s="415"/>
      <c r="O25" s="415"/>
      <c r="P25" s="415"/>
      <c r="Q25" s="415"/>
      <c r="R25" s="415"/>
      <c r="S25" s="415"/>
      <c r="T25" s="415"/>
      <c r="U25" s="415"/>
      <c r="V25" s="415"/>
      <c r="W25" s="415"/>
      <c r="X25" s="415"/>
      <c r="Y25" s="415"/>
      <c r="Z25" s="415"/>
      <c r="AA25" s="415"/>
      <c r="AB25" s="862"/>
      <c r="AC25" s="19"/>
      <c r="AD25" s="19"/>
      <c r="AE25" s="19"/>
      <c r="AF25" s="19"/>
      <c r="AI25" s="415"/>
      <c r="AJ25" s="415"/>
      <c r="AK25" s="900"/>
      <c r="AL25" s="900"/>
      <c r="AM25" s="900"/>
      <c r="AN25" s="900"/>
      <c r="AO25" s="900"/>
      <c r="AP25" s="901"/>
      <c r="AQ25" s="900"/>
      <c r="AR25" s="576"/>
      <c r="AS25" s="541"/>
    </row>
    <row r="26" spans="1:45" s="1210" customFormat="1" ht="15" hidden="1" customHeight="1">
      <c r="B26" s="345"/>
      <c r="E26" s="553" t="s">
        <v>332</v>
      </c>
      <c r="F26" s="41" cm="1">
        <f t="array" ref="F26">Y26</f>
        <v>0</v>
      </c>
      <c r="U26" s="381" t="b">
        <f>Y26&gt;0</f>
        <v>0</v>
      </c>
      <c r="W26" s="41" t="s">
        <v>270</v>
      </c>
      <c r="Y26" s="1755">
        <v>0</v>
      </c>
      <c r="Z26" s="1735"/>
      <c r="AB26" s="99" t="str" cm="1">
        <f t="array" ref="AB26">INDEX('Общие сведения'!$AG$179:$AG$208,MATCH($Y26,'Общие сведения'!$Z$179:$Z$208,0))</f>
        <v xml:space="preserve">Тариф 0 () - </v>
      </c>
      <c r="AC26" s="99"/>
      <c r="AD26" s="93"/>
      <c r="AE26" s="93"/>
      <c r="AF26" s="93"/>
      <c r="AG26" s="93"/>
      <c r="AH26" s="93"/>
      <c r="AK26" s="899"/>
      <c r="AL26" s="899"/>
      <c r="AM26" s="899"/>
      <c r="AN26" s="899"/>
      <c r="AO26" s="899"/>
      <c r="AP26" s="899"/>
      <c r="AQ26" s="899"/>
      <c r="AR26" s="535"/>
      <c r="AS26" s="535"/>
    </row>
    <row r="27" spans="1:45" s="1210" customFormat="1" ht="15" hidden="1" customHeight="1">
      <c r="B27" s="345"/>
      <c r="E27" s="546">
        <v>0</v>
      </c>
      <c r="F27" s="41" cm="1">
        <f t="array" aca="1" ref="F27" ca="1">OFFSET(G27,-1,-1)</f>
        <v>0</v>
      </c>
      <c r="U27" s="381" t="b">
        <v>0</v>
      </c>
      <c r="Y27" s="1755"/>
      <c r="Z27" s="1735"/>
      <c r="AB27" s="99"/>
      <c r="AC27" s="99"/>
      <c r="AD27" s="93"/>
      <c r="AE27" s="93"/>
      <c r="AF27" s="93"/>
      <c r="AG27" s="93"/>
      <c r="AH27" s="93"/>
      <c r="AK27" s="899"/>
      <c r="AL27" s="899"/>
      <c r="AM27" s="899"/>
      <c r="AN27" s="899"/>
      <c r="AO27" s="899"/>
      <c r="AP27" s="899"/>
      <c r="AQ27" s="899"/>
      <c r="AR27" s="535"/>
      <c r="AS27" s="535"/>
    </row>
    <row r="28" spans="1:45" s="1121" customFormat="1" ht="14.65" hidden="1" customHeight="1">
      <c r="B28" s="345"/>
      <c r="E28" s="546">
        <v>15</v>
      </c>
      <c r="F28" s="23" cm="1">
        <f t="array" aca="1" ref="F28" ca="1">OFFSET(G28,-1,-1)</f>
        <v>0</v>
      </c>
      <c r="I28" s="23" t="s">
        <v>409</v>
      </c>
      <c r="K28" s="23" t="s">
        <v>410</v>
      </c>
      <c r="U28" s="381" t="b">
        <f ca="1">AND(F28&gt;0,AB28&gt;0)</f>
        <v>0</v>
      </c>
      <c r="X28" s="671" t="s">
        <v>173</v>
      </c>
      <c r="Y28" s="1755"/>
      <c r="Z28" s="1735"/>
      <c r="AA28" s="579" t="s">
        <v>174</v>
      </c>
      <c r="AB28" s="7">
        <v>0</v>
      </c>
      <c r="AC28" s="190" t="str">
        <f>I28&amp;" :: "&amp;K28</f>
        <v>Наименование объекта :: адрес</v>
      </c>
      <c r="AD28" s="190"/>
      <c r="AE28" s="190"/>
      <c r="AF28" s="321"/>
      <c r="AG28" s="321"/>
      <c r="AH28" s="1353"/>
      <c r="AK28" s="902" t="s">
        <v>411</v>
      </c>
      <c r="AL28" s="902" t="s">
        <v>412</v>
      </c>
      <c r="AM28" s="902" t="str" cm="1">
        <f t="array" ref="AM28">AC28</f>
        <v>Наименование объекта :: адрес</v>
      </c>
      <c r="AN28" s="902" cm="1">
        <f t="array" ref="AN28">AD28</f>
        <v>0</v>
      </c>
      <c r="AO28" s="902" cm="1">
        <f t="array" ref="AO28">AE28</f>
        <v>0</v>
      </c>
      <c r="AP28" s="902" cm="1">
        <f t="array" ref="AP28">AF28</f>
        <v>0</v>
      </c>
      <c r="AQ28" s="902" cm="1">
        <f t="array" ref="AQ28">AG28</f>
        <v>0</v>
      </c>
      <c r="AR28" s="545"/>
      <c r="AS28" s="545" t="b">
        <v>1</v>
      </c>
    </row>
    <row r="29" spans="1:45" s="1210" customFormat="1" ht="10.7" hidden="1" customHeight="1">
      <c r="B29" s="345"/>
      <c r="E29" s="546">
        <v>11</v>
      </c>
      <c r="F29" s="41" cm="1">
        <f t="array" aca="1" ref="F29" ca="1">OFFSET(G29,-1,-1)</f>
        <v>0</v>
      </c>
      <c r="U29" s="381" t="b">
        <f ca="1">F29&gt;0</f>
        <v>0</v>
      </c>
      <c r="X29" s="671" t="s">
        <v>413</v>
      </c>
      <c r="Y29" s="1755"/>
      <c r="Z29" s="1735"/>
      <c r="AB29" s="94"/>
      <c r="AC29" s="97" t="s">
        <v>414</v>
      </c>
      <c r="AD29" s="95"/>
      <c r="AE29" s="95"/>
      <c r="AF29" s="95"/>
      <c r="AG29" s="95"/>
      <c r="AH29" s="106"/>
      <c r="AK29" s="899"/>
      <c r="AL29" s="899"/>
      <c r="AM29" s="899"/>
      <c r="AN29" s="899"/>
      <c r="AO29" s="899"/>
      <c r="AP29" s="899"/>
      <c r="AQ29" s="899"/>
      <c r="AR29" s="535" t="s">
        <v>412</v>
      </c>
      <c r="AS29" s="535"/>
    </row>
    <row r="30" spans="1:45" s="454" customFormat="1" ht="15" customHeight="1">
      <c r="A30" s="1210"/>
      <c r="B30" s="345"/>
      <c r="C30" s="1210"/>
      <c r="D30" s="1210"/>
      <c r="E30" s="553" t="s">
        <v>332</v>
      </c>
      <c r="F30" s="41" t="str" cm="1">
        <f t="array" ref="F30">Y30</f>
        <v>1</v>
      </c>
      <c r="G30" s="1210"/>
      <c r="H30" s="1210"/>
      <c r="I30" s="1210"/>
      <c r="J30" s="1210"/>
      <c r="K30" s="1210"/>
      <c r="L30" s="1210"/>
      <c r="M30" s="1210"/>
      <c r="N30" s="1210"/>
      <c r="O30" s="1210"/>
      <c r="P30" s="1210"/>
      <c r="Q30" s="1210"/>
      <c r="R30" s="1210"/>
      <c r="S30" s="1210"/>
      <c r="T30" s="1210"/>
      <c r="U30" s="381" t="b">
        <f>Y30&gt;0</f>
        <v>1</v>
      </c>
      <c r="V30" s="1210"/>
      <c r="W30" s="41" t="str" cm="1">
        <f t="array" ref="W30">'Перечень объектов'!$AC$39</f>
        <v>Тариф 1 (Водоснабжение) - тариф на питьевую воду</v>
      </c>
      <c r="X30" s="1210"/>
      <c r="Y30" s="1755" t="s">
        <v>281</v>
      </c>
      <c r="Z30" s="1735"/>
      <c r="AA30" s="1210"/>
      <c r="AB30" s="99" t="str" cm="1">
        <f t="array" ref="AB30">'Перечень объектов'!$AC$39</f>
        <v>Тариф 1 (Водоснабжение) - тариф на питьевую воду</v>
      </c>
      <c r="AC30" s="99"/>
      <c r="AD30" s="93"/>
      <c r="AE30" s="93"/>
      <c r="AF30" s="93"/>
      <c r="AG30" s="93"/>
      <c r="AH30" s="93"/>
      <c r="AI30" s="1210"/>
      <c r="AJ30" s="1210"/>
      <c r="AK30" s="899"/>
      <c r="AL30" s="899"/>
      <c r="AM30" s="899"/>
      <c r="AN30" s="899"/>
      <c r="AO30" s="899"/>
      <c r="AP30" s="899"/>
      <c r="AQ30" s="899"/>
      <c r="AR30" s="535"/>
      <c r="AS30" s="535"/>
    </row>
    <row r="31" spans="1:45" s="454" customFormat="1" ht="15" hidden="1" customHeight="1">
      <c r="A31" s="1210"/>
      <c r="B31" s="345"/>
      <c r="C31" s="1210"/>
      <c r="D31" s="1210"/>
      <c r="E31" s="546">
        <v>0</v>
      </c>
      <c r="F31" s="41" t="str" cm="1">
        <f t="array" aca="1" ref="F31" ca="1">OFFSET(G31,-1,-1)</f>
        <v>1</v>
      </c>
      <c r="G31" s="1210"/>
      <c r="H31" s="1210"/>
      <c r="I31" s="1210"/>
      <c r="J31" s="1210"/>
      <c r="K31" s="1210"/>
      <c r="L31" s="1210"/>
      <c r="M31" s="1210"/>
      <c r="N31" s="1210"/>
      <c r="O31" s="1210"/>
      <c r="P31" s="1210"/>
      <c r="Q31" s="1210"/>
      <c r="R31" s="1210"/>
      <c r="S31" s="1210"/>
      <c r="T31" s="1210"/>
      <c r="U31" s="381" t="b">
        <v>0</v>
      </c>
      <c r="V31" s="1210"/>
      <c r="W31" s="1210"/>
      <c r="X31" s="1210"/>
      <c r="Y31" s="1755"/>
      <c r="Z31" s="1735"/>
      <c r="AA31" s="1210"/>
      <c r="AB31" s="99"/>
      <c r="AC31" s="99"/>
      <c r="AD31" s="93"/>
      <c r="AE31" s="93"/>
      <c r="AF31" s="93"/>
      <c r="AG31" s="93"/>
      <c r="AH31" s="93"/>
      <c r="AI31" s="1210"/>
      <c r="AJ31" s="1210"/>
      <c r="AK31" s="899"/>
      <c r="AL31" s="899"/>
      <c r="AM31" s="899"/>
      <c r="AN31" s="899"/>
      <c r="AO31" s="899"/>
      <c r="AP31" s="899"/>
      <c r="AQ31" s="899"/>
      <c r="AR31" s="535"/>
      <c r="AS31" s="535"/>
    </row>
    <row r="32" spans="1:45" s="1121" customFormat="1" ht="14.25" hidden="1" customHeight="1">
      <c r="B32" s="345"/>
      <c r="E32" s="546">
        <v>15</v>
      </c>
      <c r="F32" s="23" t="str" cm="1">
        <f t="array" aca="1" ref="F32" ca="1">OFFSET(G32,-1,-1)</f>
        <v>1</v>
      </c>
      <c r="I32" s="23" t="s">
        <v>409</v>
      </c>
      <c r="K32" s="23" t="s">
        <v>410</v>
      </c>
      <c r="U32" s="381" t="b">
        <f ca="1">AND(F32&gt;0,AB32&gt;0)</f>
        <v>0</v>
      </c>
      <c r="X32" s="671" t="s">
        <v>173</v>
      </c>
      <c r="Y32" s="1755"/>
      <c r="Z32" s="1735"/>
      <c r="AA32" s="579" t="s">
        <v>174</v>
      </c>
      <c r="AB32" s="7">
        <v>0</v>
      </c>
      <c r="AC32" s="190" t="str">
        <f>I32&amp;" :: "&amp;K32</f>
        <v>Наименование объекта :: адрес</v>
      </c>
      <c r="AD32" s="190"/>
      <c r="AE32" s="190"/>
      <c r="AF32" s="321"/>
      <c r="AG32" s="321"/>
      <c r="AH32" s="1353"/>
      <c r="AK32" s="902" t="s">
        <v>411</v>
      </c>
      <c r="AL32" s="902" t="s">
        <v>412</v>
      </c>
      <c r="AM32" s="902" t="str" cm="1">
        <f t="array" ref="AM32">AC32</f>
        <v>Наименование объекта :: адрес</v>
      </c>
      <c r="AN32" s="902" cm="1">
        <f t="array" ref="AN32">AD32</f>
        <v>0</v>
      </c>
      <c r="AO32" s="902" cm="1">
        <f t="array" ref="AO32">AE32</f>
        <v>0</v>
      </c>
      <c r="AP32" s="902" cm="1">
        <f t="array" ref="AP32">AF32</f>
        <v>0</v>
      </c>
      <c r="AQ32" s="902" cm="1">
        <f t="array" ref="AQ32">AG32</f>
        <v>0</v>
      </c>
      <c r="AR32" s="545"/>
      <c r="AS32" s="545" t="b">
        <v>1</v>
      </c>
    </row>
    <row r="33" spans="1:45" s="454" customFormat="1" ht="10.5" customHeight="1">
      <c r="A33" s="1210"/>
      <c r="B33" s="345"/>
      <c r="C33" s="1210"/>
      <c r="D33" s="1210"/>
      <c r="E33" s="546">
        <v>11</v>
      </c>
      <c r="F33" s="41" t="str" cm="1">
        <f t="array" aca="1" ref="F33" ca="1">OFFSET(G33,-1,-1)</f>
        <v>1</v>
      </c>
      <c r="G33" s="1210"/>
      <c r="H33" s="1210"/>
      <c r="I33" s="1210"/>
      <c r="J33" s="1210"/>
      <c r="K33" s="1210"/>
      <c r="L33" s="1210"/>
      <c r="M33" s="1210"/>
      <c r="N33" s="1210"/>
      <c r="O33" s="1210"/>
      <c r="P33" s="1210"/>
      <c r="Q33" s="1210"/>
      <c r="R33" s="1210"/>
      <c r="S33" s="1210"/>
      <c r="T33" s="1210"/>
      <c r="U33" s="381" t="b">
        <f ca="1">F33&gt;0</f>
        <v>1</v>
      </c>
      <c r="V33" s="1210"/>
      <c r="W33" s="1210"/>
      <c r="X33" s="671" t="s">
        <v>413</v>
      </c>
      <c r="Y33" s="1755"/>
      <c r="Z33" s="1735"/>
      <c r="AA33" s="1210"/>
      <c r="AB33" s="94"/>
      <c r="AC33" s="97" t="s">
        <v>414</v>
      </c>
      <c r="AD33" s="95"/>
      <c r="AE33" s="95"/>
      <c r="AF33" s="95"/>
      <c r="AG33" s="95"/>
      <c r="AH33" s="106"/>
      <c r="AI33" s="1210"/>
      <c r="AJ33" s="1210"/>
      <c r="AK33" s="899"/>
      <c r="AL33" s="899"/>
      <c r="AM33" s="899"/>
      <c r="AN33" s="899"/>
      <c r="AO33" s="899"/>
      <c r="AP33" s="899"/>
      <c r="AQ33" s="899"/>
      <c r="AR33" s="535" t="s">
        <v>412</v>
      </c>
      <c r="AS33" s="535"/>
    </row>
    <row r="34" spans="1:45" ht="10.7" customHeight="1">
      <c r="A34" s="332"/>
      <c r="B34" s="332"/>
      <c r="C34" s="332"/>
      <c r="D34" s="332"/>
      <c r="E34" s="546">
        <v>11</v>
      </c>
      <c r="F34" s="332"/>
      <c r="G34" s="332"/>
      <c r="H34" s="332"/>
      <c r="I34" s="332"/>
      <c r="J34" s="332"/>
      <c r="K34" s="332"/>
      <c r="L34" s="332"/>
      <c r="M34" s="332"/>
      <c r="N34" s="332"/>
      <c r="O34" s="332"/>
      <c r="P34" s="332"/>
      <c r="Q34" s="332"/>
      <c r="R34" s="332"/>
      <c r="S34" s="332"/>
      <c r="T34" s="332"/>
      <c r="U34" s="332"/>
      <c r="V34" s="41" t="s">
        <v>177</v>
      </c>
      <c r="W34" s="59" t="s">
        <v>415</v>
      </c>
      <c r="X34" s="332"/>
      <c r="Y34" s="332"/>
      <c r="Z34" s="332"/>
      <c r="AA34" s="332"/>
      <c r="AI34" s="332"/>
      <c r="AJ34" s="332"/>
      <c r="AK34" s="903"/>
      <c r="AL34" s="903"/>
      <c r="AM34" s="903"/>
      <c r="AN34" s="903"/>
      <c r="AO34" s="903"/>
      <c r="AP34" s="903"/>
      <c r="AQ34" s="903"/>
      <c r="AR34" s="573"/>
      <c r="AS34" s="592"/>
    </row>
    <row r="35" spans="1:45" s="1327" customFormat="1" ht="11.25" hidden="1" customHeight="1">
      <c r="A35" s="415"/>
      <c r="B35" s="575"/>
      <c r="C35" s="415"/>
      <c r="D35" s="415"/>
      <c r="E35" s="546"/>
      <c r="F35" s="332"/>
      <c r="G35" s="332"/>
      <c r="H35" s="332"/>
      <c r="I35" s="332"/>
      <c r="J35" s="415"/>
      <c r="K35" s="415"/>
      <c r="L35" s="415"/>
      <c r="M35" s="415"/>
      <c r="N35" s="415"/>
      <c r="O35" s="415"/>
      <c r="P35" s="415"/>
      <c r="Q35" s="415"/>
      <c r="R35" s="415"/>
      <c r="S35" s="415"/>
      <c r="T35" s="415"/>
      <c r="U35" s="415"/>
      <c r="V35" s="415"/>
      <c r="W35" s="415"/>
      <c r="X35" s="415"/>
      <c r="Y35" s="415"/>
      <c r="Z35" s="415"/>
      <c r="AA35" s="415"/>
      <c r="AC35" s="19"/>
      <c r="AD35" s="19"/>
      <c r="AE35" s="19"/>
      <c r="AF35" s="19"/>
      <c r="AI35" s="415"/>
      <c r="AJ35" s="415"/>
      <c r="AK35" s="900"/>
      <c r="AL35" s="900"/>
      <c r="AM35" s="900"/>
      <c r="AN35" s="900"/>
      <c r="AO35" s="900"/>
      <c r="AP35" s="901"/>
      <c r="AQ35" s="900"/>
      <c r="AR35" s="576"/>
      <c r="AS35" s="541"/>
    </row>
    <row r="36" spans="1:45" ht="11.25" hidden="1" customHeight="1">
      <c r="E36" s="546"/>
    </row>
    <row r="37" spans="1:45" ht="11.25" hidden="1" customHeight="1">
      <c r="E37" s="546"/>
    </row>
    <row r="38" spans="1:45" ht="11.25" hidden="1" customHeight="1">
      <c r="E38" s="546"/>
    </row>
    <row r="39" spans="1:45" ht="11.25" hidden="1" customHeight="1">
      <c r="E39" s="546"/>
    </row>
    <row r="40" spans="1:45" ht="11.25" hidden="1" customHeight="1">
      <c r="E40" s="554"/>
    </row>
    <row r="41" spans="1:45" ht="11.25" hidden="1" customHeight="1">
      <c r="E41" s="546"/>
    </row>
    <row r="42" spans="1:45" ht="11.25" hidden="1" customHeight="1">
      <c r="E42" s="546"/>
    </row>
    <row r="43" spans="1:45" ht="11.25" hidden="1" customHeight="1">
      <c r="E43" s="546"/>
    </row>
    <row r="44" spans="1:45" ht="11.25" hidden="1" customHeight="1">
      <c r="E44" s="551"/>
    </row>
    <row r="45" spans="1:45" ht="11.25" hidden="1" customHeight="1">
      <c r="E45" s="549"/>
    </row>
    <row r="46" spans="1:45" ht="11.25" hidden="1" customHeight="1">
      <c r="E46" s="549"/>
    </row>
    <row r="47" spans="1:45" ht="11.25" hidden="1" customHeight="1">
      <c r="E47" s="549"/>
    </row>
  </sheetData>
  <sheetProtection formatColumns="0" formatRows="0" insertRows="0" deleteColumns="0" deleteRows="0" sort="0" autoFilter="0"/>
  <mergeCells count="6">
    <mergeCell ref="AB22:AH22"/>
    <mergeCell ref="AF23:AG23"/>
    <mergeCell ref="Y26:Y29"/>
    <mergeCell ref="Z26:Z29"/>
    <mergeCell ref="Y30:Y33"/>
    <mergeCell ref="Z30:Z33"/>
  </mergeCells>
  <dataValidations count="1">
    <dataValidation type="list" showDropDown="1" errorTitle="Ошибка" error="Выберите значение из списка" prompt="Выберите значение из списка" sqref="AD29 AD33">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M82"/>
  <sheetViews>
    <sheetView showGridLines="0" workbookViewId="0">
      <pane xSplit="30" ySplit="26" topLeftCell="AE55" activePane="bottomRight" state="frozen"/>
      <selection pane="topRight" activeCell="AE1" sqref="AE1"/>
      <selection pane="bottomLeft" activeCell="A27" sqref="A27"/>
      <selection pane="bottomRight" activeCell="AH59" sqref="AH59"/>
    </sheetView>
  </sheetViews>
  <sheetFormatPr defaultColWidth="9.140625" defaultRowHeight="11.25" customHeight="1"/>
  <cols>
    <col min="1" max="1" width="3.5703125" style="1210" hidden="1" customWidth="1"/>
    <col min="2" max="2" width="8.7109375" style="1104" hidden="1" customWidth="1"/>
    <col min="3" max="4" width="3.5703125" style="1210" hidden="1" customWidth="1"/>
    <col min="5" max="5" width="3.5703125" style="1073" hidden="1" customWidth="1"/>
    <col min="6" max="6" width="8.5703125" style="1070" hidden="1" customWidth="1"/>
    <col min="7" max="7" width="7.5703125" style="1210" hidden="1" customWidth="1"/>
    <col min="8" max="20" width="3.5703125" style="1210" hidden="1" customWidth="1"/>
    <col min="21" max="21" width="8.5703125" style="1210" hidden="1" customWidth="1"/>
    <col min="22" max="26" width="6" style="1210" hidden="1" customWidth="1"/>
    <col min="27" max="27" width="3" style="1210" customWidth="1"/>
    <col min="28" max="28" width="11" style="1121" customWidth="1"/>
    <col min="29" max="29" width="40" style="1206" customWidth="1"/>
    <col min="30" max="33" width="15" style="1210" customWidth="1"/>
    <col min="34" max="34" width="17.7109375" style="1210" customWidth="1"/>
    <col min="35" max="39" width="15" style="1210" customWidth="1"/>
    <col min="40" max="40" width="39" style="1210" customWidth="1"/>
    <col min="41" max="58" width="15" style="1210" hidden="1" customWidth="1"/>
    <col min="59" max="59" width="3" style="1210" customWidth="1"/>
    <col min="60" max="60" width="9.140625" style="1210" hidden="1"/>
    <col min="61" max="63" width="9.140625" style="1126" hidden="1"/>
    <col min="64" max="65" width="9.140625" style="1073" hidden="1"/>
  </cols>
  <sheetData>
    <row r="1" spans="1:65" ht="11.25" hidden="1" customHeight="1">
      <c r="E1" s="41"/>
      <c r="F1" s="663" t="s">
        <v>311</v>
      </c>
      <c r="H1" s="41" t="s">
        <v>322</v>
      </c>
      <c r="U1" s="381" t="s">
        <v>92</v>
      </c>
      <c r="V1" s="381" t="s">
        <v>97</v>
      </c>
      <c r="W1" s="381" t="s">
        <v>93</v>
      </c>
      <c r="X1" s="381" t="s">
        <v>94</v>
      </c>
      <c r="Y1" s="381" t="s">
        <v>95</v>
      </c>
      <c r="Z1" s="381" t="s">
        <v>99</v>
      </c>
      <c r="AA1" s="381" t="s">
        <v>96</v>
      </c>
      <c r="AB1" s="381" t="s">
        <v>313</v>
      </c>
      <c r="AC1" s="381" t="s">
        <v>98</v>
      </c>
      <c r="BI1" s="899" t="s">
        <v>314</v>
      </c>
      <c r="BJ1" s="899" t="s">
        <v>315</v>
      </c>
      <c r="BK1" s="899" t="s">
        <v>316</v>
      </c>
      <c r="BL1" s="535" t="s">
        <v>319</v>
      </c>
      <c r="BM1" s="535" t="s">
        <v>320</v>
      </c>
    </row>
    <row r="2" spans="1:65" s="1104" customFormat="1" ht="11.25" hidden="1" customHeight="1">
      <c r="B2" s="363" t="s">
        <v>18</v>
      </c>
      <c r="F2" s="664"/>
      <c r="AC2" s="360"/>
      <c r="AO2" s="363" t="b">
        <f t="shared" ref="AO2:BF2" si="0">AO6&lt;=last_year_vis</f>
        <v>0</v>
      </c>
      <c r="AP2" s="363" t="b">
        <f t="shared" si="0"/>
        <v>0</v>
      </c>
      <c r="AQ2" s="363" t="b">
        <f t="shared" si="0"/>
        <v>0</v>
      </c>
      <c r="AR2" s="363" t="b">
        <f t="shared" si="0"/>
        <v>0</v>
      </c>
      <c r="AS2" s="363" t="b">
        <f t="shared" si="0"/>
        <v>0</v>
      </c>
      <c r="AT2" s="363" t="b">
        <f t="shared" si="0"/>
        <v>0</v>
      </c>
      <c r="AU2" s="363" t="b">
        <f t="shared" si="0"/>
        <v>0</v>
      </c>
      <c r="AV2" s="363" t="b">
        <f t="shared" si="0"/>
        <v>0</v>
      </c>
      <c r="AW2" s="363" t="b">
        <f t="shared" si="0"/>
        <v>0</v>
      </c>
      <c r="AX2" s="363" t="b">
        <f t="shared" si="0"/>
        <v>0</v>
      </c>
      <c r="AY2" s="363" t="b">
        <f t="shared" si="0"/>
        <v>0</v>
      </c>
      <c r="AZ2" s="363" t="b">
        <f t="shared" si="0"/>
        <v>0</v>
      </c>
      <c r="BA2" s="363" t="b">
        <f t="shared" si="0"/>
        <v>0</v>
      </c>
      <c r="BB2" s="363" t="b">
        <f t="shared" si="0"/>
        <v>0</v>
      </c>
      <c r="BC2" s="363" t="b">
        <f t="shared" si="0"/>
        <v>0</v>
      </c>
      <c r="BD2" s="363" t="b">
        <f t="shared" si="0"/>
        <v>0</v>
      </c>
      <c r="BE2" s="363" t="b">
        <f t="shared" si="0"/>
        <v>0</v>
      </c>
      <c r="BF2" s="363" t="b">
        <f t="shared" si="0"/>
        <v>0</v>
      </c>
      <c r="BI2" s="911"/>
      <c r="BJ2" s="911"/>
      <c r="BK2" s="911"/>
      <c r="BL2" s="916"/>
      <c r="BM2" s="916"/>
    </row>
    <row r="3" spans="1:65" ht="11.25" hidden="1" customHeight="1">
      <c r="E3" s="41"/>
    </row>
    <row r="4" spans="1:65" ht="11.25" hidden="1" customHeight="1">
      <c r="E4" s="41"/>
    </row>
    <row r="5" spans="1:65" s="1073" customFormat="1" ht="11.25" hidden="1" customHeight="1">
      <c r="A5" s="41"/>
      <c r="B5" s="345"/>
      <c r="C5" s="41"/>
      <c r="D5" s="41"/>
      <c r="E5" s="535" t="s">
        <v>19</v>
      </c>
      <c r="F5" s="665"/>
      <c r="AA5" s="535">
        <v>3</v>
      </c>
      <c r="AB5" s="545">
        <v>11</v>
      </c>
      <c r="AC5" s="548">
        <v>40</v>
      </c>
      <c r="AD5" s="535">
        <v>15</v>
      </c>
      <c r="AE5" s="535">
        <v>15</v>
      </c>
      <c r="AF5" s="535">
        <v>15</v>
      </c>
      <c r="AG5" s="535">
        <v>15</v>
      </c>
      <c r="AH5" s="535">
        <v>17.71</v>
      </c>
      <c r="AI5" s="535">
        <v>15</v>
      </c>
      <c r="AJ5" s="535">
        <v>15</v>
      </c>
      <c r="AK5" s="535">
        <v>15</v>
      </c>
      <c r="AL5" s="535">
        <v>15</v>
      </c>
      <c r="AM5" s="535">
        <v>15</v>
      </c>
      <c r="AN5" s="535">
        <v>15</v>
      </c>
      <c r="AO5" s="535">
        <v>15</v>
      </c>
      <c r="AP5" s="535">
        <v>15</v>
      </c>
      <c r="AQ5" s="535">
        <v>15</v>
      </c>
      <c r="AR5" s="535">
        <v>15</v>
      </c>
      <c r="AS5" s="535">
        <v>15</v>
      </c>
      <c r="AT5" s="535">
        <v>15</v>
      </c>
      <c r="AU5" s="535">
        <v>15</v>
      </c>
      <c r="AV5" s="535">
        <v>15</v>
      </c>
      <c r="AW5" s="535">
        <v>15</v>
      </c>
      <c r="AX5" s="535">
        <v>15</v>
      </c>
      <c r="AY5" s="535">
        <v>15</v>
      </c>
      <c r="AZ5" s="535">
        <v>15</v>
      </c>
      <c r="BA5" s="535">
        <v>15</v>
      </c>
      <c r="BB5" s="535">
        <v>15</v>
      </c>
      <c r="BC5" s="535">
        <v>15</v>
      </c>
      <c r="BD5" s="535">
        <v>15</v>
      </c>
      <c r="BE5" s="535">
        <v>15</v>
      </c>
      <c r="BF5" s="535">
        <v>15</v>
      </c>
      <c r="BG5" s="535">
        <v>3</v>
      </c>
      <c r="BI5" s="899"/>
      <c r="BJ5" s="899"/>
      <c r="BK5" s="899"/>
    </row>
    <row r="6" spans="1:65" ht="11.25" hidden="1" customHeight="1">
      <c r="A6" s="41" t="s">
        <v>350</v>
      </c>
      <c r="AE6" s="41">
        <f>god-2</f>
        <v>2024</v>
      </c>
      <c r="AF6" s="41">
        <f>god-2</f>
        <v>2024</v>
      </c>
      <c r="AG6" s="41">
        <f>god-2</f>
        <v>2024</v>
      </c>
      <c r="AH6" s="41">
        <f>god-2</f>
        <v>2024</v>
      </c>
      <c r="AI6" s="41">
        <f>god-1</f>
        <v>2025</v>
      </c>
      <c r="AJ6" s="41" cm="1">
        <f t="array" ref="AJ6">god</f>
        <v>2026</v>
      </c>
      <c r="AK6" s="41" cm="1">
        <f t="array" ref="AK6">god</f>
        <v>2026</v>
      </c>
      <c r="AL6" s="41" cm="1">
        <f t="array" ref="AL6">god</f>
        <v>2026</v>
      </c>
      <c r="AM6" s="41" cm="1">
        <f t="array" ref="AM6">god</f>
        <v>2026</v>
      </c>
      <c r="AN6" s="41" cm="1">
        <f t="array" ref="AN6">god</f>
        <v>2026</v>
      </c>
      <c r="AO6" s="41">
        <f>god+1</f>
        <v>2027</v>
      </c>
      <c r="AP6" s="41">
        <f>god+2</f>
        <v>2028</v>
      </c>
      <c r="AQ6" s="41">
        <f>god+3</f>
        <v>2029</v>
      </c>
      <c r="AR6" s="41">
        <f>god+4</f>
        <v>2030</v>
      </c>
      <c r="AS6" s="41">
        <f>god+5</f>
        <v>2031</v>
      </c>
      <c r="AT6" s="41">
        <f>god+6</f>
        <v>2032</v>
      </c>
      <c r="AU6" s="41">
        <f>god+7</f>
        <v>2033</v>
      </c>
      <c r="AV6" s="41">
        <f>god+8</f>
        <v>2034</v>
      </c>
      <c r="AW6" s="41">
        <f>god+9</f>
        <v>2035</v>
      </c>
      <c r="AX6" s="41">
        <f>god+1</f>
        <v>2027</v>
      </c>
      <c r="AY6" s="41">
        <f>god+2</f>
        <v>2028</v>
      </c>
      <c r="AZ6" s="41">
        <f>god+3</f>
        <v>2029</v>
      </c>
      <c r="BA6" s="41">
        <f>god+4</f>
        <v>2030</v>
      </c>
      <c r="BB6" s="41">
        <f>god+5</f>
        <v>2031</v>
      </c>
      <c r="BC6" s="41">
        <f>god+6</f>
        <v>2032</v>
      </c>
      <c r="BD6" s="41">
        <f>god+7</f>
        <v>2033</v>
      </c>
      <c r="BE6" s="41">
        <f>god+8</f>
        <v>2034</v>
      </c>
      <c r="BF6" s="41">
        <f>god+9</f>
        <v>2035</v>
      </c>
    </row>
    <row r="7" spans="1:65" ht="11.25" hidden="1" customHeight="1">
      <c r="A7" s="41" t="s">
        <v>351</v>
      </c>
      <c r="AE7" s="41" t="str" cm="1">
        <f t="array" ref="AE7">AE25</f>
        <v>Принято органом регулирования</v>
      </c>
      <c r="AF7" s="41" t="str" cm="1">
        <f t="array" ref="AF7">AF25</f>
        <v>Факт по данным организации</v>
      </c>
      <c r="AG7" s="41" t="str" cm="1">
        <f t="array" ref="AG7">AG25</f>
        <v>Факт, принятый органом регулирования</v>
      </c>
      <c r="AH7" s="41" t="s">
        <v>354</v>
      </c>
      <c r="AI7" s="41" t="str" cm="1">
        <f t="array" ref="AI7">AI25</f>
        <v>Принято органом регулирования</v>
      </c>
      <c r="AJ7" s="41" t="str" cm="1">
        <f t="array" ref="AJ7">AJ25</f>
        <v>Предложение организации</v>
      </c>
      <c r="AK7" s="41" t="str" cm="1">
        <f t="array" ref="AK7">AK25</f>
        <v>Принято органом регулирования</v>
      </c>
      <c r="AL7" s="41" t="str" cm="1">
        <f t="array" ref="AL7">AL25</f>
        <v>% роста / снижения</v>
      </c>
      <c r="AM7" s="41" t="str" cm="1">
        <f t="array" ref="AM7">AM25</f>
        <v>Отклонение (принято органом регулирования - заявлено организацией)</v>
      </c>
      <c r="AN7" s="41" t="s">
        <v>354</v>
      </c>
      <c r="AO7" s="41" t="str" cm="1">
        <f t="array" ref="AO7">AO25</f>
        <v>Предложение организации</v>
      </c>
      <c r="AP7" s="41" t="str" cm="1">
        <f t="array" ref="AP7">AP25</f>
        <v>Предложение организации</v>
      </c>
      <c r="AQ7" s="41" t="str" cm="1">
        <f t="array" ref="AQ7">AQ25</f>
        <v>Предложение организации</v>
      </c>
      <c r="AR7" s="41" t="str" cm="1">
        <f t="array" ref="AR7">AR25</f>
        <v>Предложение организации</v>
      </c>
      <c r="AS7" s="41" t="str" cm="1">
        <f t="array" ref="AS7">AS25</f>
        <v>Предложение организации</v>
      </c>
      <c r="AT7" s="41" t="str" cm="1">
        <f t="array" ref="AT7">AT25</f>
        <v>Предложение организации</v>
      </c>
      <c r="AU7" s="41" t="str" cm="1">
        <f t="array" ref="AU7">AU25</f>
        <v>Предложение организации</v>
      </c>
      <c r="AV7" s="41" t="str" cm="1">
        <f t="array" ref="AV7">AV25</f>
        <v>Предложение организации</v>
      </c>
      <c r="AW7" s="41" t="str" cm="1">
        <f t="array" ref="AW7">AW25</f>
        <v>Предложение организации</v>
      </c>
      <c r="AX7" s="41" t="str" cm="1">
        <f t="array" ref="AX7">AX25</f>
        <v>Принято органом регулирования</v>
      </c>
      <c r="AY7" s="41" t="str" cm="1">
        <f t="array" ref="AY7">AY25</f>
        <v>Принято органом регулирования</v>
      </c>
      <c r="AZ7" s="41" t="str" cm="1">
        <f t="array" ref="AZ7">AZ25</f>
        <v>Принято органом регулирования</v>
      </c>
      <c r="BA7" s="41" t="str" cm="1">
        <f t="array" ref="BA7">BA25</f>
        <v>Принято органом регулирования</v>
      </c>
      <c r="BB7" s="41" t="str" cm="1">
        <f t="array" ref="BB7">BB25</f>
        <v>Принято органом регулирования</v>
      </c>
      <c r="BC7" s="41" t="str" cm="1">
        <f t="array" ref="BC7">BC25</f>
        <v>Принято органом регулирования</v>
      </c>
      <c r="BD7" s="41" t="str" cm="1">
        <f t="array" ref="BD7">BD25</f>
        <v>Принято органом регулирования</v>
      </c>
      <c r="BE7" s="41" t="str" cm="1">
        <f t="array" ref="BE7">BE25</f>
        <v>Принято органом регулирования</v>
      </c>
      <c r="BF7" s="41" t="str" cm="1">
        <f t="array" ref="BF7">BF25</f>
        <v>Принято органом регулирования</v>
      </c>
    </row>
    <row r="8" spans="1:65" ht="11.25" hidden="1" customHeight="1">
      <c r="AE8" s="41" t="str">
        <f t="shared" ref="AE8:BF8" si="1">AE6&amp;AE7</f>
        <v>2024Принято органом регулирования</v>
      </c>
      <c r="AF8" s="41" t="str">
        <f t="shared" si="1"/>
        <v>2024Факт по данным организации</v>
      </c>
      <c r="AG8" s="41" t="str">
        <f t="shared" si="1"/>
        <v>2024Факт, принятый органом регулирования</v>
      </c>
      <c r="AH8" s="41" t="str">
        <f t="shared" si="1"/>
        <v>2024Не определено</v>
      </c>
      <c r="AI8" s="41" t="str">
        <f t="shared" si="1"/>
        <v>2025Принято органом регулирования</v>
      </c>
      <c r="AJ8" s="41" t="str">
        <f t="shared" si="1"/>
        <v>2026Предложение организации</v>
      </c>
      <c r="AK8" s="41" t="str">
        <f t="shared" si="1"/>
        <v>2026Принято органом регулирования</v>
      </c>
      <c r="AL8" s="41" t="str">
        <f t="shared" si="1"/>
        <v>2026% роста / снижения</v>
      </c>
      <c r="AM8" s="41" t="str">
        <f t="shared" si="1"/>
        <v>2026Отклонение (принято органом регулирования - заявлено организацией)</v>
      </c>
      <c r="AN8" s="41" t="str">
        <f t="shared" si="1"/>
        <v>2026Не определено</v>
      </c>
      <c r="AO8" s="41" t="str">
        <f t="shared" si="1"/>
        <v>2027Предложение организации</v>
      </c>
      <c r="AP8" s="41" t="str">
        <f t="shared" si="1"/>
        <v>2028Предложение организации</v>
      </c>
      <c r="AQ8" s="41" t="str">
        <f t="shared" si="1"/>
        <v>2029Предложение организации</v>
      </c>
      <c r="AR8" s="41" t="str">
        <f t="shared" si="1"/>
        <v>2030Предложение организации</v>
      </c>
      <c r="AS8" s="41" t="str">
        <f t="shared" si="1"/>
        <v>2031Предложение организации</v>
      </c>
      <c r="AT8" s="41" t="str">
        <f t="shared" si="1"/>
        <v>2032Предложение организации</v>
      </c>
      <c r="AU8" s="41" t="str">
        <f t="shared" si="1"/>
        <v>2033Предложение организации</v>
      </c>
      <c r="AV8" s="41" t="str">
        <f t="shared" si="1"/>
        <v>2034Предложение организации</v>
      </c>
      <c r="AW8" s="41" t="str">
        <f t="shared" si="1"/>
        <v>2035Предложение организации</v>
      </c>
      <c r="AX8" s="41" t="str">
        <f t="shared" si="1"/>
        <v>2027Принято органом регулирования</v>
      </c>
      <c r="AY8" s="41" t="str">
        <f t="shared" si="1"/>
        <v>2028Принято органом регулирования</v>
      </c>
      <c r="AZ8" s="41" t="str">
        <f t="shared" si="1"/>
        <v>2029Принято органом регулирования</v>
      </c>
      <c r="BA8" s="41" t="str">
        <f t="shared" si="1"/>
        <v>2030Принято органом регулирования</v>
      </c>
      <c r="BB8" s="41" t="str">
        <f t="shared" si="1"/>
        <v>2031Принято органом регулирования</v>
      </c>
      <c r="BC8" s="41" t="str">
        <f t="shared" si="1"/>
        <v>2032Принято органом регулирования</v>
      </c>
      <c r="BD8" s="41" t="str">
        <f t="shared" si="1"/>
        <v>2033Принято органом регулирования</v>
      </c>
      <c r="BE8" s="41" t="str">
        <f t="shared" si="1"/>
        <v>2034Принято органом регулирования</v>
      </c>
      <c r="BF8" s="41" t="str">
        <f t="shared" si="1"/>
        <v>2035Принято органом регулирования</v>
      </c>
    </row>
    <row r="9" spans="1:65" s="1126" customFormat="1" ht="11.25" hidden="1" customHeight="1">
      <c r="A9" s="899" t="s">
        <v>355</v>
      </c>
      <c r="B9" s="911"/>
      <c r="F9" s="912"/>
      <c r="AB9" s="902"/>
      <c r="AC9" s="913"/>
      <c r="AE9" s="899" cm="1">
        <f t="array" ref="AE9">AE6</f>
        <v>2024</v>
      </c>
      <c r="AF9" s="899" cm="1">
        <f t="array" ref="AF9">AF6</f>
        <v>2024</v>
      </c>
      <c r="AG9" s="899" cm="1">
        <f t="array" ref="AG9">AG6</f>
        <v>2024</v>
      </c>
      <c r="AH9" s="899" cm="1">
        <f t="array" ref="AH9">AH6</f>
        <v>2024</v>
      </c>
      <c r="AI9" s="899" cm="1">
        <f t="array" ref="AI9">AI6</f>
        <v>2025</v>
      </c>
      <c r="AJ9" s="899" cm="1">
        <f t="array" ref="AJ9">AJ6</f>
        <v>2026</v>
      </c>
      <c r="AK9" s="899" cm="1">
        <f t="array" ref="AK9">AK6</f>
        <v>2026</v>
      </c>
      <c r="AL9" s="899" cm="1">
        <f t="array" ref="AL9">AL6</f>
        <v>2026</v>
      </c>
      <c r="AM9" s="899" cm="1">
        <f t="array" ref="AM9">AM6</f>
        <v>2026</v>
      </c>
      <c r="AN9" s="899" cm="1">
        <f t="array" ref="AN9">AN6</f>
        <v>2026</v>
      </c>
      <c r="AO9" s="899" cm="1">
        <f t="array" ref="AO9">AO6</f>
        <v>2027</v>
      </c>
      <c r="AP9" s="899" cm="1">
        <f t="array" ref="AP9">AP6</f>
        <v>2028</v>
      </c>
      <c r="AQ9" s="899" cm="1">
        <f t="array" ref="AQ9">AQ6</f>
        <v>2029</v>
      </c>
      <c r="AR9" s="899" cm="1">
        <f t="array" ref="AR9">AR6</f>
        <v>2030</v>
      </c>
      <c r="AS9" s="899" cm="1">
        <f t="array" ref="AS9">AS6</f>
        <v>2031</v>
      </c>
      <c r="AT9" s="899" cm="1">
        <f t="array" ref="AT9">AT6</f>
        <v>2032</v>
      </c>
      <c r="AU9" s="899" cm="1">
        <f t="array" ref="AU9">AU6</f>
        <v>2033</v>
      </c>
      <c r="AV9" s="899" cm="1">
        <f t="array" ref="AV9">AV6</f>
        <v>2034</v>
      </c>
      <c r="AW9" s="899" cm="1">
        <f t="array" ref="AW9">AW6</f>
        <v>2035</v>
      </c>
      <c r="AX9" s="899" cm="1">
        <f t="array" ref="AX9">AX6</f>
        <v>2027</v>
      </c>
      <c r="AY9" s="899" cm="1">
        <f t="array" ref="AY9">AY6</f>
        <v>2028</v>
      </c>
      <c r="AZ9" s="899" cm="1">
        <f t="array" ref="AZ9">AZ6</f>
        <v>2029</v>
      </c>
      <c r="BA9" s="899" cm="1">
        <f t="array" ref="BA9">BA6</f>
        <v>2030</v>
      </c>
      <c r="BB9" s="899" cm="1">
        <f t="array" ref="BB9">BB6</f>
        <v>2031</v>
      </c>
      <c r="BC9" s="899" cm="1">
        <f t="array" ref="BC9">BC6</f>
        <v>2032</v>
      </c>
      <c r="BD9" s="899" cm="1">
        <f t="array" ref="BD9">BD6</f>
        <v>2033</v>
      </c>
      <c r="BE9" s="899" cm="1">
        <f t="array" ref="BE9">BE6</f>
        <v>2034</v>
      </c>
      <c r="BF9" s="899" cm="1">
        <f t="array" ref="BF9">BF6</f>
        <v>2035</v>
      </c>
      <c r="BL9" s="535"/>
      <c r="BM9" s="535"/>
    </row>
    <row r="10" spans="1:65" s="1126" customFormat="1" ht="11.25" hidden="1" customHeight="1">
      <c r="A10" s="899" t="s">
        <v>356</v>
      </c>
      <c r="B10" s="911"/>
      <c r="F10" s="912"/>
      <c r="AB10" s="902"/>
      <c r="AC10" s="913"/>
      <c r="AE10" s="899" t="str" cm="1">
        <f t="array" ref="AE10">AE25</f>
        <v>Принято органом регулирования</v>
      </c>
      <c r="AF10" s="899" t="str" cm="1">
        <f t="array" ref="AF10">AF25</f>
        <v>Факт по данным организации</v>
      </c>
      <c r="AG10" s="899" t="str" cm="1">
        <f t="array" ref="AG10">AG25</f>
        <v>Факт, принятый органом регулирования</v>
      </c>
      <c r="AI10" s="899" t="str" cm="1">
        <f t="array" ref="AI10">AI25</f>
        <v>Принято органом регулирования</v>
      </c>
      <c r="AJ10" s="899" t="str" cm="1">
        <f t="array" ref="AJ10">AJ25</f>
        <v>Предложение организации</v>
      </c>
      <c r="AK10" s="899" t="str" cm="1">
        <f t="array" ref="AK10">AK25</f>
        <v>Принято органом регулирования</v>
      </c>
      <c r="AL10" s="899" t="str" cm="1">
        <f t="array" ref="AL10">AL25</f>
        <v>% роста / снижения</v>
      </c>
      <c r="AM10" s="899" t="str" cm="1">
        <f t="array" ref="AM10">AM25</f>
        <v>Отклонение (принято органом регулирования - заявлено организацией)</v>
      </c>
      <c r="AO10" s="899" t="str" cm="1">
        <f t="array" ref="AO10">AO25</f>
        <v>Предложение организации</v>
      </c>
      <c r="AP10" s="899" t="str" cm="1">
        <f t="array" ref="AP10">AP25</f>
        <v>Предложение организации</v>
      </c>
      <c r="AQ10" s="899" t="str" cm="1">
        <f t="array" ref="AQ10">AQ25</f>
        <v>Предложение организации</v>
      </c>
      <c r="AR10" s="899" t="str" cm="1">
        <f t="array" ref="AR10">AR25</f>
        <v>Предложение организации</v>
      </c>
      <c r="AS10" s="899" t="str" cm="1">
        <f t="array" ref="AS10">AS25</f>
        <v>Предложение организации</v>
      </c>
      <c r="AT10" s="899" t="str" cm="1">
        <f t="array" ref="AT10">AT25</f>
        <v>Предложение организации</v>
      </c>
      <c r="AU10" s="899" t="str" cm="1">
        <f t="array" ref="AU10">AU25</f>
        <v>Предложение организации</v>
      </c>
      <c r="AV10" s="899" t="str" cm="1">
        <f t="array" ref="AV10">AV25</f>
        <v>Предложение организации</v>
      </c>
      <c r="AW10" s="899" t="str" cm="1">
        <f t="array" ref="AW10">AW25</f>
        <v>Предложение организации</v>
      </c>
      <c r="AX10" s="899" t="str" cm="1">
        <f t="array" ref="AX10">AX25</f>
        <v>Принято органом регулирования</v>
      </c>
      <c r="AY10" s="899" t="str" cm="1">
        <f t="array" ref="AY10">AY25</f>
        <v>Принято органом регулирования</v>
      </c>
      <c r="AZ10" s="899" t="str" cm="1">
        <f t="array" ref="AZ10">AZ25</f>
        <v>Принято органом регулирования</v>
      </c>
      <c r="BA10" s="899" t="str" cm="1">
        <f t="array" ref="BA10">BA25</f>
        <v>Принято органом регулирования</v>
      </c>
      <c r="BB10" s="899" t="str" cm="1">
        <f t="array" ref="BB10">BB25</f>
        <v>Принято органом регулирования</v>
      </c>
      <c r="BC10" s="899" t="str" cm="1">
        <f t="array" ref="BC10">BC25</f>
        <v>Принято органом регулирования</v>
      </c>
      <c r="BD10" s="899" t="str" cm="1">
        <f t="array" ref="BD10">BD25</f>
        <v>Принято органом регулирования</v>
      </c>
      <c r="BE10" s="899" t="str" cm="1">
        <f t="array" ref="BE10">BE25</f>
        <v>Принято органом регулирования</v>
      </c>
      <c r="BF10" s="899" t="str" cm="1">
        <f t="array" ref="BF10">BF25</f>
        <v>Принято органом регулирования</v>
      </c>
      <c r="BL10" s="535"/>
      <c r="BM10" s="535"/>
    </row>
    <row r="11" spans="1:65" s="1126" customFormat="1" ht="11.25" hidden="1" customHeight="1">
      <c r="A11" s="899" t="s">
        <v>357</v>
      </c>
      <c r="B11" s="911"/>
      <c r="F11" s="912"/>
      <c r="AB11" s="902"/>
      <c r="AC11" s="913"/>
      <c r="AH11" s="899" t="str" cm="1">
        <f t="array" ref="AH11">AH25</f>
        <v>Комментарии</v>
      </c>
      <c r="AN11" s="899" t="str" cm="1">
        <f t="array" ref="AN11">AN25</f>
        <v>Комментарии</v>
      </c>
      <c r="BL11" s="535"/>
      <c r="BM11" s="535"/>
    </row>
    <row r="12" spans="1:65" s="1126" customFormat="1" ht="11.25" hidden="1" customHeight="1">
      <c r="A12" s="899" t="s">
        <v>329</v>
      </c>
      <c r="B12" s="911"/>
      <c r="F12" s="912"/>
      <c r="AB12" s="902"/>
      <c r="AC12" s="913" t="s">
        <v>316</v>
      </c>
      <c r="BL12" s="535"/>
      <c r="BM12" s="535"/>
    </row>
    <row r="13" spans="1:65" ht="11.25" hidden="1" customHeight="1"/>
    <row r="14" spans="1:65" ht="11.25" hidden="1" customHeight="1"/>
    <row r="15" spans="1:65" ht="11.25" hidden="1" customHeight="1"/>
    <row r="16" spans="1:65" ht="11.25" hidden="1" customHeight="1"/>
    <row r="17" spans="1:65" ht="11.25" hidden="1" customHeight="1"/>
    <row r="18" spans="1:65" ht="11.25" hidden="1" customHeight="1">
      <c r="A18" s="41" t="s">
        <v>358</v>
      </c>
      <c r="AC18" s="59" t="s">
        <v>416</v>
      </c>
    </row>
    <row r="19" spans="1:65" ht="11.25" hidden="1" customHeight="1"/>
    <row r="20" spans="1:65" ht="11.25" hidden="1" customHeight="1"/>
    <row r="21" spans="1:65" ht="14.65" customHeight="1">
      <c r="E21" s="535">
        <v>15</v>
      </c>
      <c r="AA21" s="574"/>
      <c r="AC21" s="3" t="str" cm="1">
        <f t="array" ref="AC21">tpl_title</f>
        <v>Кемеровская область / 2026 / ОАО «СКЭК» (ИНН:4205153492, КПП:420501001) / ДПР: 2026-2026</v>
      </c>
      <c r="AD21" s="44"/>
      <c r="AE21" s="45"/>
    </row>
    <row r="22" spans="1:65" ht="21.95" customHeight="1">
      <c r="E22" s="535">
        <v>22.5</v>
      </c>
      <c r="AB22" s="230" t="s">
        <v>40</v>
      </c>
      <c r="AC22" s="112"/>
      <c r="AD22" s="112"/>
      <c r="AE22" s="112"/>
      <c r="AF22" s="112"/>
      <c r="AG22" s="112"/>
      <c r="AH22" s="112"/>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row>
    <row r="23" spans="1:65" s="1323" customFormat="1" ht="10.9" customHeight="1">
      <c r="B23" s="345"/>
      <c r="E23" s="546">
        <v>11.25</v>
      </c>
      <c r="F23" s="663"/>
      <c r="AA23" s="46"/>
      <c r="AB23" s="47"/>
      <c r="AC23" s="48"/>
      <c r="AD23" s="49"/>
      <c r="AE23" s="50"/>
      <c r="BI23" s="914"/>
      <c r="BJ23" s="914"/>
      <c r="BK23" s="914"/>
      <c r="BL23" s="546"/>
      <c r="BM23" s="546"/>
    </row>
    <row r="24" spans="1:65" ht="14.65" customHeight="1">
      <c r="E24" s="535">
        <v>15</v>
      </c>
      <c r="AB24" s="1756" t="s">
        <v>21</v>
      </c>
      <c r="AC24" s="1756" t="s">
        <v>416</v>
      </c>
      <c r="AD24" s="1756" t="s">
        <v>360</v>
      </c>
      <c r="AE24" s="12" t="str">
        <f>god-2&amp;" год"</f>
        <v>2024 год</v>
      </c>
      <c r="AF24" s="1020" t="str">
        <f>god-2&amp;" год"</f>
        <v>2024 год</v>
      </c>
      <c r="AG24" s="12" t="str">
        <f>god-2&amp;" год"</f>
        <v>2024 год</v>
      </c>
      <c r="AH24" s="12" t="str">
        <f>god-2&amp;" год"</f>
        <v>2024 год</v>
      </c>
      <c r="AI24" s="12" t="str">
        <f>god-1&amp;" год"</f>
        <v>2025 год</v>
      </c>
      <c r="AJ24" s="1020" t="str">
        <f>god&amp;" год"</f>
        <v>2026 год</v>
      </c>
      <c r="AK24" s="12" t="str">
        <f>god&amp;" год"</f>
        <v>2026 год</v>
      </c>
      <c r="AL24" s="12" t="str">
        <f>god&amp;" год"</f>
        <v>2026 год</v>
      </c>
      <c r="AM24" s="12" t="str">
        <f>god&amp;" год"</f>
        <v>2026 год</v>
      </c>
      <c r="AN24" s="12" t="str">
        <f>god&amp;" год"</f>
        <v>2026 год</v>
      </c>
      <c r="AO24" s="1020" t="str">
        <f>god+1&amp;" год"</f>
        <v>2027 год</v>
      </c>
      <c r="AP24" s="1020" t="str">
        <f>god+2&amp;" год"</f>
        <v>2028 год</v>
      </c>
      <c r="AQ24" s="1020" t="str">
        <f>god+3&amp;" год"</f>
        <v>2029 год</v>
      </c>
      <c r="AR24" s="1020" t="str">
        <f>god+4&amp;" год"</f>
        <v>2030 год</v>
      </c>
      <c r="AS24" s="1020" t="str">
        <f>god+5&amp;" год"</f>
        <v>2031 год</v>
      </c>
      <c r="AT24" s="1020" t="str">
        <f>god+6&amp;" год"</f>
        <v>2032 год</v>
      </c>
      <c r="AU24" s="1020" t="str">
        <f>god+7&amp;" год"</f>
        <v>2033 год</v>
      </c>
      <c r="AV24" s="1020" t="str">
        <f>god+8&amp;" год"</f>
        <v>2034 год</v>
      </c>
      <c r="AW24" s="1020"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c r="E25" s="535">
        <v>69</v>
      </c>
      <c r="F25" s="663" t="s">
        <v>362</v>
      </c>
      <c r="AB25" s="1756"/>
      <c r="AC25" s="1756"/>
      <c r="AD25" s="1756"/>
      <c r="AE25" s="11" t="s">
        <v>352</v>
      </c>
      <c r="AF25" s="1021" t="s">
        <v>417</v>
      </c>
      <c r="AG25" s="12" t="s">
        <v>418</v>
      </c>
      <c r="AH25" s="12" t="s">
        <v>361</v>
      </c>
      <c r="AI25" s="12" t="s">
        <v>352</v>
      </c>
      <c r="AJ25" s="1019" t="s">
        <v>353</v>
      </c>
      <c r="AK25" s="12" t="s">
        <v>352</v>
      </c>
      <c r="AL25" s="109" t="s">
        <v>419</v>
      </c>
      <c r="AM25" s="109" t="s">
        <v>420</v>
      </c>
      <c r="AN25" s="12" t="s">
        <v>361</v>
      </c>
      <c r="AO25" s="1020" t="s">
        <v>353</v>
      </c>
      <c r="AP25" s="1020" t="s">
        <v>353</v>
      </c>
      <c r="AQ25" s="1020" t="s">
        <v>353</v>
      </c>
      <c r="AR25" s="1020" t="s">
        <v>353</v>
      </c>
      <c r="AS25" s="1020" t="s">
        <v>353</v>
      </c>
      <c r="AT25" s="1020" t="s">
        <v>353</v>
      </c>
      <c r="AU25" s="1020" t="s">
        <v>353</v>
      </c>
      <c r="AV25" s="1020" t="s">
        <v>353</v>
      </c>
      <c r="AW25" s="1020" t="s">
        <v>353</v>
      </c>
      <c r="AX25" s="12" t="s">
        <v>352</v>
      </c>
      <c r="AY25" s="12" t="s">
        <v>352</v>
      </c>
      <c r="AZ25" s="12" t="s">
        <v>352</v>
      </c>
      <c r="BA25" s="12" t="s">
        <v>352</v>
      </c>
      <c r="BB25" s="12" t="s">
        <v>352</v>
      </c>
      <c r="BC25" s="12" t="s">
        <v>352</v>
      </c>
      <c r="BD25" s="12" t="s">
        <v>352</v>
      </c>
      <c r="BE25" s="12" t="s">
        <v>352</v>
      </c>
      <c r="BF25" s="12" t="s">
        <v>352</v>
      </c>
    </row>
    <row r="26" spans="1:65" s="1327" customFormat="1" ht="19.5" customHeight="1">
      <c r="A26" s="415"/>
      <c r="B26" s="575"/>
      <c r="C26" s="415"/>
      <c r="D26" s="415"/>
      <c r="E26" s="576">
        <v>20</v>
      </c>
      <c r="F26" s="661" t="s">
        <v>421</v>
      </c>
      <c r="G26" s="415"/>
      <c r="H26" s="415"/>
      <c r="I26" s="415"/>
      <c r="J26" s="415"/>
      <c r="K26" s="415"/>
      <c r="L26" s="415"/>
      <c r="M26" s="415"/>
      <c r="N26" s="415"/>
      <c r="O26" s="415"/>
      <c r="P26" s="415"/>
      <c r="Q26" s="415"/>
      <c r="R26" s="415"/>
      <c r="S26" s="415"/>
      <c r="T26" s="415"/>
      <c r="U26" s="415"/>
      <c r="V26" s="415"/>
      <c r="W26" s="415"/>
      <c r="X26" s="415"/>
      <c r="Y26" s="415"/>
      <c r="Z26" s="415"/>
      <c r="AB26" s="9"/>
      <c r="AC26" s="490" t="s">
        <v>422</v>
      </c>
      <c r="AD26" s="55" t="s">
        <v>423</v>
      </c>
      <c r="AE26" s="491">
        <v>0.2</v>
      </c>
      <c r="AF26" s="491">
        <v>0.2</v>
      </c>
      <c r="AG26" s="491">
        <v>0.2</v>
      </c>
      <c r="AH26" s="852"/>
      <c r="AI26" s="491">
        <v>0.2</v>
      </c>
      <c r="AJ26" s="491">
        <v>0.22</v>
      </c>
      <c r="AK26" s="491">
        <v>0.22</v>
      </c>
      <c r="AL26" s="197">
        <f>IF(AI26&lt;&gt;0,AK26/AI26,0)</f>
        <v>1.0999999999999999</v>
      </c>
      <c r="AM26" s="196">
        <f>AK26-AJ26</f>
        <v>0</v>
      </c>
      <c r="AN26" s="852"/>
      <c r="AO26" s="1359"/>
      <c r="AP26" s="1359"/>
      <c r="AQ26" s="1359"/>
      <c r="AR26" s="1359"/>
      <c r="AS26" s="1359"/>
      <c r="AT26" s="1359"/>
      <c r="AU26" s="1359"/>
      <c r="AV26" s="1359"/>
      <c r="AW26" s="1359"/>
      <c r="AX26" s="1359"/>
      <c r="AY26" s="1359"/>
      <c r="AZ26" s="1359"/>
      <c r="BA26" s="1359"/>
      <c r="BB26" s="1359"/>
      <c r="BC26" s="1359"/>
      <c r="BD26" s="1359"/>
      <c r="BE26" s="1359"/>
      <c r="BF26" s="1359"/>
      <c r="BI26" s="906"/>
      <c r="BJ26" s="906"/>
      <c r="BK26" s="906"/>
      <c r="BL26" s="541"/>
      <c r="BM26" s="541"/>
    </row>
    <row r="27" spans="1:65" s="1327" customFormat="1" ht="11.25" hidden="1" customHeight="1">
      <c r="A27" s="415"/>
      <c r="B27" s="575"/>
      <c r="C27" s="415"/>
      <c r="D27" s="415"/>
      <c r="E27" s="780">
        <v>0</v>
      </c>
      <c r="F27" s="661"/>
      <c r="G27" s="415"/>
      <c r="H27" s="415"/>
      <c r="I27" s="415"/>
      <c r="J27" s="415"/>
      <c r="K27" s="415"/>
      <c r="L27" s="415"/>
      <c r="M27" s="415"/>
      <c r="N27" s="415"/>
      <c r="O27" s="415"/>
      <c r="P27" s="415"/>
      <c r="Q27" s="415"/>
      <c r="R27" s="415"/>
      <c r="S27" s="415"/>
      <c r="T27" s="415"/>
      <c r="U27" s="415"/>
      <c r="V27" s="415"/>
      <c r="W27" s="415"/>
      <c r="X27" s="415"/>
      <c r="Y27" s="415"/>
      <c r="Z27" s="415"/>
      <c r="AB27" s="642"/>
      <c r="AC27" s="643"/>
      <c r="AD27" s="428"/>
      <c r="AE27" s="854"/>
      <c r="AF27" s="854"/>
      <c r="AG27" s="854"/>
      <c r="AH27" s="854"/>
      <c r="AI27" s="854"/>
      <c r="AJ27" s="854"/>
      <c r="AK27" s="854"/>
      <c r="AL27" s="854"/>
      <c r="AM27" s="854"/>
      <c r="AN27" s="854"/>
      <c r="AO27" s="854"/>
      <c r="AP27" s="854"/>
      <c r="AQ27" s="854"/>
      <c r="AR27" s="854"/>
      <c r="AS27" s="854"/>
      <c r="AT27" s="854"/>
      <c r="AU27" s="854"/>
      <c r="AV27" s="854"/>
      <c r="AW27" s="854"/>
      <c r="AX27" s="854"/>
      <c r="AY27" s="854"/>
      <c r="AZ27" s="854"/>
      <c r="BA27" s="854"/>
      <c r="BB27" s="854"/>
      <c r="BC27" s="854"/>
      <c r="BD27" s="854"/>
      <c r="BE27" s="854"/>
      <c r="BF27" s="854"/>
      <c r="BI27" s="906"/>
      <c r="BJ27" s="906"/>
      <c r="BK27" s="906"/>
      <c r="BL27" s="541"/>
      <c r="BM27" s="541"/>
    </row>
    <row r="28" spans="1:65" s="1079" customFormat="1" ht="14.65" hidden="1" customHeight="1">
      <c r="B28" s="346"/>
      <c r="E28" s="547">
        <v>15</v>
      </c>
      <c r="F28" s="663" cm="1">
        <f t="array" ref="F28">Y28</f>
        <v>0</v>
      </c>
      <c r="U28" s="381" t="b">
        <f>Y28&gt;0</f>
        <v>0</v>
      </c>
      <c r="W28" s="63" t="s">
        <v>270</v>
      </c>
      <c r="Y28" s="1732">
        <v>0</v>
      </c>
      <c r="Z28" s="1757"/>
      <c r="AB28" s="102" t="str" cm="1">
        <f t="array" ref="AB28">INDEX('Общие сведения'!$AG$179:$AG$208,MATCH($Y28,'Общие сведения'!$Z$179:$Z$208,0))</f>
        <v xml:space="preserve">Тариф 0 () - </v>
      </c>
      <c r="AC28" s="99"/>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I28" s="915"/>
      <c r="BJ28" s="915"/>
      <c r="BK28" s="915"/>
      <c r="BL28" s="547"/>
      <c r="BM28" s="547"/>
    </row>
    <row r="29" spans="1:65" ht="14.65" hidden="1" customHeight="1">
      <c r="E29" s="535">
        <v>15</v>
      </c>
      <c r="F29" s="3" cm="1">
        <f t="array" aca="1" ref="F29" ca="1">OFFSET(E29,-1,1)</f>
        <v>0</v>
      </c>
      <c r="G29" s="41" t="s">
        <v>424</v>
      </c>
      <c r="U29" s="381" t="b" cm="1">
        <f t="array" ref="U29">U28</f>
        <v>0</v>
      </c>
      <c r="Y29" s="1732"/>
      <c r="Z29" s="1757"/>
      <c r="AB29" s="186"/>
      <c r="AC29" s="187" t="s">
        <v>425</v>
      </c>
      <c r="AD29" s="188"/>
      <c r="AE29" s="188"/>
      <c r="AF29" s="188"/>
      <c r="AG29" s="188"/>
      <c r="AH29" s="188"/>
      <c r="AI29" s="219">
        <f>(1-AI30/100)*(1+AI31/100)*(1+AI33/100)</f>
        <v>1</v>
      </c>
      <c r="AJ29" s="219">
        <f>(1-AJ30/100)*(1+AJ31/100)*(1+AJ33/100)</f>
        <v>1</v>
      </c>
      <c r="AK29" s="219">
        <f>(1-AK30/100)*(1+AK31/100)*(1+AK33/100)</f>
        <v>1</v>
      </c>
      <c r="AL29" s="188"/>
      <c r="AM29" s="188"/>
      <c r="AN29" s="188"/>
      <c r="AO29" s="219">
        <f t="shared" ref="AO29:BF29" si="2">(1-AO30/100)*(1+AO31/100)*(1+AO33/100)</f>
        <v>1</v>
      </c>
      <c r="AP29" s="219">
        <f t="shared" si="2"/>
        <v>1</v>
      </c>
      <c r="AQ29" s="219">
        <f t="shared" si="2"/>
        <v>1</v>
      </c>
      <c r="AR29" s="219">
        <f t="shared" si="2"/>
        <v>1</v>
      </c>
      <c r="AS29" s="219">
        <f t="shared" si="2"/>
        <v>1</v>
      </c>
      <c r="AT29" s="219">
        <f t="shared" si="2"/>
        <v>1</v>
      </c>
      <c r="AU29" s="219">
        <f t="shared" si="2"/>
        <v>1</v>
      </c>
      <c r="AV29" s="219">
        <f t="shared" si="2"/>
        <v>1</v>
      </c>
      <c r="AW29" s="219">
        <f t="shared" si="2"/>
        <v>1</v>
      </c>
      <c r="AX29" s="219">
        <f t="shared" si="2"/>
        <v>1</v>
      </c>
      <c r="AY29" s="219">
        <f t="shared" si="2"/>
        <v>1</v>
      </c>
      <c r="AZ29" s="219">
        <f t="shared" si="2"/>
        <v>1</v>
      </c>
      <c r="BA29" s="219">
        <f t="shared" si="2"/>
        <v>1</v>
      </c>
      <c r="BB29" s="219">
        <f t="shared" si="2"/>
        <v>1</v>
      </c>
      <c r="BC29" s="219">
        <f t="shared" si="2"/>
        <v>1</v>
      </c>
      <c r="BD29" s="219">
        <f t="shared" si="2"/>
        <v>1</v>
      </c>
      <c r="BE29" s="219">
        <f t="shared" si="2"/>
        <v>1</v>
      </c>
      <c r="BF29" s="219">
        <f t="shared" si="2"/>
        <v>1</v>
      </c>
    </row>
    <row r="30" spans="1:65" ht="21.95" hidden="1" customHeight="1">
      <c r="B30" s="363" t="b">
        <f>method_reg&lt;&gt;"Метод экономически обоснованных расходов"</f>
        <v>0</v>
      </c>
      <c r="E30" s="535">
        <v>22.5</v>
      </c>
      <c r="F30" s="3" cm="1">
        <f t="array" aca="1" ref="F30" ca="1">OFFSET(E30,-1,1)</f>
        <v>0</v>
      </c>
      <c r="G30" s="41" t="s">
        <v>426</v>
      </c>
      <c r="H30" s="41" t="s">
        <v>427</v>
      </c>
      <c r="U30" s="381" t="b" cm="1">
        <f t="array" ref="U30">U29</f>
        <v>0</v>
      </c>
      <c r="Y30" s="1732"/>
      <c r="Z30" s="1757"/>
      <c r="AB30" s="52">
        <v>1</v>
      </c>
      <c r="AC30" s="53" t="s">
        <v>428</v>
      </c>
      <c r="AD30" s="55" t="s">
        <v>423</v>
      </c>
      <c r="AE30" s="1360"/>
      <c r="AF30" s="1360"/>
      <c r="AG30" s="1360"/>
      <c r="AH30" s="1361"/>
      <c r="AI30" s="1360"/>
      <c r="AJ30" s="1360"/>
      <c r="AK30" s="1360"/>
      <c r="AL30" s="197">
        <f>IF(AI30&lt;&gt;0,AK30/AI30,0)</f>
        <v>0</v>
      </c>
      <c r="AM30" s="196">
        <f>AK30-AJ30</f>
        <v>0</v>
      </c>
      <c r="AN30" s="1361"/>
      <c r="AO30" s="1360"/>
      <c r="AP30" s="1360"/>
      <c r="AQ30" s="1360"/>
      <c r="AR30" s="1360"/>
      <c r="AS30" s="1360"/>
      <c r="AT30" s="1360"/>
      <c r="AU30" s="1360"/>
      <c r="AV30" s="1360"/>
      <c r="AW30" s="1360"/>
      <c r="AX30" s="1360"/>
      <c r="AY30" s="1360"/>
      <c r="AZ30" s="1360"/>
      <c r="BA30" s="1360"/>
      <c r="BB30" s="1360"/>
      <c r="BC30" s="1360"/>
      <c r="BD30" s="1360"/>
      <c r="BE30" s="1360"/>
      <c r="BF30" s="1360"/>
      <c r="BI30" s="899" t="s">
        <v>429</v>
      </c>
    </row>
    <row r="31" spans="1:65" ht="14.65" hidden="1" customHeight="1">
      <c r="E31" s="535">
        <v>15</v>
      </c>
      <c r="F31" s="3" cm="1">
        <f t="array" aca="1" ref="F31" ca="1">OFFSET(E31,-1,1)</f>
        <v>0</v>
      </c>
      <c r="G31" s="41" t="s">
        <v>430</v>
      </c>
      <c r="H31" s="41" t="s">
        <v>431</v>
      </c>
      <c r="U31" s="381" t="b" cm="1">
        <f t="array" ref="U31">U30</f>
        <v>0</v>
      </c>
      <c r="Y31" s="1732"/>
      <c r="Z31" s="1757"/>
      <c r="AB31" s="52">
        <f>IF(B30,2,1)</f>
        <v>1</v>
      </c>
      <c r="AC31" s="54" t="s">
        <v>432</v>
      </c>
      <c r="AD31" s="55" t="s">
        <v>423</v>
      </c>
      <c r="AE31" s="1360"/>
      <c r="AF31" s="1360"/>
      <c r="AG31" s="1360"/>
      <c r="AH31" s="1361"/>
      <c r="AI31" s="1360"/>
      <c r="AJ31" s="1360"/>
      <c r="AK31" s="1360"/>
      <c r="AL31" s="197">
        <f>IF(AI31&lt;&gt;0,AK31/AI31,0)</f>
        <v>0</v>
      </c>
      <c r="AM31" s="196">
        <f>AK31-AJ31</f>
        <v>0</v>
      </c>
      <c r="AN31" s="1361"/>
      <c r="AO31" s="1360"/>
      <c r="AP31" s="1360"/>
      <c r="AQ31" s="1360"/>
      <c r="AR31" s="1360"/>
      <c r="AS31" s="1360"/>
      <c r="AT31" s="1360"/>
      <c r="AU31" s="1360"/>
      <c r="AV31" s="1360"/>
      <c r="AW31" s="1360"/>
      <c r="AX31" s="1360"/>
      <c r="AY31" s="1360"/>
      <c r="AZ31" s="1360"/>
      <c r="BA31" s="1360"/>
      <c r="BB31" s="1360"/>
      <c r="BC31" s="1360"/>
      <c r="BD31" s="1360"/>
      <c r="BE31" s="1360"/>
      <c r="BF31" s="1360"/>
      <c r="BI31" s="899" t="s">
        <v>433</v>
      </c>
    </row>
    <row r="32" spans="1:65" ht="14.65" hidden="1" customHeight="1">
      <c r="E32" s="535">
        <v>15</v>
      </c>
      <c r="F32" s="3" cm="1">
        <f t="array" aca="1" ref="F32" ca="1">OFFSET(E32,-1,1)</f>
        <v>0</v>
      </c>
      <c r="H32" s="41" t="s">
        <v>434</v>
      </c>
      <c r="U32" s="381" t="b" cm="1">
        <f t="array" ref="U32">U31</f>
        <v>0</v>
      </c>
      <c r="Y32" s="1732"/>
      <c r="Z32" s="1757"/>
      <c r="AB32" s="52">
        <f>AB31+1</f>
        <v>2</v>
      </c>
      <c r="AC32" s="56" t="s">
        <v>435</v>
      </c>
      <c r="AD32" s="55" t="s">
        <v>423</v>
      </c>
      <c r="AE32" s="1360"/>
      <c r="AF32" s="1360"/>
      <c r="AG32" s="1360"/>
      <c r="AH32" s="1361"/>
      <c r="AI32" s="1360"/>
      <c r="AJ32" s="1360"/>
      <c r="AK32" s="1360"/>
      <c r="AL32" s="197">
        <f>IF(AI32&lt;&gt;0,AK32/AI32,0)</f>
        <v>0</v>
      </c>
      <c r="AM32" s="196">
        <f>AK32-AJ32</f>
        <v>0</v>
      </c>
      <c r="AN32" s="1361"/>
      <c r="AO32" s="1360"/>
      <c r="AP32" s="1360"/>
      <c r="AQ32" s="1360"/>
      <c r="AR32" s="1360"/>
      <c r="AS32" s="1360"/>
      <c r="AT32" s="1360"/>
      <c r="AU32" s="1360"/>
      <c r="AV32" s="1360"/>
      <c r="AW32" s="1360"/>
      <c r="AX32" s="1360"/>
      <c r="AY32" s="1360"/>
      <c r="AZ32" s="1360"/>
      <c r="BA32" s="1360"/>
      <c r="BB32" s="1360"/>
      <c r="BC32" s="1360"/>
      <c r="BD32" s="1360"/>
      <c r="BE32" s="1360"/>
      <c r="BF32" s="1360"/>
      <c r="BI32" s="899" t="s">
        <v>436</v>
      </c>
    </row>
    <row r="33" spans="1:65" ht="14.65" hidden="1" customHeight="1">
      <c r="B33" s="363" t="b">
        <f>method_reg&lt;&gt;"Метод экономически обоснованных расходов"</f>
        <v>0</v>
      </c>
      <c r="E33" s="535">
        <v>15</v>
      </c>
      <c r="F33" s="3" cm="1">
        <f t="array" aca="1" ref="F33" ca="1">OFFSET(E33,-1,1)</f>
        <v>0</v>
      </c>
      <c r="G33" s="41" t="s">
        <v>437</v>
      </c>
      <c r="H33" s="41" t="s">
        <v>438</v>
      </c>
      <c r="U33" s="381" t="b" cm="1">
        <f t="array" ref="U33">U32</f>
        <v>0</v>
      </c>
      <c r="Y33" s="1732"/>
      <c r="Z33" s="1757"/>
      <c r="AB33" s="52">
        <v>4</v>
      </c>
      <c r="AC33" s="54" t="s">
        <v>439</v>
      </c>
      <c r="AD33" s="55" t="s">
        <v>423</v>
      </c>
      <c r="AE33" s="1360"/>
      <c r="AF33" s="1360"/>
      <c r="AG33" s="1360"/>
      <c r="AH33" s="1361"/>
      <c r="AI33" s="1360"/>
      <c r="AJ33" s="1360"/>
      <c r="AK33" s="1360"/>
      <c r="AL33" s="197">
        <f>IF(AI33&lt;&gt;0,AK33/AI33,0)</f>
        <v>0</v>
      </c>
      <c r="AM33" s="196">
        <f>AK33-AJ33</f>
        <v>0</v>
      </c>
      <c r="AN33" s="1361"/>
      <c r="AO33" s="1360"/>
      <c r="AP33" s="1360"/>
      <c r="AQ33" s="1360"/>
      <c r="AR33" s="1360"/>
      <c r="AS33" s="1360"/>
      <c r="AT33" s="1360"/>
      <c r="AU33" s="1360"/>
      <c r="AV33" s="1360"/>
      <c r="AW33" s="1360"/>
      <c r="AX33" s="1360"/>
      <c r="AY33" s="1360"/>
      <c r="AZ33" s="1360"/>
      <c r="BA33" s="1360"/>
      <c r="BB33" s="1360"/>
      <c r="BC33" s="1360"/>
      <c r="BD33" s="1360"/>
      <c r="BE33" s="1360"/>
      <c r="BF33" s="1360"/>
      <c r="BI33" s="899" t="s">
        <v>440</v>
      </c>
    </row>
    <row r="34" spans="1:65" s="1314" customFormat="1" ht="14.65" hidden="1" customHeight="1">
      <c r="A34" s="68"/>
      <c r="B34" s="364"/>
      <c r="C34" s="68"/>
      <c r="D34" s="68"/>
      <c r="E34" s="593">
        <v>15</v>
      </c>
      <c r="F34" s="286" cm="1">
        <f t="array" aca="1" ref="F34" ca="1">OFFSET(E34,-1,1)</f>
        <v>0</v>
      </c>
      <c r="G34" s="68"/>
      <c r="H34" s="68"/>
      <c r="I34" s="68"/>
      <c r="J34" s="68"/>
      <c r="K34" s="68"/>
      <c r="L34" s="68"/>
      <c r="M34" s="68"/>
      <c r="N34" s="68"/>
      <c r="O34" s="68"/>
      <c r="P34" s="68"/>
      <c r="Q34" s="68"/>
      <c r="R34" s="68"/>
      <c r="S34" s="68"/>
      <c r="T34" s="68"/>
      <c r="U34" s="381" t="b" cm="1">
        <f t="array" ref="U34">U33</f>
        <v>0</v>
      </c>
      <c r="V34" s="68"/>
      <c r="W34" s="68"/>
      <c r="X34" s="68"/>
      <c r="Y34" s="1732"/>
      <c r="Z34" s="1757"/>
      <c r="AA34" s="68"/>
      <c r="AB34" s="52">
        <v>5</v>
      </c>
      <c r="AC34" s="54" t="s">
        <v>441</v>
      </c>
      <c r="AD34" s="55" t="s">
        <v>423</v>
      </c>
      <c r="AE34" s="1360"/>
      <c r="AF34" s="1360"/>
      <c r="AG34" s="1360"/>
      <c r="AH34" s="1361"/>
      <c r="AI34" s="1360"/>
      <c r="AJ34" s="1360"/>
      <c r="AK34" s="1360"/>
      <c r="AL34" s="197">
        <f>IF(AI34&lt;&gt;0,AK34/AI34,0)</f>
        <v>0</v>
      </c>
      <c r="AM34" s="196">
        <f>AK34-AJ34</f>
        <v>0</v>
      </c>
      <c r="AN34" s="1361"/>
      <c r="AO34" s="1360"/>
      <c r="AP34" s="1360"/>
      <c r="AQ34" s="1360"/>
      <c r="AR34" s="1360"/>
      <c r="AS34" s="1360"/>
      <c r="AT34" s="1360"/>
      <c r="AU34" s="1360"/>
      <c r="AV34" s="1360"/>
      <c r="AW34" s="1360"/>
      <c r="AX34" s="1360"/>
      <c r="AY34" s="1360"/>
      <c r="AZ34" s="1360"/>
      <c r="BA34" s="1360"/>
      <c r="BB34" s="1360"/>
      <c r="BC34" s="1360"/>
      <c r="BD34" s="1360"/>
      <c r="BE34" s="1360"/>
      <c r="BF34" s="1360"/>
      <c r="BG34" s="68"/>
      <c r="BH34" s="68"/>
      <c r="BI34" s="940" t="s">
        <v>442</v>
      </c>
      <c r="BJ34" s="940"/>
      <c r="BK34" s="940"/>
      <c r="BL34" s="593"/>
      <c r="BM34" s="593"/>
    </row>
    <row r="35" spans="1:65" ht="14.65" hidden="1" customHeight="1">
      <c r="E35" s="535">
        <v>15</v>
      </c>
      <c r="F35" s="3" cm="1">
        <f t="array" aca="1" ref="F35" ca="1">OFFSET(E35,-1,1)</f>
        <v>0</v>
      </c>
      <c r="U35" s="381" t="b" cm="1">
        <f t="array" ref="U35">U33</f>
        <v>0</v>
      </c>
      <c r="Y35" s="1732"/>
      <c r="Z35" s="1757"/>
      <c r="AB35" s="186"/>
      <c r="AC35" s="187" t="s">
        <v>443</v>
      </c>
      <c r="AD35" s="188"/>
      <c r="AE35" s="193"/>
      <c r="AF35" s="193"/>
      <c r="AG35" s="193"/>
      <c r="AH35" s="188"/>
      <c r="AI35" s="193"/>
      <c r="AJ35" s="193"/>
      <c r="AK35" s="193"/>
      <c r="AL35" s="198"/>
      <c r="AM35" s="193"/>
      <c r="AN35" s="188"/>
      <c r="AO35" s="193"/>
      <c r="AP35" s="193"/>
      <c r="AQ35" s="193"/>
      <c r="AR35" s="193"/>
      <c r="AS35" s="193"/>
      <c r="AT35" s="193"/>
      <c r="AU35" s="193"/>
      <c r="AV35" s="193"/>
      <c r="AW35" s="193"/>
      <c r="AX35" s="193"/>
      <c r="AY35" s="193"/>
      <c r="AZ35" s="193"/>
      <c r="BA35" s="193"/>
      <c r="BB35" s="193"/>
      <c r="BC35" s="193"/>
      <c r="BD35" s="193"/>
      <c r="BE35" s="193"/>
      <c r="BF35" s="199"/>
    </row>
    <row r="36" spans="1:65" ht="14.65" hidden="1" customHeight="1">
      <c r="E36" s="535">
        <v>15</v>
      </c>
      <c r="F36" s="3" cm="1">
        <f t="array" aca="1" ref="F36" ca="1">OFFSET(E36,-1,1)</f>
        <v>0</v>
      </c>
      <c r="G36" s="41" t="s">
        <v>444</v>
      </c>
      <c r="H36" s="41" t="s">
        <v>445</v>
      </c>
      <c r="U36" s="381" t="b" cm="1">
        <f t="array" ref="U36">U35</f>
        <v>0</v>
      </c>
      <c r="Y36" s="1732"/>
      <c r="Z36" s="1757"/>
      <c r="AB36" s="52">
        <v>1</v>
      </c>
      <c r="AC36" s="54" t="s">
        <v>446</v>
      </c>
      <c r="AD36" s="55" t="s">
        <v>423</v>
      </c>
      <c r="AE36" s="1362"/>
      <c r="AF36" s="1362"/>
      <c r="AG36" s="1362"/>
      <c r="AH36" s="1361"/>
      <c r="AI36" s="1362"/>
      <c r="AJ36" s="1362"/>
      <c r="AK36" s="1362"/>
      <c r="AL36" s="197">
        <f>IF(AI36&lt;&gt;0,AK36/AI36,0)</f>
        <v>0</v>
      </c>
      <c r="AM36" s="196">
        <f>AK36-AJ36</f>
        <v>0</v>
      </c>
      <c r="AN36" s="1361"/>
      <c r="AO36" s="1362"/>
      <c r="AP36" s="1362"/>
      <c r="AQ36" s="1362"/>
      <c r="AR36" s="1362"/>
      <c r="AS36" s="1362"/>
      <c r="AT36" s="1362"/>
      <c r="AU36" s="1362"/>
      <c r="AV36" s="1362"/>
      <c r="AW36" s="1362"/>
      <c r="AX36" s="1362"/>
      <c r="AY36" s="1362"/>
      <c r="AZ36" s="1362"/>
      <c r="BA36" s="1362"/>
      <c r="BB36" s="1362"/>
      <c r="BC36" s="1362"/>
      <c r="BD36" s="1362"/>
      <c r="BE36" s="1362"/>
      <c r="BF36" s="1362"/>
      <c r="BI36" s="899" t="s">
        <v>447</v>
      </c>
    </row>
    <row r="37" spans="1:65" ht="15" hidden="1" customHeight="1">
      <c r="E37" s="535">
        <v>0</v>
      </c>
      <c r="F37" s="3" cm="1">
        <f t="array" aca="1" ref="F37" ca="1">OFFSET(E37,-1,1)</f>
        <v>0</v>
      </c>
      <c r="H37" s="41" t="s">
        <v>448</v>
      </c>
      <c r="U37" s="381" t="b" cm="1">
        <f t="array" ref="U37">U36</f>
        <v>0</v>
      </c>
      <c r="Y37" s="1732"/>
      <c r="Z37" s="1757"/>
      <c r="AB37" s="52">
        <v>2</v>
      </c>
      <c r="AC37" s="54" t="s">
        <v>422</v>
      </c>
      <c r="AD37" s="55" t="s">
        <v>423</v>
      </c>
      <c r="AE37" s="1362"/>
      <c r="AF37" s="1360"/>
      <c r="AG37" s="1362"/>
      <c r="AH37" s="1361"/>
      <c r="AI37" s="1362"/>
      <c r="AJ37" s="1362"/>
      <c r="AK37" s="1362"/>
      <c r="AL37" s="197">
        <f>IF(AI37&lt;&gt;0,AK37/AI37,0)</f>
        <v>0</v>
      </c>
      <c r="AM37" s="196">
        <f>AK37-AJ37</f>
        <v>0</v>
      </c>
      <c r="AN37" s="1361"/>
      <c r="AO37" s="1362"/>
      <c r="AP37" s="1362"/>
      <c r="AQ37" s="1362"/>
      <c r="AR37" s="1362"/>
      <c r="AS37" s="1362"/>
      <c r="AT37" s="1362"/>
      <c r="AU37" s="1362"/>
      <c r="AV37" s="1362"/>
      <c r="AW37" s="1362"/>
      <c r="AX37" s="1362"/>
      <c r="AY37" s="1362"/>
      <c r="AZ37" s="1362"/>
      <c r="BA37" s="1362"/>
      <c r="BB37" s="1362"/>
      <c r="BC37" s="1362"/>
      <c r="BD37" s="1362"/>
      <c r="BE37" s="1362"/>
      <c r="BF37" s="1362"/>
      <c r="BI37" s="899" t="s">
        <v>449</v>
      </c>
    </row>
    <row r="38" spans="1:65" ht="14.65" hidden="1" customHeight="1">
      <c r="E38" s="535">
        <v>15</v>
      </c>
      <c r="F38" s="3" cm="1">
        <f t="array" aca="1" ref="F38" ca="1">OFFSET(E38,-1,1)</f>
        <v>0</v>
      </c>
      <c r="U38" s="381" t="b" cm="1">
        <f t="array" ref="U38">U37</f>
        <v>0</v>
      </c>
      <c r="Y38" s="1732"/>
      <c r="Z38" s="1757"/>
      <c r="AB38" s="523">
        <v>2</v>
      </c>
      <c r="AC38" s="524" t="s">
        <v>450</v>
      </c>
      <c r="AD38" s="13"/>
      <c r="AE38" s="525"/>
      <c r="AF38" s="526"/>
      <c r="AG38" s="527"/>
      <c r="AH38" s="528"/>
      <c r="AI38" s="525"/>
      <c r="AJ38" s="526"/>
      <c r="AK38" s="526"/>
      <c r="AL38" s="529"/>
      <c r="AM38" s="526"/>
      <c r="AN38" s="528"/>
      <c r="AO38" s="525"/>
      <c r="AP38" s="525"/>
      <c r="AQ38" s="525"/>
      <c r="AR38" s="525"/>
      <c r="AS38" s="525"/>
      <c r="AT38" s="525"/>
      <c r="AU38" s="525"/>
      <c r="AV38" s="525"/>
      <c r="AW38" s="525"/>
      <c r="AX38" s="525"/>
      <c r="AY38" s="525"/>
      <c r="AZ38" s="525"/>
      <c r="BA38" s="525"/>
      <c r="BB38" s="525"/>
      <c r="BC38" s="525"/>
      <c r="BD38" s="525"/>
      <c r="BE38" s="525"/>
      <c r="BF38" s="525"/>
      <c r="BI38" s="899" t="s">
        <v>451</v>
      </c>
    </row>
    <row r="39" spans="1:65" ht="21.95" hidden="1" customHeight="1">
      <c r="E39" s="535">
        <v>22.5</v>
      </c>
      <c r="F39" s="3" cm="1">
        <f t="array" aca="1" ref="F39" ca="1">OFFSET(E39,-1,1)</f>
        <v>0</v>
      </c>
      <c r="H39" s="41" t="s">
        <v>452</v>
      </c>
      <c r="U39" s="381" t="b" cm="1">
        <f t="array" ref="U39">U38</f>
        <v>0</v>
      </c>
      <c r="Y39" s="1732"/>
      <c r="Z39" s="1757"/>
      <c r="AB39" s="138" t="s">
        <v>453</v>
      </c>
      <c r="AC39" s="132" t="s">
        <v>454</v>
      </c>
      <c r="AD39" s="10" t="s">
        <v>455</v>
      </c>
      <c r="AE39" s="1363"/>
      <c r="AF39" s="1364"/>
      <c r="AG39" s="1365"/>
      <c r="AH39" s="1366"/>
      <c r="AI39" s="1363"/>
      <c r="AJ39" s="1364"/>
      <c r="AK39" s="1364"/>
      <c r="AL39" s="532">
        <f>IF(AI39&lt;&gt;0,AK39/AI39,0)</f>
        <v>0</v>
      </c>
      <c r="AM39" s="533">
        <f>AK39-AJ39</f>
        <v>0</v>
      </c>
      <c r="AN39" s="1366"/>
      <c r="AO39" s="1363"/>
      <c r="AP39" s="1363"/>
      <c r="AQ39" s="1363"/>
      <c r="AR39" s="1363"/>
      <c r="AS39" s="1363"/>
      <c r="AT39" s="1363"/>
      <c r="AU39" s="1363"/>
      <c r="AV39" s="1363"/>
      <c r="AW39" s="1363"/>
      <c r="AX39" s="1363"/>
      <c r="AY39" s="1363"/>
      <c r="AZ39" s="1363"/>
      <c r="BA39" s="1363"/>
      <c r="BB39" s="1363"/>
      <c r="BC39" s="1363"/>
      <c r="BD39" s="1363"/>
      <c r="BE39" s="1363"/>
      <c r="BF39" s="1363"/>
      <c r="BI39" s="899" t="s">
        <v>456</v>
      </c>
    </row>
    <row r="40" spans="1:65" ht="21.95" hidden="1" customHeight="1">
      <c r="E40" s="535">
        <v>22.5</v>
      </c>
      <c r="F40" s="3" cm="1">
        <f t="array" aca="1" ref="F40" ca="1">OFFSET(E40,-1,1)</f>
        <v>0</v>
      </c>
      <c r="I40" s="41" cm="1">
        <f t="array" ref="I40">AC40</f>
        <v>0</v>
      </c>
      <c r="U40" s="381" t="b">
        <f ca="1">AND(F40&gt;0,--RIGHT(AB40,1)&gt;1)</f>
        <v>0</v>
      </c>
      <c r="X40" s="671" t="s">
        <v>173</v>
      </c>
      <c r="Y40" s="1732"/>
      <c r="Z40" s="1757"/>
      <c r="AA40" s="337" t="s">
        <v>174</v>
      </c>
      <c r="AB40" s="138" t="s">
        <v>453</v>
      </c>
      <c r="AC40" s="1367"/>
      <c r="AD40" s="10" t="s">
        <v>455</v>
      </c>
      <c r="AE40" s="1363"/>
      <c r="AF40" s="1364"/>
      <c r="AG40" s="1365"/>
      <c r="AH40" s="1366"/>
      <c r="AI40" s="1363"/>
      <c r="AJ40" s="1364"/>
      <c r="AK40" s="1364"/>
      <c r="AL40" s="532">
        <f>IF(AI40&lt;&gt;0,AK40/AI40,0)</f>
        <v>0</v>
      </c>
      <c r="AM40" s="533">
        <f>AK40-AJ40</f>
        <v>0</v>
      </c>
      <c r="AN40" s="1366"/>
      <c r="AO40" s="1363"/>
      <c r="AP40" s="1363"/>
      <c r="AQ40" s="1363"/>
      <c r="AR40" s="1363"/>
      <c r="AS40" s="1363"/>
      <c r="AT40" s="1363"/>
      <c r="AU40" s="1363"/>
      <c r="AV40" s="1363"/>
      <c r="AW40" s="1363"/>
      <c r="AX40" s="1363"/>
      <c r="AY40" s="1363"/>
      <c r="AZ40" s="1363"/>
      <c r="BA40" s="1363"/>
      <c r="BB40" s="1363"/>
      <c r="BC40" s="1363"/>
      <c r="BD40" s="1363"/>
      <c r="BE40" s="1363"/>
      <c r="BF40" s="1363"/>
      <c r="BI40" s="899" t="s">
        <v>456</v>
      </c>
      <c r="BJ40" s="899" t="s">
        <v>457</v>
      </c>
      <c r="BK40" s="899" cm="1">
        <f t="array" ref="BK40">AC40</f>
        <v>0</v>
      </c>
      <c r="BM40" s="535" t="b">
        <v>1</v>
      </c>
    </row>
    <row r="41" spans="1:65" ht="14.65" hidden="1" customHeight="1">
      <c r="E41" s="535">
        <v>15</v>
      </c>
      <c r="F41" s="3" cm="1">
        <f t="array" aca="1" ref="F41" ca="1">OFFSET(E41,-1,1)</f>
        <v>0</v>
      </c>
      <c r="U41" s="381" t="b">
        <f ca="1">F41&gt;0</f>
        <v>0</v>
      </c>
      <c r="X41" s="671" t="s">
        <v>395</v>
      </c>
      <c r="Y41" s="1732"/>
      <c r="Z41" s="1757"/>
      <c r="AB41" s="94"/>
      <c r="AC41" s="222" t="s">
        <v>177</v>
      </c>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L41" s="535" t="s">
        <v>457</v>
      </c>
    </row>
    <row r="42" spans="1:65" ht="21.95" hidden="1" customHeight="1">
      <c r="E42" s="535">
        <v>22.5</v>
      </c>
      <c r="F42" s="3" cm="1">
        <f t="array" aca="1" ref="F42" ca="1">OFFSET(E42,-1,1)</f>
        <v>0</v>
      </c>
      <c r="H42" s="41" t="s">
        <v>458</v>
      </c>
      <c r="U42" s="381" t="b" cm="1">
        <f t="array" aca="1" ref="U42" ca="1">U41</f>
        <v>0</v>
      </c>
      <c r="Y42" s="1732"/>
      <c r="Z42" s="1757"/>
      <c r="AB42" s="515" t="s">
        <v>459</v>
      </c>
      <c r="AC42" s="516" t="s">
        <v>460</v>
      </c>
      <c r="AD42" s="512" t="s">
        <v>455</v>
      </c>
      <c r="AE42" s="1368"/>
      <c r="AF42" s="1369"/>
      <c r="AG42" s="1370"/>
      <c r="AH42" s="1371"/>
      <c r="AI42" s="1368"/>
      <c r="AJ42" s="1369"/>
      <c r="AK42" s="1369"/>
      <c r="AL42" s="521">
        <f>IF(AI42&lt;&gt;0,AK42/AI42,0)</f>
        <v>0</v>
      </c>
      <c r="AM42" s="522">
        <f>AK42-AJ42</f>
        <v>0</v>
      </c>
      <c r="AN42" s="1371"/>
      <c r="AO42" s="1368"/>
      <c r="AP42" s="1368"/>
      <c r="AQ42" s="1368"/>
      <c r="AR42" s="1368"/>
      <c r="AS42" s="1368"/>
      <c r="AT42" s="1368"/>
      <c r="AU42" s="1368"/>
      <c r="AV42" s="1368"/>
      <c r="AW42" s="1368"/>
      <c r="AX42" s="1368"/>
      <c r="AY42" s="1368"/>
      <c r="AZ42" s="1368"/>
      <c r="BA42" s="1368"/>
      <c r="BB42" s="1368"/>
      <c r="BC42" s="1368"/>
      <c r="BD42" s="1368"/>
      <c r="BE42" s="1368"/>
      <c r="BF42" s="1368"/>
      <c r="BI42" s="899" t="s">
        <v>461</v>
      </c>
    </row>
    <row r="43" spans="1:65" ht="21.95" hidden="1" customHeight="1">
      <c r="E43" s="535">
        <v>22.5</v>
      </c>
      <c r="F43" s="3" cm="1">
        <f t="array" aca="1" ref="F43" ca="1">OFFSET(E43,-1,1)</f>
        <v>0</v>
      </c>
      <c r="I43" s="41" cm="1">
        <f t="array" ref="I43">AC43</f>
        <v>0</v>
      </c>
      <c r="U43" s="381" t="b">
        <f ca="1">AND(F43&gt;0,--RIGHT(AB43,1)&gt;1)</f>
        <v>0</v>
      </c>
      <c r="X43" s="671" t="s">
        <v>173</v>
      </c>
      <c r="Y43" s="1732"/>
      <c r="Z43" s="1757"/>
      <c r="AA43" s="337" t="s">
        <v>174</v>
      </c>
      <c r="AB43" s="515" t="s">
        <v>459</v>
      </c>
      <c r="AC43" s="1372"/>
      <c r="AD43" s="512" t="s">
        <v>455</v>
      </c>
      <c r="AE43" s="1368"/>
      <c r="AF43" s="1369"/>
      <c r="AG43" s="1370"/>
      <c r="AH43" s="1371"/>
      <c r="AI43" s="1368"/>
      <c r="AJ43" s="1369"/>
      <c r="AK43" s="1369"/>
      <c r="AL43" s="521">
        <f>IF(AI43&lt;&gt;0,AK43/AI43,0)</f>
        <v>0</v>
      </c>
      <c r="AM43" s="522">
        <f>AK43-AJ43</f>
        <v>0</v>
      </c>
      <c r="AN43" s="1371"/>
      <c r="AO43" s="1368"/>
      <c r="AP43" s="1368"/>
      <c r="AQ43" s="1368"/>
      <c r="AR43" s="1368"/>
      <c r="AS43" s="1368"/>
      <c r="AT43" s="1368"/>
      <c r="AU43" s="1368"/>
      <c r="AV43" s="1368"/>
      <c r="AW43" s="1368"/>
      <c r="AX43" s="1368"/>
      <c r="AY43" s="1368"/>
      <c r="AZ43" s="1368"/>
      <c r="BA43" s="1368"/>
      <c r="BB43" s="1368"/>
      <c r="BC43" s="1368"/>
      <c r="BD43" s="1368"/>
      <c r="BE43" s="1368"/>
      <c r="BF43" s="1368"/>
      <c r="BI43" s="899" t="s">
        <v>461</v>
      </c>
      <c r="BJ43" s="899" t="s">
        <v>462</v>
      </c>
      <c r="BK43" s="899" cm="1">
        <f t="array" ref="BK43">AC43</f>
        <v>0</v>
      </c>
      <c r="BM43" s="535" t="b">
        <v>1</v>
      </c>
    </row>
    <row r="44" spans="1:65" ht="14.65" hidden="1" customHeight="1">
      <c r="E44" s="535">
        <v>15</v>
      </c>
      <c r="F44" s="3" cm="1">
        <f t="array" aca="1" ref="F44" ca="1">OFFSET(E44,-1,1)</f>
        <v>0</v>
      </c>
      <c r="U44" s="381" t="b">
        <f ca="1">F44&gt;0</f>
        <v>0</v>
      </c>
      <c r="X44" s="671" t="s">
        <v>395</v>
      </c>
      <c r="Y44" s="1732"/>
      <c r="Z44" s="1757"/>
      <c r="AB44" s="94"/>
      <c r="AC44" s="222" t="s">
        <v>177</v>
      </c>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L44" s="535" t="s">
        <v>462</v>
      </c>
    </row>
    <row r="45" spans="1:65" ht="21.95" hidden="1" customHeight="1">
      <c r="E45" s="535">
        <v>22.5</v>
      </c>
      <c r="F45" s="3" cm="1">
        <f t="array" aca="1" ref="F45" ca="1">OFFSET(E45,-1,1)</f>
        <v>0</v>
      </c>
      <c r="H45" s="41" t="s">
        <v>463</v>
      </c>
      <c r="U45" s="381" t="b" cm="1">
        <f t="array" aca="1" ref="U45" ca="1">U44</f>
        <v>0</v>
      </c>
      <c r="Y45" s="1732"/>
      <c r="Z45" s="1757"/>
      <c r="AB45" s="42" t="s">
        <v>464</v>
      </c>
      <c r="AC45" s="111" t="s">
        <v>465</v>
      </c>
      <c r="AD45" s="11" t="s">
        <v>455</v>
      </c>
      <c r="AE45" s="1360"/>
      <c r="AF45" s="1362"/>
      <c r="AG45" s="1373"/>
      <c r="AH45" s="1361"/>
      <c r="AI45" s="1360"/>
      <c r="AJ45" s="1362"/>
      <c r="AK45" s="1362"/>
      <c r="AL45" s="197">
        <f>IF(AI45&lt;&gt;0,AK45/AI45,0)</f>
        <v>0</v>
      </c>
      <c r="AM45" s="196">
        <f>AK45-AJ45</f>
        <v>0</v>
      </c>
      <c r="AN45" s="1361"/>
      <c r="AO45" s="1360"/>
      <c r="AP45" s="1360"/>
      <c r="AQ45" s="1360"/>
      <c r="AR45" s="1360"/>
      <c r="AS45" s="1360"/>
      <c r="AT45" s="1360"/>
      <c r="AU45" s="1360"/>
      <c r="AV45" s="1360"/>
      <c r="AW45" s="1360"/>
      <c r="AX45" s="1360"/>
      <c r="AY45" s="1360"/>
      <c r="AZ45" s="1360"/>
      <c r="BA45" s="1360"/>
      <c r="BB45" s="1360"/>
      <c r="BC45" s="1360"/>
      <c r="BD45" s="1360"/>
      <c r="BE45" s="1360"/>
      <c r="BF45" s="1360"/>
      <c r="BI45" s="899" t="s">
        <v>466</v>
      </c>
    </row>
    <row r="46" spans="1:65" ht="21.95" hidden="1" customHeight="1">
      <c r="E46" s="535">
        <v>22.5</v>
      </c>
      <c r="F46" s="3" cm="1">
        <f t="array" aca="1" ref="F46" ca="1">OFFSET(E46,-1,1)</f>
        <v>0</v>
      </c>
      <c r="I46" s="41" cm="1">
        <f t="array" ref="I46">AC46</f>
        <v>0</v>
      </c>
      <c r="U46" s="381" t="b">
        <f ca="1">AND(F46&gt;0,--RIGHT(AB46,1)&gt;1)</f>
        <v>0</v>
      </c>
      <c r="X46" s="671" t="s">
        <v>173</v>
      </c>
      <c r="Y46" s="1732"/>
      <c r="Z46" s="1757"/>
      <c r="AA46" s="337" t="s">
        <v>174</v>
      </c>
      <c r="AB46" s="42" t="s">
        <v>464</v>
      </c>
      <c r="AC46" s="1374"/>
      <c r="AD46" s="11" t="s">
        <v>455</v>
      </c>
      <c r="AE46" s="1360"/>
      <c r="AF46" s="1362"/>
      <c r="AG46" s="1373"/>
      <c r="AH46" s="1361"/>
      <c r="AI46" s="1360"/>
      <c r="AJ46" s="1362"/>
      <c r="AK46" s="1362"/>
      <c r="AL46" s="197">
        <f>IF(AI46&lt;&gt;0,AK46/AI46,0)</f>
        <v>0</v>
      </c>
      <c r="AM46" s="196">
        <f>AK46-AJ46</f>
        <v>0</v>
      </c>
      <c r="AN46" s="1361"/>
      <c r="AO46" s="1360"/>
      <c r="AP46" s="1360"/>
      <c r="AQ46" s="1360"/>
      <c r="AR46" s="1360"/>
      <c r="AS46" s="1360"/>
      <c r="AT46" s="1360"/>
      <c r="AU46" s="1360"/>
      <c r="AV46" s="1360"/>
      <c r="AW46" s="1360"/>
      <c r="AX46" s="1360"/>
      <c r="AY46" s="1360"/>
      <c r="AZ46" s="1360"/>
      <c r="BA46" s="1360"/>
      <c r="BB46" s="1360"/>
      <c r="BC46" s="1360"/>
      <c r="BD46" s="1360"/>
      <c r="BE46" s="1360"/>
      <c r="BF46" s="1360"/>
      <c r="BI46" s="899" t="s">
        <v>466</v>
      </c>
      <c r="BJ46" s="899" t="s">
        <v>467</v>
      </c>
      <c r="BK46" s="899" cm="1">
        <f t="array" ref="BK46">AC46</f>
        <v>0</v>
      </c>
      <c r="BM46" s="535" t="b">
        <v>1</v>
      </c>
    </row>
    <row r="47" spans="1:65" ht="14.65" hidden="1" customHeight="1">
      <c r="E47" s="535">
        <v>15</v>
      </c>
      <c r="F47" s="3" cm="1">
        <f t="array" aca="1" ref="F47" ca="1">OFFSET(E47,-1,1)</f>
        <v>0</v>
      </c>
      <c r="U47" s="381" t="b">
        <f ca="1">F47&gt;0</f>
        <v>0</v>
      </c>
      <c r="X47" s="671" t="s">
        <v>395</v>
      </c>
      <c r="Y47" s="1732"/>
      <c r="Z47" s="1757"/>
      <c r="AB47" s="94"/>
      <c r="AC47" s="222" t="s">
        <v>177</v>
      </c>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L47" s="535" t="s">
        <v>467</v>
      </c>
    </row>
    <row r="48" spans="1:65" ht="21.95" hidden="1" customHeight="1">
      <c r="E48" s="535">
        <v>22.5</v>
      </c>
      <c r="F48" s="3" cm="1">
        <f t="array" aca="1" ref="F48" ca="1">OFFSET(E48,-1,1)</f>
        <v>0</v>
      </c>
      <c r="H48" s="41" t="s">
        <v>468</v>
      </c>
      <c r="U48" s="381" t="b" cm="1">
        <f t="array" aca="1" ref="U48" ca="1">U47</f>
        <v>0</v>
      </c>
      <c r="Y48" s="1732"/>
      <c r="Z48" s="1757"/>
      <c r="AB48" s="42" t="s">
        <v>469</v>
      </c>
      <c r="AC48" s="111" t="s">
        <v>470</v>
      </c>
      <c r="AD48" s="11" t="s">
        <v>455</v>
      </c>
      <c r="AE48" s="1360"/>
      <c r="AF48" s="1362"/>
      <c r="AG48" s="1373"/>
      <c r="AH48" s="1361"/>
      <c r="AI48" s="1360"/>
      <c r="AJ48" s="1362"/>
      <c r="AK48" s="1362"/>
      <c r="AL48" s="197">
        <f>IF(AI48&lt;&gt;0,AK48/AI48,0)</f>
        <v>0</v>
      </c>
      <c r="AM48" s="196">
        <f>AK48-AJ48</f>
        <v>0</v>
      </c>
      <c r="AN48" s="1361"/>
      <c r="AO48" s="1360"/>
      <c r="AP48" s="1360"/>
      <c r="AQ48" s="1360"/>
      <c r="AR48" s="1360"/>
      <c r="AS48" s="1360"/>
      <c r="AT48" s="1360"/>
      <c r="AU48" s="1360"/>
      <c r="AV48" s="1360"/>
      <c r="AW48" s="1360"/>
      <c r="AX48" s="1360"/>
      <c r="AY48" s="1360"/>
      <c r="AZ48" s="1360"/>
      <c r="BA48" s="1360"/>
      <c r="BB48" s="1360"/>
      <c r="BC48" s="1360"/>
      <c r="BD48" s="1360"/>
      <c r="BE48" s="1360"/>
      <c r="BF48" s="1360"/>
      <c r="BI48" s="899" t="s">
        <v>471</v>
      </c>
    </row>
    <row r="49" spans="1:65" ht="21.95" hidden="1" customHeight="1">
      <c r="E49" s="535">
        <v>22.5</v>
      </c>
      <c r="F49" s="3" cm="1">
        <f t="array" aca="1" ref="F49" ca="1">OFFSET(E49,-1,1)</f>
        <v>0</v>
      </c>
      <c r="I49" s="41" cm="1">
        <f t="array" ref="I49">AC49</f>
        <v>0</v>
      </c>
      <c r="U49" s="381" t="b">
        <f ca="1">AND(F49&gt;0,--RIGHT(AB49,1)&gt;1)</f>
        <v>0</v>
      </c>
      <c r="X49" s="671" t="s">
        <v>173</v>
      </c>
      <c r="Y49" s="1732"/>
      <c r="Z49" s="1757"/>
      <c r="AA49" s="337" t="s">
        <v>174</v>
      </c>
      <c r="AB49" s="42" t="s">
        <v>469</v>
      </c>
      <c r="AC49" s="1374"/>
      <c r="AD49" s="11" t="s">
        <v>455</v>
      </c>
      <c r="AE49" s="1360"/>
      <c r="AF49" s="1362"/>
      <c r="AG49" s="1373"/>
      <c r="AH49" s="1361"/>
      <c r="AI49" s="1360"/>
      <c r="AJ49" s="1362"/>
      <c r="AK49" s="1362"/>
      <c r="AL49" s="197">
        <f>IF(AI49&lt;&gt;0,AK49/AI49,0)</f>
        <v>0</v>
      </c>
      <c r="AM49" s="196">
        <f>AK49-AJ49</f>
        <v>0</v>
      </c>
      <c r="AN49" s="1361"/>
      <c r="AO49" s="1360"/>
      <c r="AP49" s="1360"/>
      <c r="AQ49" s="1360"/>
      <c r="AR49" s="1360"/>
      <c r="AS49" s="1360"/>
      <c r="AT49" s="1360"/>
      <c r="AU49" s="1360"/>
      <c r="AV49" s="1360"/>
      <c r="AW49" s="1360"/>
      <c r="AX49" s="1360"/>
      <c r="AY49" s="1360"/>
      <c r="AZ49" s="1360"/>
      <c r="BA49" s="1360"/>
      <c r="BB49" s="1360"/>
      <c r="BC49" s="1360"/>
      <c r="BD49" s="1360"/>
      <c r="BE49" s="1360"/>
      <c r="BF49" s="1360"/>
      <c r="BI49" s="899" t="s">
        <v>471</v>
      </c>
      <c r="BJ49" s="899" t="s">
        <v>472</v>
      </c>
      <c r="BK49" s="899" cm="1">
        <f t="array" ref="BK49">AC49</f>
        <v>0</v>
      </c>
      <c r="BM49" s="535" t="b">
        <v>1</v>
      </c>
    </row>
    <row r="50" spans="1:65" ht="14.65" hidden="1" customHeight="1">
      <c r="E50" s="535">
        <v>15</v>
      </c>
      <c r="F50" s="3" cm="1">
        <f t="array" aca="1" ref="F50" ca="1">OFFSET(E50,-1,1)</f>
        <v>0</v>
      </c>
      <c r="U50" s="381" t="b">
        <f ca="1">F50&gt;0</f>
        <v>0</v>
      </c>
      <c r="X50" s="671" t="s">
        <v>395</v>
      </c>
      <c r="Y50" s="1732"/>
      <c r="Z50" s="1757"/>
      <c r="AB50" s="94"/>
      <c r="AC50" s="222" t="s">
        <v>177</v>
      </c>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L50" s="535" t="s">
        <v>472</v>
      </c>
    </row>
    <row r="51" spans="1:65" ht="14.65" hidden="1" customHeight="1">
      <c r="E51" s="535">
        <v>15</v>
      </c>
      <c r="F51" s="3" cm="1">
        <f t="array" aca="1" ref="F51" ca="1">OFFSET(E51,-1,1)</f>
        <v>0</v>
      </c>
      <c r="H51" s="41" t="s">
        <v>327</v>
      </c>
      <c r="U51" s="381" t="b" cm="1">
        <f t="array" aca="1" ref="U51" ca="1">U50</f>
        <v>0</v>
      </c>
      <c r="Y51" s="1732"/>
      <c r="Z51" s="1757"/>
      <c r="AB51" s="52">
        <v>3</v>
      </c>
      <c r="AC51" s="58" t="s">
        <v>473</v>
      </c>
      <c r="AD51" s="55" t="s">
        <v>423</v>
      </c>
      <c r="AE51" s="1360"/>
      <c r="AF51" s="1362"/>
      <c r="AG51" s="1373"/>
      <c r="AH51" s="1361"/>
      <c r="AI51" s="1360"/>
      <c r="AJ51" s="1362"/>
      <c r="AK51" s="1362"/>
      <c r="AL51" s="197">
        <f>IF(AI51&lt;&gt;0,AK51/AI51,0)</f>
        <v>0</v>
      </c>
      <c r="AM51" s="196">
        <f>AK51-AJ51</f>
        <v>0</v>
      </c>
      <c r="AN51" s="1361"/>
      <c r="AO51" s="1360"/>
      <c r="AP51" s="1360"/>
      <c r="AQ51" s="1360"/>
      <c r="AR51" s="1360"/>
      <c r="AS51" s="1360"/>
      <c r="AT51" s="1360"/>
      <c r="AU51" s="1360"/>
      <c r="AV51" s="1360"/>
      <c r="AW51" s="1360"/>
      <c r="AX51" s="1360"/>
      <c r="AY51" s="1360"/>
      <c r="AZ51" s="1360"/>
      <c r="BA51" s="1360"/>
      <c r="BB51" s="1360"/>
      <c r="BC51" s="1360"/>
      <c r="BD51" s="1360"/>
      <c r="BE51" s="1360"/>
      <c r="BF51" s="1360"/>
      <c r="BI51" s="899" t="s">
        <v>474</v>
      </c>
    </row>
    <row r="52" spans="1:65" ht="14.65" hidden="1" customHeight="1">
      <c r="E52" s="535">
        <v>15</v>
      </c>
      <c r="F52" s="3" cm="1">
        <f t="array" aca="1" ref="F52" ca="1">OFFSET(E52,-1,1)</f>
        <v>0</v>
      </c>
      <c r="H52" s="41" t="s">
        <v>326</v>
      </c>
      <c r="U52" s="381" t="b" cm="1">
        <f t="array" aca="1" ref="U52" ca="1">U51</f>
        <v>0</v>
      </c>
      <c r="Y52" s="1732"/>
      <c r="Z52" s="1757"/>
      <c r="AB52" s="52">
        <v>4</v>
      </c>
      <c r="AC52" s="58" t="s">
        <v>475</v>
      </c>
      <c r="AD52" s="55" t="s">
        <v>423</v>
      </c>
      <c r="AE52" s="1360"/>
      <c r="AF52" s="1362"/>
      <c r="AG52" s="1373"/>
      <c r="AH52" s="1361"/>
      <c r="AI52" s="1360"/>
      <c r="AJ52" s="1362"/>
      <c r="AK52" s="1362"/>
      <c r="AL52" s="197">
        <f>IF(AI52&lt;&gt;0,AK52/AI52,0)</f>
        <v>0</v>
      </c>
      <c r="AM52" s="196">
        <f>AK52-AJ52</f>
        <v>0</v>
      </c>
      <c r="AN52" s="1361"/>
      <c r="AO52" s="1360"/>
      <c r="AP52" s="1360"/>
      <c r="AQ52" s="1360"/>
      <c r="AR52" s="1360"/>
      <c r="AS52" s="1360"/>
      <c r="AT52" s="1360"/>
      <c r="AU52" s="1360"/>
      <c r="AV52" s="1360"/>
      <c r="AW52" s="1360"/>
      <c r="AX52" s="1360"/>
      <c r="AY52" s="1360"/>
      <c r="AZ52" s="1360"/>
      <c r="BA52" s="1360"/>
      <c r="BB52" s="1360"/>
      <c r="BC52" s="1360"/>
      <c r="BD52" s="1360"/>
      <c r="BE52" s="1360"/>
      <c r="BF52" s="1360"/>
      <c r="BI52" s="899" t="s">
        <v>476</v>
      </c>
    </row>
    <row r="53" spans="1:65" ht="14.65" hidden="1" customHeight="1">
      <c r="E53" s="535">
        <v>15</v>
      </c>
      <c r="F53" s="3" cm="1">
        <f t="array" aca="1" ref="F53" ca="1">OFFSET(E53,-1,1)</f>
        <v>0</v>
      </c>
      <c r="H53" s="41" t="s">
        <v>477</v>
      </c>
      <c r="U53" s="381" t="b" cm="1">
        <f t="array" aca="1" ref="U53" ca="1">U52</f>
        <v>0</v>
      </c>
      <c r="Y53" s="1732"/>
      <c r="Z53" s="1757"/>
      <c r="AB53" s="42" t="s">
        <v>478</v>
      </c>
      <c r="AC53" s="57" t="s">
        <v>479</v>
      </c>
      <c r="AD53" s="55"/>
      <c r="AE53" s="1373"/>
      <c r="AF53" s="1373"/>
      <c r="AG53" s="1373"/>
      <c r="AH53" s="1375"/>
      <c r="AI53" s="1373"/>
      <c r="AJ53" s="1373"/>
      <c r="AK53" s="1373"/>
      <c r="AL53" s="197">
        <f>IF(AI53&lt;&gt;0,AK53/AI53,0)</f>
        <v>0</v>
      </c>
      <c r="AM53" s="196">
        <f>AK53-AJ53</f>
        <v>0</v>
      </c>
      <c r="AN53" s="1375"/>
      <c r="AO53" s="1373"/>
      <c r="AP53" s="1373"/>
      <c r="AQ53" s="1373"/>
      <c r="AR53" s="1373"/>
      <c r="AS53" s="1373"/>
      <c r="AT53" s="1373"/>
      <c r="AU53" s="1373"/>
      <c r="AV53" s="1373"/>
      <c r="AW53" s="1373"/>
      <c r="AX53" s="1373"/>
      <c r="AY53" s="1373"/>
      <c r="AZ53" s="1373"/>
      <c r="BA53" s="1373"/>
      <c r="BB53" s="1373"/>
      <c r="BC53" s="1373"/>
      <c r="BD53" s="1373"/>
      <c r="BE53" s="1373"/>
      <c r="BF53" s="1373"/>
      <c r="BI53" s="899" t="s">
        <v>480</v>
      </c>
    </row>
    <row r="54" spans="1:65" ht="14.65" hidden="1" customHeight="1">
      <c r="E54" s="535">
        <v>15</v>
      </c>
      <c r="F54" s="3" cm="1">
        <f t="array" aca="1" ref="F54" ca="1">OFFSET(E54,-1,1)</f>
        <v>0</v>
      </c>
      <c r="H54" s="41" t="s">
        <v>481</v>
      </c>
      <c r="U54" s="381" t="b" cm="1">
        <f t="array" aca="1" ref="U54" ca="1">U53</f>
        <v>0</v>
      </c>
      <c r="Y54" s="1732"/>
      <c r="Z54" s="1757"/>
      <c r="AB54" s="42" t="s">
        <v>482</v>
      </c>
      <c r="AC54" s="56" t="s">
        <v>483</v>
      </c>
      <c r="AD54" s="55"/>
      <c r="AE54" s="1373"/>
      <c r="AF54" s="1373"/>
      <c r="AG54" s="1373"/>
      <c r="AH54" s="1375"/>
      <c r="AI54" s="1373"/>
      <c r="AJ54" s="1373"/>
      <c r="AK54" s="1373"/>
      <c r="AL54" s="197">
        <f>IF(AI54&lt;&gt;0,AK54/AI54,0)</f>
        <v>0</v>
      </c>
      <c r="AM54" s="196">
        <f>AK54-AJ54</f>
        <v>0</v>
      </c>
      <c r="AN54" s="1375"/>
      <c r="AO54" s="1373"/>
      <c r="AP54" s="1373"/>
      <c r="AQ54" s="1373"/>
      <c r="AR54" s="1373"/>
      <c r="AS54" s="1373"/>
      <c r="AT54" s="1373"/>
      <c r="AU54" s="1373"/>
      <c r="AV54" s="1373"/>
      <c r="AW54" s="1373"/>
      <c r="AX54" s="1373"/>
      <c r="AY54" s="1373"/>
      <c r="AZ54" s="1373"/>
      <c r="BA54" s="1373"/>
      <c r="BB54" s="1373"/>
      <c r="BC54" s="1373"/>
      <c r="BD54" s="1373"/>
      <c r="BE54" s="1373"/>
      <c r="BF54" s="1373"/>
      <c r="BI54" s="899" t="s">
        <v>484</v>
      </c>
    </row>
    <row r="55" spans="1:65" s="1376" customFormat="1" ht="14.25" customHeight="1">
      <c r="A55" s="1079"/>
      <c r="B55" s="346"/>
      <c r="C55" s="1079"/>
      <c r="D55" s="1079"/>
      <c r="E55" s="547">
        <v>15</v>
      </c>
      <c r="F55" s="663" t="str" cm="1">
        <f t="array" ref="F55">Y55</f>
        <v>1</v>
      </c>
      <c r="G55" s="1079"/>
      <c r="H55" s="1079"/>
      <c r="I55" s="1079"/>
      <c r="J55" s="1079"/>
      <c r="K55" s="1079"/>
      <c r="L55" s="1079"/>
      <c r="M55" s="1079"/>
      <c r="N55" s="1079"/>
      <c r="O55" s="1079"/>
      <c r="P55" s="1079"/>
      <c r="Q55" s="1079"/>
      <c r="R55" s="1079"/>
      <c r="S55" s="1079"/>
      <c r="T55" s="1079"/>
      <c r="U55" s="381" t="b">
        <f>Y55&gt;0</f>
        <v>1</v>
      </c>
      <c r="V55" s="1079"/>
      <c r="W55" s="63" t="str" cm="1">
        <f t="array" ref="W55">'Список объектов'!$AB$30</f>
        <v>Тариф 1 (Водоснабжение) - тариф на питьевую воду</v>
      </c>
      <c r="X55" s="1079"/>
      <c r="Y55" s="1732" t="s">
        <v>281</v>
      </c>
      <c r="Z55" s="1757"/>
      <c r="AA55" s="1079"/>
      <c r="AB55" s="102" t="str" cm="1">
        <f t="array" ref="AB55">'Список объектов'!$AB$30</f>
        <v>Тариф 1 (Водоснабжение) - тариф на питьевую воду</v>
      </c>
      <c r="AC55" s="99"/>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1079"/>
      <c r="BH55" s="1079"/>
      <c r="BI55" s="915"/>
      <c r="BJ55" s="915"/>
      <c r="BK55" s="915"/>
      <c r="BL55" s="547"/>
      <c r="BM55" s="547"/>
    </row>
    <row r="56" spans="1:65" s="1327" customFormat="1" ht="14.25" customHeight="1">
      <c r="A56" s="1210"/>
      <c r="B56" s="1104"/>
      <c r="C56" s="1210"/>
      <c r="D56" s="1210"/>
      <c r="E56" s="535">
        <v>15</v>
      </c>
      <c r="F56" s="3" t="str" cm="1">
        <f t="array" aca="1" ref="F56" ca="1">OFFSET(E56,-1,1)</f>
        <v>1</v>
      </c>
      <c r="G56" s="41" t="s">
        <v>424</v>
      </c>
      <c r="H56" s="1210"/>
      <c r="I56" s="1210"/>
      <c r="J56" s="1210"/>
      <c r="K56" s="1210"/>
      <c r="L56" s="1210"/>
      <c r="M56" s="1210"/>
      <c r="N56" s="1210"/>
      <c r="O56" s="1210"/>
      <c r="P56" s="1210"/>
      <c r="Q56" s="1210"/>
      <c r="R56" s="1210"/>
      <c r="S56" s="1210"/>
      <c r="T56" s="1210"/>
      <c r="U56" s="381" t="b" cm="1">
        <f t="array" ref="U56">U55</f>
        <v>1</v>
      </c>
      <c r="V56" s="1210"/>
      <c r="W56" s="1210"/>
      <c r="X56" s="1210"/>
      <c r="Y56" s="1732"/>
      <c r="Z56" s="1757"/>
      <c r="AA56" s="1210"/>
      <c r="AB56" s="186"/>
      <c r="AC56" s="187" t="s">
        <v>425</v>
      </c>
      <c r="AD56" s="188"/>
      <c r="AE56" s="188"/>
      <c r="AF56" s="188"/>
      <c r="AG56" s="188"/>
      <c r="AH56" s="188"/>
      <c r="AI56" s="219">
        <f>(1-AI57/100)*(1+AI58/100)*(1+AI60/100)</f>
        <v>1</v>
      </c>
      <c r="AJ56" s="219">
        <f>(1-AJ57/100)*(1+AJ58/100)*(1+AJ60/100)</f>
        <v>1</v>
      </c>
      <c r="AK56" s="219">
        <f>(1-AK57/100)*(1+AK58/100)*(1+AK60/100)</f>
        <v>1.0509999999999999</v>
      </c>
      <c r="AL56" s="188"/>
      <c r="AM56" s="188"/>
      <c r="AN56" s="188"/>
      <c r="AO56" s="219">
        <f t="shared" ref="AO56:BF56" si="3">(1-AO57/100)*(1+AO58/100)*(1+AO60/100)</f>
        <v>1</v>
      </c>
      <c r="AP56" s="219">
        <f t="shared" si="3"/>
        <v>1</v>
      </c>
      <c r="AQ56" s="219">
        <f t="shared" si="3"/>
        <v>1</v>
      </c>
      <c r="AR56" s="219">
        <f t="shared" si="3"/>
        <v>1</v>
      </c>
      <c r="AS56" s="219">
        <f t="shared" si="3"/>
        <v>1</v>
      </c>
      <c r="AT56" s="219">
        <f t="shared" si="3"/>
        <v>1</v>
      </c>
      <c r="AU56" s="219">
        <f t="shared" si="3"/>
        <v>1</v>
      </c>
      <c r="AV56" s="219">
        <f t="shared" si="3"/>
        <v>1</v>
      </c>
      <c r="AW56" s="219">
        <f t="shared" si="3"/>
        <v>1</v>
      </c>
      <c r="AX56" s="219">
        <f t="shared" si="3"/>
        <v>1</v>
      </c>
      <c r="AY56" s="219">
        <f t="shared" si="3"/>
        <v>1</v>
      </c>
      <c r="AZ56" s="219">
        <f t="shared" si="3"/>
        <v>1</v>
      </c>
      <c r="BA56" s="219">
        <f t="shared" si="3"/>
        <v>1</v>
      </c>
      <c r="BB56" s="219">
        <f t="shared" si="3"/>
        <v>1</v>
      </c>
      <c r="BC56" s="219">
        <f t="shared" si="3"/>
        <v>1</v>
      </c>
      <c r="BD56" s="219">
        <f t="shared" si="3"/>
        <v>1</v>
      </c>
      <c r="BE56" s="219">
        <f t="shared" si="3"/>
        <v>1</v>
      </c>
      <c r="BF56" s="219">
        <f t="shared" si="3"/>
        <v>1</v>
      </c>
      <c r="BG56" s="1210"/>
      <c r="BH56" s="1210"/>
      <c r="BI56" s="1126"/>
      <c r="BJ56" s="1126"/>
      <c r="BK56" s="1126"/>
      <c r="BL56" s="1073"/>
      <c r="BM56" s="1073"/>
    </row>
    <row r="57" spans="1:65" s="1327" customFormat="1" ht="21.75" hidden="1" customHeight="1">
      <c r="A57" s="1210"/>
      <c r="B57" s="363" t="b">
        <f>method_reg&lt;&gt;"Метод экономически обоснованных расходов"</f>
        <v>0</v>
      </c>
      <c r="C57" s="1210"/>
      <c r="D57" s="1210"/>
      <c r="E57" s="535">
        <v>22.5</v>
      </c>
      <c r="F57" s="3" t="str" cm="1">
        <f t="array" aca="1" ref="F57" ca="1">OFFSET(E57,-1,1)</f>
        <v>1</v>
      </c>
      <c r="G57" s="41" t="s">
        <v>426</v>
      </c>
      <c r="H57" s="41" t="s">
        <v>427</v>
      </c>
      <c r="I57" s="1210"/>
      <c r="J57" s="1210"/>
      <c r="K57" s="1210"/>
      <c r="L57" s="1210"/>
      <c r="M57" s="1210"/>
      <c r="N57" s="1210"/>
      <c r="O57" s="1210"/>
      <c r="P57" s="1210"/>
      <c r="Q57" s="1210"/>
      <c r="R57" s="1210"/>
      <c r="S57" s="1210"/>
      <c r="T57" s="1210"/>
      <c r="U57" s="381" t="b" cm="1">
        <f t="array" ref="U57">U56</f>
        <v>1</v>
      </c>
      <c r="V57" s="1210"/>
      <c r="W57" s="1210"/>
      <c r="X57" s="1210"/>
      <c r="Y57" s="1732"/>
      <c r="Z57" s="1757"/>
      <c r="AA57" s="1210"/>
      <c r="AB57" s="52">
        <v>1</v>
      </c>
      <c r="AC57" s="53" t="s">
        <v>428</v>
      </c>
      <c r="AD57" s="55" t="s">
        <v>423</v>
      </c>
      <c r="AE57" s="1360"/>
      <c r="AF57" s="1360"/>
      <c r="AG57" s="1360"/>
      <c r="AH57" s="1361"/>
      <c r="AI57" s="1360"/>
      <c r="AJ57" s="1360"/>
      <c r="AK57" s="1360"/>
      <c r="AL57" s="197">
        <f>IF(AI57&lt;&gt;0,AK57/AI57,0)</f>
        <v>0</v>
      </c>
      <c r="AM57" s="196">
        <f>AK57-AJ57</f>
        <v>0</v>
      </c>
      <c r="AN57" s="1361"/>
      <c r="AO57" s="1360"/>
      <c r="AP57" s="1360"/>
      <c r="AQ57" s="1360"/>
      <c r="AR57" s="1360"/>
      <c r="AS57" s="1360"/>
      <c r="AT57" s="1360"/>
      <c r="AU57" s="1360"/>
      <c r="AV57" s="1360"/>
      <c r="AW57" s="1360"/>
      <c r="AX57" s="1360"/>
      <c r="AY57" s="1360"/>
      <c r="AZ57" s="1360"/>
      <c r="BA57" s="1360"/>
      <c r="BB57" s="1360"/>
      <c r="BC57" s="1360"/>
      <c r="BD57" s="1360"/>
      <c r="BE57" s="1360"/>
      <c r="BF57" s="1360"/>
      <c r="BG57" s="1210"/>
      <c r="BH57" s="1210"/>
      <c r="BI57" s="899" t="s">
        <v>429</v>
      </c>
      <c r="BJ57" s="1126"/>
      <c r="BK57" s="1126"/>
      <c r="BL57" s="1073"/>
      <c r="BM57" s="1073"/>
    </row>
    <row r="58" spans="1:65" s="1327" customFormat="1" ht="54.75" customHeight="1">
      <c r="A58" s="1210"/>
      <c r="B58" s="1104"/>
      <c r="C58" s="1210"/>
      <c r="D58" s="1210"/>
      <c r="E58" s="535">
        <v>15</v>
      </c>
      <c r="F58" s="3" t="str" cm="1">
        <f t="array" aca="1" ref="F58" ca="1">OFFSET(E58,-1,1)</f>
        <v>1</v>
      </c>
      <c r="G58" s="41" t="s">
        <v>430</v>
      </c>
      <c r="H58" s="41" t="s">
        <v>431</v>
      </c>
      <c r="I58" s="1210"/>
      <c r="J58" s="1210"/>
      <c r="K58" s="1210"/>
      <c r="L58" s="1210"/>
      <c r="M58" s="1210"/>
      <c r="N58" s="1210"/>
      <c r="O58" s="1210"/>
      <c r="P58" s="1210"/>
      <c r="Q58" s="1210"/>
      <c r="R58" s="1210"/>
      <c r="S58" s="1210"/>
      <c r="T58" s="1210"/>
      <c r="U58" s="381" t="b" cm="1">
        <f t="array" ref="U58">U57</f>
        <v>1</v>
      </c>
      <c r="V58" s="1210"/>
      <c r="W58" s="1210"/>
      <c r="X58" s="1210"/>
      <c r="Y58" s="1732"/>
      <c r="Z58" s="1757"/>
      <c r="AA58" s="1210"/>
      <c r="AB58" s="52">
        <f>IF(B57,2,1)</f>
        <v>1</v>
      </c>
      <c r="AC58" s="54" t="s">
        <v>432</v>
      </c>
      <c r="AD58" s="55" t="s">
        <v>423</v>
      </c>
      <c r="AE58" s="192"/>
      <c r="AF58" s="192"/>
      <c r="AG58" s="192"/>
      <c r="AH58" s="118"/>
      <c r="AI58" s="192"/>
      <c r="AJ58" s="192"/>
      <c r="AK58" s="192">
        <v>5.0999999999999996</v>
      </c>
      <c r="AL58" s="197">
        <f>IF(AI58&lt;&gt;0,AK58/AI58,0)</f>
        <v>0</v>
      </c>
      <c r="AM58" s="196">
        <f>AK58-AJ58</f>
        <v>5.0999999999999996</v>
      </c>
      <c r="AN58" s="118" t="s">
        <v>485</v>
      </c>
      <c r="AO58" s="192"/>
      <c r="AP58" s="192"/>
      <c r="AQ58" s="192"/>
      <c r="AR58" s="192"/>
      <c r="AS58" s="192"/>
      <c r="AT58" s="192"/>
      <c r="AU58" s="192"/>
      <c r="AV58" s="192"/>
      <c r="AW58" s="192"/>
      <c r="AX58" s="192"/>
      <c r="AY58" s="192"/>
      <c r="AZ58" s="192"/>
      <c r="BA58" s="192"/>
      <c r="BB58" s="192"/>
      <c r="BC58" s="192"/>
      <c r="BD58" s="192"/>
      <c r="BE58" s="192"/>
      <c r="BF58" s="192"/>
      <c r="BG58" s="1210"/>
      <c r="BH58" s="1210"/>
      <c r="BI58" s="899" t="s">
        <v>433</v>
      </c>
      <c r="BJ58" s="1126"/>
      <c r="BK58" s="1126"/>
      <c r="BL58" s="1073"/>
      <c r="BM58" s="1073"/>
    </row>
    <row r="59" spans="1:65" s="1327" customFormat="1" ht="14.65" customHeight="1">
      <c r="A59" s="1210"/>
      <c r="B59" s="1104"/>
      <c r="C59" s="1210"/>
      <c r="D59" s="1210"/>
      <c r="E59" s="535">
        <v>15</v>
      </c>
      <c r="F59" s="3" t="str" cm="1">
        <f t="array" aca="1" ref="F59" ca="1">OFFSET(E59,-1,1)</f>
        <v>1</v>
      </c>
      <c r="G59" s="1210"/>
      <c r="H59" s="41" t="s">
        <v>434</v>
      </c>
      <c r="I59" s="1210"/>
      <c r="J59" s="1210"/>
      <c r="K59" s="1210"/>
      <c r="L59" s="1210"/>
      <c r="M59" s="1210"/>
      <c r="N59" s="1210"/>
      <c r="O59" s="1210"/>
      <c r="P59" s="1210"/>
      <c r="Q59" s="1210"/>
      <c r="R59" s="1210"/>
      <c r="S59" s="1210"/>
      <c r="T59" s="1210"/>
      <c r="U59" s="381" t="b" cm="1">
        <f t="array" ref="U59">U58</f>
        <v>1</v>
      </c>
      <c r="V59" s="1210"/>
      <c r="W59" s="1210"/>
      <c r="X59" s="1210"/>
      <c r="Y59" s="1732"/>
      <c r="Z59" s="1757"/>
      <c r="AA59" s="1210"/>
      <c r="AB59" s="52">
        <f>AB58+1</f>
        <v>2</v>
      </c>
      <c r="AC59" s="56" t="s">
        <v>435</v>
      </c>
      <c r="AD59" s="55" t="s">
        <v>423</v>
      </c>
      <c r="AE59" s="192"/>
      <c r="AF59" s="192"/>
      <c r="AG59" s="192"/>
      <c r="AH59" s="118"/>
      <c r="AI59" s="192"/>
      <c r="AJ59" s="192"/>
      <c r="AK59" s="192"/>
      <c r="AL59" s="197">
        <f>IF(AI59&lt;&gt;0,AK59/AI59,0)</f>
        <v>0</v>
      </c>
      <c r="AM59" s="196">
        <f>AK59-AJ59</f>
        <v>0</v>
      </c>
      <c r="AN59" s="118"/>
      <c r="AO59" s="192"/>
      <c r="AP59" s="192"/>
      <c r="AQ59" s="192"/>
      <c r="AR59" s="192"/>
      <c r="AS59" s="192"/>
      <c r="AT59" s="192"/>
      <c r="AU59" s="192"/>
      <c r="AV59" s="192"/>
      <c r="AW59" s="192"/>
      <c r="AX59" s="192"/>
      <c r="AY59" s="192"/>
      <c r="AZ59" s="192"/>
      <c r="BA59" s="192"/>
      <c r="BB59" s="192"/>
      <c r="BC59" s="192"/>
      <c r="BD59" s="192"/>
      <c r="BE59" s="192"/>
      <c r="BF59" s="192"/>
      <c r="BG59" s="1210"/>
      <c r="BH59" s="1210"/>
      <c r="BI59" s="899" t="s">
        <v>436</v>
      </c>
      <c r="BJ59" s="1126"/>
      <c r="BK59" s="1126"/>
      <c r="BL59" s="1073"/>
      <c r="BM59" s="1073"/>
    </row>
    <row r="60" spans="1:65" s="1327" customFormat="1" ht="14.25" hidden="1" customHeight="1">
      <c r="A60" s="1210"/>
      <c r="B60" s="363" t="b">
        <f>method_reg&lt;&gt;"Метод экономически обоснованных расходов"</f>
        <v>0</v>
      </c>
      <c r="C60" s="1210"/>
      <c r="D60" s="1210"/>
      <c r="E60" s="535">
        <v>15</v>
      </c>
      <c r="F60" s="3" t="str" cm="1">
        <f t="array" aca="1" ref="F60" ca="1">OFFSET(E60,-1,1)</f>
        <v>1</v>
      </c>
      <c r="G60" s="41" t="s">
        <v>437</v>
      </c>
      <c r="H60" s="41" t="s">
        <v>438</v>
      </c>
      <c r="I60" s="1210"/>
      <c r="J60" s="1210"/>
      <c r="K60" s="1210"/>
      <c r="L60" s="1210"/>
      <c r="M60" s="1210"/>
      <c r="N60" s="1210"/>
      <c r="O60" s="1210"/>
      <c r="P60" s="1210"/>
      <c r="Q60" s="1210"/>
      <c r="R60" s="1210"/>
      <c r="S60" s="1210"/>
      <c r="T60" s="1210"/>
      <c r="U60" s="381" t="b" cm="1">
        <f t="array" ref="U60">U59</f>
        <v>1</v>
      </c>
      <c r="V60" s="1210"/>
      <c r="W60" s="1210"/>
      <c r="X60" s="1210"/>
      <c r="Y60" s="1732"/>
      <c r="Z60" s="1757"/>
      <c r="AA60" s="1210"/>
      <c r="AB60" s="52">
        <v>4</v>
      </c>
      <c r="AC60" s="54" t="s">
        <v>439</v>
      </c>
      <c r="AD60" s="55" t="s">
        <v>423</v>
      </c>
      <c r="AE60" s="1360"/>
      <c r="AF60" s="1360"/>
      <c r="AG60" s="1360"/>
      <c r="AH60" s="1361"/>
      <c r="AI60" s="1360"/>
      <c r="AJ60" s="1360"/>
      <c r="AK60" s="1360"/>
      <c r="AL60" s="197">
        <f>IF(AI60&lt;&gt;0,AK60/AI60,0)</f>
        <v>0</v>
      </c>
      <c r="AM60" s="196">
        <f>AK60-AJ60</f>
        <v>0</v>
      </c>
      <c r="AN60" s="1361"/>
      <c r="AO60" s="1360"/>
      <c r="AP60" s="1360"/>
      <c r="AQ60" s="1360"/>
      <c r="AR60" s="1360"/>
      <c r="AS60" s="1360"/>
      <c r="AT60" s="1360"/>
      <c r="AU60" s="1360"/>
      <c r="AV60" s="1360"/>
      <c r="AW60" s="1360"/>
      <c r="AX60" s="1360"/>
      <c r="AY60" s="1360"/>
      <c r="AZ60" s="1360"/>
      <c r="BA60" s="1360"/>
      <c r="BB60" s="1360"/>
      <c r="BC60" s="1360"/>
      <c r="BD60" s="1360"/>
      <c r="BE60" s="1360"/>
      <c r="BF60" s="1360"/>
      <c r="BG60" s="1210"/>
      <c r="BH60" s="1210"/>
      <c r="BI60" s="899" t="s">
        <v>440</v>
      </c>
      <c r="BJ60" s="1126"/>
      <c r="BK60" s="1126"/>
      <c r="BL60" s="1073"/>
      <c r="BM60" s="1073"/>
    </row>
    <row r="61" spans="1:65" s="1314" customFormat="1" ht="14.25" customHeight="1">
      <c r="A61" s="68"/>
      <c r="B61" s="364"/>
      <c r="C61" s="68"/>
      <c r="D61" s="68"/>
      <c r="E61" s="593">
        <v>15</v>
      </c>
      <c r="F61" s="286" t="str" cm="1">
        <f t="array" aca="1" ref="F61" ca="1">OFFSET(E61,-1,1)</f>
        <v>1</v>
      </c>
      <c r="G61" s="68"/>
      <c r="H61" s="68"/>
      <c r="I61" s="68"/>
      <c r="J61" s="68"/>
      <c r="K61" s="68"/>
      <c r="L61" s="68"/>
      <c r="M61" s="68"/>
      <c r="N61" s="68"/>
      <c r="O61" s="68"/>
      <c r="P61" s="68"/>
      <c r="Q61" s="68"/>
      <c r="R61" s="68"/>
      <c r="S61" s="68"/>
      <c r="T61" s="68"/>
      <c r="U61" s="381" t="b" cm="1">
        <f t="array" ref="U61">U60</f>
        <v>1</v>
      </c>
      <c r="V61" s="68"/>
      <c r="W61" s="68"/>
      <c r="X61" s="68"/>
      <c r="Y61" s="1732"/>
      <c r="Z61" s="1757"/>
      <c r="AA61" s="68"/>
      <c r="AB61" s="52">
        <v>5</v>
      </c>
      <c r="AC61" s="54" t="s">
        <v>441</v>
      </c>
      <c r="AD61" s="55" t="s">
        <v>423</v>
      </c>
      <c r="AE61" s="192"/>
      <c r="AF61" s="192"/>
      <c r="AG61" s="192"/>
      <c r="AH61" s="118"/>
      <c r="AI61" s="192"/>
      <c r="AJ61" s="192"/>
      <c r="AK61" s="192"/>
      <c r="AL61" s="197">
        <f>IF(AI61&lt;&gt;0,AK61/AI61,0)</f>
        <v>0</v>
      </c>
      <c r="AM61" s="196">
        <f>AK61-AJ61</f>
        <v>0</v>
      </c>
      <c r="AN61" s="118"/>
      <c r="AO61" s="192"/>
      <c r="AP61" s="192"/>
      <c r="AQ61" s="192"/>
      <c r="AR61" s="192"/>
      <c r="AS61" s="192"/>
      <c r="AT61" s="192"/>
      <c r="AU61" s="192"/>
      <c r="AV61" s="192"/>
      <c r="AW61" s="192"/>
      <c r="AX61" s="192"/>
      <c r="AY61" s="192"/>
      <c r="AZ61" s="192"/>
      <c r="BA61" s="192"/>
      <c r="BB61" s="192"/>
      <c r="BC61" s="192"/>
      <c r="BD61" s="192"/>
      <c r="BE61" s="192"/>
      <c r="BF61" s="192"/>
      <c r="BG61" s="68"/>
      <c r="BH61" s="68"/>
      <c r="BI61" s="940" t="s">
        <v>442</v>
      </c>
      <c r="BJ61" s="940"/>
      <c r="BK61" s="940"/>
      <c r="BL61" s="593"/>
      <c r="BM61" s="593"/>
    </row>
    <row r="62" spans="1:65" s="1327" customFormat="1" ht="14.25" customHeight="1">
      <c r="A62" s="1210"/>
      <c r="B62" s="1104"/>
      <c r="C62" s="1210"/>
      <c r="D62" s="1210"/>
      <c r="E62" s="535">
        <v>15</v>
      </c>
      <c r="F62" s="3" t="str" cm="1">
        <f t="array" aca="1" ref="F62" ca="1">OFFSET(E62,-1,1)</f>
        <v>1</v>
      </c>
      <c r="G62" s="1210"/>
      <c r="H62" s="1210"/>
      <c r="I62" s="1210"/>
      <c r="J62" s="1210"/>
      <c r="K62" s="1210"/>
      <c r="L62" s="1210"/>
      <c r="M62" s="1210"/>
      <c r="N62" s="1210"/>
      <c r="O62" s="1210"/>
      <c r="P62" s="1210"/>
      <c r="Q62" s="1210"/>
      <c r="R62" s="1210"/>
      <c r="S62" s="1210"/>
      <c r="T62" s="1210"/>
      <c r="U62" s="381" t="b" cm="1">
        <f t="array" ref="U62">U60</f>
        <v>1</v>
      </c>
      <c r="V62" s="1210"/>
      <c r="W62" s="1210"/>
      <c r="X62" s="1210"/>
      <c r="Y62" s="1732"/>
      <c r="Z62" s="1757"/>
      <c r="AA62" s="1210"/>
      <c r="AB62" s="186"/>
      <c r="AC62" s="187" t="s">
        <v>443</v>
      </c>
      <c r="AD62" s="188"/>
      <c r="AE62" s="193"/>
      <c r="AF62" s="193"/>
      <c r="AG62" s="193"/>
      <c r="AH62" s="188"/>
      <c r="AI62" s="193"/>
      <c r="AJ62" s="193"/>
      <c r="AK62" s="193"/>
      <c r="AL62" s="198"/>
      <c r="AM62" s="193"/>
      <c r="AN62" s="188"/>
      <c r="AO62" s="193"/>
      <c r="AP62" s="193"/>
      <c r="AQ62" s="193"/>
      <c r="AR62" s="193"/>
      <c r="AS62" s="193"/>
      <c r="AT62" s="193"/>
      <c r="AU62" s="193"/>
      <c r="AV62" s="193"/>
      <c r="AW62" s="193"/>
      <c r="AX62" s="193"/>
      <c r="AY62" s="193"/>
      <c r="AZ62" s="193"/>
      <c r="BA62" s="193"/>
      <c r="BB62" s="193"/>
      <c r="BC62" s="193"/>
      <c r="BD62" s="193"/>
      <c r="BE62" s="193"/>
      <c r="BF62" s="199"/>
      <c r="BG62" s="1210"/>
      <c r="BH62" s="1210"/>
      <c r="BI62" s="1126"/>
      <c r="BJ62" s="1126"/>
      <c r="BK62" s="1126"/>
      <c r="BL62" s="1073"/>
      <c r="BM62" s="1073"/>
    </row>
    <row r="63" spans="1:65" s="1327" customFormat="1" ht="14.25" customHeight="1">
      <c r="A63" s="1210"/>
      <c r="B63" s="1104"/>
      <c r="C63" s="1210"/>
      <c r="D63" s="1210"/>
      <c r="E63" s="535">
        <v>15</v>
      </c>
      <c r="F63" s="3" t="str" cm="1">
        <f t="array" aca="1" ref="F63" ca="1">OFFSET(E63,-1,1)</f>
        <v>1</v>
      </c>
      <c r="G63" s="41" t="s">
        <v>444</v>
      </c>
      <c r="H63" s="41" t="s">
        <v>445</v>
      </c>
      <c r="I63" s="1210"/>
      <c r="J63" s="1210"/>
      <c r="K63" s="1210"/>
      <c r="L63" s="1210"/>
      <c r="M63" s="1210"/>
      <c r="N63" s="1210"/>
      <c r="O63" s="1210"/>
      <c r="P63" s="1210"/>
      <c r="Q63" s="1210"/>
      <c r="R63" s="1210"/>
      <c r="S63" s="1210"/>
      <c r="T63" s="1210"/>
      <c r="U63" s="381" t="b" cm="1">
        <f t="array" ref="U63">U62</f>
        <v>1</v>
      </c>
      <c r="V63" s="1210"/>
      <c r="W63" s="1210"/>
      <c r="X63" s="1210"/>
      <c r="Y63" s="1732"/>
      <c r="Z63" s="1757"/>
      <c r="AA63" s="1210"/>
      <c r="AB63" s="52">
        <v>1</v>
      </c>
      <c r="AC63" s="54" t="s">
        <v>446</v>
      </c>
      <c r="AD63" s="55" t="s">
        <v>423</v>
      </c>
      <c r="AE63" s="194"/>
      <c r="AF63" s="194"/>
      <c r="AG63" s="194"/>
      <c r="AH63" s="118"/>
      <c r="AI63" s="194"/>
      <c r="AJ63" s="194"/>
      <c r="AK63" s="194"/>
      <c r="AL63" s="197">
        <f>IF(AI63&lt;&gt;0,AK63/AI63,0)</f>
        <v>0</v>
      </c>
      <c r="AM63" s="196">
        <f>AK63-AJ63</f>
        <v>0</v>
      </c>
      <c r="AN63" s="118"/>
      <c r="AO63" s="194"/>
      <c r="AP63" s="194"/>
      <c r="AQ63" s="194"/>
      <c r="AR63" s="194"/>
      <c r="AS63" s="194"/>
      <c r="AT63" s="194"/>
      <c r="AU63" s="194"/>
      <c r="AV63" s="194"/>
      <c r="AW63" s="194"/>
      <c r="AX63" s="194"/>
      <c r="AY63" s="194"/>
      <c r="AZ63" s="194"/>
      <c r="BA63" s="194"/>
      <c r="BB63" s="194"/>
      <c r="BC63" s="194"/>
      <c r="BD63" s="194"/>
      <c r="BE63" s="194"/>
      <c r="BF63" s="194"/>
      <c r="BG63" s="1210"/>
      <c r="BH63" s="1210"/>
      <c r="BI63" s="899" t="s">
        <v>447</v>
      </c>
      <c r="BJ63" s="1126"/>
      <c r="BK63" s="1126"/>
      <c r="BL63" s="1073"/>
      <c r="BM63" s="1073"/>
    </row>
    <row r="64" spans="1:65" s="1327" customFormat="1" ht="15" hidden="1" customHeight="1">
      <c r="A64" s="1210"/>
      <c r="B64" s="1104"/>
      <c r="C64" s="1210"/>
      <c r="D64" s="1210"/>
      <c r="E64" s="535">
        <v>0</v>
      </c>
      <c r="F64" s="3" t="str" cm="1">
        <f t="array" aca="1" ref="F64" ca="1">OFFSET(E64,-1,1)</f>
        <v>1</v>
      </c>
      <c r="G64" s="1210"/>
      <c r="H64" s="41" t="s">
        <v>448</v>
      </c>
      <c r="I64" s="1210"/>
      <c r="J64" s="1210"/>
      <c r="K64" s="1210"/>
      <c r="L64" s="1210"/>
      <c r="M64" s="1210"/>
      <c r="N64" s="1210"/>
      <c r="O64" s="1210"/>
      <c r="P64" s="1210"/>
      <c r="Q64" s="1210"/>
      <c r="R64" s="1210"/>
      <c r="S64" s="1210"/>
      <c r="T64" s="1210"/>
      <c r="U64" s="381" t="b" cm="1">
        <f t="array" ref="U64">U63</f>
        <v>1</v>
      </c>
      <c r="V64" s="1210"/>
      <c r="W64" s="1210"/>
      <c r="X64" s="1210"/>
      <c r="Y64" s="1732"/>
      <c r="Z64" s="1757"/>
      <c r="AA64" s="1210"/>
      <c r="AB64" s="52">
        <v>2</v>
      </c>
      <c r="AC64" s="54" t="s">
        <v>422</v>
      </c>
      <c r="AD64" s="55" t="s">
        <v>423</v>
      </c>
      <c r="AE64" s="1362"/>
      <c r="AF64" s="1360"/>
      <c r="AG64" s="1362"/>
      <c r="AH64" s="1361"/>
      <c r="AI64" s="1362"/>
      <c r="AJ64" s="1362"/>
      <c r="AK64" s="1362"/>
      <c r="AL64" s="197">
        <f>IF(AI64&lt;&gt;0,AK64/AI64,0)</f>
        <v>0</v>
      </c>
      <c r="AM64" s="196">
        <f>AK64-AJ64</f>
        <v>0</v>
      </c>
      <c r="AN64" s="1361"/>
      <c r="AO64" s="1362"/>
      <c r="AP64" s="1362"/>
      <c r="AQ64" s="1362"/>
      <c r="AR64" s="1362"/>
      <c r="AS64" s="1362"/>
      <c r="AT64" s="1362"/>
      <c r="AU64" s="1362"/>
      <c r="AV64" s="1362"/>
      <c r="AW64" s="1362"/>
      <c r="AX64" s="1362"/>
      <c r="AY64" s="1362"/>
      <c r="AZ64" s="1362"/>
      <c r="BA64" s="1362"/>
      <c r="BB64" s="1362"/>
      <c r="BC64" s="1362"/>
      <c r="BD64" s="1362"/>
      <c r="BE64" s="1362"/>
      <c r="BF64" s="1362"/>
      <c r="BG64" s="1210"/>
      <c r="BH64" s="1210"/>
      <c r="BI64" s="899" t="s">
        <v>449</v>
      </c>
      <c r="BJ64" s="1126"/>
      <c r="BK64" s="1126"/>
      <c r="BL64" s="1073"/>
      <c r="BM64" s="1073"/>
    </row>
    <row r="65" spans="1:65" s="1327" customFormat="1" ht="14.25" customHeight="1">
      <c r="A65" s="1210"/>
      <c r="B65" s="1104"/>
      <c r="C65" s="1210"/>
      <c r="D65" s="1210"/>
      <c r="E65" s="535">
        <v>15</v>
      </c>
      <c r="F65" s="3" t="str" cm="1">
        <f t="array" aca="1" ref="F65" ca="1">OFFSET(E65,-1,1)</f>
        <v>1</v>
      </c>
      <c r="G65" s="1210"/>
      <c r="H65" s="1210"/>
      <c r="I65" s="1210"/>
      <c r="J65" s="1210"/>
      <c r="K65" s="1210"/>
      <c r="L65" s="1210"/>
      <c r="M65" s="1210"/>
      <c r="N65" s="1210"/>
      <c r="O65" s="1210"/>
      <c r="P65" s="1210"/>
      <c r="Q65" s="1210"/>
      <c r="R65" s="1210"/>
      <c r="S65" s="1210"/>
      <c r="T65" s="1210"/>
      <c r="U65" s="381" t="b" cm="1">
        <f t="array" ref="U65">U64</f>
        <v>1</v>
      </c>
      <c r="V65" s="1210"/>
      <c r="W65" s="1210"/>
      <c r="X65" s="1210"/>
      <c r="Y65" s="1732"/>
      <c r="Z65" s="1757"/>
      <c r="AA65" s="1210"/>
      <c r="AB65" s="523">
        <v>2</v>
      </c>
      <c r="AC65" s="524" t="s">
        <v>450</v>
      </c>
      <c r="AD65" s="13"/>
      <c r="AE65" s="525"/>
      <c r="AF65" s="526"/>
      <c r="AG65" s="527"/>
      <c r="AH65" s="528"/>
      <c r="AI65" s="525"/>
      <c r="AJ65" s="526"/>
      <c r="AK65" s="526"/>
      <c r="AL65" s="529"/>
      <c r="AM65" s="526"/>
      <c r="AN65" s="528"/>
      <c r="AO65" s="525"/>
      <c r="AP65" s="525"/>
      <c r="AQ65" s="525"/>
      <c r="AR65" s="525"/>
      <c r="AS65" s="525"/>
      <c r="AT65" s="525"/>
      <c r="AU65" s="525"/>
      <c r="AV65" s="525"/>
      <c r="AW65" s="525"/>
      <c r="AX65" s="525"/>
      <c r="AY65" s="525"/>
      <c r="AZ65" s="525"/>
      <c r="BA65" s="525"/>
      <c r="BB65" s="525"/>
      <c r="BC65" s="525"/>
      <c r="BD65" s="525"/>
      <c r="BE65" s="525"/>
      <c r="BF65" s="525"/>
      <c r="BG65" s="1210"/>
      <c r="BH65" s="1210"/>
      <c r="BI65" s="899" t="s">
        <v>451</v>
      </c>
      <c r="BJ65" s="1126"/>
      <c r="BK65" s="1126"/>
      <c r="BL65" s="1073"/>
      <c r="BM65" s="1073"/>
    </row>
    <row r="66" spans="1:65" s="1327" customFormat="1" ht="21.75" customHeight="1">
      <c r="A66" s="1210"/>
      <c r="B66" s="1104"/>
      <c r="C66" s="1210"/>
      <c r="D66" s="1210"/>
      <c r="E66" s="535">
        <v>22.5</v>
      </c>
      <c r="F66" s="3" t="str" cm="1">
        <f t="array" aca="1" ref="F66" ca="1">OFFSET(E66,-1,1)</f>
        <v>1</v>
      </c>
      <c r="G66" s="1210"/>
      <c r="H66" s="41" t="s">
        <v>452</v>
      </c>
      <c r="I66" s="1210"/>
      <c r="J66" s="1210"/>
      <c r="K66" s="1210"/>
      <c r="L66" s="1210"/>
      <c r="M66" s="1210"/>
      <c r="N66" s="1210"/>
      <c r="O66" s="1210"/>
      <c r="P66" s="1210"/>
      <c r="Q66" s="1210"/>
      <c r="R66" s="1210"/>
      <c r="S66" s="1210"/>
      <c r="T66" s="1210"/>
      <c r="U66" s="381" t="b" cm="1">
        <f t="array" ref="U66">U65</f>
        <v>1</v>
      </c>
      <c r="V66" s="1210"/>
      <c r="W66" s="1210"/>
      <c r="X66" s="1210"/>
      <c r="Y66" s="1732"/>
      <c r="Z66" s="1757"/>
      <c r="AA66" s="1210"/>
      <c r="AB66" s="138" t="s">
        <v>453</v>
      </c>
      <c r="AC66" s="132" t="s">
        <v>454</v>
      </c>
      <c r="AD66" s="10" t="s">
        <v>455</v>
      </c>
      <c r="AE66" s="221"/>
      <c r="AF66" s="530"/>
      <c r="AG66" s="531"/>
      <c r="AH66" s="223"/>
      <c r="AI66" s="221"/>
      <c r="AJ66" s="530"/>
      <c r="AK66" s="530"/>
      <c r="AL66" s="532">
        <f>IF(AI66&lt;&gt;0,AK66/AI66,0)</f>
        <v>0</v>
      </c>
      <c r="AM66" s="533">
        <f>AK66-AJ66</f>
        <v>0</v>
      </c>
      <c r="AN66" s="223"/>
      <c r="AO66" s="221"/>
      <c r="AP66" s="221"/>
      <c r="AQ66" s="221"/>
      <c r="AR66" s="221"/>
      <c r="AS66" s="221"/>
      <c r="AT66" s="221"/>
      <c r="AU66" s="221"/>
      <c r="AV66" s="221"/>
      <c r="AW66" s="221"/>
      <c r="AX66" s="221"/>
      <c r="AY66" s="221"/>
      <c r="AZ66" s="221"/>
      <c r="BA66" s="221"/>
      <c r="BB66" s="221"/>
      <c r="BC66" s="221"/>
      <c r="BD66" s="221"/>
      <c r="BE66" s="221"/>
      <c r="BF66" s="221"/>
      <c r="BG66" s="1210"/>
      <c r="BH66" s="1210"/>
      <c r="BI66" s="899" t="s">
        <v>456</v>
      </c>
      <c r="BJ66" s="1126"/>
      <c r="BK66" s="1126"/>
      <c r="BL66" s="1073"/>
      <c r="BM66" s="1073"/>
    </row>
    <row r="67" spans="1:65" s="1327" customFormat="1" ht="21.75" hidden="1" customHeight="1">
      <c r="A67" s="1210"/>
      <c r="B67" s="1104"/>
      <c r="C67" s="1210"/>
      <c r="D67" s="1210"/>
      <c r="E67" s="535">
        <v>22.5</v>
      </c>
      <c r="F67" s="3" t="str" cm="1">
        <f t="array" aca="1" ref="F67" ca="1">OFFSET(E67,-1,1)</f>
        <v>1</v>
      </c>
      <c r="G67" s="1210"/>
      <c r="H67" s="1210"/>
      <c r="I67" s="41" cm="1">
        <f t="array" ref="I67">AC67</f>
        <v>0</v>
      </c>
      <c r="J67" s="1210"/>
      <c r="K67" s="1210"/>
      <c r="L67" s="1210"/>
      <c r="M67" s="1210"/>
      <c r="N67" s="1210"/>
      <c r="O67" s="1210"/>
      <c r="P67" s="1210"/>
      <c r="Q67" s="1210"/>
      <c r="R67" s="1210"/>
      <c r="S67" s="1210"/>
      <c r="T67" s="1210"/>
      <c r="U67" s="381" t="b">
        <f ca="1">AND(F67&gt;0,--RIGHT(AB67,1)&gt;1)</f>
        <v>0</v>
      </c>
      <c r="V67" s="1210"/>
      <c r="W67" s="1210"/>
      <c r="X67" s="671" t="s">
        <v>173</v>
      </c>
      <c r="Y67" s="1732"/>
      <c r="Z67" s="1757"/>
      <c r="AA67" s="337" t="s">
        <v>174</v>
      </c>
      <c r="AB67" s="138" t="s">
        <v>453</v>
      </c>
      <c r="AC67" s="1367"/>
      <c r="AD67" s="10" t="s">
        <v>455</v>
      </c>
      <c r="AE67" s="1363"/>
      <c r="AF67" s="1364"/>
      <c r="AG67" s="1365"/>
      <c r="AH67" s="1366"/>
      <c r="AI67" s="1363"/>
      <c r="AJ67" s="1364"/>
      <c r="AK67" s="1364"/>
      <c r="AL67" s="532">
        <f>IF(AI67&lt;&gt;0,AK67/AI67,0)</f>
        <v>0</v>
      </c>
      <c r="AM67" s="533">
        <f>AK67-AJ67</f>
        <v>0</v>
      </c>
      <c r="AN67" s="1366"/>
      <c r="AO67" s="1363"/>
      <c r="AP67" s="1363"/>
      <c r="AQ67" s="1363"/>
      <c r="AR67" s="1363"/>
      <c r="AS67" s="1363"/>
      <c r="AT67" s="1363"/>
      <c r="AU67" s="1363"/>
      <c r="AV67" s="1363"/>
      <c r="AW67" s="1363"/>
      <c r="AX67" s="1363"/>
      <c r="AY67" s="1363"/>
      <c r="AZ67" s="1363"/>
      <c r="BA67" s="1363"/>
      <c r="BB67" s="1363"/>
      <c r="BC67" s="1363"/>
      <c r="BD67" s="1363"/>
      <c r="BE67" s="1363"/>
      <c r="BF67" s="1363"/>
      <c r="BG67" s="1210"/>
      <c r="BH67" s="1210"/>
      <c r="BI67" s="899" t="s">
        <v>456</v>
      </c>
      <c r="BJ67" s="899" t="s">
        <v>457</v>
      </c>
      <c r="BK67" s="899" cm="1">
        <f t="array" ref="BK67">AC67</f>
        <v>0</v>
      </c>
      <c r="BL67" s="1073"/>
      <c r="BM67" s="535" t="b">
        <v>1</v>
      </c>
    </row>
    <row r="68" spans="1:65" s="1327" customFormat="1" ht="14.25" customHeight="1">
      <c r="A68" s="1210"/>
      <c r="B68" s="1104"/>
      <c r="C68" s="1210"/>
      <c r="D68" s="1210"/>
      <c r="E68" s="535">
        <v>15</v>
      </c>
      <c r="F68" s="3" t="str" cm="1">
        <f t="array" aca="1" ref="F68" ca="1">OFFSET(E68,-1,1)</f>
        <v>1</v>
      </c>
      <c r="G68" s="1210"/>
      <c r="H68" s="1210"/>
      <c r="I68" s="1210"/>
      <c r="J68" s="1210"/>
      <c r="K68" s="1210"/>
      <c r="L68" s="1210"/>
      <c r="M68" s="1210"/>
      <c r="N68" s="1210"/>
      <c r="O68" s="1210"/>
      <c r="P68" s="1210"/>
      <c r="Q68" s="1210"/>
      <c r="R68" s="1210"/>
      <c r="S68" s="1210"/>
      <c r="T68" s="1210"/>
      <c r="U68" s="381" t="b">
        <f ca="1">F68&gt;0</f>
        <v>1</v>
      </c>
      <c r="V68" s="1210"/>
      <c r="W68" s="1210"/>
      <c r="X68" s="671" t="s">
        <v>395</v>
      </c>
      <c r="Y68" s="1732"/>
      <c r="Z68" s="1757"/>
      <c r="AA68" s="1210"/>
      <c r="AB68" s="94"/>
      <c r="AC68" s="222" t="s">
        <v>177</v>
      </c>
      <c r="AD68" s="95"/>
      <c r="AE68" s="95"/>
      <c r="AF68" s="95"/>
      <c r="AG68" s="95"/>
      <c r="AH68" s="95"/>
      <c r="AI68" s="95"/>
      <c r="AJ68" s="95"/>
      <c r="AK68" s="95"/>
      <c r="AL68" s="95"/>
      <c r="AM68" s="95"/>
      <c r="AN68" s="95"/>
      <c r="AO68" s="95"/>
      <c r="AP68" s="95"/>
      <c r="AQ68" s="95"/>
      <c r="AR68" s="95"/>
      <c r="AS68" s="95"/>
      <c r="AT68" s="95"/>
      <c r="AU68" s="95"/>
      <c r="AV68" s="95"/>
      <c r="AW68" s="95"/>
      <c r="AX68" s="95"/>
      <c r="AY68" s="95"/>
      <c r="AZ68" s="95"/>
      <c r="BA68" s="95"/>
      <c r="BB68" s="95"/>
      <c r="BC68" s="95"/>
      <c r="BD68" s="95"/>
      <c r="BE68" s="95"/>
      <c r="BF68" s="95"/>
      <c r="BG68" s="1210"/>
      <c r="BH68" s="1210"/>
      <c r="BI68" s="1126"/>
      <c r="BJ68" s="1126"/>
      <c r="BK68" s="1126"/>
      <c r="BL68" s="535" t="s">
        <v>457</v>
      </c>
      <c r="BM68" s="1073"/>
    </row>
    <row r="69" spans="1:65" s="1327" customFormat="1" ht="21.75" customHeight="1">
      <c r="A69" s="1210"/>
      <c r="B69" s="1104"/>
      <c r="C69" s="1210"/>
      <c r="D69" s="1210"/>
      <c r="E69" s="535">
        <v>22.5</v>
      </c>
      <c r="F69" s="3" t="str" cm="1">
        <f t="array" aca="1" ref="F69" ca="1">OFFSET(E69,-1,1)</f>
        <v>1</v>
      </c>
      <c r="G69" s="1210"/>
      <c r="H69" s="41" t="s">
        <v>458</v>
      </c>
      <c r="I69" s="1210"/>
      <c r="J69" s="1210"/>
      <c r="K69" s="1210"/>
      <c r="L69" s="1210"/>
      <c r="M69" s="1210"/>
      <c r="N69" s="1210"/>
      <c r="O69" s="1210"/>
      <c r="P69" s="1210"/>
      <c r="Q69" s="1210"/>
      <c r="R69" s="1210"/>
      <c r="S69" s="1210"/>
      <c r="T69" s="1210"/>
      <c r="U69" s="381" t="b" cm="1">
        <f t="array" aca="1" ref="U69" ca="1">U68</f>
        <v>1</v>
      </c>
      <c r="V69" s="1210"/>
      <c r="W69" s="1210"/>
      <c r="X69" s="1210"/>
      <c r="Y69" s="1732"/>
      <c r="Z69" s="1757"/>
      <c r="AA69" s="1210"/>
      <c r="AB69" s="515" t="s">
        <v>459</v>
      </c>
      <c r="AC69" s="516" t="s">
        <v>460</v>
      </c>
      <c r="AD69" s="512" t="s">
        <v>455</v>
      </c>
      <c r="AE69" s="517"/>
      <c r="AF69" s="518"/>
      <c r="AG69" s="519"/>
      <c r="AH69" s="520"/>
      <c r="AI69" s="517"/>
      <c r="AJ69" s="518"/>
      <c r="AK69" s="518"/>
      <c r="AL69" s="521">
        <f>IF(AI69&lt;&gt;0,AK69/AI69,0)</f>
        <v>0</v>
      </c>
      <c r="AM69" s="522">
        <f>AK69-AJ69</f>
        <v>0</v>
      </c>
      <c r="AN69" s="520"/>
      <c r="AO69" s="517"/>
      <c r="AP69" s="517"/>
      <c r="AQ69" s="517"/>
      <c r="AR69" s="517"/>
      <c r="AS69" s="517"/>
      <c r="AT69" s="517"/>
      <c r="AU69" s="517"/>
      <c r="AV69" s="517"/>
      <c r="AW69" s="517"/>
      <c r="AX69" s="517"/>
      <c r="AY69" s="517"/>
      <c r="AZ69" s="517"/>
      <c r="BA69" s="517"/>
      <c r="BB69" s="517"/>
      <c r="BC69" s="517"/>
      <c r="BD69" s="517"/>
      <c r="BE69" s="517"/>
      <c r="BF69" s="517"/>
      <c r="BG69" s="1210"/>
      <c r="BH69" s="1210"/>
      <c r="BI69" s="899" t="s">
        <v>461</v>
      </c>
      <c r="BJ69" s="1126"/>
      <c r="BK69" s="1126"/>
      <c r="BL69" s="1073"/>
      <c r="BM69" s="1073"/>
    </row>
    <row r="70" spans="1:65" s="1327" customFormat="1" ht="21.75" hidden="1" customHeight="1">
      <c r="A70" s="1210"/>
      <c r="B70" s="1104"/>
      <c r="C70" s="1210"/>
      <c r="D70" s="1210"/>
      <c r="E70" s="535">
        <v>22.5</v>
      </c>
      <c r="F70" s="3" t="str" cm="1">
        <f t="array" aca="1" ref="F70" ca="1">OFFSET(E70,-1,1)</f>
        <v>1</v>
      </c>
      <c r="G70" s="1210"/>
      <c r="H70" s="1210"/>
      <c r="I70" s="41" cm="1">
        <f t="array" ref="I70">AC70</f>
        <v>0</v>
      </c>
      <c r="J70" s="1210"/>
      <c r="K70" s="1210"/>
      <c r="L70" s="1210"/>
      <c r="M70" s="1210"/>
      <c r="N70" s="1210"/>
      <c r="O70" s="1210"/>
      <c r="P70" s="1210"/>
      <c r="Q70" s="1210"/>
      <c r="R70" s="1210"/>
      <c r="S70" s="1210"/>
      <c r="T70" s="1210"/>
      <c r="U70" s="381" t="b">
        <f ca="1">AND(F70&gt;0,--RIGHT(AB70,1)&gt;1)</f>
        <v>0</v>
      </c>
      <c r="V70" s="1210"/>
      <c r="W70" s="1210"/>
      <c r="X70" s="671" t="s">
        <v>173</v>
      </c>
      <c r="Y70" s="1732"/>
      <c r="Z70" s="1757"/>
      <c r="AA70" s="337" t="s">
        <v>174</v>
      </c>
      <c r="AB70" s="515" t="s">
        <v>459</v>
      </c>
      <c r="AC70" s="1372"/>
      <c r="AD70" s="512" t="s">
        <v>455</v>
      </c>
      <c r="AE70" s="1368"/>
      <c r="AF70" s="1369"/>
      <c r="AG70" s="1370"/>
      <c r="AH70" s="1371"/>
      <c r="AI70" s="1368"/>
      <c r="AJ70" s="1369"/>
      <c r="AK70" s="1369"/>
      <c r="AL70" s="521">
        <f>IF(AI70&lt;&gt;0,AK70/AI70,0)</f>
        <v>0</v>
      </c>
      <c r="AM70" s="522">
        <f>AK70-AJ70</f>
        <v>0</v>
      </c>
      <c r="AN70" s="1371"/>
      <c r="AO70" s="1368"/>
      <c r="AP70" s="1368"/>
      <c r="AQ70" s="1368"/>
      <c r="AR70" s="1368"/>
      <c r="AS70" s="1368"/>
      <c r="AT70" s="1368"/>
      <c r="AU70" s="1368"/>
      <c r="AV70" s="1368"/>
      <c r="AW70" s="1368"/>
      <c r="AX70" s="1368"/>
      <c r="AY70" s="1368"/>
      <c r="AZ70" s="1368"/>
      <c r="BA70" s="1368"/>
      <c r="BB70" s="1368"/>
      <c r="BC70" s="1368"/>
      <c r="BD70" s="1368"/>
      <c r="BE70" s="1368"/>
      <c r="BF70" s="1368"/>
      <c r="BG70" s="1210"/>
      <c r="BH70" s="1210"/>
      <c r="BI70" s="899" t="s">
        <v>461</v>
      </c>
      <c r="BJ70" s="899" t="s">
        <v>462</v>
      </c>
      <c r="BK70" s="899" cm="1">
        <f t="array" ref="BK70">AC70</f>
        <v>0</v>
      </c>
      <c r="BL70" s="1073"/>
      <c r="BM70" s="535" t="b">
        <v>1</v>
      </c>
    </row>
    <row r="71" spans="1:65" s="1327" customFormat="1" ht="14.25" customHeight="1">
      <c r="A71" s="1210"/>
      <c r="B71" s="1104"/>
      <c r="C71" s="1210"/>
      <c r="D71" s="1210"/>
      <c r="E71" s="535">
        <v>15</v>
      </c>
      <c r="F71" s="3" t="str" cm="1">
        <f t="array" aca="1" ref="F71" ca="1">OFFSET(E71,-1,1)</f>
        <v>1</v>
      </c>
      <c r="G71" s="1210"/>
      <c r="H71" s="1210"/>
      <c r="I71" s="1210"/>
      <c r="J71" s="1210"/>
      <c r="K71" s="1210"/>
      <c r="L71" s="1210"/>
      <c r="M71" s="1210"/>
      <c r="N71" s="1210"/>
      <c r="O71" s="1210"/>
      <c r="P71" s="1210"/>
      <c r="Q71" s="1210"/>
      <c r="R71" s="1210"/>
      <c r="S71" s="1210"/>
      <c r="T71" s="1210"/>
      <c r="U71" s="381" t="b">
        <f ca="1">F71&gt;0</f>
        <v>1</v>
      </c>
      <c r="V71" s="1210"/>
      <c r="W71" s="1210"/>
      <c r="X71" s="671" t="s">
        <v>395</v>
      </c>
      <c r="Y71" s="1732"/>
      <c r="Z71" s="1757"/>
      <c r="AA71" s="1210"/>
      <c r="AB71" s="94"/>
      <c r="AC71" s="222" t="s">
        <v>177</v>
      </c>
      <c r="AD71" s="95"/>
      <c r="AE71" s="95"/>
      <c r="AF71" s="95"/>
      <c r="AG71" s="95"/>
      <c r="AH71" s="95"/>
      <c r="AI71" s="95"/>
      <c r="AJ71" s="95"/>
      <c r="AK71" s="95"/>
      <c r="AL71" s="95"/>
      <c r="AM71" s="95"/>
      <c r="AN71" s="95"/>
      <c r="AO71" s="95"/>
      <c r="AP71" s="95"/>
      <c r="AQ71" s="95"/>
      <c r="AR71" s="95"/>
      <c r="AS71" s="95"/>
      <c r="AT71" s="95"/>
      <c r="AU71" s="95"/>
      <c r="AV71" s="95"/>
      <c r="AW71" s="95"/>
      <c r="AX71" s="95"/>
      <c r="AY71" s="95"/>
      <c r="AZ71" s="95"/>
      <c r="BA71" s="95"/>
      <c r="BB71" s="95"/>
      <c r="BC71" s="95"/>
      <c r="BD71" s="95"/>
      <c r="BE71" s="95"/>
      <c r="BF71" s="95"/>
      <c r="BG71" s="1210"/>
      <c r="BH71" s="1210"/>
      <c r="BI71" s="1126"/>
      <c r="BJ71" s="1126"/>
      <c r="BK71" s="1126"/>
      <c r="BL71" s="535" t="s">
        <v>462</v>
      </c>
      <c r="BM71" s="1073"/>
    </row>
    <row r="72" spans="1:65" s="1327" customFormat="1" ht="21.75" customHeight="1">
      <c r="A72" s="1210"/>
      <c r="B72" s="1104"/>
      <c r="C72" s="1210"/>
      <c r="D72" s="1210"/>
      <c r="E72" s="535">
        <v>22.5</v>
      </c>
      <c r="F72" s="3" t="str" cm="1">
        <f t="array" aca="1" ref="F72" ca="1">OFFSET(E72,-1,1)</f>
        <v>1</v>
      </c>
      <c r="G72" s="1210"/>
      <c r="H72" s="41" t="s">
        <v>463</v>
      </c>
      <c r="I72" s="1210"/>
      <c r="J72" s="1210"/>
      <c r="K72" s="1210"/>
      <c r="L72" s="1210"/>
      <c r="M72" s="1210"/>
      <c r="N72" s="1210"/>
      <c r="O72" s="1210"/>
      <c r="P72" s="1210"/>
      <c r="Q72" s="1210"/>
      <c r="R72" s="1210"/>
      <c r="S72" s="1210"/>
      <c r="T72" s="1210"/>
      <c r="U72" s="381" t="b" cm="1">
        <f t="array" aca="1" ref="U72" ca="1">U71</f>
        <v>1</v>
      </c>
      <c r="V72" s="1210"/>
      <c r="W72" s="1210"/>
      <c r="X72" s="1210"/>
      <c r="Y72" s="1732"/>
      <c r="Z72" s="1757"/>
      <c r="AA72" s="1210"/>
      <c r="AB72" s="42" t="s">
        <v>464</v>
      </c>
      <c r="AC72" s="111" t="s">
        <v>465</v>
      </c>
      <c r="AD72" s="11" t="s">
        <v>455</v>
      </c>
      <c r="AE72" s="192"/>
      <c r="AF72" s="194"/>
      <c r="AG72" s="195"/>
      <c r="AH72" s="118"/>
      <c r="AI72" s="192"/>
      <c r="AJ72" s="194"/>
      <c r="AK72" s="194"/>
      <c r="AL72" s="197">
        <f>IF(AI72&lt;&gt;0,AK72/AI72,0)</f>
        <v>0</v>
      </c>
      <c r="AM72" s="196">
        <f>AK72-AJ72</f>
        <v>0</v>
      </c>
      <c r="AN72" s="118"/>
      <c r="AO72" s="192"/>
      <c r="AP72" s="192"/>
      <c r="AQ72" s="192"/>
      <c r="AR72" s="192"/>
      <c r="AS72" s="192"/>
      <c r="AT72" s="192"/>
      <c r="AU72" s="192"/>
      <c r="AV72" s="192"/>
      <c r="AW72" s="192"/>
      <c r="AX72" s="192"/>
      <c r="AY72" s="192"/>
      <c r="AZ72" s="192"/>
      <c r="BA72" s="192"/>
      <c r="BB72" s="192"/>
      <c r="BC72" s="192"/>
      <c r="BD72" s="192"/>
      <c r="BE72" s="192"/>
      <c r="BF72" s="192"/>
      <c r="BG72" s="1210"/>
      <c r="BH72" s="1210"/>
      <c r="BI72" s="899" t="s">
        <v>466</v>
      </c>
      <c r="BJ72" s="1126"/>
      <c r="BK72" s="1126"/>
      <c r="BL72" s="1073"/>
      <c r="BM72" s="1073"/>
    </row>
    <row r="73" spans="1:65" s="1327" customFormat="1" ht="21.75" hidden="1" customHeight="1">
      <c r="A73" s="1210"/>
      <c r="B73" s="1104"/>
      <c r="C73" s="1210"/>
      <c r="D73" s="1210"/>
      <c r="E73" s="535">
        <v>22.5</v>
      </c>
      <c r="F73" s="3" t="str" cm="1">
        <f t="array" aca="1" ref="F73" ca="1">OFFSET(E73,-1,1)</f>
        <v>1</v>
      </c>
      <c r="G73" s="1210"/>
      <c r="H73" s="1210"/>
      <c r="I73" s="41" cm="1">
        <f t="array" ref="I73">AC73</f>
        <v>0</v>
      </c>
      <c r="J73" s="1210"/>
      <c r="K73" s="1210"/>
      <c r="L73" s="1210"/>
      <c r="M73" s="1210"/>
      <c r="N73" s="1210"/>
      <c r="O73" s="1210"/>
      <c r="P73" s="1210"/>
      <c r="Q73" s="1210"/>
      <c r="R73" s="1210"/>
      <c r="S73" s="1210"/>
      <c r="T73" s="1210"/>
      <c r="U73" s="381" t="b">
        <f ca="1">AND(F73&gt;0,--RIGHT(AB73,1)&gt;1)</f>
        <v>0</v>
      </c>
      <c r="V73" s="1210"/>
      <c r="W73" s="1210"/>
      <c r="X73" s="671" t="s">
        <v>173</v>
      </c>
      <c r="Y73" s="1732"/>
      <c r="Z73" s="1757"/>
      <c r="AA73" s="337" t="s">
        <v>174</v>
      </c>
      <c r="AB73" s="42" t="s">
        <v>464</v>
      </c>
      <c r="AC73" s="1374"/>
      <c r="AD73" s="11" t="s">
        <v>455</v>
      </c>
      <c r="AE73" s="1360"/>
      <c r="AF73" s="1362"/>
      <c r="AG73" s="1373"/>
      <c r="AH73" s="1361"/>
      <c r="AI73" s="1360"/>
      <c r="AJ73" s="1362"/>
      <c r="AK73" s="1362"/>
      <c r="AL73" s="197">
        <f>IF(AI73&lt;&gt;0,AK73/AI73,0)</f>
        <v>0</v>
      </c>
      <c r="AM73" s="196">
        <f>AK73-AJ73</f>
        <v>0</v>
      </c>
      <c r="AN73" s="1361"/>
      <c r="AO73" s="1360"/>
      <c r="AP73" s="1360"/>
      <c r="AQ73" s="1360"/>
      <c r="AR73" s="1360"/>
      <c r="AS73" s="1360"/>
      <c r="AT73" s="1360"/>
      <c r="AU73" s="1360"/>
      <c r="AV73" s="1360"/>
      <c r="AW73" s="1360"/>
      <c r="AX73" s="1360"/>
      <c r="AY73" s="1360"/>
      <c r="AZ73" s="1360"/>
      <c r="BA73" s="1360"/>
      <c r="BB73" s="1360"/>
      <c r="BC73" s="1360"/>
      <c r="BD73" s="1360"/>
      <c r="BE73" s="1360"/>
      <c r="BF73" s="1360"/>
      <c r="BG73" s="1210"/>
      <c r="BH73" s="1210"/>
      <c r="BI73" s="899" t="s">
        <v>466</v>
      </c>
      <c r="BJ73" s="899" t="s">
        <v>467</v>
      </c>
      <c r="BK73" s="899" cm="1">
        <f t="array" ref="BK73">AC73</f>
        <v>0</v>
      </c>
      <c r="BL73" s="1073"/>
      <c r="BM73" s="535" t="b">
        <v>1</v>
      </c>
    </row>
    <row r="74" spans="1:65" s="1327" customFormat="1" ht="14.25" customHeight="1">
      <c r="A74" s="1210"/>
      <c r="B74" s="1104"/>
      <c r="C74" s="1210"/>
      <c r="D74" s="1210"/>
      <c r="E74" s="535">
        <v>15</v>
      </c>
      <c r="F74" s="3" t="str" cm="1">
        <f t="array" aca="1" ref="F74" ca="1">OFFSET(E74,-1,1)</f>
        <v>1</v>
      </c>
      <c r="G74" s="1210"/>
      <c r="H74" s="1210"/>
      <c r="I74" s="1210"/>
      <c r="J74" s="1210"/>
      <c r="K74" s="1210"/>
      <c r="L74" s="1210"/>
      <c r="M74" s="1210"/>
      <c r="N74" s="1210"/>
      <c r="O74" s="1210"/>
      <c r="P74" s="1210"/>
      <c r="Q74" s="1210"/>
      <c r="R74" s="1210"/>
      <c r="S74" s="1210"/>
      <c r="T74" s="1210"/>
      <c r="U74" s="381" t="b">
        <f ca="1">F74&gt;0</f>
        <v>1</v>
      </c>
      <c r="V74" s="1210"/>
      <c r="W74" s="1210"/>
      <c r="X74" s="671" t="s">
        <v>395</v>
      </c>
      <c r="Y74" s="1732"/>
      <c r="Z74" s="1757"/>
      <c r="AA74" s="1210"/>
      <c r="AB74" s="94"/>
      <c r="AC74" s="222" t="s">
        <v>177</v>
      </c>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1210"/>
      <c r="BH74" s="1210"/>
      <c r="BI74" s="1126"/>
      <c r="BJ74" s="1126"/>
      <c r="BK74" s="1126"/>
      <c r="BL74" s="535" t="s">
        <v>467</v>
      </c>
      <c r="BM74" s="1073"/>
    </row>
    <row r="75" spans="1:65" s="1327" customFormat="1" ht="21.75" customHeight="1">
      <c r="A75" s="1210"/>
      <c r="B75" s="1104"/>
      <c r="C75" s="1210"/>
      <c r="D75" s="1210"/>
      <c r="E75" s="535">
        <v>22.5</v>
      </c>
      <c r="F75" s="3" t="str" cm="1">
        <f t="array" aca="1" ref="F75" ca="1">OFFSET(E75,-1,1)</f>
        <v>1</v>
      </c>
      <c r="G75" s="1210"/>
      <c r="H75" s="41" t="s">
        <v>468</v>
      </c>
      <c r="I75" s="1210"/>
      <c r="J75" s="1210"/>
      <c r="K75" s="1210"/>
      <c r="L75" s="1210"/>
      <c r="M75" s="1210"/>
      <c r="N75" s="1210"/>
      <c r="O75" s="1210"/>
      <c r="P75" s="1210"/>
      <c r="Q75" s="1210"/>
      <c r="R75" s="1210"/>
      <c r="S75" s="1210"/>
      <c r="T75" s="1210"/>
      <c r="U75" s="381" t="b" cm="1">
        <f t="array" aca="1" ref="U75" ca="1">U74</f>
        <v>1</v>
      </c>
      <c r="V75" s="1210"/>
      <c r="W75" s="1210"/>
      <c r="X75" s="1210"/>
      <c r="Y75" s="1732"/>
      <c r="Z75" s="1757"/>
      <c r="AA75" s="1210"/>
      <c r="AB75" s="42" t="s">
        <v>469</v>
      </c>
      <c r="AC75" s="111" t="s">
        <v>470</v>
      </c>
      <c r="AD75" s="11" t="s">
        <v>455</v>
      </c>
      <c r="AE75" s="192"/>
      <c r="AF75" s="194"/>
      <c r="AG75" s="195"/>
      <c r="AH75" s="118"/>
      <c r="AI75" s="192"/>
      <c r="AJ75" s="194"/>
      <c r="AK75" s="194"/>
      <c r="AL75" s="197">
        <f>IF(AI75&lt;&gt;0,AK75/AI75,0)</f>
        <v>0</v>
      </c>
      <c r="AM75" s="196">
        <f>AK75-AJ75</f>
        <v>0</v>
      </c>
      <c r="AN75" s="118"/>
      <c r="AO75" s="192"/>
      <c r="AP75" s="192"/>
      <c r="AQ75" s="192"/>
      <c r="AR75" s="192"/>
      <c r="AS75" s="192"/>
      <c r="AT75" s="192"/>
      <c r="AU75" s="192"/>
      <c r="AV75" s="192"/>
      <c r="AW75" s="192"/>
      <c r="AX75" s="192"/>
      <c r="AY75" s="192"/>
      <c r="AZ75" s="192"/>
      <c r="BA75" s="192"/>
      <c r="BB75" s="192"/>
      <c r="BC75" s="192"/>
      <c r="BD75" s="192"/>
      <c r="BE75" s="192"/>
      <c r="BF75" s="192"/>
      <c r="BG75" s="1210"/>
      <c r="BH75" s="1210"/>
      <c r="BI75" s="899" t="s">
        <v>471</v>
      </c>
      <c r="BJ75" s="1126"/>
      <c r="BK75" s="1126"/>
      <c r="BL75" s="1073"/>
      <c r="BM75" s="1073"/>
    </row>
    <row r="76" spans="1:65" s="1327" customFormat="1" ht="21.75" hidden="1" customHeight="1">
      <c r="A76" s="1210"/>
      <c r="B76" s="1104"/>
      <c r="C76" s="1210"/>
      <c r="D76" s="1210"/>
      <c r="E76" s="535">
        <v>22.5</v>
      </c>
      <c r="F76" s="3" t="str" cm="1">
        <f t="array" aca="1" ref="F76" ca="1">OFFSET(E76,-1,1)</f>
        <v>1</v>
      </c>
      <c r="G76" s="1210"/>
      <c r="H76" s="1210"/>
      <c r="I76" s="41" cm="1">
        <f t="array" ref="I76">AC76</f>
        <v>0</v>
      </c>
      <c r="J76" s="1210"/>
      <c r="K76" s="1210"/>
      <c r="L76" s="1210"/>
      <c r="M76" s="1210"/>
      <c r="N76" s="1210"/>
      <c r="O76" s="1210"/>
      <c r="P76" s="1210"/>
      <c r="Q76" s="1210"/>
      <c r="R76" s="1210"/>
      <c r="S76" s="1210"/>
      <c r="T76" s="1210"/>
      <c r="U76" s="381" t="b">
        <f ca="1">AND(F76&gt;0,--RIGHT(AB76,1)&gt;1)</f>
        <v>0</v>
      </c>
      <c r="V76" s="1210"/>
      <c r="W76" s="1210"/>
      <c r="X76" s="671" t="s">
        <v>173</v>
      </c>
      <c r="Y76" s="1732"/>
      <c r="Z76" s="1757"/>
      <c r="AA76" s="337" t="s">
        <v>174</v>
      </c>
      <c r="AB76" s="42" t="s">
        <v>469</v>
      </c>
      <c r="AC76" s="1374"/>
      <c r="AD76" s="11" t="s">
        <v>455</v>
      </c>
      <c r="AE76" s="1360"/>
      <c r="AF76" s="1362"/>
      <c r="AG76" s="1373"/>
      <c r="AH76" s="1361"/>
      <c r="AI76" s="1360"/>
      <c r="AJ76" s="1362"/>
      <c r="AK76" s="1362"/>
      <c r="AL76" s="197">
        <f>IF(AI76&lt;&gt;0,AK76/AI76,0)</f>
        <v>0</v>
      </c>
      <c r="AM76" s="196">
        <f>AK76-AJ76</f>
        <v>0</v>
      </c>
      <c r="AN76" s="1361"/>
      <c r="AO76" s="1360"/>
      <c r="AP76" s="1360"/>
      <c r="AQ76" s="1360"/>
      <c r="AR76" s="1360"/>
      <c r="AS76" s="1360"/>
      <c r="AT76" s="1360"/>
      <c r="AU76" s="1360"/>
      <c r="AV76" s="1360"/>
      <c r="AW76" s="1360"/>
      <c r="AX76" s="1360"/>
      <c r="AY76" s="1360"/>
      <c r="AZ76" s="1360"/>
      <c r="BA76" s="1360"/>
      <c r="BB76" s="1360"/>
      <c r="BC76" s="1360"/>
      <c r="BD76" s="1360"/>
      <c r="BE76" s="1360"/>
      <c r="BF76" s="1360"/>
      <c r="BG76" s="1210"/>
      <c r="BH76" s="1210"/>
      <c r="BI76" s="899" t="s">
        <v>471</v>
      </c>
      <c r="BJ76" s="899" t="s">
        <v>472</v>
      </c>
      <c r="BK76" s="899" cm="1">
        <f t="array" ref="BK76">AC76</f>
        <v>0</v>
      </c>
      <c r="BL76" s="1073"/>
      <c r="BM76" s="535" t="b">
        <v>1</v>
      </c>
    </row>
    <row r="77" spans="1:65" s="1327" customFormat="1" ht="14.25" customHeight="1">
      <c r="A77" s="1210"/>
      <c r="B77" s="1104"/>
      <c r="C77" s="1210"/>
      <c r="D77" s="1210"/>
      <c r="E77" s="535">
        <v>15</v>
      </c>
      <c r="F77" s="3" t="str" cm="1">
        <f t="array" aca="1" ref="F77" ca="1">OFFSET(E77,-1,1)</f>
        <v>1</v>
      </c>
      <c r="G77" s="1210"/>
      <c r="H77" s="1210"/>
      <c r="I77" s="1210"/>
      <c r="J77" s="1210"/>
      <c r="K77" s="1210"/>
      <c r="L77" s="1210"/>
      <c r="M77" s="1210"/>
      <c r="N77" s="1210"/>
      <c r="O77" s="1210"/>
      <c r="P77" s="1210"/>
      <c r="Q77" s="1210"/>
      <c r="R77" s="1210"/>
      <c r="S77" s="1210"/>
      <c r="T77" s="1210"/>
      <c r="U77" s="381" t="b">
        <f ca="1">F77&gt;0</f>
        <v>1</v>
      </c>
      <c r="V77" s="1210"/>
      <c r="W77" s="1210"/>
      <c r="X77" s="671" t="s">
        <v>395</v>
      </c>
      <c r="Y77" s="1732"/>
      <c r="Z77" s="1757"/>
      <c r="AA77" s="1210"/>
      <c r="AB77" s="94"/>
      <c r="AC77" s="222" t="s">
        <v>177</v>
      </c>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1210"/>
      <c r="BH77" s="1210"/>
      <c r="BI77" s="1126"/>
      <c r="BJ77" s="1126"/>
      <c r="BK77" s="1126"/>
      <c r="BL77" s="535" t="s">
        <v>472</v>
      </c>
      <c r="BM77" s="1073"/>
    </row>
    <row r="78" spans="1:65" s="1327" customFormat="1" ht="14.25" customHeight="1">
      <c r="A78" s="1210"/>
      <c r="B78" s="1104"/>
      <c r="C78" s="1210"/>
      <c r="D78" s="1210"/>
      <c r="E78" s="535">
        <v>15</v>
      </c>
      <c r="F78" s="3" t="str" cm="1">
        <f t="array" aca="1" ref="F78" ca="1">OFFSET(E78,-1,1)</f>
        <v>1</v>
      </c>
      <c r="G78" s="1210"/>
      <c r="H78" s="41" t="s">
        <v>327</v>
      </c>
      <c r="I78" s="1210"/>
      <c r="J78" s="1210"/>
      <c r="K78" s="1210"/>
      <c r="L78" s="1210"/>
      <c r="M78" s="1210"/>
      <c r="N78" s="1210"/>
      <c r="O78" s="1210"/>
      <c r="P78" s="1210"/>
      <c r="Q78" s="1210"/>
      <c r="R78" s="1210"/>
      <c r="S78" s="1210"/>
      <c r="T78" s="1210"/>
      <c r="U78" s="381" t="b" cm="1">
        <f t="array" aca="1" ref="U78" ca="1">U77</f>
        <v>1</v>
      </c>
      <c r="V78" s="1210"/>
      <c r="W78" s="1210"/>
      <c r="X78" s="1210"/>
      <c r="Y78" s="1732"/>
      <c r="Z78" s="1757"/>
      <c r="AA78" s="1210"/>
      <c r="AB78" s="52">
        <v>3</v>
      </c>
      <c r="AC78" s="58" t="s">
        <v>473</v>
      </c>
      <c r="AD78" s="55" t="s">
        <v>423</v>
      </c>
      <c r="AE78" s="192"/>
      <c r="AF78" s="194"/>
      <c r="AG78" s="195"/>
      <c r="AH78" s="118"/>
      <c r="AI78" s="192"/>
      <c r="AJ78" s="194"/>
      <c r="AK78" s="194"/>
      <c r="AL78" s="197">
        <f>IF(AI78&lt;&gt;0,AK78/AI78,0)</f>
        <v>0</v>
      </c>
      <c r="AM78" s="196">
        <f>AK78-AJ78</f>
        <v>0</v>
      </c>
      <c r="AN78" s="118"/>
      <c r="AO78" s="192"/>
      <c r="AP78" s="192"/>
      <c r="AQ78" s="192"/>
      <c r="AR78" s="192"/>
      <c r="AS78" s="192"/>
      <c r="AT78" s="192"/>
      <c r="AU78" s="192"/>
      <c r="AV78" s="192"/>
      <c r="AW78" s="192"/>
      <c r="AX78" s="192"/>
      <c r="AY78" s="192"/>
      <c r="AZ78" s="192"/>
      <c r="BA78" s="192"/>
      <c r="BB78" s="192"/>
      <c r="BC78" s="192"/>
      <c r="BD78" s="192"/>
      <c r="BE78" s="192"/>
      <c r="BF78" s="192"/>
      <c r="BG78" s="1210"/>
      <c r="BH78" s="1210"/>
      <c r="BI78" s="899" t="s">
        <v>474</v>
      </c>
      <c r="BJ78" s="1126"/>
      <c r="BK78" s="1126"/>
      <c r="BL78" s="1073"/>
      <c r="BM78" s="1073"/>
    </row>
    <row r="79" spans="1:65" s="1327" customFormat="1" ht="14.25" customHeight="1">
      <c r="A79" s="1210"/>
      <c r="B79" s="1104"/>
      <c r="C79" s="1210"/>
      <c r="D79" s="1210"/>
      <c r="E79" s="535">
        <v>15</v>
      </c>
      <c r="F79" s="3" t="str" cm="1">
        <f t="array" aca="1" ref="F79" ca="1">OFFSET(E79,-1,1)</f>
        <v>1</v>
      </c>
      <c r="G79" s="1210"/>
      <c r="H79" s="41" t="s">
        <v>326</v>
      </c>
      <c r="I79" s="1210"/>
      <c r="J79" s="1210"/>
      <c r="K79" s="1210"/>
      <c r="L79" s="1210"/>
      <c r="M79" s="1210"/>
      <c r="N79" s="1210"/>
      <c r="O79" s="1210"/>
      <c r="P79" s="1210"/>
      <c r="Q79" s="1210"/>
      <c r="R79" s="1210"/>
      <c r="S79" s="1210"/>
      <c r="T79" s="1210"/>
      <c r="U79" s="381" t="b" cm="1">
        <f t="array" aca="1" ref="U79" ca="1">U78</f>
        <v>1</v>
      </c>
      <c r="V79" s="1210"/>
      <c r="W79" s="1210"/>
      <c r="X79" s="1210"/>
      <c r="Y79" s="1732"/>
      <c r="Z79" s="1757"/>
      <c r="AA79" s="1210"/>
      <c r="AB79" s="52">
        <v>4</v>
      </c>
      <c r="AC79" s="58" t="s">
        <v>475</v>
      </c>
      <c r="AD79" s="55" t="s">
        <v>423</v>
      </c>
      <c r="AE79" s="192"/>
      <c r="AF79" s="194"/>
      <c r="AG79" s="195"/>
      <c r="AH79" s="118"/>
      <c r="AI79" s="192"/>
      <c r="AJ79" s="194"/>
      <c r="AK79" s="194"/>
      <c r="AL79" s="197">
        <f>IF(AI79&lt;&gt;0,AK79/AI79,0)</f>
        <v>0</v>
      </c>
      <c r="AM79" s="196">
        <f>AK79-AJ79</f>
        <v>0</v>
      </c>
      <c r="AN79" s="118"/>
      <c r="AO79" s="192"/>
      <c r="AP79" s="192"/>
      <c r="AQ79" s="192"/>
      <c r="AR79" s="192"/>
      <c r="AS79" s="192"/>
      <c r="AT79" s="192"/>
      <c r="AU79" s="192"/>
      <c r="AV79" s="192"/>
      <c r="AW79" s="192"/>
      <c r="AX79" s="192"/>
      <c r="AY79" s="192"/>
      <c r="AZ79" s="192"/>
      <c r="BA79" s="192"/>
      <c r="BB79" s="192"/>
      <c r="BC79" s="192"/>
      <c r="BD79" s="192"/>
      <c r="BE79" s="192"/>
      <c r="BF79" s="192"/>
      <c r="BG79" s="1210"/>
      <c r="BH79" s="1210"/>
      <c r="BI79" s="899" t="s">
        <v>476</v>
      </c>
      <c r="BJ79" s="1126"/>
      <c r="BK79" s="1126"/>
      <c r="BL79" s="1073"/>
      <c r="BM79" s="1073"/>
    </row>
    <row r="80" spans="1:65" s="1327" customFormat="1" ht="14.25" customHeight="1">
      <c r="A80" s="1210"/>
      <c r="B80" s="1104"/>
      <c r="C80" s="1210"/>
      <c r="D80" s="1210"/>
      <c r="E80" s="535">
        <v>15</v>
      </c>
      <c r="F80" s="3" t="str" cm="1">
        <f t="array" aca="1" ref="F80" ca="1">OFFSET(E80,-1,1)</f>
        <v>1</v>
      </c>
      <c r="G80" s="1210"/>
      <c r="H80" s="41" t="s">
        <v>477</v>
      </c>
      <c r="I80" s="1210"/>
      <c r="J80" s="1210"/>
      <c r="K80" s="1210"/>
      <c r="L80" s="1210"/>
      <c r="M80" s="1210"/>
      <c r="N80" s="1210"/>
      <c r="O80" s="1210"/>
      <c r="P80" s="1210"/>
      <c r="Q80" s="1210"/>
      <c r="R80" s="1210"/>
      <c r="S80" s="1210"/>
      <c r="T80" s="1210"/>
      <c r="U80" s="381" t="b" cm="1">
        <f t="array" aca="1" ref="U80" ca="1">U79</f>
        <v>1</v>
      </c>
      <c r="V80" s="1210"/>
      <c r="W80" s="1210"/>
      <c r="X80" s="1210"/>
      <c r="Y80" s="1732"/>
      <c r="Z80" s="1757"/>
      <c r="AA80" s="1210"/>
      <c r="AB80" s="42" t="s">
        <v>478</v>
      </c>
      <c r="AC80" s="57" t="s">
        <v>479</v>
      </c>
      <c r="AD80" s="55"/>
      <c r="AE80" s="195"/>
      <c r="AF80" s="195"/>
      <c r="AG80" s="195"/>
      <c r="AH80" s="200"/>
      <c r="AI80" s="195"/>
      <c r="AJ80" s="195"/>
      <c r="AK80" s="195"/>
      <c r="AL80" s="197">
        <f>IF(AI80&lt;&gt;0,AK80/AI80,0)</f>
        <v>0</v>
      </c>
      <c r="AM80" s="196">
        <f>AK80-AJ80</f>
        <v>0</v>
      </c>
      <c r="AN80" s="200"/>
      <c r="AO80" s="195"/>
      <c r="AP80" s="195"/>
      <c r="AQ80" s="195"/>
      <c r="AR80" s="195"/>
      <c r="AS80" s="195"/>
      <c r="AT80" s="195"/>
      <c r="AU80" s="195"/>
      <c r="AV80" s="195"/>
      <c r="AW80" s="195"/>
      <c r="AX80" s="195"/>
      <c r="AY80" s="195"/>
      <c r="AZ80" s="195"/>
      <c r="BA80" s="195"/>
      <c r="BB80" s="195"/>
      <c r="BC80" s="195"/>
      <c r="BD80" s="195"/>
      <c r="BE80" s="195"/>
      <c r="BF80" s="195"/>
      <c r="BG80" s="1210"/>
      <c r="BH80" s="1210"/>
      <c r="BI80" s="899" t="s">
        <v>480</v>
      </c>
      <c r="BJ80" s="1126"/>
      <c r="BK80" s="1126"/>
      <c r="BL80" s="1073"/>
      <c r="BM80" s="1073"/>
    </row>
    <row r="81" spans="1:65" s="1327" customFormat="1" ht="14.25" customHeight="1">
      <c r="A81" s="1210"/>
      <c r="B81" s="1104"/>
      <c r="C81" s="1210"/>
      <c r="D81" s="1210"/>
      <c r="E81" s="535">
        <v>15</v>
      </c>
      <c r="F81" s="3" t="str" cm="1">
        <f t="array" aca="1" ref="F81" ca="1">OFFSET(E81,-1,1)</f>
        <v>1</v>
      </c>
      <c r="G81" s="1210"/>
      <c r="H81" s="41" t="s">
        <v>481</v>
      </c>
      <c r="I81" s="1210"/>
      <c r="J81" s="1210"/>
      <c r="K81" s="1210"/>
      <c r="L81" s="1210"/>
      <c r="M81" s="1210"/>
      <c r="N81" s="1210"/>
      <c r="O81" s="1210"/>
      <c r="P81" s="1210"/>
      <c r="Q81" s="1210"/>
      <c r="R81" s="1210"/>
      <c r="S81" s="1210"/>
      <c r="T81" s="1210"/>
      <c r="U81" s="381" t="b" cm="1">
        <f t="array" aca="1" ref="U81" ca="1">U80</f>
        <v>1</v>
      </c>
      <c r="V81" s="1210"/>
      <c r="W81" s="1210"/>
      <c r="X81" s="1210"/>
      <c r="Y81" s="1732"/>
      <c r="Z81" s="1757"/>
      <c r="AA81" s="1210"/>
      <c r="AB81" s="42" t="s">
        <v>482</v>
      </c>
      <c r="AC81" s="56" t="s">
        <v>483</v>
      </c>
      <c r="AD81" s="55"/>
      <c r="AE81" s="195"/>
      <c r="AF81" s="195"/>
      <c r="AG81" s="195"/>
      <c r="AH81" s="200"/>
      <c r="AI81" s="195"/>
      <c r="AJ81" s="195"/>
      <c r="AK81" s="195"/>
      <c r="AL81" s="197">
        <f>IF(AI81&lt;&gt;0,AK81/AI81,0)</f>
        <v>0</v>
      </c>
      <c r="AM81" s="196">
        <f>AK81-AJ81</f>
        <v>0</v>
      </c>
      <c r="AN81" s="200"/>
      <c r="AO81" s="195"/>
      <c r="AP81" s="195"/>
      <c r="AQ81" s="195"/>
      <c r="AR81" s="195"/>
      <c r="AS81" s="195"/>
      <c r="AT81" s="195"/>
      <c r="AU81" s="195"/>
      <c r="AV81" s="195"/>
      <c r="AW81" s="195"/>
      <c r="AX81" s="195"/>
      <c r="AY81" s="195"/>
      <c r="AZ81" s="195"/>
      <c r="BA81" s="195"/>
      <c r="BB81" s="195"/>
      <c r="BC81" s="195"/>
      <c r="BD81" s="195"/>
      <c r="BE81" s="195"/>
      <c r="BF81" s="195"/>
      <c r="BG81" s="1210"/>
      <c r="BH81" s="1210"/>
      <c r="BI81" s="899" t="s">
        <v>484</v>
      </c>
      <c r="BJ81" s="1126"/>
      <c r="BK81" s="1126"/>
      <c r="BL81" s="1073"/>
      <c r="BM81" s="1073"/>
    </row>
    <row r="82" spans="1:65" ht="10.9" customHeight="1">
      <c r="E82" s="535">
        <v>11.25</v>
      </c>
      <c r="V82" s="41" t="s">
        <v>177</v>
      </c>
      <c r="W82" s="59" t="s">
        <v>486</v>
      </c>
      <c r="BG82" s="41"/>
    </row>
  </sheetData>
  <sheetProtection formatColumns="0" formatRows="0" insertRows="0" deleteColumns="0" deleteRows="0" sort="0" autoFilter="0"/>
  <mergeCells count="7">
    <mergeCell ref="Y55:Y81"/>
    <mergeCell ref="Z55:Z81"/>
    <mergeCell ref="AB24:AB25"/>
    <mergeCell ref="AC24:AC25"/>
    <mergeCell ref="AD24:AD25"/>
    <mergeCell ref="Y28:Y54"/>
    <mergeCell ref="Z28:Z54"/>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61 BF63:BF64 BF66:BF67 BF69:BF70 BF72:BF81 BE45:BE54 BE57:BE61 BE63:BE64 BE66:BE67 BE69:BE70 BE72:BE81 BD45:BD54 BD57:BD61 BD63:BD64 BD66:BD67 BD69:BD70 BD72:BD81 BC45:BC54 BC57:BC61 BC63:BC64 BC66:BC67 BC69:BC70 BC72:BC81 BB45:BB54 BB57:BB61 BB63:BB64 BB66:BB67 BB69:BB70 BB72:BB81 BA45:BA54 BA57:BA61 BA63:BA64 BA66:BA67 BA69:BA70 BA72:BA81 AZ45:AZ54 AZ57:AZ61 AZ63:AZ64 AZ66:AZ67 AZ69:AZ70 AZ72:AZ81 AY45:AY54 AY57:AY61 AY63:AY64 AY66:AY67 AY69:AY70 AY72:AY81 AX45:AX54 AX57:AX61 AX63:AX64 AX66:AX67 AX69:AX70 AX72:AX81 AW45:AW54 AW57:AW61 AW63:AW64 AW66:AW67 AW69:AW70 AW72:AW81 AV45:AV54 AV57:AV61 AV63:AV64 AV66:AV67 AV69:AV70 AV72:AV81 AU45:AU54 AU57:AU61 AU63:AU64 AU66:AU67 AU69:AU70 AU72:AU81 AT45:AT54 AT57:AT61 AT63:AT64 AT66:AT67 AT69:AT70 AT72:AT81 AS45:AS54 AS57:AS61 AS63:AS64 AS66:AS67 AS69:AS70 AS72:AS81 AR45:AR54 AR57:AR61 AR63:AR64 AR66:AR67 AR69:AR70 AR72:AR81 AQ45:AQ54 AQ57:AQ61 AQ63:AQ64 AQ66:AQ67 AQ69:AQ70 AQ72:AQ81 AP45:AP54 AP57:AP61 AP63:AP64 AP66:AP67 AP69:AP70 AP72:AP81 AO45:AO54 AO57:AO61 AO63:AO64 AO66:AO67 AO69:AO70 AO72:AO81 AG45:AG54 AG57:AG61 AG63:AG64 AG66:AG67 AG69:AG70 AG72:AG81 AF45:AF54 AF57:AF61 AF63:AF64 AF66:AF67 AF69:AF70 AF72:AF81 AE45:AE54 AE57:AE61 AE63:AE64 AE66:AE67 AE69:AE70 AE72:AE81 AK45:AK54 AK57:AK61 AK63:AK64 AK66:AK67 AK69:AK70 AK72:AK81 AJ45:AJ54 AJ57:AJ61 AJ63:AJ64 AJ66:AJ67 AJ69:AJ70 AJ72:AJ81 AI45:AI54 AI57:AI61 AI63:AI64 AI66:AI67 AI69:AI70 AI72:AI81 AE39:AG40 AE30:AG34 AI30:AK34 AO30:BF34">
      <formula1>0</formula1>
      <formula2>9.99999999999999E+23</formula2>
    </dataValidation>
    <dataValidation allowBlank="1" showErrorMessage="1" errorTitle="Ошибка" error="Допускается ввод только неотрицательных чисел!" sqref="AH26 AN26 AE27:BF27"/>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44</vt:i4>
      </vt:variant>
      <vt:variant>
        <vt:lpstr>Именованные диапазоны</vt:lpstr>
      </vt:variant>
      <vt:variant>
        <vt:i4>569</vt:i4>
      </vt:variant>
    </vt:vector>
  </HeadingPairs>
  <TitlesOfParts>
    <vt:vector size="613"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Евгения Антоненко</cp:lastModifiedBy>
  <cp:lastPrinted>2010-03-18T14:38:46Z</cp:lastPrinted>
  <dcterms:created xsi:type="dcterms:W3CDTF">2004-05-21T07:18:45Z</dcterms:created>
  <dcterms:modified xsi:type="dcterms:W3CDTF">2026-01-14T02:21:45Z</dcterms:modified>
</cp:coreProperties>
</file>